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دليل الاستخدام" sheetId="1" state="visible" r:id="rId1"/>
    <sheet xmlns:r="http://schemas.openxmlformats.org/officeDocument/2006/relationships" name="سجل التحفيز" sheetId="2" state="visible" r:id="rId2"/>
    <sheet xmlns:r="http://schemas.openxmlformats.org/officeDocument/2006/relationships" name="الموظفات" sheetId="3" state="visible" r:id="rId3"/>
    <sheet xmlns:r="http://schemas.openxmlformats.org/officeDocument/2006/relationships" name="تقرير الفصل الأول" sheetId="4" state="visible" r:id="rId4"/>
    <sheet xmlns:r="http://schemas.openxmlformats.org/officeDocument/2006/relationships" name="تقرير الفصل الثاني" sheetId="5" state="visible" r:id="rId5"/>
    <sheet xmlns:r="http://schemas.openxmlformats.org/officeDocument/2006/relationships" name="تقرير سبتمبر" sheetId="6" state="visible" r:id="rId6"/>
    <sheet xmlns:r="http://schemas.openxmlformats.org/officeDocument/2006/relationships" name="تقرير أكتوبر" sheetId="7" state="visible" r:id="rId7"/>
    <sheet xmlns:r="http://schemas.openxmlformats.org/officeDocument/2006/relationships" name="تقرير نوفمبر" sheetId="8" state="visible" r:id="rId8"/>
    <sheet xmlns:r="http://schemas.openxmlformats.org/officeDocument/2006/relationships" name="تقرير ديسمبر" sheetId="9" state="visible" r:id="rId9"/>
    <sheet xmlns:r="http://schemas.openxmlformats.org/officeDocument/2006/relationships" name="تقرير يناير" sheetId="10" state="visible" r:id="rId10"/>
    <sheet xmlns:r="http://schemas.openxmlformats.org/officeDocument/2006/relationships" name="تقرير فبراير" sheetId="11" state="visible" r:id="rId11"/>
    <sheet xmlns:r="http://schemas.openxmlformats.org/officeDocument/2006/relationships" name="تقرير مارس" sheetId="12" state="visible" r:id="rId12"/>
    <sheet xmlns:r="http://schemas.openxmlformats.org/officeDocument/2006/relationships" name="تقرير أبريل" sheetId="13" state="visible" r:id="rId13"/>
    <sheet xmlns:r="http://schemas.openxmlformats.org/officeDocument/2006/relationships" name="تقرير مايو" sheetId="14" state="visible" r:id="rId14"/>
    <sheet xmlns:r="http://schemas.openxmlformats.org/officeDocument/2006/relationships" name="التقارير" sheetId="15" state="visible" r:id="rId15"/>
    <sheet xmlns:r="http://schemas.openxmlformats.org/officeDocument/2006/relationships" name="لوحة السنة" sheetId="16" state="visible" r:id="rId16"/>
    <sheet xmlns:r="http://schemas.openxmlformats.org/officeDocument/2006/relationships" name="المعايير" sheetId="17" state="visible" r:id="rId17"/>
    <sheet xmlns:r="http://schemas.openxmlformats.org/officeDocument/2006/relationships" name="الإعدادات" sheetId="18" state="visible" r:id="rId18"/>
  </sheets>
  <definedNames>
    <definedName name="EmpNames">OFFSET(الموظفات!$B$5,0,0,MAX(1,COUNTA(الموظفات!$B$5:$B$304)),1)</definedName>
    <definedName name="FieldList">OFFSET(الإعدادات!$A$7,0,0,COUNTA(الإعدادات!$A$7:$A$35),1)</definedName>
    <definedName name="LevelList">الإعدادات!$K$7:$K$8</definedName>
    <definedName name="CatList">الإعدادات!$L$7:$L$8</definedName>
    <definedName name="StatusList">الإعدادات!$M$7:$M$8</definedName>
    <definedName name="ReportTypes">الإعدادات!$N$7:$N$9</definedName>
    <definedName name="YearList">OFFSET(الإعدادات!$O$7,0,0,COUNTA(الإعدادات!$O$7:$O$30),1)</definedName>
    <definedName name="SemList">الإعدادات!$P$7:$P$8</definedName>
    <definedName name="RewardList">OFFSET(الإعدادات!$Q$7,0,0,COUNTA(الإعدادات!$Q$7:$Q$60),1)</definedName>
    <definedName name="NomList">OFFSET(الإعدادات!$R$7,0,0,COUNTA(الإعدادات!$R$7:$R$60),1)</definedName>
    <definedName name="MonthNames">الإعدادات!$H$7:$H$18</definedName>
    <definedName name="CritKey">المعايير!$A$5:$A$332</definedName>
    <definedName name="_xlnm._FilterDatabase" localSheetId="1" hidden="1">'سجل التحفيز'!$A$4:$R$2004</definedName>
    <definedName name="_xlnm._FilterDatabase" localSheetId="2" hidden="1">'الموظفات'!$A$4:$L$304</definedName>
    <definedName name="_xlnm.Print_Area" localSheetId="3">'تقرير الفصل الأول'!$A$1:$I$93</definedName>
    <definedName name="_xlnm.Print_Area" localSheetId="4">'تقرير الفصل الثاني'!$A$1:$I$93</definedName>
    <definedName name="_xlnm.Print_Area" localSheetId="5">'تقرير سبتمبر'!$A$1:$I$77</definedName>
    <definedName name="_xlnm.Print_Area" localSheetId="6">'تقرير أكتوبر'!$A$1:$I$77</definedName>
    <definedName name="_xlnm.Print_Area" localSheetId="7">'تقرير نوفمبر'!$A$1:$I$77</definedName>
    <definedName name="_xlnm.Print_Area" localSheetId="8">'تقرير ديسمبر'!$A$1:$I$77</definedName>
    <definedName name="_xlnm.Print_Area" localSheetId="9">'تقرير يناير'!$A$1:$I$77</definedName>
    <definedName name="_xlnm.Print_Area" localSheetId="10">'تقرير فبراير'!$A$1:$I$77</definedName>
    <definedName name="_xlnm.Print_Area" localSheetId="11">'تقرير مارس'!$A$1:$I$77</definedName>
    <definedName name="_xlnm.Print_Area" localSheetId="12">'تقرير أبريل'!$A$1:$I$77</definedName>
    <definedName name="_xlnm.Print_Area" localSheetId="13">'تقرير مايو'!$A$1:$I$77</definedName>
    <definedName name="_xlnm.Print_Area" localSheetId="14">'التقارير'!$A$1:$I$77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;(#,##0);&quot;-&quot;"/>
    <numFmt numFmtId="166" formatCode="0;-0;&quot;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0000FF"/>
      <sz val="12"/>
    </font>
    <font>
      <name val="Arial"/>
      <b val="1"/>
      <color rgb="000000FF"/>
      <sz val="11"/>
    </font>
    <font>
      <name val="Arial"/>
      <b val="1"/>
      <color rgb="001F3864"/>
      <sz val="14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20"/>
    </font>
    <font>
      <name val="Arial"/>
      <b val="1"/>
      <color rgb="001F3864"/>
      <sz val="13"/>
    </font>
    <font>
      <name val="Arial"/>
      <color rgb="00808080"/>
      <sz val="9"/>
    </font>
    <font>
      <name val="Arial"/>
      <b val="1"/>
      <color rgb="00000000"/>
      <sz val="12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FFF9DB"/>
        <bgColor rgb="00FFF9DB"/>
      </patternFill>
    </fill>
    <fill>
      <patternFill patternType="solid">
        <fgColor rgb="00FFE699"/>
        <bgColor rgb="00FFE699"/>
      </patternFill>
    </fill>
    <fill>
      <patternFill patternType="solid">
        <fgColor rgb="002E75B6"/>
        <bgColor rgb="002E75B6"/>
      </patternFill>
    </fill>
    <fill>
      <patternFill patternType="solid">
        <fgColor rgb="008A1538"/>
        <bgColor rgb="008A1538"/>
      </patternFill>
    </fill>
    <fill>
      <patternFill patternType="solid">
        <fgColor rgb="00808080"/>
        <bgColor rgb="00808080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0" fillId="4" borderId="1" pivotButton="0" quotePrefix="0" xfId="0"/>
    <xf numFmtId="0" fontId="4" fillId="0" borderId="0" applyAlignment="1" pivotButton="0" quotePrefix="0" xfId="0">
      <alignment horizontal="right" vertical="center" wrapText="1"/>
    </xf>
    <xf numFmtId="0" fontId="0" fillId="3" borderId="1" pivotButton="0" quotePrefix="0" xfId="0"/>
    <xf numFmtId="0" fontId="0" fillId="5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9" fillId="8" borderId="0" pivotButton="0" quotePrefix="0" xfId="0"/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3" fontId="11" fillId="9" borderId="1" applyAlignment="1" pivotButton="0" quotePrefix="0" xfId="0">
      <alignment horizontal="center" vertical="center" wrapText="1"/>
    </xf>
    <xf numFmtId="0" fontId="12" fillId="0" borderId="0" pivotButton="0" quotePrefix="0" xfId="0"/>
    <xf numFmtId="165" fontId="4" fillId="0" borderId="1" applyAlignment="1" pivotButton="0" quotePrefix="0" xfId="0">
      <alignment horizontal="right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5" fillId="9" borderId="1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right" vertical="center" wrapText="1"/>
    </xf>
    <xf numFmtId="165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 wrapText="1"/>
    </xf>
    <xf numFmtId="166" fontId="4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6" fillId="4" borderId="1" pivotButton="0" quotePrefix="0" xfId="0"/>
    <xf numFmtId="0" fontId="5" fillId="0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5">
    <dxf>
      <font>
        <name val="Arial"/>
        <b val="1"/>
        <color rgb="00BF9000"/>
      </font>
      <fill>
        <patternFill patternType="solid">
          <fgColor rgb="00FFE699"/>
          <bgColor rgb="00FFE699"/>
        </patternFill>
      </fill>
    </dxf>
    <dxf>
      <font>
        <name val="Arial"/>
        <b val="1"/>
      </font>
      <fill>
        <patternFill patternType="solid">
          <fgColor rgb="00FFE699"/>
          <bgColor rgb="00FFE699"/>
        </patternFill>
      </fill>
    </dxf>
    <dxf>
      <font>
        <name val="Arial"/>
        <color rgb="00C00000"/>
      </font>
    </dxf>
    <dxf>
      <border>
        <left style="thin">
          <color rgb="00BFBFBF"/>
        </left>
        <right style="thin">
          <color rgb="00BFBFBF"/>
        </right>
        <top style="thin">
          <color rgb="00BFBFBF"/>
        </top>
        <bottom style="thin">
          <color rgb="00BFBFBF"/>
        </bottom>
      </border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الفصل الأول'!C13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الفصل الأول'!$B$14:$B$32</f>
            </numRef>
          </cat>
          <val>
            <numRef>
              <f>'تقرير الفصل الأول'!$C$14:$C$32</f>
            </numRef>
          </val>
        </ser>
        <ser>
          <idx val="1"/>
          <order val="1"/>
          <tx>
            <strRef>
              <f>'تقرير الفصل الأول'!D13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الفصل الأول'!$B$14:$B$32</f>
            </numRef>
          </cat>
          <val>
            <numRef>
              <f>'تقرير الفصل الأول'!$D$14:$D$32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الشهر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'تقرير الفصل الأول'!C37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الفصل الأول'!$B$38:$B$41</f>
            </numRef>
          </cat>
          <val>
            <numRef>
              <f>'تقرير الفصل الأول'!$C$38:$C$41</f>
            </numRef>
          </val>
        </ser>
        <ser>
          <idx val="1"/>
          <order val="1"/>
          <tx>
            <strRef>
              <f>'تقرير الفصل الأول'!D37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الفصل الأول'!$B$38:$B$41</f>
            </numRef>
          </cat>
          <val>
            <numRef>
              <f>'تقرير الفصل الأول'!$D$38:$D$41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الفصل الثاني'!C13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الفصل الثاني'!$B$14:$B$32</f>
            </numRef>
          </cat>
          <val>
            <numRef>
              <f>'تقرير الفصل الثاني'!$C$14:$C$32</f>
            </numRef>
          </val>
        </ser>
        <ser>
          <idx val="1"/>
          <order val="1"/>
          <tx>
            <strRef>
              <f>'تقرير الفصل الثاني'!D13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الفصل الثاني'!$B$14:$B$32</f>
            </numRef>
          </cat>
          <val>
            <numRef>
              <f>'تقرير الفصل الثاني'!$D$14:$D$32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الشهر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'تقرير الفصل الثاني'!C37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الفصل الثاني'!$B$38:$B$42</f>
            </numRef>
          </cat>
          <val>
            <numRef>
              <f>'تقرير الفصل الثاني'!$C$38:$C$42</f>
            </numRef>
          </val>
        </ser>
        <ser>
          <idx val="1"/>
          <order val="1"/>
          <tx>
            <strRef>
              <f>'تقرير الفصل الثاني'!D37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الفصل الثاني'!$B$38:$B$42</f>
            </numRef>
          </cat>
          <val>
            <numRef>
              <f>'تقرير الفصل الثاني'!$D$38:$D$42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سبتمبر'!C13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سبتمبر'!$B$14:$B$32</f>
            </numRef>
          </cat>
          <val>
            <numRef>
              <f>'تقرير سبتمبر'!$C$14:$C$32</f>
            </numRef>
          </val>
        </ser>
        <ser>
          <idx val="1"/>
          <order val="1"/>
          <tx>
            <strRef>
              <f>'تقرير سبتمبر'!D13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سبتمبر'!$B$14:$B$32</f>
            </numRef>
          </cat>
          <val>
            <numRef>
              <f>'تقرير سبتمبر'!$D$14:$D$32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أكتوبر'!C13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أكتوبر'!$B$14:$B$32</f>
            </numRef>
          </cat>
          <val>
            <numRef>
              <f>'تقرير أكتوبر'!$C$14:$C$32</f>
            </numRef>
          </val>
        </ser>
        <ser>
          <idx val="1"/>
          <order val="1"/>
          <tx>
            <strRef>
              <f>'تقرير أكتوبر'!D13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أكتوبر'!$B$14:$B$32</f>
            </numRef>
          </cat>
          <val>
            <numRef>
              <f>'تقرير أكتوبر'!$D$14:$D$32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نوفمبر'!C13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نوفمبر'!$B$14:$B$32</f>
            </numRef>
          </cat>
          <val>
            <numRef>
              <f>'تقرير نوفمبر'!$C$14:$C$32</f>
            </numRef>
          </val>
        </ser>
        <ser>
          <idx val="1"/>
          <order val="1"/>
          <tx>
            <strRef>
              <f>'تقرير نوفمبر'!D13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نوفمبر'!$B$14:$B$32</f>
            </numRef>
          </cat>
          <val>
            <numRef>
              <f>'تقرير نوفمبر'!$D$14:$D$32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ديسمبر'!C13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ديسمبر'!$B$14:$B$32</f>
            </numRef>
          </cat>
          <val>
            <numRef>
              <f>'تقرير ديسمبر'!$C$14:$C$32</f>
            </numRef>
          </val>
        </ser>
        <ser>
          <idx val="1"/>
          <order val="1"/>
          <tx>
            <strRef>
              <f>'تقرير ديسمبر'!D13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ديسمبر'!$B$14:$B$32</f>
            </numRef>
          </cat>
          <val>
            <numRef>
              <f>'تقرير ديسمبر'!$D$14:$D$32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يناير'!C13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يناير'!$B$14:$B$32</f>
            </numRef>
          </cat>
          <val>
            <numRef>
              <f>'تقرير يناير'!$C$14:$C$32</f>
            </numRef>
          </val>
        </ser>
        <ser>
          <idx val="1"/>
          <order val="1"/>
          <tx>
            <strRef>
              <f>'تقرير يناير'!D13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يناير'!$B$14:$B$32</f>
            </numRef>
          </cat>
          <val>
            <numRef>
              <f>'تقرير يناير'!$D$14:$D$32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فبراير'!C13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فبراير'!$B$14:$B$32</f>
            </numRef>
          </cat>
          <val>
            <numRef>
              <f>'تقرير فبراير'!$C$14:$C$32</f>
            </numRef>
          </val>
        </ser>
        <ser>
          <idx val="1"/>
          <order val="1"/>
          <tx>
            <strRef>
              <f>'تقرير فبراير'!D13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فبراير'!$B$14:$B$32</f>
            </numRef>
          </cat>
          <val>
            <numRef>
              <f>'تقرير فبراير'!$D$14:$D$32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مارس'!C13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مارس'!$B$14:$B$32</f>
            </numRef>
          </cat>
          <val>
            <numRef>
              <f>'تقرير مارس'!$C$14:$C$32</f>
            </numRef>
          </val>
        </ser>
        <ser>
          <idx val="1"/>
          <order val="1"/>
          <tx>
            <strRef>
              <f>'تقرير مارس'!D13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مارس'!$B$14:$B$32</f>
            </numRef>
          </cat>
          <val>
            <numRef>
              <f>'تقرير مارس'!$D$14:$D$32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أبريل'!C13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أبريل'!$B$14:$B$32</f>
            </numRef>
          </cat>
          <val>
            <numRef>
              <f>'تقرير أبريل'!$C$14:$C$32</f>
            </numRef>
          </val>
        </ser>
        <ser>
          <idx val="1"/>
          <order val="1"/>
          <tx>
            <strRef>
              <f>'تقرير أبريل'!D13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أبريل'!$B$14:$B$32</f>
            </numRef>
          </cat>
          <val>
            <numRef>
              <f>'تقرير أبريل'!$D$14:$D$32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'تقرير مايو'!C13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'تقرير مايو'!$B$14:$B$32</f>
            </numRef>
          </cat>
          <val>
            <numRef>
              <f>'تقرير مايو'!$C$14:$C$32</f>
            </numRef>
          </val>
        </ser>
        <ser>
          <idx val="1"/>
          <order val="1"/>
          <tx>
            <strRef>
              <f>'تقرير مايو'!D13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'تقرير مايو'!$B$14:$B$32</f>
            </numRef>
          </cat>
          <val>
            <numRef>
              <f>'تقرير مايو'!$D$14:$D$32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التكريمات حسب المجال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'التقارير'!C13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'التقارير'!$B$14:$B$32</f>
            </numRef>
          </cat>
          <val>
            <numRef>
              <f>'التقارير'!$C$14:$C$32</f>
            </numRef>
          </val>
        </ser>
        <ser>
          <idx val="1"/>
          <order val="1"/>
          <tx>
            <strRef>
              <f>'التقارير'!D13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'التقارير'!$B$14:$B$32</f>
            </numRef>
          </cat>
          <val>
            <numRef>
              <f>'التقارير'!$D$14:$D$32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عدد التكريمات شهريًا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'لوحة السنة'!$C$6:$N$6</f>
            </numRef>
          </cat>
          <val>
            <numRef>
              <f>'لوحة السنة'!$C$26:$N$26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2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3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4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5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6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7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8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9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10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11.xml><?xml version="1.0" encoding="utf-8"?>
<comments xmlns="http://schemas.openxmlformats.org/spreadsheetml/2006/main">
  <authors>
    <author>النظام</author>
  </authors>
  <commentList>
    <comment ref="C4" authorId="0" shapeId="0">
      <text>
        <t>مرتبطة بالسنة الدراسية الحالية في الإعدادات. يمكن اختيار سنة أخرى لعرض أرشيفها.</t>
      </text>
    </comment>
  </commentList>
</comments>
</file>

<file path=xl/comments/comment12.xml><?xml version="1.0" encoding="utf-8"?>
<comments xmlns="http://schemas.openxmlformats.org/spreadsheetml/2006/main">
  <authors>
    <author>النظام</author>
  </authors>
  <commentList>
    <comment ref="B4" authorId="0" shapeId="0">
      <text>
        <t>تُستخدم في التقارير الجاهزة وفي حساب المعايير الذهبية. غيّريها عند بداية كل سنة.</t>
      </text>
    </comment>
    <comment ref="I6" authorId="0" shapeId="0">
      <text>
        <t>الفصل الأول: سبتمبر–ديسمبر، الفصل الثاني: يناير–مايو. يونيو ويوليو وأغسطس خارج الفصلين (تظهر في التقرير السنوي فقط).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35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35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28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10" customWidth="1" min="3" max="3"/>
  </cols>
  <sheetData>
    <row r="1" ht="34" customHeight="1">
      <c r="A1" s="1" t="inlineStr">
        <is>
          <t>نظام تسجيل التحفيز — رائدات المستقبل 2026-2027</t>
        </is>
      </c>
    </row>
    <row r="2" ht="30" customHeight="1">
      <c r="A2" s="2" t="inlineStr">
        <is>
          <t>مدرسة هند بنت عتبة الإعدادية للبنات · مديرة المدرسة: حصة الشمري · النائبة الأكاديمية: إيناس العوضي · النائبة الإدارية: مريم المري</t>
        </is>
      </c>
    </row>
    <row r="4" ht="36" customHeight="1">
      <c r="A4" s="3" t="inlineStr">
        <is>
          <t>#</t>
        </is>
      </c>
      <c r="B4" s="3" t="inlineStr">
        <is>
          <t>الصفحة</t>
        </is>
      </c>
      <c r="C4" s="3" t="inlineStr">
        <is>
          <t>طريقة الاستخدام</t>
        </is>
      </c>
    </row>
    <row r="5" ht="50" customHeight="1">
      <c r="A5" s="4" t="inlineStr">
        <is>
          <t>1</t>
        </is>
      </c>
      <c r="B5" s="5" t="inlineStr">
        <is>
          <t>الموظفات</t>
        </is>
      </c>
      <c r="C5" s="6" t="inlineStr">
        <is>
          <t>قائمة الموظفات (149) منقولة من كشف المدرسة. أضيفي الرقم الوظيفي في العمود A — يظهر في السجل والتقارير تلقائيًا ولا يظهر في واجهة التطبيق.</t>
        </is>
      </c>
    </row>
    <row r="6" ht="50" customHeight="1">
      <c r="A6" s="4" t="inlineStr">
        <is>
          <t>2</t>
        </is>
      </c>
      <c r="B6" s="5" t="inlineStr">
        <is>
          <t>سجل التحفيز</t>
        </is>
      </c>
      <c r="C6" s="6" t="inlineStr">
        <is>
          <t>الأعمدة A إلى J للإدخال (أو اللصق من التطبيق)، والأعمدة الرمادية من K تُحسب تلقائيًا: الرقم الوظيفي، المسمى، القسم، المكافأة وفق السياسة، الشهر، الفصل، السنة.</t>
        </is>
      </c>
    </row>
    <row r="7" ht="50" customHeight="1">
      <c r="A7" s="4" t="inlineStr">
        <is>
          <t>3</t>
        </is>
      </c>
      <c r="B7" s="5" t="inlineStr">
        <is>
          <t>اللصق من التطبيق</t>
        </is>
      </c>
      <c r="C7" s="6" t="inlineStr">
        <is>
          <t>من التطبيق: «تصدير إلى إكسل» ← افتحي الملف ← انسخي الصفوف من الصف 2 ← الصقي في الخلية A5 من «سجل التحفيز» (لصق القيم). التصدير يشمل كل السجلات، فالصقي فوق القديم في كل مرة.</t>
        </is>
      </c>
    </row>
    <row r="8" ht="50" customHeight="1">
      <c r="A8" s="4" t="inlineStr">
        <is>
          <t>4</t>
        </is>
      </c>
      <c r="B8" s="5" t="inlineStr">
        <is>
          <t>التقارير الجاهزة</t>
        </is>
      </c>
      <c r="C8" s="6" t="inlineStr">
        <is>
          <t>صفحة لكل شهر من سبتمبر إلى مايو، وصفحة للفصل الأول (سبتمبر–ديسمبر) وللفصل الثاني (يناير–مايو) مع توزيع شهري. كلها للسنة الدراسية الحالية في «الإعدادات».</t>
        </is>
      </c>
    </row>
    <row r="9" ht="50" customHeight="1">
      <c r="A9" s="4" t="inlineStr">
        <is>
          <t>5</t>
        </is>
      </c>
      <c r="B9" s="5" t="inlineStr">
        <is>
          <t>التقارير (مخصص)</t>
        </is>
      </c>
      <c r="C9" s="6" t="inlineStr">
        <is>
          <t>اختاري السنة ونوع التقرير (شهري / فصلي / سنوي) والشهر أو الفصل لأي فترة أخرى.</t>
        </is>
      </c>
    </row>
    <row r="10" ht="50" customHeight="1">
      <c r="A10" s="4" t="inlineStr">
        <is>
          <t>6</t>
        </is>
      </c>
      <c r="B10" s="5" t="inlineStr">
        <is>
          <t>لوحة السنة</t>
        </is>
      </c>
      <c r="C10" s="6" t="inlineStr">
        <is>
          <t>مصفوفة المجالات × الأشهر للسنة المختارة في صفحة «التقارير» مع رسم بياني شهري.</t>
        </is>
      </c>
    </row>
    <row r="11" ht="50" customHeight="1">
      <c r="A11" s="4" t="inlineStr">
        <is>
          <t>★</t>
        </is>
      </c>
      <c r="B11" s="5" t="inlineStr">
        <is>
          <t>أمري تدللي</t>
        </is>
      </c>
      <c r="C11" s="6" t="inlineStr">
        <is>
          <t>من تجمع 5 معايير ذهبية في السنة الدراسية تُعلَّم «مستحقة ★» في صفحة الموظفات، ما لم تكن حالتها «محرومة» (مخالفة التعاميم).</t>
        </is>
      </c>
    </row>
    <row r="14">
      <c r="B14" s="7" t="inlineStr">
        <is>
          <t>دليل الألوان</t>
        </is>
      </c>
    </row>
    <row r="15">
      <c r="B15" s="8" t="n"/>
      <c r="C15" s="9" t="inlineStr">
        <is>
          <t>خلية إدخال — تكتبين أو تختارين منها</t>
        </is>
      </c>
    </row>
    <row r="16">
      <c r="B16" s="10" t="n"/>
      <c r="C16" s="9" t="inlineStr">
        <is>
          <t>خلية تلقائية — لا تُعدَّل (معادلة)</t>
        </is>
      </c>
    </row>
    <row r="17">
      <c r="B17" s="11" t="n"/>
      <c r="C17" s="9" t="inlineStr">
        <is>
          <t>موظفة مستحقة لكوبون أمري تدللي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1538"/>
    <outlinePr summaryBelow="1" summaryRight="1"/>
    <pageSetUpPr/>
  </sheetPr>
  <dimension ref="A1:AE20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10" customWidth="1" min="4" max="4"/>
    <col width="44" customWidth="1" min="5" max="5"/>
    <col width="32" customWidth="1" min="6" max="6"/>
    <col width="12" customWidth="1" min="7" max="7"/>
    <col width="34" customWidth="1" min="8" max="8"/>
    <col width="28" customWidth="1" min="9" max="9"/>
    <col width="24" customWidth="1" min="10" max="10"/>
    <col width="12" customWidth="1" min="11" max="11"/>
    <col width="24" customWidth="1" min="12" max="12"/>
    <col width="16" customWidth="1" min="13" max="13"/>
    <col width="10" customWidth="1" min="14" max="14"/>
    <col width="32" customWidth="1" min="15" max="15"/>
    <col width="10" customWidth="1" min="16" max="16"/>
    <col width="13" customWidth="1" min="17" max="17"/>
    <col width="12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4" customHeight="1">
      <c r="A1" s="1" t="inlineStr">
        <is>
          <t>سجل التحفيز — قاعدة البيانات</t>
        </is>
      </c>
    </row>
    <row r="2" ht="30" customHeight="1">
      <c r="A2" s="2" t="inlineStr">
        <is>
          <t>الأعمدة الصفراء A–J للإدخال أو للصق من التطبيق (لصق القيم بدءًا من A5). الأعمدة الرمادية تلقائية من صفحة الموظفات والإعدادات.</t>
        </is>
      </c>
    </row>
    <row r="4" ht="36" customHeight="1">
      <c r="A4" s="12" t="inlineStr">
        <is>
          <t>التاريخ</t>
        </is>
      </c>
      <c r="B4" s="12" t="inlineStr">
        <is>
          <t>اسم الموظفة</t>
        </is>
      </c>
      <c r="C4" s="12" t="inlineStr">
        <is>
          <t>المجال</t>
        </is>
      </c>
      <c r="D4" s="12" t="inlineStr">
        <is>
          <t>مستوى المعيار</t>
        </is>
      </c>
      <c r="E4" s="12" t="inlineStr">
        <is>
          <t>المعيار المحقق</t>
        </is>
      </c>
      <c r="F4" s="12" t="inlineStr">
        <is>
          <t>المكافأة الممنوحة</t>
        </is>
      </c>
      <c r="G4" s="12" t="inlineStr">
        <is>
          <t>القيمة المادية (ر.ق)</t>
        </is>
      </c>
      <c r="H4" s="12" t="inlineStr">
        <is>
          <t>المُرشِّحة / الجهة</t>
        </is>
      </c>
      <c r="I4" s="12" t="inlineStr">
        <is>
          <t>أدلة التوثيق</t>
        </is>
      </c>
      <c r="J4" s="12" t="inlineStr">
        <is>
          <t>ملاحظات</t>
        </is>
      </c>
      <c r="K4" s="13" t="inlineStr">
        <is>
          <t>الرقم الوظيفي</t>
        </is>
      </c>
      <c r="L4" s="13" t="inlineStr">
        <is>
          <t>المسمى الوظيفي</t>
        </is>
      </c>
      <c r="M4" s="13" t="inlineStr">
        <is>
          <t>القسم</t>
        </is>
      </c>
      <c r="N4" s="13" t="inlineStr">
        <is>
          <t>الفئة</t>
        </is>
      </c>
      <c r="O4" s="13" t="inlineStr">
        <is>
          <t>المكافأة وفق السياسة</t>
        </is>
      </c>
      <c r="P4" s="13" t="inlineStr">
        <is>
          <t>الشهر</t>
        </is>
      </c>
      <c r="Q4" s="13" t="inlineStr">
        <is>
          <t>الفصل الدراسي</t>
        </is>
      </c>
      <c r="R4" s="13" t="inlineStr">
        <is>
          <t>السنة الدراسية</t>
        </is>
      </c>
      <c r="S4" s="14" t="inlineStr">
        <is>
          <t>ضمن التقرير</t>
        </is>
      </c>
      <c r="T4" s="14" t="inlineStr">
        <is>
          <t>تسلسل التقرير</t>
        </is>
      </c>
      <c r="U4" s="15" t="inlineStr">
        <is>
          <t>تسلسل: تقرير الفصل الأول</t>
        </is>
      </c>
      <c r="V4" s="15" t="inlineStr">
        <is>
          <t>تسلسل: تقرير الفصل الثاني</t>
        </is>
      </c>
      <c r="W4" s="15" t="inlineStr">
        <is>
          <t>تسلسل: تقرير سبتمبر</t>
        </is>
      </c>
      <c r="X4" s="15" t="inlineStr">
        <is>
          <t>تسلسل: تقرير أكتوبر</t>
        </is>
      </c>
      <c r="Y4" s="15" t="inlineStr">
        <is>
          <t>تسلسل: تقرير نوفمبر</t>
        </is>
      </c>
      <c r="Z4" s="15" t="inlineStr">
        <is>
          <t>تسلسل: تقرير ديسمبر</t>
        </is>
      </c>
      <c r="AA4" s="15" t="inlineStr">
        <is>
          <t>تسلسل: تقرير يناير</t>
        </is>
      </c>
      <c r="AB4" s="15" t="inlineStr">
        <is>
          <t>تسلسل: تقرير فبراير</t>
        </is>
      </c>
      <c r="AC4" s="15" t="inlineStr">
        <is>
          <t>تسلسل: تقرير مارس</t>
        </is>
      </c>
      <c r="AD4" s="15" t="inlineStr">
        <is>
          <t>تسلسل: تقرير أبريل</t>
        </is>
      </c>
      <c r="AE4" s="15" t="inlineStr">
        <is>
          <t>تسلسل: تقرير مايو</t>
        </is>
      </c>
    </row>
    <row r="5">
      <c r="A5" s="16" t="n"/>
      <c r="B5" s="17" t="n"/>
      <c r="C5" s="17" t="n"/>
      <c r="D5" s="18" t="n"/>
      <c r="E5" s="17" t="n"/>
      <c r="F5" s="17" t="n"/>
      <c r="G5" s="19" t="n"/>
      <c r="H5" s="17" t="n"/>
      <c r="I5" s="17" t="n"/>
      <c r="J5" s="17" t="n"/>
      <c r="K5" s="20">
        <f>IF($B5="","",IFERROR(INDEX(الموظفات!$A$5:$A$304,MATCH($B5,الموظفات!$B$5:$B$304,0))&amp;"",""))</f>
        <v/>
      </c>
      <c r="L5" s="21">
        <f>IF($B5="","",IFERROR(INDEX(الموظفات!$C$5:$C$304,MATCH($B5,الموظفات!$B$5:$B$304,0))&amp;"",""))</f>
        <v/>
      </c>
      <c r="M5" s="20">
        <f>IF($B5="","",IFERROR(INDEX(الموظفات!$D$5:$D$304,MATCH($B5,الموظفات!$B$5:$B$304,0))&amp;"",""))</f>
        <v/>
      </c>
      <c r="N5" s="20">
        <f>IF($B5="","",IFERROR(INDEX(الموظفات!$E$5:$E$304,MATCH($B5,الموظفات!$B$5:$B$304,0))&amp;"",""))</f>
        <v/>
      </c>
      <c r="O5" s="21">
        <f>IF(C5="","",IFERROR(INDEX(الإعدادات!$D$7:$D$35,MATCH(C5,الإعدادات!$A$7:$A$35,0))&amp;"",""))</f>
        <v/>
      </c>
      <c r="P5" s="20">
        <f>IF(A5="","",INDEX(الإعدادات!$H$7:$H$18,MONTH(A5)))</f>
        <v/>
      </c>
      <c r="Q5" s="20">
        <f>IF(A5="","",INDEX(الإعدادات!$I$7:$I$18,MONTH(A5)))</f>
        <v/>
      </c>
      <c r="R5" s="20">
        <f>IF(A5="","",IF(MONTH(A5)&gt;=8,YEAR(A5)&amp;"-"&amp;(YEAR(A5)+1),(YEAR(A5)-1)&amp;"-"&amp;YEAR(A5)))</f>
        <v/>
      </c>
      <c r="S5" s="20">
        <f>IF(OR(A5="",B5=""),0,IF(AND(R5=التقارير!$C$4,OR(التقارير!$C$5="سنوي",AND(التقارير!$C$5="شهري",P5=التقارير!$C$6),AND(التقارير!$C$5="فصلي",Q5=التقارير!$C$7))),1,0))</f>
        <v/>
      </c>
      <c r="T5" s="20">
        <f>IF(S5=1,COUNTIF($S$5:S5,1),"")</f>
        <v/>
      </c>
      <c r="U5">
        <f>IF(AND($A5&lt;&gt;"",$B5&lt;&gt;"",$R5='تقرير الفصل الأول'!$C$4,$Q5='تقرير الفصل الأول'!$C$7),COUNT(U$4:U4)+1,"")</f>
        <v/>
      </c>
      <c r="V5">
        <f>IF(AND($A5&lt;&gt;"",$B5&lt;&gt;"",$R5='تقرير الفصل الثاني'!$C$4,$Q5='تقرير الفصل الثاني'!$C$7),COUNT(V$4:V4)+1,"")</f>
        <v/>
      </c>
      <c r="W5">
        <f>IF(AND($A5&lt;&gt;"",$B5&lt;&gt;"",$R5='تقرير سبتمبر'!$C$4,$P5='تقرير سبتمبر'!$C$6),COUNT(W$4:W4)+1,"")</f>
        <v/>
      </c>
      <c r="X5">
        <f>IF(AND($A5&lt;&gt;"",$B5&lt;&gt;"",$R5='تقرير أكتوبر'!$C$4,$P5='تقرير أكتوبر'!$C$6),COUNT(X$4:X4)+1,"")</f>
        <v/>
      </c>
      <c r="Y5">
        <f>IF(AND($A5&lt;&gt;"",$B5&lt;&gt;"",$R5='تقرير نوفمبر'!$C$4,$P5='تقرير نوفمبر'!$C$6),COUNT(Y$4:Y4)+1,"")</f>
        <v/>
      </c>
      <c r="Z5">
        <f>IF(AND($A5&lt;&gt;"",$B5&lt;&gt;"",$R5='تقرير ديسمبر'!$C$4,$P5='تقرير ديسمبر'!$C$6),COUNT(Z$4:Z4)+1,"")</f>
        <v/>
      </c>
      <c r="AA5">
        <f>IF(AND($A5&lt;&gt;"",$B5&lt;&gt;"",$R5='تقرير يناير'!$C$4,$P5='تقرير يناير'!$C$6),COUNT(AA$4:AA4)+1,"")</f>
        <v/>
      </c>
      <c r="AB5">
        <f>IF(AND($A5&lt;&gt;"",$B5&lt;&gt;"",$R5='تقرير فبراير'!$C$4,$P5='تقرير فبراير'!$C$6),COUNT(AB$4:AB4)+1,"")</f>
        <v/>
      </c>
      <c r="AC5">
        <f>IF(AND($A5&lt;&gt;"",$B5&lt;&gt;"",$R5='تقرير مارس'!$C$4,$P5='تقرير مارس'!$C$6),COUNT(AC$4:AC4)+1,"")</f>
        <v/>
      </c>
      <c r="AD5">
        <f>IF(AND($A5&lt;&gt;"",$B5&lt;&gt;"",$R5='تقرير أبريل'!$C$4,$P5='تقرير أبريل'!$C$6),COUNT(AD$4:AD4)+1,"")</f>
        <v/>
      </c>
      <c r="AE5">
        <f>IF(AND($A5&lt;&gt;"",$B5&lt;&gt;"",$R5='تقرير مايو'!$C$4,$P5='تقرير مايو'!$C$6),COUNT(AE$4:AE4)+1,"")</f>
        <v/>
      </c>
    </row>
    <row r="6">
      <c r="A6" s="16" t="n"/>
      <c r="B6" s="17" t="n"/>
      <c r="C6" s="17" t="n"/>
      <c r="D6" s="18" t="n"/>
      <c r="E6" s="17" t="n"/>
      <c r="F6" s="17" t="n"/>
      <c r="G6" s="19" t="n"/>
      <c r="H6" s="17" t="n"/>
      <c r="I6" s="17" t="n"/>
      <c r="J6" s="17" t="n"/>
      <c r="K6" s="20">
        <f>IF($B6="","",IFERROR(INDEX(الموظفات!$A$5:$A$304,MATCH($B6,الموظفات!$B$5:$B$304,0))&amp;"",""))</f>
        <v/>
      </c>
      <c r="L6" s="21">
        <f>IF($B6="","",IFERROR(INDEX(الموظفات!$C$5:$C$304,MATCH($B6,الموظفات!$B$5:$B$304,0))&amp;"",""))</f>
        <v/>
      </c>
      <c r="M6" s="20">
        <f>IF($B6="","",IFERROR(INDEX(الموظفات!$D$5:$D$304,MATCH($B6,الموظفات!$B$5:$B$304,0))&amp;"",""))</f>
        <v/>
      </c>
      <c r="N6" s="20">
        <f>IF($B6="","",IFERROR(INDEX(الموظفات!$E$5:$E$304,MATCH($B6,الموظفات!$B$5:$B$304,0))&amp;"",""))</f>
        <v/>
      </c>
      <c r="O6" s="21">
        <f>IF(C6="","",IFERROR(INDEX(الإعدادات!$D$7:$D$35,MATCH(C6,الإعدادات!$A$7:$A$35,0))&amp;"",""))</f>
        <v/>
      </c>
      <c r="P6" s="20">
        <f>IF(A6="","",INDEX(الإعدادات!$H$7:$H$18,MONTH(A6)))</f>
        <v/>
      </c>
      <c r="Q6" s="20">
        <f>IF(A6="","",INDEX(الإعدادات!$I$7:$I$18,MONTH(A6)))</f>
        <v/>
      </c>
      <c r="R6" s="20">
        <f>IF(A6="","",IF(MONTH(A6)&gt;=8,YEAR(A6)&amp;"-"&amp;(YEAR(A6)+1),(YEAR(A6)-1)&amp;"-"&amp;YEAR(A6)))</f>
        <v/>
      </c>
      <c r="S6" s="20">
        <f>IF(OR(A6="",B6=""),0,IF(AND(R6=التقارير!$C$4,OR(التقارير!$C$5="سنوي",AND(التقارير!$C$5="شهري",P6=التقارير!$C$6),AND(التقارير!$C$5="فصلي",Q6=التقارير!$C$7))),1,0))</f>
        <v/>
      </c>
      <c r="T6" s="20">
        <f>IF(S6=1,COUNTIF($S$5:S6,1),"")</f>
        <v/>
      </c>
      <c r="U6">
        <f>IF(AND($A6&lt;&gt;"",$B6&lt;&gt;"",$R6='تقرير الفصل الأول'!$C$4,$Q6='تقرير الفصل الأول'!$C$7),COUNT(U$4:U5)+1,"")</f>
        <v/>
      </c>
      <c r="V6">
        <f>IF(AND($A6&lt;&gt;"",$B6&lt;&gt;"",$R6='تقرير الفصل الثاني'!$C$4,$Q6='تقرير الفصل الثاني'!$C$7),COUNT(V$4:V5)+1,"")</f>
        <v/>
      </c>
      <c r="W6">
        <f>IF(AND($A6&lt;&gt;"",$B6&lt;&gt;"",$R6='تقرير سبتمبر'!$C$4,$P6='تقرير سبتمبر'!$C$6),COUNT(W$4:W5)+1,"")</f>
        <v/>
      </c>
      <c r="X6">
        <f>IF(AND($A6&lt;&gt;"",$B6&lt;&gt;"",$R6='تقرير أكتوبر'!$C$4,$P6='تقرير أكتوبر'!$C$6),COUNT(X$4:X5)+1,"")</f>
        <v/>
      </c>
      <c r="Y6">
        <f>IF(AND($A6&lt;&gt;"",$B6&lt;&gt;"",$R6='تقرير نوفمبر'!$C$4,$P6='تقرير نوفمبر'!$C$6),COUNT(Y$4:Y5)+1,"")</f>
        <v/>
      </c>
      <c r="Z6">
        <f>IF(AND($A6&lt;&gt;"",$B6&lt;&gt;"",$R6='تقرير ديسمبر'!$C$4,$P6='تقرير ديسمبر'!$C$6),COUNT(Z$4:Z5)+1,"")</f>
        <v/>
      </c>
      <c r="AA6">
        <f>IF(AND($A6&lt;&gt;"",$B6&lt;&gt;"",$R6='تقرير يناير'!$C$4,$P6='تقرير يناير'!$C$6),COUNT(AA$4:AA5)+1,"")</f>
        <v/>
      </c>
      <c r="AB6">
        <f>IF(AND($A6&lt;&gt;"",$B6&lt;&gt;"",$R6='تقرير فبراير'!$C$4,$P6='تقرير فبراير'!$C$6),COUNT(AB$4:AB5)+1,"")</f>
        <v/>
      </c>
      <c r="AC6">
        <f>IF(AND($A6&lt;&gt;"",$B6&lt;&gt;"",$R6='تقرير مارس'!$C$4,$P6='تقرير مارس'!$C$6),COUNT(AC$4:AC5)+1,"")</f>
        <v/>
      </c>
      <c r="AD6">
        <f>IF(AND($A6&lt;&gt;"",$B6&lt;&gt;"",$R6='تقرير أبريل'!$C$4,$P6='تقرير أبريل'!$C$6),COUNT(AD$4:AD5)+1,"")</f>
        <v/>
      </c>
      <c r="AE6">
        <f>IF(AND($A6&lt;&gt;"",$B6&lt;&gt;"",$R6='تقرير مايو'!$C$4,$P6='تقرير مايو'!$C$6),COUNT(AE$4:AE5)+1,"")</f>
        <v/>
      </c>
    </row>
    <row r="7">
      <c r="A7" s="16" t="n"/>
      <c r="B7" s="17" t="n"/>
      <c r="C7" s="17" t="n"/>
      <c r="D7" s="18" t="n"/>
      <c r="E7" s="17" t="n"/>
      <c r="F7" s="17" t="n"/>
      <c r="G7" s="19" t="n"/>
      <c r="H7" s="17" t="n"/>
      <c r="I7" s="17" t="n"/>
      <c r="J7" s="17" t="n"/>
      <c r="K7" s="20">
        <f>IF($B7="","",IFERROR(INDEX(الموظفات!$A$5:$A$304,MATCH($B7,الموظفات!$B$5:$B$304,0))&amp;"",""))</f>
        <v/>
      </c>
      <c r="L7" s="21">
        <f>IF($B7="","",IFERROR(INDEX(الموظفات!$C$5:$C$304,MATCH($B7,الموظفات!$B$5:$B$304,0))&amp;"",""))</f>
        <v/>
      </c>
      <c r="M7" s="20">
        <f>IF($B7="","",IFERROR(INDEX(الموظفات!$D$5:$D$304,MATCH($B7,الموظفات!$B$5:$B$304,0))&amp;"",""))</f>
        <v/>
      </c>
      <c r="N7" s="20">
        <f>IF($B7="","",IFERROR(INDEX(الموظفات!$E$5:$E$304,MATCH($B7,الموظفات!$B$5:$B$304,0))&amp;"",""))</f>
        <v/>
      </c>
      <c r="O7" s="21">
        <f>IF(C7="","",IFERROR(INDEX(الإعدادات!$D$7:$D$35,MATCH(C7,الإعدادات!$A$7:$A$35,0))&amp;"",""))</f>
        <v/>
      </c>
      <c r="P7" s="20">
        <f>IF(A7="","",INDEX(الإعدادات!$H$7:$H$18,MONTH(A7)))</f>
        <v/>
      </c>
      <c r="Q7" s="20">
        <f>IF(A7="","",INDEX(الإعدادات!$I$7:$I$18,MONTH(A7)))</f>
        <v/>
      </c>
      <c r="R7" s="20">
        <f>IF(A7="","",IF(MONTH(A7)&gt;=8,YEAR(A7)&amp;"-"&amp;(YEAR(A7)+1),(YEAR(A7)-1)&amp;"-"&amp;YEAR(A7)))</f>
        <v/>
      </c>
      <c r="S7" s="20">
        <f>IF(OR(A7="",B7=""),0,IF(AND(R7=التقارير!$C$4,OR(التقارير!$C$5="سنوي",AND(التقارير!$C$5="شهري",P7=التقارير!$C$6),AND(التقارير!$C$5="فصلي",Q7=التقارير!$C$7))),1,0))</f>
        <v/>
      </c>
      <c r="T7" s="20">
        <f>IF(S7=1,COUNTIF($S$5:S7,1),"")</f>
        <v/>
      </c>
      <c r="U7">
        <f>IF(AND($A7&lt;&gt;"",$B7&lt;&gt;"",$R7='تقرير الفصل الأول'!$C$4,$Q7='تقرير الفصل الأول'!$C$7),COUNT(U$4:U6)+1,"")</f>
        <v/>
      </c>
      <c r="V7">
        <f>IF(AND($A7&lt;&gt;"",$B7&lt;&gt;"",$R7='تقرير الفصل الثاني'!$C$4,$Q7='تقرير الفصل الثاني'!$C$7),COUNT(V$4:V6)+1,"")</f>
        <v/>
      </c>
      <c r="W7">
        <f>IF(AND($A7&lt;&gt;"",$B7&lt;&gt;"",$R7='تقرير سبتمبر'!$C$4,$P7='تقرير سبتمبر'!$C$6),COUNT(W$4:W6)+1,"")</f>
        <v/>
      </c>
      <c r="X7">
        <f>IF(AND($A7&lt;&gt;"",$B7&lt;&gt;"",$R7='تقرير أكتوبر'!$C$4,$P7='تقرير أكتوبر'!$C$6),COUNT(X$4:X6)+1,"")</f>
        <v/>
      </c>
      <c r="Y7">
        <f>IF(AND($A7&lt;&gt;"",$B7&lt;&gt;"",$R7='تقرير نوفمبر'!$C$4,$P7='تقرير نوفمبر'!$C$6),COUNT(Y$4:Y6)+1,"")</f>
        <v/>
      </c>
      <c r="Z7">
        <f>IF(AND($A7&lt;&gt;"",$B7&lt;&gt;"",$R7='تقرير ديسمبر'!$C$4,$P7='تقرير ديسمبر'!$C$6),COUNT(Z$4:Z6)+1,"")</f>
        <v/>
      </c>
      <c r="AA7">
        <f>IF(AND($A7&lt;&gt;"",$B7&lt;&gt;"",$R7='تقرير يناير'!$C$4,$P7='تقرير يناير'!$C$6),COUNT(AA$4:AA6)+1,"")</f>
        <v/>
      </c>
      <c r="AB7">
        <f>IF(AND($A7&lt;&gt;"",$B7&lt;&gt;"",$R7='تقرير فبراير'!$C$4,$P7='تقرير فبراير'!$C$6),COUNT(AB$4:AB6)+1,"")</f>
        <v/>
      </c>
      <c r="AC7">
        <f>IF(AND($A7&lt;&gt;"",$B7&lt;&gt;"",$R7='تقرير مارس'!$C$4,$P7='تقرير مارس'!$C$6),COUNT(AC$4:AC6)+1,"")</f>
        <v/>
      </c>
      <c r="AD7">
        <f>IF(AND($A7&lt;&gt;"",$B7&lt;&gt;"",$R7='تقرير أبريل'!$C$4,$P7='تقرير أبريل'!$C$6),COUNT(AD$4:AD6)+1,"")</f>
        <v/>
      </c>
      <c r="AE7">
        <f>IF(AND($A7&lt;&gt;"",$B7&lt;&gt;"",$R7='تقرير مايو'!$C$4,$P7='تقرير مايو'!$C$6),COUNT(AE$4:AE6)+1,"")</f>
        <v/>
      </c>
    </row>
    <row r="8">
      <c r="A8" s="16" t="n"/>
      <c r="B8" s="17" t="n"/>
      <c r="C8" s="17" t="n"/>
      <c r="D8" s="18" t="n"/>
      <c r="E8" s="17" t="n"/>
      <c r="F8" s="17" t="n"/>
      <c r="G8" s="19" t="n"/>
      <c r="H8" s="17" t="n"/>
      <c r="I8" s="17" t="n"/>
      <c r="J8" s="17" t="n"/>
      <c r="K8" s="20">
        <f>IF($B8="","",IFERROR(INDEX(الموظفات!$A$5:$A$304,MATCH($B8,الموظفات!$B$5:$B$304,0))&amp;"",""))</f>
        <v/>
      </c>
      <c r="L8" s="21">
        <f>IF($B8="","",IFERROR(INDEX(الموظفات!$C$5:$C$304,MATCH($B8,الموظفات!$B$5:$B$304,0))&amp;"",""))</f>
        <v/>
      </c>
      <c r="M8" s="20">
        <f>IF($B8="","",IFERROR(INDEX(الموظفات!$D$5:$D$304,MATCH($B8,الموظفات!$B$5:$B$304,0))&amp;"",""))</f>
        <v/>
      </c>
      <c r="N8" s="20">
        <f>IF($B8="","",IFERROR(INDEX(الموظفات!$E$5:$E$304,MATCH($B8,الموظفات!$B$5:$B$304,0))&amp;"",""))</f>
        <v/>
      </c>
      <c r="O8" s="21">
        <f>IF(C8="","",IFERROR(INDEX(الإعدادات!$D$7:$D$35,MATCH(C8,الإعدادات!$A$7:$A$35,0))&amp;"",""))</f>
        <v/>
      </c>
      <c r="P8" s="20">
        <f>IF(A8="","",INDEX(الإعدادات!$H$7:$H$18,MONTH(A8)))</f>
        <v/>
      </c>
      <c r="Q8" s="20">
        <f>IF(A8="","",INDEX(الإعدادات!$I$7:$I$18,MONTH(A8)))</f>
        <v/>
      </c>
      <c r="R8" s="20">
        <f>IF(A8="","",IF(MONTH(A8)&gt;=8,YEAR(A8)&amp;"-"&amp;(YEAR(A8)+1),(YEAR(A8)-1)&amp;"-"&amp;YEAR(A8)))</f>
        <v/>
      </c>
      <c r="S8" s="20">
        <f>IF(OR(A8="",B8=""),0,IF(AND(R8=التقارير!$C$4,OR(التقارير!$C$5="سنوي",AND(التقارير!$C$5="شهري",P8=التقارير!$C$6),AND(التقارير!$C$5="فصلي",Q8=التقارير!$C$7))),1,0))</f>
        <v/>
      </c>
      <c r="T8" s="20">
        <f>IF(S8=1,COUNTIF($S$5:S8,1),"")</f>
        <v/>
      </c>
      <c r="U8">
        <f>IF(AND($A8&lt;&gt;"",$B8&lt;&gt;"",$R8='تقرير الفصل الأول'!$C$4,$Q8='تقرير الفصل الأول'!$C$7),COUNT(U$4:U7)+1,"")</f>
        <v/>
      </c>
      <c r="V8">
        <f>IF(AND($A8&lt;&gt;"",$B8&lt;&gt;"",$R8='تقرير الفصل الثاني'!$C$4,$Q8='تقرير الفصل الثاني'!$C$7),COUNT(V$4:V7)+1,"")</f>
        <v/>
      </c>
      <c r="W8">
        <f>IF(AND($A8&lt;&gt;"",$B8&lt;&gt;"",$R8='تقرير سبتمبر'!$C$4,$P8='تقرير سبتمبر'!$C$6),COUNT(W$4:W7)+1,"")</f>
        <v/>
      </c>
      <c r="X8">
        <f>IF(AND($A8&lt;&gt;"",$B8&lt;&gt;"",$R8='تقرير أكتوبر'!$C$4,$P8='تقرير أكتوبر'!$C$6),COUNT(X$4:X7)+1,"")</f>
        <v/>
      </c>
      <c r="Y8">
        <f>IF(AND($A8&lt;&gt;"",$B8&lt;&gt;"",$R8='تقرير نوفمبر'!$C$4,$P8='تقرير نوفمبر'!$C$6),COUNT(Y$4:Y7)+1,"")</f>
        <v/>
      </c>
      <c r="Z8">
        <f>IF(AND($A8&lt;&gt;"",$B8&lt;&gt;"",$R8='تقرير ديسمبر'!$C$4,$P8='تقرير ديسمبر'!$C$6),COUNT(Z$4:Z7)+1,"")</f>
        <v/>
      </c>
      <c r="AA8">
        <f>IF(AND($A8&lt;&gt;"",$B8&lt;&gt;"",$R8='تقرير يناير'!$C$4,$P8='تقرير يناير'!$C$6),COUNT(AA$4:AA7)+1,"")</f>
        <v/>
      </c>
      <c r="AB8">
        <f>IF(AND($A8&lt;&gt;"",$B8&lt;&gt;"",$R8='تقرير فبراير'!$C$4,$P8='تقرير فبراير'!$C$6),COUNT(AB$4:AB7)+1,"")</f>
        <v/>
      </c>
      <c r="AC8">
        <f>IF(AND($A8&lt;&gt;"",$B8&lt;&gt;"",$R8='تقرير مارس'!$C$4,$P8='تقرير مارس'!$C$6),COUNT(AC$4:AC7)+1,"")</f>
        <v/>
      </c>
      <c r="AD8">
        <f>IF(AND($A8&lt;&gt;"",$B8&lt;&gt;"",$R8='تقرير أبريل'!$C$4,$P8='تقرير أبريل'!$C$6),COUNT(AD$4:AD7)+1,"")</f>
        <v/>
      </c>
      <c r="AE8">
        <f>IF(AND($A8&lt;&gt;"",$B8&lt;&gt;"",$R8='تقرير مايو'!$C$4,$P8='تقرير مايو'!$C$6),COUNT(AE$4:AE7)+1,"")</f>
        <v/>
      </c>
    </row>
    <row r="9">
      <c r="A9" s="16" t="n"/>
      <c r="B9" s="17" t="n"/>
      <c r="C9" s="17" t="n"/>
      <c r="D9" s="18" t="n"/>
      <c r="E9" s="17" t="n"/>
      <c r="F9" s="17" t="n"/>
      <c r="G9" s="19" t="n"/>
      <c r="H9" s="17" t="n"/>
      <c r="I9" s="17" t="n"/>
      <c r="J9" s="17" t="n"/>
      <c r="K9" s="20">
        <f>IF($B9="","",IFERROR(INDEX(الموظفات!$A$5:$A$304,MATCH($B9,الموظفات!$B$5:$B$304,0))&amp;"",""))</f>
        <v/>
      </c>
      <c r="L9" s="21">
        <f>IF($B9="","",IFERROR(INDEX(الموظفات!$C$5:$C$304,MATCH($B9,الموظفات!$B$5:$B$304,0))&amp;"",""))</f>
        <v/>
      </c>
      <c r="M9" s="20">
        <f>IF($B9="","",IFERROR(INDEX(الموظفات!$D$5:$D$304,MATCH($B9,الموظفات!$B$5:$B$304,0))&amp;"",""))</f>
        <v/>
      </c>
      <c r="N9" s="20">
        <f>IF($B9="","",IFERROR(INDEX(الموظفات!$E$5:$E$304,MATCH($B9,الموظفات!$B$5:$B$304,0))&amp;"",""))</f>
        <v/>
      </c>
      <c r="O9" s="21">
        <f>IF(C9="","",IFERROR(INDEX(الإعدادات!$D$7:$D$35,MATCH(C9,الإعدادات!$A$7:$A$35,0))&amp;"",""))</f>
        <v/>
      </c>
      <c r="P9" s="20">
        <f>IF(A9="","",INDEX(الإعدادات!$H$7:$H$18,MONTH(A9)))</f>
        <v/>
      </c>
      <c r="Q9" s="20">
        <f>IF(A9="","",INDEX(الإعدادات!$I$7:$I$18,MONTH(A9)))</f>
        <v/>
      </c>
      <c r="R9" s="20">
        <f>IF(A9="","",IF(MONTH(A9)&gt;=8,YEAR(A9)&amp;"-"&amp;(YEAR(A9)+1),(YEAR(A9)-1)&amp;"-"&amp;YEAR(A9)))</f>
        <v/>
      </c>
      <c r="S9" s="20">
        <f>IF(OR(A9="",B9=""),0,IF(AND(R9=التقارير!$C$4,OR(التقارير!$C$5="سنوي",AND(التقارير!$C$5="شهري",P9=التقارير!$C$6),AND(التقارير!$C$5="فصلي",Q9=التقارير!$C$7))),1,0))</f>
        <v/>
      </c>
      <c r="T9" s="20">
        <f>IF(S9=1,COUNTIF($S$5:S9,1),"")</f>
        <v/>
      </c>
      <c r="U9">
        <f>IF(AND($A9&lt;&gt;"",$B9&lt;&gt;"",$R9='تقرير الفصل الأول'!$C$4,$Q9='تقرير الفصل الأول'!$C$7),COUNT(U$4:U8)+1,"")</f>
        <v/>
      </c>
      <c r="V9">
        <f>IF(AND($A9&lt;&gt;"",$B9&lt;&gt;"",$R9='تقرير الفصل الثاني'!$C$4,$Q9='تقرير الفصل الثاني'!$C$7),COUNT(V$4:V8)+1,"")</f>
        <v/>
      </c>
      <c r="W9">
        <f>IF(AND($A9&lt;&gt;"",$B9&lt;&gt;"",$R9='تقرير سبتمبر'!$C$4,$P9='تقرير سبتمبر'!$C$6),COUNT(W$4:W8)+1,"")</f>
        <v/>
      </c>
      <c r="X9">
        <f>IF(AND($A9&lt;&gt;"",$B9&lt;&gt;"",$R9='تقرير أكتوبر'!$C$4,$P9='تقرير أكتوبر'!$C$6),COUNT(X$4:X8)+1,"")</f>
        <v/>
      </c>
      <c r="Y9">
        <f>IF(AND($A9&lt;&gt;"",$B9&lt;&gt;"",$R9='تقرير نوفمبر'!$C$4,$P9='تقرير نوفمبر'!$C$6),COUNT(Y$4:Y8)+1,"")</f>
        <v/>
      </c>
      <c r="Z9">
        <f>IF(AND($A9&lt;&gt;"",$B9&lt;&gt;"",$R9='تقرير ديسمبر'!$C$4,$P9='تقرير ديسمبر'!$C$6),COUNT(Z$4:Z8)+1,"")</f>
        <v/>
      </c>
      <c r="AA9">
        <f>IF(AND($A9&lt;&gt;"",$B9&lt;&gt;"",$R9='تقرير يناير'!$C$4,$P9='تقرير يناير'!$C$6),COUNT(AA$4:AA8)+1,"")</f>
        <v/>
      </c>
      <c r="AB9">
        <f>IF(AND($A9&lt;&gt;"",$B9&lt;&gt;"",$R9='تقرير فبراير'!$C$4,$P9='تقرير فبراير'!$C$6),COUNT(AB$4:AB8)+1,"")</f>
        <v/>
      </c>
      <c r="AC9">
        <f>IF(AND($A9&lt;&gt;"",$B9&lt;&gt;"",$R9='تقرير مارس'!$C$4,$P9='تقرير مارس'!$C$6),COUNT(AC$4:AC8)+1,"")</f>
        <v/>
      </c>
      <c r="AD9">
        <f>IF(AND($A9&lt;&gt;"",$B9&lt;&gt;"",$R9='تقرير أبريل'!$C$4,$P9='تقرير أبريل'!$C$6),COUNT(AD$4:AD8)+1,"")</f>
        <v/>
      </c>
      <c r="AE9">
        <f>IF(AND($A9&lt;&gt;"",$B9&lt;&gt;"",$R9='تقرير مايو'!$C$4,$P9='تقرير مايو'!$C$6),COUNT(AE$4:AE8)+1,"")</f>
        <v/>
      </c>
    </row>
    <row r="10">
      <c r="A10" s="16" t="n"/>
      <c r="B10" s="17" t="n"/>
      <c r="C10" s="17" t="n"/>
      <c r="D10" s="18" t="n"/>
      <c r="E10" s="17" t="n"/>
      <c r="F10" s="17" t="n"/>
      <c r="G10" s="19" t="n"/>
      <c r="H10" s="17" t="n"/>
      <c r="I10" s="17" t="n"/>
      <c r="J10" s="17" t="n"/>
      <c r="K10" s="20">
        <f>IF($B10="","",IFERROR(INDEX(الموظفات!$A$5:$A$304,MATCH($B10,الموظفات!$B$5:$B$304,0))&amp;"",""))</f>
        <v/>
      </c>
      <c r="L10" s="21">
        <f>IF($B10="","",IFERROR(INDEX(الموظفات!$C$5:$C$304,MATCH($B10,الموظفات!$B$5:$B$304,0))&amp;"",""))</f>
        <v/>
      </c>
      <c r="M10" s="20">
        <f>IF($B10="","",IFERROR(INDEX(الموظفات!$D$5:$D$304,MATCH($B10,الموظفات!$B$5:$B$304,0))&amp;"",""))</f>
        <v/>
      </c>
      <c r="N10" s="20">
        <f>IF($B10="","",IFERROR(INDEX(الموظفات!$E$5:$E$304,MATCH($B10,الموظفات!$B$5:$B$304,0))&amp;"",""))</f>
        <v/>
      </c>
      <c r="O10" s="21">
        <f>IF(C10="","",IFERROR(INDEX(الإعدادات!$D$7:$D$35,MATCH(C10,الإعدادات!$A$7:$A$35,0))&amp;"",""))</f>
        <v/>
      </c>
      <c r="P10" s="20">
        <f>IF(A10="","",INDEX(الإعدادات!$H$7:$H$18,MONTH(A10)))</f>
        <v/>
      </c>
      <c r="Q10" s="20">
        <f>IF(A10="","",INDEX(الإعدادات!$I$7:$I$18,MONTH(A10)))</f>
        <v/>
      </c>
      <c r="R10" s="20">
        <f>IF(A10="","",IF(MONTH(A10)&gt;=8,YEAR(A10)&amp;"-"&amp;(YEAR(A10)+1),(YEAR(A10)-1)&amp;"-"&amp;YEAR(A10)))</f>
        <v/>
      </c>
      <c r="S10" s="20">
        <f>IF(OR(A10="",B10=""),0,IF(AND(R10=التقارير!$C$4,OR(التقارير!$C$5="سنوي",AND(التقارير!$C$5="شهري",P10=التقارير!$C$6),AND(التقارير!$C$5="فصلي",Q10=التقارير!$C$7))),1,0))</f>
        <v/>
      </c>
      <c r="T10" s="20">
        <f>IF(S10=1,COUNTIF($S$5:S10,1),"")</f>
        <v/>
      </c>
      <c r="U10">
        <f>IF(AND($A10&lt;&gt;"",$B10&lt;&gt;"",$R10='تقرير الفصل الأول'!$C$4,$Q10='تقرير الفصل الأول'!$C$7),COUNT(U$4:U9)+1,"")</f>
        <v/>
      </c>
      <c r="V10">
        <f>IF(AND($A10&lt;&gt;"",$B10&lt;&gt;"",$R10='تقرير الفصل الثاني'!$C$4,$Q10='تقرير الفصل الثاني'!$C$7),COUNT(V$4:V9)+1,"")</f>
        <v/>
      </c>
      <c r="W10">
        <f>IF(AND($A10&lt;&gt;"",$B10&lt;&gt;"",$R10='تقرير سبتمبر'!$C$4,$P10='تقرير سبتمبر'!$C$6),COUNT(W$4:W9)+1,"")</f>
        <v/>
      </c>
      <c r="X10">
        <f>IF(AND($A10&lt;&gt;"",$B10&lt;&gt;"",$R10='تقرير أكتوبر'!$C$4,$P10='تقرير أكتوبر'!$C$6),COUNT(X$4:X9)+1,"")</f>
        <v/>
      </c>
      <c r="Y10">
        <f>IF(AND($A10&lt;&gt;"",$B10&lt;&gt;"",$R10='تقرير نوفمبر'!$C$4,$P10='تقرير نوفمبر'!$C$6),COUNT(Y$4:Y9)+1,"")</f>
        <v/>
      </c>
      <c r="Z10">
        <f>IF(AND($A10&lt;&gt;"",$B10&lt;&gt;"",$R10='تقرير ديسمبر'!$C$4,$P10='تقرير ديسمبر'!$C$6),COUNT(Z$4:Z9)+1,"")</f>
        <v/>
      </c>
      <c r="AA10">
        <f>IF(AND($A10&lt;&gt;"",$B10&lt;&gt;"",$R10='تقرير يناير'!$C$4,$P10='تقرير يناير'!$C$6),COUNT(AA$4:AA9)+1,"")</f>
        <v/>
      </c>
      <c r="AB10">
        <f>IF(AND($A10&lt;&gt;"",$B10&lt;&gt;"",$R10='تقرير فبراير'!$C$4,$P10='تقرير فبراير'!$C$6),COUNT(AB$4:AB9)+1,"")</f>
        <v/>
      </c>
      <c r="AC10">
        <f>IF(AND($A10&lt;&gt;"",$B10&lt;&gt;"",$R10='تقرير مارس'!$C$4,$P10='تقرير مارس'!$C$6),COUNT(AC$4:AC9)+1,"")</f>
        <v/>
      </c>
      <c r="AD10">
        <f>IF(AND($A10&lt;&gt;"",$B10&lt;&gt;"",$R10='تقرير أبريل'!$C$4,$P10='تقرير أبريل'!$C$6),COUNT(AD$4:AD9)+1,"")</f>
        <v/>
      </c>
      <c r="AE10">
        <f>IF(AND($A10&lt;&gt;"",$B10&lt;&gt;"",$R10='تقرير مايو'!$C$4,$P10='تقرير مايو'!$C$6),COUNT(AE$4:AE9)+1,"")</f>
        <v/>
      </c>
    </row>
    <row r="11">
      <c r="A11" s="16" t="n"/>
      <c r="B11" s="17" t="n"/>
      <c r="C11" s="17" t="n"/>
      <c r="D11" s="18" t="n"/>
      <c r="E11" s="17" t="n"/>
      <c r="F11" s="17" t="n"/>
      <c r="G11" s="19" t="n"/>
      <c r="H11" s="17" t="n"/>
      <c r="I11" s="17" t="n"/>
      <c r="J11" s="17" t="n"/>
      <c r="K11" s="20">
        <f>IF($B11="","",IFERROR(INDEX(الموظفات!$A$5:$A$304,MATCH($B11,الموظفات!$B$5:$B$304,0))&amp;"",""))</f>
        <v/>
      </c>
      <c r="L11" s="21">
        <f>IF($B11="","",IFERROR(INDEX(الموظفات!$C$5:$C$304,MATCH($B11,الموظفات!$B$5:$B$304,0))&amp;"",""))</f>
        <v/>
      </c>
      <c r="M11" s="20">
        <f>IF($B11="","",IFERROR(INDEX(الموظفات!$D$5:$D$304,MATCH($B11,الموظفات!$B$5:$B$304,0))&amp;"",""))</f>
        <v/>
      </c>
      <c r="N11" s="20">
        <f>IF($B11="","",IFERROR(INDEX(الموظفات!$E$5:$E$304,MATCH($B11,الموظفات!$B$5:$B$304,0))&amp;"",""))</f>
        <v/>
      </c>
      <c r="O11" s="21">
        <f>IF(C11="","",IFERROR(INDEX(الإعدادات!$D$7:$D$35,MATCH(C11,الإعدادات!$A$7:$A$35,0))&amp;"",""))</f>
        <v/>
      </c>
      <c r="P11" s="20">
        <f>IF(A11="","",INDEX(الإعدادات!$H$7:$H$18,MONTH(A11)))</f>
        <v/>
      </c>
      <c r="Q11" s="20">
        <f>IF(A11="","",INDEX(الإعدادات!$I$7:$I$18,MONTH(A11)))</f>
        <v/>
      </c>
      <c r="R11" s="20">
        <f>IF(A11="","",IF(MONTH(A11)&gt;=8,YEAR(A11)&amp;"-"&amp;(YEAR(A11)+1),(YEAR(A11)-1)&amp;"-"&amp;YEAR(A11)))</f>
        <v/>
      </c>
      <c r="S11" s="20">
        <f>IF(OR(A11="",B11=""),0,IF(AND(R11=التقارير!$C$4,OR(التقارير!$C$5="سنوي",AND(التقارير!$C$5="شهري",P11=التقارير!$C$6),AND(التقارير!$C$5="فصلي",Q11=التقارير!$C$7))),1,0))</f>
        <v/>
      </c>
      <c r="T11" s="20">
        <f>IF(S11=1,COUNTIF($S$5:S11,1),"")</f>
        <v/>
      </c>
      <c r="U11">
        <f>IF(AND($A11&lt;&gt;"",$B11&lt;&gt;"",$R11='تقرير الفصل الأول'!$C$4,$Q11='تقرير الفصل الأول'!$C$7),COUNT(U$4:U10)+1,"")</f>
        <v/>
      </c>
      <c r="V11">
        <f>IF(AND($A11&lt;&gt;"",$B11&lt;&gt;"",$R11='تقرير الفصل الثاني'!$C$4,$Q11='تقرير الفصل الثاني'!$C$7),COUNT(V$4:V10)+1,"")</f>
        <v/>
      </c>
      <c r="W11">
        <f>IF(AND($A11&lt;&gt;"",$B11&lt;&gt;"",$R11='تقرير سبتمبر'!$C$4,$P11='تقرير سبتمبر'!$C$6),COUNT(W$4:W10)+1,"")</f>
        <v/>
      </c>
      <c r="X11">
        <f>IF(AND($A11&lt;&gt;"",$B11&lt;&gt;"",$R11='تقرير أكتوبر'!$C$4,$P11='تقرير أكتوبر'!$C$6),COUNT(X$4:X10)+1,"")</f>
        <v/>
      </c>
      <c r="Y11">
        <f>IF(AND($A11&lt;&gt;"",$B11&lt;&gt;"",$R11='تقرير نوفمبر'!$C$4,$P11='تقرير نوفمبر'!$C$6),COUNT(Y$4:Y10)+1,"")</f>
        <v/>
      </c>
      <c r="Z11">
        <f>IF(AND($A11&lt;&gt;"",$B11&lt;&gt;"",$R11='تقرير ديسمبر'!$C$4,$P11='تقرير ديسمبر'!$C$6),COUNT(Z$4:Z10)+1,"")</f>
        <v/>
      </c>
      <c r="AA11">
        <f>IF(AND($A11&lt;&gt;"",$B11&lt;&gt;"",$R11='تقرير يناير'!$C$4,$P11='تقرير يناير'!$C$6),COUNT(AA$4:AA10)+1,"")</f>
        <v/>
      </c>
      <c r="AB11">
        <f>IF(AND($A11&lt;&gt;"",$B11&lt;&gt;"",$R11='تقرير فبراير'!$C$4,$P11='تقرير فبراير'!$C$6),COUNT(AB$4:AB10)+1,"")</f>
        <v/>
      </c>
      <c r="AC11">
        <f>IF(AND($A11&lt;&gt;"",$B11&lt;&gt;"",$R11='تقرير مارس'!$C$4,$P11='تقرير مارس'!$C$6),COUNT(AC$4:AC10)+1,"")</f>
        <v/>
      </c>
      <c r="AD11">
        <f>IF(AND($A11&lt;&gt;"",$B11&lt;&gt;"",$R11='تقرير أبريل'!$C$4,$P11='تقرير أبريل'!$C$6),COUNT(AD$4:AD10)+1,"")</f>
        <v/>
      </c>
      <c r="AE11">
        <f>IF(AND($A11&lt;&gt;"",$B11&lt;&gt;"",$R11='تقرير مايو'!$C$4,$P11='تقرير مايو'!$C$6),COUNT(AE$4:AE10)+1,"")</f>
        <v/>
      </c>
    </row>
    <row r="12">
      <c r="A12" s="16" t="n"/>
      <c r="B12" s="17" t="n"/>
      <c r="C12" s="17" t="n"/>
      <c r="D12" s="18" t="n"/>
      <c r="E12" s="17" t="n"/>
      <c r="F12" s="17" t="n"/>
      <c r="G12" s="19" t="n"/>
      <c r="H12" s="17" t="n"/>
      <c r="I12" s="17" t="n"/>
      <c r="J12" s="17" t="n"/>
      <c r="K12" s="20">
        <f>IF($B12="","",IFERROR(INDEX(الموظفات!$A$5:$A$304,MATCH($B12,الموظفات!$B$5:$B$304,0))&amp;"",""))</f>
        <v/>
      </c>
      <c r="L12" s="21">
        <f>IF($B12="","",IFERROR(INDEX(الموظفات!$C$5:$C$304,MATCH($B12,الموظفات!$B$5:$B$304,0))&amp;"",""))</f>
        <v/>
      </c>
      <c r="M12" s="20">
        <f>IF($B12="","",IFERROR(INDEX(الموظفات!$D$5:$D$304,MATCH($B12,الموظفات!$B$5:$B$304,0))&amp;"",""))</f>
        <v/>
      </c>
      <c r="N12" s="20">
        <f>IF($B12="","",IFERROR(INDEX(الموظفات!$E$5:$E$304,MATCH($B12,الموظفات!$B$5:$B$304,0))&amp;"",""))</f>
        <v/>
      </c>
      <c r="O12" s="21">
        <f>IF(C12="","",IFERROR(INDEX(الإعدادات!$D$7:$D$35,MATCH(C12,الإعدادات!$A$7:$A$35,0))&amp;"",""))</f>
        <v/>
      </c>
      <c r="P12" s="20">
        <f>IF(A12="","",INDEX(الإعدادات!$H$7:$H$18,MONTH(A12)))</f>
        <v/>
      </c>
      <c r="Q12" s="20">
        <f>IF(A12="","",INDEX(الإعدادات!$I$7:$I$18,MONTH(A12)))</f>
        <v/>
      </c>
      <c r="R12" s="20">
        <f>IF(A12="","",IF(MONTH(A12)&gt;=8,YEAR(A12)&amp;"-"&amp;(YEAR(A12)+1),(YEAR(A12)-1)&amp;"-"&amp;YEAR(A12)))</f>
        <v/>
      </c>
      <c r="S12" s="20">
        <f>IF(OR(A12="",B12=""),0,IF(AND(R12=التقارير!$C$4,OR(التقارير!$C$5="سنوي",AND(التقارير!$C$5="شهري",P12=التقارير!$C$6),AND(التقارير!$C$5="فصلي",Q12=التقارير!$C$7))),1,0))</f>
        <v/>
      </c>
      <c r="T12" s="20">
        <f>IF(S12=1,COUNTIF($S$5:S12,1),"")</f>
        <v/>
      </c>
      <c r="U12">
        <f>IF(AND($A12&lt;&gt;"",$B12&lt;&gt;"",$R12='تقرير الفصل الأول'!$C$4,$Q12='تقرير الفصل الأول'!$C$7),COUNT(U$4:U11)+1,"")</f>
        <v/>
      </c>
      <c r="V12">
        <f>IF(AND($A12&lt;&gt;"",$B12&lt;&gt;"",$R12='تقرير الفصل الثاني'!$C$4,$Q12='تقرير الفصل الثاني'!$C$7),COUNT(V$4:V11)+1,"")</f>
        <v/>
      </c>
      <c r="W12">
        <f>IF(AND($A12&lt;&gt;"",$B12&lt;&gt;"",$R12='تقرير سبتمبر'!$C$4,$P12='تقرير سبتمبر'!$C$6),COUNT(W$4:W11)+1,"")</f>
        <v/>
      </c>
      <c r="X12">
        <f>IF(AND($A12&lt;&gt;"",$B12&lt;&gt;"",$R12='تقرير أكتوبر'!$C$4,$P12='تقرير أكتوبر'!$C$6),COUNT(X$4:X11)+1,"")</f>
        <v/>
      </c>
      <c r="Y12">
        <f>IF(AND($A12&lt;&gt;"",$B12&lt;&gt;"",$R12='تقرير نوفمبر'!$C$4,$P12='تقرير نوفمبر'!$C$6),COUNT(Y$4:Y11)+1,"")</f>
        <v/>
      </c>
      <c r="Z12">
        <f>IF(AND($A12&lt;&gt;"",$B12&lt;&gt;"",$R12='تقرير ديسمبر'!$C$4,$P12='تقرير ديسمبر'!$C$6),COUNT(Z$4:Z11)+1,"")</f>
        <v/>
      </c>
      <c r="AA12">
        <f>IF(AND($A12&lt;&gt;"",$B12&lt;&gt;"",$R12='تقرير يناير'!$C$4,$P12='تقرير يناير'!$C$6),COUNT(AA$4:AA11)+1,"")</f>
        <v/>
      </c>
      <c r="AB12">
        <f>IF(AND($A12&lt;&gt;"",$B12&lt;&gt;"",$R12='تقرير فبراير'!$C$4,$P12='تقرير فبراير'!$C$6),COUNT(AB$4:AB11)+1,"")</f>
        <v/>
      </c>
      <c r="AC12">
        <f>IF(AND($A12&lt;&gt;"",$B12&lt;&gt;"",$R12='تقرير مارس'!$C$4,$P12='تقرير مارس'!$C$6),COUNT(AC$4:AC11)+1,"")</f>
        <v/>
      </c>
      <c r="AD12">
        <f>IF(AND($A12&lt;&gt;"",$B12&lt;&gt;"",$R12='تقرير أبريل'!$C$4,$P12='تقرير أبريل'!$C$6),COUNT(AD$4:AD11)+1,"")</f>
        <v/>
      </c>
      <c r="AE12">
        <f>IF(AND($A12&lt;&gt;"",$B12&lt;&gt;"",$R12='تقرير مايو'!$C$4,$P12='تقرير مايو'!$C$6),COUNT(AE$4:AE11)+1,"")</f>
        <v/>
      </c>
    </row>
    <row r="13">
      <c r="A13" s="16" t="n"/>
      <c r="B13" s="17" t="n"/>
      <c r="C13" s="17" t="n"/>
      <c r="D13" s="18" t="n"/>
      <c r="E13" s="17" t="n"/>
      <c r="F13" s="17" t="n"/>
      <c r="G13" s="19" t="n"/>
      <c r="H13" s="17" t="n"/>
      <c r="I13" s="17" t="n"/>
      <c r="J13" s="17" t="n"/>
      <c r="K13" s="20">
        <f>IF($B13="","",IFERROR(INDEX(الموظفات!$A$5:$A$304,MATCH($B13,الموظفات!$B$5:$B$304,0))&amp;"",""))</f>
        <v/>
      </c>
      <c r="L13" s="21">
        <f>IF($B13="","",IFERROR(INDEX(الموظفات!$C$5:$C$304,MATCH($B13,الموظفات!$B$5:$B$304,0))&amp;"",""))</f>
        <v/>
      </c>
      <c r="M13" s="20">
        <f>IF($B13="","",IFERROR(INDEX(الموظفات!$D$5:$D$304,MATCH($B13,الموظفات!$B$5:$B$304,0))&amp;"",""))</f>
        <v/>
      </c>
      <c r="N13" s="20">
        <f>IF($B13="","",IFERROR(INDEX(الموظفات!$E$5:$E$304,MATCH($B13,الموظفات!$B$5:$B$304,0))&amp;"",""))</f>
        <v/>
      </c>
      <c r="O13" s="21">
        <f>IF(C13="","",IFERROR(INDEX(الإعدادات!$D$7:$D$35,MATCH(C13,الإعدادات!$A$7:$A$35,0))&amp;"",""))</f>
        <v/>
      </c>
      <c r="P13" s="20">
        <f>IF(A13="","",INDEX(الإعدادات!$H$7:$H$18,MONTH(A13)))</f>
        <v/>
      </c>
      <c r="Q13" s="20">
        <f>IF(A13="","",INDEX(الإعدادات!$I$7:$I$18,MONTH(A13)))</f>
        <v/>
      </c>
      <c r="R13" s="20">
        <f>IF(A13="","",IF(MONTH(A13)&gt;=8,YEAR(A13)&amp;"-"&amp;(YEAR(A13)+1),(YEAR(A13)-1)&amp;"-"&amp;YEAR(A13)))</f>
        <v/>
      </c>
      <c r="S13" s="20">
        <f>IF(OR(A13="",B13=""),0,IF(AND(R13=التقارير!$C$4,OR(التقارير!$C$5="سنوي",AND(التقارير!$C$5="شهري",P13=التقارير!$C$6),AND(التقارير!$C$5="فصلي",Q13=التقارير!$C$7))),1,0))</f>
        <v/>
      </c>
      <c r="T13" s="20">
        <f>IF(S13=1,COUNTIF($S$5:S13,1),"")</f>
        <v/>
      </c>
      <c r="U13">
        <f>IF(AND($A13&lt;&gt;"",$B13&lt;&gt;"",$R13='تقرير الفصل الأول'!$C$4,$Q13='تقرير الفصل الأول'!$C$7),COUNT(U$4:U12)+1,"")</f>
        <v/>
      </c>
      <c r="V13">
        <f>IF(AND($A13&lt;&gt;"",$B13&lt;&gt;"",$R13='تقرير الفصل الثاني'!$C$4,$Q13='تقرير الفصل الثاني'!$C$7),COUNT(V$4:V12)+1,"")</f>
        <v/>
      </c>
      <c r="W13">
        <f>IF(AND($A13&lt;&gt;"",$B13&lt;&gt;"",$R13='تقرير سبتمبر'!$C$4,$P13='تقرير سبتمبر'!$C$6),COUNT(W$4:W12)+1,"")</f>
        <v/>
      </c>
      <c r="X13">
        <f>IF(AND($A13&lt;&gt;"",$B13&lt;&gt;"",$R13='تقرير أكتوبر'!$C$4,$P13='تقرير أكتوبر'!$C$6),COUNT(X$4:X12)+1,"")</f>
        <v/>
      </c>
      <c r="Y13">
        <f>IF(AND($A13&lt;&gt;"",$B13&lt;&gt;"",$R13='تقرير نوفمبر'!$C$4,$P13='تقرير نوفمبر'!$C$6),COUNT(Y$4:Y12)+1,"")</f>
        <v/>
      </c>
      <c r="Z13">
        <f>IF(AND($A13&lt;&gt;"",$B13&lt;&gt;"",$R13='تقرير ديسمبر'!$C$4,$P13='تقرير ديسمبر'!$C$6),COUNT(Z$4:Z12)+1,"")</f>
        <v/>
      </c>
      <c r="AA13">
        <f>IF(AND($A13&lt;&gt;"",$B13&lt;&gt;"",$R13='تقرير يناير'!$C$4,$P13='تقرير يناير'!$C$6),COUNT(AA$4:AA12)+1,"")</f>
        <v/>
      </c>
      <c r="AB13">
        <f>IF(AND($A13&lt;&gt;"",$B13&lt;&gt;"",$R13='تقرير فبراير'!$C$4,$P13='تقرير فبراير'!$C$6),COUNT(AB$4:AB12)+1,"")</f>
        <v/>
      </c>
      <c r="AC13">
        <f>IF(AND($A13&lt;&gt;"",$B13&lt;&gt;"",$R13='تقرير مارس'!$C$4,$P13='تقرير مارس'!$C$6),COUNT(AC$4:AC12)+1,"")</f>
        <v/>
      </c>
      <c r="AD13">
        <f>IF(AND($A13&lt;&gt;"",$B13&lt;&gt;"",$R13='تقرير أبريل'!$C$4,$P13='تقرير أبريل'!$C$6),COUNT(AD$4:AD12)+1,"")</f>
        <v/>
      </c>
      <c r="AE13">
        <f>IF(AND($A13&lt;&gt;"",$B13&lt;&gt;"",$R13='تقرير مايو'!$C$4,$P13='تقرير مايو'!$C$6),COUNT(AE$4:AE12)+1,"")</f>
        <v/>
      </c>
    </row>
    <row r="14">
      <c r="A14" s="16" t="n"/>
      <c r="B14" s="17" t="n"/>
      <c r="C14" s="17" t="n"/>
      <c r="D14" s="18" t="n"/>
      <c r="E14" s="17" t="n"/>
      <c r="F14" s="17" t="n"/>
      <c r="G14" s="19" t="n"/>
      <c r="H14" s="17" t="n"/>
      <c r="I14" s="17" t="n"/>
      <c r="J14" s="17" t="n"/>
      <c r="K14" s="20">
        <f>IF($B14="","",IFERROR(INDEX(الموظفات!$A$5:$A$304,MATCH($B14,الموظفات!$B$5:$B$304,0))&amp;"",""))</f>
        <v/>
      </c>
      <c r="L14" s="21">
        <f>IF($B14="","",IFERROR(INDEX(الموظفات!$C$5:$C$304,MATCH($B14,الموظفات!$B$5:$B$304,0))&amp;"",""))</f>
        <v/>
      </c>
      <c r="M14" s="20">
        <f>IF($B14="","",IFERROR(INDEX(الموظفات!$D$5:$D$304,MATCH($B14,الموظفات!$B$5:$B$304,0))&amp;"",""))</f>
        <v/>
      </c>
      <c r="N14" s="20">
        <f>IF($B14="","",IFERROR(INDEX(الموظفات!$E$5:$E$304,MATCH($B14,الموظفات!$B$5:$B$304,0))&amp;"",""))</f>
        <v/>
      </c>
      <c r="O14" s="21">
        <f>IF(C14="","",IFERROR(INDEX(الإعدادات!$D$7:$D$35,MATCH(C14,الإعدادات!$A$7:$A$35,0))&amp;"",""))</f>
        <v/>
      </c>
      <c r="P14" s="20">
        <f>IF(A14="","",INDEX(الإعدادات!$H$7:$H$18,MONTH(A14)))</f>
        <v/>
      </c>
      <c r="Q14" s="20">
        <f>IF(A14="","",INDEX(الإعدادات!$I$7:$I$18,MONTH(A14)))</f>
        <v/>
      </c>
      <c r="R14" s="20">
        <f>IF(A14="","",IF(MONTH(A14)&gt;=8,YEAR(A14)&amp;"-"&amp;(YEAR(A14)+1),(YEAR(A14)-1)&amp;"-"&amp;YEAR(A14)))</f>
        <v/>
      </c>
      <c r="S14" s="20">
        <f>IF(OR(A14="",B14=""),0,IF(AND(R14=التقارير!$C$4,OR(التقارير!$C$5="سنوي",AND(التقارير!$C$5="شهري",P14=التقارير!$C$6),AND(التقارير!$C$5="فصلي",Q14=التقارير!$C$7))),1,0))</f>
        <v/>
      </c>
      <c r="T14" s="20">
        <f>IF(S14=1,COUNTIF($S$5:S14,1),"")</f>
        <v/>
      </c>
      <c r="U14">
        <f>IF(AND($A14&lt;&gt;"",$B14&lt;&gt;"",$R14='تقرير الفصل الأول'!$C$4,$Q14='تقرير الفصل الأول'!$C$7),COUNT(U$4:U13)+1,"")</f>
        <v/>
      </c>
      <c r="V14">
        <f>IF(AND($A14&lt;&gt;"",$B14&lt;&gt;"",$R14='تقرير الفصل الثاني'!$C$4,$Q14='تقرير الفصل الثاني'!$C$7),COUNT(V$4:V13)+1,"")</f>
        <v/>
      </c>
      <c r="W14">
        <f>IF(AND($A14&lt;&gt;"",$B14&lt;&gt;"",$R14='تقرير سبتمبر'!$C$4,$P14='تقرير سبتمبر'!$C$6),COUNT(W$4:W13)+1,"")</f>
        <v/>
      </c>
      <c r="X14">
        <f>IF(AND($A14&lt;&gt;"",$B14&lt;&gt;"",$R14='تقرير أكتوبر'!$C$4,$P14='تقرير أكتوبر'!$C$6),COUNT(X$4:X13)+1,"")</f>
        <v/>
      </c>
      <c r="Y14">
        <f>IF(AND($A14&lt;&gt;"",$B14&lt;&gt;"",$R14='تقرير نوفمبر'!$C$4,$P14='تقرير نوفمبر'!$C$6),COUNT(Y$4:Y13)+1,"")</f>
        <v/>
      </c>
      <c r="Z14">
        <f>IF(AND($A14&lt;&gt;"",$B14&lt;&gt;"",$R14='تقرير ديسمبر'!$C$4,$P14='تقرير ديسمبر'!$C$6),COUNT(Z$4:Z13)+1,"")</f>
        <v/>
      </c>
      <c r="AA14">
        <f>IF(AND($A14&lt;&gt;"",$B14&lt;&gt;"",$R14='تقرير يناير'!$C$4,$P14='تقرير يناير'!$C$6),COUNT(AA$4:AA13)+1,"")</f>
        <v/>
      </c>
      <c r="AB14">
        <f>IF(AND($A14&lt;&gt;"",$B14&lt;&gt;"",$R14='تقرير فبراير'!$C$4,$P14='تقرير فبراير'!$C$6),COUNT(AB$4:AB13)+1,"")</f>
        <v/>
      </c>
      <c r="AC14">
        <f>IF(AND($A14&lt;&gt;"",$B14&lt;&gt;"",$R14='تقرير مارس'!$C$4,$P14='تقرير مارس'!$C$6),COUNT(AC$4:AC13)+1,"")</f>
        <v/>
      </c>
      <c r="AD14">
        <f>IF(AND($A14&lt;&gt;"",$B14&lt;&gt;"",$R14='تقرير أبريل'!$C$4,$P14='تقرير أبريل'!$C$6),COUNT(AD$4:AD13)+1,"")</f>
        <v/>
      </c>
      <c r="AE14">
        <f>IF(AND($A14&lt;&gt;"",$B14&lt;&gt;"",$R14='تقرير مايو'!$C$4,$P14='تقرير مايو'!$C$6),COUNT(AE$4:AE13)+1,"")</f>
        <v/>
      </c>
    </row>
    <row r="15">
      <c r="A15" s="16" t="n"/>
      <c r="B15" s="17" t="n"/>
      <c r="C15" s="17" t="n"/>
      <c r="D15" s="18" t="n"/>
      <c r="E15" s="17" t="n"/>
      <c r="F15" s="17" t="n"/>
      <c r="G15" s="19" t="n"/>
      <c r="H15" s="17" t="n"/>
      <c r="I15" s="17" t="n"/>
      <c r="J15" s="17" t="n"/>
      <c r="K15" s="20">
        <f>IF($B15="","",IFERROR(INDEX(الموظفات!$A$5:$A$304,MATCH($B15,الموظفات!$B$5:$B$304,0))&amp;"",""))</f>
        <v/>
      </c>
      <c r="L15" s="21">
        <f>IF($B15="","",IFERROR(INDEX(الموظفات!$C$5:$C$304,MATCH($B15,الموظفات!$B$5:$B$304,0))&amp;"",""))</f>
        <v/>
      </c>
      <c r="M15" s="20">
        <f>IF($B15="","",IFERROR(INDEX(الموظفات!$D$5:$D$304,MATCH($B15,الموظفات!$B$5:$B$304,0))&amp;"",""))</f>
        <v/>
      </c>
      <c r="N15" s="20">
        <f>IF($B15="","",IFERROR(INDEX(الموظفات!$E$5:$E$304,MATCH($B15,الموظفات!$B$5:$B$304,0))&amp;"",""))</f>
        <v/>
      </c>
      <c r="O15" s="21">
        <f>IF(C15="","",IFERROR(INDEX(الإعدادات!$D$7:$D$35,MATCH(C15,الإعدادات!$A$7:$A$35,0))&amp;"",""))</f>
        <v/>
      </c>
      <c r="P15" s="20">
        <f>IF(A15="","",INDEX(الإعدادات!$H$7:$H$18,MONTH(A15)))</f>
        <v/>
      </c>
      <c r="Q15" s="20">
        <f>IF(A15="","",INDEX(الإعدادات!$I$7:$I$18,MONTH(A15)))</f>
        <v/>
      </c>
      <c r="R15" s="20">
        <f>IF(A15="","",IF(MONTH(A15)&gt;=8,YEAR(A15)&amp;"-"&amp;(YEAR(A15)+1),(YEAR(A15)-1)&amp;"-"&amp;YEAR(A15)))</f>
        <v/>
      </c>
      <c r="S15" s="20">
        <f>IF(OR(A15="",B15=""),0,IF(AND(R15=التقارير!$C$4,OR(التقارير!$C$5="سنوي",AND(التقارير!$C$5="شهري",P15=التقارير!$C$6),AND(التقارير!$C$5="فصلي",Q15=التقارير!$C$7))),1,0))</f>
        <v/>
      </c>
      <c r="T15" s="20">
        <f>IF(S15=1,COUNTIF($S$5:S15,1),"")</f>
        <v/>
      </c>
      <c r="U15">
        <f>IF(AND($A15&lt;&gt;"",$B15&lt;&gt;"",$R15='تقرير الفصل الأول'!$C$4,$Q15='تقرير الفصل الأول'!$C$7),COUNT(U$4:U14)+1,"")</f>
        <v/>
      </c>
      <c r="V15">
        <f>IF(AND($A15&lt;&gt;"",$B15&lt;&gt;"",$R15='تقرير الفصل الثاني'!$C$4,$Q15='تقرير الفصل الثاني'!$C$7),COUNT(V$4:V14)+1,"")</f>
        <v/>
      </c>
      <c r="W15">
        <f>IF(AND($A15&lt;&gt;"",$B15&lt;&gt;"",$R15='تقرير سبتمبر'!$C$4,$P15='تقرير سبتمبر'!$C$6),COUNT(W$4:W14)+1,"")</f>
        <v/>
      </c>
      <c r="X15">
        <f>IF(AND($A15&lt;&gt;"",$B15&lt;&gt;"",$R15='تقرير أكتوبر'!$C$4,$P15='تقرير أكتوبر'!$C$6),COUNT(X$4:X14)+1,"")</f>
        <v/>
      </c>
      <c r="Y15">
        <f>IF(AND($A15&lt;&gt;"",$B15&lt;&gt;"",$R15='تقرير نوفمبر'!$C$4,$P15='تقرير نوفمبر'!$C$6),COUNT(Y$4:Y14)+1,"")</f>
        <v/>
      </c>
      <c r="Z15">
        <f>IF(AND($A15&lt;&gt;"",$B15&lt;&gt;"",$R15='تقرير ديسمبر'!$C$4,$P15='تقرير ديسمبر'!$C$6),COUNT(Z$4:Z14)+1,"")</f>
        <v/>
      </c>
      <c r="AA15">
        <f>IF(AND($A15&lt;&gt;"",$B15&lt;&gt;"",$R15='تقرير يناير'!$C$4,$P15='تقرير يناير'!$C$6),COUNT(AA$4:AA14)+1,"")</f>
        <v/>
      </c>
      <c r="AB15">
        <f>IF(AND($A15&lt;&gt;"",$B15&lt;&gt;"",$R15='تقرير فبراير'!$C$4,$P15='تقرير فبراير'!$C$6),COUNT(AB$4:AB14)+1,"")</f>
        <v/>
      </c>
      <c r="AC15">
        <f>IF(AND($A15&lt;&gt;"",$B15&lt;&gt;"",$R15='تقرير مارس'!$C$4,$P15='تقرير مارس'!$C$6),COUNT(AC$4:AC14)+1,"")</f>
        <v/>
      </c>
      <c r="AD15">
        <f>IF(AND($A15&lt;&gt;"",$B15&lt;&gt;"",$R15='تقرير أبريل'!$C$4,$P15='تقرير أبريل'!$C$6),COUNT(AD$4:AD14)+1,"")</f>
        <v/>
      </c>
      <c r="AE15">
        <f>IF(AND($A15&lt;&gt;"",$B15&lt;&gt;"",$R15='تقرير مايو'!$C$4,$P15='تقرير مايو'!$C$6),COUNT(AE$4:AE14)+1,"")</f>
        <v/>
      </c>
    </row>
    <row r="16">
      <c r="A16" s="16" t="n"/>
      <c r="B16" s="17" t="n"/>
      <c r="C16" s="17" t="n"/>
      <c r="D16" s="18" t="n"/>
      <c r="E16" s="17" t="n"/>
      <c r="F16" s="17" t="n"/>
      <c r="G16" s="19" t="n"/>
      <c r="H16" s="17" t="n"/>
      <c r="I16" s="17" t="n"/>
      <c r="J16" s="17" t="n"/>
      <c r="K16" s="20">
        <f>IF($B16="","",IFERROR(INDEX(الموظفات!$A$5:$A$304,MATCH($B16,الموظفات!$B$5:$B$304,0))&amp;"",""))</f>
        <v/>
      </c>
      <c r="L16" s="21">
        <f>IF($B16="","",IFERROR(INDEX(الموظفات!$C$5:$C$304,MATCH($B16,الموظفات!$B$5:$B$304,0))&amp;"",""))</f>
        <v/>
      </c>
      <c r="M16" s="20">
        <f>IF($B16="","",IFERROR(INDEX(الموظفات!$D$5:$D$304,MATCH($B16,الموظفات!$B$5:$B$304,0))&amp;"",""))</f>
        <v/>
      </c>
      <c r="N16" s="20">
        <f>IF($B16="","",IFERROR(INDEX(الموظفات!$E$5:$E$304,MATCH($B16,الموظفات!$B$5:$B$304,0))&amp;"",""))</f>
        <v/>
      </c>
      <c r="O16" s="21">
        <f>IF(C16="","",IFERROR(INDEX(الإعدادات!$D$7:$D$35,MATCH(C16,الإعدادات!$A$7:$A$35,0))&amp;"",""))</f>
        <v/>
      </c>
      <c r="P16" s="20">
        <f>IF(A16="","",INDEX(الإعدادات!$H$7:$H$18,MONTH(A16)))</f>
        <v/>
      </c>
      <c r="Q16" s="20">
        <f>IF(A16="","",INDEX(الإعدادات!$I$7:$I$18,MONTH(A16)))</f>
        <v/>
      </c>
      <c r="R16" s="20">
        <f>IF(A16="","",IF(MONTH(A16)&gt;=8,YEAR(A16)&amp;"-"&amp;(YEAR(A16)+1),(YEAR(A16)-1)&amp;"-"&amp;YEAR(A16)))</f>
        <v/>
      </c>
      <c r="S16" s="20">
        <f>IF(OR(A16="",B16=""),0,IF(AND(R16=التقارير!$C$4,OR(التقارير!$C$5="سنوي",AND(التقارير!$C$5="شهري",P16=التقارير!$C$6),AND(التقارير!$C$5="فصلي",Q16=التقارير!$C$7))),1,0))</f>
        <v/>
      </c>
      <c r="T16" s="20">
        <f>IF(S16=1,COUNTIF($S$5:S16,1),"")</f>
        <v/>
      </c>
      <c r="U16">
        <f>IF(AND($A16&lt;&gt;"",$B16&lt;&gt;"",$R16='تقرير الفصل الأول'!$C$4,$Q16='تقرير الفصل الأول'!$C$7),COUNT(U$4:U15)+1,"")</f>
        <v/>
      </c>
      <c r="V16">
        <f>IF(AND($A16&lt;&gt;"",$B16&lt;&gt;"",$R16='تقرير الفصل الثاني'!$C$4,$Q16='تقرير الفصل الثاني'!$C$7),COUNT(V$4:V15)+1,"")</f>
        <v/>
      </c>
      <c r="W16">
        <f>IF(AND($A16&lt;&gt;"",$B16&lt;&gt;"",$R16='تقرير سبتمبر'!$C$4,$P16='تقرير سبتمبر'!$C$6),COUNT(W$4:W15)+1,"")</f>
        <v/>
      </c>
      <c r="X16">
        <f>IF(AND($A16&lt;&gt;"",$B16&lt;&gt;"",$R16='تقرير أكتوبر'!$C$4,$P16='تقرير أكتوبر'!$C$6),COUNT(X$4:X15)+1,"")</f>
        <v/>
      </c>
      <c r="Y16">
        <f>IF(AND($A16&lt;&gt;"",$B16&lt;&gt;"",$R16='تقرير نوفمبر'!$C$4,$P16='تقرير نوفمبر'!$C$6),COUNT(Y$4:Y15)+1,"")</f>
        <v/>
      </c>
      <c r="Z16">
        <f>IF(AND($A16&lt;&gt;"",$B16&lt;&gt;"",$R16='تقرير ديسمبر'!$C$4,$P16='تقرير ديسمبر'!$C$6),COUNT(Z$4:Z15)+1,"")</f>
        <v/>
      </c>
      <c r="AA16">
        <f>IF(AND($A16&lt;&gt;"",$B16&lt;&gt;"",$R16='تقرير يناير'!$C$4,$P16='تقرير يناير'!$C$6),COUNT(AA$4:AA15)+1,"")</f>
        <v/>
      </c>
      <c r="AB16">
        <f>IF(AND($A16&lt;&gt;"",$B16&lt;&gt;"",$R16='تقرير فبراير'!$C$4,$P16='تقرير فبراير'!$C$6),COUNT(AB$4:AB15)+1,"")</f>
        <v/>
      </c>
      <c r="AC16">
        <f>IF(AND($A16&lt;&gt;"",$B16&lt;&gt;"",$R16='تقرير مارس'!$C$4,$P16='تقرير مارس'!$C$6),COUNT(AC$4:AC15)+1,"")</f>
        <v/>
      </c>
      <c r="AD16">
        <f>IF(AND($A16&lt;&gt;"",$B16&lt;&gt;"",$R16='تقرير أبريل'!$C$4,$P16='تقرير أبريل'!$C$6),COUNT(AD$4:AD15)+1,"")</f>
        <v/>
      </c>
      <c r="AE16">
        <f>IF(AND($A16&lt;&gt;"",$B16&lt;&gt;"",$R16='تقرير مايو'!$C$4,$P16='تقرير مايو'!$C$6),COUNT(AE$4:AE15)+1,"")</f>
        <v/>
      </c>
    </row>
    <row r="17">
      <c r="A17" s="16" t="n"/>
      <c r="B17" s="17" t="n"/>
      <c r="C17" s="17" t="n"/>
      <c r="D17" s="18" t="n"/>
      <c r="E17" s="17" t="n"/>
      <c r="F17" s="17" t="n"/>
      <c r="G17" s="19" t="n"/>
      <c r="H17" s="17" t="n"/>
      <c r="I17" s="17" t="n"/>
      <c r="J17" s="17" t="n"/>
      <c r="K17" s="20">
        <f>IF($B17="","",IFERROR(INDEX(الموظفات!$A$5:$A$304,MATCH($B17,الموظفات!$B$5:$B$304,0))&amp;"",""))</f>
        <v/>
      </c>
      <c r="L17" s="21">
        <f>IF($B17="","",IFERROR(INDEX(الموظفات!$C$5:$C$304,MATCH($B17,الموظفات!$B$5:$B$304,0))&amp;"",""))</f>
        <v/>
      </c>
      <c r="M17" s="20">
        <f>IF($B17="","",IFERROR(INDEX(الموظفات!$D$5:$D$304,MATCH($B17,الموظفات!$B$5:$B$304,0))&amp;"",""))</f>
        <v/>
      </c>
      <c r="N17" s="20">
        <f>IF($B17="","",IFERROR(INDEX(الموظفات!$E$5:$E$304,MATCH($B17,الموظفات!$B$5:$B$304,0))&amp;"",""))</f>
        <v/>
      </c>
      <c r="O17" s="21">
        <f>IF(C17="","",IFERROR(INDEX(الإعدادات!$D$7:$D$35,MATCH(C17,الإعدادات!$A$7:$A$35,0))&amp;"",""))</f>
        <v/>
      </c>
      <c r="P17" s="20">
        <f>IF(A17="","",INDEX(الإعدادات!$H$7:$H$18,MONTH(A17)))</f>
        <v/>
      </c>
      <c r="Q17" s="20">
        <f>IF(A17="","",INDEX(الإعدادات!$I$7:$I$18,MONTH(A17)))</f>
        <v/>
      </c>
      <c r="R17" s="20">
        <f>IF(A17="","",IF(MONTH(A17)&gt;=8,YEAR(A17)&amp;"-"&amp;(YEAR(A17)+1),(YEAR(A17)-1)&amp;"-"&amp;YEAR(A17)))</f>
        <v/>
      </c>
      <c r="S17" s="20">
        <f>IF(OR(A17="",B17=""),0,IF(AND(R17=التقارير!$C$4,OR(التقارير!$C$5="سنوي",AND(التقارير!$C$5="شهري",P17=التقارير!$C$6),AND(التقارير!$C$5="فصلي",Q17=التقارير!$C$7))),1,0))</f>
        <v/>
      </c>
      <c r="T17" s="20">
        <f>IF(S17=1,COUNTIF($S$5:S17,1),"")</f>
        <v/>
      </c>
      <c r="U17">
        <f>IF(AND($A17&lt;&gt;"",$B17&lt;&gt;"",$R17='تقرير الفصل الأول'!$C$4,$Q17='تقرير الفصل الأول'!$C$7),COUNT(U$4:U16)+1,"")</f>
        <v/>
      </c>
      <c r="V17">
        <f>IF(AND($A17&lt;&gt;"",$B17&lt;&gt;"",$R17='تقرير الفصل الثاني'!$C$4,$Q17='تقرير الفصل الثاني'!$C$7),COUNT(V$4:V16)+1,"")</f>
        <v/>
      </c>
      <c r="W17">
        <f>IF(AND($A17&lt;&gt;"",$B17&lt;&gt;"",$R17='تقرير سبتمبر'!$C$4,$P17='تقرير سبتمبر'!$C$6),COUNT(W$4:W16)+1,"")</f>
        <v/>
      </c>
      <c r="X17">
        <f>IF(AND($A17&lt;&gt;"",$B17&lt;&gt;"",$R17='تقرير أكتوبر'!$C$4,$P17='تقرير أكتوبر'!$C$6),COUNT(X$4:X16)+1,"")</f>
        <v/>
      </c>
      <c r="Y17">
        <f>IF(AND($A17&lt;&gt;"",$B17&lt;&gt;"",$R17='تقرير نوفمبر'!$C$4,$P17='تقرير نوفمبر'!$C$6),COUNT(Y$4:Y16)+1,"")</f>
        <v/>
      </c>
      <c r="Z17">
        <f>IF(AND($A17&lt;&gt;"",$B17&lt;&gt;"",$R17='تقرير ديسمبر'!$C$4,$P17='تقرير ديسمبر'!$C$6),COUNT(Z$4:Z16)+1,"")</f>
        <v/>
      </c>
      <c r="AA17">
        <f>IF(AND($A17&lt;&gt;"",$B17&lt;&gt;"",$R17='تقرير يناير'!$C$4,$P17='تقرير يناير'!$C$6),COUNT(AA$4:AA16)+1,"")</f>
        <v/>
      </c>
      <c r="AB17">
        <f>IF(AND($A17&lt;&gt;"",$B17&lt;&gt;"",$R17='تقرير فبراير'!$C$4,$P17='تقرير فبراير'!$C$6),COUNT(AB$4:AB16)+1,"")</f>
        <v/>
      </c>
      <c r="AC17">
        <f>IF(AND($A17&lt;&gt;"",$B17&lt;&gt;"",$R17='تقرير مارس'!$C$4,$P17='تقرير مارس'!$C$6),COUNT(AC$4:AC16)+1,"")</f>
        <v/>
      </c>
      <c r="AD17">
        <f>IF(AND($A17&lt;&gt;"",$B17&lt;&gt;"",$R17='تقرير أبريل'!$C$4,$P17='تقرير أبريل'!$C$6),COUNT(AD$4:AD16)+1,"")</f>
        <v/>
      </c>
      <c r="AE17">
        <f>IF(AND($A17&lt;&gt;"",$B17&lt;&gt;"",$R17='تقرير مايو'!$C$4,$P17='تقرير مايو'!$C$6),COUNT(AE$4:AE16)+1,"")</f>
        <v/>
      </c>
    </row>
    <row r="18">
      <c r="A18" s="16" t="n"/>
      <c r="B18" s="17" t="n"/>
      <c r="C18" s="17" t="n"/>
      <c r="D18" s="18" t="n"/>
      <c r="E18" s="17" t="n"/>
      <c r="F18" s="17" t="n"/>
      <c r="G18" s="19" t="n"/>
      <c r="H18" s="17" t="n"/>
      <c r="I18" s="17" t="n"/>
      <c r="J18" s="17" t="n"/>
      <c r="K18" s="20">
        <f>IF($B18="","",IFERROR(INDEX(الموظفات!$A$5:$A$304,MATCH($B18,الموظفات!$B$5:$B$304,0))&amp;"",""))</f>
        <v/>
      </c>
      <c r="L18" s="21">
        <f>IF($B18="","",IFERROR(INDEX(الموظفات!$C$5:$C$304,MATCH($B18,الموظفات!$B$5:$B$304,0))&amp;"",""))</f>
        <v/>
      </c>
      <c r="M18" s="20">
        <f>IF($B18="","",IFERROR(INDEX(الموظفات!$D$5:$D$304,MATCH($B18,الموظفات!$B$5:$B$304,0))&amp;"",""))</f>
        <v/>
      </c>
      <c r="N18" s="20">
        <f>IF($B18="","",IFERROR(INDEX(الموظفات!$E$5:$E$304,MATCH($B18,الموظفات!$B$5:$B$304,0))&amp;"",""))</f>
        <v/>
      </c>
      <c r="O18" s="21">
        <f>IF(C18="","",IFERROR(INDEX(الإعدادات!$D$7:$D$35,MATCH(C18,الإعدادات!$A$7:$A$35,0))&amp;"",""))</f>
        <v/>
      </c>
      <c r="P18" s="20">
        <f>IF(A18="","",INDEX(الإعدادات!$H$7:$H$18,MONTH(A18)))</f>
        <v/>
      </c>
      <c r="Q18" s="20">
        <f>IF(A18="","",INDEX(الإعدادات!$I$7:$I$18,MONTH(A18)))</f>
        <v/>
      </c>
      <c r="R18" s="20">
        <f>IF(A18="","",IF(MONTH(A18)&gt;=8,YEAR(A18)&amp;"-"&amp;(YEAR(A18)+1),(YEAR(A18)-1)&amp;"-"&amp;YEAR(A18)))</f>
        <v/>
      </c>
      <c r="S18" s="20">
        <f>IF(OR(A18="",B18=""),0,IF(AND(R18=التقارير!$C$4,OR(التقارير!$C$5="سنوي",AND(التقارير!$C$5="شهري",P18=التقارير!$C$6),AND(التقارير!$C$5="فصلي",Q18=التقارير!$C$7))),1,0))</f>
        <v/>
      </c>
      <c r="T18" s="20">
        <f>IF(S18=1,COUNTIF($S$5:S18,1),"")</f>
        <v/>
      </c>
      <c r="U18">
        <f>IF(AND($A18&lt;&gt;"",$B18&lt;&gt;"",$R18='تقرير الفصل الأول'!$C$4,$Q18='تقرير الفصل الأول'!$C$7),COUNT(U$4:U17)+1,"")</f>
        <v/>
      </c>
      <c r="V18">
        <f>IF(AND($A18&lt;&gt;"",$B18&lt;&gt;"",$R18='تقرير الفصل الثاني'!$C$4,$Q18='تقرير الفصل الثاني'!$C$7),COUNT(V$4:V17)+1,"")</f>
        <v/>
      </c>
      <c r="W18">
        <f>IF(AND($A18&lt;&gt;"",$B18&lt;&gt;"",$R18='تقرير سبتمبر'!$C$4,$P18='تقرير سبتمبر'!$C$6),COUNT(W$4:W17)+1,"")</f>
        <v/>
      </c>
      <c r="X18">
        <f>IF(AND($A18&lt;&gt;"",$B18&lt;&gt;"",$R18='تقرير أكتوبر'!$C$4,$P18='تقرير أكتوبر'!$C$6),COUNT(X$4:X17)+1,"")</f>
        <v/>
      </c>
      <c r="Y18">
        <f>IF(AND($A18&lt;&gt;"",$B18&lt;&gt;"",$R18='تقرير نوفمبر'!$C$4,$P18='تقرير نوفمبر'!$C$6),COUNT(Y$4:Y17)+1,"")</f>
        <v/>
      </c>
      <c r="Z18">
        <f>IF(AND($A18&lt;&gt;"",$B18&lt;&gt;"",$R18='تقرير ديسمبر'!$C$4,$P18='تقرير ديسمبر'!$C$6),COUNT(Z$4:Z17)+1,"")</f>
        <v/>
      </c>
      <c r="AA18">
        <f>IF(AND($A18&lt;&gt;"",$B18&lt;&gt;"",$R18='تقرير يناير'!$C$4,$P18='تقرير يناير'!$C$6),COUNT(AA$4:AA17)+1,"")</f>
        <v/>
      </c>
      <c r="AB18">
        <f>IF(AND($A18&lt;&gt;"",$B18&lt;&gt;"",$R18='تقرير فبراير'!$C$4,$P18='تقرير فبراير'!$C$6),COUNT(AB$4:AB17)+1,"")</f>
        <v/>
      </c>
      <c r="AC18">
        <f>IF(AND($A18&lt;&gt;"",$B18&lt;&gt;"",$R18='تقرير مارس'!$C$4,$P18='تقرير مارس'!$C$6),COUNT(AC$4:AC17)+1,"")</f>
        <v/>
      </c>
      <c r="AD18">
        <f>IF(AND($A18&lt;&gt;"",$B18&lt;&gt;"",$R18='تقرير أبريل'!$C$4,$P18='تقرير أبريل'!$C$6),COUNT(AD$4:AD17)+1,"")</f>
        <v/>
      </c>
      <c r="AE18">
        <f>IF(AND($A18&lt;&gt;"",$B18&lt;&gt;"",$R18='تقرير مايو'!$C$4,$P18='تقرير مايو'!$C$6),COUNT(AE$4:AE17)+1,"")</f>
        <v/>
      </c>
    </row>
    <row r="19">
      <c r="A19" s="16" t="n"/>
      <c r="B19" s="17" t="n"/>
      <c r="C19" s="17" t="n"/>
      <c r="D19" s="18" t="n"/>
      <c r="E19" s="17" t="n"/>
      <c r="F19" s="17" t="n"/>
      <c r="G19" s="19" t="n"/>
      <c r="H19" s="17" t="n"/>
      <c r="I19" s="17" t="n"/>
      <c r="J19" s="17" t="n"/>
      <c r="K19" s="20">
        <f>IF($B19="","",IFERROR(INDEX(الموظفات!$A$5:$A$304,MATCH($B19,الموظفات!$B$5:$B$304,0))&amp;"",""))</f>
        <v/>
      </c>
      <c r="L19" s="21">
        <f>IF($B19="","",IFERROR(INDEX(الموظفات!$C$5:$C$304,MATCH($B19,الموظفات!$B$5:$B$304,0))&amp;"",""))</f>
        <v/>
      </c>
      <c r="M19" s="20">
        <f>IF($B19="","",IFERROR(INDEX(الموظفات!$D$5:$D$304,MATCH($B19,الموظفات!$B$5:$B$304,0))&amp;"",""))</f>
        <v/>
      </c>
      <c r="N19" s="20">
        <f>IF($B19="","",IFERROR(INDEX(الموظفات!$E$5:$E$304,MATCH($B19,الموظفات!$B$5:$B$304,0))&amp;"",""))</f>
        <v/>
      </c>
      <c r="O19" s="21">
        <f>IF(C19="","",IFERROR(INDEX(الإعدادات!$D$7:$D$35,MATCH(C19,الإعدادات!$A$7:$A$35,0))&amp;"",""))</f>
        <v/>
      </c>
      <c r="P19" s="20">
        <f>IF(A19="","",INDEX(الإعدادات!$H$7:$H$18,MONTH(A19)))</f>
        <v/>
      </c>
      <c r="Q19" s="20">
        <f>IF(A19="","",INDEX(الإعدادات!$I$7:$I$18,MONTH(A19)))</f>
        <v/>
      </c>
      <c r="R19" s="20">
        <f>IF(A19="","",IF(MONTH(A19)&gt;=8,YEAR(A19)&amp;"-"&amp;(YEAR(A19)+1),(YEAR(A19)-1)&amp;"-"&amp;YEAR(A19)))</f>
        <v/>
      </c>
      <c r="S19" s="20">
        <f>IF(OR(A19="",B19=""),0,IF(AND(R19=التقارير!$C$4,OR(التقارير!$C$5="سنوي",AND(التقارير!$C$5="شهري",P19=التقارير!$C$6),AND(التقارير!$C$5="فصلي",Q19=التقارير!$C$7))),1,0))</f>
        <v/>
      </c>
      <c r="T19" s="20">
        <f>IF(S19=1,COUNTIF($S$5:S19,1),"")</f>
        <v/>
      </c>
      <c r="U19">
        <f>IF(AND($A19&lt;&gt;"",$B19&lt;&gt;"",$R19='تقرير الفصل الأول'!$C$4,$Q19='تقرير الفصل الأول'!$C$7),COUNT(U$4:U18)+1,"")</f>
        <v/>
      </c>
      <c r="V19">
        <f>IF(AND($A19&lt;&gt;"",$B19&lt;&gt;"",$R19='تقرير الفصل الثاني'!$C$4,$Q19='تقرير الفصل الثاني'!$C$7),COUNT(V$4:V18)+1,"")</f>
        <v/>
      </c>
      <c r="W19">
        <f>IF(AND($A19&lt;&gt;"",$B19&lt;&gt;"",$R19='تقرير سبتمبر'!$C$4,$P19='تقرير سبتمبر'!$C$6),COUNT(W$4:W18)+1,"")</f>
        <v/>
      </c>
      <c r="X19">
        <f>IF(AND($A19&lt;&gt;"",$B19&lt;&gt;"",$R19='تقرير أكتوبر'!$C$4,$P19='تقرير أكتوبر'!$C$6),COUNT(X$4:X18)+1,"")</f>
        <v/>
      </c>
      <c r="Y19">
        <f>IF(AND($A19&lt;&gt;"",$B19&lt;&gt;"",$R19='تقرير نوفمبر'!$C$4,$P19='تقرير نوفمبر'!$C$6),COUNT(Y$4:Y18)+1,"")</f>
        <v/>
      </c>
      <c r="Z19">
        <f>IF(AND($A19&lt;&gt;"",$B19&lt;&gt;"",$R19='تقرير ديسمبر'!$C$4,$P19='تقرير ديسمبر'!$C$6),COUNT(Z$4:Z18)+1,"")</f>
        <v/>
      </c>
      <c r="AA19">
        <f>IF(AND($A19&lt;&gt;"",$B19&lt;&gt;"",$R19='تقرير يناير'!$C$4,$P19='تقرير يناير'!$C$6),COUNT(AA$4:AA18)+1,"")</f>
        <v/>
      </c>
      <c r="AB19">
        <f>IF(AND($A19&lt;&gt;"",$B19&lt;&gt;"",$R19='تقرير فبراير'!$C$4,$P19='تقرير فبراير'!$C$6),COUNT(AB$4:AB18)+1,"")</f>
        <v/>
      </c>
      <c r="AC19">
        <f>IF(AND($A19&lt;&gt;"",$B19&lt;&gt;"",$R19='تقرير مارس'!$C$4,$P19='تقرير مارس'!$C$6),COUNT(AC$4:AC18)+1,"")</f>
        <v/>
      </c>
      <c r="AD19">
        <f>IF(AND($A19&lt;&gt;"",$B19&lt;&gt;"",$R19='تقرير أبريل'!$C$4,$P19='تقرير أبريل'!$C$6),COUNT(AD$4:AD18)+1,"")</f>
        <v/>
      </c>
      <c r="AE19">
        <f>IF(AND($A19&lt;&gt;"",$B19&lt;&gt;"",$R19='تقرير مايو'!$C$4,$P19='تقرير مايو'!$C$6),COUNT(AE$4:AE18)+1,"")</f>
        <v/>
      </c>
    </row>
    <row r="20">
      <c r="A20" s="16" t="n"/>
      <c r="B20" s="17" t="n"/>
      <c r="C20" s="17" t="n"/>
      <c r="D20" s="18" t="n"/>
      <c r="E20" s="17" t="n"/>
      <c r="F20" s="17" t="n"/>
      <c r="G20" s="19" t="n"/>
      <c r="H20" s="17" t="n"/>
      <c r="I20" s="17" t="n"/>
      <c r="J20" s="17" t="n"/>
      <c r="K20" s="20">
        <f>IF($B20="","",IFERROR(INDEX(الموظفات!$A$5:$A$304,MATCH($B20,الموظفات!$B$5:$B$304,0))&amp;"",""))</f>
        <v/>
      </c>
      <c r="L20" s="21">
        <f>IF($B20="","",IFERROR(INDEX(الموظفات!$C$5:$C$304,MATCH($B20,الموظفات!$B$5:$B$304,0))&amp;"",""))</f>
        <v/>
      </c>
      <c r="M20" s="20">
        <f>IF($B20="","",IFERROR(INDEX(الموظفات!$D$5:$D$304,MATCH($B20,الموظفات!$B$5:$B$304,0))&amp;"",""))</f>
        <v/>
      </c>
      <c r="N20" s="20">
        <f>IF($B20="","",IFERROR(INDEX(الموظفات!$E$5:$E$304,MATCH($B20,الموظفات!$B$5:$B$304,0))&amp;"",""))</f>
        <v/>
      </c>
      <c r="O20" s="21">
        <f>IF(C20="","",IFERROR(INDEX(الإعدادات!$D$7:$D$35,MATCH(C20,الإعدادات!$A$7:$A$35,0))&amp;"",""))</f>
        <v/>
      </c>
      <c r="P20" s="20">
        <f>IF(A20="","",INDEX(الإعدادات!$H$7:$H$18,MONTH(A20)))</f>
        <v/>
      </c>
      <c r="Q20" s="20">
        <f>IF(A20="","",INDEX(الإعدادات!$I$7:$I$18,MONTH(A20)))</f>
        <v/>
      </c>
      <c r="R20" s="20">
        <f>IF(A20="","",IF(MONTH(A20)&gt;=8,YEAR(A20)&amp;"-"&amp;(YEAR(A20)+1),(YEAR(A20)-1)&amp;"-"&amp;YEAR(A20)))</f>
        <v/>
      </c>
      <c r="S20" s="20">
        <f>IF(OR(A20="",B20=""),0,IF(AND(R20=التقارير!$C$4,OR(التقارير!$C$5="سنوي",AND(التقارير!$C$5="شهري",P20=التقارير!$C$6),AND(التقارير!$C$5="فصلي",Q20=التقارير!$C$7))),1,0))</f>
        <v/>
      </c>
      <c r="T20" s="20">
        <f>IF(S20=1,COUNTIF($S$5:S20,1),"")</f>
        <v/>
      </c>
      <c r="U20">
        <f>IF(AND($A20&lt;&gt;"",$B20&lt;&gt;"",$R20='تقرير الفصل الأول'!$C$4,$Q20='تقرير الفصل الأول'!$C$7),COUNT(U$4:U19)+1,"")</f>
        <v/>
      </c>
      <c r="V20">
        <f>IF(AND($A20&lt;&gt;"",$B20&lt;&gt;"",$R20='تقرير الفصل الثاني'!$C$4,$Q20='تقرير الفصل الثاني'!$C$7),COUNT(V$4:V19)+1,"")</f>
        <v/>
      </c>
      <c r="W20">
        <f>IF(AND($A20&lt;&gt;"",$B20&lt;&gt;"",$R20='تقرير سبتمبر'!$C$4,$P20='تقرير سبتمبر'!$C$6),COUNT(W$4:W19)+1,"")</f>
        <v/>
      </c>
      <c r="X20">
        <f>IF(AND($A20&lt;&gt;"",$B20&lt;&gt;"",$R20='تقرير أكتوبر'!$C$4,$P20='تقرير أكتوبر'!$C$6),COUNT(X$4:X19)+1,"")</f>
        <v/>
      </c>
      <c r="Y20">
        <f>IF(AND($A20&lt;&gt;"",$B20&lt;&gt;"",$R20='تقرير نوفمبر'!$C$4,$P20='تقرير نوفمبر'!$C$6),COUNT(Y$4:Y19)+1,"")</f>
        <v/>
      </c>
      <c r="Z20">
        <f>IF(AND($A20&lt;&gt;"",$B20&lt;&gt;"",$R20='تقرير ديسمبر'!$C$4,$P20='تقرير ديسمبر'!$C$6),COUNT(Z$4:Z19)+1,"")</f>
        <v/>
      </c>
      <c r="AA20">
        <f>IF(AND($A20&lt;&gt;"",$B20&lt;&gt;"",$R20='تقرير يناير'!$C$4,$P20='تقرير يناير'!$C$6),COUNT(AA$4:AA19)+1,"")</f>
        <v/>
      </c>
      <c r="AB20">
        <f>IF(AND($A20&lt;&gt;"",$B20&lt;&gt;"",$R20='تقرير فبراير'!$C$4,$P20='تقرير فبراير'!$C$6),COUNT(AB$4:AB19)+1,"")</f>
        <v/>
      </c>
      <c r="AC20">
        <f>IF(AND($A20&lt;&gt;"",$B20&lt;&gt;"",$R20='تقرير مارس'!$C$4,$P20='تقرير مارس'!$C$6),COUNT(AC$4:AC19)+1,"")</f>
        <v/>
      </c>
      <c r="AD20">
        <f>IF(AND($A20&lt;&gt;"",$B20&lt;&gt;"",$R20='تقرير أبريل'!$C$4,$P20='تقرير أبريل'!$C$6),COUNT(AD$4:AD19)+1,"")</f>
        <v/>
      </c>
      <c r="AE20">
        <f>IF(AND($A20&lt;&gt;"",$B20&lt;&gt;"",$R20='تقرير مايو'!$C$4,$P20='تقرير مايو'!$C$6),COUNT(AE$4:AE19)+1,"")</f>
        <v/>
      </c>
    </row>
    <row r="21">
      <c r="A21" s="16" t="n"/>
      <c r="B21" s="17" t="n"/>
      <c r="C21" s="17" t="n"/>
      <c r="D21" s="18" t="n"/>
      <c r="E21" s="17" t="n"/>
      <c r="F21" s="17" t="n"/>
      <c r="G21" s="19" t="n"/>
      <c r="H21" s="17" t="n"/>
      <c r="I21" s="17" t="n"/>
      <c r="J21" s="17" t="n"/>
      <c r="K21" s="20">
        <f>IF($B21="","",IFERROR(INDEX(الموظفات!$A$5:$A$304,MATCH($B21,الموظفات!$B$5:$B$304,0))&amp;"",""))</f>
        <v/>
      </c>
      <c r="L21" s="21">
        <f>IF($B21="","",IFERROR(INDEX(الموظفات!$C$5:$C$304,MATCH($B21,الموظفات!$B$5:$B$304,0))&amp;"",""))</f>
        <v/>
      </c>
      <c r="M21" s="20">
        <f>IF($B21="","",IFERROR(INDEX(الموظفات!$D$5:$D$304,MATCH($B21,الموظفات!$B$5:$B$304,0))&amp;"",""))</f>
        <v/>
      </c>
      <c r="N21" s="20">
        <f>IF($B21="","",IFERROR(INDEX(الموظفات!$E$5:$E$304,MATCH($B21,الموظفات!$B$5:$B$304,0))&amp;"",""))</f>
        <v/>
      </c>
      <c r="O21" s="21">
        <f>IF(C21="","",IFERROR(INDEX(الإعدادات!$D$7:$D$35,MATCH(C21,الإعدادات!$A$7:$A$35,0))&amp;"",""))</f>
        <v/>
      </c>
      <c r="P21" s="20">
        <f>IF(A21="","",INDEX(الإعدادات!$H$7:$H$18,MONTH(A21)))</f>
        <v/>
      </c>
      <c r="Q21" s="20">
        <f>IF(A21="","",INDEX(الإعدادات!$I$7:$I$18,MONTH(A21)))</f>
        <v/>
      </c>
      <c r="R21" s="20">
        <f>IF(A21="","",IF(MONTH(A21)&gt;=8,YEAR(A21)&amp;"-"&amp;(YEAR(A21)+1),(YEAR(A21)-1)&amp;"-"&amp;YEAR(A21)))</f>
        <v/>
      </c>
      <c r="S21" s="20">
        <f>IF(OR(A21="",B21=""),0,IF(AND(R21=التقارير!$C$4,OR(التقارير!$C$5="سنوي",AND(التقارير!$C$5="شهري",P21=التقارير!$C$6),AND(التقارير!$C$5="فصلي",Q21=التقارير!$C$7))),1,0))</f>
        <v/>
      </c>
      <c r="T21" s="20">
        <f>IF(S21=1,COUNTIF($S$5:S21,1),"")</f>
        <v/>
      </c>
      <c r="U21">
        <f>IF(AND($A21&lt;&gt;"",$B21&lt;&gt;"",$R21='تقرير الفصل الأول'!$C$4,$Q21='تقرير الفصل الأول'!$C$7),COUNT(U$4:U20)+1,"")</f>
        <v/>
      </c>
      <c r="V21">
        <f>IF(AND($A21&lt;&gt;"",$B21&lt;&gt;"",$R21='تقرير الفصل الثاني'!$C$4,$Q21='تقرير الفصل الثاني'!$C$7),COUNT(V$4:V20)+1,"")</f>
        <v/>
      </c>
      <c r="W21">
        <f>IF(AND($A21&lt;&gt;"",$B21&lt;&gt;"",$R21='تقرير سبتمبر'!$C$4,$P21='تقرير سبتمبر'!$C$6),COUNT(W$4:W20)+1,"")</f>
        <v/>
      </c>
      <c r="X21">
        <f>IF(AND($A21&lt;&gt;"",$B21&lt;&gt;"",$R21='تقرير أكتوبر'!$C$4,$P21='تقرير أكتوبر'!$C$6),COUNT(X$4:X20)+1,"")</f>
        <v/>
      </c>
      <c r="Y21">
        <f>IF(AND($A21&lt;&gt;"",$B21&lt;&gt;"",$R21='تقرير نوفمبر'!$C$4,$P21='تقرير نوفمبر'!$C$6),COUNT(Y$4:Y20)+1,"")</f>
        <v/>
      </c>
      <c r="Z21">
        <f>IF(AND($A21&lt;&gt;"",$B21&lt;&gt;"",$R21='تقرير ديسمبر'!$C$4,$P21='تقرير ديسمبر'!$C$6),COUNT(Z$4:Z20)+1,"")</f>
        <v/>
      </c>
      <c r="AA21">
        <f>IF(AND($A21&lt;&gt;"",$B21&lt;&gt;"",$R21='تقرير يناير'!$C$4,$P21='تقرير يناير'!$C$6),COUNT(AA$4:AA20)+1,"")</f>
        <v/>
      </c>
      <c r="AB21">
        <f>IF(AND($A21&lt;&gt;"",$B21&lt;&gt;"",$R21='تقرير فبراير'!$C$4,$P21='تقرير فبراير'!$C$6),COUNT(AB$4:AB20)+1,"")</f>
        <v/>
      </c>
      <c r="AC21">
        <f>IF(AND($A21&lt;&gt;"",$B21&lt;&gt;"",$R21='تقرير مارس'!$C$4,$P21='تقرير مارس'!$C$6),COUNT(AC$4:AC20)+1,"")</f>
        <v/>
      </c>
      <c r="AD21">
        <f>IF(AND($A21&lt;&gt;"",$B21&lt;&gt;"",$R21='تقرير أبريل'!$C$4,$P21='تقرير أبريل'!$C$6),COUNT(AD$4:AD20)+1,"")</f>
        <v/>
      </c>
      <c r="AE21">
        <f>IF(AND($A21&lt;&gt;"",$B21&lt;&gt;"",$R21='تقرير مايو'!$C$4,$P21='تقرير مايو'!$C$6),COUNT(AE$4:AE20)+1,"")</f>
        <v/>
      </c>
    </row>
    <row r="22">
      <c r="A22" s="16" t="n"/>
      <c r="B22" s="17" t="n"/>
      <c r="C22" s="17" t="n"/>
      <c r="D22" s="18" t="n"/>
      <c r="E22" s="17" t="n"/>
      <c r="F22" s="17" t="n"/>
      <c r="G22" s="19" t="n"/>
      <c r="H22" s="17" t="n"/>
      <c r="I22" s="17" t="n"/>
      <c r="J22" s="17" t="n"/>
      <c r="K22" s="20">
        <f>IF($B22="","",IFERROR(INDEX(الموظفات!$A$5:$A$304,MATCH($B22,الموظفات!$B$5:$B$304,0))&amp;"",""))</f>
        <v/>
      </c>
      <c r="L22" s="21">
        <f>IF($B22="","",IFERROR(INDEX(الموظفات!$C$5:$C$304,MATCH($B22,الموظفات!$B$5:$B$304,0))&amp;"",""))</f>
        <v/>
      </c>
      <c r="M22" s="20">
        <f>IF($B22="","",IFERROR(INDEX(الموظفات!$D$5:$D$304,MATCH($B22,الموظفات!$B$5:$B$304,0))&amp;"",""))</f>
        <v/>
      </c>
      <c r="N22" s="20">
        <f>IF($B22="","",IFERROR(INDEX(الموظفات!$E$5:$E$304,MATCH($B22,الموظفات!$B$5:$B$304,0))&amp;"",""))</f>
        <v/>
      </c>
      <c r="O22" s="21">
        <f>IF(C22="","",IFERROR(INDEX(الإعدادات!$D$7:$D$35,MATCH(C22,الإعدادات!$A$7:$A$35,0))&amp;"",""))</f>
        <v/>
      </c>
      <c r="P22" s="20">
        <f>IF(A22="","",INDEX(الإعدادات!$H$7:$H$18,MONTH(A22)))</f>
        <v/>
      </c>
      <c r="Q22" s="20">
        <f>IF(A22="","",INDEX(الإعدادات!$I$7:$I$18,MONTH(A22)))</f>
        <v/>
      </c>
      <c r="R22" s="20">
        <f>IF(A22="","",IF(MONTH(A22)&gt;=8,YEAR(A22)&amp;"-"&amp;(YEAR(A22)+1),(YEAR(A22)-1)&amp;"-"&amp;YEAR(A22)))</f>
        <v/>
      </c>
      <c r="S22" s="20">
        <f>IF(OR(A22="",B22=""),0,IF(AND(R22=التقارير!$C$4,OR(التقارير!$C$5="سنوي",AND(التقارير!$C$5="شهري",P22=التقارير!$C$6),AND(التقارير!$C$5="فصلي",Q22=التقارير!$C$7))),1,0))</f>
        <v/>
      </c>
      <c r="T22" s="20">
        <f>IF(S22=1,COUNTIF($S$5:S22,1),"")</f>
        <v/>
      </c>
      <c r="U22">
        <f>IF(AND($A22&lt;&gt;"",$B22&lt;&gt;"",$R22='تقرير الفصل الأول'!$C$4,$Q22='تقرير الفصل الأول'!$C$7),COUNT(U$4:U21)+1,"")</f>
        <v/>
      </c>
      <c r="V22">
        <f>IF(AND($A22&lt;&gt;"",$B22&lt;&gt;"",$R22='تقرير الفصل الثاني'!$C$4,$Q22='تقرير الفصل الثاني'!$C$7),COUNT(V$4:V21)+1,"")</f>
        <v/>
      </c>
      <c r="W22">
        <f>IF(AND($A22&lt;&gt;"",$B22&lt;&gt;"",$R22='تقرير سبتمبر'!$C$4,$P22='تقرير سبتمبر'!$C$6),COUNT(W$4:W21)+1,"")</f>
        <v/>
      </c>
      <c r="X22">
        <f>IF(AND($A22&lt;&gt;"",$B22&lt;&gt;"",$R22='تقرير أكتوبر'!$C$4,$P22='تقرير أكتوبر'!$C$6),COUNT(X$4:X21)+1,"")</f>
        <v/>
      </c>
      <c r="Y22">
        <f>IF(AND($A22&lt;&gt;"",$B22&lt;&gt;"",$R22='تقرير نوفمبر'!$C$4,$P22='تقرير نوفمبر'!$C$6),COUNT(Y$4:Y21)+1,"")</f>
        <v/>
      </c>
      <c r="Z22">
        <f>IF(AND($A22&lt;&gt;"",$B22&lt;&gt;"",$R22='تقرير ديسمبر'!$C$4,$P22='تقرير ديسمبر'!$C$6),COUNT(Z$4:Z21)+1,"")</f>
        <v/>
      </c>
      <c r="AA22">
        <f>IF(AND($A22&lt;&gt;"",$B22&lt;&gt;"",$R22='تقرير يناير'!$C$4,$P22='تقرير يناير'!$C$6),COUNT(AA$4:AA21)+1,"")</f>
        <v/>
      </c>
      <c r="AB22">
        <f>IF(AND($A22&lt;&gt;"",$B22&lt;&gt;"",$R22='تقرير فبراير'!$C$4,$P22='تقرير فبراير'!$C$6),COUNT(AB$4:AB21)+1,"")</f>
        <v/>
      </c>
      <c r="AC22">
        <f>IF(AND($A22&lt;&gt;"",$B22&lt;&gt;"",$R22='تقرير مارس'!$C$4,$P22='تقرير مارس'!$C$6),COUNT(AC$4:AC21)+1,"")</f>
        <v/>
      </c>
      <c r="AD22">
        <f>IF(AND($A22&lt;&gt;"",$B22&lt;&gt;"",$R22='تقرير أبريل'!$C$4,$P22='تقرير أبريل'!$C$6),COUNT(AD$4:AD21)+1,"")</f>
        <v/>
      </c>
      <c r="AE22">
        <f>IF(AND($A22&lt;&gt;"",$B22&lt;&gt;"",$R22='تقرير مايو'!$C$4,$P22='تقرير مايو'!$C$6),COUNT(AE$4:AE21)+1,"")</f>
        <v/>
      </c>
    </row>
    <row r="23">
      <c r="A23" s="16" t="n"/>
      <c r="B23" s="17" t="n"/>
      <c r="C23" s="17" t="n"/>
      <c r="D23" s="18" t="n"/>
      <c r="E23" s="17" t="n"/>
      <c r="F23" s="17" t="n"/>
      <c r="G23" s="19" t="n"/>
      <c r="H23" s="17" t="n"/>
      <c r="I23" s="17" t="n"/>
      <c r="J23" s="17" t="n"/>
      <c r="K23" s="20">
        <f>IF($B23="","",IFERROR(INDEX(الموظفات!$A$5:$A$304,MATCH($B23,الموظفات!$B$5:$B$304,0))&amp;"",""))</f>
        <v/>
      </c>
      <c r="L23" s="21">
        <f>IF($B23="","",IFERROR(INDEX(الموظفات!$C$5:$C$304,MATCH($B23,الموظفات!$B$5:$B$304,0))&amp;"",""))</f>
        <v/>
      </c>
      <c r="M23" s="20">
        <f>IF($B23="","",IFERROR(INDEX(الموظفات!$D$5:$D$304,MATCH($B23,الموظفات!$B$5:$B$304,0))&amp;"",""))</f>
        <v/>
      </c>
      <c r="N23" s="20">
        <f>IF($B23="","",IFERROR(INDEX(الموظفات!$E$5:$E$304,MATCH($B23,الموظفات!$B$5:$B$304,0))&amp;"",""))</f>
        <v/>
      </c>
      <c r="O23" s="21">
        <f>IF(C23="","",IFERROR(INDEX(الإعدادات!$D$7:$D$35,MATCH(C23,الإعدادات!$A$7:$A$35,0))&amp;"",""))</f>
        <v/>
      </c>
      <c r="P23" s="20">
        <f>IF(A23="","",INDEX(الإعدادات!$H$7:$H$18,MONTH(A23)))</f>
        <v/>
      </c>
      <c r="Q23" s="20">
        <f>IF(A23="","",INDEX(الإعدادات!$I$7:$I$18,MONTH(A23)))</f>
        <v/>
      </c>
      <c r="R23" s="20">
        <f>IF(A23="","",IF(MONTH(A23)&gt;=8,YEAR(A23)&amp;"-"&amp;(YEAR(A23)+1),(YEAR(A23)-1)&amp;"-"&amp;YEAR(A23)))</f>
        <v/>
      </c>
      <c r="S23" s="20">
        <f>IF(OR(A23="",B23=""),0,IF(AND(R23=التقارير!$C$4,OR(التقارير!$C$5="سنوي",AND(التقارير!$C$5="شهري",P23=التقارير!$C$6),AND(التقارير!$C$5="فصلي",Q23=التقارير!$C$7))),1,0))</f>
        <v/>
      </c>
      <c r="T23" s="20">
        <f>IF(S23=1,COUNTIF($S$5:S23,1),"")</f>
        <v/>
      </c>
      <c r="U23">
        <f>IF(AND($A23&lt;&gt;"",$B23&lt;&gt;"",$R23='تقرير الفصل الأول'!$C$4,$Q23='تقرير الفصل الأول'!$C$7),COUNT(U$4:U22)+1,"")</f>
        <v/>
      </c>
      <c r="V23">
        <f>IF(AND($A23&lt;&gt;"",$B23&lt;&gt;"",$R23='تقرير الفصل الثاني'!$C$4,$Q23='تقرير الفصل الثاني'!$C$7),COUNT(V$4:V22)+1,"")</f>
        <v/>
      </c>
      <c r="W23">
        <f>IF(AND($A23&lt;&gt;"",$B23&lt;&gt;"",$R23='تقرير سبتمبر'!$C$4,$P23='تقرير سبتمبر'!$C$6),COUNT(W$4:W22)+1,"")</f>
        <v/>
      </c>
      <c r="X23">
        <f>IF(AND($A23&lt;&gt;"",$B23&lt;&gt;"",$R23='تقرير أكتوبر'!$C$4,$P23='تقرير أكتوبر'!$C$6),COUNT(X$4:X22)+1,"")</f>
        <v/>
      </c>
      <c r="Y23">
        <f>IF(AND($A23&lt;&gt;"",$B23&lt;&gt;"",$R23='تقرير نوفمبر'!$C$4,$P23='تقرير نوفمبر'!$C$6),COUNT(Y$4:Y22)+1,"")</f>
        <v/>
      </c>
      <c r="Z23">
        <f>IF(AND($A23&lt;&gt;"",$B23&lt;&gt;"",$R23='تقرير ديسمبر'!$C$4,$P23='تقرير ديسمبر'!$C$6),COUNT(Z$4:Z22)+1,"")</f>
        <v/>
      </c>
      <c r="AA23">
        <f>IF(AND($A23&lt;&gt;"",$B23&lt;&gt;"",$R23='تقرير يناير'!$C$4,$P23='تقرير يناير'!$C$6),COUNT(AA$4:AA22)+1,"")</f>
        <v/>
      </c>
      <c r="AB23">
        <f>IF(AND($A23&lt;&gt;"",$B23&lt;&gt;"",$R23='تقرير فبراير'!$C$4,$P23='تقرير فبراير'!$C$6),COUNT(AB$4:AB22)+1,"")</f>
        <v/>
      </c>
      <c r="AC23">
        <f>IF(AND($A23&lt;&gt;"",$B23&lt;&gt;"",$R23='تقرير مارس'!$C$4,$P23='تقرير مارس'!$C$6),COUNT(AC$4:AC22)+1,"")</f>
        <v/>
      </c>
      <c r="AD23">
        <f>IF(AND($A23&lt;&gt;"",$B23&lt;&gt;"",$R23='تقرير أبريل'!$C$4,$P23='تقرير أبريل'!$C$6),COUNT(AD$4:AD22)+1,"")</f>
        <v/>
      </c>
      <c r="AE23">
        <f>IF(AND($A23&lt;&gt;"",$B23&lt;&gt;"",$R23='تقرير مايو'!$C$4,$P23='تقرير مايو'!$C$6),COUNT(AE$4:AE22)+1,"")</f>
        <v/>
      </c>
    </row>
    <row r="24">
      <c r="A24" s="16" t="n"/>
      <c r="B24" s="17" t="n"/>
      <c r="C24" s="17" t="n"/>
      <c r="D24" s="18" t="n"/>
      <c r="E24" s="17" t="n"/>
      <c r="F24" s="17" t="n"/>
      <c r="G24" s="19" t="n"/>
      <c r="H24" s="17" t="n"/>
      <c r="I24" s="17" t="n"/>
      <c r="J24" s="17" t="n"/>
      <c r="K24" s="20">
        <f>IF($B24="","",IFERROR(INDEX(الموظفات!$A$5:$A$304,MATCH($B24,الموظفات!$B$5:$B$304,0))&amp;"",""))</f>
        <v/>
      </c>
      <c r="L24" s="21">
        <f>IF($B24="","",IFERROR(INDEX(الموظفات!$C$5:$C$304,MATCH($B24,الموظفات!$B$5:$B$304,0))&amp;"",""))</f>
        <v/>
      </c>
      <c r="M24" s="20">
        <f>IF($B24="","",IFERROR(INDEX(الموظفات!$D$5:$D$304,MATCH($B24,الموظفات!$B$5:$B$304,0))&amp;"",""))</f>
        <v/>
      </c>
      <c r="N24" s="20">
        <f>IF($B24="","",IFERROR(INDEX(الموظفات!$E$5:$E$304,MATCH($B24,الموظفات!$B$5:$B$304,0))&amp;"",""))</f>
        <v/>
      </c>
      <c r="O24" s="21">
        <f>IF(C24="","",IFERROR(INDEX(الإعدادات!$D$7:$D$35,MATCH(C24,الإعدادات!$A$7:$A$35,0))&amp;"",""))</f>
        <v/>
      </c>
      <c r="P24" s="20">
        <f>IF(A24="","",INDEX(الإعدادات!$H$7:$H$18,MONTH(A24)))</f>
        <v/>
      </c>
      <c r="Q24" s="20">
        <f>IF(A24="","",INDEX(الإعدادات!$I$7:$I$18,MONTH(A24)))</f>
        <v/>
      </c>
      <c r="R24" s="20">
        <f>IF(A24="","",IF(MONTH(A24)&gt;=8,YEAR(A24)&amp;"-"&amp;(YEAR(A24)+1),(YEAR(A24)-1)&amp;"-"&amp;YEAR(A24)))</f>
        <v/>
      </c>
      <c r="S24" s="20">
        <f>IF(OR(A24="",B24=""),0,IF(AND(R24=التقارير!$C$4,OR(التقارير!$C$5="سنوي",AND(التقارير!$C$5="شهري",P24=التقارير!$C$6),AND(التقارير!$C$5="فصلي",Q24=التقارير!$C$7))),1,0))</f>
        <v/>
      </c>
      <c r="T24" s="20">
        <f>IF(S24=1,COUNTIF($S$5:S24,1),"")</f>
        <v/>
      </c>
      <c r="U24">
        <f>IF(AND($A24&lt;&gt;"",$B24&lt;&gt;"",$R24='تقرير الفصل الأول'!$C$4,$Q24='تقرير الفصل الأول'!$C$7),COUNT(U$4:U23)+1,"")</f>
        <v/>
      </c>
      <c r="V24">
        <f>IF(AND($A24&lt;&gt;"",$B24&lt;&gt;"",$R24='تقرير الفصل الثاني'!$C$4,$Q24='تقرير الفصل الثاني'!$C$7),COUNT(V$4:V23)+1,"")</f>
        <v/>
      </c>
      <c r="W24">
        <f>IF(AND($A24&lt;&gt;"",$B24&lt;&gt;"",$R24='تقرير سبتمبر'!$C$4,$P24='تقرير سبتمبر'!$C$6),COUNT(W$4:W23)+1,"")</f>
        <v/>
      </c>
      <c r="X24">
        <f>IF(AND($A24&lt;&gt;"",$B24&lt;&gt;"",$R24='تقرير أكتوبر'!$C$4,$P24='تقرير أكتوبر'!$C$6),COUNT(X$4:X23)+1,"")</f>
        <v/>
      </c>
      <c r="Y24">
        <f>IF(AND($A24&lt;&gt;"",$B24&lt;&gt;"",$R24='تقرير نوفمبر'!$C$4,$P24='تقرير نوفمبر'!$C$6),COUNT(Y$4:Y23)+1,"")</f>
        <v/>
      </c>
      <c r="Z24">
        <f>IF(AND($A24&lt;&gt;"",$B24&lt;&gt;"",$R24='تقرير ديسمبر'!$C$4,$P24='تقرير ديسمبر'!$C$6),COUNT(Z$4:Z23)+1,"")</f>
        <v/>
      </c>
      <c r="AA24">
        <f>IF(AND($A24&lt;&gt;"",$B24&lt;&gt;"",$R24='تقرير يناير'!$C$4,$P24='تقرير يناير'!$C$6),COUNT(AA$4:AA23)+1,"")</f>
        <v/>
      </c>
      <c r="AB24">
        <f>IF(AND($A24&lt;&gt;"",$B24&lt;&gt;"",$R24='تقرير فبراير'!$C$4,$P24='تقرير فبراير'!$C$6),COUNT(AB$4:AB23)+1,"")</f>
        <v/>
      </c>
      <c r="AC24">
        <f>IF(AND($A24&lt;&gt;"",$B24&lt;&gt;"",$R24='تقرير مارس'!$C$4,$P24='تقرير مارس'!$C$6),COUNT(AC$4:AC23)+1,"")</f>
        <v/>
      </c>
      <c r="AD24">
        <f>IF(AND($A24&lt;&gt;"",$B24&lt;&gt;"",$R24='تقرير أبريل'!$C$4,$P24='تقرير أبريل'!$C$6),COUNT(AD$4:AD23)+1,"")</f>
        <v/>
      </c>
      <c r="AE24">
        <f>IF(AND($A24&lt;&gt;"",$B24&lt;&gt;"",$R24='تقرير مايو'!$C$4,$P24='تقرير مايو'!$C$6),COUNT(AE$4:AE23)+1,"")</f>
        <v/>
      </c>
    </row>
    <row r="25">
      <c r="A25" s="16" t="n"/>
      <c r="B25" s="17" t="n"/>
      <c r="C25" s="17" t="n"/>
      <c r="D25" s="18" t="n"/>
      <c r="E25" s="17" t="n"/>
      <c r="F25" s="17" t="n"/>
      <c r="G25" s="19" t="n"/>
      <c r="H25" s="17" t="n"/>
      <c r="I25" s="17" t="n"/>
      <c r="J25" s="17" t="n"/>
      <c r="K25" s="20">
        <f>IF($B25="","",IFERROR(INDEX(الموظفات!$A$5:$A$304,MATCH($B25,الموظفات!$B$5:$B$304,0))&amp;"",""))</f>
        <v/>
      </c>
      <c r="L25" s="21">
        <f>IF($B25="","",IFERROR(INDEX(الموظفات!$C$5:$C$304,MATCH($B25,الموظفات!$B$5:$B$304,0))&amp;"",""))</f>
        <v/>
      </c>
      <c r="M25" s="20">
        <f>IF($B25="","",IFERROR(INDEX(الموظفات!$D$5:$D$304,MATCH($B25,الموظفات!$B$5:$B$304,0))&amp;"",""))</f>
        <v/>
      </c>
      <c r="N25" s="20">
        <f>IF($B25="","",IFERROR(INDEX(الموظفات!$E$5:$E$304,MATCH($B25,الموظفات!$B$5:$B$304,0))&amp;"",""))</f>
        <v/>
      </c>
      <c r="O25" s="21">
        <f>IF(C25="","",IFERROR(INDEX(الإعدادات!$D$7:$D$35,MATCH(C25,الإعدادات!$A$7:$A$35,0))&amp;"",""))</f>
        <v/>
      </c>
      <c r="P25" s="20">
        <f>IF(A25="","",INDEX(الإعدادات!$H$7:$H$18,MONTH(A25)))</f>
        <v/>
      </c>
      <c r="Q25" s="20">
        <f>IF(A25="","",INDEX(الإعدادات!$I$7:$I$18,MONTH(A25)))</f>
        <v/>
      </c>
      <c r="R25" s="20">
        <f>IF(A25="","",IF(MONTH(A25)&gt;=8,YEAR(A25)&amp;"-"&amp;(YEAR(A25)+1),(YEAR(A25)-1)&amp;"-"&amp;YEAR(A25)))</f>
        <v/>
      </c>
      <c r="S25" s="20">
        <f>IF(OR(A25="",B25=""),0,IF(AND(R25=التقارير!$C$4,OR(التقارير!$C$5="سنوي",AND(التقارير!$C$5="شهري",P25=التقارير!$C$6),AND(التقارير!$C$5="فصلي",Q25=التقارير!$C$7))),1,0))</f>
        <v/>
      </c>
      <c r="T25" s="20">
        <f>IF(S25=1,COUNTIF($S$5:S25,1),"")</f>
        <v/>
      </c>
      <c r="U25">
        <f>IF(AND($A25&lt;&gt;"",$B25&lt;&gt;"",$R25='تقرير الفصل الأول'!$C$4,$Q25='تقرير الفصل الأول'!$C$7),COUNT(U$4:U24)+1,"")</f>
        <v/>
      </c>
      <c r="V25">
        <f>IF(AND($A25&lt;&gt;"",$B25&lt;&gt;"",$R25='تقرير الفصل الثاني'!$C$4,$Q25='تقرير الفصل الثاني'!$C$7),COUNT(V$4:V24)+1,"")</f>
        <v/>
      </c>
      <c r="W25">
        <f>IF(AND($A25&lt;&gt;"",$B25&lt;&gt;"",$R25='تقرير سبتمبر'!$C$4,$P25='تقرير سبتمبر'!$C$6),COUNT(W$4:W24)+1,"")</f>
        <v/>
      </c>
      <c r="X25">
        <f>IF(AND($A25&lt;&gt;"",$B25&lt;&gt;"",$R25='تقرير أكتوبر'!$C$4,$P25='تقرير أكتوبر'!$C$6),COUNT(X$4:X24)+1,"")</f>
        <v/>
      </c>
      <c r="Y25">
        <f>IF(AND($A25&lt;&gt;"",$B25&lt;&gt;"",$R25='تقرير نوفمبر'!$C$4,$P25='تقرير نوفمبر'!$C$6),COUNT(Y$4:Y24)+1,"")</f>
        <v/>
      </c>
      <c r="Z25">
        <f>IF(AND($A25&lt;&gt;"",$B25&lt;&gt;"",$R25='تقرير ديسمبر'!$C$4,$P25='تقرير ديسمبر'!$C$6),COUNT(Z$4:Z24)+1,"")</f>
        <v/>
      </c>
      <c r="AA25">
        <f>IF(AND($A25&lt;&gt;"",$B25&lt;&gt;"",$R25='تقرير يناير'!$C$4,$P25='تقرير يناير'!$C$6),COUNT(AA$4:AA24)+1,"")</f>
        <v/>
      </c>
      <c r="AB25">
        <f>IF(AND($A25&lt;&gt;"",$B25&lt;&gt;"",$R25='تقرير فبراير'!$C$4,$P25='تقرير فبراير'!$C$6),COUNT(AB$4:AB24)+1,"")</f>
        <v/>
      </c>
      <c r="AC25">
        <f>IF(AND($A25&lt;&gt;"",$B25&lt;&gt;"",$R25='تقرير مارس'!$C$4,$P25='تقرير مارس'!$C$6),COUNT(AC$4:AC24)+1,"")</f>
        <v/>
      </c>
      <c r="AD25">
        <f>IF(AND($A25&lt;&gt;"",$B25&lt;&gt;"",$R25='تقرير أبريل'!$C$4,$P25='تقرير أبريل'!$C$6),COUNT(AD$4:AD24)+1,"")</f>
        <v/>
      </c>
      <c r="AE25">
        <f>IF(AND($A25&lt;&gt;"",$B25&lt;&gt;"",$R25='تقرير مايو'!$C$4,$P25='تقرير مايو'!$C$6),COUNT(AE$4:AE24)+1,"")</f>
        <v/>
      </c>
    </row>
    <row r="26">
      <c r="A26" s="16" t="n"/>
      <c r="B26" s="17" t="n"/>
      <c r="C26" s="17" t="n"/>
      <c r="D26" s="18" t="n"/>
      <c r="E26" s="17" t="n"/>
      <c r="F26" s="17" t="n"/>
      <c r="G26" s="19" t="n"/>
      <c r="H26" s="17" t="n"/>
      <c r="I26" s="17" t="n"/>
      <c r="J26" s="17" t="n"/>
      <c r="K26" s="20">
        <f>IF($B26="","",IFERROR(INDEX(الموظفات!$A$5:$A$304,MATCH($B26,الموظفات!$B$5:$B$304,0))&amp;"",""))</f>
        <v/>
      </c>
      <c r="L26" s="21">
        <f>IF($B26="","",IFERROR(INDEX(الموظفات!$C$5:$C$304,MATCH($B26,الموظفات!$B$5:$B$304,0))&amp;"",""))</f>
        <v/>
      </c>
      <c r="M26" s="20">
        <f>IF($B26="","",IFERROR(INDEX(الموظفات!$D$5:$D$304,MATCH($B26,الموظفات!$B$5:$B$304,0))&amp;"",""))</f>
        <v/>
      </c>
      <c r="N26" s="20">
        <f>IF($B26="","",IFERROR(INDEX(الموظفات!$E$5:$E$304,MATCH($B26,الموظفات!$B$5:$B$304,0))&amp;"",""))</f>
        <v/>
      </c>
      <c r="O26" s="21">
        <f>IF(C26="","",IFERROR(INDEX(الإعدادات!$D$7:$D$35,MATCH(C26,الإعدادات!$A$7:$A$35,0))&amp;"",""))</f>
        <v/>
      </c>
      <c r="P26" s="20">
        <f>IF(A26="","",INDEX(الإعدادات!$H$7:$H$18,MONTH(A26)))</f>
        <v/>
      </c>
      <c r="Q26" s="20">
        <f>IF(A26="","",INDEX(الإعدادات!$I$7:$I$18,MONTH(A26)))</f>
        <v/>
      </c>
      <c r="R26" s="20">
        <f>IF(A26="","",IF(MONTH(A26)&gt;=8,YEAR(A26)&amp;"-"&amp;(YEAR(A26)+1),(YEAR(A26)-1)&amp;"-"&amp;YEAR(A26)))</f>
        <v/>
      </c>
      <c r="S26" s="20">
        <f>IF(OR(A26="",B26=""),0,IF(AND(R26=التقارير!$C$4,OR(التقارير!$C$5="سنوي",AND(التقارير!$C$5="شهري",P26=التقارير!$C$6),AND(التقارير!$C$5="فصلي",Q26=التقارير!$C$7))),1,0))</f>
        <v/>
      </c>
      <c r="T26" s="20">
        <f>IF(S26=1,COUNTIF($S$5:S26,1),"")</f>
        <v/>
      </c>
      <c r="U26">
        <f>IF(AND($A26&lt;&gt;"",$B26&lt;&gt;"",$R26='تقرير الفصل الأول'!$C$4,$Q26='تقرير الفصل الأول'!$C$7),COUNT(U$4:U25)+1,"")</f>
        <v/>
      </c>
      <c r="V26">
        <f>IF(AND($A26&lt;&gt;"",$B26&lt;&gt;"",$R26='تقرير الفصل الثاني'!$C$4,$Q26='تقرير الفصل الثاني'!$C$7),COUNT(V$4:V25)+1,"")</f>
        <v/>
      </c>
      <c r="W26">
        <f>IF(AND($A26&lt;&gt;"",$B26&lt;&gt;"",$R26='تقرير سبتمبر'!$C$4,$P26='تقرير سبتمبر'!$C$6),COUNT(W$4:W25)+1,"")</f>
        <v/>
      </c>
      <c r="X26">
        <f>IF(AND($A26&lt;&gt;"",$B26&lt;&gt;"",$R26='تقرير أكتوبر'!$C$4,$P26='تقرير أكتوبر'!$C$6),COUNT(X$4:X25)+1,"")</f>
        <v/>
      </c>
      <c r="Y26">
        <f>IF(AND($A26&lt;&gt;"",$B26&lt;&gt;"",$R26='تقرير نوفمبر'!$C$4,$P26='تقرير نوفمبر'!$C$6),COUNT(Y$4:Y25)+1,"")</f>
        <v/>
      </c>
      <c r="Z26">
        <f>IF(AND($A26&lt;&gt;"",$B26&lt;&gt;"",$R26='تقرير ديسمبر'!$C$4,$P26='تقرير ديسمبر'!$C$6),COUNT(Z$4:Z25)+1,"")</f>
        <v/>
      </c>
      <c r="AA26">
        <f>IF(AND($A26&lt;&gt;"",$B26&lt;&gt;"",$R26='تقرير يناير'!$C$4,$P26='تقرير يناير'!$C$6),COUNT(AA$4:AA25)+1,"")</f>
        <v/>
      </c>
      <c r="AB26">
        <f>IF(AND($A26&lt;&gt;"",$B26&lt;&gt;"",$R26='تقرير فبراير'!$C$4,$P26='تقرير فبراير'!$C$6),COUNT(AB$4:AB25)+1,"")</f>
        <v/>
      </c>
      <c r="AC26">
        <f>IF(AND($A26&lt;&gt;"",$B26&lt;&gt;"",$R26='تقرير مارس'!$C$4,$P26='تقرير مارس'!$C$6),COUNT(AC$4:AC25)+1,"")</f>
        <v/>
      </c>
      <c r="AD26">
        <f>IF(AND($A26&lt;&gt;"",$B26&lt;&gt;"",$R26='تقرير أبريل'!$C$4,$P26='تقرير أبريل'!$C$6),COUNT(AD$4:AD25)+1,"")</f>
        <v/>
      </c>
      <c r="AE26">
        <f>IF(AND($A26&lt;&gt;"",$B26&lt;&gt;"",$R26='تقرير مايو'!$C$4,$P26='تقرير مايو'!$C$6),COUNT(AE$4:AE25)+1,"")</f>
        <v/>
      </c>
    </row>
    <row r="27">
      <c r="A27" s="16" t="n"/>
      <c r="B27" s="17" t="n"/>
      <c r="C27" s="17" t="n"/>
      <c r="D27" s="18" t="n"/>
      <c r="E27" s="17" t="n"/>
      <c r="F27" s="17" t="n"/>
      <c r="G27" s="19" t="n"/>
      <c r="H27" s="17" t="n"/>
      <c r="I27" s="17" t="n"/>
      <c r="J27" s="17" t="n"/>
      <c r="K27" s="20">
        <f>IF($B27="","",IFERROR(INDEX(الموظفات!$A$5:$A$304,MATCH($B27,الموظفات!$B$5:$B$304,0))&amp;"",""))</f>
        <v/>
      </c>
      <c r="L27" s="21">
        <f>IF($B27="","",IFERROR(INDEX(الموظفات!$C$5:$C$304,MATCH($B27,الموظفات!$B$5:$B$304,0))&amp;"",""))</f>
        <v/>
      </c>
      <c r="M27" s="20">
        <f>IF($B27="","",IFERROR(INDEX(الموظفات!$D$5:$D$304,MATCH($B27,الموظفات!$B$5:$B$304,0))&amp;"",""))</f>
        <v/>
      </c>
      <c r="N27" s="20">
        <f>IF($B27="","",IFERROR(INDEX(الموظفات!$E$5:$E$304,MATCH($B27,الموظفات!$B$5:$B$304,0))&amp;"",""))</f>
        <v/>
      </c>
      <c r="O27" s="21">
        <f>IF(C27="","",IFERROR(INDEX(الإعدادات!$D$7:$D$35,MATCH(C27,الإعدادات!$A$7:$A$35,0))&amp;"",""))</f>
        <v/>
      </c>
      <c r="P27" s="20">
        <f>IF(A27="","",INDEX(الإعدادات!$H$7:$H$18,MONTH(A27)))</f>
        <v/>
      </c>
      <c r="Q27" s="20">
        <f>IF(A27="","",INDEX(الإعدادات!$I$7:$I$18,MONTH(A27)))</f>
        <v/>
      </c>
      <c r="R27" s="20">
        <f>IF(A27="","",IF(MONTH(A27)&gt;=8,YEAR(A27)&amp;"-"&amp;(YEAR(A27)+1),(YEAR(A27)-1)&amp;"-"&amp;YEAR(A27)))</f>
        <v/>
      </c>
      <c r="S27" s="20">
        <f>IF(OR(A27="",B27=""),0,IF(AND(R27=التقارير!$C$4,OR(التقارير!$C$5="سنوي",AND(التقارير!$C$5="شهري",P27=التقارير!$C$6),AND(التقارير!$C$5="فصلي",Q27=التقارير!$C$7))),1,0))</f>
        <v/>
      </c>
      <c r="T27" s="20">
        <f>IF(S27=1,COUNTIF($S$5:S27,1),"")</f>
        <v/>
      </c>
      <c r="U27">
        <f>IF(AND($A27&lt;&gt;"",$B27&lt;&gt;"",$R27='تقرير الفصل الأول'!$C$4,$Q27='تقرير الفصل الأول'!$C$7),COUNT(U$4:U26)+1,"")</f>
        <v/>
      </c>
      <c r="V27">
        <f>IF(AND($A27&lt;&gt;"",$B27&lt;&gt;"",$R27='تقرير الفصل الثاني'!$C$4,$Q27='تقرير الفصل الثاني'!$C$7),COUNT(V$4:V26)+1,"")</f>
        <v/>
      </c>
      <c r="W27">
        <f>IF(AND($A27&lt;&gt;"",$B27&lt;&gt;"",$R27='تقرير سبتمبر'!$C$4,$P27='تقرير سبتمبر'!$C$6),COUNT(W$4:W26)+1,"")</f>
        <v/>
      </c>
      <c r="X27">
        <f>IF(AND($A27&lt;&gt;"",$B27&lt;&gt;"",$R27='تقرير أكتوبر'!$C$4,$P27='تقرير أكتوبر'!$C$6),COUNT(X$4:X26)+1,"")</f>
        <v/>
      </c>
      <c r="Y27">
        <f>IF(AND($A27&lt;&gt;"",$B27&lt;&gt;"",$R27='تقرير نوفمبر'!$C$4,$P27='تقرير نوفمبر'!$C$6),COUNT(Y$4:Y26)+1,"")</f>
        <v/>
      </c>
      <c r="Z27">
        <f>IF(AND($A27&lt;&gt;"",$B27&lt;&gt;"",$R27='تقرير ديسمبر'!$C$4,$P27='تقرير ديسمبر'!$C$6),COUNT(Z$4:Z26)+1,"")</f>
        <v/>
      </c>
      <c r="AA27">
        <f>IF(AND($A27&lt;&gt;"",$B27&lt;&gt;"",$R27='تقرير يناير'!$C$4,$P27='تقرير يناير'!$C$6),COUNT(AA$4:AA26)+1,"")</f>
        <v/>
      </c>
      <c r="AB27">
        <f>IF(AND($A27&lt;&gt;"",$B27&lt;&gt;"",$R27='تقرير فبراير'!$C$4,$P27='تقرير فبراير'!$C$6),COUNT(AB$4:AB26)+1,"")</f>
        <v/>
      </c>
      <c r="AC27">
        <f>IF(AND($A27&lt;&gt;"",$B27&lt;&gt;"",$R27='تقرير مارس'!$C$4,$P27='تقرير مارس'!$C$6),COUNT(AC$4:AC26)+1,"")</f>
        <v/>
      </c>
      <c r="AD27">
        <f>IF(AND($A27&lt;&gt;"",$B27&lt;&gt;"",$R27='تقرير أبريل'!$C$4,$P27='تقرير أبريل'!$C$6),COUNT(AD$4:AD26)+1,"")</f>
        <v/>
      </c>
      <c r="AE27">
        <f>IF(AND($A27&lt;&gt;"",$B27&lt;&gt;"",$R27='تقرير مايو'!$C$4,$P27='تقرير مايو'!$C$6),COUNT(AE$4:AE26)+1,"")</f>
        <v/>
      </c>
    </row>
    <row r="28">
      <c r="A28" s="16" t="n"/>
      <c r="B28" s="17" t="n"/>
      <c r="C28" s="17" t="n"/>
      <c r="D28" s="18" t="n"/>
      <c r="E28" s="17" t="n"/>
      <c r="F28" s="17" t="n"/>
      <c r="G28" s="19" t="n"/>
      <c r="H28" s="17" t="n"/>
      <c r="I28" s="17" t="n"/>
      <c r="J28" s="17" t="n"/>
      <c r="K28" s="20">
        <f>IF($B28="","",IFERROR(INDEX(الموظفات!$A$5:$A$304,MATCH($B28,الموظفات!$B$5:$B$304,0))&amp;"",""))</f>
        <v/>
      </c>
      <c r="L28" s="21">
        <f>IF($B28="","",IFERROR(INDEX(الموظفات!$C$5:$C$304,MATCH($B28,الموظفات!$B$5:$B$304,0))&amp;"",""))</f>
        <v/>
      </c>
      <c r="M28" s="20">
        <f>IF($B28="","",IFERROR(INDEX(الموظفات!$D$5:$D$304,MATCH($B28,الموظفات!$B$5:$B$304,0))&amp;"",""))</f>
        <v/>
      </c>
      <c r="N28" s="20">
        <f>IF($B28="","",IFERROR(INDEX(الموظفات!$E$5:$E$304,MATCH($B28,الموظفات!$B$5:$B$304,0))&amp;"",""))</f>
        <v/>
      </c>
      <c r="O28" s="21">
        <f>IF(C28="","",IFERROR(INDEX(الإعدادات!$D$7:$D$35,MATCH(C28,الإعدادات!$A$7:$A$35,0))&amp;"",""))</f>
        <v/>
      </c>
      <c r="P28" s="20">
        <f>IF(A28="","",INDEX(الإعدادات!$H$7:$H$18,MONTH(A28)))</f>
        <v/>
      </c>
      <c r="Q28" s="20">
        <f>IF(A28="","",INDEX(الإعدادات!$I$7:$I$18,MONTH(A28)))</f>
        <v/>
      </c>
      <c r="R28" s="20">
        <f>IF(A28="","",IF(MONTH(A28)&gt;=8,YEAR(A28)&amp;"-"&amp;(YEAR(A28)+1),(YEAR(A28)-1)&amp;"-"&amp;YEAR(A28)))</f>
        <v/>
      </c>
      <c r="S28" s="20">
        <f>IF(OR(A28="",B28=""),0,IF(AND(R28=التقارير!$C$4,OR(التقارير!$C$5="سنوي",AND(التقارير!$C$5="شهري",P28=التقارير!$C$6),AND(التقارير!$C$5="فصلي",Q28=التقارير!$C$7))),1,0))</f>
        <v/>
      </c>
      <c r="T28" s="20">
        <f>IF(S28=1,COUNTIF($S$5:S28,1),"")</f>
        <v/>
      </c>
      <c r="U28">
        <f>IF(AND($A28&lt;&gt;"",$B28&lt;&gt;"",$R28='تقرير الفصل الأول'!$C$4,$Q28='تقرير الفصل الأول'!$C$7),COUNT(U$4:U27)+1,"")</f>
        <v/>
      </c>
      <c r="V28">
        <f>IF(AND($A28&lt;&gt;"",$B28&lt;&gt;"",$R28='تقرير الفصل الثاني'!$C$4,$Q28='تقرير الفصل الثاني'!$C$7),COUNT(V$4:V27)+1,"")</f>
        <v/>
      </c>
      <c r="W28">
        <f>IF(AND($A28&lt;&gt;"",$B28&lt;&gt;"",$R28='تقرير سبتمبر'!$C$4,$P28='تقرير سبتمبر'!$C$6),COUNT(W$4:W27)+1,"")</f>
        <v/>
      </c>
      <c r="X28">
        <f>IF(AND($A28&lt;&gt;"",$B28&lt;&gt;"",$R28='تقرير أكتوبر'!$C$4,$P28='تقرير أكتوبر'!$C$6),COUNT(X$4:X27)+1,"")</f>
        <v/>
      </c>
      <c r="Y28">
        <f>IF(AND($A28&lt;&gt;"",$B28&lt;&gt;"",$R28='تقرير نوفمبر'!$C$4,$P28='تقرير نوفمبر'!$C$6),COUNT(Y$4:Y27)+1,"")</f>
        <v/>
      </c>
      <c r="Z28">
        <f>IF(AND($A28&lt;&gt;"",$B28&lt;&gt;"",$R28='تقرير ديسمبر'!$C$4,$P28='تقرير ديسمبر'!$C$6),COUNT(Z$4:Z27)+1,"")</f>
        <v/>
      </c>
      <c r="AA28">
        <f>IF(AND($A28&lt;&gt;"",$B28&lt;&gt;"",$R28='تقرير يناير'!$C$4,$P28='تقرير يناير'!$C$6),COUNT(AA$4:AA27)+1,"")</f>
        <v/>
      </c>
      <c r="AB28">
        <f>IF(AND($A28&lt;&gt;"",$B28&lt;&gt;"",$R28='تقرير فبراير'!$C$4,$P28='تقرير فبراير'!$C$6),COUNT(AB$4:AB27)+1,"")</f>
        <v/>
      </c>
      <c r="AC28">
        <f>IF(AND($A28&lt;&gt;"",$B28&lt;&gt;"",$R28='تقرير مارس'!$C$4,$P28='تقرير مارس'!$C$6),COUNT(AC$4:AC27)+1,"")</f>
        <v/>
      </c>
      <c r="AD28">
        <f>IF(AND($A28&lt;&gt;"",$B28&lt;&gt;"",$R28='تقرير أبريل'!$C$4,$P28='تقرير أبريل'!$C$6),COUNT(AD$4:AD27)+1,"")</f>
        <v/>
      </c>
      <c r="AE28">
        <f>IF(AND($A28&lt;&gt;"",$B28&lt;&gt;"",$R28='تقرير مايو'!$C$4,$P28='تقرير مايو'!$C$6),COUNT(AE$4:AE27)+1,"")</f>
        <v/>
      </c>
    </row>
    <row r="29">
      <c r="A29" s="16" t="n"/>
      <c r="B29" s="17" t="n"/>
      <c r="C29" s="17" t="n"/>
      <c r="D29" s="18" t="n"/>
      <c r="E29" s="17" t="n"/>
      <c r="F29" s="17" t="n"/>
      <c r="G29" s="19" t="n"/>
      <c r="H29" s="17" t="n"/>
      <c r="I29" s="17" t="n"/>
      <c r="J29" s="17" t="n"/>
      <c r="K29" s="20">
        <f>IF($B29="","",IFERROR(INDEX(الموظفات!$A$5:$A$304,MATCH($B29,الموظفات!$B$5:$B$304,0))&amp;"",""))</f>
        <v/>
      </c>
      <c r="L29" s="21">
        <f>IF($B29="","",IFERROR(INDEX(الموظفات!$C$5:$C$304,MATCH($B29,الموظفات!$B$5:$B$304,0))&amp;"",""))</f>
        <v/>
      </c>
      <c r="M29" s="20">
        <f>IF($B29="","",IFERROR(INDEX(الموظفات!$D$5:$D$304,MATCH($B29,الموظفات!$B$5:$B$304,0))&amp;"",""))</f>
        <v/>
      </c>
      <c r="N29" s="20">
        <f>IF($B29="","",IFERROR(INDEX(الموظفات!$E$5:$E$304,MATCH($B29,الموظفات!$B$5:$B$304,0))&amp;"",""))</f>
        <v/>
      </c>
      <c r="O29" s="21">
        <f>IF(C29="","",IFERROR(INDEX(الإعدادات!$D$7:$D$35,MATCH(C29,الإعدادات!$A$7:$A$35,0))&amp;"",""))</f>
        <v/>
      </c>
      <c r="P29" s="20">
        <f>IF(A29="","",INDEX(الإعدادات!$H$7:$H$18,MONTH(A29)))</f>
        <v/>
      </c>
      <c r="Q29" s="20">
        <f>IF(A29="","",INDEX(الإعدادات!$I$7:$I$18,MONTH(A29)))</f>
        <v/>
      </c>
      <c r="R29" s="20">
        <f>IF(A29="","",IF(MONTH(A29)&gt;=8,YEAR(A29)&amp;"-"&amp;(YEAR(A29)+1),(YEAR(A29)-1)&amp;"-"&amp;YEAR(A29)))</f>
        <v/>
      </c>
      <c r="S29" s="20">
        <f>IF(OR(A29="",B29=""),0,IF(AND(R29=التقارير!$C$4,OR(التقارير!$C$5="سنوي",AND(التقارير!$C$5="شهري",P29=التقارير!$C$6),AND(التقارير!$C$5="فصلي",Q29=التقارير!$C$7))),1,0))</f>
        <v/>
      </c>
      <c r="T29" s="20">
        <f>IF(S29=1,COUNTIF($S$5:S29,1),"")</f>
        <v/>
      </c>
      <c r="U29">
        <f>IF(AND($A29&lt;&gt;"",$B29&lt;&gt;"",$R29='تقرير الفصل الأول'!$C$4,$Q29='تقرير الفصل الأول'!$C$7),COUNT(U$4:U28)+1,"")</f>
        <v/>
      </c>
      <c r="V29">
        <f>IF(AND($A29&lt;&gt;"",$B29&lt;&gt;"",$R29='تقرير الفصل الثاني'!$C$4,$Q29='تقرير الفصل الثاني'!$C$7),COUNT(V$4:V28)+1,"")</f>
        <v/>
      </c>
      <c r="W29">
        <f>IF(AND($A29&lt;&gt;"",$B29&lt;&gt;"",$R29='تقرير سبتمبر'!$C$4,$P29='تقرير سبتمبر'!$C$6),COUNT(W$4:W28)+1,"")</f>
        <v/>
      </c>
      <c r="X29">
        <f>IF(AND($A29&lt;&gt;"",$B29&lt;&gt;"",$R29='تقرير أكتوبر'!$C$4,$P29='تقرير أكتوبر'!$C$6),COUNT(X$4:X28)+1,"")</f>
        <v/>
      </c>
      <c r="Y29">
        <f>IF(AND($A29&lt;&gt;"",$B29&lt;&gt;"",$R29='تقرير نوفمبر'!$C$4,$P29='تقرير نوفمبر'!$C$6),COUNT(Y$4:Y28)+1,"")</f>
        <v/>
      </c>
      <c r="Z29">
        <f>IF(AND($A29&lt;&gt;"",$B29&lt;&gt;"",$R29='تقرير ديسمبر'!$C$4,$P29='تقرير ديسمبر'!$C$6),COUNT(Z$4:Z28)+1,"")</f>
        <v/>
      </c>
      <c r="AA29">
        <f>IF(AND($A29&lt;&gt;"",$B29&lt;&gt;"",$R29='تقرير يناير'!$C$4,$P29='تقرير يناير'!$C$6),COUNT(AA$4:AA28)+1,"")</f>
        <v/>
      </c>
      <c r="AB29">
        <f>IF(AND($A29&lt;&gt;"",$B29&lt;&gt;"",$R29='تقرير فبراير'!$C$4,$P29='تقرير فبراير'!$C$6),COUNT(AB$4:AB28)+1,"")</f>
        <v/>
      </c>
      <c r="AC29">
        <f>IF(AND($A29&lt;&gt;"",$B29&lt;&gt;"",$R29='تقرير مارس'!$C$4,$P29='تقرير مارس'!$C$6),COUNT(AC$4:AC28)+1,"")</f>
        <v/>
      </c>
      <c r="AD29">
        <f>IF(AND($A29&lt;&gt;"",$B29&lt;&gt;"",$R29='تقرير أبريل'!$C$4,$P29='تقرير أبريل'!$C$6),COUNT(AD$4:AD28)+1,"")</f>
        <v/>
      </c>
      <c r="AE29">
        <f>IF(AND($A29&lt;&gt;"",$B29&lt;&gt;"",$R29='تقرير مايو'!$C$4,$P29='تقرير مايو'!$C$6),COUNT(AE$4:AE28)+1,"")</f>
        <v/>
      </c>
    </row>
    <row r="30">
      <c r="A30" s="16" t="n"/>
      <c r="B30" s="17" t="n"/>
      <c r="C30" s="17" t="n"/>
      <c r="D30" s="18" t="n"/>
      <c r="E30" s="17" t="n"/>
      <c r="F30" s="17" t="n"/>
      <c r="G30" s="19" t="n"/>
      <c r="H30" s="17" t="n"/>
      <c r="I30" s="17" t="n"/>
      <c r="J30" s="17" t="n"/>
      <c r="K30" s="20">
        <f>IF($B30="","",IFERROR(INDEX(الموظفات!$A$5:$A$304,MATCH($B30,الموظفات!$B$5:$B$304,0))&amp;"",""))</f>
        <v/>
      </c>
      <c r="L30" s="21">
        <f>IF($B30="","",IFERROR(INDEX(الموظفات!$C$5:$C$304,MATCH($B30,الموظفات!$B$5:$B$304,0))&amp;"",""))</f>
        <v/>
      </c>
      <c r="M30" s="20">
        <f>IF($B30="","",IFERROR(INDEX(الموظفات!$D$5:$D$304,MATCH($B30,الموظفات!$B$5:$B$304,0))&amp;"",""))</f>
        <v/>
      </c>
      <c r="N30" s="20">
        <f>IF($B30="","",IFERROR(INDEX(الموظفات!$E$5:$E$304,MATCH($B30,الموظفات!$B$5:$B$304,0))&amp;"",""))</f>
        <v/>
      </c>
      <c r="O30" s="21">
        <f>IF(C30="","",IFERROR(INDEX(الإعدادات!$D$7:$D$35,MATCH(C30,الإعدادات!$A$7:$A$35,0))&amp;"",""))</f>
        <v/>
      </c>
      <c r="P30" s="20">
        <f>IF(A30="","",INDEX(الإعدادات!$H$7:$H$18,MONTH(A30)))</f>
        <v/>
      </c>
      <c r="Q30" s="20">
        <f>IF(A30="","",INDEX(الإعدادات!$I$7:$I$18,MONTH(A30)))</f>
        <v/>
      </c>
      <c r="R30" s="20">
        <f>IF(A30="","",IF(MONTH(A30)&gt;=8,YEAR(A30)&amp;"-"&amp;(YEAR(A30)+1),(YEAR(A30)-1)&amp;"-"&amp;YEAR(A30)))</f>
        <v/>
      </c>
      <c r="S30" s="20">
        <f>IF(OR(A30="",B30=""),0,IF(AND(R30=التقارير!$C$4,OR(التقارير!$C$5="سنوي",AND(التقارير!$C$5="شهري",P30=التقارير!$C$6),AND(التقارير!$C$5="فصلي",Q30=التقارير!$C$7))),1,0))</f>
        <v/>
      </c>
      <c r="T30" s="20">
        <f>IF(S30=1,COUNTIF($S$5:S30,1),"")</f>
        <v/>
      </c>
      <c r="U30">
        <f>IF(AND($A30&lt;&gt;"",$B30&lt;&gt;"",$R30='تقرير الفصل الأول'!$C$4,$Q30='تقرير الفصل الأول'!$C$7),COUNT(U$4:U29)+1,"")</f>
        <v/>
      </c>
      <c r="V30">
        <f>IF(AND($A30&lt;&gt;"",$B30&lt;&gt;"",$R30='تقرير الفصل الثاني'!$C$4,$Q30='تقرير الفصل الثاني'!$C$7),COUNT(V$4:V29)+1,"")</f>
        <v/>
      </c>
      <c r="W30">
        <f>IF(AND($A30&lt;&gt;"",$B30&lt;&gt;"",$R30='تقرير سبتمبر'!$C$4,$P30='تقرير سبتمبر'!$C$6),COUNT(W$4:W29)+1,"")</f>
        <v/>
      </c>
      <c r="X30">
        <f>IF(AND($A30&lt;&gt;"",$B30&lt;&gt;"",$R30='تقرير أكتوبر'!$C$4,$P30='تقرير أكتوبر'!$C$6),COUNT(X$4:X29)+1,"")</f>
        <v/>
      </c>
      <c r="Y30">
        <f>IF(AND($A30&lt;&gt;"",$B30&lt;&gt;"",$R30='تقرير نوفمبر'!$C$4,$P30='تقرير نوفمبر'!$C$6),COUNT(Y$4:Y29)+1,"")</f>
        <v/>
      </c>
      <c r="Z30">
        <f>IF(AND($A30&lt;&gt;"",$B30&lt;&gt;"",$R30='تقرير ديسمبر'!$C$4,$P30='تقرير ديسمبر'!$C$6),COUNT(Z$4:Z29)+1,"")</f>
        <v/>
      </c>
      <c r="AA30">
        <f>IF(AND($A30&lt;&gt;"",$B30&lt;&gt;"",$R30='تقرير يناير'!$C$4,$P30='تقرير يناير'!$C$6),COUNT(AA$4:AA29)+1,"")</f>
        <v/>
      </c>
      <c r="AB30">
        <f>IF(AND($A30&lt;&gt;"",$B30&lt;&gt;"",$R30='تقرير فبراير'!$C$4,$P30='تقرير فبراير'!$C$6),COUNT(AB$4:AB29)+1,"")</f>
        <v/>
      </c>
      <c r="AC30">
        <f>IF(AND($A30&lt;&gt;"",$B30&lt;&gt;"",$R30='تقرير مارس'!$C$4,$P30='تقرير مارس'!$C$6),COUNT(AC$4:AC29)+1,"")</f>
        <v/>
      </c>
      <c r="AD30">
        <f>IF(AND($A30&lt;&gt;"",$B30&lt;&gt;"",$R30='تقرير أبريل'!$C$4,$P30='تقرير أبريل'!$C$6),COUNT(AD$4:AD29)+1,"")</f>
        <v/>
      </c>
      <c r="AE30">
        <f>IF(AND($A30&lt;&gt;"",$B30&lt;&gt;"",$R30='تقرير مايو'!$C$4,$P30='تقرير مايو'!$C$6),COUNT(AE$4:AE29)+1,"")</f>
        <v/>
      </c>
    </row>
    <row r="31">
      <c r="A31" s="16" t="n"/>
      <c r="B31" s="17" t="n"/>
      <c r="C31" s="17" t="n"/>
      <c r="D31" s="18" t="n"/>
      <c r="E31" s="17" t="n"/>
      <c r="F31" s="17" t="n"/>
      <c r="G31" s="19" t="n"/>
      <c r="H31" s="17" t="n"/>
      <c r="I31" s="17" t="n"/>
      <c r="J31" s="17" t="n"/>
      <c r="K31" s="20">
        <f>IF($B31="","",IFERROR(INDEX(الموظفات!$A$5:$A$304,MATCH($B31,الموظفات!$B$5:$B$304,0))&amp;"",""))</f>
        <v/>
      </c>
      <c r="L31" s="21">
        <f>IF($B31="","",IFERROR(INDEX(الموظفات!$C$5:$C$304,MATCH($B31,الموظفات!$B$5:$B$304,0))&amp;"",""))</f>
        <v/>
      </c>
      <c r="M31" s="20">
        <f>IF($B31="","",IFERROR(INDEX(الموظفات!$D$5:$D$304,MATCH($B31,الموظفات!$B$5:$B$304,0))&amp;"",""))</f>
        <v/>
      </c>
      <c r="N31" s="20">
        <f>IF($B31="","",IFERROR(INDEX(الموظفات!$E$5:$E$304,MATCH($B31,الموظفات!$B$5:$B$304,0))&amp;"",""))</f>
        <v/>
      </c>
      <c r="O31" s="21">
        <f>IF(C31="","",IFERROR(INDEX(الإعدادات!$D$7:$D$35,MATCH(C31,الإعدادات!$A$7:$A$35,0))&amp;"",""))</f>
        <v/>
      </c>
      <c r="P31" s="20">
        <f>IF(A31="","",INDEX(الإعدادات!$H$7:$H$18,MONTH(A31)))</f>
        <v/>
      </c>
      <c r="Q31" s="20">
        <f>IF(A31="","",INDEX(الإعدادات!$I$7:$I$18,MONTH(A31)))</f>
        <v/>
      </c>
      <c r="R31" s="20">
        <f>IF(A31="","",IF(MONTH(A31)&gt;=8,YEAR(A31)&amp;"-"&amp;(YEAR(A31)+1),(YEAR(A31)-1)&amp;"-"&amp;YEAR(A31)))</f>
        <v/>
      </c>
      <c r="S31" s="20">
        <f>IF(OR(A31="",B31=""),0,IF(AND(R31=التقارير!$C$4,OR(التقارير!$C$5="سنوي",AND(التقارير!$C$5="شهري",P31=التقارير!$C$6),AND(التقارير!$C$5="فصلي",Q31=التقارير!$C$7))),1,0))</f>
        <v/>
      </c>
      <c r="T31" s="20">
        <f>IF(S31=1,COUNTIF($S$5:S31,1),"")</f>
        <v/>
      </c>
      <c r="U31">
        <f>IF(AND($A31&lt;&gt;"",$B31&lt;&gt;"",$R31='تقرير الفصل الأول'!$C$4,$Q31='تقرير الفصل الأول'!$C$7),COUNT(U$4:U30)+1,"")</f>
        <v/>
      </c>
      <c r="V31">
        <f>IF(AND($A31&lt;&gt;"",$B31&lt;&gt;"",$R31='تقرير الفصل الثاني'!$C$4,$Q31='تقرير الفصل الثاني'!$C$7),COUNT(V$4:V30)+1,"")</f>
        <v/>
      </c>
      <c r="W31">
        <f>IF(AND($A31&lt;&gt;"",$B31&lt;&gt;"",$R31='تقرير سبتمبر'!$C$4,$P31='تقرير سبتمبر'!$C$6),COUNT(W$4:W30)+1,"")</f>
        <v/>
      </c>
      <c r="X31">
        <f>IF(AND($A31&lt;&gt;"",$B31&lt;&gt;"",$R31='تقرير أكتوبر'!$C$4,$P31='تقرير أكتوبر'!$C$6),COUNT(X$4:X30)+1,"")</f>
        <v/>
      </c>
      <c r="Y31">
        <f>IF(AND($A31&lt;&gt;"",$B31&lt;&gt;"",$R31='تقرير نوفمبر'!$C$4,$P31='تقرير نوفمبر'!$C$6),COUNT(Y$4:Y30)+1,"")</f>
        <v/>
      </c>
      <c r="Z31">
        <f>IF(AND($A31&lt;&gt;"",$B31&lt;&gt;"",$R31='تقرير ديسمبر'!$C$4,$P31='تقرير ديسمبر'!$C$6),COUNT(Z$4:Z30)+1,"")</f>
        <v/>
      </c>
      <c r="AA31">
        <f>IF(AND($A31&lt;&gt;"",$B31&lt;&gt;"",$R31='تقرير يناير'!$C$4,$P31='تقرير يناير'!$C$6),COUNT(AA$4:AA30)+1,"")</f>
        <v/>
      </c>
      <c r="AB31">
        <f>IF(AND($A31&lt;&gt;"",$B31&lt;&gt;"",$R31='تقرير فبراير'!$C$4,$P31='تقرير فبراير'!$C$6),COUNT(AB$4:AB30)+1,"")</f>
        <v/>
      </c>
      <c r="AC31">
        <f>IF(AND($A31&lt;&gt;"",$B31&lt;&gt;"",$R31='تقرير مارس'!$C$4,$P31='تقرير مارس'!$C$6),COUNT(AC$4:AC30)+1,"")</f>
        <v/>
      </c>
      <c r="AD31">
        <f>IF(AND($A31&lt;&gt;"",$B31&lt;&gt;"",$R31='تقرير أبريل'!$C$4,$P31='تقرير أبريل'!$C$6),COUNT(AD$4:AD30)+1,"")</f>
        <v/>
      </c>
      <c r="AE31">
        <f>IF(AND($A31&lt;&gt;"",$B31&lt;&gt;"",$R31='تقرير مايو'!$C$4,$P31='تقرير مايو'!$C$6),COUNT(AE$4:AE30)+1,"")</f>
        <v/>
      </c>
    </row>
    <row r="32">
      <c r="A32" s="16" t="n"/>
      <c r="B32" s="17" t="n"/>
      <c r="C32" s="17" t="n"/>
      <c r="D32" s="18" t="n"/>
      <c r="E32" s="17" t="n"/>
      <c r="F32" s="17" t="n"/>
      <c r="G32" s="19" t="n"/>
      <c r="H32" s="17" t="n"/>
      <c r="I32" s="17" t="n"/>
      <c r="J32" s="17" t="n"/>
      <c r="K32" s="20">
        <f>IF($B32="","",IFERROR(INDEX(الموظفات!$A$5:$A$304,MATCH($B32,الموظفات!$B$5:$B$304,0))&amp;"",""))</f>
        <v/>
      </c>
      <c r="L32" s="21">
        <f>IF($B32="","",IFERROR(INDEX(الموظفات!$C$5:$C$304,MATCH($B32,الموظفات!$B$5:$B$304,0))&amp;"",""))</f>
        <v/>
      </c>
      <c r="M32" s="20">
        <f>IF($B32="","",IFERROR(INDEX(الموظفات!$D$5:$D$304,MATCH($B32,الموظفات!$B$5:$B$304,0))&amp;"",""))</f>
        <v/>
      </c>
      <c r="N32" s="20">
        <f>IF($B32="","",IFERROR(INDEX(الموظفات!$E$5:$E$304,MATCH($B32,الموظفات!$B$5:$B$304,0))&amp;"",""))</f>
        <v/>
      </c>
      <c r="O32" s="21">
        <f>IF(C32="","",IFERROR(INDEX(الإعدادات!$D$7:$D$35,MATCH(C32,الإعدادات!$A$7:$A$35,0))&amp;"",""))</f>
        <v/>
      </c>
      <c r="P32" s="20">
        <f>IF(A32="","",INDEX(الإعدادات!$H$7:$H$18,MONTH(A32)))</f>
        <v/>
      </c>
      <c r="Q32" s="20">
        <f>IF(A32="","",INDEX(الإعدادات!$I$7:$I$18,MONTH(A32)))</f>
        <v/>
      </c>
      <c r="R32" s="20">
        <f>IF(A32="","",IF(MONTH(A32)&gt;=8,YEAR(A32)&amp;"-"&amp;(YEAR(A32)+1),(YEAR(A32)-1)&amp;"-"&amp;YEAR(A32)))</f>
        <v/>
      </c>
      <c r="S32" s="20">
        <f>IF(OR(A32="",B32=""),0,IF(AND(R32=التقارير!$C$4,OR(التقارير!$C$5="سنوي",AND(التقارير!$C$5="شهري",P32=التقارير!$C$6),AND(التقارير!$C$5="فصلي",Q32=التقارير!$C$7))),1,0))</f>
        <v/>
      </c>
      <c r="T32" s="20">
        <f>IF(S32=1,COUNTIF($S$5:S32,1),"")</f>
        <v/>
      </c>
      <c r="U32">
        <f>IF(AND($A32&lt;&gt;"",$B32&lt;&gt;"",$R32='تقرير الفصل الأول'!$C$4,$Q32='تقرير الفصل الأول'!$C$7),COUNT(U$4:U31)+1,"")</f>
        <v/>
      </c>
      <c r="V32">
        <f>IF(AND($A32&lt;&gt;"",$B32&lt;&gt;"",$R32='تقرير الفصل الثاني'!$C$4,$Q32='تقرير الفصل الثاني'!$C$7),COUNT(V$4:V31)+1,"")</f>
        <v/>
      </c>
      <c r="W32">
        <f>IF(AND($A32&lt;&gt;"",$B32&lt;&gt;"",$R32='تقرير سبتمبر'!$C$4,$P32='تقرير سبتمبر'!$C$6),COUNT(W$4:W31)+1,"")</f>
        <v/>
      </c>
      <c r="X32">
        <f>IF(AND($A32&lt;&gt;"",$B32&lt;&gt;"",$R32='تقرير أكتوبر'!$C$4,$P32='تقرير أكتوبر'!$C$6),COUNT(X$4:X31)+1,"")</f>
        <v/>
      </c>
      <c r="Y32">
        <f>IF(AND($A32&lt;&gt;"",$B32&lt;&gt;"",$R32='تقرير نوفمبر'!$C$4,$P32='تقرير نوفمبر'!$C$6),COUNT(Y$4:Y31)+1,"")</f>
        <v/>
      </c>
      <c r="Z32">
        <f>IF(AND($A32&lt;&gt;"",$B32&lt;&gt;"",$R32='تقرير ديسمبر'!$C$4,$P32='تقرير ديسمبر'!$C$6),COUNT(Z$4:Z31)+1,"")</f>
        <v/>
      </c>
      <c r="AA32">
        <f>IF(AND($A32&lt;&gt;"",$B32&lt;&gt;"",$R32='تقرير يناير'!$C$4,$P32='تقرير يناير'!$C$6),COUNT(AA$4:AA31)+1,"")</f>
        <v/>
      </c>
      <c r="AB32">
        <f>IF(AND($A32&lt;&gt;"",$B32&lt;&gt;"",$R32='تقرير فبراير'!$C$4,$P32='تقرير فبراير'!$C$6),COUNT(AB$4:AB31)+1,"")</f>
        <v/>
      </c>
      <c r="AC32">
        <f>IF(AND($A32&lt;&gt;"",$B32&lt;&gt;"",$R32='تقرير مارس'!$C$4,$P32='تقرير مارس'!$C$6),COUNT(AC$4:AC31)+1,"")</f>
        <v/>
      </c>
      <c r="AD32">
        <f>IF(AND($A32&lt;&gt;"",$B32&lt;&gt;"",$R32='تقرير أبريل'!$C$4,$P32='تقرير أبريل'!$C$6),COUNT(AD$4:AD31)+1,"")</f>
        <v/>
      </c>
      <c r="AE32">
        <f>IF(AND($A32&lt;&gt;"",$B32&lt;&gt;"",$R32='تقرير مايو'!$C$4,$P32='تقرير مايو'!$C$6),COUNT(AE$4:AE31)+1,"")</f>
        <v/>
      </c>
    </row>
    <row r="33">
      <c r="A33" s="16" t="n"/>
      <c r="B33" s="17" t="n"/>
      <c r="C33" s="17" t="n"/>
      <c r="D33" s="18" t="n"/>
      <c r="E33" s="17" t="n"/>
      <c r="F33" s="17" t="n"/>
      <c r="G33" s="19" t="n"/>
      <c r="H33" s="17" t="n"/>
      <c r="I33" s="17" t="n"/>
      <c r="J33" s="17" t="n"/>
      <c r="K33" s="20">
        <f>IF($B33="","",IFERROR(INDEX(الموظفات!$A$5:$A$304,MATCH($B33,الموظفات!$B$5:$B$304,0))&amp;"",""))</f>
        <v/>
      </c>
      <c r="L33" s="21">
        <f>IF($B33="","",IFERROR(INDEX(الموظفات!$C$5:$C$304,MATCH($B33,الموظفات!$B$5:$B$304,0))&amp;"",""))</f>
        <v/>
      </c>
      <c r="M33" s="20">
        <f>IF($B33="","",IFERROR(INDEX(الموظفات!$D$5:$D$304,MATCH($B33,الموظفات!$B$5:$B$304,0))&amp;"",""))</f>
        <v/>
      </c>
      <c r="N33" s="20">
        <f>IF($B33="","",IFERROR(INDEX(الموظفات!$E$5:$E$304,MATCH($B33,الموظفات!$B$5:$B$304,0))&amp;"",""))</f>
        <v/>
      </c>
      <c r="O33" s="21">
        <f>IF(C33="","",IFERROR(INDEX(الإعدادات!$D$7:$D$35,MATCH(C33,الإعدادات!$A$7:$A$35,0))&amp;"",""))</f>
        <v/>
      </c>
      <c r="P33" s="20">
        <f>IF(A33="","",INDEX(الإعدادات!$H$7:$H$18,MONTH(A33)))</f>
        <v/>
      </c>
      <c r="Q33" s="20">
        <f>IF(A33="","",INDEX(الإعدادات!$I$7:$I$18,MONTH(A33)))</f>
        <v/>
      </c>
      <c r="R33" s="20">
        <f>IF(A33="","",IF(MONTH(A33)&gt;=8,YEAR(A33)&amp;"-"&amp;(YEAR(A33)+1),(YEAR(A33)-1)&amp;"-"&amp;YEAR(A33)))</f>
        <v/>
      </c>
      <c r="S33" s="20">
        <f>IF(OR(A33="",B33=""),0,IF(AND(R33=التقارير!$C$4,OR(التقارير!$C$5="سنوي",AND(التقارير!$C$5="شهري",P33=التقارير!$C$6),AND(التقارير!$C$5="فصلي",Q33=التقارير!$C$7))),1,0))</f>
        <v/>
      </c>
      <c r="T33" s="20">
        <f>IF(S33=1,COUNTIF($S$5:S33,1),"")</f>
        <v/>
      </c>
      <c r="U33">
        <f>IF(AND($A33&lt;&gt;"",$B33&lt;&gt;"",$R33='تقرير الفصل الأول'!$C$4,$Q33='تقرير الفصل الأول'!$C$7),COUNT(U$4:U32)+1,"")</f>
        <v/>
      </c>
      <c r="V33">
        <f>IF(AND($A33&lt;&gt;"",$B33&lt;&gt;"",$R33='تقرير الفصل الثاني'!$C$4,$Q33='تقرير الفصل الثاني'!$C$7),COUNT(V$4:V32)+1,"")</f>
        <v/>
      </c>
      <c r="W33">
        <f>IF(AND($A33&lt;&gt;"",$B33&lt;&gt;"",$R33='تقرير سبتمبر'!$C$4,$P33='تقرير سبتمبر'!$C$6),COUNT(W$4:W32)+1,"")</f>
        <v/>
      </c>
      <c r="X33">
        <f>IF(AND($A33&lt;&gt;"",$B33&lt;&gt;"",$R33='تقرير أكتوبر'!$C$4,$P33='تقرير أكتوبر'!$C$6),COUNT(X$4:X32)+1,"")</f>
        <v/>
      </c>
      <c r="Y33">
        <f>IF(AND($A33&lt;&gt;"",$B33&lt;&gt;"",$R33='تقرير نوفمبر'!$C$4,$P33='تقرير نوفمبر'!$C$6),COUNT(Y$4:Y32)+1,"")</f>
        <v/>
      </c>
      <c r="Z33">
        <f>IF(AND($A33&lt;&gt;"",$B33&lt;&gt;"",$R33='تقرير ديسمبر'!$C$4,$P33='تقرير ديسمبر'!$C$6),COUNT(Z$4:Z32)+1,"")</f>
        <v/>
      </c>
      <c r="AA33">
        <f>IF(AND($A33&lt;&gt;"",$B33&lt;&gt;"",$R33='تقرير يناير'!$C$4,$P33='تقرير يناير'!$C$6),COUNT(AA$4:AA32)+1,"")</f>
        <v/>
      </c>
      <c r="AB33">
        <f>IF(AND($A33&lt;&gt;"",$B33&lt;&gt;"",$R33='تقرير فبراير'!$C$4,$P33='تقرير فبراير'!$C$6),COUNT(AB$4:AB32)+1,"")</f>
        <v/>
      </c>
      <c r="AC33">
        <f>IF(AND($A33&lt;&gt;"",$B33&lt;&gt;"",$R33='تقرير مارس'!$C$4,$P33='تقرير مارس'!$C$6),COUNT(AC$4:AC32)+1,"")</f>
        <v/>
      </c>
      <c r="AD33">
        <f>IF(AND($A33&lt;&gt;"",$B33&lt;&gt;"",$R33='تقرير أبريل'!$C$4,$P33='تقرير أبريل'!$C$6),COUNT(AD$4:AD32)+1,"")</f>
        <v/>
      </c>
      <c r="AE33">
        <f>IF(AND($A33&lt;&gt;"",$B33&lt;&gt;"",$R33='تقرير مايو'!$C$4,$P33='تقرير مايو'!$C$6),COUNT(AE$4:AE32)+1,"")</f>
        <v/>
      </c>
    </row>
    <row r="34">
      <c r="A34" s="16" t="n"/>
      <c r="B34" s="17" t="n"/>
      <c r="C34" s="17" t="n"/>
      <c r="D34" s="18" t="n"/>
      <c r="E34" s="17" t="n"/>
      <c r="F34" s="17" t="n"/>
      <c r="G34" s="19" t="n"/>
      <c r="H34" s="17" t="n"/>
      <c r="I34" s="17" t="n"/>
      <c r="J34" s="17" t="n"/>
      <c r="K34" s="20">
        <f>IF($B34="","",IFERROR(INDEX(الموظفات!$A$5:$A$304,MATCH($B34,الموظفات!$B$5:$B$304,0))&amp;"",""))</f>
        <v/>
      </c>
      <c r="L34" s="21">
        <f>IF($B34="","",IFERROR(INDEX(الموظفات!$C$5:$C$304,MATCH($B34,الموظفات!$B$5:$B$304,0))&amp;"",""))</f>
        <v/>
      </c>
      <c r="M34" s="20">
        <f>IF($B34="","",IFERROR(INDEX(الموظفات!$D$5:$D$304,MATCH($B34,الموظفات!$B$5:$B$304,0))&amp;"",""))</f>
        <v/>
      </c>
      <c r="N34" s="20">
        <f>IF($B34="","",IFERROR(INDEX(الموظفات!$E$5:$E$304,MATCH($B34,الموظفات!$B$5:$B$304,0))&amp;"",""))</f>
        <v/>
      </c>
      <c r="O34" s="21">
        <f>IF(C34="","",IFERROR(INDEX(الإعدادات!$D$7:$D$35,MATCH(C34,الإعدادات!$A$7:$A$35,0))&amp;"",""))</f>
        <v/>
      </c>
      <c r="P34" s="20">
        <f>IF(A34="","",INDEX(الإعدادات!$H$7:$H$18,MONTH(A34)))</f>
        <v/>
      </c>
      <c r="Q34" s="20">
        <f>IF(A34="","",INDEX(الإعدادات!$I$7:$I$18,MONTH(A34)))</f>
        <v/>
      </c>
      <c r="R34" s="20">
        <f>IF(A34="","",IF(MONTH(A34)&gt;=8,YEAR(A34)&amp;"-"&amp;(YEAR(A34)+1),(YEAR(A34)-1)&amp;"-"&amp;YEAR(A34)))</f>
        <v/>
      </c>
      <c r="S34" s="20">
        <f>IF(OR(A34="",B34=""),0,IF(AND(R34=التقارير!$C$4,OR(التقارير!$C$5="سنوي",AND(التقارير!$C$5="شهري",P34=التقارير!$C$6),AND(التقارير!$C$5="فصلي",Q34=التقارير!$C$7))),1,0))</f>
        <v/>
      </c>
      <c r="T34" s="20">
        <f>IF(S34=1,COUNTIF($S$5:S34,1),"")</f>
        <v/>
      </c>
      <c r="U34">
        <f>IF(AND($A34&lt;&gt;"",$B34&lt;&gt;"",$R34='تقرير الفصل الأول'!$C$4,$Q34='تقرير الفصل الأول'!$C$7),COUNT(U$4:U33)+1,"")</f>
        <v/>
      </c>
      <c r="V34">
        <f>IF(AND($A34&lt;&gt;"",$B34&lt;&gt;"",$R34='تقرير الفصل الثاني'!$C$4,$Q34='تقرير الفصل الثاني'!$C$7),COUNT(V$4:V33)+1,"")</f>
        <v/>
      </c>
      <c r="W34">
        <f>IF(AND($A34&lt;&gt;"",$B34&lt;&gt;"",$R34='تقرير سبتمبر'!$C$4,$P34='تقرير سبتمبر'!$C$6),COUNT(W$4:W33)+1,"")</f>
        <v/>
      </c>
      <c r="X34">
        <f>IF(AND($A34&lt;&gt;"",$B34&lt;&gt;"",$R34='تقرير أكتوبر'!$C$4,$P34='تقرير أكتوبر'!$C$6),COUNT(X$4:X33)+1,"")</f>
        <v/>
      </c>
      <c r="Y34">
        <f>IF(AND($A34&lt;&gt;"",$B34&lt;&gt;"",$R34='تقرير نوفمبر'!$C$4,$P34='تقرير نوفمبر'!$C$6),COUNT(Y$4:Y33)+1,"")</f>
        <v/>
      </c>
      <c r="Z34">
        <f>IF(AND($A34&lt;&gt;"",$B34&lt;&gt;"",$R34='تقرير ديسمبر'!$C$4,$P34='تقرير ديسمبر'!$C$6),COUNT(Z$4:Z33)+1,"")</f>
        <v/>
      </c>
      <c r="AA34">
        <f>IF(AND($A34&lt;&gt;"",$B34&lt;&gt;"",$R34='تقرير يناير'!$C$4,$P34='تقرير يناير'!$C$6),COUNT(AA$4:AA33)+1,"")</f>
        <v/>
      </c>
      <c r="AB34">
        <f>IF(AND($A34&lt;&gt;"",$B34&lt;&gt;"",$R34='تقرير فبراير'!$C$4,$P34='تقرير فبراير'!$C$6),COUNT(AB$4:AB33)+1,"")</f>
        <v/>
      </c>
      <c r="AC34">
        <f>IF(AND($A34&lt;&gt;"",$B34&lt;&gt;"",$R34='تقرير مارس'!$C$4,$P34='تقرير مارس'!$C$6),COUNT(AC$4:AC33)+1,"")</f>
        <v/>
      </c>
      <c r="AD34">
        <f>IF(AND($A34&lt;&gt;"",$B34&lt;&gt;"",$R34='تقرير أبريل'!$C$4,$P34='تقرير أبريل'!$C$6),COUNT(AD$4:AD33)+1,"")</f>
        <v/>
      </c>
      <c r="AE34">
        <f>IF(AND($A34&lt;&gt;"",$B34&lt;&gt;"",$R34='تقرير مايو'!$C$4,$P34='تقرير مايو'!$C$6),COUNT(AE$4:AE33)+1,"")</f>
        <v/>
      </c>
    </row>
    <row r="35">
      <c r="A35" s="16" t="n"/>
      <c r="B35" s="17" t="n"/>
      <c r="C35" s="17" t="n"/>
      <c r="D35" s="18" t="n"/>
      <c r="E35" s="17" t="n"/>
      <c r="F35" s="17" t="n"/>
      <c r="G35" s="19" t="n"/>
      <c r="H35" s="17" t="n"/>
      <c r="I35" s="17" t="n"/>
      <c r="J35" s="17" t="n"/>
      <c r="K35" s="20">
        <f>IF($B35="","",IFERROR(INDEX(الموظفات!$A$5:$A$304,MATCH($B35,الموظفات!$B$5:$B$304,0))&amp;"",""))</f>
        <v/>
      </c>
      <c r="L35" s="21">
        <f>IF($B35="","",IFERROR(INDEX(الموظفات!$C$5:$C$304,MATCH($B35,الموظفات!$B$5:$B$304,0))&amp;"",""))</f>
        <v/>
      </c>
      <c r="M35" s="20">
        <f>IF($B35="","",IFERROR(INDEX(الموظفات!$D$5:$D$304,MATCH($B35,الموظفات!$B$5:$B$304,0))&amp;"",""))</f>
        <v/>
      </c>
      <c r="N35" s="20">
        <f>IF($B35="","",IFERROR(INDEX(الموظفات!$E$5:$E$304,MATCH($B35,الموظفات!$B$5:$B$304,0))&amp;"",""))</f>
        <v/>
      </c>
      <c r="O35" s="21">
        <f>IF(C35="","",IFERROR(INDEX(الإعدادات!$D$7:$D$35,MATCH(C35,الإعدادات!$A$7:$A$35,0))&amp;"",""))</f>
        <v/>
      </c>
      <c r="P35" s="20">
        <f>IF(A35="","",INDEX(الإعدادات!$H$7:$H$18,MONTH(A35)))</f>
        <v/>
      </c>
      <c r="Q35" s="20">
        <f>IF(A35="","",INDEX(الإعدادات!$I$7:$I$18,MONTH(A35)))</f>
        <v/>
      </c>
      <c r="R35" s="20">
        <f>IF(A35="","",IF(MONTH(A35)&gt;=8,YEAR(A35)&amp;"-"&amp;(YEAR(A35)+1),(YEAR(A35)-1)&amp;"-"&amp;YEAR(A35)))</f>
        <v/>
      </c>
      <c r="S35" s="20">
        <f>IF(OR(A35="",B35=""),0,IF(AND(R35=التقارير!$C$4,OR(التقارير!$C$5="سنوي",AND(التقارير!$C$5="شهري",P35=التقارير!$C$6),AND(التقارير!$C$5="فصلي",Q35=التقارير!$C$7))),1,0))</f>
        <v/>
      </c>
      <c r="T35" s="20">
        <f>IF(S35=1,COUNTIF($S$5:S35,1),"")</f>
        <v/>
      </c>
      <c r="U35">
        <f>IF(AND($A35&lt;&gt;"",$B35&lt;&gt;"",$R35='تقرير الفصل الأول'!$C$4,$Q35='تقرير الفصل الأول'!$C$7),COUNT(U$4:U34)+1,"")</f>
        <v/>
      </c>
      <c r="V35">
        <f>IF(AND($A35&lt;&gt;"",$B35&lt;&gt;"",$R35='تقرير الفصل الثاني'!$C$4,$Q35='تقرير الفصل الثاني'!$C$7),COUNT(V$4:V34)+1,"")</f>
        <v/>
      </c>
      <c r="W35">
        <f>IF(AND($A35&lt;&gt;"",$B35&lt;&gt;"",$R35='تقرير سبتمبر'!$C$4,$P35='تقرير سبتمبر'!$C$6),COUNT(W$4:W34)+1,"")</f>
        <v/>
      </c>
      <c r="X35">
        <f>IF(AND($A35&lt;&gt;"",$B35&lt;&gt;"",$R35='تقرير أكتوبر'!$C$4,$P35='تقرير أكتوبر'!$C$6),COUNT(X$4:X34)+1,"")</f>
        <v/>
      </c>
      <c r="Y35">
        <f>IF(AND($A35&lt;&gt;"",$B35&lt;&gt;"",$R35='تقرير نوفمبر'!$C$4,$P35='تقرير نوفمبر'!$C$6),COUNT(Y$4:Y34)+1,"")</f>
        <v/>
      </c>
      <c r="Z35">
        <f>IF(AND($A35&lt;&gt;"",$B35&lt;&gt;"",$R35='تقرير ديسمبر'!$C$4,$P35='تقرير ديسمبر'!$C$6),COUNT(Z$4:Z34)+1,"")</f>
        <v/>
      </c>
      <c r="AA35">
        <f>IF(AND($A35&lt;&gt;"",$B35&lt;&gt;"",$R35='تقرير يناير'!$C$4,$P35='تقرير يناير'!$C$6),COUNT(AA$4:AA34)+1,"")</f>
        <v/>
      </c>
      <c r="AB35">
        <f>IF(AND($A35&lt;&gt;"",$B35&lt;&gt;"",$R35='تقرير فبراير'!$C$4,$P35='تقرير فبراير'!$C$6),COUNT(AB$4:AB34)+1,"")</f>
        <v/>
      </c>
      <c r="AC35">
        <f>IF(AND($A35&lt;&gt;"",$B35&lt;&gt;"",$R35='تقرير مارس'!$C$4,$P35='تقرير مارس'!$C$6),COUNT(AC$4:AC34)+1,"")</f>
        <v/>
      </c>
      <c r="AD35">
        <f>IF(AND($A35&lt;&gt;"",$B35&lt;&gt;"",$R35='تقرير أبريل'!$C$4,$P35='تقرير أبريل'!$C$6),COUNT(AD$4:AD34)+1,"")</f>
        <v/>
      </c>
      <c r="AE35">
        <f>IF(AND($A35&lt;&gt;"",$B35&lt;&gt;"",$R35='تقرير مايو'!$C$4,$P35='تقرير مايو'!$C$6),COUNT(AE$4:AE34)+1,"")</f>
        <v/>
      </c>
    </row>
    <row r="36">
      <c r="A36" s="16" t="n"/>
      <c r="B36" s="17" t="n"/>
      <c r="C36" s="17" t="n"/>
      <c r="D36" s="18" t="n"/>
      <c r="E36" s="17" t="n"/>
      <c r="F36" s="17" t="n"/>
      <c r="G36" s="19" t="n"/>
      <c r="H36" s="17" t="n"/>
      <c r="I36" s="17" t="n"/>
      <c r="J36" s="17" t="n"/>
      <c r="K36" s="20">
        <f>IF($B36="","",IFERROR(INDEX(الموظفات!$A$5:$A$304,MATCH($B36,الموظفات!$B$5:$B$304,0))&amp;"",""))</f>
        <v/>
      </c>
      <c r="L36" s="21">
        <f>IF($B36="","",IFERROR(INDEX(الموظفات!$C$5:$C$304,MATCH($B36,الموظفات!$B$5:$B$304,0))&amp;"",""))</f>
        <v/>
      </c>
      <c r="M36" s="20">
        <f>IF($B36="","",IFERROR(INDEX(الموظفات!$D$5:$D$304,MATCH($B36,الموظفات!$B$5:$B$304,0))&amp;"",""))</f>
        <v/>
      </c>
      <c r="N36" s="20">
        <f>IF($B36="","",IFERROR(INDEX(الموظفات!$E$5:$E$304,MATCH($B36,الموظفات!$B$5:$B$304,0))&amp;"",""))</f>
        <v/>
      </c>
      <c r="O36" s="21">
        <f>IF(C36="","",IFERROR(INDEX(الإعدادات!$D$7:$D$35,MATCH(C36,الإعدادات!$A$7:$A$35,0))&amp;"",""))</f>
        <v/>
      </c>
      <c r="P36" s="20">
        <f>IF(A36="","",INDEX(الإعدادات!$H$7:$H$18,MONTH(A36)))</f>
        <v/>
      </c>
      <c r="Q36" s="20">
        <f>IF(A36="","",INDEX(الإعدادات!$I$7:$I$18,MONTH(A36)))</f>
        <v/>
      </c>
      <c r="R36" s="20">
        <f>IF(A36="","",IF(MONTH(A36)&gt;=8,YEAR(A36)&amp;"-"&amp;(YEAR(A36)+1),(YEAR(A36)-1)&amp;"-"&amp;YEAR(A36)))</f>
        <v/>
      </c>
      <c r="S36" s="20">
        <f>IF(OR(A36="",B36=""),0,IF(AND(R36=التقارير!$C$4,OR(التقارير!$C$5="سنوي",AND(التقارير!$C$5="شهري",P36=التقارير!$C$6),AND(التقارير!$C$5="فصلي",Q36=التقارير!$C$7))),1,0))</f>
        <v/>
      </c>
      <c r="T36" s="20">
        <f>IF(S36=1,COUNTIF($S$5:S36,1),"")</f>
        <v/>
      </c>
      <c r="U36">
        <f>IF(AND($A36&lt;&gt;"",$B36&lt;&gt;"",$R36='تقرير الفصل الأول'!$C$4,$Q36='تقرير الفصل الأول'!$C$7),COUNT(U$4:U35)+1,"")</f>
        <v/>
      </c>
      <c r="V36">
        <f>IF(AND($A36&lt;&gt;"",$B36&lt;&gt;"",$R36='تقرير الفصل الثاني'!$C$4,$Q36='تقرير الفصل الثاني'!$C$7),COUNT(V$4:V35)+1,"")</f>
        <v/>
      </c>
      <c r="W36">
        <f>IF(AND($A36&lt;&gt;"",$B36&lt;&gt;"",$R36='تقرير سبتمبر'!$C$4,$P36='تقرير سبتمبر'!$C$6),COUNT(W$4:W35)+1,"")</f>
        <v/>
      </c>
      <c r="X36">
        <f>IF(AND($A36&lt;&gt;"",$B36&lt;&gt;"",$R36='تقرير أكتوبر'!$C$4,$P36='تقرير أكتوبر'!$C$6),COUNT(X$4:X35)+1,"")</f>
        <v/>
      </c>
      <c r="Y36">
        <f>IF(AND($A36&lt;&gt;"",$B36&lt;&gt;"",$R36='تقرير نوفمبر'!$C$4,$P36='تقرير نوفمبر'!$C$6),COUNT(Y$4:Y35)+1,"")</f>
        <v/>
      </c>
      <c r="Z36">
        <f>IF(AND($A36&lt;&gt;"",$B36&lt;&gt;"",$R36='تقرير ديسمبر'!$C$4,$P36='تقرير ديسمبر'!$C$6),COUNT(Z$4:Z35)+1,"")</f>
        <v/>
      </c>
      <c r="AA36">
        <f>IF(AND($A36&lt;&gt;"",$B36&lt;&gt;"",$R36='تقرير يناير'!$C$4,$P36='تقرير يناير'!$C$6),COUNT(AA$4:AA35)+1,"")</f>
        <v/>
      </c>
      <c r="AB36">
        <f>IF(AND($A36&lt;&gt;"",$B36&lt;&gt;"",$R36='تقرير فبراير'!$C$4,$P36='تقرير فبراير'!$C$6),COUNT(AB$4:AB35)+1,"")</f>
        <v/>
      </c>
      <c r="AC36">
        <f>IF(AND($A36&lt;&gt;"",$B36&lt;&gt;"",$R36='تقرير مارس'!$C$4,$P36='تقرير مارس'!$C$6),COUNT(AC$4:AC35)+1,"")</f>
        <v/>
      </c>
      <c r="AD36">
        <f>IF(AND($A36&lt;&gt;"",$B36&lt;&gt;"",$R36='تقرير أبريل'!$C$4,$P36='تقرير أبريل'!$C$6),COUNT(AD$4:AD35)+1,"")</f>
        <v/>
      </c>
      <c r="AE36">
        <f>IF(AND($A36&lt;&gt;"",$B36&lt;&gt;"",$R36='تقرير مايو'!$C$4,$P36='تقرير مايو'!$C$6),COUNT(AE$4:AE35)+1,"")</f>
        <v/>
      </c>
    </row>
    <row r="37">
      <c r="A37" s="16" t="n"/>
      <c r="B37" s="17" t="n"/>
      <c r="C37" s="17" t="n"/>
      <c r="D37" s="18" t="n"/>
      <c r="E37" s="17" t="n"/>
      <c r="F37" s="17" t="n"/>
      <c r="G37" s="19" t="n"/>
      <c r="H37" s="17" t="n"/>
      <c r="I37" s="17" t="n"/>
      <c r="J37" s="17" t="n"/>
      <c r="K37" s="20">
        <f>IF($B37="","",IFERROR(INDEX(الموظفات!$A$5:$A$304,MATCH($B37,الموظفات!$B$5:$B$304,0))&amp;"",""))</f>
        <v/>
      </c>
      <c r="L37" s="21">
        <f>IF($B37="","",IFERROR(INDEX(الموظفات!$C$5:$C$304,MATCH($B37,الموظفات!$B$5:$B$304,0))&amp;"",""))</f>
        <v/>
      </c>
      <c r="M37" s="20">
        <f>IF($B37="","",IFERROR(INDEX(الموظفات!$D$5:$D$304,MATCH($B37,الموظفات!$B$5:$B$304,0))&amp;"",""))</f>
        <v/>
      </c>
      <c r="N37" s="20">
        <f>IF($B37="","",IFERROR(INDEX(الموظفات!$E$5:$E$304,MATCH($B37,الموظفات!$B$5:$B$304,0))&amp;"",""))</f>
        <v/>
      </c>
      <c r="O37" s="21">
        <f>IF(C37="","",IFERROR(INDEX(الإعدادات!$D$7:$D$35,MATCH(C37,الإعدادات!$A$7:$A$35,0))&amp;"",""))</f>
        <v/>
      </c>
      <c r="P37" s="20">
        <f>IF(A37="","",INDEX(الإعدادات!$H$7:$H$18,MONTH(A37)))</f>
        <v/>
      </c>
      <c r="Q37" s="20">
        <f>IF(A37="","",INDEX(الإعدادات!$I$7:$I$18,MONTH(A37)))</f>
        <v/>
      </c>
      <c r="R37" s="20">
        <f>IF(A37="","",IF(MONTH(A37)&gt;=8,YEAR(A37)&amp;"-"&amp;(YEAR(A37)+1),(YEAR(A37)-1)&amp;"-"&amp;YEAR(A37)))</f>
        <v/>
      </c>
      <c r="S37" s="20">
        <f>IF(OR(A37="",B37=""),0,IF(AND(R37=التقارير!$C$4,OR(التقارير!$C$5="سنوي",AND(التقارير!$C$5="شهري",P37=التقارير!$C$6),AND(التقارير!$C$5="فصلي",Q37=التقارير!$C$7))),1,0))</f>
        <v/>
      </c>
      <c r="T37" s="20">
        <f>IF(S37=1,COUNTIF($S$5:S37,1),"")</f>
        <v/>
      </c>
      <c r="U37">
        <f>IF(AND($A37&lt;&gt;"",$B37&lt;&gt;"",$R37='تقرير الفصل الأول'!$C$4,$Q37='تقرير الفصل الأول'!$C$7),COUNT(U$4:U36)+1,"")</f>
        <v/>
      </c>
      <c r="V37">
        <f>IF(AND($A37&lt;&gt;"",$B37&lt;&gt;"",$R37='تقرير الفصل الثاني'!$C$4,$Q37='تقرير الفصل الثاني'!$C$7),COUNT(V$4:V36)+1,"")</f>
        <v/>
      </c>
      <c r="W37">
        <f>IF(AND($A37&lt;&gt;"",$B37&lt;&gt;"",$R37='تقرير سبتمبر'!$C$4,$P37='تقرير سبتمبر'!$C$6),COUNT(W$4:W36)+1,"")</f>
        <v/>
      </c>
      <c r="X37">
        <f>IF(AND($A37&lt;&gt;"",$B37&lt;&gt;"",$R37='تقرير أكتوبر'!$C$4,$P37='تقرير أكتوبر'!$C$6),COUNT(X$4:X36)+1,"")</f>
        <v/>
      </c>
      <c r="Y37">
        <f>IF(AND($A37&lt;&gt;"",$B37&lt;&gt;"",$R37='تقرير نوفمبر'!$C$4,$P37='تقرير نوفمبر'!$C$6),COUNT(Y$4:Y36)+1,"")</f>
        <v/>
      </c>
      <c r="Z37">
        <f>IF(AND($A37&lt;&gt;"",$B37&lt;&gt;"",$R37='تقرير ديسمبر'!$C$4,$P37='تقرير ديسمبر'!$C$6),COUNT(Z$4:Z36)+1,"")</f>
        <v/>
      </c>
      <c r="AA37">
        <f>IF(AND($A37&lt;&gt;"",$B37&lt;&gt;"",$R37='تقرير يناير'!$C$4,$P37='تقرير يناير'!$C$6),COUNT(AA$4:AA36)+1,"")</f>
        <v/>
      </c>
      <c r="AB37">
        <f>IF(AND($A37&lt;&gt;"",$B37&lt;&gt;"",$R37='تقرير فبراير'!$C$4,$P37='تقرير فبراير'!$C$6),COUNT(AB$4:AB36)+1,"")</f>
        <v/>
      </c>
      <c r="AC37">
        <f>IF(AND($A37&lt;&gt;"",$B37&lt;&gt;"",$R37='تقرير مارس'!$C$4,$P37='تقرير مارس'!$C$6),COUNT(AC$4:AC36)+1,"")</f>
        <v/>
      </c>
      <c r="AD37">
        <f>IF(AND($A37&lt;&gt;"",$B37&lt;&gt;"",$R37='تقرير أبريل'!$C$4,$P37='تقرير أبريل'!$C$6),COUNT(AD$4:AD36)+1,"")</f>
        <v/>
      </c>
      <c r="AE37">
        <f>IF(AND($A37&lt;&gt;"",$B37&lt;&gt;"",$R37='تقرير مايو'!$C$4,$P37='تقرير مايو'!$C$6),COUNT(AE$4:AE36)+1,"")</f>
        <v/>
      </c>
    </row>
    <row r="38">
      <c r="A38" s="16" t="n"/>
      <c r="B38" s="17" t="n"/>
      <c r="C38" s="17" t="n"/>
      <c r="D38" s="18" t="n"/>
      <c r="E38" s="17" t="n"/>
      <c r="F38" s="17" t="n"/>
      <c r="G38" s="19" t="n"/>
      <c r="H38" s="17" t="n"/>
      <c r="I38" s="17" t="n"/>
      <c r="J38" s="17" t="n"/>
      <c r="K38" s="20">
        <f>IF($B38="","",IFERROR(INDEX(الموظفات!$A$5:$A$304,MATCH($B38,الموظفات!$B$5:$B$304,0))&amp;"",""))</f>
        <v/>
      </c>
      <c r="L38" s="21">
        <f>IF($B38="","",IFERROR(INDEX(الموظفات!$C$5:$C$304,MATCH($B38,الموظفات!$B$5:$B$304,0))&amp;"",""))</f>
        <v/>
      </c>
      <c r="M38" s="20">
        <f>IF($B38="","",IFERROR(INDEX(الموظفات!$D$5:$D$304,MATCH($B38,الموظفات!$B$5:$B$304,0))&amp;"",""))</f>
        <v/>
      </c>
      <c r="N38" s="20">
        <f>IF($B38="","",IFERROR(INDEX(الموظفات!$E$5:$E$304,MATCH($B38,الموظفات!$B$5:$B$304,0))&amp;"",""))</f>
        <v/>
      </c>
      <c r="O38" s="21">
        <f>IF(C38="","",IFERROR(INDEX(الإعدادات!$D$7:$D$35,MATCH(C38,الإعدادات!$A$7:$A$35,0))&amp;"",""))</f>
        <v/>
      </c>
      <c r="P38" s="20">
        <f>IF(A38="","",INDEX(الإعدادات!$H$7:$H$18,MONTH(A38)))</f>
        <v/>
      </c>
      <c r="Q38" s="20">
        <f>IF(A38="","",INDEX(الإعدادات!$I$7:$I$18,MONTH(A38)))</f>
        <v/>
      </c>
      <c r="R38" s="20">
        <f>IF(A38="","",IF(MONTH(A38)&gt;=8,YEAR(A38)&amp;"-"&amp;(YEAR(A38)+1),(YEAR(A38)-1)&amp;"-"&amp;YEAR(A38)))</f>
        <v/>
      </c>
      <c r="S38" s="20">
        <f>IF(OR(A38="",B38=""),0,IF(AND(R38=التقارير!$C$4,OR(التقارير!$C$5="سنوي",AND(التقارير!$C$5="شهري",P38=التقارير!$C$6),AND(التقارير!$C$5="فصلي",Q38=التقارير!$C$7))),1,0))</f>
        <v/>
      </c>
      <c r="T38" s="20">
        <f>IF(S38=1,COUNTIF($S$5:S38,1),"")</f>
        <v/>
      </c>
      <c r="U38">
        <f>IF(AND($A38&lt;&gt;"",$B38&lt;&gt;"",$R38='تقرير الفصل الأول'!$C$4,$Q38='تقرير الفصل الأول'!$C$7),COUNT(U$4:U37)+1,"")</f>
        <v/>
      </c>
      <c r="V38">
        <f>IF(AND($A38&lt;&gt;"",$B38&lt;&gt;"",$R38='تقرير الفصل الثاني'!$C$4,$Q38='تقرير الفصل الثاني'!$C$7),COUNT(V$4:V37)+1,"")</f>
        <v/>
      </c>
      <c r="W38">
        <f>IF(AND($A38&lt;&gt;"",$B38&lt;&gt;"",$R38='تقرير سبتمبر'!$C$4,$P38='تقرير سبتمبر'!$C$6),COUNT(W$4:W37)+1,"")</f>
        <v/>
      </c>
      <c r="X38">
        <f>IF(AND($A38&lt;&gt;"",$B38&lt;&gt;"",$R38='تقرير أكتوبر'!$C$4,$P38='تقرير أكتوبر'!$C$6),COUNT(X$4:X37)+1,"")</f>
        <v/>
      </c>
      <c r="Y38">
        <f>IF(AND($A38&lt;&gt;"",$B38&lt;&gt;"",$R38='تقرير نوفمبر'!$C$4,$P38='تقرير نوفمبر'!$C$6),COUNT(Y$4:Y37)+1,"")</f>
        <v/>
      </c>
      <c r="Z38">
        <f>IF(AND($A38&lt;&gt;"",$B38&lt;&gt;"",$R38='تقرير ديسمبر'!$C$4,$P38='تقرير ديسمبر'!$C$6),COUNT(Z$4:Z37)+1,"")</f>
        <v/>
      </c>
      <c r="AA38">
        <f>IF(AND($A38&lt;&gt;"",$B38&lt;&gt;"",$R38='تقرير يناير'!$C$4,$P38='تقرير يناير'!$C$6),COUNT(AA$4:AA37)+1,"")</f>
        <v/>
      </c>
      <c r="AB38">
        <f>IF(AND($A38&lt;&gt;"",$B38&lt;&gt;"",$R38='تقرير فبراير'!$C$4,$P38='تقرير فبراير'!$C$6),COUNT(AB$4:AB37)+1,"")</f>
        <v/>
      </c>
      <c r="AC38">
        <f>IF(AND($A38&lt;&gt;"",$B38&lt;&gt;"",$R38='تقرير مارس'!$C$4,$P38='تقرير مارس'!$C$6),COUNT(AC$4:AC37)+1,"")</f>
        <v/>
      </c>
      <c r="AD38">
        <f>IF(AND($A38&lt;&gt;"",$B38&lt;&gt;"",$R38='تقرير أبريل'!$C$4,$P38='تقرير أبريل'!$C$6),COUNT(AD$4:AD37)+1,"")</f>
        <v/>
      </c>
      <c r="AE38">
        <f>IF(AND($A38&lt;&gt;"",$B38&lt;&gt;"",$R38='تقرير مايو'!$C$4,$P38='تقرير مايو'!$C$6),COUNT(AE$4:AE37)+1,"")</f>
        <v/>
      </c>
    </row>
    <row r="39">
      <c r="A39" s="16" t="n"/>
      <c r="B39" s="17" t="n"/>
      <c r="C39" s="17" t="n"/>
      <c r="D39" s="18" t="n"/>
      <c r="E39" s="17" t="n"/>
      <c r="F39" s="17" t="n"/>
      <c r="G39" s="19" t="n"/>
      <c r="H39" s="17" t="n"/>
      <c r="I39" s="17" t="n"/>
      <c r="J39" s="17" t="n"/>
      <c r="K39" s="20">
        <f>IF($B39="","",IFERROR(INDEX(الموظفات!$A$5:$A$304,MATCH($B39,الموظفات!$B$5:$B$304,0))&amp;"",""))</f>
        <v/>
      </c>
      <c r="L39" s="21">
        <f>IF($B39="","",IFERROR(INDEX(الموظفات!$C$5:$C$304,MATCH($B39,الموظفات!$B$5:$B$304,0))&amp;"",""))</f>
        <v/>
      </c>
      <c r="M39" s="20">
        <f>IF($B39="","",IFERROR(INDEX(الموظفات!$D$5:$D$304,MATCH($B39,الموظفات!$B$5:$B$304,0))&amp;"",""))</f>
        <v/>
      </c>
      <c r="N39" s="20">
        <f>IF($B39="","",IFERROR(INDEX(الموظفات!$E$5:$E$304,MATCH($B39,الموظفات!$B$5:$B$304,0))&amp;"",""))</f>
        <v/>
      </c>
      <c r="O39" s="21">
        <f>IF(C39="","",IFERROR(INDEX(الإعدادات!$D$7:$D$35,MATCH(C39,الإعدادات!$A$7:$A$35,0))&amp;"",""))</f>
        <v/>
      </c>
      <c r="P39" s="20">
        <f>IF(A39="","",INDEX(الإعدادات!$H$7:$H$18,MONTH(A39)))</f>
        <v/>
      </c>
      <c r="Q39" s="20">
        <f>IF(A39="","",INDEX(الإعدادات!$I$7:$I$18,MONTH(A39)))</f>
        <v/>
      </c>
      <c r="R39" s="20">
        <f>IF(A39="","",IF(MONTH(A39)&gt;=8,YEAR(A39)&amp;"-"&amp;(YEAR(A39)+1),(YEAR(A39)-1)&amp;"-"&amp;YEAR(A39)))</f>
        <v/>
      </c>
      <c r="S39" s="20">
        <f>IF(OR(A39="",B39=""),0,IF(AND(R39=التقارير!$C$4,OR(التقارير!$C$5="سنوي",AND(التقارير!$C$5="شهري",P39=التقارير!$C$6),AND(التقارير!$C$5="فصلي",Q39=التقارير!$C$7))),1,0))</f>
        <v/>
      </c>
      <c r="T39" s="20">
        <f>IF(S39=1,COUNTIF($S$5:S39,1),"")</f>
        <v/>
      </c>
      <c r="U39">
        <f>IF(AND($A39&lt;&gt;"",$B39&lt;&gt;"",$R39='تقرير الفصل الأول'!$C$4,$Q39='تقرير الفصل الأول'!$C$7),COUNT(U$4:U38)+1,"")</f>
        <v/>
      </c>
      <c r="V39">
        <f>IF(AND($A39&lt;&gt;"",$B39&lt;&gt;"",$R39='تقرير الفصل الثاني'!$C$4,$Q39='تقرير الفصل الثاني'!$C$7),COUNT(V$4:V38)+1,"")</f>
        <v/>
      </c>
      <c r="W39">
        <f>IF(AND($A39&lt;&gt;"",$B39&lt;&gt;"",$R39='تقرير سبتمبر'!$C$4,$P39='تقرير سبتمبر'!$C$6),COUNT(W$4:W38)+1,"")</f>
        <v/>
      </c>
      <c r="X39">
        <f>IF(AND($A39&lt;&gt;"",$B39&lt;&gt;"",$R39='تقرير أكتوبر'!$C$4,$P39='تقرير أكتوبر'!$C$6),COUNT(X$4:X38)+1,"")</f>
        <v/>
      </c>
      <c r="Y39">
        <f>IF(AND($A39&lt;&gt;"",$B39&lt;&gt;"",$R39='تقرير نوفمبر'!$C$4,$P39='تقرير نوفمبر'!$C$6),COUNT(Y$4:Y38)+1,"")</f>
        <v/>
      </c>
      <c r="Z39">
        <f>IF(AND($A39&lt;&gt;"",$B39&lt;&gt;"",$R39='تقرير ديسمبر'!$C$4,$P39='تقرير ديسمبر'!$C$6),COUNT(Z$4:Z38)+1,"")</f>
        <v/>
      </c>
      <c r="AA39">
        <f>IF(AND($A39&lt;&gt;"",$B39&lt;&gt;"",$R39='تقرير يناير'!$C$4,$P39='تقرير يناير'!$C$6),COUNT(AA$4:AA38)+1,"")</f>
        <v/>
      </c>
      <c r="AB39">
        <f>IF(AND($A39&lt;&gt;"",$B39&lt;&gt;"",$R39='تقرير فبراير'!$C$4,$P39='تقرير فبراير'!$C$6),COUNT(AB$4:AB38)+1,"")</f>
        <v/>
      </c>
      <c r="AC39">
        <f>IF(AND($A39&lt;&gt;"",$B39&lt;&gt;"",$R39='تقرير مارس'!$C$4,$P39='تقرير مارس'!$C$6),COUNT(AC$4:AC38)+1,"")</f>
        <v/>
      </c>
      <c r="AD39">
        <f>IF(AND($A39&lt;&gt;"",$B39&lt;&gt;"",$R39='تقرير أبريل'!$C$4,$P39='تقرير أبريل'!$C$6),COUNT(AD$4:AD38)+1,"")</f>
        <v/>
      </c>
      <c r="AE39">
        <f>IF(AND($A39&lt;&gt;"",$B39&lt;&gt;"",$R39='تقرير مايو'!$C$4,$P39='تقرير مايو'!$C$6),COUNT(AE$4:AE38)+1,"")</f>
        <v/>
      </c>
    </row>
    <row r="40">
      <c r="A40" s="16" t="n"/>
      <c r="B40" s="17" t="n"/>
      <c r="C40" s="17" t="n"/>
      <c r="D40" s="18" t="n"/>
      <c r="E40" s="17" t="n"/>
      <c r="F40" s="17" t="n"/>
      <c r="G40" s="19" t="n"/>
      <c r="H40" s="17" t="n"/>
      <c r="I40" s="17" t="n"/>
      <c r="J40" s="17" t="n"/>
      <c r="K40" s="20">
        <f>IF($B40="","",IFERROR(INDEX(الموظفات!$A$5:$A$304,MATCH($B40,الموظفات!$B$5:$B$304,0))&amp;"",""))</f>
        <v/>
      </c>
      <c r="L40" s="21">
        <f>IF($B40="","",IFERROR(INDEX(الموظفات!$C$5:$C$304,MATCH($B40,الموظفات!$B$5:$B$304,0))&amp;"",""))</f>
        <v/>
      </c>
      <c r="M40" s="20">
        <f>IF($B40="","",IFERROR(INDEX(الموظفات!$D$5:$D$304,MATCH($B40,الموظفات!$B$5:$B$304,0))&amp;"",""))</f>
        <v/>
      </c>
      <c r="N40" s="20">
        <f>IF($B40="","",IFERROR(INDEX(الموظفات!$E$5:$E$304,MATCH($B40,الموظفات!$B$5:$B$304,0))&amp;"",""))</f>
        <v/>
      </c>
      <c r="O40" s="21">
        <f>IF(C40="","",IFERROR(INDEX(الإعدادات!$D$7:$D$35,MATCH(C40,الإعدادات!$A$7:$A$35,0))&amp;"",""))</f>
        <v/>
      </c>
      <c r="P40" s="20">
        <f>IF(A40="","",INDEX(الإعدادات!$H$7:$H$18,MONTH(A40)))</f>
        <v/>
      </c>
      <c r="Q40" s="20">
        <f>IF(A40="","",INDEX(الإعدادات!$I$7:$I$18,MONTH(A40)))</f>
        <v/>
      </c>
      <c r="R40" s="20">
        <f>IF(A40="","",IF(MONTH(A40)&gt;=8,YEAR(A40)&amp;"-"&amp;(YEAR(A40)+1),(YEAR(A40)-1)&amp;"-"&amp;YEAR(A40)))</f>
        <v/>
      </c>
      <c r="S40" s="20">
        <f>IF(OR(A40="",B40=""),0,IF(AND(R40=التقارير!$C$4,OR(التقارير!$C$5="سنوي",AND(التقارير!$C$5="شهري",P40=التقارير!$C$6),AND(التقارير!$C$5="فصلي",Q40=التقارير!$C$7))),1,0))</f>
        <v/>
      </c>
      <c r="T40" s="20">
        <f>IF(S40=1,COUNTIF($S$5:S40,1),"")</f>
        <v/>
      </c>
      <c r="U40">
        <f>IF(AND($A40&lt;&gt;"",$B40&lt;&gt;"",$R40='تقرير الفصل الأول'!$C$4,$Q40='تقرير الفصل الأول'!$C$7),COUNT(U$4:U39)+1,"")</f>
        <v/>
      </c>
      <c r="V40">
        <f>IF(AND($A40&lt;&gt;"",$B40&lt;&gt;"",$R40='تقرير الفصل الثاني'!$C$4,$Q40='تقرير الفصل الثاني'!$C$7),COUNT(V$4:V39)+1,"")</f>
        <v/>
      </c>
      <c r="W40">
        <f>IF(AND($A40&lt;&gt;"",$B40&lt;&gt;"",$R40='تقرير سبتمبر'!$C$4,$P40='تقرير سبتمبر'!$C$6),COUNT(W$4:W39)+1,"")</f>
        <v/>
      </c>
      <c r="X40">
        <f>IF(AND($A40&lt;&gt;"",$B40&lt;&gt;"",$R40='تقرير أكتوبر'!$C$4,$P40='تقرير أكتوبر'!$C$6),COUNT(X$4:X39)+1,"")</f>
        <v/>
      </c>
      <c r="Y40">
        <f>IF(AND($A40&lt;&gt;"",$B40&lt;&gt;"",$R40='تقرير نوفمبر'!$C$4,$P40='تقرير نوفمبر'!$C$6),COUNT(Y$4:Y39)+1,"")</f>
        <v/>
      </c>
      <c r="Z40">
        <f>IF(AND($A40&lt;&gt;"",$B40&lt;&gt;"",$R40='تقرير ديسمبر'!$C$4,$P40='تقرير ديسمبر'!$C$6),COUNT(Z$4:Z39)+1,"")</f>
        <v/>
      </c>
      <c r="AA40">
        <f>IF(AND($A40&lt;&gt;"",$B40&lt;&gt;"",$R40='تقرير يناير'!$C$4,$P40='تقرير يناير'!$C$6),COUNT(AA$4:AA39)+1,"")</f>
        <v/>
      </c>
      <c r="AB40">
        <f>IF(AND($A40&lt;&gt;"",$B40&lt;&gt;"",$R40='تقرير فبراير'!$C$4,$P40='تقرير فبراير'!$C$6),COUNT(AB$4:AB39)+1,"")</f>
        <v/>
      </c>
      <c r="AC40">
        <f>IF(AND($A40&lt;&gt;"",$B40&lt;&gt;"",$R40='تقرير مارس'!$C$4,$P40='تقرير مارس'!$C$6),COUNT(AC$4:AC39)+1,"")</f>
        <v/>
      </c>
      <c r="AD40">
        <f>IF(AND($A40&lt;&gt;"",$B40&lt;&gt;"",$R40='تقرير أبريل'!$C$4,$P40='تقرير أبريل'!$C$6),COUNT(AD$4:AD39)+1,"")</f>
        <v/>
      </c>
      <c r="AE40">
        <f>IF(AND($A40&lt;&gt;"",$B40&lt;&gt;"",$R40='تقرير مايو'!$C$4,$P40='تقرير مايو'!$C$6),COUNT(AE$4:AE39)+1,"")</f>
        <v/>
      </c>
    </row>
    <row r="41">
      <c r="A41" s="16" t="n"/>
      <c r="B41" s="17" t="n"/>
      <c r="C41" s="17" t="n"/>
      <c r="D41" s="18" t="n"/>
      <c r="E41" s="17" t="n"/>
      <c r="F41" s="17" t="n"/>
      <c r="G41" s="19" t="n"/>
      <c r="H41" s="17" t="n"/>
      <c r="I41" s="17" t="n"/>
      <c r="J41" s="17" t="n"/>
      <c r="K41" s="20">
        <f>IF($B41="","",IFERROR(INDEX(الموظفات!$A$5:$A$304,MATCH($B41,الموظفات!$B$5:$B$304,0))&amp;"",""))</f>
        <v/>
      </c>
      <c r="L41" s="21">
        <f>IF($B41="","",IFERROR(INDEX(الموظفات!$C$5:$C$304,MATCH($B41,الموظفات!$B$5:$B$304,0))&amp;"",""))</f>
        <v/>
      </c>
      <c r="M41" s="20">
        <f>IF($B41="","",IFERROR(INDEX(الموظفات!$D$5:$D$304,MATCH($B41,الموظفات!$B$5:$B$304,0))&amp;"",""))</f>
        <v/>
      </c>
      <c r="N41" s="20">
        <f>IF($B41="","",IFERROR(INDEX(الموظفات!$E$5:$E$304,MATCH($B41,الموظفات!$B$5:$B$304,0))&amp;"",""))</f>
        <v/>
      </c>
      <c r="O41" s="21">
        <f>IF(C41="","",IFERROR(INDEX(الإعدادات!$D$7:$D$35,MATCH(C41,الإعدادات!$A$7:$A$35,0))&amp;"",""))</f>
        <v/>
      </c>
      <c r="P41" s="20">
        <f>IF(A41="","",INDEX(الإعدادات!$H$7:$H$18,MONTH(A41)))</f>
        <v/>
      </c>
      <c r="Q41" s="20">
        <f>IF(A41="","",INDEX(الإعدادات!$I$7:$I$18,MONTH(A41)))</f>
        <v/>
      </c>
      <c r="R41" s="20">
        <f>IF(A41="","",IF(MONTH(A41)&gt;=8,YEAR(A41)&amp;"-"&amp;(YEAR(A41)+1),(YEAR(A41)-1)&amp;"-"&amp;YEAR(A41)))</f>
        <v/>
      </c>
      <c r="S41" s="20">
        <f>IF(OR(A41="",B41=""),0,IF(AND(R41=التقارير!$C$4,OR(التقارير!$C$5="سنوي",AND(التقارير!$C$5="شهري",P41=التقارير!$C$6),AND(التقارير!$C$5="فصلي",Q41=التقارير!$C$7))),1,0))</f>
        <v/>
      </c>
      <c r="T41" s="20">
        <f>IF(S41=1,COUNTIF($S$5:S41,1),"")</f>
        <v/>
      </c>
      <c r="U41">
        <f>IF(AND($A41&lt;&gt;"",$B41&lt;&gt;"",$R41='تقرير الفصل الأول'!$C$4,$Q41='تقرير الفصل الأول'!$C$7),COUNT(U$4:U40)+1,"")</f>
        <v/>
      </c>
      <c r="V41">
        <f>IF(AND($A41&lt;&gt;"",$B41&lt;&gt;"",$R41='تقرير الفصل الثاني'!$C$4,$Q41='تقرير الفصل الثاني'!$C$7),COUNT(V$4:V40)+1,"")</f>
        <v/>
      </c>
      <c r="W41">
        <f>IF(AND($A41&lt;&gt;"",$B41&lt;&gt;"",$R41='تقرير سبتمبر'!$C$4,$P41='تقرير سبتمبر'!$C$6),COUNT(W$4:W40)+1,"")</f>
        <v/>
      </c>
      <c r="X41">
        <f>IF(AND($A41&lt;&gt;"",$B41&lt;&gt;"",$R41='تقرير أكتوبر'!$C$4,$P41='تقرير أكتوبر'!$C$6),COUNT(X$4:X40)+1,"")</f>
        <v/>
      </c>
      <c r="Y41">
        <f>IF(AND($A41&lt;&gt;"",$B41&lt;&gt;"",$R41='تقرير نوفمبر'!$C$4,$P41='تقرير نوفمبر'!$C$6),COUNT(Y$4:Y40)+1,"")</f>
        <v/>
      </c>
      <c r="Z41">
        <f>IF(AND($A41&lt;&gt;"",$B41&lt;&gt;"",$R41='تقرير ديسمبر'!$C$4,$P41='تقرير ديسمبر'!$C$6),COUNT(Z$4:Z40)+1,"")</f>
        <v/>
      </c>
      <c r="AA41">
        <f>IF(AND($A41&lt;&gt;"",$B41&lt;&gt;"",$R41='تقرير يناير'!$C$4,$P41='تقرير يناير'!$C$6),COUNT(AA$4:AA40)+1,"")</f>
        <v/>
      </c>
      <c r="AB41">
        <f>IF(AND($A41&lt;&gt;"",$B41&lt;&gt;"",$R41='تقرير فبراير'!$C$4,$P41='تقرير فبراير'!$C$6),COUNT(AB$4:AB40)+1,"")</f>
        <v/>
      </c>
      <c r="AC41">
        <f>IF(AND($A41&lt;&gt;"",$B41&lt;&gt;"",$R41='تقرير مارس'!$C$4,$P41='تقرير مارس'!$C$6),COUNT(AC$4:AC40)+1,"")</f>
        <v/>
      </c>
      <c r="AD41">
        <f>IF(AND($A41&lt;&gt;"",$B41&lt;&gt;"",$R41='تقرير أبريل'!$C$4,$P41='تقرير أبريل'!$C$6),COUNT(AD$4:AD40)+1,"")</f>
        <v/>
      </c>
      <c r="AE41">
        <f>IF(AND($A41&lt;&gt;"",$B41&lt;&gt;"",$R41='تقرير مايو'!$C$4,$P41='تقرير مايو'!$C$6),COUNT(AE$4:AE40)+1,"")</f>
        <v/>
      </c>
    </row>
    <row r="42">
      <c r="A42" s="16" t="n"/>
      <c r="B42" s="17" t="n"/>
      <c r="C42" s="17" t="n"/>
      <c r="D42" s="18" t="n"/>
      <c r="E42" s="17" t="n"/>
      <c r="F42" s="17" t="n"/>
      <c r="G42" s="19" t="n"/>
      <c r="H42" s="17" t="n"/>
      <c r="I42" s="17" t="n"/>
      <c r="J42" s="17" t="n"/>
      <c r="K42" s="20">
        <f>IF($B42="","",IFERROR(INDEX(الموظفات!$A$5:$A$304,MATCH($B42,الموظفات!$B$5:$B$304,0))&amp;"",""))</f>
        <v/>
      </c>
      <c r="L42" s="21">
        <f>IF($B42="","",IFERROR(INDEX(الموظفات!$C$5:$C$304,MATCH($B42,الموظفات!$B$5:$B$304,0))&amp;"",""))</f>
        <v/>
      </c>
      <c r="M42" s="20">
        <f>IF($B42="","",IFERROR(INDEX(الموظفات!$D$5:$D$304,MATCH($B42,الموظفات!$B$5:$B$304,0))&amp;"",""))</f>
        <v/>
      </c>
      <c r="N42" s="20">
        <f>IF($B42="","",IFERROR(INDEX(الموظفات!$E$5:$E$304,MATCH($B42,الموظفات!$B$5:$B$304,0))&amp;"",""))</f>
        <v/>
      </c>
      <c r="O42" s="21">
        <f>IF(C42="","",IFERROR(INDEX(الإعدادات!$D$7:$D$35,MATCH(C42,الإعدادات!$A$7:$A$35,0))&amp;"",""))</f>
        <v/>
      </c>
      <c r="P42" s="20">
        <f>IF(A42="","",INDEX(الإعدادات!$H$7:$H$18,MONTH(A42)))</f>
        <v/>
      </c>
      <c r="Q42" s="20">
        <f>IF(A42="","",INDEX(الإعدادات!$I$7:$I$18,MONTH(A42)))</f>
        <v/>
      </c>
      <c r="R42" s="20">
        <f>IF(A42="","",IF(MONTH(A42)&gt;=8,YEAR(A42)&amp;"-"&amp;(YEAR(A42)+1),(YEAR(A42)-1)&amp;"-"&amp;YEAR(A42)))</f>
        <v/>
      </c>
      <c r="S42" s="20">
        <f>IF(OR(A42="",B42=""),0,IF(AND(R42=التقارير!$C$4,OR(التقارير!$C$5="سنوي",AND(التقارير!$C$5="شهري",P42=التقارير!$C$6),AND(التقارير!$C$5="فصلي",Q42=التقارير!$C$7))),1,0))</f>
        <v/>
      </c>
      <c r="T42" s="20">
        <f>IF(S42=1,COUNTIF($S$5:S42,1),"")</f>
        <v/>
      </c>
      <c r="U42">
        <f>IF(AND($A42&lt;&gt;"",$B42&lt;&gt;"",$R42='تقرير الفصل الأول'!$C$4,$Q42='تقرير الفصل الأول'!$C$7),COUNT(U$4:U41)+1,"")</f>
        <v/>
      </c>
      <c r="V42">
        <f>IF(AND($A42&lt;&gt;"",$B42&lt;&gt;"",$R42='تقرير الفصل الثاني'!$C$4,$Q42='تقرير الفصل الثاني'!$C$7),COUNT(V$4:V41)+1,"")</f>
        <v/>
      </c>
      <c r="W42">
        <f>IF(AND($A42&lt;&gt;"",$B42&lt;&gt;"",$R42='تقرير سبتمبر'!$C$4,$P42='تقرير سبتمبر'!$C$6),COUNT(W$4:W41)+1,"")</f>
        <v/>
      </c>
      <c r="X42">
        <f>IF(AND($A42&lt;&gt;"",$B42&lt;&gt;"",$R42='تقرير أكتوبر'!$C$4,$P42='تقرير أكتوبر'!$C$6),COUNT(X$4:X41)+1,"")</f>
        <v/>
      </c>
      <c r="Y42">
        <f>IF(AND($A42&lt;&gt;"",$B42&lt;&gt;"",$R42='تقرير نوفمبر'!$C$4,$P42='تقرير نوفمبر'!$C$6),COUNT(Y$4:Y41)+1,"")</f>
        <v/>
      </c>
      <c r="Z42">
        <f>IF(AND($A42&lt;&gt;"",$B42&lt;&gt;"",$R42='تقرير ديسمبر'!$C$4,$P42='تقرير ديسمبر'!$C$6),COUNT(Z$4:Z41)+1,"")</f>
        <v/>
      </c>
      <c r="AA42">
        <f>IF(AND($A42&lt;&gt;"",$B42&lt;&gt;"",$R42='تقرير يناير'!$C$4,$P42='تقرير يناير'!$C$6),COUNT(AA$4:AA41)+1,"")</f>
        <v/>
      </c>
      <c r="AB42">
        <f>IF(AND($A42&lt;&gt;"",$B42&lt;&gt;"",$R42='تقرير فبراير'!$C$4,$P42='تقرير فبراير'!$C$6),COUNT(AB$4:AB41)+1,"")</f>
        <v/>
      </c>
      <c r="AC42">
        <f>IF(AND($A42&lt;&gt;"",$B42&lt;&gt;"",$R42='تقرير مارس'!$C$4,$P42='تقرير مارس'!$C$6),COUNT(AC$4:AC41)+1,"")</f>
        <v/>
      </c>
      <c r="AD42">
        <f>IF(AND($A42&lt;&gt;"",$B42&lt;&gt;"",$R42='تقرير أبريل'!$C$4,$P42='تقرير أبريل'!$C$6),COUNT(AD$4:AD41)+1,"")</f>
        <v/>
      </c>
      <c r="AE42">
        <f>IF(AND($A42&lt;&gt;"",$B42&lt;&gt;"",$R42='تقرير مايو'!$C$4,$P42='تقرير مايو'!$C$6),COUNT(AE$4:AE41)+1,"")</f>
        <v/>
      </c>
    </row>
    <row r="43">
      <c r="A43" s="16" t="n"/>
      <c r="B43" s="17" t="n"/>
      <c r="C43" s="17" t="n"/>
      <c r="D43" s="18" t="n"/>
      <c r="E43" s="17" t="n"/>
      <c r="F43" s="17" t="n"/>
      <c r="G43" s="19" t="n"/>
      <c r="H43" s="17" t="n"/>
      <c r="I43" s="17" t="n"/>
      <c r="J43" s="17" t="n"/>
      <c r="K43" s="20">
        <f>IF($B43="","",IFERROR(INDEX(الموظفات!$A$5:$A$304,MATCH($B43,الموظفات!$B$5:$B$304,0))&amp;"",""))</f>
        <v/>
      </c>
      <c r="L43" s="21">
        <f>IF($B43="","",IFERROR(INDEX(الموظفات!$C$5:$C$304,MATCH($B43,الموظفات!$B$5:$B$304,0))&amp;"",""))</f>
        <v/>
      </c>
      <c r="M43" s="20">
        <f>IF($B43="","",IFERROR(INDEX(الموظفات!$D$5:$D$304,MATCH($B43,الموظفات!$B$5:$B$304,0))&amp;"",""))</f>
        <v/>
      </c>
      <c r="N43" s="20">
        <f>IF($B43="","",IFERROR(INDEX(الموظفات!$E$5:$E$304,MATCH($B43,الموظفات!$B$5:$B$304,0))&amp;"",""))</f>
        <v/>
      </c>
      <c r="O43" s="21">
        <f>IF(C43="","",IFERROR(INDEX(الإعدادات!$D$7:$D$35,MATCH(C43,الإعدادات!$A$7:$A$35,0))&amp;"",""))</f>
        <v/>
      </c>
      <c r="P43" s="20">
        <f>IF(A43="","",INDEX(الإعدادات!$H$7:$H$18,MONTH(A43)))</f>
        <v/>
      </c>
      <c r="Q43" s="20">
        <f>IF(A43="","",INDEX(الإعدادات!$I$7:$I$18,MONTH(A43)))</f>
        <v/>
      </c>
      <c r="R43" s="20">
        <f>IF(A43="","",IF(MONTH(A43)&gt;=8,YEAR(A43)&amp;"-"&amp;(YEAR(A43)+1),(YEAR(A43)-1)&amp;"-"&amp;YEAR(A43)))</f>
        <v/>
      </c>
      <c r="S43" s="20">
        <f>IF(OR(A43="",B43=""),0,IF(AND(R43=التقارير!$C$4,OR(التقارير!$C$5="سنوي",AND(التقارير!$C$5="شهري",P43=التقارير!$C$6),AND(التقارير!$C$5="فصلي",Q43=التقارير!$C$7))),1,0))</f>
        <v/>
      </c>
      <c r="T43" s="20">
        <f>IF(S43=1,COUNTIF($S$5:S43,1),"")</f>
        <v/>
      </c>
      <c r="U43">
        <f>IF(AND($A43&lt;&gt;"",$B43&lt;&gt;"",$R43='تقرير الفصل الأول'!$C$4,$Q43='تقرير الفصل الأول'!$C$7),COUNT(U$4:U42)+1,"")</f>
        <v/>
      </c>
      <c r="V43">
        <f>IF(AND($A43&lt;&gt;"",$B43&lt;&gt;"",$R43='تقرير الفصل الثاني'!$C$4,$Q43='تقرير الفصل الثاني'!$C$7),COUNT(V$4:V42)+1,"")</f>
        <v/>
      </c>
      <c r="W43">
        <f>IF(AND($A43&lt;&gt;"",$B43&lt;&gt;"",$R43='تقرير سبتمبر'!$C$4,$P43='تقرير سبتمبر'!$C$6),COUNT(W$4:W42)+1,"")</f>
        <v/>
      </c>
      <c r="X43">
        <f>IF(AND($A43&lt;&gt;"",$B43&lt;&gt;"",$R43='تقرير أكتوبر'!$C$4,$P43='تقرير أكتوبر'!$C$6),COUNT(X$4:X42)+1,"")</f>
        <v/>
      </c>
      <c r="Y43">
        <f>IF(AND($A43&lt;&gt;"",$B43&lt;&gt;"",$R43='تقرير نوفمبر'!$C$4,$P43='تقرير نوفمبر'!$C$6),COUNT(Y$4:Y42)+1,"")</f>
        <v/>
      </c>
      <c r="Z43">
        <f>IF(AND($A43&lt;&gt;"",$B43&lt;&gt;"",$R43='تقرير ديسمبر'!$C$4,$P43='تقرير ديسمبر'!$C$6),COUNT(Z$4:Z42)+1,"")</f>
        <v/>
      </c>
      <c r="AA43">
        <f>IF(AND($A43&lt;&gt;"",$B43&lt;&gt;"",$R43='تقرير يناير'!$C$4,$P43='تقرير يناير'!$C$6),COUNT(AA$4:AA42)+1,"")</f>
        <v/>
      </c>
      <c r="AB43">
        <f>IF(AND($A43&lt;&gt;"",$B43&lt;&gt;"",$R43='تقرير فبراير'!$C$4,$P43='تقرير فبراير'!$C$6),COUNT(AB$4:AB42)+1,"")</f>
        <v/>
      </c>
      <c r="AC43">
        <f>IF(AND($A43&lt;&gt;"",$B43&lt;&gt;"",$R43='تقرير مارس'!$C$4,$P43='تقرير مارس'!$C$6),COUNT(AC$4:AC42)+1,"")</f>
        <v/>
      </c>
      <c r="AD43">
        <f>IF(AND($A43&lt;&gt;"",$B43&lt;&gt;"",$R43='تقرير أبريل'!$C$4,$P43='تقرير أبريل'!$C$6),COUNT(AD$4:AD42)+1,"")</f>
        <v/>
      </c>
      <c r="AE43">
        <f>IF(AND($A43&lt;&gt;"",$B43&lt;&gt;"",$R43='تقرير مايو'!$C$4,$P43='تقرير مايو'!$C$6),COUNT(AE$4:AE42)+1,"")</f>
        <v/>
      </c>
    </row>
    <row r="44">
      <c r="A44" s="16" t="n"/>
      <c r="B44" s="17" t="n"/>
      <c r="C44" s="17" t="n"/>
      <c r="D44" s="18" t="n"/>
      <c r="E44" s="17" t="n"/>
      <c r="F44" s="17" t="n"/>
      <c r="G44" s="19" t="n"/>
      <c r="H44" s="17" t="n"/>
      <c r="I44" s="17" t="n"/>
      <c r="J44" s="17" t="n"/>
      <c r="K44" s="20">
        <f>IF($B44="","",IFERROR(INDEX(الموظفات!$A$5:$A$304,MATCH($B44,الموظفات!$B$5:$B$304,0))&amp;"",""))</f>
        <v/>
      </c>
      <c r="L44" s="21">
        <f>IF($B44="","",IFERROR(INDEX(الموظفات!$C$5:$C$304,MATCH($B44,الموظفات!$B$5:$B$304,0))&amp;"",""))</f>
        <v/>
      </c>
      <c r="M44" s="20">
        <f>IF($B44="","",IFERROR(INDEX(الموظفات!$D$5:$D$304,MATCH($B44,الموظفات!$B$5:$B$304,0))&amp;"",""))</f>
        <v/>
      </c>
      <c r="N44" s="20">
        <f>IF($B44="","",IFERROR(INDEX(الموظفات!$E$5:$E$304,MATCH($B44,الموظفات!$B$5:$B$304,0))&amp;"",""))</f>
        <v/>
      </c>
      <c r="O44" s="21">
        <f>IF(C44="","",IFERROR(INDEX(الإعدادات!$D$7:$D$35,MATCH(C44,الإعدادات!$A$7:$A$35,0))&amp;"",""))</f>
        <v/>
      </c>
      <c r="P44" s="20">
        <f>IF(A44="","",INDEX(الإعدادات!$H$7:$H$18,MONTH(A44)))</f>
        <v/>
      </c>
      <c r="Q44" s="20">
        <f>IF(A44="","",INDEX(الإعدادات!$I$7:$I$18,MONTH(A44)))</f>
        <v/>
      </c>
      <c r="R44" s="20">
        <f>IF(A44="","",IF(MONTH(A44)&gt;=8,YEAR(A44)&amp;"-"&amp;(YEAR(A44)+1),(YEAR(A44)-1)&amp;"-"&amp;YEAR(A44)))</f>
        <v/>
      </c>
      <c r="S44" s="20">
        <f>IF(OR(A44="",B44=""),0,IF(AND(R44=التقارير!$C$4,OR(التقارير!$C$5="سنوي",AND(التقارير!$C$5="شهري",P44=التقارير!$C$6),AND(التقارير!$C$5="فصلي",Q44=التقارير!$C$7))),1,0))</f>
        <v/>
      </c>
      <c r="T44" s="20">
        <f>IF(S44=1,COUNTIF($S$5:S44,1),"")</f>
        <v/>
      </c>
      <c r="U44">
        <f>IF(AND($A44&lt;&gt;"",$B44&lt;&gt;"",$R44='تقرير الفصل الأول'!$C$4,$Q44='تقرير الفصل الأول'!$C$7),COUNT(U$4:U43)+1,"")</f>
        <v/>
      </c>
      <c r="V44">
        <f>IF(AND($A44&lt;&gt;"",$B44&lt;&gt;"",$R44='تقرير الفصل الثاني'!$C$4,$Q44='تقرير الفصل الثاني'!$C$7),COUNT(V$4:V43)+1,"")</f>
        <v/>
      </c>
      <c r="W44">
        <f>IF(AND($A44&lt;&gt;"",$B44&lt;&gt;"",$R44='تقرير سبتمبر'!$C$4,$P44='تقرير سبتمبر'!$C$6),COUNT(W$4:W43)+1,"")</f>
        <v/>
      </c>
      <c r="X44">
        <f>IF(AND($A44&lt;&gt;"",$B44&lt;&gt;"",$R44='تقرير أكتوبر'!$C$4,$P44='تقرير أكتوبر'!$C$6),COUNT(X$4:X43)+1,"")</f>
        <v/>
      </c>
      <c r="Y44">
        <f>IF(AND($A44&lt;&gt;"",$B44&lt;&gt;"",$R44='تقرير نوفمبر'!$C$4,$P44='تقرير نوفمبر'!$C$6),COUNT(Y$4:Y43)+1,"")</f>
        <v/>
      </c>
      <c r="Z44">
        <f>IF(AND($A44&lt;&gt;"",$B44&lt;&gt;"",$R44='تقرير ديسمبر'!$C$4,$P44='تقرير ديسمبر'!$C$6),COUNT(Z$4:Z43)+1,"")</f>
        <v/>
      </c>
      <c r="AA44">
        <f>IF(AND($A44&lt;&gt;"",$B44&lt;&gt;"",$R44='تقرير يناير'!$C$4,$P44='تقرير يناير'!$C$6),COUNT(AA$4:AA43)+1,"")</f>
        <v/>
      </c>
      <c r="AB44">
        <f>IF(AND($A44&lt;&gt;"",$B44&lt;&gt;"",$R44='تقرير فبراير'!$C$4,$P44='تقرير فبراير'!$C$6),COUNT(AB$4:AB43)+1,"")</f>
        <v/>
      </c>
      <c r="AC44">
        <f>IF(AND($A44&lt;&gt;"",$B44&lt;&gt;"",$R44='تقرير مارس'!$C$4,$P44='تقرير مارس'!$C$6),COUNT(AC$4:AC43)+1,"")</f>
        <v/>
      </c>
      <c r="AD44">
        <f>IF(AND($A44&lt;&gt;"",$B44&lt;&gt;"",$R44='تقرير أبريل'!$C$4,$P44='تقرير أبريل'!$C$6),COUNT(AD$4:AD43)+1,"")</f>
        <v/>
      </c>
      <c r="AE44">
        <f>IF(AND($A44&lt;&gt;"",$B44&lt;&gt;"",$R44='تقرير مايو'!$C$4,$P44='تقرير مايو'!$C$6),COUNT(AE$4:AE43)+1,"")</f>
        <v/>
      </c>
    </row>
    <row r="45">
      <c r="A45" s="16" t="n"/>
      <c r="B45" s="17" t="n"/>
      <c r="C45" s="17" t="n"/>
      <c r="D45" s="18" t="n"/>
      <c r="E45" s="17" t="n"/>
      <c r="F45" s="17" t="n"/>
      <c r="G45" s="19" t="n"/>
      <c r="H45" s="17" t="n"/>
      <c r="I45" s="17" t="n"/>
      <c r="J45" s="17" t="n"/>
      <c r="K45" s="20">
        <f>IF($B45="","",IFERROR(INDEX(الموظفات!$A$5:$A$304,MATCH($B45,الموظفات!$B$5:$B$304,0))&amp;"",""))</f>
        <v/>
      </c>
      <c r="L45" s="21">
        <f>IF($B45="","",IFERROR(INDEX(الموظفات!$C$5:$C$304,MATCH($B45,الموظفات!$B$5:$B$304,0))&amp;"",""))</f>
        <v/>
      </c>
      <c r="M45" s="20">
        <f>IF($B45="","",IFERROR(INDEX(الموظفات!$D$5:$D$304,MATCH($B45,الموظفات!$B$5:$B$304,0))&amp;"",""))</f>
        <v/>
      </c>
      <c r="N45" s="20">
        <f>IF($B45="","",IFERROR(INDEX(الموظفات!$E$5:$E$304,MATCH($B45,الموظفات!$B$5:$B$304,0))&amp;"",""))</f>
        <v/>
      </c>
      <c r="O45" s="21">
        <f>IF(C45="","",IFERROR(INDEX(الإعدادات!$D$7:$D$35,MATCH(C45,الإعدادات!$A$7:$A$35,0))&amp;"",""))</f>
        <v/>
      </c>
      <c r="P45" s="20">
        <f>IF(A45="","",INDEX(الإعدادات!$H$7:$H$18,MONTH(A45)))</f>
        <v/>
      </c>
      <c r="Q45" s="20">
        <f>IF(A45="","",INDEX(الإعدادات!$I$7:$I$18,MONTH(A45)))</f>
        <v/>
      </c>
      <c r="R45" s="20">
        <f>IF(A45="","",IF(MONTH(A45)&gt;=8,YEAR(A45)&amp;"-"&amp;(YEAR(A45)+1),(YEAR(A45)-1)&amp;"-"&amp;YEAR(A45)))</f>
        <v/>
      </c>
      <c r="S45" s="20">
        <f>IF(OR(A45="",B45=""),0,IF(AND(R45=التقارير!$C$4,OR(التقارير!$C$5="سنوي",AND(التقارير!$C$5="شهري",P45=التقارير!$C$6),AND(التقارير!$C$5="فصلي",Q45=التقارير!$C$7))),1,0))</f>
        <v/>
      </c>
      <c r="T45" s="20">
        <f>IF(S45=1,COUNTIF($S$5:S45,1),"")</f>
        <v/>
      </c>
      <c r="U45">
        <f>IF(AND($A45&lt;&gt;"",$B45&lt;&gt;"",$R45='تقرير الفصل الأول'!$C$4,$Q45='تقرير الفصل الأول'!$C$7),COUNT(U$4:U44)+1,"")</f>
        <v/>
      </c>
      <c r="V45">
        <f>IF(AND($A45&lt;&gt;"",$B45&lt;&gt;"",$R45='تقرير الفصل الثاني'!$C$4,$Q45='تقرير الفصل الثاني'!$C$7),COUNT(V$4:V44)+1,"")</f>
        <v/>
      </c>
      <c r="W45">
        <f>IF(AND($A45&lt;&gt;"",$B45&lt;&gt;"",$R45='تقرير سبتمبر'!$C$4,$P45='تقرير سبتمبر'!$C$6),COUNT(W$4:W44)+1,"")</f>
        <v/>
      </c>
      <c r="X45">
        <f>IF(AND($A45&lt;&gt;"",$B45&lt;&gt;"",$R45='تقرير أكتوبر'!$C$4,$P45='تقرير أكتوبر'!$C$6),COUNT(X$4:X44)+1,"")</f>
        <v/>
      </c>
      <c r="Y45">
        <f>IF(AND($A45&lt;&gt;"",$B45&lt;&gt;"",$R45='تقرير نوفمبر'!$C$4,$P45='تقرير نوفمبر'!$C$6),COUNT(Y$4:Y44)+1,"")</f>
        <v/>
      </c>
      <c r="Z45">
        <f>IF(AND($A45&lt;&gt;"",$B45&lt;&gt;"",$R45='تقرير ديسمبر'!$C$4,$P45='تقرير ديسمبر'!$C$6),COUNT(Z$4:Z44)+1,"")</f>
        <v/>
      </c>
      <c r="AA45">
        <f>IF(AND($A45&lt;&gt;"",$B45&lt;&gt;"",$R45='تقرير يناير'!$C$4,$P45='تقرير يناير'!$C$6),COUNT(AA$4:AA44)+1,"")</f>
        <v/>
      </c>
      <c r="AB45">
        <f>IF(AND($A45&lt;&gt;"",$B45&lt;&gt;"",$R45='تقرير فبراير'!$C$4,$P45='تقرير فبراير'!$C$6),COUNT(AB$4:AB44)+1,"")</f>
        <v/>
      </c>
      <c r="AC45">
        <f>IF(AND($A45&lt;&gt;"",$B45&lt;&gt;"",$R45='تقرير مارس'!$C$4,$P45='تقرير مارس'!$C$6),COUNT(AC$4:AC44)+1,"")</f>
        <v/>
      </c>
      <c r="AD45">
        <f>IF(AND($A45&lt;&gt;"",$B45&lt;&gt;"",$R45='تقرير أبريل'!$C$4,$P45='تقرير أبريل'!$C$6),COUNT(AD$4:AD44)+1,"")</f>
        <v/>
      </c>
      <c r="AE45">
        <f>IF(AND($A45&lt;&gt;"",$B45&lt;&gt;"",$R45='تقرير مايو'!$C$4,$P45='تقرير مايو'!$C$6),COUNT(AE$4:AE44)+1,"")</f>
        <v/>
      </c>
    </row>
    <row r="46">
      <c r="A46" s="16" t="n"/>
      <c r="B46" s="17" t="n"/>
      <c r="C46" s="17" t="n"/>
      <c r="D46" s="18" t="n"/>
      <c r="E46" s="17" t="n"/>
      <c r="F46" s="17" t="n"/>
      <c r="G46" s="19" t="n"/>
      <c r="H46" s="17" t="n"/>
      <c r="I46" s="17" t="n"/>
      <c r="J46" s="17" t="n"/>
      <c r="K46" s="20">
        <f>IF($B46="","",IFERROR(INDEX(الموظفات!$A$5:$A$304,MATCH($B46,الموظفات!$B$5:$B$304,0))&amp;"",""))</f>
        <v/>
      </c>
      <c r="L46" s="21">
        <f>IF($B46="","",IFERROR(INDEX(الموظفات!$C$5:$C$304,MATCH($B46,الموظفات!$B$5:$B$304,0))&amp;"",""))</f>
        <v/>
      </c>
      <c r="M46" s="20">
        <f>IF($B46="","",IFERROR(INDEX(الموظفات!$D$5:$D$304,MATCH($B46,الموظفات!$B$5:$B$304,0))&amp;"",""))</f>
        <v/>
      </c>
      <c r="N46" s="20">
        <f>IF($B46="","",IFERROR(INDEX(الموظفات!$E$5:$E$304,MATCH($B46,الموظفات!$B$5:$B$304,0))&amp;"",""))</f>
        <v/>
      </c>
      <c r="O46" s="21">
        <f>IF(C46="","",IFERROR(INDEX(الإعدادات!$D$7:$D$35,MATCH(C46,الإعدادات!$A$7:$A$35,0))&amp;"",""))</f>
        <v/>
      </c>
      <c r="P46" s="20">
        <f>IF(A46="","",INDEX(الإعدادات!$H$7:$H$18,MONTH(A46)))</f>
        <v/>
      </c>
      <c r="Q46" s="20">
        <f>IF(A46="","",INDEX(الإعدادات!$I$7:$I$18,MONTH(A46)))</f>
        <v/>
      </c>
      <c r="R46" s="20">
        <f>IF(A46="","",IF(MONTH(A46)&gt;=8,YEAR(A46)&amp;"-"&amp;(YEAR(A46)+1),(YEAR(A46)-1)&amp;"-"&amp;YEAR(A46)))</f>
        <v/>
      </c>
      <c r="S46" s="20">
        <f>IF(OR(A46="",B46=""),0,IF(AND(R46=التقارير!$C$4,OR(التقارير!$C$5="سنوي",AND(التقارير!$C$5="شهري",P46=التقارير!$C$6),AND(التقارير!$C$5="فصلي",Q46=التقارير!$C$7))),1,0))</f>
        <v/>
      </c>
      <c r="T46" s="20">
        <f>IF(S46=1,COUNTIF($S$5:S46,1),"")</f>
        <v/>
      </c>
      <c r="U46">
        <f>IF(AND($A46&lt;&gt;"",$B46&lt;&gt;"",$R46='تقرير الفصل الأول'!$C$4,$Q46='تقرير الفصل الأول'!$C$7),COUNT(U$4:U45)+1,"")</f>
        <v/>
      </c>
      <c r="V46">
        <f>IF(AND($A46&lt;&gt;"",$B46&lt;&gt;"",$R46='تقرير الفصل الثاني'!$C$4,$Q46='تقرير الفصل الثاني'!$C$7),COUNT(V$4:V45)+1,"")</f>
        <v/>
      </c>
      <c r="W46">
        <f>IF(AND($A46&lt;&gt;"",$B46&lt;&gt;"",$R46='تقرير سبتمبر'!$C$4,$P46='تقرير سبتمبر'!$C$6),COUNT(W$4:W45)+1,"")</f>
        <v/>
      </c>
      <c r="X46">
        <f>IF(AND($A46&lt;&gt;"",$B46&lt;&gt;"",$R46='تقرير أكتوبر'!$C$4,$P46='تقرير أكتوبر'!$C$6),COUNT(X$4:X45)+1,"")</f>
        <v/>
      </c>
      <c r="Y46">
        <f>IF(AND($A46&lt;&gt;"",$B46&lt;&gt;"",$R46='تقرير نوفمبر'!$C$4,$P46='تقرير نوفمبر'!$C$6),COUNT(Y$4:Y45)+1,"")</f>
        <v/>
      </c>
      <c r="Z46">
        <f>IF(AND($A46&lt;&gt;"",$B46&lt;&gt;"",$R46='تقرير ديسمبر'!$C$4,$P46='تقرير ديسمبر'!$C$6),COUNT(Z$4:Z45)+1,"")</f>
        <v/>
      </c>
      <c r="AA46">
        <f>IF(AND($A46&lt;&gt;"",$B46&lt;&gt;"",$R46='تقرير يناير'!$C$4,$P46='تقرير يناير'!$C$6),COUNT(AA$4:AA45)+1,"")</f>
        <v/>
      </c>
      <c r="AB46">
        <f>IF(AND($A46&lt;&gt;"",$B46&lt;&gt;"",$R46='تقرير فبراير'!$C$4,$P46='تقرير فبراير'!$C$6),COUNT(AB$4:AB45)+1,"")</f>
        <v/>
      </c>
      <c r="AC46">
        <f>IF(AND($A46&lt;&gt;"",$B46&lt;&gt;"",$R46='تقرير مارس'!$C$4,$P46='تقرير مارس'!$C$6),COUNT(AC$4:AC45)+1,"")</f>
        <v/>
      </c>
      <c r="AD46">
        <f>IF(AND($A46&lt;&gt;"",$B46&lt;&gt;"",$R46='تقرير أبريل'!$C$4,$P46='تقرير أبريل'!$C$6),COUNT(AD$4:AD45)+1,"")</f>
        <v/>
      </c>
      <c r="AE46">
        <f>IF(AND($A46&lt;&gt;"",$B46&lt;&gt;"",$R46='تقرير مايو'!$C$4,$P46='تقرير مايو'!$C$6),COUNT(AE$4:AE45)+1,"")</f>
        <v/>
      </c>
    </row>
    <row r="47">
      <c r="A47" s="16" t="n"/>
      <c r="B47" s="17" t="n"/>
      <c r="C47" s="17" t="n"/>
      <c r="D47" s="18" t="n"/>
      <c r="E47" s="17" t="n"/>
      <c r="F47" s="17" t="n"/>
      <c r="G47" s="19" t="n"/>
      <c r="H47" s="17" t="n"/>
      <c r="I47" s="17" t="n"/>
      <c r="J47" s="17" t="n"/>
      <c r="K47" s="20">
        <f>IF($B47="","",IFERROR(INDEX(الموظفات!$A$5:$A$304,MATCH($B47,الموظفات!$B$5:$B$304,0))&amp;"",""))</f>
        <v/>
      </c>
      <c r="L47" s="21">
        <f>IF($B47="","",IFERROR(INDEX(الموظفات!$C$5:$C$304,MATCH($B47,الموظفات!$B$5:$B$304,0))&amp;"",""))</f>
        <v/>
      </c>
      <c r="M47" s="20">
        <f>IF($B47="","",IFERROR(INDEX(الموظفات!$D$5:$D$304,MATCH($B47,الموظفات!$B$5:$B$304,0))&amp;"",""))</f>
        <v/>
      </c>
      <c r="N47" s="20">
        <f>IF($B47="","",IFERROR(INDEX(الموظفات!$E$5:$E$304,MATCH($B47,الموظفات!$B$5:$B$304,0))&amp;"",""))</f>
        <v/>
      </c>
      <c r="O47" s="21">
        <f>IF(C47="","",IFERROR(INDEX(الإعدادات!$D$7:$D$35,MATCH(C47,الإعدادات!$A$7:$A$35,0))&amp;"",""))</f>
        <v/>
      </c>
      <c r="P47" s="20">
        <f>IF(A47="","",INDEX(الإعدادات!$H$7:$H$18,MONTH(A47)))</f>
        <v/>
      </c>
      <c r="Q47" s="20">
        <f>IF(A47="","",INDEX(الإعدادات!$I$7:$I$18,MONTH(A47)))</f>
        <v/>
      </c>
      <c r="R47" s="20">
        <f>IF(A47="","",IF(MONTH(A47)&gt;=8,YEAR(A47)&amp;"-"&amp;(YEAR(A47)+1),(YEAR(A47)-1)&amp;"-"&amp;YEAR(A47)))</f>
        <v/>
      </c>
      <c r="S47" s="20">
        <f>IF(OR(A47="",B47=""),0,IF(AND(R47=التقارير!$C$4,OR(التقارير!$C$5="سنوي",AND(التقارير!$C$5="شهري",P47=التقارير!$C$6),AND(التقارير!$C$5="فصلي",Q47=التقارير!$C$7))),1,0))</f>
        <v/>
      </c>
      <c r="T47" s="20">
        <f>IF(S47=1,COUNTIF($S$5:S47,1),"")</f>
        <v/>
      </c>
      <c r="U47">
        <f>IF(AND($A47&lt;&gt;"",$B47&lt;&gt;"",$R47='تقرير الفصل الأول'!$C$4,$Q47='تقرير الفصل الأول'!$C$7),COUNT(U$4:U46)+1,"")</f>
        <v/>
      </c>
      <c r="V47">
        <f>IF(AND($A47&lt;&gt;"",$B47&lt;&gt;"",$R47='تقرير الفصل الثاني'!$C$4,$Q47='تقرير الفصل الثاني'!$C$7),COUNT(V$4:V46)+1,"")</f>
        <v/>
      </c>
      <c r="W47">
        <f>IF(AND($A47&lt;&gt;"",$B47&lt;&gt;"",$R47='تقرير سبتمبر'!$C$4,$P47='تقرير سبتمبر'!$C$6),COUNT(W$4:W46)+1,"")</f>
        <v/>
      </c>
      <c r="X47">
        <f>IF(AND($A47&lt;&gt;"",$B47&lt;&gt;"",$R47='تقرير أكتوبر'!$C$4,$P47='تقرير أكتوبر'!$C$6),COUNT(X$4:X46)+1,"")</f>
        <v/>
      </c>
      <c r="Y47">
        <f>IF(AND($A47&lt;&gt;"",$B47&lt;&gt;"",$R47='تقرير نوفمبر'!$C$4,$P47='تقرير نوفمبر'!$C$6),COUNT(Y$4:Y46)+1,"")</f>
        <v/>
      </c>
      <c r="Z47">
        <f>IF(AND($A47&lt;&gt;"",$B47&lt;&gt;"",$R47='تقرير ديسمبر'!$C$4,$P47='تقرير ديسمبر'!$C$6),COUNT(Z$4:Z46)+1,"")</f>
        <v/>
      </c>
      <c r="AA47">
        <f>IF(AND($A47&lt;&gt;"",$B47&lt;&gt;"",$R47='تقرير يناير'!$C$4,$P47='تقرير يناير'!$C$6),COUNT(AA$4:AA46)+1,"")</f>
        <v/>
      </c>
      <c r="AB47">
        <f>IF(AND($A47&lt;&gt;"",$B47&lt;&gt;"",$R47='تقرير فبراير'!$C$4,$P47='تقرير فبراير'!$C$6),COUNT(AB$4:AB46)+1,"")</f>
        <v/>
      </c>
      <c r="AC47">
        <f>IF(AND($A47&lt;&gt;"",$B47&lt;&gt;"",$R47='تقرير مارس'!$C$4,$P47='تقرير مارس'!$C$6),COUNT(AC$4:AC46)+1,"")</f>
        <v/>
      </c>
      <c r="AD47">
        <f>IF(AND($A47&lt;&gt;"",$B47&lt;&gt;"",$R47='تقرير أبريل'!$C$4,$P47='تقرير أبريل'!$C$6),COUNT(AD$4:AD46)+1,"")</f>
        <v/>
      </c>
      <c r="AE47">
        <f>IF(AND($A47&lt;&gt;"",$B47&lt;&gt;"",$R47='تقرير مايو'!$C$4,$P47='تقرير مايو'!$C$6),COUNT(AE$4:AE46)+1,"")</f>
        <v/>
      </c>
    </row>
    <row r="48">
      <c r="A48" s="16" t="n"/>
      <c r="B48" s="17" t="n"/>
      <c r="C48" s="17" t="n"/>
      <c r="D48" s="18" t="n"/>
      <c r="E48" s="17" t="n"/>
      <c r="F48" s="17" t="n"/>
      <c r="G48" s="19" t="n"/>
      <c r="H48" s="17" t="n"/>
      <c r="I48" s="17" t="n"/>
      <c r="J48" s="17" t="n"/>
      <c r="K48" s="20">
        <f>IF($B48="","",IFERROR(INDEX(الموظفات!$A$5:$A$304,MATCH($B48,الموظفات!$B$5:$B$304,0))&amp;"",""))</f>
        <v/>
      </c>
      <c r="L48" s="21">
        <f>IF($B48="","",IFERROR(INDEX(الموظفات!$C$5:$C$304,MATCH($B48,الموظفات!$B$5:$B$304,0))&amp;"",""))</f>
        <v/>
      </c>
      <c r="M48" s="20">
        <f>IF($B48="","",IFERROR(INDEX(الموظفات!$D$5:$D$304,MATCH($B48,الموظفات!$B$5:$B$304,0))&amp;"",""))</f>
        <v/>
      </c>
      <c r="N48" s="20">
        <f>IF($B48="","",IFERROR(INDEX(الموظفات!$E$5:$E$304,MATCH($B48,الموظفات!$B$5:$B$304,0))&amp;"",""))</f>
        <v/>
      </c>
      <c r="O48" s="21">
        <f>IF(C48="","",IFERROR(INDEX(الإعدادات!$D$7:$D$35,MATCH(C48,الإعدادات!$A$7:$A$35,0))&amp;"",""))</f>
        <v/>
      </c>
      <c r="P48" s="20">
        <f>IF(A48="","",INDEX(الإعدادات!$H$7:$H$18,MONTH(A48)))</f>
        <v/>
      </c>
      <c r="Q48" s="20">
        <f>IF(A48="","",INDEX(الإعدادات!$I$7:$I$18,MONTH(A48)))</f>
        <v/>
      </c>
      <c r="R48" s="20">
        <f>IF(A48="","",IF(MONTH(A48)&gt;=8,YEAR(A48)&amp;"-"&amp;(YEAR(A48)+1),(YEAR(A48)-1)&amp;"-"&amp;YEAR(A48)))</f>
        <v/>
      </c>
      <c r="S48" s="20">
        <f>IF(OR(A48="",B48=""),0,IF(AND(R48=التقارير!$C$4,OR(التقارير!$C$5="سنوي",AND(التقارير!$C$5="شهري",P48=التقارير!$C$6),AND(التقارير!$C$5="فصلي",Q48=التقارير!$C$7))),1,0))</f>
        <v/>
      </c>
      <c r="T48" s="20">
        <f>IF(S48=1,COUNTIF($S$5:S48,1),"")</f>
        <v/>
      </c>
      <c r="U48">
        <f>IF(AND($A48&lt;&gt;"",$B48&lt;&gt;"",$R48='تقرير الفصل الأول'!$C$4,$Q48='تقرير الفصل الأول'!$C$7),COUNT(U$4:U47)+1,"")</f>
        <v/>
      </c>
      <c r="V48">
        <f>IF(AND($A48&lt;&gt;"",$B48&lt;&gt;"",$R48='تقرير الفصل الثاني'!$C$4,$Q48='تقرير الفصل الثاني'!$C$7),COUNT(V$4:V47)+1,"")</f>
        <v/>
      </c>
      <c r="W48">
        <f>IF(AND($A48&lt;&gt;"",$B48&lt;&gt;"",$R48='تقرير سبتمبر'!$C$4,$P48='تقرير سبتمبر'!$C$6),COUNT(W$4:W47)+1,"")</f>
        <v/>
      </c>
      <c r="X48">
        <f>IF(AND($A48&lt;&gt;"",$B48&lt;&gt;"",$R48='تقرير أكتوبر'!$C$4,$P48='تقرير أكتوبر'!$C$6),COUNT(X$4:X47)+1,"")</f>
        <v/>
      </c>
      <c r="Y48">
        <f>IF(AND($A48&lt;&gt;"",$B48&lt;&gt;"",$R48='تقرير نوفمبر'!$C$4,$P48='تقرير نوفمبر'!$C$6),COUNT(Y$4:Y47)+1,"")</f>
        <v/>
      </c>
      <c r="Z48">
        <f>IF(AND($A48&lt;&gt;"",$B48&lt;&gt;"",$R48='تقرير ديسمبر'!$C$4,$P48='تقرير ديسمبر'!$C$6),COUNT(Z$4:Z47)+1,"")</f>
        <v/>
      </c>
      <c r="AA48">
        <f>IF(AND($A48&lt;&gt;"",$B48&lt;&gt;"",$R48='تقرير يناير'!$C$4,$P48='تقرير يناير'!$C$6),COUNT(AA$4:AA47)+1,"")</f>
        <v/>
      </c>
      <c r="AB48">
        <f>IF(AND($A48&lt;&gt;"",$B48&lt;&gt;"",$R48='تقرير فبراير'!$C$4,$P48='تقرير فبراير'!$C$6),COUNT(AB$4:AB47)+1,"")</f>
        <v/>
      </c>
      <c r="AC48">
        <f>IF(AND($A48&lt;&gt;"",$B48&lt;&gt;"",$R48='تقرير مارس'!$C$4,$P48='تقرير مارس'!$C$6),COUNT(AC$4:AC47)+1,"")</f>
        <v/>
      </c>
      <c r="AD48">
        <f>IF(AND($A48&lt;&gt;"",$B48&lt;&gt;"",$R48='تقرير أبريل'!$C$4,$P48='تقرير أبريل'!$C$6),COUNT(AD$4:AD47)+1,"")</f>
        <v/>
      </c>
      <c r="AE48">
        <f>IF(AND($A48&lt;&gt;"",$B48&lt;&gt;"",$R48='تقرير مايو'!$C$4,$P48='تقرير مايو'!$C$6),COUNT(AE$4:AE47)+1,"")</f>
        <v/>
      </c>
    </row>
    <row r="49">
      <c r="A49" s="16" t="n"/>
      <c r="B49" s="17" t="n"/>
      <c r="C49" s="17" t="n"/>
      <c r="D49" s="18" t="n"/>
      <c r="E49" s="17" t="n"/>
      <c r="F49" s="17" t="n"/>
      <c r="G49" s="19" t="n"/>
      <c r="H49" s="17" t="n"/>
      <c r="I49" s="17" t="n"/>
      <c r="J49" s="17" t="n"/>
      <c r="K49" s="20">
        <f>IF($B49="","",IFERROR(INDEX(الموظفات!$A$5:$A$304,MATCH($B49,الموظفات!$B$5:$B$304,0))&amp;"",""))</f>
        <v/>
      </c>
      <c r="L49" s="21">
        <f>IF($B49="","",IFERROR(INDEX(الموظفات!$C$5:$C$304,MATCH($B49,الموظفات!$B$5:$B$304,0))&amp;"",""))</f>
        <v/>
      </c>
      <c r="M49" s="20">
        <f>IF($B49="","",IFERROR(INDEX(الموظفات!$D$5:$D$304,MATCH($B49,الموظفات!$B$5:$B$304,0))&amp;"",""))</f>
        <v/>
      </c>
      <c r="N49" s="20">
        <f>IF($B49="","",IFERROR(INDEX(الموظفات!$E$5:$E$304,MATCH($B49,الموظفات!$B$5:$B$304,0))&amp;"",""))</f>
        <v/>
      </c>
      <c r="O49" s="21">
        <f>IF(C49="","",IFERROR(INDEX(الإعدادات!$D$7:$D$35,MATCH(C49,الإعدادات!$A$7:$A$35,0))&amp;"",""))</f>
        <v/>
      </c>
      <c r="P49" s="20">
        <f>IF(A49="","",INDEX(الإعدادات!$H$7:$H$18,MONTH(A49)))</f>
        <v/>
      </c>
      <c r="Q49" s="20">
        <f>IF(A49="","",INDEX(الإعدادات!$I$7:$I$18,MONTH(A49)))</f>
        <v/>
      </c>
      <c r="R49" s="20">
        <f>IF(A49="","",IF(MONTH(A49)&gt;=8,YEAR(A49)&amp;"-"&amp;(YEAR(A49)+1),(YEAR(A49)-1)&amp;"-"&amp;YEAR(A49)))</f>
        <v/>
      </c>
      <c r="S49" s="20">
        <f>IF(OR(A49="",B49=""),0,IF(AND(R49=التقارير!$C$4,OR(التقارير!$C$5="سنوي",AND(التقارير!$C$5="شهري",P49=التقارير!$C$6),AND(التقارير!$C$5="فصلي",Q49=التقارير!$C$7))),1,0))</f>
        <v/>
      </c>
      <c r="T49" s="20">
        <f>IF(S49=1,COUNTIF($S$5:S49,1),"")</f>
        <v/>
      </c>
      <c r="U49">
        <f>IF(AND($A49&lt;&gt;"",$B49&lt;&gt;"",$R49='تقرير الفصل الأول'!$C$4,$Q49='تقرير الفصل الأول'!$C$7),COUNT(U$4:U48)+1,"")</f>
        <v/>
      </c>
      <c r="V49">
        <f>IF(AND($A49&lt;&gt;"",$B49&lt;&gt;"",$R49='تقرير الفصل الثاني'!$C$4,$Q49='تقرير الفصل الثاني'!$C$7),COUNT(V$4:V48)+1,"")</f>
        <v/>
      </c>
      <c r="W49">
        <f>IF(AND($A49&lt;&gt;"",$B49&lt;&gt;"",$R49='تقرير سبتمبر'!$C$4,$P49='تقرير سبتمبر'!$C$6),COUNT(W$4:W48)+1,"")</f>
        <v/>
      </c>
      <c r="X49">
        <f>IF(AND($A49&lt;&gt;"",$B49&lt;&gt;"",$R49='تقرير أكتوبر'!$C$4,$P49='تقرير أكتوبر'!$C$6),COUNT(X$4:X48)+1,"")</f>
        <v/>
      </c>
      <c r="Y49">
        <f>IF(AND($A49&lt;&gt;"",$B49&lt;&gt;"",$R49='تقرير نوفمبر'!$C$4,$P49='تقرير نوفمبر'!$C$6),COUNT(Y$4:Y48)+1,"")</f>
        <v/>
      </c>
      <c r="Z49">
        <f>IF(AND($A49&lt;&gt;"",$B49&lt;&gt;"",$R49='تقرير ديسمبر'!$C$4,$P49='تقرير ديسمبر'!$C$6),COUNT(Z$4:Z48)+1,"")</f>
        <v/>
      </c>
      <c r="AA49">
        <f>IF(AND($A49&lt;&gt;"",$B49&lt;&gt;"",$R49='تقرير يناير'!$C$4,$P49='تقرير يناير'!$C$6),COUNT(AA$4:AA48)+1,"")</f>
        <v/>
      </c>
      <c r="AB49">
        <f>IF(AND($A49&lt;&gt;"",$B49&lt;&gt;"",$R49='تقرير فبراير'!$C$4,$P49='تقرير فبراير'!$C$6),COUNT(AB$4:AB48)+1,"")</f>
        <v/>
      </c>
      <c r="AC49">
        <f>IF(AND($A49&lt;&gt;"",$B49&lt;&gt;"",$R49='تقرير مارس'!$C$4,$P49='تقرير مارس'!$C$6),COUNT(AC$4:AC48)+1,"")</f>
        <v/>
      </c>
      <c r="AD49">
        <f>IF(AND($A49&lt;&gt;"",$B49&lt;&gt;"",$R49='تقرير أبريل'!$C$4,$P49='تقرير أبريل'!$C$6),COUNT(AD$4:AD48)+1,"")</f>
        <v/>
      </c>
      <c r="AE49">
        <f>IF(AND($A49&lt;&gt;"",$B49&lt;&gt;"",$R49='تقرير مايو'!$C$4,$P49='تقرير مايو'!$C$6),COUNT(AE$4:AE48)+1,"")</f>
        <v/>
      </c>
    </row>
    <row r="50">
      <c r="A50" s="16" t="n"/>
      <c r="B50" s="17" t="n"/>
      <c r="C50" s="17" t="n"/>
      <c r="D50" s="18" t="n"/>
      <c r="E50" s="17" t="n"/>
      <c r="F50" s="17" t="n"/>
      <c r="G50" s="19" t="n"/>
      <c r="H50" s="17" t="n"/>
      <c r="I50" s="17" t="n"/>
      <c r="J50" s="17" t="n"/>
      <c r="K50" s="20">
        <f>IF($B50="","",IFERROR(INDEX(الموظفات!$A$5:$A$304,MATCH($B50,الموظفات!$B$5:$B$304,0))&amp;"",""))</f>
        <v/>
      </c>
      <c r="L50" s="21">
        <f>IF($B50="","",IFERROR(INDEX(الموظفات!$C$5:$C$304,MATCH($B50,الموظفات!$B$5:$B$304,0))&amp;"",""))</f>
        <v/>
      </c>
      <c r="M50" s="20">
        <f>IF($B50="","",IFERROR(INDEX(الموظفات!$D$5:$D$304,MATCH($B50,الموظفات!$B$5:$B$304,0))&amp;"",""))</f>
        <v/>
      </c>
      <c r="N50" s="20">
        <f>IF($B50="","",IFERROR(INDEX(الموظفات!$E$5:$E$304,MATCH($B50,الموظفات!$B$5:$B$304,0))&amp;"",""))</f>
        <v/>
      </c>
      <c r="O50" s="21">
        <f>IF(C50="","",IFERROR(INDEX(الإعدادات!$D$7:$D$35,MATCH(C50,الإعدادات!$A$7:$A$35,0))&amp;"",""))</f>
        <v/>
      </c>
      <c r="P50" s="20">
        <f>IF(A50="","",INDEX(الإعدادات!$H$7:$H$18,MONTH(A50)))</f>
        <v/>
      </c>
      <c r="Q50" s="20">
        <f>IF(A50="","",INDEX(الإعدادات!$I$7:$I$18,MONTH(A50)))</f>
        <v/>
      </c>
      <c r="R50" s="20">
        <f>IF(A50="","",IF(MONTH(A50)&gt;=8,YEAR(A50)&amp;"-"&amp;(YEAR(A50)+1),(YEAR(A50)-1)&amp;"-"&amp;YEAR(A50)))</f>
        <v/>
      </c>
      <c r="S50" s="20">
        <f>IF(OR(A50="",B50=""),0,IF(AND(R50=التقارير!$C$4,OR(التقارير!$C$5="سنوي",AND(التقارير!$C$5="شهري",P50=التقارير!$C$6),AND(التقارير!$C$5="فصلي",Q50=التقارير!$C$7))),1,0))</f>
        <v/>
      </c>
      <c r="T50" s="20">
        <f>IF(S50=1,COUNTIF($S$5:S50,1),"")</f>
        <v/>
      </c>
      <c r="U50">
        <f>IF(AND($A50&lt;&gt;"",$B50&lt;&gt;"",$R50='تقرير الفصل الأول'!$C$4,$Q50='تقرير الفصل الأول'!$C$7),COUNT(U$4:U49)+1,"")</f>
        <v/>
      </c>
      <c r="V50">
        <f>IF(AND($A50&lt;&gt;"",$B50&lt;&gt;"",$R50='تقرير الفصل الثاني'!$C$4,$Q50='تقرير الفصل الثاني'!$C$7),COUNT(V$4:V49)+1,"")</f>
        <v/>
      </c>
      <c r="W50">
        <f>IF(AND($A50&lt;&gt;"",$B50&lt;&gt;"",$R50='تقرير سبتمبر'!$C$4,$P50='تقرير سبتمبر'!$C$6),COUNT(W$4:W49)+1,"")</f>
        <v/>
      </c>
      <c r="X50">
        <f>IF(AND($A50&lt;&gt;"",$B50&lt;&gt;"",$R50='تقرير أكتوبر'!$C$4,$P50='تقرير أكتوبر'!$C$6),COUNT(X$4:X49)+1,"")</f>
        <v/>
      </c>
      <c r="Y50">
        <f>IF(AND($A50&lt;&gt;"",$B50&lt;&gt;"",$R50='تقرير نوفمبر'!$C$4,$P50='تقرير نوفمبر'!$C$6),COUNT(Y$4:Y49)+1,"")</f>
        <v/>
      </c>
      <c r="Z50">
        <f>IF(AND($A50&lt;&gt;"",$B50&lt;&gt;"",$R50='تقرير ديسمبر'!$C$4,$P50='تقرير ديسمبر'!$C$6),COUNT(Z$4:Z49)+1,"")</f>
        <v/>
      </c>
      <c r="AA50">
        <f>IF(AND($A50&lt;&gt;"",$B50&lt;&gt;"",$R50='تقرير يناير'!$C$4,$P50='تقرير يناير'!$C$6),COUNT(AA$4:AA49)+1,"")</f>
        <v/>
      </c>
      <c r="AB50">
        <f>IF(AND($A50&lt;&gt;"",$B50&lt;&gt;"",$R50='تقرير فبراير'!$C$4,$P50='تقرير فبراير'!$C$6),COUNT(AB$4:AB49)+1,"")</f>
        <v/>
      </c>
      <c r="AC50">
        <f>IF(AND($A50&lt;&gt;"",$B50&lt;&gt;"",$R50='تقرير مارس'!$C$4,$P50='تقرير مارس'!$C$6),COUNT(AC$4:AC49)+1,"")</f>
        <v/>
      </c>
      <c r="AD50">
        <f>IF(AND($A50&lt;&gt;"",$B50&lt;&gt;"",$R50='تقرير أبريل'!$C$4,$P50='تقرير أبريل'!$C$6),COUNT(AD$4:AD49)+1,"")</f>
        <v/>
      </c>
      <c r="AE50">
        <f>IF(AND($A50&lt;&gt;"",$B50&lt;&gt;"",$R50='تقرير مايو'!$C$4,$P50='تقرير مايو'!$C$6),COUNT(AE$4:AE49)+1,"")</f>
        <v/>
      </c>
    </row>
    <row r="51">
      <c r="A51" s="16" t="n"/>
      <c r="B51" s="17" t="n"/>
      <c r="C51" s="17" t="n"/>
      <c r="D51" s="18" t="n"/>
      <c r="E51" s="17" t="n"/>
      <c r="F51" s="17" t="n"/>
      <c r="G51" s="19" t="n"/>
      <c r="H51" s="17" t="n"/>
      <c r="I51" s="17" t="n"/>
      <c r="J51" s="17" t="n"/>
      <c r="K51" s="20">
        <f>IF($B51="","",IFERROR(INDEX(الموظفات!$A$5:$A$304,MATCH($B51,الموظفات!$B$5:$B$304,0))&amp;"",""))</f>
        <v/>
      </c>
      <c r="L51" s="21">
        <f>IF($B51="","",IFERROR(INDEX(الموظفات!$C$5:$C$304,MATCH($B51,الموظفات!$B$5:$B$304,0))&amp;"",""))</f>
        <v/>
      </c>
      <c r="M51" s="20">
        <f>IF($B51="","",IFERROR(INDEX(الموظفات!$D$5:$D$304,MATCH($B51,الموظفات!$B$5:$B$304,0))&amp;"",""))</f>
        <v/>
      </c>
      <c r="N51" s="20">
        <f>IF($B51="","",IFERROR(INDEX(الموظفات!$E$5:$E$304,MATCH($B51,الموظفات!$B$5:$B$304,0))&amp;"",""))</f>
        <v/>
      </c>
      <c r="O51" s="21">
        <f>IF(C51="","",IFERROR(INDEX(الإعدادات!$D$7:$D$35,MATCH(C51,الإعدادات!$A$7:$A$35,0))&amp;"",""))</f>
        <v/>
      </c>
      <c r="P51" s="20">
        <f>IF(A51="","",INDEX(الإعدادات!$H$7:$H$18,MONTH(A51)))</f>
        <v/>
      </c>
      <c r="Q51" s="20">
        <f>IF(A51="","",INDEX(الإعدادات!$I$7:$I$18,MONTH(A51)))</f>
        <v/>
      </c>
      <c r="R51" s="20">
        <f>IF(A51="","",IF(MONTH(A51)&gt;=8,YEAR(A51)&amp;"-"&amp;(YEAR(A51)+1),(YEAR(A51)-1)&amp;"-"&amp;YEAR(A51)))</f>
        <v/>
      </c>
      <c r="S51" s="20">
        <f>IF(OR(A51="",B51=""),0,IF(AND(R51=التقارير!$C$4,OR(التقارير!$C$5="سنوي",AND(التقارير!$C$5="شهري",P51=التقارير!$C$6),AND(التقارير!$C$5="فصلي",Q51=التقارير!$C$7))),1,0))</f>
        <v/>
      </c>
      <c r="T51" s="20">
        <f>IF(S51=1,COUNTIF($S$5:S51,1),"")</f>
        <v/>
      </c>
      <c r="U51">
        <f>IF(AND($A51&lt;&gt;"",$B51&lt;&gt;"",$R51='تقرير الفصل الأول'!$C$4,$Q51='تقرير الفصل الأول'!$C$7),COUNT(U$4:U50)+1,"")</f>
        <v/>
      </c>
      <c r="V51">
        <f>IF(AND($A51&lt;&gt;"",$B51&lt;&gt;"",$R51='تقرير الفصل الثاني'!$C$4,$Q51='تقرير الفصل الثاني'!$C$7),COUNT(V$4:V50)+1,"")</f>
        <v/>
      </c>
      <c r="W51">
        <f>IF(AND($A51&lt;&gt;"",$B51&lt;&gt;"",$R51='تقرير سبتمبر'!$C$4,$P51='تقرير سبتمبر'!$C$6),COUNT(W$4:W50)+1,"")</f>
        <v/>
      </c>
      <c r="X51">
        <f>IF(AND($A51&lt;&gt;"",$B51&lt;&gt;"",$R51='تقرير أكتوبر'!$C$4,$P51='تقرير أكتوبر'!$C$6),COUNT(X$4:X50)+1,"")</f>
        <v/>
      </c>
      <c r="Y51">
        <f>IF(AND($A51&lt;&gt;"",$B51&lt;&gt;"",$R51='تقرير نوفمبر'!$C$4,$P51='تقرير نوفمبر'!$C$6),COUNT(Y$4:Y50)+1,"")</f>
        <v/>
      </c>
      <c r="Z51">
        <f>IF(AND($A51&lt;&gt;"",$B51&lt;&gt;"",$R51='تقرير ديسمبر'!$C$4,$P51='تقرير ديسمبر'!$C$6),COUNT(Z$4:Z50)+1,"")</f>
        <v/>
      </c>
      <c r="AA51">
        <f>IF(AND($A51&lt;&gt;"",$B51&lt;&gt;"",$R51='تقرير يناير'!$C$4,$P51='تقرير يناير'!$C$6),COUNT(AA$4:AA50)+1,"")</f>
        <v/>
      </c>
      <c r="AB51">
        <f>IF(AND($A51&lt;&gt;"",$B51&lt;&gt;"",$R51='تقرير فبراير'!$C$4,$P51='تقرير فبراير'!$C$6),COUNT(AB$4:AB50)+1,"")</f>
        <v/>
      </c>
      <c r="AC51">
        <f>IF(AND($A51&lt;&gt;"",$B51&lt;&gt;"",$R51='تقرير مارس'!$C$4,$P51='تقرير مارس'!$C$6),COUNT(AC$4:AC50)+1,"")</f>
        <v/>
      </c>
      <c r="AD51">
        <f>IF(AND($A51&lt;&gt;"",$B51&lt;&gt;"",$R51='تقرير أبريل'!$C$4,$P51='تقرير أبريل'!$C$6),COUNT(AD$4:AD50)+1,"")</f>
        <v/>
      </c>
      <c r="AE51">
        <f>IF(AND($A51&lt;&gt;"",$B51&lt;&gt;"",$R51='تقرير مايو'!$C$4,$P51='تقرير مايو'!$C$6),COUNT(AE$4:AE50)+1,"")</f>
        <v/>
      </c>
    </row>
    <row r="52">
      <c r="A52" s="16" t="n"/>
      <c r="B52" s="17" t="n"/>
      <c r="C52" s="17" t="n"/>
      <c r="D52" s="18" t="n"/>
      <c r="E52" s="17" t="n"/>
      <c r="F52" s="17" t="n"/>
      <c r="G52" s="19" t="n"/>
      <c r="H52" s="17" t="n"/>
      <c r="I52" s="17" t="n"/>
      <c r="J52" s="17" t="n"/>
      <c r="K52" s="20">
        <f>IF($B52="","",IFERROR(INDEX(الموظفات!$A$5:$A$304,MATCH($B52,الموظفات!$B$5:$B$304,0))&amp;"",""))</f>
        <v/>
      </c>
      <c r="L52" s="21">
        <f>IF($B52="","",IFERROR(INDEX(الموظفات!$C$5:$C$304,MATCH($B52,الموظفات!$B$5:$B$304,0))&amp;"",""))</f>
        <v/>
      </c>
      <c r="M52" s="20">
        <f>IF($B52="","",IFERROR(INDEX(الموظفات!$D$5:$D$304,MATCH($B52,الموظفات!$B$5:$B$304,0))&amp;"",""))</f>
        <v/>
      </c>
      <c r="N52" s="20">
        <f>IF($B52="","",IFERROR(INDEX(الموظفات!$E$5:$E$304,MATCH($B52,الموظفات!$B$5:$B$304,0))&amp;"",""))</f>
        <v/>
      </c>
      <c r="O52" s="21">
        <f>IF(C52="","",IFERROR(INDEX(الإعدادات!$D$7:$D$35,MATCH(C52,الإعدادات!$A$7:$A$35,0))&amp;"",""))</f>
        <v/>
      </c>
      <c r="P52" s="20">
        <f>IF(A52="","",INDEX(الإعدادات!$H$7:$H$18,MONTH(A52)))</f>
        <v/>
      </c>
      <c r="Q52" s="20">
        <f>IF(A52="","",INDEX(الإعدادات!$I$7:$I$18,MONTH(A52)))</f>
        <v/>
      </c>
      <c r="R52" s="20">
        <f>IF(A52="","",IF(MONTH(A52)&gt;=8,YEAR(A52)&amp;"-"&amp;(YEAR(A52)+1),(YEAR(A52)-1)&amp;"-"&amp;YEAR(A52)))</f>
        <v/>
      </c>
      <c r="S52" s="20">
        <f>IF(OR(A52="",B52=""),0,IF(AND(R52=التقارير!$C$4,OR(التقارير!$C$5="سنوي",AND(التقارير!$C$5="شهري",P52=التقارير!$C$6),AND(التقارير!$C$5="فصلي",Q52=التقارير!$C$7))),1,0))</f>
        <v/>
      </c>
      <c r="T52" s="20">
        <f>IF(S52=1,COUNTIF($S$5:S52,1),"")</f>
        <v/>
      </c>
      <c r="U52">
        <f>IF(AND($A52&lt;&gt;"",$B52&lt;&gt;"",$R52='تقرير الفصل الأول'!$C$4,$Q52='تقرير الفصل الأول'!$C$7),COUNT(U$4:U51)+1,"")</f>
        <v/>
      </c>
      <c r="V52">
        <f>IF(AND($A52&lt;&gt;"",$B52&lt;&gt;"",$R52='تقرير الفصل الثاني'!$C$4,$Q52='تقرير الفصل الثاني'!$C$7),COUNT(V$4:V51)+1,"")</f>
        <v/>
      </c>
      <c r="W52">
        <f>IF(AND($A52&lt;&gt;"",$B52&lt;&gt;"",$R52='تقرير سبتمبر'!$C$4,$P52='تقرير سبتمبر'!$C$6),COUNT(W$4:W51)+1,"")</f>
        <v/>
      </c>
      <c r="X52">
        <f>IF(AND($A52&lt;&gt;"",$B52&lt;&gt;"",$R52='تقرير أكتوبر'!$C$4,$P52='تقرير أكتوبر'!$C$6),COUNT(X$4:X51)+1,"")</f>
        <v/>
      </c>
      <c r="Y52">
        <f>IF(AND($A52&lt;&gt;"",$B52&lt;&gt;"",$R52='تقرير نوفمبر'!$C$4,$P52='تقرير نوفمبر'!$C$6),COUNT(Y$4:Y51)+1,"")</f>
        <v/>
      </c>
      <c r="Z52">
        <f>IF(AND($A52&lt;&gt;"",$B52&lt;&gt;"",$R52='تقرير ديسمبر'!$C$4,$P52='تقرير ديسمبر'!$C$6),COUNT(Z$4:Z51)+1,"")</f>
        <v/>
      </c>
      <c r="AA52">
        <f>IF(AND($A52&lt;&gt;"",$B52&lt;&gt;"",$R52='تقرير يناير'!$C$4,$P52='تقرير يناير'!$C$6),COUNT(AA$4:AA51)+1,"")</f>
        <v/>
      </c>
      <c r="AB52">
        <f>IF(AND($A52&lt;&gt;"",$B52&lt;&gt;"",$R52='تقرير فبراير'!$C$4,$P52='تقرير فبراير'!$C$6),COUNT(AB$4:AB51)+1,"")</f>
        <v/>
      </c>
      <c r="AC52">
        <f>IF(AND($A52&lt;&gt;"",$B52&lt;&gt;"",$R52='تقرير مارس'!$C$4,$P52='تقرير مارس'!$C$6),COUNT(AC$4:AC51)+1,"")</f>
        <v/>
      </c>
      <c r="AD52">
        <f>IF(AND($A52&lt;&gt;"",$B52&lt;&gt;"",$R52='تقرير أبريل'!$C$4,$P52='تقرير أبريل'!$C$6),COUNT(AD$4:AD51)+1,"")</f>
        <v/>
      </c>
      <c r="AE52">
        <f>IF(AND($A52&lt;&gt;"",$B52&lt;&gt;"",$R52='تقرير مايو'!$C$4,$P52='تقرير مايو'!$C$6),COUNT(AE$4:AE51)+1,"")</f>
        <v/>
      </c>
    </row>
    <row r="53">
      <c r="A53" s="16" t="n"/>
      <c r="B53" s="17" t="n"/>
      <c r="C53" s="17" t="n"/>
      <c r="D53" s="18" t="n"/>
      <c r="E53" s="17" t="n"/>
      <c r="F53" s="17" t="n"/>
      <c r="G53" s="19" t="n"/>
      <c r="H53" s="17" t="n"/>
      <c r="I53" s="17" t="n"/>
      <c r="J53" s="17" t="n"/>
      <c r="K53" s="20">
        <f>IF($B53="","",IFERROR(INDEX(الموظفات!$A$5:$A$304,MATCH($B53,الموظفات!$B$5:$B$304,0))&amp;"",""))</f>
        <v/>
      </c>
      <c r="L53" s="21">
        <f>IF($B53="","",IFERROR(INDEX(الموظفات!$C$5:$C$304,MATCH($B53,الموظفات!$B$5:$B$304,0))&amp;"",""))</f>
        <v/>
      </c>
      <c r="M53" s="20">
        <f>IF($B53="","",IFERROR(INDEX(الموظفات!$D$5:$D$304,MATCH($B53,الموظفات!$B$5:$B$304,0))&amp;"",""))</f>
        <v/>
      </c>
      <c r="N53" s="20">
        <f>IF($B53="","",IFERROR(INDEX(الموظفات!$E$5:$E$304,MATCH($B53,الموظفات!$B$5:$B$304,0))&amp;"",""))</f>
        <v/>
      </c>
      <c r="O53" s="21">
        <f>IF(C53="","",IFERROR(INDEX(الإعدادات!$D$7:$D$35,MATCH(C53,الإعدادات!$A$7:$A$35,0))&amp;"",""))</f>
        <v/>
      </c>
      <c r="P53" s="20">
        <f>IF(A53="","",INDEX(الإعدادات!$H$7:$H$18,MONTH(A53)))</f>
        <v/>
      </c>
      <c r="Q53" s="20">
        <f>IF(A53="","",INDEX(الإعدادات!$I$7:$I$18,MONTH(A53)))</f>
        <v/>
      </c>
      <c r="R53" s="20">
        <f>IF(A53="","",IF(MONTH(A53)&gt;=8,YEAR(A53)&amp;"-"&amp;(YEAR(A53)+1),(YEAR(A53)-1)&amp;"-"&amp;YEAR(A53)))</f>
        <v/>
      </c>
      <c r="S53" s="20">
        <f>IF(OR(A53="",B53=""),0,IF(AND(R53=التقارير!$C$4,OR(التقارير!$C$5="سنوي",AND(التقارير!$C$5="شهري",P53=التقارير!$C$6),AND(التقارير!$C$5="فصلي",Q53=التقارير!$C$7))),1,0))</f>
        <v/>
      </c>
      <c r="T53" s="20">
        <f>IF(S53=1,COUNTIF($S$5:S53,1),"")</f>
        <v/>
      </c>
      <c r="U53">
        <f>IF(AND($A53&lt;&gt;"",$B53&lt;&gt;"",$R53='تقرير الفصل الأول'!$C$4,$Q53='تقرير الفصل الأول'!$C$7),COUNT(U$4:U52)+1,"")</f>
        <v/>
      </c>
      <c r="V53">
        <f>IF(AND($A53&lt;&gt;"",$B53&lt;&gt;"",$R53='تقرير الفصل الثاني'!$C$4,$Q53='تقرير الفصل الثاني'!$C$7),COUNT(V$4:V52)+1,"")</f>
        <v/>
      </c>
      <c r="W53">
        <f>IF(AND($A53&lt;&gt;"",$B53&lt;&gt;"",$R53='تقرير سبتمبر'!$C$4,$P53='تقرير سبتمبر'!$C$6),COUNT(W$4:W52)+1,"")</f>
        <v/>
      </c>
      <c r="X53">
        <f>IF(AND($A53&lt;&gt;"",$B53&lt;&gt;"",$R53='تقرير أكتوبر'!$C$4,$P53='تقرير أكتوبر'!$C$6),COUNT(X$4:X52)+1,"")</f>
        <v/>
      </c>
      <c r="Y53">
        <f>IF(AND($A53&lt;&gt;"",$B53&lt;&gt;"",$R53='تقرير نوفمبر'!$C$4,$P53='تقرير نوفمبر'!$C$6),COUNT(Y$4:Y52)+1,"")</f>
        <v/>
      </c>
      <c r="Z53">
        <f>IF(AND($A53&lt;&gt;"",$B53&lt;&gt;"",$R53='تقرير ديسمبر'!$C$4,$P53='تقرير ديسمبر'!$C$6),COUNT(Z$4:Z52)+1,"")</f>
        <v/>
      </c>
      <c r="AA53">
        <f>IF(AND($A53&lt;&gt;"",$B53&lt;&gt;"",$R53='تقرير يناير'!$C$4,$P53='تقرير يناير'!$C$6),COUNT(AA$4:AA52)+1,"")</f>
        <v/>
      </c>
      <c r="AB53">
        <f>IF(AND($A53&lt;&gt;"",$B53&lt;&gt;"",$R53='تقرير فبراير'!$C$4,$P53='تقرير فبراير'!$C$6),COUNT(AB$4:AB52)+1,"")</f>
        <v/>
      </c>
      <c r="AC53">
        <f>IF(AND($A53&lt;&gt;"",$B53&lt;&gt;"",$R53='تقرير مارس'!$C$4,$P53='تقرير مارس'!$C$6),COUNT(AC$4:AC52)+1,"")</f>
        <v/>
      </c>
      <c r="AD53">
        <f>IF(AND($A53&lt;&gt;"",$B53&lt;&gt;"",$R53='تقرير أبريل'!$C$4,$P53='تقرير أبريل'!$C$6),COUNT(AD$4:AD52)+1,"")</f>
        <v/>
      </c>
      <c r="AE53">
        <f>IF(AND($A53&lt;&gt;"",$B53&lt;&gt;"",$R53='تقرير مايو'!$C$4,$P53='تقرير مايو'!$C$6),COUNT(AE$4:AE52)+1,"")</f>
        <v/>
      </c>
    </row>
    <row r="54">
      <c r="A54" s="16" t="n"/>
      <c r="B54" s="17" t="n"/>
      <c r="C54" s="17" t="n"/>
      <c r="D54" s="18" t="n"/>
      <c r="E54" s="17" t="n"/>
      <c r="F54" s="17" t="n"/>
      <c r="G54" s="19" t="n"/>
      <c r="H54" s="17" t="n"/>
      <c r="I54" s="17" t="n"/>
      <c r="J54" s="17" t="n"/>
      <c r="K54" s="20">
        <f>IF($B54="","",IFERROR(INDEX(الموظفات!$A$5:$A$304,MATCH($B54,الموظفات!$B$5:$B$304,0))&amp;"",""))</f>
        <v/>
      </c>
      <c r="L54" s="21">
        <f>IF($B54="","",IFERROR(INDEX(الموظفات!$C$5:$C$304,MATCH($B54,الموظفات!$B$5:$B$304,0))&amp;"",""))</f>
        <v/>
      </c>
      <c r="M54" s="20">
        <f>IF($B54="","",IFERROR(INDEX(الموظفات!$D$5:$D$304,MATCH($B54,الموظفات!$B$5:$B$304,0))&amp;"",""))</f>
        <v/>
      </c>
      <c r="N54" s="20">
        <f>IF($B54="","",IFERROR(INDEX(الموظفات!$E$5:$E$304,MATCH($B54,الموظفات!$B$5:$B$304,0))&amp;"",""))</f>
        <v/>
      </c>
      <c r="O54" s="21">
        <f>IF(C54="","",IFERROR(INDEX(الإعدادات!$D$7:$D$35,MATCH(C54,الإعدادات!$A$7:$A$35,0))&amp;"",""))</f>
        <v/>
      </c>
      <c r="P54" s="20">
        <f>IF(A54="","",INDEX(الإعدادات!$H$7:$H$18,MONTH(A54)))</f>
        <v/>
      </c>
      <c r="Q54" s="20">
        <f>IF(A54="","",INDEX(الإعدادات!$I$7:$I$18,MONTH(A54)))</f>
        <v/>
      </c>
      <c r="R54" s="20">
        <f>IF(A54="","",IF(MONTH(A54)&gt;=8,YEAR(A54)&amp;"-"&amp;(YEAR(A54)+1),(YEAR(A54)-1)&amp;"-"&amp;YEAR(A54)))</f>
        <v/>
      </c>
      <c r="S54" s="20">
        <f>IF(OR(A54="",B54=""),0,IF(AND(R54=التقارير!$C$4,OR(التقارير!$C$5="سنوي",AND(التقارير!$C$5="شهري",P54=التقارير!$C$6),AND(التقارير!$C$5="فصلي",Q54=التقارير!$C$7))),1,0))</f>
        <v/>
      </c>
      <c r="T54" s="20">
        <f>IF(S54=1,COUNTIF($S$5:S54,1),"")</f>
        <v/>
      </c>
      <c r="U54">
        <f>IF(AND($A54&lt;&gt;"",$B54&lt;&gt;"",$R54='تقرير الفصل الأول'!$C$4,$Q54='تقرير الفصل الأول'!$C$7),COUNT(U$4:U53)+1,"")</f>
        <v/>
      </c>
      <c r="V54">
        <f>IF(AND($A54&lt;&gt;"",$B54&lt;&gt;"",$R54='تقرير الفصل الثاني'!$C$4,$Q54='تقرير الفصل الثاني'!$C$7),COUNT(V$4:V53)+1,"")</f>
        <v/>
      </c>
      <c r="W54">
        <f>IF(AND($A54&lt;&gt;"",$B54&lt;&gt;"",$R54='تقرير سبتمبر'!$C$4,$P54='تقرير سبتمبر'!$C$6),COUNT(W$4:W53)+1,"")</f>
        <v/>
      </c>
      <c r="X54">
        <f>IF(AND($A54&lt;&gt;"",$B54&lt;&gt;"",$R54='تقرير أكتوبر'!$C$4,$P54='تقرير أكتوبر'!$C$6),COUNT(X$4:X53)+1,"")</f>
        <v/>
      </c>
      <c r="Y54">
        <f>IF(AND($A54&lt;&gt;"",$B54&lt;&gt;"",$R54='تقرير نوفمبر'!$C$4,$P54='تقرير نوفمبر'!$C$6),COUNT(Y$4:Y53)+1,"")</f>
        <v/>
      </c>
      <c r="Z54">
        <f>IF(AND($A54&lt;&gt;"",$B54&lt;&gt;"",$R54='تقرير ديسمبر'!$C$4,$P54='تقرير ديسمبر'!$C$6),COUNT(Z$4:Z53)+1,"")</f>
        <v/>
      </c>
      <c r="AA54">
        <f>IF(AND($A54&lt;&gt;"",$B54&lt;&gt;"",$R54='تقرير يناير'!$C$4,$P54='تقرير يناير'!$C$6),COUNT(AA$4:AA53)+1,"")</f>
        <v/>
      </c>
      <c r="AB54">
        <f>IF(AND($A54&lt;&gt;"",$B54&lt;&gt;"",$R54='تقرير فبراير'!$C$4,$P54='تقرير فبراير'!$C$6),COUNT(AB$4:AB53)+1,"")</f>
        <v/>
      </c>
      <c r="AC54">
        <f>IF(AND($A54&lt;&gt;"",$B54&lt;&gt;"",$R54='تقرير مارس'!$C$4,$P54='تقرير مارس'!$C$6),COUNT(AC$4:AC53)+1,"")</f>
        <v/>
      </c>
      <c r="AD54">
        <f>IF(AND($A54&lt;&gt;"",$B54&lt;&gt;"",$R54='تقرير أبريل'!$C$4,$P54='تقرير أبريل'!$C$6),COUNT(AD$4:AD53)+1,"")</f>
        <v/>
      </c>
      <c r="AE54">
        <f>IF(AND($A54&lt;&gt;"",$B54&lt;&gt;"",$R54='تقرير مايو'!$C$4,$P54='تقرير مايو'!$C$6),COUNT(AE$4:AE53)+1,"")</f>
        <v/>
      </c>
    </row>
    <row r="55">
      <c r="A55" s="16" t="n"/>
      <c r="B55" s="17" t="n"/>
      <c r="C55" s="17" t="n"/>
      <c r="D55" s="18" t="n"/>
      <c r="E55" s="17" t="n"/>
      <c r="F55" s="17" t="n"/>
      <c r="G55" s="19" t="n"/>
      <c r="H55" s="17" t="n"/>
      <c r="I55" s="17" t="n"/>
      <c r="J55" s="17" t="n"/>
      <c r="K55" s="20">
        <f>IF($B55="","",IFERROR(INDEX(الموظفات!$A$5:$A$304,MATCH($B55,الموظفات!$B$5:$B$304,0))&amp;"",""))</f>
        <v/>
      </c>
      <c r="L55" s="21">
        <f>IF($B55="","",IFERROR(INDEX(الموظفات!$C$5:$C$304,MATCH($B55,الموظفات!$B$5:$B$304,0))&amp;"",""))</f>
        <v/>
      </c>
      <c r="M55" s="20">
        <f>IF($B55="","",IFERROR(INDEX(الموظفات!$D$5:$D$304,MATCH($B55,الموظفات!$B$5:$B$304,0))&amp;"",""))</f>
        <v/>
      </c>
      <c r="N55" s="20">
        <f>IF($B55="","",IFERROR(INDEX(الموظفات!$E$5:$E$304,MATCH($B55,الموظفات!$B$5:$B$304,0))&amp;"",""))</f>
        <v/>
      </c>
      <c r="O55" s="21">
        <f>IF(C55="","",IFERROR(INDEX(الإعدادات!$D$7:$D$35,MATCH(C55,الإعدادات!$A$7:$A$35,0))&amp;"",""))</f>
        <v/>
      </c>
      <c r="P55" s="20">
        <f>IF(A55="","",INDEX(الإعدادات!$H$7:$H$18,MONTH(A55)))</f>
        <v/>
      </c>
      <c r="Q55" s="20">
        <f>IF(A55="","",INDEX(الإعدادات!$I$7:$I$18,MONTH(A55)))</f>
        <v/>
      </c>
      <c r="R55" s="20">
        <f>IF(A55="","",IF(MONTH(A55)&gt;=8,YEAR(A55)&amp;"-"&amp;(YEAR(A55)+1),(YEAR(A55)-1)&amp;"-"&amp;YEAR(A55)))</f>
        <v/>
      </c>
      <c r="S55" s="20">
        <f>IF(OR(A55="",B55=""),0,IF(AND(R55=التقارير!$C$4,OR(التقارير!$C$5="سنوي",AND(التقارير!$C$5="شهري",P55=التقارير!$C$6),AND(التقارير!$C$5="فصلي",Q55=التقارير!$C$7))),1,0))</f>
        <v/>
      </c>
      <c r="T55" s="20">
        <f>IF(S55=1,COUNTIF($S$5:S55,1),"")</f>
        <v/>
      </c>
      <c r="U55">
        <f>IF(AND($A55&lt;&gt;"",$B55&lt;&gt;"",$R55='تقرير الفصل الأول'!$C$4,$Q55='تقرير الفصل الأول'!$C$7),COUNT(U$4:U54)+1,"")</f>
        <v/>
      </c>
      <c r="V55">
        <f>IF(AND($A55&lt;&gt;"",$B55&lt;&gt;"",$R55='تقرير الفصل الثاني'!$C$4,$Q55='تقرير الفصل الثاني'!$C$7),COUNT(V$4:V54)+1,"")</f>
        <v/>
      </c>
      <c r="W55">
        <f>IF(AND($A55&lt;&gt;"",$B55&lt;&gt;"",$R55='تقرير سبتمبر'!$C$4,$P55='تقرير سبتمبر'!$C$6),COUNT(W$4:W54)+1,"")</f>
        <v/>
      </c>
      <c r="X55">
        <f>IF(AND($A55&lt;&gt;"",$B55&lt;&gt;"",$R55='تقرير أكتوبر'!$C$4,$P55='تقرير أكتوبر'!$C$6),COUNT(X$4:X54)+1,"")</f>
        <v/>
      </c>
      <c r="Y55">
        <f>IF(AND($A55&lt;&gt;"",$B55&lt;&gt;"",$R55='تقرير نوفمبر'!$C$4,$P55='تقرير نوفمبر'!$C$6),COUNT(Y$4:Y54)+1,"")</f>
        <v/>
      </c>
      <c r="Z55">
        <f>IF(AND($A55&lt;&gt;"",$B55&lt;&gt;"",$R55='تقرير ديسمبر'!$C$4,$P55='تقرير ديسمبر'!$C$6),COUNT(Z$4:Z54)+1,"")</f>
        <v/>
      </c>
      <c r="AA55">
        <f>IF(AND($A55&lt;&gt;"",$B55&lt;&gt;"",$R55='تقرير يناير'!$C$4,$P55='تقرير يناير'!$C$6),COUNT(AA$4:AA54)+1,"")</f>
        <v/>
      </c>
      <c r="AB55">
        <f>IF(AND($A55&lt;&gt;"",$B55&lt;&gt;"",$R55='تقرير فبراير'!$C$4,$P55='تقرير فبراير'!$C$6),COUNT(AB$4:AB54)+1,"")</f>
        <v/>
      </c>
      <c r="AC55">
        <f>IF(AND($A55&lt;&gt;"",$B55&lt;&gt;"",$R55='تقرير مارس'!$C$4,$P55='تقرير مارس'!$C$6),COUNT(AC$4:AC54)+1,"")</f>
        <v/>
      </c>
      <c r="AD55">
        <f>IF(AND($A55&lt;&gt;"",$B55&lt;&gt;"",$R55='تقرير أبريل'!$C$4,$P55='تقرير أبريل'!$C$6),COUNT(AD$4:AD54)+1,"")</f>
        <v/>
      </c>
      <c r="AE55">
        <f>IF(AND($A55&lt;&gt;"",$B55&lt;&gt;"",$R55='تقرير مايو'!$C$4,$P55='تقرير مايو'!$C$6),COUNT(AE$4:AE54)+1,"")</f>
        <v/>
      </c>
    </row>
    <row r="56">
      <c r="A56" s="16" t="n"/>
      <c r="B56" s="17" t="n"/>
      <c r="C56" s="17" t="n"/>
      <c r="D56" s="18" t="n"/>
      <c r="E56" s="17" t="n"/>
      <c r="F56" s="17" t="n"/>
      <c r="G56" s="19" t="n"/>
      <c r="H56" s="17" t="n"/>
      <c r="I56" s="17" t="n"/>
      <c r="J56" s="17" t="n"/>
      <c r="K56" s="20">
        <f>IF($B56="","",IFERROR(INDEX(الموظفات!$A$5:$A$304,MATCH($B56,الموظفات!$B$5:$B$304,0))&amp;"",""))</f>
        <v/>
      </c>
      <c r="L56" s="21">
        <f>IF($B56="","",IFERROR(INDEX(الموظفات!$C$5:$C$304,MATCH($B56,الموظفات!$B$5:$B$304,0))&amp;"",""))</f>
        <v/>
      </c>
      <c r="M56" s="20">
        <f>IF($B56="","",IFERROR(INDEX(الموظفات!$D$5:$D$304,MATCH($B56,الموظفات!$B$5:$B$304,0))&amp;"",""))</f>
        <v/>
      </c>
      <c r="N56" s="20">
        <f>IF($B56="","",IFERROR(INDEX(الموظفات!$E$5:$E$304,MATCH($B56,الموظفات!$B$5:$B$304,0))&amp;"",""))</f>
        <v/>
      </c>
      <c r="O56" s="21">
        <f>IF(C56="","",IFERROR(INDEX(الإعدادات!$D$7:$D$35,MATCH(C56,الإعدادات!$A$7:$A$35,0))&amp;"",""))</f>
        <v/>
      </c>
      <c r="P56" s="20">
        <f>IF(A56="","",INDEX(الإعدادات!$H$7:$H$18,MONTH(A56)))</f>
        <v/>
      </c>
      <c r="Q56" s="20">
        <f>IF(A56="","",INDEX(الإعدادات!$I$7:$I$18,MONTH(A56)))</f>
        <v/>
      </c>
      <c r="R56" s="20">
        <f>IF(A56="","",IF(MONTH(A56)&gt;=8,YEAR(A56)&amp;"-"&amp;(YEAR(A56)+1),(YEAR(A56)-1)&amp;"-"&amp;YEAR(A56)))</f>
        <v/>
      </c>
      <c r="S56" s="20">
        <f>IF(OR(A56="",B56=""),0,IF(AND(R56=التقارير!$C$4,OR(التقارير!$C$5="سنوي",AND(التقارير!$C$5="شهري",P56=التقارير!$C$6),AND(التقارير!$C$5="فصلي",Q56=التقارير!$C$7))),1,0))</f>
        <v/>
      </c>
      <c r="T56" s="20">
        <f>IF(S56=1,COUNTIF($S$5:S56,1),"")</f>
        <v/>
      </c>
      <c r="U56">
        <f>IF(AND($A56&lt;&gt;"",$B56&lt;&gt;"",$R56='تقرير الفصل الأول'!$C$4,$Q56='تقرير الفصل الأول'!$C$7),COUNT(U$4:U55)+1,"")</f>
        <v/>
      </c>
      <c r="V56">
        <f>IF(AND($A56&lt;&gt;"",$B56&lt;&gt;"",$R56='تقرير الفصل الثاني'!$C$4,$Q56='تقرير الفصل الثاني'!$C$7),COUNT(V$4:V55)+1,"")</f>
        <v/>
      </c>
      <c r="W56">
        <f>IF(AND($A56&lt;&gt;"",$B56&lt;&gt;"",$R56='تقرير سبتمبر'!$C$4,$P56='تقرير سبتمبر'!$C$6),COUNT(W$4:W55)+1,"")</f>
        <v/>
      </c>
      <c r="X56">
        <f>IF(AND($A56&lt;&gt;"",$B56&lt;&gt;"",$R56='تقرير أكتوبر'!$C$4,$P56='تقرير أكتوبر'!$C$6),COUNT(X$4:X55)+1,"")</f>
        <v/>
      </c>
      <c r="Y56">
        <f>IF(AND($A56&lt;&gt;"",$B56&lt;&gt;"",$R56='تقرير نوفمبر'!$C$4,$P56='تقرير نوفمبر'!$C$6),COUNT(Y$4:Y55)+1,"")</f>
        <v/>
      </c>
      <c r="Z56">
        <f>IF(AND($A56&lt;&gt;"",$B56&lt;&gt;"",$R56='تقرير ديسمبر'!$C$4,$P56='تقرير ديسمبر'!$C$6),COUNT(Z$4:Z55)+1,"")</f>
        <v/>
      </c>
      <c r="AA56">
        <f>IF(AND($A56&lt;&gt;"",$B56&lt;&gt;"",$R56='تقرير يناير'!$C$4,$P56='تقرير يناير'!$C$6),COUNT(AA$4:AA55)+1,"")</f>
        <v/>
      </c>
      <c r="AB56">
        <f>IF(AND($A56&lt;&gt;"",$B56&lt;&gt;"",$R56='تقرير فبراير'!$C$4,$P56='تقرير فبراير'!$C$6),COUNT(AB$4:AB55)+1,"")</f>
        <v/>
      </c>
      <c r="AC56">
        <f>IF(AND($A56&lt;&gt;"",$B56&lt;&gt;"",$R56='تقرير مارس'!$C$4,$P56='تقرير مارس'!$C$6),COUNT(AC$4:AC55)+1,"")</f>
        <v/>
      </c>
      <c r="AD56">
        <f>IF(AND($A56&lt;&gt;"",$B56&lt;&gt;"",$R56='تقرير أبريل'!$C$4,$P56='تقرير أبريل'!$C$6),COUNT(AD$4:AD55)+1,"")</f>
        <v/>
      </c>
      <c r="AE56">
        <f>IF(AND($A56&lt;&gt;"",$B56&lt;&gt;"",$R56='تقرير مايو'!$C$4,$P56='تقرير مايو'!$C$6),COUNT(AE$4:AE55)+1,"")</f>
        <v/>
      </c>
    </row>
    <row r="57">
      <c r="A57" s="16" t="n"/>
      <c r="B57" s="17" t="n"/>
      <c r="C57" s="17" t="n"/>
      <c r="D57" s="18" t="n"/>
      <c r="E57" s="17" t="n"/>
      <c r="F57" s="17" t="n"/>
      <c r="G57" s="19" t="n"/>
      <c r="H57" s="17" t="n"/>
      <c r="I57" s="17" t="n"/>
      <c r="J57" s="17" t="n"/>
      <c r="K57" s="20">
        <f>IF($B57="","",IFERROR(INDEX(الموظفات!$A$5:$A$304,MATCH($B57,الموظفات!$B$5:$B$304,0))&amp;"",""))</f>
        <v/>
      </c>
      <c r="L57" s="21">
        <f>IF($B57="","",IFERROR(INDEX(الموظفات!$C$5:$C$304,MATCH($B57,الموظفات!$B$5:$B$304,0))&amp;"",""))</f>
        <v/>
      </c>
      <c r="M57" s="20">
        <f>IF($B57="","",IFERROR(INDEX(الموظفات!$D$5:$D$304,MATCH($B57,الموظفات!$B$5:$B$304,0))&amp;"",""))</f>
        <v/>
      </c>
      <c r="N57" s="20">
        <f>IF($B57="","",IFERROR(INDEX(الموظفات!$E$5:$E$304,MATCH($B57,الموظفات!$B$5:$B$304,0))&amp;"",""))</f>
        <v/>
      </c>
      <c r="O57" s="21">
        <f>IF(C57="","",IFERROR(INDEX(الإعدادات!$D$7:$D$35,MATCH(C57,الإعدادات!$A$7:$A$35,0))&amp;"",""))</f>
        <v/>
      </c>
      <c r="P57" s="20">
        <f>IF(A57="","",INDEX(الإعدادات!$H$7:$H$18,MONTH(A57)))</f>
        <v/>
      </c>
      <c r="Q57" s="20">
        <f>IF(A57="","",INDEX(الإعدادات!$I$7:$I$18,MONTH(A57)))</f>
        <v/>
      </c>
      <c r="R57" s="20">
        <f>IF(A57="","",IF(MONTH(A57)&gt;=8,YEAR(A57)&amp;"-"&amp;(YEAR(A57)+1),(YEAR(A57)-1)&amp;"-"&amp;YEAR(A57)))</f>
        <v/>
      </c>
      <c r="S57" s="20">
        <f>IF(OR(A57="",B57=""),0,IF(AND(R57=التقارير!$C$4,OR(التقارير!$C$5="سنوي",AND(التقارير!$C$5="شهري",P57=التقارير!$C$6),AND(التقارير!$C$5="فصلي",Q57=التقارير!$C$7))),1,0))</f>
        <v/>
      </c>
      <c r="T57" s="20">
        <f>IF(S57=1,COUNTIF($S$5:S57,1),"")</f>
        <v/>
      </c>
      <c r="U57">
        <f>IF(AND($A57&lt;&gt;"",$B57&lt;&gt;"",$R57='تقرير الفصل الأول'!$C$4,$Q57='تقرير الفصل الأول'!$C$7),COUNT(U$4:U56)+1,"")</f>
        <v/>
      </c>
      <c r="V57">
        <f>IF(AND($A57&lt;&gt;"",$B57&lt;&gt;"",$R57='تقرير الفصل الثاني'!$C$4,$Q57='تقرير الفصل الثاني'!$C$7),COUNT(V$4:V56)+1,"")</f>
        <v/>
      </c>
      <c r="W57">
        <f>IF(AND($A57&lt;&gt;"",$B57&lt;&gt;"",$R57='تقرير سبتمبر'!$C$4,$P57='تقرير سبتمبر'!$C$6),COUNT(W$4:W56)+1,"")</f>
        <v/>
      </c>
      <c r="X57">
        <f>IF(AND($A57&lt;&gt;"",$B57&lt;&gt;"",$R57='تقرير أكتوبر'!$C$4,$P57='تقرير أكتوبر'!$C$6),COUNT(X$4:X56)+1,"")</f>
        <v/>
      </c>
      <c r="Y57">
        <f>IF(AND($A57&lt;&gt;"",$B57&lt;&gt;"",$R57='تقرير نوفمبر'!$C$4,$P57='تقرير نوفمبر'!$C$6),COUNT(Y$4:Y56)+1,"")</f>
        <v/>
      </c>
      <c r="Z57">
        <f>IF(AND($A57&lt;&gt;"",$B57&lt;&gt;"",$R57='تقرير ديسمبر'!$C$4,$P57='تقرير ديسمبر'!$C$6),COUNT(Z$4:Z56)+1,"")</f>
        <v/>
      </c>
      <c r="AA57">
        <f>IF(AND($A57&lt;&gt;"",$B57&lt;&gt;"",$R57='تقرير يناير'!$C$4,$P57='تقرير يناير'!$C$6),COUNT(AA$4:AA56)+1,"")</f>
        <v/>
      </c>
      <c r="AB57">
        <f>IF(AND($A57&lt;&gt;"",$B57&lt;&gt;"",$R57='تقرير فبراير'!$C$4,$P57='تقرير فبراير'!$C$6),COUNT(AB$4:AB56)+1,"")</f>
        <v/>
      </c>
      <c r="AC57">
        <f>IF(AND($A57&lt;&gt;"",$B57&lt;&gt;"",$R57='تقرير مارس'!$C$4,$P57='تقرير مارس'!$C$6),COUNT(AC$4:AC56)+1,"")</f>
        <v/>
      </c>
      <c r="AD57">
        <f>IF(AND($A57&lt;&gt;"",$B57&lt;&gt;"",$R57='تقرير أبريل'!$C$4,$P57='تقرير أبريل'!$C$6),COUNT(AD$4:AD56)+1,"")</f>
        <v/>
      </c>
      <c r="AE57">
        <f>IF(AND($A57&lt;&gt;"",$B57&lt;&gt;"",$R57='تقرير مايو'!$C$4,$P57='تقرير مايو'!$C$6),COUNT(AE$4:AE56)+1,"")</f>
        <v/>
      </c>
    </row>
    <row r="58">
      <c r="A58" s="16" t="n"/>
      <c r="B58" s="17" t="n"/>
      <c r="C58" s="17" t="n"/>
      <c r="D58" s="18" t="n"/>
      <c r="E58" s="17" t="n"/>
      <c r="F58" s="17" t="n"/>
      <c r="G58" s="19" t="n"/>
      <c r="H58" s="17" t="n"/>
      <c r="I58" s="17" t="n"/>
      <c r="J58" s="17" t="n"/>
      <c r="K58" s="20">
        <f>IF($B58="","",IFERROR(INDEX(الموظفات!$A$5:$A$304,MATCH($B58,الموظفات!$B$5:$B$304,0))&amp;"",""))</f>
        <v/>
      </c>
      <c r="L58" s="21">
        <f>IF($B58="","",IFERROR(INDEX(الموظفات!$C$5:$C$304,MATCH($B58,الموظفات!$B$5:$B$304,0))&amp;"",""))</f>
        <v/>
      </c>
      <c r="M58" s="20">
        <f>IF($B58="","",IFERROR(INDEX(الموظفات!$D$5:$D$304,MATCH($B58,الموظفات!$B$5:$B$304,0))&amp;"",""))</f>
        <v/>
      </c>
      <c r="N58" s="20">
        <f>IF($B58="","",IFERROR(INDEX(الموظفات!$E$5:$E$304,MATCH($B58,الموظفات!$B$5:$B$304,0))&amp;"",""))</f>
        <v/>
      </c>
      <c r="O58" s="21">
        <f>IF(C58="","",IFERROR(INDEX(الإعدادات!$D$7:$D$35,MATCH(C58,الإعدادات!$A$7:$A$35,0))&amp;"",""))</f>
        <v/>
      </c>
      <c r="P58" s="20">
        <f>IF(A58="","",INDEX(الإعدادات!$H$7:$H$18,MONTH(A58)))</f>
        <v/>
      </c>
      <c r="Q58" s="20">
        <f>IF(A58="","",INDEX(الإعدادات!$I$7:$I$18,MONTH(A58)))</f>
        <v/>
      </c>
      <c r="R58" s="20">
        <f>IF(A58="","",IF(MONTH(A58)&gt;=8,YEAR(A58)&amp;"-"&amp;(YEAR(A58)+1),(YEAR(A58)-1)&amp;"-"&amp;YEAR(A58)))</f>
        <v/>
      </c>
      <c r="S58" s="20">
        <f>IF(OR(A58="",B58=""),0,IF(AND(R58=التقارير!$C$4,OR(التقارير!$C$5="سنوي",AND(التقارير!$C$5="شهري",P58=التقارير!$C$6),AND(التقارير!$C$5="فصلي",Q58=التقارير!$C$7))),1,0))</f>
        <v/>
      </c>
      <c r="T58" s="20">
        <f>IF(S58=1,COUNTIF($S$5:S58,1),"")</f>
        <v/>
      </c>
      <c r="U58">
        <f>IF(AND($A58&lt;&gt;"",$B58&lt;&gt;"",$R58='تقرير الفصل الأول'!$C$4,$Q58='تقرير الفصل الأول'!$C$7),COUNT(U$4:U57)+1,"")</f>
        <v/>
      </c>
      <c r="V58">
        <f>IF(AND($A58&lt;&gt;"",$B58&lt;&gt;"",$R58='تقرير الفصل الثاني'!$C$4,$Q58='تقرير الفصل الثاني'!$C$7),COUNT(V$4:V57)+1,"")</f>
        <v/>
      </c>
      <c r="W58">
        <f>IF(AND($A58&lt;&gt;"",$B58&lt;&gt;"",$R58='تقرير سبتمبر'!$C$4,$P58='تقرير سبتمبر'!$C$6),COUNT(W$4:W57)+1,"")</f>
        <v/>
      </c>
      <c r="X58">
        <f>IF(AND($A58&lt;&gt;"",$B58&lt;&gt;"",$R58='تقرير أكتوبر'!$C$4,$P58='تقرير أكتوبر'!$C$6),COUNT(X$4:X57)+1,"")</f>
        <v/>
      </c>
      <c r="Y58">
        <f>IF(AND($A58&lt;&gt;"",$B58&lt;&gt;"",$R58='تقرير نوفمبر'!$C$4,$P58='تقرير نوفمبر'!$C$6),COUNT(Y$4:Y57)+1,"")</f>
        <v/>
      </c>
      <c r="Z58">
        <f>IF(AND($A58&lt;&gt;"",$B58&lt;&gt;"",$R58='تقرير ديسمبر'!$C$4,$P58='تقرير ديسمبر'!$C$6),COUNT(Z$4:Z57)+1,"")</f>
        <v/>
      </c>
      <c r="AA58">
        <f>IF(AND($A58&lt;&gt;"",$B58&lt;&gt;"",$R58='تقرير يناير'!$C$4,$P58='تقرير يناير'!$C$6),COUNT(AA$4:AA57)+1,"")</f>
        <v/>
      </c>
      <c r="AB58">
        <f>IF(AND($A58&lt;&gt;"",$B58&lt;&gt;"",$R58='تقرير فبراير'!$C$4,$P58='تقرير فبراير'!$C$6),COUNT(AB$4:AB57)+1,"")</f>
        <v/>
      </c>
      <c r="AC58">
        <f>IF(AND($A58&lt;&gt;"",$B58&lt;&gt;"",$R58='تقرير مارس'!$C$4,$P58='تقرير مارس'!$C$6),COUNT(AC$4:AC57)+1,"")</f>
        <v/>
      </c>
      <c r="AD58">
        <f>IF(AND($A58&lt;&gt;"",$B58&lt;&gt;"",$R58='تقرير أبريل'!$C$4,$P58='تقرير أبريل'!$C$6),COUNT(AD$4:AD57)+1,"")</f>
        <v/>
      </c>
      <c r="AE58">
        <f>IF(AND($A58&lt;&gt;"",$B58&lt;&gt;"",$R58='تقرير مايو'!$C$4,$P58='تقرير مايو'!$C$6),COUNT(AE$4:AE57)+1,"")</f>
        <v/>
      </c>
    </row>
    <row r="59">
      <c r="A59" s="16" t="n"/>
      <c r="B59" s="17" t="n"/>
      <c r="C59" s="17" t="n"/>
      <c r="D59" s="18" t="n"/>
      <c r="E59" s="17" t="n"/>
      <c r="F59" s="17" t="n"/>
      <c r="G59" s="19" t="n"/>
      <c r="H59" s="17" t="n"/>
      <c r="I59" s="17" t="n"/>
      <c r="J59" s="17" t="n"/>
      <c r="K59" s="20">
        <f>IF($B59="","",IFERROR(INDEX(الموظفات!$A$5:$A$304,MATCH($B59,الموظفات!$B$5:$B$304,0))&amp;"",""))</f>
        <v/>
      </c>
      <c r="L59" s="21">
        <f>IF($B59="","",IFERROR(INDEX(الموظفات!$C$5:$C$304,MATCH($B59,الموظفات!$B$5:$B$304,0))&amp;"",""))</f>
        <v/>
      </c>
      <c r="M59" s="20">
        <f>IF($B59="","",IFERROR(INDEX(الموظفات!$D$5:$D$304,MATCH($B59,الموظفات!$B$5:$B$304,0))&amp;"",""))</f>
        <v/>
      </c>
      <c r="N59" s="20">
        <f>IF($B59="","",IFERROR(INDEX(الموظفات!$E$5:$E$304,MATCH($B59,الموظفات!$B$5:$B$304,0))&amp;"",""))</f>
        <v/>
      </c>
      <c r="O59" s="21">
        <f>IF(C59="","",IFERROR(INDEX(الإعدادات!$D$7:$D$35,MATCH(C59,الإعدادات!$A$7:$A$35,0))&amp;"",""))</f>
        <v/>
      </c>
      <c r="P59" s="20">
        <f>IF(A59="","",INDEX(الإعدادات!$H$7:$H$18,MONTH(A59)))</f>
        <v/>
      </c>
      <c r="Q59" s="20">
        <f>IF(A59="","",INDEX(الإعدادات!$I$7:$I$18,MONTH(A59)))</f>
        <v/>
      </c>
      <c r="R59" s="20">
        <f>IF(A59="","",IF(MONTH(A59)&gt;=8,YEAR(A59)&amp;"-"&amp;(YEAR(A59)+1),(YEAR(A59)-1)&amp;"-"&amp;YEAR(A59)))</f>
        <v/>
      </c>
      <c r="S59" s="20">
        <f>IF(OR(A59="",B59=""),0,IF(AND(R59=التقارير!$C$4,OR(التقارير!$C$5="سنوي",AND(التقارير!$C$5="شهري",P59=التقارير!$C$6),AND(التقارير!$C$5="فصلي",Q59=التقارير!$C$7))),1,0))</f>
        <v/>
      </c>
      <c r="T59" s="20">
        <f>IF(S59=1,COUNTIF($S$5:S59,1),"")</f>
        <v/>
      </c>
      <c r="U59">
        <f>IF(AND($A59&lt;&gt;"",$B59&lt;&gt;"",$R59='تقرير الفصل الأول'!$C$4,$Q59='تقرير الفصل الأول'!$C$7),COUNT(U$4:U58)+1,"")</f>
        <v/>
      </c>
      <c r="V59">
        <f>IF(AND($A59&lt;&gt;"",$B59&lt;&gt;"",$R59='تقرير الفصل الثاني'!$C$4,$Q59='تقرير الفصل الثاني'!$C$7),COUNT(V$4:V58)+1,"")</f>
        <v/>
      </c>
      <c r="W59">
        <f>IF(AND($A59&lt;&gt;"",$B59&lt;&gt;"",$R59='تقرير سبتمبر'!$C$4,$P59='تقرير سبتمبر'!$C$6),COUNT(W$4:W58)+1,"")</f>
        <v/>
      </c>
      <c r="X59">
        <f>IF(AND($A59&lt;&gt;"",$B59&lt;&gt;"",$R59='تقرير أكتوبر'!$C$4,$P59='تقرير أكتوبر'!$C$6),COUNT(X$4:X58)+1,"")</f>
        <v/>
      </c>
      <c r="Y59">
        <f>IF(AND($A59&lt;&gt;"",$B59&lt;&gt;"",$R59='تقرير نوفمبر'!$C$4,$P59='تقرير نوفمبر'!$C$6),COUNT(Y$4:Y58)+1,"")</f>
        <v/>
      </c>
      <c r="Z59">
        <f>IF(AND($A59&lt;&gt;"",$B59&lt;&gt;"",$R59='تقرير ديسمبر'!$C$4,$P59='تقرير ديسمبر'!$C$6),COUNT(Z$4:Z58)+1,"")</f>
        <v/>
      </c>
      <c r="AA59">
        <f>IF(AND($A59&lt;&gt;"",$B59&lt;&gt;"",$R59='تقرير يناير'!$C$4,$P59='تقرير يناير'!$C$6),COUNT(AA$4:AA58)+1,"")</f>
        <v/>
      </c>
      <c r="AB59">
        <f>IF(AND($A59&lt;&gt;"",$B59&lt;&gt;"",$R59='تقرير فبراير'!$C$4,$P59='تقرير فبراير'!$C$6),COUNT(AB$4:AB58)+1,"")</f>
        <v/>
      </c>
      <c r="AC59">
        <f>IF(AND($A59&lt;&gt;"",$B59&lt;&gt;"",$R59='تقرير مارس'!$C$4,$P59='تقرير مارس'!$C$6),COUNT(AC$4:AC58)+1,"")</f>
        <v/>
      </c>
      <c r="AD59">
        <f>IF(AND($A59&lt;&gt;"",$B59&lt;&gt;"",$R59='تقرير أبريل'!$C$4,$P59='تقرير أبريل'!$C$6),COUNT(AD$4:AD58)+1,"")</f>
        <v/>
      </c>
      <c r="AE59">
        <f>IF(AND($A59&lt;&gt;"",$B59&lt;&gt;"",$R59='تقرير مايو'!$C$4,$P59='تقرير مايو'!$C$6),COUNT(AE$4:AE58)+1,"")</f>
        <v/>
      </c>
    </row>
    <row r="60">
      <c r="A60" s="16" t="n"/>
      <c r="B60" s="17" t="n"/>
      <c r="C60" s="17" t="n"/>
      <c r="D60" s="18" t="n"/>
      <c r="E60" s="17" t="n"/>
      <c r="F60" s="17" t="n"/>
      <c r="G60" s="19" t="n"/>
      <c r="H60" s="17" t="n"/>
      <c r="I60" s="17" t="n"/>
      <c r="J60" s="17" t="n"/>
      <c r="K60" s="20">
        <f>IF($B60="","",IFERROR(INDEX(الموظفات!$A$5:$A$304,MATCH($B60,الموظفات!$B$5:$B$304,0))&amp;"",""))</f>
        <v/>
      </c>
      <c r="L60" s="21">
        <f>IF($B60="","",IFERROR(INDEX(الموظفات!$C$5:$C$304,MATCH($B60,الموظفات!$B$5:$B$304,0))&amp;"",""))</f>
        <v/>
      </c>
      <c r="M60" s="20">
        <f>IF($B60="","",IFERROR(INDEX(الموظفات!$D$5:$D$304,MATCH($B60,الموظفات!$B$5:$B$304,0))&amp;"",""))</f>
        <v/>
      </c>
      <c r="N60" s="20">
        <f>IF($B60="","",IFERROR(INDEX(الموظفات!$E$5:$E$304,MATCH($B60,الموظفات!$B$5:$B$304,0))&amp;"",""))</f>
        <v/>
      </c>
      <c r="O60" s="21">
        <f>IF(C60="","",IFERROR(INDEX(الإعدادات!$D$7:$D$35,MATCH(C60,الإعدادات!$A$7:$A$35,0))&amp;"",""))</f>
        <v/>
      </c>
      <c r="P60" s="20">
        <f>IF(A60="","",INDEX(الإعدادات!$H$7:$H$18,MONTH(A60)))</f>
        <v/>
      </c>
      <c r="Q60" s="20">
        <f>IF(A60="","",INDEX(الإعدادات!$I$7:$I$18,MONTH(A60)))</f>
        <v/>
      </c>
      <c r="R60" s="20">
        <f>IF(A60="","",IF(MONTH(A60)&gt;=8,YEAR(A60)&amp;"-"&amp;(YEAR(A60)+1),(YEAR(A60)-1)&amp;"-"&amp;YEAR(A60)))</f>
        <v/>
      </c>
      <c r="S60" s="20">
        <f>IF(OR(A60="",B60=""),0,IF(AND(R60=التقارير!$C$4,OR(التقارير!$C$5="سنوي",AND(التقارير!$C$5="شهري",P60=التقارير!$C$6),AND(التقارير!$C$5="فصلي",Q60=التقارير!$C$7))),1,0))</f>
        <v/>
      </c>
      <c r="T60" s="20">
        <f>IF(S60=1,COUNTIF($S$5:S60,1),"")</f>
        <v/>
      </c>
      <c r="U60">
        <f>IF(AND($A60&lt;&gt;"",$B60&lt;&gt;"",$R60='تقرير الفصل الأول'!$C$4,$Q60='تقرير الفصل الأول'!$C$7),COUNT(U$4:U59)+1,"")</f>
        <v/>
      </c>
      <c r="V60">
        <f>IF(AND($A60&lt;&gt;"",$B60&lt;&gt;"",$R60='تقرير الفصل الثاني'!$C$4,$Q60='تقرير الفصل الثاني'!$C$7),COUNT(V$4:V59)+1,"")</f>
        <v/>
      </c>
      <c r="W60">
        <f>IF(AND($A60&lt;&gt;"",$B60&lt;&gt;"",$R60='تقرير سبتمبر'!$C$4,$P60='تقرير سبتمبر'!$C$6),COUNT(W$4:W59)+1,"")</f>
        <v/>
      </c>
      <c r="X60">
        <f>IF(AND($A60&lt;&gt;"",$B60&lt;&gt;"",$R60='تقرير أكتوبر'!$C$4,$P60='تقرير أكتوبر'!$C$6),COUNT(X$4:X59)+1,"")</f>
        <v/>
      </c>
      <c r="Y60">
        <f>IF(AND($A60&lt;&gt;"",$B60&lt;&gt;"",$R60='تقرير نوفمبر'!$C$4,$P60='تقرير نوفمبر'!$C$6),COUNT(Y$4:Y59)+1,"")</f>
        <v/>
      </c>
      <c r="Z60">
        <f>IF(AND($A60&lt;&gt;"",$B60&lt;&gt;"",$R60='تقرير ديسمبر'!$C$4,$P60='تقرير ديسمبر'!$C$6),COUNT(Z$4:Z59)+1,"")</f>
        <v/>
      </c>
      <c r="AA60">
        <f>IF(AND($A60&lt;&gt;"",$B60&lt;&gt;"",$R60='تقرير يناير'!$C$4,$P60='تقرير يناير'!$C$6),COUNT(AA$4:AA59)+1,"")</f>
        <v/>
      </c>
      <c r="AB60">
        <f>IF(AND($A60&lt;&gt;"",$B60&lt;&gt;"",$R60='تقرير فبراير'!$C$4,$P60='تقرير فبراير'!$C$6),COUNT(AB$4:AB59)+1,"")</f>
        <v/>
      </c>
      <c r="AC60">
        <f>IF(AND($A60&lt;&gt;"",$B60&lt;&gt;"",$R60='تقرير مارس'!$C$4,$P60='تقرير مارس'!$C$6),COUNT(AC$4:AC59)+1,"")</f>
        <v/>
      </c>
      <c r="AD60">
        <f>IF(AND($A60&lt;&gt;"",$B60&lt;&gt;"",$R60='تقرير أبريل'!$C$4,$P60='تقرير أبريل'!$C$6),COUNT(AD$4:AD59)+1,"")</f>
        <v/>
      </c>
      <c r="AE60">
        <f>IF(AND($A60&lt;&gt;"",$B60&lt;&gt;"",$R60='تقرير مايو'!$C$4,$P60='تقرير مايو'!$C$6),COUNT(AE$4:AE59)+1,"")</f>
        <v/>
      </c>
    </row>
    <row r="61">
      <c r="A61" s="16" t="n"/>
      <c r="B61" s="17" t="n"/>
      <c r="C61" s="17" t="n"/>
      <c r="D61" s="18" t="n"/>
      <c r="E61" s="17" t="n"/>
      <c r="F61" s="17" t="n"/>
      <c r="G61" s="19" t="n"/>
      <c r="H61" s="17" t="n"/>
      <c r="I61" s="17" t="n"/>
      <c r="J61" s="17" t="n"/>
      <c r="K61" s="20">
        <f>IF($B61="","",IFERROR(INDEX(الموظفات!$A$5:$A$304,MATCH($B61,الموظفات!$B$5:$B$304,0))&amp;"",""))</f>
        <v/>
      </c>
      <c r="L61" s="21">
        <f>IF($B61="","",IFERROR(INDEX(الموظفات!$C$5:$C$304,MATCH($B61,الموظفات!$B$5:$B$304,0))&amp;"",""))</f>
        <v/>
      </c>
      <c r="M61" s="20">
        <f>IF($B61="","",IFERROR(INDEX(الموظفات!$D$5:$D$304,MATCH($B61,الموظفات!$B$5:$B$304,0))&amp;"",""))</f>
        <v/>
      </c>
      <c r="N61" s="20">
        <f>IF($B61="","",IFERROR(INDEX(الموظفات!$E$5:$E$304,MATCH($B61,الموظفات!$B$5:$B$304,0))&amp;"",""))</f>
        <v/>
      </c>
      <c r="O61" s="21">
        <f>IF(C61="","",IFERROR(INDEX(الإعدادات!$D$7:$D$35,MATCH(C61,الإعدادات!$A$7:$A$35,0))&amp;"",""))</f>
        <v/>
      </c>
      <c r="P61" s="20">
        <f>IF(A61="","",INDEX(الإعدادات!$H$7:$H$18,MONTH(A61)))</f>
        <v/>
      </c>
      <c r="Q61" s="20">
        <f>IF(A61="","",INDEX(الإعدادات!$I$7:$I$18,MONTH(A61)))</f>
        <v/>
      </c>
      <c r="R61" s="20">
        <f>IF(A61="","",IF(MONTH(A61)&gt;=8,YEAR(A61)&amp;"-"&amp;(YEAR(A61)+1),(YEAR(A61)-1)&amp;"-"&amp;YEAR(A61)))</f>
        <v/>
      </c>
      <c r="S61" s="20">
        <f>IF(OR(A61="",B61=""),0,IF(AND(R61=التقارير!$C$4,OR(التقارير!$C$5="سنوي",AND(التقارير!$C$5="شهري",P61=التقارير!$C$6),AND(التقارير!$C$5="فصلي",Q61=التقارير!$C$7))),1,0))</f>
        <v/>
      </c>
      <c r="T61" s="20">
        <f>IF(S61=1,COUNTIF($S$5:S61,1),"")</f>
        <v/>
      </c>
      <c r="U61">
        <f>IF(AND($A61&lt;&gt;"",$B61&lt;&gt;"",$R61='تقرير الفصل الأول'!$C$4,$Q61='تقرير الفصل الأول'!$C$7),COUNT(U$4:U60)+1,"")</f>
        <v/>
      </c>
      <c r="V61">
        <f>IF(AND($A61&lt;&gt;"",$B61&lt;&gt;"",$R61='تقرير الفصل الثاني'!$C$4,$Q61='تقرير الفصل الثاني'!$C$7),COUNT(V$4:V60)+1,"")</f>
        <v/>
      </c>
      <c r="W61">
        <f>IF(AND($A61&lt;&gt;"",$B61&lt;&gt;"",$R61='تقرير سبتمبر'!$C$4,$P61='تقرير سبتمبر'!$C$6),COUNT(W$4:W60)+1,"")</f>
        <v/>
      </c>
      <c r="X61">
        <f>IF(AND($A61&lt;&gt;"",$B61&lt;&gt;"",$R61='تقرير أكتوبر'!$C$4,$P61='تقرير أكتوبر'!$C$6),COUNT(X$4:X60)+1,"")</f>
        <v/>
      </c>
      <c r="Y61">
        <f>IF(AND($A61&lt;&gt;"",$B61&lt;&gt;"",$R61='تقرير نوفمبر'!$C$4,$P61='تقرير نوفمبر'!$C$6),COUNT(Y$4:Y60)+1,"")</f>
        <v/>
      </c>
      <c r="Z61">
        <f>IF(AND($A61&lt;&gt;"",$B61&lt;&gt;"",$R61='تقرير ديسمبر'!$C$4,$P61='تقرير ديسمبر'!$C$6),COUNT(Z$4:Z60)+1,"")</f>
        <v/>
      </c>
      <c r="AA61">
        <f>IF(AND($A61&lt;&gt;"",$B61&lt;&gt;"",$R61='تقرير يناير'!$C$4,$P61='تقرير يناير'!$C$6),COUNT(AA$4:AA60)+1,"")</f>
        <v/>
      </c>
      <c r="AB61">
        <f>IF(AND($A61&lt;&gt;"",$B61&lt;&gt;"",$R61='تقرير فبراير'!$C$4,$P61='تقرير فبراير'!$C$6),COUNT(AB$4:AB60)+1,"")</f>
        <v/>
      </c>
      <c r="AC61">
        <f>IF(AND($A61&lt;&gt;"",$B61&lt;&gt;"",$R61='تقرير مارس'!$C$4,$P61='تقرير مارس'!$C$6),COUNT(AC$4:AC60)+1,"")</f>
        <v/>
      </c>
      <c r="AD61">
        <f>IF(AND($A61&lt;&gt;"",$B61&lt;&gt;"",$R61='تقرير أبريل'!$C$4,$P61='تقرير أبريل'!$C$6),COUNT(AD$4:AD60)+1,"")</f>
        <v/>
      </c>
      <c r="AE61">
        <f>IF(AND($A61&lt;&gt;"",$B61&lt;&gt;"",$R61='تقرير مايو'!$C$4,$P61='تقرير مايو'!$C$6),COUNT(AE$4:AE60)+1,"")</f>
        <v/>
      </c>
    </row>
    <row r="62">
      <c r="A62" s="16" t="n"/>
      <c r="B62" s="17" t="n"/>
      <c r="C62" s="17" t="n"/>
      <c r="D62" s="18" t="n"/>
      <c r="E62" s="17" t="n"/>
      <c r="F62" s="17" t="n"/>
      <c r="G62" s="19" t="n"/>
      <c r="H62" s="17" t="n"/>
      <c r="I62" s="17" t="n"/>
      <c r="J62" s="17" t="n"/>
      <c r="K62" s="20">
        <f>IF($B62="","",IFERROR(INDEX(الموظفات!$A$5:$A$304,MATCH($B62,الموظفات!$B$5:$B$304,0))&amp;"",""))</f>
        <v/>
      </c>
      <c r="L62" s="21">
        <f>IF($B62="","",IFERROR(INDEX(الموظفات!$C$5:$C$304,MATCH($B62,الموظفات!$B$5:$B$304,0))&amp;"",""))</f>
        <v/>
      </c>
      <c r="M62" s="20">
        <f>IF($B62="","",IFERROR(INDEX(الموظفات!$D$5:$D$304,MATCH($B62,الموظفات!$B$5:$B$304,0))&amp;"",""))</f>
        <v/>
      </c>
      <c r="N62" s="20">
        <f>IF($B62="","",IFERROR(INDEX(الموظفات!$E$5:$E$304,MATCH($B62,الموظفات!$B$5:$B$304,0))&amp;"",""))</f>
        <v/>
      </c>
      <c r="O62" s="21">
        <f>IF(C62="","",IFERROR(INDEX(الإعدادات!$D$7:$D$35,MATCH(C62,الإعدادات!$A$7:$A$35,0))&amp;"",""))</f>
        <v/>
      </c>
      <c r="P62" s="20">
        <f>IF(A62="","",INDEX(الإعدادات!$H$7:$H$18,MONTH(A62)))</f>
        <v/>
      </c>
      <c r="Q62" s="20">
        <f>IF(A62="","",INDEX(الإعدادات!$I$7:$I$18,MONTH(A62)))</f>
        <v/>
      </c>
      <c r="R62" s="20">
        <f>IF(A62="","",IF(MONTH(A62)&gt;=8,YEAR(A62)&amp;"-"&amp;(YEAR(A62)+1),(YEAR(A62)-1)&amp;"-"&amp;YEAR(A62)))</f>
        <v/>
      </c>
      <c r="S62" s="20">
        <f>IF(OR(A62="",B62=""),0,IF(AND(R62=التقارير!$C$4,OR(التقارير!$C$5="سنوي",AND(التقارير!$C$5="شهري",P62=التقارير!$C$6),AND(التقارير!$C$5="فصلي",Q62=التقارير!$C$7))),1,0))</f>
        <v/>
      </c>
      <c r="T62" s="20">
        <f>IF(S62=1,COUNTIF($S$5:S62,1),"")</f>
        <v/>
      </c>
      <c r="U62">
        <f>IF(AND($A62&lt;&gt;"",$B62&lt;&gt;"",$R62='تقرير الفصل الأول'!$C$4,$Q62='تقرير الفصل الأول'!$C$7),COUNT(U$4:U61)+1,"")</f>
        <v/>
      </c>
      <c r="V62">
        <f>IF(AND($A62&lt;&gt;"",$B62&lt;&gt;"",$R62='تقرير الفصل الثاني'!$C$4,$Q62='تقرير الفصل الثاني'!$C$7),COUNT(V$4:V61)+1,"")</f>
        <v/>
      </c>
      <c r="W62">
        <f>IF(AND($A62&lt;&gt;"",$B62&lt;&gt;"",$R62='تقرير سبتمبر'!$C$4,$P62='تقرير سبتمبر'!$C$6),COUNT(W$4:W61)+1,"")</f>
        <v/>
      </c>
      <c r="X62">
        <f>IF(AND($A62&lt;&gt;"",$B62&lt;&gt;"",$R62='تقرير أكتوبر'!$C$4,$P62='تقرير أكتوبر'!$C$6),COUNT(X$4:X61)+1,"")</f>
        <v/>
      </c>
      <c r="Y62">
        <f>IF(AND($A62&lt;&gt;"",$B62&lt;&gt;"",$R62='تقرير نوفمبر'!$C$4,$P62='تقرير نوفمبر'!$C$6),COUNT(Y$4:Y61)+1,"")</f>
        <v/>
      </c>
      <c r="Z62">
        <f>IF(AND($A62&lt;&gt;"",$B62&lt;&gt;"",$R62='تقرير ديسمبر'!$C$4,$P62='تقرير ديسمبر'!$C$6),COUNT(Z$4:Z61)+1,"")</f>
        <v/>
      </c>
      <c r="AA62">
        <f>IF(AND($A62&lt;&gt;"",$B62&lt;&gt;"",$R62='تقرير يناير'!$C$4,$P62='تقرير يناير'!$C$6),COUNT(AA$4:AA61)+1,"")</f>
        <v/>
      </c>
      <c r="AB62">
        <f>IF(AND($A62&lt;&gt;"",$B62&lt;&gt;"",$R62='تقرير فبراير'!$C$4,$P62='تقرير فبراير'!$C$6),COUNT(AB$4:AB61)+1,"")</f>
        <v/>
      </c>
      <c r="AC62">
        <f>IF(AND($A62&lt;&gt;"",$B62&lt;&gt;"",$R62='تقرير مارس'!$C$4,$P62='تقرير مارس'!$C$6),COUNT(AC$4:AC61)+1,"")</f>
        <v/>
      </c>
      <c r="AD62">
        <f>IF(AND($A62&lt;&gt;"",$B62&lt;&gt;"",$R62='تقرير أبريل'!$C$4,$P62='تقرير أبريل'!$C$6),COUNT(AD$4:AD61)+1,"")</f>
        <v/>
      </c>
      <c r="AE62">
        <f>IF(AND($A62&lt;&gt;"",$B62&lt;&gt;"",$R62='تقرير مايو'!$C$4,$P62='تقرير مايو'!$C$6),COUNT(AE$4:AE61)+1,"")</f>
        <v/>
      </c>
    </row>
    <row r="63">
      <c r="A63" s="16" t="n"/>
      <c r="B63" s="17" t="n"/>
      <c r="C63" s="17" t="n"/>
      <c r="D63" s="18" t="n"/>
      <c r="E63" s="17" t="n"/>
      <c r="F63" s="17" t="n"/>
      <c r="G63" s="19" t="n"/>
      <c r="H63" s="17" t="n"/>
      <c r="I63" s="17" t="n"/>
      <c r="J63" s="17" t="n"/>
      <c r="K63" s="20">
        <f>IF($B63="","",IFERROR(INDEX(الموظفات!$A$5:$A$304,MATCH($B63,الموظفات!$B$5:$B$304,0))&amp;"",""))</f>
        <v/>
      </c>
      <c r="L63" s="21">
        <f>IF($B63="","",IFERROR(INDEX(الموظفات!$C$5:$C$304,MATCH($B63,الموظفات!$B$5:$B$304,0))&amp;"",""))</f>
        <v/>
      </c>
      <c r="M63" s="20">
        <f>IF($B63="","",IFERROR(INDEX(الموظفات!$D$5:$D$304,MATCH($B63,الموظفات!$B$5:$B$304,0))&amp;"",""))</f>
        <v/>
      </c>
      <c r="N63" s="20">
        <f>IF($B63="","",IFERROR(INDEX(الموظفات!$E$5:$E$304,MATCH($B63,الموظفات!$B$5:$B$304,0))&amp;"",""))</f>
        <v/>
      </c>
      <c r="O63" s="21">
        <f>IF(C63="","",IFERROR(INDEX(الإعدادات!$D$7:$D$35,MATCH(C63,الإعدادات!$A$7:$A$35,0))&amp;"",""))</f>
        <v/>
      </c>
      <c r="P63" s="20">
        <f>IF(A63="","",INDEX(الإعدادات!$H$7:$H$18,MONTH(A63)))</f>
        <v/>
      </c>
      <c r="Q63" s="20">
        <f>IF(A63="","",INDEX(الإعدادات!$I$7:$I$18,MONTH(A63)))</f>
        <v/>
      </c>
      <c r="R63" s="20">
        <f>IF(A63="","",IF(MONTH(A63)&gt;=8,YEAR(A63)&amp;"-"&amp;(YEAR(A63)+1),(YEAR(A63)-1)&amp;"-"&amp;YEAR(A63)))</f>
        <v/>
      </c>
      <c r="S63" s="20">
        <f>IF(OR(A63="",B63=""),0,IF(AND(R63=التقارير!$C$4,OR(التقارير!$C$5="سنوي",AND(التقارير!$C$5="شهري",P63=التقارير!$C$6),AND(التقارير!$C$5="فصلي",Q63=التقارير!$C$7))),1,0))</f>
        <v/>
      </c>
      <c r="T63" s="20">
        <f>IF(S63=1,COUNTIF($S$5:S63,1),"")</f>
        <v/>
      </c>
      <c r="U63">
        <f>IF(AND($A63&lt;&gt;"",$B63&lt;&gt;"",$R63='تقرير الفصل الأول'!$C$4,$Q63='تقرير الفصل الأول'!$C$7),COUNT(U$4:U62)+1,"")</f>
        <v/>
      </c>
      <c r="V63">
        <f>IF(AND($A63&lt;&gt;"",$B63&lt;&gt;"",$R63='تقرير الفصل الثاني'!$C$4,$Q63='تقرير الفصل الثاني'!$C$7),COUNT(V$4:V62)+1,"")</f>
        <v/>
      </c>
      <c r="W63">
        <f>IF(AND($A63&lt;&gt;"",$B63&lt;&gt;"",$R63='تقرير سبتمبر'!$C$4,$P63='تقرير سبتمبر'!$C$6),COUNT(W$4:W62)+1,"")</f>
        <v/>
      </c>
      <c r="X63">
        <f>IF(AND($A63&lt;&gt;"",$B63&lt;&gt;"",$R63='تقرير أكتوبر'!$C$4,$P63='تقرير أكتوبر'!$C$6),COUNT(X$4:X62)+1,"")</f>
        <v/>
      </c>
      <c r="Y63">
        <f>IF(AND($A63&lt;&gt;"",$B63&lt;&gt;"",$R63='تقرير نوفمبر'!$C$4,$P63='تقرير نوفمبر'!$C$6),COUNT(Y$4:Y62)+1,"")</f>
        <v/>
      </c>
      <c r="Z63">
        <f>IF(AND($A63&lt;&gt;"",$B63&lt;&gt;"",$R63='تقرير ديسمبر'!$C$4,$P63='تقرير ديسمبر'!$C$6),COUNT(Z$4:Z62)+1,"")</f>
        <v/>
      </c>
      <c r="AA63">
        <f>IF(AND($A63&lt;&gt;"",$B63&lt;&gt;"",$R63='تقرير يناير'!$C$4,$P63='تقرير يناير'!$C$6),COUNT(AA$4:AA62)+1,"")</f>
        <v/>
      </c>
      <c r="AB63">
        <f>IF(AND($A63&lt;&gt;"",$B63&lt;&gt;"",$R63='تقرير فبراير'!$C$4,$P63='تقرير فبراير'!$C$6),COUNT(AB$4:AB62)+1,"")</f>
        <v/>
      </c>
      <c r="AC63">
        <f>IF(AND($A63&lt;&gt;"",$B63&lt;&gt;"",$R63='تقرير مارس'!$C$4,$P63='تقرير مارس'!$C$6),COUNT(AC$4:AC62)+1,"")</f>
        <v/>
      </c>
      <c r="AD63">
        <f>IF(AND($A63&lt;&gt;"",$B63&lt;&gt;"",$R63='تقرير أبريل'!$C$4,$P63='تقرير أبريل'!$C$6),COUNT(AD$4:AD62)+1,"")</f>
        <v/>
      </c>
      <c r="AE63">
        <f>IF(AND($A63&lt;&gt;"",$B63&lt;&gt;"",$R63='تقرير مايو'!$C$4,$P63='تقرير مايو'!$C$6),COUNT(AE$4:AE62)+1,"")</f>
        <v/>
      </c>
    </row>
    <row r="64">
      <c r="A64" s="16" t="n"/>
      <c r="B64" s="17" t="n"/>
      <c r="C64" s="17" t="n"/>
      <c r="D64" s="18" t="n"/>
      <c r="E64" s="17" t="n"/>
      <c r="F64" s="17" t="n"/>
      <c r="G64" s="19" t="n"/>
      <c r="H64" s="17" t="n"/>
      <c r="I64" s="17" t="n"/>
      <c r="J64" s="17" t="n"/>
      <c r="K64" s="20">
        <f>IF($B64="","",IFERROR(INDEX(الموظفات!$A$5:$A$304,MATCH($B64,الموظفات!$B$5:$B$304,0))&amp;"",""))</f>
        <v/>
      </c>
      <c r="L64" s="21">
        <f>IF($B64="","",IFERROR(INDEX(الموظفات!$C$5:$C$304,MATCH($B64,الموظفات!$B$5:$B$304,0))&amp;"",""))</f>
        <v/>
      </c>
      <c r="M64" s="20">
        <f>IF($B64="","",IFERROR(INDEX(الموظفات!$D$5:$D$304,MATCH($B64,الموظفات!$B$5:$B$304,0))&amp;"",""))</f>
        <v/>
      </c>
      <c r="N64" s="20">
        <f>IF($B64="","",IFERROR(INDEX(الموظفات!$E$5:$E$304,MATCH($B64,الموظفات!$B$5:$B$304,0))&amp;"",""))</f>
        <v/>
      </c>
      <c r="O64" s="21">
        <f>IF(C64="","",IFERROR(INDEX(الإعدادات!$D$7:$D$35,MATCH(C64,الإعدادات!$A$7:$A$35,0))&amp;"",""))</f>
        <v/>
      </c>
      <c r="P64" s="20">
        <f>IF(A64="","",INDEX(الإعدادات!$H$7:$H$18,MONTH(A64)))</f>
        <v/>
      </c>
      <c r="Q64" s="20">
        <f>IF(A64="","",INDEX(الإعدادات!$I$7:$I$18,MONTH(A64)))</f>
        <v/>
      </c>
      <c r="R64" s="20">
        <f>IF(A64="","",IF(MONTH(A64)&gt;=8,YEAR(A64)&amp;"-"&amp;(YEAR(A64)+1),(YEAR(A64)-1)&amp;"-"&amp;YEAR(A64)))</f>
        <v/>
      </c>
      <c r="S64" s="20">
        <f>IF(OR(A64="",B64=""),0,IF(AND(R64=التقارير!$C$4,OR(التقارير!$C$5="سنوي",AND(التقارير!$C$5="شهري",P64=التقارير!$C$6),AND(التقارير!$C$5="فصلي",Q64=التقارير!$C$7))),1,0))</f>
        <v/>
      </c>
      <c r="T64" s="20">
        <f>IF(S64=1,COUNTIF($S$5:S64,1),"")</f>
        <v/>
      </c>
      <c r="U64">
        <f>IF(AND($A64&lt;&gt;"",$B64&lt;&gt;"",$R64='تقرير الفصل الأول'!$C$4,$Q64='تقرير الفصل الأول'!$C$7),COUNT(U$4:U63)+1,"")</f>
        <v/>
      </c>
      <c r="V64">
        <f>IF(AND($A64&lt;&gt;"",$B64&lt;&gt;"",$R64='تقرير الفصل الثاني'!$C$4,$Q64='تقرير الفصل الثاني'!$C$7),COUNT(V$4:V63)+1,"")</f>
        <v/>
      </c>
      <c r="W64">
        <f>IF(AND($A64&lt;&gt;"",$B64&lt;&gt;"",$R64='تقرير سبتمبر'!$C$4,$P64='تقرير سبتمبر'!$C$6),COUNT(W$4:W63)+1,"")</f>
        <v/>
      </c>
      <c r="X64">
        <f>IF(AND($A64&lt;&gt;"",$B64&lt;&gt;"",$R64='تقرير أكتوبر'!$C$4,$P64='تقرير أكتوبر'!$C$6),COUNT(X$4:X63)+1,"")</f>
        <v/>
      </c>
      <c r="Y64">
        <f>IF(AND($A64&lt;&gt;"",$B64&lt;&gt;"",$R64='تقرير نوفمبر'!$C$4,$P64='تقرير نوفمبر'!$C$6),COUNT(Y$4:Y63)+1,"")</f>
        <v/>
      </c>
      <c r="Z64">
        <f>IF(AND($A64&lt;&gt;"",$B64&lt;&gt;"",$R64='تقرير ديسمبر'!$C$4,$P64='تقرير ديسمبر'!$C$6),COUNT(Z$4:Z63)+1,"")</f>
        <v/>
      </c>
      <c r="AA64">
        <f>IF(AND($A64&lt;&gt;"",$B64&lt;&gt;"",$R64='تقرير يناير'!$C$4,$P64='تقرير يناير'!$C$6),COUNT(AA$4:AA63)+1,"")</f>
        <v/>
      </c>
      <c r="AB64">
        <f>IF(AND($A64&lt;&gt;"",$B64&lt;&gt;"",$R64='تقرير فبراير'!$C$4,$P64='تقرير فبراير'!$C$6),COUNT(AB$4:AB63)+1,"")</f>
        <v/>
      </c>
      <c r="AC64">
        <f>IF(AND($A64&lt;&gt;"",$B64&lt;&gt;"",$R64='تقرير مارس'!$C$4,$P64='تقرير مارس'!$C$6),COUNT(AC$4:AC63)+1,"")</f>
        <v/>
      </c>
      <c r="AD64">
        <f>IF(AND($A64&lt;&gt;"",$B64&lt;&gt;"",$R64='تقرير أبريل'!$C$4,$P64='تقرير أبريل'!$C$6),COUNT(AD$4:AD63)+1,"")</f>
        <v/>
      </c>
      <c r="AE64">
        <f>IF(AND($A64&lt;&gt;"",$B64&lt;&gt;"",$R64='تقرير مايو'!$C$4,$P64='تقرير مايو'!$C$6),COUNT(AE$4:AE63)+1,"")</f>
        <v/>
      </c>
    </row>
    <row r="65">
      <c r="A65" s="16" t="n"/>
      <c r="B65" s="17" t="n"/>
      <c r="C65" s="17" t="n"/>
      <c r="D65" s="18" t="n"/>
      <c r="E65" s="17" t="n"/>
      <c r="F65" s="17" t="n"/>
      <c r="G65" s="19" t="n"/>
      <c r="H65" s="17" t="n"/>
      <c r="I65" s="17" t="n"/>
      <c r="J65" s="17" t="n"/>
      <c r="K65" s="20">
        <f>IF($B65="","",IFERROR(INDEX(الموظفات!$A$5:$A$304,MATCH($B65,الموظفات!$B$5:$B$304,0))&amp;"",""))</f>
        <v/>
      </c>
      <c r="L65" s="21">
        <f>IF($B65="","",IFERROR(INDEX(الموظفات!$C$5:$C$304,MATCH($B65,الموظفات!$B$5:$B$304,0))&amp;"",""))</f>
        <v/>
      </c>
      <c r="M65" s="20">
        <f>IF($B65="","",IFERROR(INDEX(الموظفات!$D$5:$D$304,MATCH($B65,الموظفات!$B$5:$B$304,0))&amp;"",""))</f>
        <v/>
      </c>
      <c r="N65" s="20">
        <f>IF($B65="","",IFERROR(INDEX(الموظفات!$E$5:$E$304,MATCH($B65,الموظفات!$B$5:$B$304,0))&amp;"",""))</f>
        <v/>
      </c>
      <c r="O65" s="21">
        <f>IF(C65="","",IFERROR(INDEX(الإعدادات!$D$7:$D$35,MATCH(C65,الإعدادات!$A$7:$A$35,0))&amp;"",""))</f>
        <v/>
      </c>
      <c r="P65" s="20">
        <f>IF(A65="","",INDEX(الإعدادات!$H$7:$H$18,MONTH(A65)))</f>
        <v/>
      </c>
      <c r="Q65" s="20">
        <f>IF(A65="","",INDEX(الإعدادات!$I$7:$I$18,MONTH(A65)))</f>
        <v/>
      </c>
      <c r="R65" s="20">
        <f>IF(A65="","",IF(MONTH(A65)&gt;=8,YEAR(A65)&amp;"-"&amp;(YEAR(A65)+1),(YEAR(A65)-1)&amp;"-"&amp;YEAR(A65)))</f>
        <v/>
      </c>
      <c r="S65" s="20">
        <f>IF(OR(A65="",B65=""),0,IF(AND(R65=التقارير!$C$4,OR(التقارير!$C$5="سنوي",AND(التقارير!$C$5="شهري",P65=التقارير!$C$6),AND(التقارير!$C$5="فصلي",Q65=التقارير!$C$7))),1,0))</f>
        <v/>
      </c>
      <c r="T65" s="20">
        <f>IF(S65=1,COUNTIF($S$5:S65,1),"")</f>
        <v/>
      </c>
      <c r="U65">
        <f>IF(AND($A65&lt;&gt;"",$B65&lt;&gt;"",$R65='تقرير الفصل الأول'!$C$4,$Q65='تقرير الفصل الأول'!$C$7),COUNT(U$4:U64)+1,"")</f>
        <v/>
      </c>
      <c r="V65">
        <f>IF(AND($A65&lt;&gt;"",$B65&lt;&gt;"",$R65='تقرير الفصل الثاني'!$C$4,$Q65='تقرير الفصل الثاني'!$C$7),COUNT(V$4:V64)+1,"")</f>
        <v/>
      </c>
      <c r="W65">
        <f>IF(AND($A65&lt;&gt;"",$B65&lt;&gt;"",$R65='تقرير سبتمبر'!$C$4,$P65='تقرير سبتمبر'!$C$6),COUNT(W$4:W64)+1,"")</f>
        <v/>
      </c>
      <c r="X65">
        <f>IF(AND($A65&lt;&gt;"",$B65&lt;&gt;"",$R65='تقرير أكتوبر'!$C$4,$P65='تقرير أكتوبر'!$C$6),COUNT(X$4:X64)+1,"")</f>
        <v/>
      </c>
      <c r="Y65">
        <f>IF(AND($A65&lt;&gt;"",$B65&lt;&gt;"",$R65='تقرير نوفمبر'!$C$4,$P65='تقرير نوفمبر'!$C$6),COUNT(Y$4:Y64)+1,"")</f>
        <v/>
      </c>
      <c r="Z65">
        <f>IF(AND($A65&lt;&gt;"",$B65&lt;&gt;"",$R65='تقرير ديسمبر'!$C$4,$P65='تقرير ديسمبر'!$C$6),COUNT(Z$4:Z64)+1,"")</f>
        <v/>
      </c>
      <c r="AA65">
        <f>IF(AND($A65&lt;&gt;"",$B65&lt;&gt;"",$R65='تقرير يناير'!$C$4,$P65='تقرير يناير'!$C$6),COUNT(AA$4:AA64)+1,"")</f>
        <v/>
      </c>
      <c r="AB65">
        <f>IF(AND($A65&lt;&gt;"",$B65&lt;&gt;"",$R65='تقرير فبراير'!$C$4,$P65='تقرير فبراير'!$C$6),COUNT(AB$4:AB64)+1,"")</f>
        <v/>
      </c>
      <c r="AC65">
        <f>IF(AND($A65&lt;&gt;"",$B65&lt;&gt;"",$R65='تقرير مارس'!$C$4,$P65='تقرير مارس'!$C$6),COUNT(AC$4:AC64)+1,"")</f>
        <v/>
      </c>
      <c r="AD65">
        <f>IF(AND($A65&lt;&gt;"",$B65&lt;&gt;"",$R65='تقرير أبريل'!$C$4,$P65='تقرير أبريل'!$C$6),COUNT(AD$4:AD64)+1,"")</f>
        <v/>
      </c>
      <c r="AE65">
        <f>IF(AND($A65&lt;&gt;"",$B65&lt;&gt;"",$R65='تقرير مايو'!$C$4,$P65='تقرير مايو'!$C$6),COUNT(AE$4:AE64)+1,"")</f>
        <v/>
      </c>
    </row>
    <row r="66">
      <c r="A66" s="16" t="n"/>
      <c r="B66" s="17" t="n"/>
      <c r="C66" s="17" t="n"/>
      <c r="D66" s="18" t="n"/>
      <c r="E66" s="17" t="n"/>
      <c r="F66" s="17" t="n"/>
      <c r="G66" s="19" t="n"/>
      <c r="H66" s="17" t="n"/>
      <c r="I66" s="17" t="n"/>
      <c r="J66" s="17" t="n"/>
      <c r="K66" s="20">
        <f>IF($B66="","",IFERROR(INDEX(الموظفات!$A$5:$A$304,MATCH($B66,الموظفات!$B$5:$B$304,0))&amp;"",""))</f>
        <v/>
      </c>
      <c r="L66" s="21">
        <f>IF($B66="","",IFERROR(INDEX(الموظفات!$C$5:$C$304,MATCH($B66,الموظفات!$B$5:$B$304,0))&amp;"",""))</f>
        <v/>
      </c>
      <c r="M66" s="20">
        <f>IF($B66="","",IFERROR(INDEX(الموظفات!$D$5:$D$304,MATCH($B66,الموظفات!$B$5:$B$304,0))&amp;"",""))</f>
        <v/>
      </c>
      <c r="N66" s="20">
        <f>IF($B66="","",IFERROR(INDEX(الموظفات!$E$5:$E$304,MATCH($B66,الموظفات!$B$5:$B$304,0))&amp;"",""))</f>
        <v/>
      </c>
      <c r="O66" s="21">
        <f>IF(C66="","",IFERROR(INDEX(الإعدادات!$D$7:$D$35,MATCH(C66,الإعدادات!$A$7:$A$35,0))&amp;"",""))</f>
        <v/>
      </c>
      <c r="P66" s="20">
        <f>IF(A66="","",INDEX(الإعدادات!$H$7:$H$18,MONTH(A66)))</f>
        <v/>
      </c>
      <c r="Q66" s="20">
        <f>IF(A66="","",INDEX(الإعدادات!$I$7:$I$18,MONTH(A66)))</f>
        <v/>
      </c>
      <c r="R66" s="20">
        <f>IF(A66="","",IF(MONTH(A66)&gt;=8,YEAR(A66)&amp;"-"&amp;(YEAR(A66)+1),(YEAR(A66)-1)&amp;"-"&amp;YEAR(A66)))</f>
        <v/>
      </c>
      <c r="S66" s="20">
        <f>IF(OR(A66="",B66=""),0,IF(AND(R66=التقارير!$C$4,OR(التقارير!$C$5="سنوي",AND(التقارير!$C$5="شهري",P66=التقارير!$C$6),AND(التقارير!$C$5="فصلي",Q66=التقارير!$C$7))),1,0))</f>
        <v/>
      </c>
      <c r="T66" s="20">
        <f>IF(S66=1,COUNTIF($S$5:S66,1),"")</f>
        <v/>
      </c>
      <c r="U66">
        <f>IF(AND($A66&lt;&gt;"",$B66&lt;&gt;"",$R66='تقرير الفصل الأول'!$C$4,$Q66='تقرير الفصل الأول'!$C$7),COUNT(U$4:U65)+1,"")</f>
        <v/>
      </c>
      <c r="V66">
        <f>IF(AND($A66&lt;&gt;"",$B66&lt;&gt;"",$R66='تقرير الفصل الثاني'!$C$4,$Q66='تقرير الفصل الثاني'!$C$7),COUNT(V$4:V65)+1,"")</f>
        <v/>
      </c>
      <c r="W66">
        <f>IF(AND($A66&lt;&gt;"",$B66&lt;&gt;"",$R66='تقرير سبتمبر'!$C$4,$P66='تقرير سبتمبر'!$C$6),COUNT(W$4:W65)+1,"")</f>
        <v/>
      </c>
      <c r="X66">
        <f>IF(AND($A66&lt;&gt;"",$B66&lt;&gt;"",$R66='تقرير أكتوبر'!$C$4,$P66='تقرير أكتوبر'!$C$6),COUNT(X$4:X65)+1,"")</f>
        <v/>
      </c>
      <c r="Y66">
        <f>IF(AND($A66&lt;&gt;"",$B66&lt;&gt;"",$R66='تقرير نوفمبر'!$C$4,$P66='تقرير نوفمبر'!$C$6),COUNT(Y$4:Y65)+1,"")</f>
        <v/>
      </c>
      <c r="Z66">
        <f>IF(AND($A66&lt;&gt;"",$B66&lt;&gt;"",$R66='تقرير ديسمبر'!$C$4,$P66='تقرير ديسمبر'!$C$6),COUNT(Z$4:Z65)+1,"")</f>
        <v/>
      </c>
      <c r="AA66">
        <f>IF(AND($A66&lt;&gt;"",$B66&lt;&gt;"",$R66='تقرير يناير'!$C$4,$P66='تقرير يناير'!$C$6),COUNT(AA$4:AA65)+1,"")</f>
        <v/>
      </c>
      <c r="AB66">
        <f>IF(AND($A66&lt;&gt;"",$B66&lt;&gt;"",$R66='تقرير فبراير'!$C$4,$P66='تقرير فبراير'!$C$6),COUNT(AB$4:AB65)+1,"")</f>
        <v/>
      </c>
      <c r="AC66">
        <f>IF(AND($A66&lt;&gt;"",$B66&lt;&gt;"",$R66='تقرير مارس'!$C$4,$P66='تقرير مارس'!$C$6),COUNT(AC$4:AC65)+1,"")</f>
        <v/>
      </c>
      <c r="AD66">
        <f>IF(AND($A66&lt;&gt;"",$B66&lt;&gt;"",$R66='تقرير أبريل'!$C$4,$P66='تقرير أبريل'!$C$6),COUNT(AD$4:AD65)+1,"")</f>
        <v/>
      </c>
      <c r="AE66">
        <f>IF(AND($A66&lt;&gt;"",$B66&lt;&gt;"",$R66='تقرير مايو'!$C$4,$P66='تقرير مايو'!$C$6),COUNT(AE$4:AE65)+1,"")</f>
        <v/>
      </c>
    </row>
    <row r="67">
      <c r="A67" s="16" t="n"/>
      <c r="B67" s="17" t="n"/>
      <c r="C67" s="17" t="n"/>
      <c r="D67" s="18" t="n"/>
      <c r="E67" s="17" t="n"/>
      <c r="F67" s="17" t="n"/>
      <c r="G67" s="19" t="n"/>
      <c r="H67" s="17" t="n"/>
      <c r="I67" s="17" t="n"/>
      <c r="J67" s="17" t="n"/>
      <c r="K67" s="20">
        <f>IF($B67="","",IFERROR(INDEX(الموظفات!$A$5:$A$304,MATCH($B67,الموظفات!$B$5:$B$304,0))&amp;"",""))</f>
        <v/>
      </c>
      <c r="L67" s="21">
        <f>IF($B67="","",IFERROR(INDEX(الموظفات!$C$5:$C$304,MATCH($B67,الموظفات!$B$5:$B$304,0))&amp;"",""))</f>
        <v/>
      </c>
      <c r="M67" s="20">
        <f>IF($B67="","",IFERROR(INDEX(الموظفات!$D$5:$D$304,MATCH($B67,الموظفات!$B$5:$B$304,0))&amp;"",""))</f>
        <v/>
      </c>
      <c r="N67" s="20">
        <f>IF($B67="","",IFERROR(INDEX(الموظفات!$E$5:$E$304,MATCH($B67,الموظفات!$B$5:$B$304,0))&amp;"",""))</f>
        <v/>
      </c>
      <c r="O67" s="21">
        <f>IF(C67="","",IFERROR(INDEX(الإعدادات!$D$7:$D$35,MATCH(C67,الإعدادات!$A$7:$A$35,0))&amp;"",""))</f>
        <v/>
      </c>
      <c r="P67" s="20">
        <f>IF(A67="","",INDEX(الإعدادات!$H$7:$H$18,MONTH(A67)))</f>
        <v/>
      </c>
      <c r="Q67" s="20">
        <f>IF(A67="","",INDEX(الإعدادات!$I$7:$I$18,MONTH(A67)))</f>
        <v/>
      </c>
      <c r="R67" s="20">
        <f>IF(A67="","",IF(MONTH(A67)&gt;=8,YEAR(A67)&amp;"-"&amp;(YEAR(A67)+1),(YEAR(A67)-1)&amp;"-"&amp;YEAR(A67)))</f>
        <v/>
      </c>
      <c r="S67" s="20">
        <f>IF(OR(A67="",B67=""),0,IF(AND(R67=التقارير!$C$4,OR(التقارير!$C$5="سنوي",AND(التقارير!$C$5="شهري",P67=التقارير!$C$6),AND(التقارير!$C$5="فصلي",Q67=التقارير!$C$7))),1,0))</f>
        <v/>
      </c>
      <c r="T67" s="20">
        <f>IF(S67=1,COUNTIF($S$5:S67,1),"")</f>
        <v/>
      </c>
      <c r="U67">
        <f>IF(AND($A67&lt;&gt;"",$B67&lt;&gt;"",$R67='تقرير الفصل الأول'!$C$4,$Q67='تقرير الفصل الأول'!$C$7),COUNT(U$4:U66)+1,"")</f>
        <v/>
      </c>
      <c r="V67">
        <f>IF(AND($A67&lt;&gt;"",$B67&lt;&gt;"",$R67='تقرير الفصل الثاني'!$C$4,$Q67='تقرير الفصل الثاني'!$C$7),COUNT(V$4:V66)+1,"")</f>
        <v/>
      </c>
      <c r="W67">
        <f>IF(AND($A67&lt;&gt;"",$B67&lt;&gt;"",$R67='تقرير سبتمبر'!$C$4,$P67='تقرير سبتمبر'!$C$6),COUNT(W$4:W66)+1,"")</f>
        <v/>
      </c>
      <c r="X67">
        <f>IF(AND($A67&lt;&gt;"",$B67&lt;&gt;"",$R67='تقرير أكتوبر'!$C$4,$P67='تقرير أكتوبر'!$C$6),COUNT(X$4:X66)+1,"")</f>
        <v/>
      </c>
      <c r="Y67">
        <f>IF(AND($A67&lt;&gt;"",$B67&lt;&gt;"",$R67='تقرير نوفمبر'!$C$4,$P67='تقرير نوفمبر'!$C$6),COUNT(Y$4:Y66)+1,"")</f>
        <v/>
      </c>
      <c r="Z67">
        <f>IF(AND($A67&lt;&gt;"",$B67&lt;&gt;"",$R67='تقرير ديسمبر'!$C$4,$P67='تقرير ديسمبر'!$C$6),COUNT(Z$4:Z66)+1,"")</f>
        <v/>
      </c>
      <c r="AA67">
        <f>IF(AND($A67&lt;&gt;"",$B67&lt;&gt;"",$R67='تقرير يناير'!$C$4,$P67='تقرير يناير'!$C$6),COUNT(AA$4:AA66)+1,"")</f>
        <v/>
      </c>
      <c r="AB67">
        <f>IF(AND($A67&lt;&gt;"",$B67&lt;&gt;"",$R67='تقرير فبراير'!$C$4,$P67='تقرير فبراير'!$C$6),COUNT(AB$4:AB66)+1,"")</f>
        <v/>
      </c>
      <c r="AC67">
        <f>IF(AND($A67&lt;&gt;"",$B67&lt;&gt;"",$R67='تقرير مارس'!$C$4,$P67='تقرير مارس'!$C$6),COUNT(AC$4:AC66)+1,"")</f>
        <v/>
      </c>
      <c r="AD67">
        <f>IF(AND($A67&lt;&gt;"",$B67&lt;&gt;"",$R67='تقرير أبريل'!$C$4,$P67='تقرير أبريل'!$C$6),COUNT(AD$4:AD66)+1,"")</f>
        <v/>
      </c>
      <c r="AE67">
        <f>IF(AND($A67&lt;&gt;"",$B67&lt;&gt;"",$R67='تقرير مايو'!$C$4,$P67='تقرير مايو'!$C$6),COUNT(AE$4:AE66)+1,"")</f>
        <v/>
      </c>
    </row>
    <row r="68">
      <c r="A68" s="16" t="n"/>
      <c r="B68" s="17" t="n"/>
      <c r="C68" s="17" t="n"/>
      <c r="D68" s="18" t="n"/>
      <c r="E68" s="17" t="n"/>
      <c r="F68" s="17" t="n"/>
      <c r="G68" s="19" t="n"/>
      <c r="H68" s="17" t="n"/>
      <c r="I68" s="17" t="n"/>
      <c r="J68" s="17" t="n"/>
      <c r="K68" s="20">
        <f>IF($B68="","",IFERROR(INDEX(الموظفات!$A$5:$A$304,MATCH($B68,الموظفات!$B$5:$B$304,0))&amp;"",""))</f>
        <v/>
      </c>
      <c r="L68" s="21">
        <f>IF($B68="","",IFERROR(INDEX(الموظفات!$C$5:$C$304,MATCH($B68,الموظفات!$B$5:$B$304,0))&amp;"",""))</f>
        <v/>
      </c>
      <c r="M68" s="20">
        <f>IF($B68="","",IFERROR(INDEX(الموظفات!$D$5:$D$304,MATCH($B68,الموظفات!$B$5:$B$304,0))&amp;"",""))</f>
        <v/>
      </c>
      <c r="N68" s="20">
        <f>IF($B68="","",IFERROR(INDEX(الموظفات!$E$5:$E$304,MATCH($B68,الموظفات!$B$5:$B$304,0))&amp;"",""))</f>
        <v/>
      </c>
      <c r="O68" s="21">
        <f>IF(C68="","",IFERROR(INDEX(الإعدادات!$D$7:$D$35,MATCH(C68,الإعدادات!$A$7:$A$35,0))&amp;"",""))</f>
        <v/>
      </c>
      <c r="P68" s="20">
        <f>IF(A68="","",INDEX(الإعدادات!$H$7:$H$18,MONTH(A68)))</f>
        <v/>
      </c>
      <c r="Q68" s="20">
        <f>IF(A68="","",INDEX(الإعدادات!$I$7:$I$18,MONTH(A68)))</f>
        <v/>
      </c>
      <c r="R68" s="20">
        <f>IF(A68="","",IF(MONTH(A68)&gt;=8,YEAR(A68)&amp;"-"&amp;(YEAR(A68)+1),(YEAR(A68)-1)&amp;"-"&amp;YEAR(A68)))</f>
        <v/>
      </c>
      <c r="S68" s="20">
        <f>IF(OR(A68="",B68=""),0,IF(AND(R68=التقارير!$C$4,OR(التقارير!$C$5="سنوي",AND(التقارير!$C$5="شهري",P68=التقارير!$C$6),AND(التقارير!$C$5="فصلي",Q68=التقارير!$C$7))),1,0))</f>
        <v/>
      </c>
      <c r="T68" s="20">
        <f>IF(S68=1,COUNTIF($S$5:S68,1),"")</f>
        <v/>
      </c>
      <c r="U68">
        <f>IF(AND($A68&lt;&gt;"",$B68&lt;&gt;"",$R68='تقرير الفصل الأول'!$C$4,$Q68='تقرير الفصل الأول'!$C$7),COUNT(U$4:U67)+1,"")</f>
        <v/>
      </c>
      <c r="V68">
        <f>IF(AND($A68&lt;&gt;"",$B68&lt;&gt;"",$R68='تقرير الفصل الثاني'!$C$4,$Q68='تقرير الفصل الثاني'!$C$7),COUNT(V$4:V67)+1,"")</f>
        <v/>
      </c>
      <c r="W68">
        <f>IF(AND($A68&lt;&gt;"",$B68&lt;&gt;"",$R68='تقرير سبتمبر'!$C$4,$P68='تقرير سبتمبر'!$C$6),COUNT(W$4:W67)+1,"")</f>
        <v/>
      </c>
      <c r="X68">
        <f>IF(AND($A68&lt;&gt;"",$B68&lt;&gt;"",$R68='تقرير أكتوبر'!$C$4,$P68='تقرير أكتوبر'!$C$6),COUNT(X$4:X67)+1,"")</f>
        <v/>
      </c>
      <c r="Y68">
        <f>IF(AND($A68&lt;&gt;"",$B68&lt;&gt;"",$R68='تقرير نوفمبر'!$C$4,$P68='تقرير نوفمبر'!$C$6),COUNT(Y$4:Y67)+1,"")</f>
        <v/>
      </c>
      <c r="Z68">
        <f>IF(AND($A68&lt;&gt;"",$B68&lt;&gt;"",$R68='تقرير ديسمبر'!$C$4,$P68='تقرير ديسمبر'!$C$6),COUNT(Z$4:Z67)+1,"")</f>
        <v/>
      </c>
      <c r="AA68">
        <f>IF(AND($A68&lt;&gt;"",$B68&lt;&gt;"",$R68='تقرير يناير'!$C$4,$P68='تقرير يناير'!$C$6),COUNT(AA$4:AA67)+1,"")</f>
        <v/>
      </c>
      <c r="AB68">
        <f>IF(AND($A68&lt;&gt;"",$B68&lt;&gt;"",$R68='تقرير فبراير'!$C$4,$P68='تقرير فبراير'!$C$6),COUNT(AB$4:AB67)+1,"")</f>
        <v/>
      </c>
      <c r="AC68">
        <f>IF(AND($A68&lt;&gt;"",$B68&lt;&gt;"",$R68='تقرير مارس'!$C$4,$P68='تقرير مارس'!$C$6),COUNT(AC$4:AC67)+1,"")</f>
        <v/>
      </c>
      <c r="AD68">
        <f>IF(AND($A68&lt;&gt;"",$B68&lt;&gt;"",$R68='تقرير أبريل'!$C$4,$P68='تقرير أبريل'!$C$6),COUNT(AD$4:AD67)+1,"")</f>
        <v/>
      </c>
      <c r="AE68">
        <f>IF(AND($A68&lt;&gt;"",$B68&lt;&gt;"",$R68='تقرير مايو'!$C$4,$P68='تقرير مايو'!$C$6),COUNT(AE$4:AE67)+1,"")</f>
        <v/>
      </c>
    </row>
    <row r="69">
      <c r="A69" s="16" t="n"/>
      <c r="B69" s="17" t="n"/>
      <c r="C69" s="17" t="n"/>
      <c r="D69" s="18" t="n"/>
      <c r="E69" s="17" t="n"/>
      <c r="F69" s="17" t="n"/>
      <c r="G69" s="19" t="n"/>
      <c r="H69" s="17" t="n"/>
      <c r="I69" s="17" t="n"/>
      <c r="J69" s="17" t="n"/>
      <c r="K69" s="20">
        <f>IF($B69="","",IFERROR(INDEX(الموظفات!$A$5:$A$304,MATCH($B69,الموظفات!$B$5:$B$304,0))&amp;"",""))</f>
        <v/>
      </c>
      <c r="L69" s="21">
        <f>IF($B69="","",IFERROR(INDEX(الموظفات!$C$5:$C$304,MATCH($B69,الموظفات!$B$5:$B$304,0))&amp;"",""))</f>
        <v/>
      </c>
      <c r="M69" s="20">
        <f>IF($B69="","",IFERROR(INDEX(الموظفات!$D$5:$D$304,MATCH($B69,الموظفات!$B$5:$B$304,0))&amp;"",""))</f>
        <v/>
      </c>
      <c r="N69" s="20">
        <f>IF($B69="","",IFERROR(INDEX(الموظفات!$E$5:$E$304,MATCH($B69,الموظفات!$B$5:$B$304,0))&amp;"",""))</f>
        <v/>
      </c>
      <c r="O69" s="21">
        <f>IF(C69="","",IFERROR(INDEX(الإعدادات!$D$7:$D$35,MATCH(C69,الإعدادات!$A$7:$A$35,0))&amp;"",""))</f>
        <v/>
      </c>
      <c r="P69" s="20">
        <f>IF(A69="","",INDEX(الإعدادات!$H$7:$H$18,MONTH(A69)))</f>
        <v/>
      </c>
      <c r="Q69" s="20">
        <f>IF(A69="","",INDEX(الإعدادات!$I$7:$I$18,MONTH(A69)))</f>
        <v/>
      </c>
      <c r="R69" s="20">
        <f>IF(A69="","",IF(MONTH(A69)&gt;=8,YEAR(A69)&amp;"-"&amp;(YEAR(A69)+1),(YEAR(A69)-1)&amp;"-"&amp;YEAR(A69)))</f>
        <v/>
      </c>
      <c r="S69" s="20">
        <f>IF(OR(A69="",B69=""),0,IF(AND(R69=التقارير!$C$4,OR(التقارير!$C$5="سنوي",AND(التقارير!$C$5="شهري",P69=التقارير!$C$6),AND(التقارير!$C$5="فصلي",Q69=التقارير!$C$7))),1,0))</f>
        <v/>
      </c>
      <c r="T69" s="20">
        <f>IF(S69=1,COUNTIF($S$5:S69,1),"")</f>
        <v/>
      </c>
      <c r="U69">
        <f>IF(AND($A69&lt;&gt;"",$B69&lt;&gt;"",$R69='تقرير الفصل الأول'!$C$4,$Q69='تقرير الفصل الأول'!$C$7),COUNT(U$4:U68)+1,"")</f>
        <v/>
      </c>
      <c r="V69">
        <f>IF(AND($A69&lt;&gt;"",$B69&lt;&gt;"",$R69='تقرير الفصل الثاني'!$C$4,$Q69='تقرير الفصل الثاني'!$C$7),COUNT(V$4:V68)+1,"")</f>
        <v/>
      </c>
      <c r="W69">
        <f>IF(AND($A69&lt;&gt;"",$B69&lt;&gt;"",$R69='تقرير سبتمبر'!$C$4,$P69='تقرير سبتمبر'!$C$6),COUNT(W$4:W68)+1,"")</f>
        <v/>
      </c>
      <c r="X69">
        <f>IF(AND($A69&lt;&gt;"",$B69&lt;&gt;"",$R69='تقرير أكتوبر'!$C$4,$P69='تقرير أكتوبر'!$C$6),COUNT(X$4:X68)+1,"")</f>
        <v/>
      </c>
      <c r="Y69">
        <f>IF(AND($A69&lt;&gt;"",$B69&lt;&gt;"",$R69='تقرير نوفمبر'!$C$4,$P69='تقرير نوفمبر'!$C$6),COUNT(Y$4:Y68)+1,"")</f>
        <v/>
      </c>
      <c r="Z69">
        <f>IF(AND($A69&lt;&gt;"",$B69&lt;&gt;"",$R69='تقرير ديسمبر'!$C$4,$P69='تقرير ديسمبر'!$C$6),COUNT(Z$4:Z68)+1,"")</f>
        <v/>
      </c>
      <c r="AA69">
        <f>IF(AND($A69&lt;&gt;"",$B69&lt;&gt;"",$R69='تقرير يناير'!$C$4,$P69='تقرير يناير'!$C$6),COUNT(AA$4:AA68)+1,"")</f>
        <v/>
      </c>
      <c r="AB69">
        <f>IF(AND($A69&lt;&gt;"",$B69&lt;&gt;"",$R69='تقرير فبراير'!$C$4,$P69='تقرير فبراير'!$C$6),COUNT(AB$4:AB68)+1,"")</f>
        <v/>
      </c>
      <c r="AC69">
        <f>IF(AND($A69&lt;&gt;"",$B69&lt;&gt;"",$R69='تقرير مارس'!$C$4,$P69='تقرير مارس'!$C$6),COUNT(AC$4:AC68)+1,"")</f>
        <v/>
      </c>
      <c r="AD69">
        <f>IF(AND($A69&lt;&gt;"",$B69&lt;&gt;"",$R69='تقرير أبريل'!$C$4,$P69='تقرير أبريل'!$C$6),COUNT(AD$4:AD68)+1,"")</f>
        <v/>
      </c>
      <c r="AE69">
        <f>IF(AND($A69&lt;&gt;"",$B69&lt;&gt;"",$R69='تقرير مايو'!$C$4,$P69='تقرير مايو'!$C$6),COUNT(AE$4:AE68)+1,"")</f>
        <v/>
      </c>
    </row>
    <row r="70">
      <c r="A70" s="16" t="n"/>
      <c r="B70" s="17" t="n"/>
      <c r="C70" s="17" t="n"/>
      <c r="D70" s="18" t="n"/>
      <c r="E70" s="17" t="n"/>
      <c r="F70" s="17" t="n"/>
      <c r="G70" s="19" t="n"/>
      <c r="H70" s="17" t="n"/>
      <c r="I70" s="17" t="n"/>
      <c r="J70" s="17" t="n"/>
      <c r="K70" s="20">
        <f>IF($B70="","",IFERROR(INDEX(الموظفات!$A$5:$A$304,MATCH($B70,الموظفات!$B$5:$B$304,0))&amp;"",""))</f>
        <v/>
      </c>
      <c r="L70" s="21">
        <f>IF($B70="","",IFERROR(INDEX(الموظفات!$C$5:$C$304,MATCH($B70,الموظفات!$B$5:$B$304,0))&amp;"",""))</f>
        <v/>
      </c>
      <c r="M70" s="20">
        <f>IF($B70="","",IFERROR(INDEX(الموظفات!$D$5:$D$304,MATCH($B70,الموظفات!$B$5:$B$304,0))&amp;"",""))</f>
        <v/>
      </c>
      <c r="N70" s="20">
        <f>IF($B70="","",IFERROR(INDEX(الموظفات!$E$5:$E$304,MATCH($B70,الموظفات!$B$5:$B$304,0))&amp;"",""))</f>
        <v/>
      </c>
      <c r="O70" s="21">
        <f>IF(C70="","",IFERROR(INDEX(الإعدادات!$D$7:$D$35,MATCH(C70,الإعدادات!$A$7:$A$35,0))&amp;"",""))</f>
        <v/>
      </c>
      <c r="P70" s="20">
        <f>IF(A70="","",INDEX(الإعدادات!$H$7:$H$18,MONTH(A70)))</f>
        <v/>
      </c>
      <c r="Q70" s="20">
        <f>IF(A70="","",INDEX(الإعدادات!$I$7:$I$18,MONTH(A70)))</f>
        <v/>
      </c>
      <c r="R70" s="20">
        <f>IF(A70="","",IF(MONTH(A70)&gt;=8,YEAR(A70)&amp;"-"&amp;(YEAR(A70)+1),(YEAR(A70)-1)&amp;"-"&amp;YEAR(A70)))</f>
        <v/>
      </c>
      <c r="S70" s="20">
        <f>IF(OR(A70="",B70=""),0,IF(AND(R70=التقارير!$C$4,OR(التقارير!$C$5="سنوي",AND(التقارير!$C$5="شهري",P70=التقارير!$C$6),AND(التقارير!$C$5="فصلي",Q70=التقارير!$C$7))),1,0))</f>
        <v/>
      </c>
      <c r="T70" s="20">
        <f>IF(S70=1,COUNTIF($S$5:S70,1),"")</f>
        <v/>
      </c>
      <c r="U70">
        <f>IF(AND($A70&lt;&gt;"",$B70&lt;&gt;"",$R70='تقرير الفصل الأول'!$C$4,$Q70='تقرير الفصل الأول'!$C$7),COUNT(U$4:U69)+1,"")</f>
        <v/>
      </c>
      <c r="V70">
        <f>IF(AND($A70&lt;&gt;"",$B70&lt;&gt;"",$R70='تقرير الفصل الثاني'!$C$4,$Q70='تقرير الفصل الثاني'!$C$7),COUNT(V$4:V69)+1,"")</f>
        <v/>
      </c>
      <c r="W70">
        <f>IF(AND($A70&lt;&gt;"",$B70&lt;&gt;"",$R70='تقرير سبتمبر'!$C$4,$P70='تقرير سبتمبر'!$C$6),COUNT(W$4:W69)+1,"")</f>
        <v/>
      </c>
      <c r="X70">
        <f>IF(AND($A70&lt;&gt;"",$B70&lt;&gt;"",$R70='تقرير أكتوبر'!$C$4,$P70='تقرير أكتوبر'!$C$6),COUNT(X$4:X69)+1,"")</f>
        <v/>
      </c>
      <c r="Y70">
        <f>IF(AND($A70&lt;&gt;"",$B70&lt;&gt;"",$R70='تقرير نوفمبر'!$C$4,$P70='تقرير نوفمبر'!$C$6),COUNT(Y$4:Y69)+1,"")</f>
        <v/>
      </c>
      <c r="Z70">
        <f>IF(AND($A70&lt;&gt;"",$B70&lt;&gt;"",$R70='تقرير ديسمبر'!$C$4,$P70='تقرير ديسمبر'!$C$6),COUNT(Z$4:Z69)+1,"")</f>
        <v/>
      </c>
      <c r="AA70">
        <f>IF(AND($A70&lt;&gt;"",$B70&lt;&gt;"",$R70='تقرير يناير'!$C$4,$P70='تقرير يناير'!$C$6),COUNT(AA$4:AA69)+1,"")</f>
        <v/>
      </c>
      <c r="AB70">
        <f>IF(AND($A70&lt;&gt;"",$B70&lt;&gt;"",$R70='تقرير فبراير'!$C$4,$P70='تقرير فبراير'!$C$6),COUNT(AB$4:AB69)+1,"")</f>
        <v/>
      </c>
      <c r="AC70">
        <f>IF(AND($A70&lt;&gt;"",$B70&lt;&gt;"",$R70='تقرير مارس'!$C$4,$P70='تقرير مارس'!$C$6),COUNT(AC$4:AC69)+1,"")</f>
        <v/>
      </c>
      <c r="AD70">
        <f>IF(AND($A70&lt;&gt;"",$B70&lt;&gt;"",$R70='تقرير أبريل'!$C$4,$P70='تقرير أبريل'!$C$6),COUNT(AD$4:AD69)+1,"")</f>
        <v/>
      </c>
      <c r="AE70">
        <f>IF(AND($A70&lt;&gt;"",$B70&lt;&gt;"",$R70='تقرير مايو'!$C$4,$P70='تقرير مايو'!$C$6),COUNT(AE$4:AE69)+1,"")</f>
        <v/>
      </c>
    </row>
    <row r="71">
      <c r="A71" s="16" t="n"/>
      <c r="B71" s="17" t="n"/>
      <c r="C71" s="17" t="n"/>
      <c r="D71" s="18" t="n"/>
      <c r="E71" s="17" t="n"/>
      <c r="F71" s="17" t="n"/>
      <c r="G71" s="19" t="n"/>
      <c r="H71" s="17" t="n"/>
      <c r="I71" s="17" t="n"/>
      <c r="J71" s="17" t="n"/>
      <c r="K71" s="20">
        <f>IF($B71="","",IFERROR(INDEX(الموظفات!$A$5:$A$304,MATCH($B71,الموظفات!$B$5:$B$304,0))&amp;"",""))</f>
        <v/>
      </c>
      <c r="L71" s="21">
        <f>IF($B71="","",IFERROR(INDEX(الموظفات!$C$5:$C$304,MATCH($B71,الموظفات!$B$5:$B$304,0))&amp;"",""))</f>
        <v/>
      </c>
      <c r="M71" s="20">
        <f>IF($B71="","",IFERROR(INDEX(الموظفات!$D$5:$D$304,MATCH($B71,الموظفات!$B$5:$B$304,0))&amp;"",""))</f>
        <v/>
      </c>
      <c r="N71" s="20">
        <f>IF($B71="","",IFERROR(INDEX(الموظفات!$E$5:$E$304,MATCH($B71,الموظفات!$B$5:$B$304,0))&amp;"",""))</f>
        <v/>
      </c>
      <c r="O71" s="21">
        <f>IF(C71="","",IFERROR(INDEX(الإعدادات!$D$7:$D$35,MATCH(C71,الإعدادات!$A$7:$A$35,0))&amp;"",""))</f>
        <v/>
      </c>
      <c r="P71" s="20">
        <f>IF(A71="","",INDEX(الإعدادات!$H$7:$H$18,MONTH(A71)))</f>
        <v/>
      </c>
      <c r="Q71" s="20">
        <f>IF(A71="","",INDEX(الإعدادات!$I$7:$I$18,MONTH(A71)))</f>
        <v/>
      </c>
      <c r="R71" s="20">
        <f>IF(A71="","",IF(MONTH(A71)&gt;=8,YEAR(A71)&amp;"-"&amp;(YEAR(A71)+1),(YEAR(A71)-1)&amp;"-"&amp;YEAR(A71)))</f>
        <v/>
      </c>
      <c r="S71" s="20">
        <f>IF(OR(A71="",B71=""),0,IF(AND(R71=التقارير!$C$4,OR(التقارير!$C$5="سنوي",AND(التقارير!$C$5="شهري",P71=التقارير!$C$6),AND(التقارير!$C$5="فصلي",Q71=التقارير!$C$7))),1,0))</f>
        <v/>
      </c>
      <c r="T71" s="20">
        <f>IF(S71=1,COUNTIF($S$5:S71,1),"")</f>
        <v/>
      </c>
      <c r="U71">
        <f>IF(AND($A71&lt;&gt;"",$B71&lt;&gt;"",$R71='تقرير الفصل الأول'!$C$4,$Q71='تقرير الفصل الأول'!$C$7),COUNT(U$4:U70)+1,"")</f>
        <v/>
      </c>
      <c r="V71">
        <f>IF(AND($A71&lt;&gt;"",$B71&lt;&gt;"",$R71='تقرير الفصل الثاني'!$C$4,$Q71='تقرير الفصل الثاني'!$C$7),COUNT(V$4:V70)+1,"")</f>
        <v/>
      </c>
      <c r="W71">
        <f>IF(AND($A71&lt;&gt;"",$B71&lt;&gt;"",$R71='تقرير سبتمبر'!$C$4,$P71='تقرير سبتمبر'!$C$6),COUNT(W$4:W70)+1,"")</f>
        <v/>
      </c>
      <c r="X71">
        <f>IF(AND($A71&lt;&gt;"",$B71&lt;&gt;"",$R71='تقرير أكتوبر'!$C$4,$P71='تقرير أكتوبر'!$C$6),COUNT(X$4:X70)+1,"")</f>
        <v/>
      </c>
      <c r="Y71">
        <f>IF(AND($A71&lt;&gt;"",$B71&lt;&gt;"",$R71='تقرير نوفمبر'!$C$4,$P71='تقرير نوفمبر'!$C$6),COUNT(Y$4:Y70)+1,"")</f>
        <v/>
      </c>
      <c r="Z71">
        <f>IF(AND($A71&lt;&gt;"",$B71&lt;&gt;"",$R71='تقرير ديسمبر'!$C$4,$P71='تقرير ديسمبر'!$C$6),COUNT(Z$4:Z70)+1,"")</f>
        <v/>
      </c>
      <c r="AA71">
        <f>IF(AND($A71&lt;&gt;"",$B71&lt;&gt;"",$R71='تقرير يناير'!$C$4,$P71='تقرير يناير'!$C$6),COUNT(AA$4:AA70)+1,"")</f>
        <v/>
      </c>
      <c r="AB71">
        <f>IF(AND($A71&lt;&gt;"",$B71&lt;&gt;"",$R71='تقرير فبراير'!$C$4,$P71='تقرير فبراير'!$C$6),COUNT(AB$4:AB70)+1,"")</f>
        <v/>
      </c>
      <c r="AC71">
        <f>IF(AND($A71&lt;&gt;"",$B71&lt;&gt;"",$R71='تقرير مارس'!$C$4,$P71='تقرير مارس'!$C$6),COUNT(AC$4:AC70)+1,"")</f>
        <v/>
      </c>
      <c r="AD71">
        <f>IF(AND($A71&lt;&gt;"",$B71&lt;&gt;"",$R71='تقرير أبريل'!$C$4,$P71='تقرير أبريل'!$C$6),COUNT(AD$4:AD70)+1,"")</f>
        <v/>
      </c>
      <c r="AE71">
        <f>IF(AND($A71&lt;&gt;"",$B71&lt;&gt;"",$R71='تقرير مايو'!$C$4,$P71='تقرير مايو'!$C$6),COUNT(AE$4:AE70)+1,"")</f>
        <v/>
      </c>
    </row>
    <row r="72">
      <c r="A72" s="16" t="n"/>
      <c r="B72" s="17" t="n"/>
      <c r="C72" s="17" t="n"/>
      <c r="D72" s="18" t="n"/>
      <c r="E72" s="17" t="n"/>
      <c r="F72" s="17" t="n"/>
      <c r="G72" s="19" t="n"/>
      <c r="H72" s="17" t="n"/>
      <c r="I72" s="17" t="n"/>
      <c r="J72" s="17" t="n"/>
      <c r="K72" s="20">
        <f>IF($B72="","",IFERROR(INDEX(الموظفات!$A$5:$A$304,MATCH($B72,الموظفات!$B$5:$B$304,0))&amp;"",""))</f>
        <v/>
      </c>
      <c r="L72" s="21">
        <f>IF($B72="","",IFERROR(INDEX(الموظفات!$C$5:$C$304,MATCH($B72,الموظفات!$B$5:$B$304,0))&amp;"",""))</f>
        <v/>
      </c>
      <c r="M72" s="20">
        <f>IF($B72="","",IFERROR(INDEX(الموظفات!$D$5:$D$304,MATCH($B72,الموظفات!$B$5:$B$304,0))&amp;"",""))</f>
        <v/>
      </c>
      <c r="N72" s="20">
        <f>IF($B72="","",IFERROR(INDEX(الموظفات!$E$5:$E$304,MATCH($B72,الموظفات!$B$5:$B$304,0))&amp;"",""))</f>
        <v/>
      </c>
      <c r="O72" s="21">
        <f>IF(C72="","",IFERROR(INDEX(الإعدادات!$D$7:$D$35,MATCH(C72,الإعدادات!$A$7:$A$35,0))&amp;"",""))</f>
        <v/>
      </c>
      <c r="P72" s="20">
        <f>IF(A72="","",INDEX(الإعدادات!$H$7:$H$18,MONTH(A72)))</f>
        <v/>
      </c>
      <c r="Q72" s="20">
        <f>IF(A72="","",INDEX(الإعدادات!$I$7:$I$18,MONTH(A72)))</f>
        <v/>
      </c>
      <c r="R72" s="20">
        <f>IF(A72="","",IF(MONTH(A72)&gt;=8,YEAR(A72)&amp;"-"&amp;(YEAR(A72)+1),(YEAR(A72)-1)&amp;"-"&amp;YEAR(A72)))</f>
        <v/>
      </c>
      <c r="S72" s="20">
        <f>IF(OR(A72="",B72=""),0,IF(AND(R72=التقارير!$C$4,OR(التقارير!$C$5="سنوي",AND(التقارير!$C$5="شهري",P72=التقارير!$C$6),AND(التقارير!$C$5="فصلي",Q72=التقارير!$C$7))),1,0))</f>
        <v/>
      </c>
      <c r="T72" s="20">
        <f>IF(S72=1,COUNTIF($S$5:S72,1),"")</f>
        <v/>
      </c>
      <c r="U72">
        <f>IF(AND($A72&lt;&gt;"",$B72&lt;&gt;"",$R72='تقرير الفصل الأول'!$C$4,$Q72='تقرير الفصل الأول'!$C$7),COUNT(U$4:U71)+1,"")</f>
        <v/>
      </c>
      <c r="V72">
        <f>IF(AND($A72&lt;&gt;"",$B72&lt;&gt;"",$R72='تقرير الفصل الثاني'!$C$4,$Q72='تقرير الفصل الثاني'!$C$7),COUNT(V$4:V71)+1,"")</f>
        <v/>
      </c>
      <c r="W72">
        <f>IF(AND($A72&lt;&gt;"",$B72&lt;&gt;"",$R72='تقرير سبتمبر'!$C$4,$P72='تقرير سبتمبر'!$C$6),COUNT(W$4:W71)+1,"")</f>
        <v/>
      </c>
      <c r="X72">
        <f>IF(AND($A72&lt;&gt;"",$B72&lt;&gt;"",$R72='تقرير أكتوبر'!$C$4,$P72='تقرير أكتوبر'!$C$6),COUNT(X$4:X71)+1,"")</f>
        <v/>
      </c>
      <c r="Y72">
        <f>IF(AND($A72&lt;&gt;"",$B72&lt;&gt;"",$R72='تقرير نوفمبر'!$C$4,$P72='تقرير نوفمبر'!$C$6),COUNT(Y$4:Y71)+1,"")</f>
        <v/>
      </c>
      <c r="Z72">
        <f>IF(AND($A72&lt;&gt;"",$B72&lt;&gt;"",$R72='تقرير ديسمبر'!$C$4,$P72='تقرير ديسمبر'!$C$6),COUNT(Z$4:Z71)+1,"")</f>
        <v/>
      </c>
      <c r="AA72">
        <f>IF(AND($A72&lt;&gt;"",$B72&lt;&gt;"",$R72='تقرير يناير'!$C$4,$P72='تقرير يناير'!$C$6),COUNT(AA$4:AA71)+1,"")</f>
        <v/>
      </c>
      <c r="AB72">
        <f>IF(AND($A72&lt;&gt;"",$B72&lt;&gt;"",$R72='تقرير فبراير'!$C$4,$P72='تقرير فبراير'!$C$6),COUNT(AB$4:AB71)+1,"")</f>
        <v/>
      </c>
      <c r="AC72">
        <f>IF(AND($A72&lt;&gt;"",$B72&lt;&gt;"",$R72='تقرير مارس'!$C$4,$P72='تقرير مارس'!$C$6),COUNT(AC$4:AC71)+1,"")</f>
        <v/>
      </c>
      <c r="AD72">
        <f>IF(AND($A72&lt;&gt;"",$B72&lt;&gt;"",$R72='تقرير أبريل'!$C$4,$P72='تقرير أبريل'!$C$6),COUNT(AD$4:AD71)+1,"")</f>
        <v/>
      </c>
      <c r="AE72">
        <f>IF(AND($A72&lt;&gt;"",$B72&lt;&gt;"",$R72='تقرير مايو'!$C$4,$P72='تقرير مايو'!$C$6),COUNT(AE$4:AE71)+1,"")</f>
        <v/>
      </c>
    </row>
    <row r="73">
      <c r="A73" s="16" t="n"/>
      <c r="B73" s="17" t="n"/>
      <c r="C73" s="17" t="n"/>
      <c r="D73" s="18" t="n"/>
      <c r="E73" s="17" t="n"/>
      <c r="F73" s="17" t="n"/>
      <c r="G73" s="19" t="n"/>
      <c r="H73" s="17" t="n"/>
      <c r="I73" s="17" t="n"/>
      <c r="J73" s="17" t="n"/>
      <c r="K73" s="20">
        <f>IF($B73="","",IFERROR(INDEX(الموظفات!$A$5:$A$304,MATCH($B73,الموظفات!$B$5:$B$304,0))&amp;"",""))</f>
        <v/>
      </c>
      <c r="L73" s="21">
        <f>IF($B73="","",IFERROR(INDEX(الموظفات!$C$5:$C$304,MATCH($B73,الموظفات!$B$5:$B$304,0))&amp;"",""))</f>
        <v/>
      </c>
      <c r="M73" s="20">
        <f>IF($B73="","",IFERROR(INDEX(الموظفات!$D$5:$D$304,MATCH($B73,الموظفات!$B$5:$B$304,0))&amp;"",""))</f>
        <v/>
      </c>
      <c r="N73" s="20">
        <f>IF($B73="","",IFERROR(INDEX(الموظفات!$E$5:$E$304,MATCH($B73,الموظفات!$B$5:$B$304,0))&amp;"",""))</f>
        <v/>
      </c>
      <c r="O73" s="21">
        <f>IF(C73="","",IFERROR(INDEX(الإعدادات!$D$7:$D$35,MATCH(C73,الإعدادات!$A$7:$A$35,0))&amp;"",""))</f>
        <v/>
      </c>
      <c r="P73" s="20">
        <f>IF(A73="","",INDEX(الإعدادات!$H$7:$H$18,MONTH(A73)))</f>
        <v/>
      </c>
      <c r="Q73" s="20">
        <f>IF(A73="","",INDEX(الإعدادات!$I$7:$I$18,MONTH(A73)))</f>
        <v/>
      </c>
      <c r="R73" s="20">
        <f>IF(A73="","",IF(MONTH(A73)&gt;=8,YEAR(A73)&amp;"-"&amp;(YEAR(A73)+1),(YEAR(A73)-1)&amp;"-"&amp;YEAR(A73)))</f>
        <v/>
      </c>
      <c r="S73" s="20">
        <f>IF(OR(A73="",B73=""),0,IF(AND(R73=التقارير!$C$4,OR(التقارير!$C$5="سنوي",AND(التقارير!$C$5="شهري",P73=التقارير!$C$6),AND(التقارير!$C$5="فصلي",Q73=التقارير!$C$7))),1,0))</f>
        <v/>
      </c>
      <c r="T73" s="20">
        <f>IF(S73=1,COUNTIF($S$5:S73,1),"")</f>
        <v/>
      </c>
      <c r="U73">
        <f>IF(AND($A73&lt;&gt;"",$B73&lt;&gt;"",$R73='تقرير الفصل الأول'!$C$4,$Q73='تقرير الفصل الأول'!$C$7),COUNT(U$4:U72)+1,"")</f>
        <v/>
      </c>
      <c r="V73">
        <f>IF(AND($A73&lt;&gt;"",$B73&lt;&gt;"",$R73='تقرير الفصل الثاني'!$C$4,$Q73='تقرير الفصل الثاني'!$C$7),COUNT(V$4:V72)+1,"")</f>
        <v/>
      </c>
      <c r="W73">
        <f>IF(AND($A73&lt;&gt;"",$B73&lt;&gt;"",$R73='تقرير سبتمبر'!$C$4,$P73='تقرير سبتمبر'!$C$6),COUNT(W$4:W72)+1,"")</f>
        <v/>
      </c>
      <c r="X73">
        <f>IF(AND($A73&lt;&gt;"",$B73&lt;&gt;"",$R73='تقرير أكتوبر'!$C$4,$P73='تقرير أكتوبر'!$C$6),COUNT(X$4:X72)+1,"")</f>
        <v/>
      </c>
      <c r="Y73">
        <f>IF(AND($A73&lt;&gt;"",$B73&lt;&gt;"",$R73='تقرير نوفمبر'!$C$4,$P73='تقرير نوفمبر'!$C$6),COUNT(Y$4:Y72)+1,"")</f>
        <v/>
      </c>
      <c r="Z73">
        <f>IF(AND($A73&lt;&gt;"",$B73&lt;&gt;"",$R73='تقرير ديسمبر'!$C$4,$P73='تقرير ديسمبر'!$C$6),COUNT(Z$4:Z72)+1,"")</f>
        <v/>
      </c>
      <c r="AA73">
        <f>IF(AND($A73&lt;&gt;"",$B73&lt;&gt;"",$R73='تقرير يناير'!$C$4,$P73='تقرير يناير'!$C$6),COUNT(AA$4:AA72)+1,"")</f>
        <v/>
      </c>
      <c r="AB73">
        <f>IF(AND($A73&lt;&gt;"",$B73&lt;&gt;"",$R73='تقرير فبراير'!$C$4,$P73='تقرير فبراير'!$C$6),COUNT(AB$4:AB72)+1,"")</f>
        <v/>
      </c>
      <c r="AC73">
        <f>IF(AND($A73&lt;&gt;"",$B73&lt;&gt;"",$R73='تقرير مارس'!$C$4,$P73='تقرير مارس'!$C$6),COUNT(AC$4:AC72)+1,"")</f>
        <v/>
      </c>
      <c r="AD73">
        <f>IF(AND($A73&lt;&gt;"",$B73&lt;&gt;"",$R73='تقرير أبريل'!$C$4,$P73='تقرير أبريل'!$C$6),COUNT(AD$4:AD72)+1,"")</f>
        <v/>
      </c>
      <c r="AE73">
        <f>IF(AND($A73&lt;&gt;"",$B73&lt;&gt;"",$R73='تقرير مايو'!$C$4,$P73='تقرير مايو'!$C$6),COUNT(AE$4:AE72)+1,"")</f>
        <v/>
      </c>
    </row>
    <row r="74">
      <c r="A74" s="16" t="n"/>
      <c r="B74" s="17" t="n"/>
      <c r="C74" s="17" t="n"/>
      <c r="D74" s="18" t="n"/>
      <c r="E74" s="17" t="n"/>
      <c r="F74" s="17" t="n"/>
      <c r="G74" s="19" t="n"/>
      <c r="H74" s="17" t="n"/>
      <c r="I74" s="17" t="n"/>
      <c r="J74" s="17" t="n"/>
      <c r="K74" s="20">
        <f>IF($B74="","",IFERROR(INDEX(الموظفات!$A$5:$A$304,MATCH($B74,الموظفات!$B$5:$B$304,0))&amp;"",""))</f>
        <v/>
      </c>
      <c r="L74" s="21">
        <f>IF($B74="","",IFERROR(INDEX(الموظفات!$C$5:$C$304,MATCH($B74,الموظفات!$B$5:$B$304,0))&amp;"",""))</f>
        <v/>
      </c>
      <c r="M74" s="20">
        <f>IF($B74="","",IFERROR(INDEX(الموظفات!$D$5:$D$304,MATCH($B74,الموظفات!$B$5:$B$304,0))&amp;"",""))</f>
        <v/>
      </c>
      <c r="N74" s="20">
        <f>IF($B74="","",IFERROR(INDEX(الموظفات!$E$5:$E$304,MATCH($B74,الموظفات!$B$5:$B$304,0))&amp;"",""))</f>
        <v/>
      </c>
      <c r="O74" s="21">
        <f>IF(C74="","",IFERROR(INDEX(الإعدادات!$D$7:$D$35,MATCH(C74,الإعدادات!$A$7:$A$35,0))&amp;"",""))</f>
        <v/>
      </c>
      <c r="P74" s="20">
        <f>IF(A74="","",INDEX(الإعدادات!$H$7:$H$18,MONTH(A74)))</f>
        <v/>
      </c>
      <c r="Q74" s="20">
        <f>IF(A74="","",INDEX(الإعدادات!$I$7:$I$18,MONTH(A74)))</f>
        <v/>
      </c>
      <c r="R74" s="20">
        <f>IF(A74="","",IF(MONTH(A74)&gt;=8,YEAR(A74)&amp;"-"&amp;(YEAR(A74)+1),(YEAR(A74)-1)&amp;"-"&amp;YEAR(A74)))</f>
        <v/>
      </c>
      <c r="S74" s="20">
        <f>IF(OR(A74="",B74=""),0,IF(AND(R74=التقارير!$C$4,OR(التقارير!$C$5="سنوي",AND(التقارير!$C$5="شهري",P74=التقارير!$C$6),AND(التقارير!$C$5="فصلي",Q74=التقارير!$C$7))),1,0))</f>
        <v/>
      </c>
      <c r="T74" s="20">
        <f>IF(S74=1,COUNTIF($S$5:S74,1),"")</f>
        <v/>
      </c>
      <c r="U74">
        <f>IF(AND($A74&lt;&gt;"",$B74&lt;&gt;"",$R74='تقرير الفصل الأول'!$C$4,$Q74='تقرير الفصل الأول'!$C$7),COUNT(U$4:U73)+1,"")</f>
        <v/>
      </c>
      <c r="V74">
        <f>IF(AND($A74&lt;&gt;"",$B74&lt;&gt;"",$R74='تقرير الفصل الثاني'!$C$4,$Q74='تقرير الفصل الثاني'!$C$7),COUNT(V$4:V73)+1,"")</f>
        <v/>
      </c>
      <c r="W74">
        <f>IF(AND($A74&lt;&gt;"",$B74&lt;&gt;"",$R74='تقرير سبتمبر'!$C$4,$P74='تقرير سبتمبر'!$C$6),COUNT(W$4:W73)+1,"")</f>
        <v/>
      </c>
      <c r="X74">
        <f>IF(AND($A74&lt;&gt;"",$B74&lt;&gt;"",$R74='تقرير أكتوبر'!$C$4,$P74='تقرير أكتوبر'!$C$6),COUNT(X$4:X73)+1,"")</f>
        <v/>
      </c>
      <c r="Y74">
        <f>IF(AND($A74&lt;&gt;"",$B74&lt;&gt;"",$R74='تقرير نوفمبر'!$C$4,$P74='تقرير نوفمبر'!$C$6),COUNT(Y$4:Y73)+1,"")</f>
        <v/>
      </c>
      <c r="Z74">
        <f>IF(AND($A74&lt;&gt;"",$B74&lt;&gt;"",$R74='تقرير ديسمبر'!$C$4,$P74='تقرير ديسمبر'!$C$6),COUNT(Z$4:Z73)+1,"")</f>
        <v/>
      </c>
      <c r="AA74">
        <f>IF(AND($A74&lt;&gt;"",$B74&lt;&gt;"",$R74='تقرير يناير'!$C$4,$P74='تقرير يناير'!$C$6),COUNT(AA$4:AA73)+1,"")</f>
        <v/>
      </c>
      <c r="AB74">
        <f>IF(AND($A74&lt;&gt;"",$B74&lt;&gt;"",$R74='تقرير فبراير'!$C$4,$P74='تقرير فبراير'!$C$6),COUNT(AB$4:AB73)+1,"")</f>
        <v/>
      </c>
      <c r="AC74">
        <f>IF(AND($A74&lt;&gt;"",$B74&lt;&gt;"",$R74='تقرير مارس'!$C$4,$P74='تقرير مارس'!$C$6),COUNT(AC$4:AC73)+1,"")</f>
        <v/>
      </c>
      <c r="AD74">
        <f>IF(AND($A74&lt;&gt;"",$B74&lt;&gt;"",$R74='تقرير أبريل'!$C$4,$P74='تقرير أبريل'!$C$6),COUNT(AD$4:AD73)+1,"")</f>
        <v/>
      </c>
      <c r="AE74">
        <f>IF(AND($A74&lt;&gt;"",$B74&lt;&gt;"",$R74='تقرير مايو'!$C$4,$P74='تقرير مايو'!$C$6),COUNT(AE$4:AE73)+1,"")</f>
        <v/>
      </c>
    </row>
    <row r="75">
      <c r="A75" s="16" t="n"/>
      <c r="B75" s="17" t="n"/>
      <c r="C75" s="17" t="n"/>
      <c r="D75" s="18" t="n"/>
      <c r="E75" s="17" t="n"/>
      <c r="F75" s="17" t="n"/>
      <c r="G75" s="19" t="n"/>
      <c r="H75" s="17" t="n"/>
      <c r="I75" s="17" t="n"/>
      <c r="J75" s="17" t="n"/>
      <c r="K75" s="20">
        <f>IF($B75="","",IFERROR(INDEX(الموظفات!$A$5:$A$304,MATCH($B75,الموظفات!$B$5:$B$304,0))&amp;"",""))</f>
        <v/>
      </c>
      <c r="L75" s="21">
        <f>IF($B75="","",IFERROR(INDEX(الموظفات!$C$5:$C$304,MATCH($B75,الموظفات!$B$5:$B$304,0))&amp;"",""))</f>
        <v/>
      </c>
      <c r="M75" s="20">
        <f>IF($B75="","",IFERROR(INDEX(الموظفات!$D$5:$D$304,MATCH($B75,الموظفات!$B$5:$B$304,0))&amp;"",""))</f>
        <v/>
      </c>
      <c r="N75" s="20">
        <f>IF($B75="","",IFERROR(INDEX(الموظفات!$E$5:$E$304,MATCH($B75,الموظفات!$B$5:$B$304,0))&amp;"",""))</f>
        <v/>
      </c>
      <c r="O75" s="21">
        <f>IF(C75="","",IFERROR(INDEX(الإعدادات!$D$7:$D$35,MATCH(C75,الإعدادات!$A$7:$A$35,0))&amp;"",""))</f>
        <v/>
      </c>
      <c r="P75" s="20">
        <f>IF(A75="","",INDEX(الإعدادات!$H$7:$H$18,MONTH(A75)))</f>
        <v/>
      </c>
      <c r="Q75" s="20">
        <f>IF(A75="","",INDEX(الإعدادات!$I$7:$I$18,MONTH(A75)))</f>
        <v/>
      </c>
      <c r="R75" s="20">
        <f>IF(A75="","",IF(MONTH(A75)&gt;=8,YEAR(A75)&amp;"-"&amp;(YEAR(A75)+1),(YEAR(A75)-1)&amp;"-"&amp;YEAR(A75)))</f>
        <v/>
      </c>
      <c r="S75" s="20">
        <f>IF(OR(A75="",B75=""),0,IF(AND(R75=التقارير!$C$4,OR(التقارير!$C$5="سنوي",AND(التقارير!$C$5="شهري",P75=التقارير!$C$6),AND(التقارير!$C$5="فصلي",Q75=التقارير!$C$7))),1,0))</f>
        <v/>
      </c>
      <c r="T75" s="20">
        <f>IF(S75=1,COUNTIF($S$5:S75,1),"")</f>
        <v/>
      </c>
      <c r="U75">
        <f>IF(AND($A75&lt;&gt;"",$B75&lt;&gt;"",$R75='تقرير الفصل الأول'!$C$4,$Q75='تقرير الفصل الأول'!$C$7),COUNT(U$4:U74)+1,"")</f>
        <v/>
      </c>
      <c r="V75">
        <f>IF(AND($A75&lt;&gt;"",$B75&lt;&gt;"",$R75='تقرير الفصل الثاني'!$C$4,$Q75='تقرير الفصل الثاني'!$C$7),COUNT(V$4:V74)+1,"")</f>
        <v/>
      </c>
      <c r="W75">
        <f>IF(AND($A75&lt;&gt;"",$B75&lt;&gt;"",$R75='تقرير سبتمبر'!$C$4,$P75='تقرير سبتمبر'!$C$6),COUNT(W$4:W74)+1,"")</f>
        <v/>
      </c>
      <c r="X75">
        <f>IF(AND($A75&lt;&gt;"",$B75&lt;&gt;"",$R75='تقرير أكتوبر'!$C$4,$P75='تقرير أكتوبر'!$C$6),COUNT(X$4:X74)+1,"")</f>
        <v/>
      </c>
      <c r="Y75">
        <f>IF(AND($A75&lt;&gt;"",$B75&lt;&gt;"",$R75='تقرير نوفمبر'!$C$4,$P75='تقرير نوفمبر'!$C$6),COUNT(Y$4:Y74)+1,"")</f>
        <v/>
      </c>
      <c r="Z75">
        <f>IF(AND($A75&lt;&gt;"",$B75&lt;&gt;"",$R75='تقرير ديسمبر'!$C$4,$P75='تقرير ديسمبر'!$C$6),COUNT(Z$4:Z74)+1,"")</f>
        <v/>
      </c>
      <c r="AA75">
        <f>IF(AND($A75&lt;&gt;"",$B75&lt;&gt;"",$R75='تقرير يناير'!$C$4,$P75='تقرير يناير'!$C$6),COUNT(AA$4:AA74)+1,"")</f>
        <v/>
      </c>
      <c r="AB75">
        <f>IF(AND($A75&lt;&gt;"",$B75&lt;&gt;"",$R75='تقرير فبراير'!$C$4,$P75='تقرير فبراير'!$C$6),COUNT(AB$4:AB74)+1,"")</f>
        <v/>
      </c>
      <c r="AC75">
        <f>IF(AND($A75&lt;&gt;"",$B75&lt;&gt;"",$R75='تقرير مارس'!$C$4,$P75='تقرير مارس'!$C$6),COUNT(AC$4:AC74)+1,"")</f>
        <v/>
      </c>
      <c r="AD75">
        <f>IF(AND($A75&lt;&gt;"",$B75&lt;&gt;"",$R75='تقرير أبريل'!$C$4,$P75='تقرير أبريل'!$C$6),COUNT(AD$4:AD74)+1,"")</f>
        <v/>
      </c>
      <c r="AE75">
        <f>IF(AND($A75&lt;&gt;"",$B75&lt;&gt;"",$R75='تقرير مايو'!$C$4,$P75='تقرير مايو'!$C$6),COUNT(AE$4:AE74)+1,"")</f>
        <v/>
      </c>
    </row>
    <row r="76">
      <c r="A76" s="16" t="n"/>
      <c r="B76" s="17" t="n"/>
      <c r="C76" s="17" t="n"/>
      <c r="D76" s="18" t="n"/>
      <c r="E76" s="17" t="n"/>
      <c r="F76" s="17" t="n"/>
      <c r="G76" s="19" t="n"/>
      <c r="H76" s="17" t="n"/>
      <c r="I76" s="17" t="n"/>
      <c r="J76" s="17" t="n"/>
      <c r="K76" s="20">
        <f>IF($B76="","",IFERROR(INDEX(الموظفات!$A$5:$A$304,MATCH($B76,الموظفات!$B$5:$B$304,0))&amp;"",""))</f>
        <v/>
      </c>
      <c r="L76" s="21">
        <f>IF($B76="","",IFERROR(INDEX(الموظفات!$C$5:$C$304,MATCH($B76,الموظفات!$B$5:$B$304,0))&amp;"",""))</f>
        <v/>
      </c>
      <c r="M76" s="20">
        <f>IF($B76="","",IFERROR(INDEX(الموظفات!$D$5:$D$304,MATCH($B76,الموظفات!$B$5:$B$304,0))&amp;"",""))</f>
        <v/>
      </c>
      <c r="N76" s="20">
        <f>IF($B76="","",IFERROR(INDEX(الموظفات!$E$5:$E$304,MATCH($B76,الموظفات!$B$5:$B$304,0))&amp;"",""))</f>
        <v/>
      </c>
      <c r="O76" s="21">
        <f>IF(C76="","",IFERROR(INDEX(الإعدادات!$D$7:$D$35,MATCH(C76,الإعدادات!$A$7:$A$35,0))&amp;"",""))</f>
        <v/>
      </c>
      <c r="P76" s="20">
        <f>IF(A76="","",INDEX(الإعدادات!$H$7:$H$18,MONTH(A76)))</f>
        <v/>
      </c>
      <c r="Q76" s="20">
        <f>IF(A76="","",INDEX(الإعدادات!$I$7:$I$18,MONTH(A76)))</f>
        <v/>
      </c>
      <c r="R76" s="20">
        <f>IF(A76="","",IF(MONTH(A76)&gt;=8,YEAR(A76)&amp;"-"&amp;(YEAR(A76)+1),(YEAR(A76)-1)&amp;"-"&amp;YEAR(A76)))</f>
        <v/>
      </c>
      <c r="S76" s="20">
        <f>IF(OR(A76="",B76=""),0,IF(AND(R76=التقارير!$C$4,OR(التقارير!$C$5="سنوي",AND(التقارير!$C$5="شهري",P76=التقارير!$C$6),AND(التقارير!$C$5="فصلي",Q76=التقارير!$C$7))),1,0))</f>
        <v/>
      </c>
      <c r="T76" s="20">
        <f>IF(S76=1,COUNTIF($S$5:S76,1),"")</f>
        <v/>
      </c>
      <c r="U76">
        <f>IF(AND($A76&lt;&gt;"",$B76&lt;&gt;"",$R76='تقرير الفصل الأول'!$C$4,$Q76='تقرير الفصل الأول'!$C$7),COUNT(U$4:U75)+1,"")</f>
        <v/>
      </c>
      <c r="V76">
        <f>IF(AND($A76&lt;&gt;"",$B76&lt;&gt;"",$R76='تقرير الفصل الثاني'!$C$4,$Q76='تقرير الفصل الثاني'!$C$7),COUNT(V$4:V75)+1,"")</f>
        <v/>
      </c>
      <c r="W76">
        <f>IF(AND($A76&lt;&gt;"",$B76&lt;&gt;"",$R76='تقرير سبتمبر'!$C$4,$P76='تقرير سبتمبر'!$C$6),COUNT(W$4:W75)+1,"")</f>
        <v/>
      </c>
      <c r="X76">
        <f>IF(AND($A76&lt;&gt;"",$B76&lt;&gt;"",$R76='تقرير أكتوبر'!$C$4,$P76='تقرير أكتوبر'!$C$6),COUNT(X$4:X75)+1,"")</f>
        <v/>
      </c>
      <c r="Y76">
        <f>IF(AND($A76&lt;&gt;"",$B76&lt;&gt;"",$R76='تقرير نوفمبر'!$C$4,$P76='تقرير نوفمبر'!$C$6),COUNT(Y$4:Y75)+1,"")</f>
        <v/>
      </c>
      <c r="Z76">
        <f>IF(AND($A76&lt;&gt;"",$B76&lt;&gt;"",$R76='تقرير ديسمبر'!$C$4,$P76='تقرير ديسمبر'!$C$6),COUNT(Z$4:Z75)+1,"")</f>
        <v/>
      </c>
      <c r="AA76">
        <f>IF(AND($A76&lt;&gt;"",$B76&lt;&gt;"",$R76='تقرير يناير'!$C$4,$P76='تقرير يناير'!$C$6),COUNT(AA$4:AA75)+1,"")</f>
        <v/>
      </c>
      <c r="AB76">
        <f>IF(AND($A76&lt;&gt;"",$B76&lt;&gt;"",$R76='تقرير فبراير'!$C$4,$P76='تقرير فبراير'!$C$6),COUNT(AB$4:AB75)+1,"")</f>
        <v/>
      </c>
      <c r="AC76">
        <f>IF(AND($A76&lt;&gt;"",$B76&lt;&gt;"",$R76='تقرير مارس'!$C$4,$P76='تقرير مارس'!$C$6),COUNT(AC$4:AC75)+1,"")</f>
        <v/>
      </c>
      <c r="AD76">
        <f>IF(AND($A76&lt;&gt;"",$B76&lt;&gt;"",$R76='تقرير أبريل'!$C$4,$P76='تقرير أبريل'!$C$6),COUNT(AD$4:AD75)+1,"")</f>
        <v/>
      </c>
      <c r="AE76">
        <f>IF(AND($A76&lt;&gt;"",$B76&lt;&gt;"",$R76='تقرير مايو'!$C$4,$P76='تقرير مايو'!$C$6),COUNT(AE$4:AE75)+1,"")</f>
        <v/>
      </c>
    </row>
    <row r="77">
      <c r="A77" s="16" t="n"/>
      <c r="B77" s="17" t="n"/>
      <c r="C77" s="17" t="n"/>
      <c r="D77" s="18" t="n"/>
      <c r="E77" s="17" t="n"/>
      <c r="F77" s="17" t="n"/>
      <c r="G77" s="19" t="n"/>
      <c r="H77" s="17" t="n"/>
      <c r="I77" s="17" t="n"/>
      <c r="J77" s="17" t="n"/>
      <c r="K77" s="20">
        <f>IF($B77="","",IFERROR(INDEX(الموظفات!$A$5:$A$304,MATCH($B77,الموظفات!$B$5:$B$304,0))&amp;"",""))</f>
        <v/>
      </c>
      <c r="L77" s="21">
        <f>IF($B77="","",IFERROR(INDEX(الموظفات!$C$5:$C$304,MATCH($B77,الموظفات!$B$5:$B$304,0))&amp;"",""))</f>
        <v/>
      </c>
      <c r="M77" s="20">
        <f>IF($B77="","",IFERROR(INDEX(الموظفات!$D$5:$D$304,MATCH($B77,الموظفات!$B$5:$B$304,0))&amp;"",""))</f>
        <v/>
      </c>
      <c r="N77" s="20">
        <f>IF($B77="","",IFERROR(INDEX(الموظفات!$E$5:$E$304,MATCH($B77,الموظفات!$B$5:$B$304,0))&amp;"",""))</f>
        <v/>
      </c>
      <c r="O77" s="21">
        <f>IF(C77="","",IFERROR(INDEX(الإعدادات!$D$7:$D$35,MATCH(C77,الإعدادات!$A$7:$A$35,0))&amp;"",""))</f>
        <v/>
      </c>
      <c r="P77" s="20">
        <f>IF(A77="","",INDEX(الإعدادات!$H$7:$H$18,MONTH(A77)))</f>
        <v/>
      </c>
      <c r="Q77" s="20">
        <f>IF(A77="","",INDEX(الإعدادات!$I$7:$I$18,MONTH(A77)))</f>
        <v/>
      </c>
      <c r="R77" s="20">
        <f>IF(A77="","",IF(MONTH(A77)&gt;=8,YEAR(A77)&amp;"-"&amp;(YEAR(A77)+1),(YEAR(A77)-1)&amp;"-"&amp;YEAR(A77)))</f>
        <v/>
      </c>
      <c r="S77" s="20">
        <f>IF(OR(A77="",B77=""),0,IF(AND(R77=التقارير!$C$4,OR(التقارير!$C$5="سنوي",AND(التقارير!$C$5="شهري",P77=التقارير!$C$6),AND(التقارير!$C$5="فصلي",Q77=التقارير!$C$7))),1,0))</f>
        <v/>
      </c>
      <c r="T77" s="20">
        <f>IF(S77=1,COUNTIF($S$5:S77,1),"")</f>
        <v/>
      </c>
      <c r="U77">
        <f>IF(AND($A77&lt;&gt;"",$B77&lt;&gt;"",$R77='تقرير الفصل الأول'!$C$4,$Q77='تقرير الفصل الأول'!$C$7),COUNT(U$4:U76)+1,"")</f>
        <v/>
      </c>
      <c r="V77">
        <f>IF(AND($A77&lt;&gt;"",$B77&lt;&gt;"",$R77='تقرير الفصل الثاني'!$C$4,$Q77='تقرير الفصل الثاني'!$C$7),COUNT(V$4:V76)+1,"")</f>
        <v/>
      </c>
      <c r="W77">
        <f>IF(AND($A77&lt;&gt;"",$B77&lt;&gt;"",$R77='تقرير سبتمبر'!$C$4,$P77='تقرير سبتمبر'!$C$6),COUNT(W$4:W76)+1,"")</f>
        <v/>
      </c>
      <c r="X77">
        <f>IF(AND($A77&lt;&gt;"",$B77&lt;&gt;"",$R77='تقرير أكتوبر'!$C$4,$P77='تقرير أكتوبر'!$C$6),COUNT(X$4:X76)+1,"")</f>
        <v/>
      </c>
      <c r="Y77">
        <f>IF(AND($A77&lt;&gt;"",$B77&lt;&gt;"",$R77='تقرير نوفمبر'!$C$4,$P77='تقرير نوفمبر'!$C$6),COUNT(Y$4:Y76)+1,"")</f>
        <v/>
      </c>
      <c r="Z77">
        <f>IF(AND($A77&lt;&gt;"",$B77&lt;&gt;"",$R77='تقرير ديسمبر'!$C$4,$P77='تقرير ديسمبر'!$C$6),COUNT(Z$4:Z76)+1,"")</f>
        <v/>
      </c>
      <c r="AA77">
        <f>IF(AND($A77&lt;&gt;"",$B77&lt;&gt;"",$R77='تقرير يناير'!$C$4,$P77='تقرير يناير'!$C$6),COUNT(AA$4:AA76)+1,"")</f>
        <v/>
      </c>
      <c r="AB77">
        <f>IF(AND($A77&lt;&gt;"",$B77&lt;&gt;"",$R77='تقرير فبراير'!$C$4,$P77='تقرير فبراير'!$C$6),COUNT(AB$4:AB76)+1,"")</f>
        <v/>
      </c>
      <c r="AC77">
        <f>IF(AND($A77&lt;&gt;"",$B77&lt;&gt;"",$R77='تقرير مارس'!$C$4,$P77='تقرير مارس'!$C$6),COUNT(AC$4:AC76)+1,"")</f>
        <v/>
      </c>
      <c r="AD77">
        <f>IF(AND($A77&lt;&gt;"",$B77&lt;&gt;"",$R77='تقرير أبريل'!$C$4,$P77='تقرير أبريل'!$C$6),COUNT(AD$4:AD76)+1,"")</f>
        <v/>
      </c>
      <c r="AE77">
        <f>IF(AND($A77&lt;&gt;"",$B77&lt;&gt;"",$R77='تقرير مايو'!$C$4,$P77='تقرير مايو'!$C$6),COUNT(AE$4:AE76)+1,"")</f>
        <v/>
      </c>
    </row>
    <row r="78">
      <c r="A78" s="16" t="n"/>
      <c r="B78" s="17" t="n"/>
      <c r="C78" s="17" t="n"/>
      <c r="D78" s="18" t="n"/>
      <c r="E78" s="17" t="n"/>
      <c r="F78" s="17" t="n"/>
      <c r="G78" s="19" t="n"/>
      <c r="H78" s="17" t="n"/>
      <c r="I78" s="17" t="n"/>
      <c r="J78" s="17" t="n"/>
      <c r="K78" s="20">
        <f>IF($B78="","",IFERROR(INDEX(الموظفات!$A$5:$A$304,MATCH($B78,الموظفات!$B$5:$B$304,0))&amp;"",""))</f>
        <v/>
      </c>
      <c r="L78" s="21">
        <f>IF($B78="","",IFERROR(INDEX(الموظفات!$C$5:$C$304,MATCH($B78,الموظفات!$B$5:$B$304,0))&amp;"",""))</f>
        <v/>
      </c>
      <c r="M78" s="20">
        <f>IF($B78="","",IFERROR(INDEX(الموظفات!$D$5:$D$304,MATCH($B78,الموظفات!$B$5:$B$304,0))&amp;"",""))</f>
        <v/>
      </c>
      <c r="N78" s="20">
        <f>IF($B78="","",IFERROR(INDEX(الموظفات!$E$5:$E$304,MATCH($B78,الموظفات!$B$5:$B$304,0))&amp;"",""))</f>
        <v/>
      </c>
      <c r="O78" s="21">
        <f>IF(C78="","",IFERROR(INDEX(الإعدادات!$D$7:$D$35,MATCH(C78,الإعدادات!$A$7:$A$35,0))&amp;"",""))</f>
        <v/>
      </c>
      <c r="P78" s="20">
        <f>IF(A78="","",INDEX(الإعدادات!$H$7:$H$18,MONTH(A78)))</f>
        <v/>
      </c>
      <c r="Q78" s="20">
        <f>IF(A78="","",INDEX(الإعدادات!$I$7:$I$18,MONTH(A78)))</f>
        <v/>
      </c>
      <c r="R78" s="20">
        <f>IF(A78="","",IF(MONTH(A78)&gt;=8,YEAR(A78)&amp;"-"&amp;(YEAR(A78)+1),(YEAR(A78)-1)&amp;"-"&amp;YEAR(A78)))</f>
        <v/>
      </c>
      <c r="S78" s="20">
        <f>IF(OR(A78="",B78=""),0,IF(AND(R78=التقارير!$C$4,OR(التقارير!$C$5="سنوي",AND(التقارير!$C$5="شهري",P78=التقارير!$C$6),AND(التقارير!$C$5="فصلي",Q78=التقارير!$C$7))),1,0))</f>
        <v/>
      </c>
      <c r="T78" s="20">
        <f>IF(S78=1,COUNTIF($S$5:S78,1),"")</f>
        <v/>
      </c>
      <c r="U78">
        <f>IF(AND($A78&lt;&gt;"",$B78&lt;&gt;"",$R78='تقرير الفصل الأول'!$C$4,$Q78='تقرير الفصل الأول'!$C$7),COUNT(U$4:U77)+1,"")</f>
        <v/>
      </c>
      <c r="V78">
        <f>IF(AND($A78&lt;&gt;"",$B78&lt;&gt;"",$R78='تقرير الفصل الثاني'!$C$4,$Q78='تقرير الفصل الثاني'!$C$7),COUNT(V$4:V77)+1,"")</f>
        <v/>
      </c>
      <c r="W78">
        <f>IF(AND($A78&lt;&gt;"",$B78&lt;&gt;"",$R78='تقرير سبتمبر'!$C$4,$P78='تقرير سبتمبر'!$C$6),COUNT(W$4:W77)+1,"")</f>
        <v/>
      </c>
      <c r="X78">
        <f>IF(AND($A78&lt;&gt;"",$B78&lt;&gt;"",$R78='تقرير أكتوبر'!$C$4,$P78='تقرير أكتوبر'!$C$6),COUNT(X$4:X77)+1,"")</f>
        <v/>
      </c>
      <c r="Y78">
        <f>IF(AND($A78&lt;&gt;"",$B78&lt;&gt;"",$R78='تقرير نوفمبر'!$C$4,$P78='تقرير نوفمبر'!$C$6),COUNT(Y$4:Y77)+1,"")</f>
        <v/>
      </c>
      <c r="Z78">
        <f>IF(AND($A78&lt;&gt;"",$B78&lt;&gt;"",$R78='تقرير ديسمبر'!$C$4,$P78='تقرير ديسمبر'!$C$6),COUNT(Z$4:Z77)+1,"")</f>
        <v/>
      </c>
      <c r="AA78">
        <f>IF(AND($A78&lt;&gt;"",$B78&lt;&gt;"",$R78='تقرير يناير'!$C$4,$P78='تقرير يناير'!$C$6),COUNT(AA$4:AA77)+1,"")</f>
        <v/>
      </c>
      <c r="AB78">
        <f>IF(AND($A78&lt;&gt;"",$B78&lt;&gt;"",$R78='تقرير فبراير'!$C$4,$P78='تقرير فبراير'!$C$6),COUNT(AB$4:AB77)+1,"")</f>
        <v/>
      </c>
      <c r="AC78">
        <f>IF(AND($A78&lt;&gt;"",$B78&lt;&gt;"",$R78='تقرير مارس'!$C$4,$P78='تقرير مارس'!$C$6),COUNT(AC$4:AC77)+1,"")</f>
        <v/>
      </c>
      <c r="AD78">
        <f>IF(AND($A78&lt;&gt;"",$B78&lt;&gt;"",$R78='تقرير أبريل'!$C$4,$P78='تقرير أبريل'!$C$6),COUNT(AD$4:AD77)+1,"")</f>
        <v/>
      </c>
      <c r="AE78">
        <f>IF(AND($A78&lt;&gt;"",$B78&lt;&gt;"",$R78='تقرير مايو'!$C$4,$P78='تقرير مايو'!$C$6),COUNT(AE$4:AE77)+1,"")</f>
        <v/>
      </c>
    </row>
    <row r="79">
      <c r="A79" s="16" t="n"/>
      <c r="B79" s="17" t="n"/>
      <c r="C79" s="17" t="n"/>
      <c r="D79" s="18" t="n"/>
      <c r="E79" s="17" t="n"/>
      <c r="F79" s="17" t="n"/>
      <c r="G79" s="19" t="n"/>
      <c r="H79" s="17" t="n"/>
      <c r="I79" s="17" t="n"/>
      <c r="J79" s="17" t="n"/>
      <c r="K79" s="20">
        <f>IF($B79="","",IFERROR(INDEX(الموظفات!$A$5:$A$304,MATCH($B79,الموظفات!$B$5:$B$304,0))&amp;"",""))</f>
        <v/>
      </c>
      <c r="L79" s="21">
        <f>IF($B79="","",IFERROR(INDEX(الموظفات!$C$5:$C$304,MATCH($B79,الموظفات!$B$5:$B$304,0))&amp;"",""))</f>
        <v/>
      </c>
      <c r="M79" s="20">
        <f>IF($B79="","",IFERROR(INDEX(الموظفات!$D$5:$D$304,MATCH($B79,الموظفات!$B$5:$B$304,0))&amp;"",""))</f>
        <v/>
      </c>
      <c r="N79" s="20">
        <f>IF($B79="","",IFERROR(INDEX(الموظفات!$E$5:$E$304,MATCH($B79,الموظفات!$B$5:$B$304,0))&amp;"",""))</f>
        <v/>
      </c>
      <c r="O79" s="21">
        <f>IF(C79="","",IFERROR(INDEX(الإعدادات!$D$7:$D$35,MATCH(C79,الإعدادات!$A$7:$A$35,0))&amp;"",""))</f>
        <v/>
      </c>
      <c r="P79" s="20">
        <f>IF(A79="","",INDEX(الإعدادات!$H$7:$H$18,MONTH(A79)))</f>
        <v/>
      </c>
      <c r="Q79" s="20">
        <f>IF(A79="","",INDEX(الإعدادات!$I$7:$I$18,MONTH(A79)))</f>
        <v/>
      </c>
      <c r="R79" s="20">
        <f>IF(A79="","",IF(MONTH(A79)&gt;=8,YEAR(A79)&amp;"-"&amp;(YEAR(A79)+1),(YEAR(A79)-1)&amp;"-"&amp;YEAR(A79)))</f>
        <v/>
      </c>
      <c r="S79" s="20">
        <f>IF(OR(A79="",B79=""),0,IF(AND(R79=التقارير!$C$4,OR(التقارير!$C$5="سنوي",AND(التقارير!$C$5="شهري",P79=التقارير!$C$6),AND(التقارير!$C$5="فصلي",Q79=التقارير!$C$7))),1,0))</f>
        <v/>
      </c>
      <c r="T79" s="20">
        <f>IF(S79=1,COUNTIF($S$5:S79,1),"")</f>
        <v/>
      </c>
      <c r="U79">
        <f>IF(AND($A79&lt;&gt;"",$B79&lt;&gt;"",$R79='تقرير الفصل الأول'!$C$4,$Q79='تقرير الفصل الأول'!$C$7),COUNT(U$4:U78)+1,"")</f>
        <v/>
      </c>
      <c r="V79">
        <f>IF(AND($A79&lt;&gt;"",$B79&lt;&gt;"",$R79='تقرير الفصل الثاني'!$C$4,$Q79='تقرير الفصل الثاني'!$C$7),COUNT(V$4:V78)+1,"")</f>
        <v/>
      </c>
      <c r="W79">
        <f>IF(AND($A79&lt;&gt;"",$B79&lt;&gt;"",$R79='تقرير سبتمبر'!$C$4,$P79='تقرير سبتمبر'!$C$6),COUNT(W$4:W78)+1,"")</f>
        <v/>
      </c>
      <c r="X79">
        <f>IF(AND($A79&lt;&gt;"",$B79&lt;&gt;"",$R79='تقرير أكتوبر'!$C$4,$P79='تقرير أكتوبر'!$C$6),COUNT(X$4:X78)+1,"")</f>
        <v/>
      </c>
      <c r="Y79">
        <f>IF(AND($A79&lt;&gt;"",$B79&lt;&gt;"",$R79='تقرير نوفمبر'!$C$4,$P79='تقرير نوفمبر'!$C$6),COUNT(Y$4:Y78)+1,"")</f>
        <v/>
      </c>
      <c r="Z79">
        <f>IF(AND($A79&lt;&gt;"",$B79&lt;&gt;"",$R79='تقرير ديسمبر'!$C$4,$P79='تقرير ديسمبر'!$C$6),COUNT(Z$4:Z78)+1,"")</f>
        <v/>
      </c>
      <c r="AA79">
        <f>IF(AND($A79&lt;&gt;"",$B79&lt;&gt;"",$R79='تقرير يناير'!$C$4,$P79='تقرير يناير'!$C$6),COUNT(AA$4:AA78)+1,"")</f>
        <v/>
      </c>
      <c r="AB79">
        <f>IF(AND($A79&lt;&gt;"",$B79&lt;&gt;"",$R79='تقرير فبراير'!$C$4,$P79='تقرير فبراير'!$C$6),COUNT(AB$4:AB78)+1,"")</f>
        <v/>
      </c>
      <c r="AC79">
        <f>IF(AND($A79&lt;&gt;"",$B79&lt;&gt;"",$R79='تقرير مارس'!$C$4,$P79='تقرير مارس'!$C$6),COUNT(AC$4:AC78)+1,"")</f>
        <v/>
      </c>
      <c r="AD79">
        <f>IF(AND($A79&lt;&gt;"",$B79&lt;&gt;"",$R79='تقرير أبريل'!$C$4,$P79='تقرير أبريل'!$C$6),COUNT(AD$4:AD78)+1,"")</f>
        <v/>
      </c>
      <c r="AE79">
        <f>IF(AND($A79&lt;&gt;"",$B79&lt;&gt;"",$R79='تقرير مايو'!$C$4,$P79='تقرير مايو'!$C$6),COUNT(AE$4:AE78)+1,"")</f>
        <v/>
      </c>
    </row>
    <row r="80">
      <c r="A80" s="16" t="n"/>
      <c r="B80" s="17" t="n"/>
      <c r="C80" s="17" t="n"/>
      <c r="D80" s="18" t="n"/>
      <c r="E80" s="17" t="n"/>
      <c r="F80" s="17" t="n"/>
      <c r="G80" s="19" t="n"/>
      <c r="H80" s="17" t="n"/>
      <c r="I80" s="17" t="n"/>
      <c r="J80" s="17" t="n"/>
      <c r="K80" s="20">
        <f>IF($B80="","",IFERROR(INDEX(الموظفات!$A$5:$A$304,MATCH($B80,الموظفات!$B$5:$B$304,0))&amp;"",""))</f>
        <v/>
      </c>
      <c r="L80" s="21">
        <f>IF($B80="","",IFERROR(INDEX(الموظفات!$C$5:$C$304,MATCH($B80,الموظفات!$B$5:$B$304,0))&amp;"",""))</f>
        <v/>
      </c>
      <c r="M80" s="20">
        <f>IF($B80="","",IFERROR(INDEX(الموظفات!$D$5:$D$304,MATCH($B80,الموظفات!$B$5:$B$304,0))&amp;"",""))</f>
        <v/>
      </c>
      <c r="N80" s="20">
        <f>IF($B80="","",IFERROR(INDEX(الموظفات!$E$5:$E$304,MATCH($B80,الموظفات!$B$5:$B$304,0))&amp;"",""))</f>
        <v/>
      </c>
      <c r="O80" s="21">
        <f>IF(C80="","",IFERROR(INDEX(الإعدادات!$D$7:$D$35,MATCH(C80,الإعدادات!$A$7:$A$35,0))&amp;"",""))</f>
        <v/>
      </c>
      <c r="P80" s="20">
        <f>IF(A80="","",INDEX(الإعدادات!$H$7:$H$18,MONTH(A80)))</f>
        <v/>
      </c>
      <c r="Q80" s="20">
        <f>IF(A80="","",INDEX(الإعدادات!$I$7:$I$18,MONTH(A80)))</f>
        <v/>
      </c>
      <c r="R80" s="20">
        <f>IF(A80="","",IF(MONTH(A80)&gt;=8,YEAR(A80)&amp;"-"&amp;(YEAR(A80)+1),(YEAR(A80)-1)&amp;"-"&amp;YEAR(A80)))</f>
        <v/>
      </c>
      <c r="S80" s="20">
        <f>IF(OR(A80="",B80=""),0,IF(AND(R80=التقارير!$C$4,OR(التقارير!$C$5="سنوي",AND(التقارير!$C$5="شهري",P80=التقارير!$C$6),AND(التقارير!$C$5="فصلي",Q80=التقارير!$C$7))),1,0))</f>
        <v/>
      </c>
      <c r="T80" s="20">
        <f>IF(S80=1,COUNTIF($S$5:S80,1),"")</f>
        <v/>
      </c>
      <c r="U80">
        <f>IF(AND($A80&lt;&gt;"",$B80&lt;&gt;"",$R80='تقرير الفصل الأول'!$C$4,$Q80='تقرير الفصل الأول'!$C$7),COUNT(U$4:U79)+1,"")</f>
        <v/>
      </c>
      <c r="V80">
        <f>IF(AND($A80&lt;&gt;"",$B80&lt;&gt;"",$R80='تقرير الفصل الثاني'!$C$4,$Q80='تقرير الفصل الثاني'!$C$7),COUNT(V$4:V79)+1,"")</f>
        <v/>
      </c>
      <c r="W80">
        <f>IF(AND($A80&lt;&gt;"",$B80&lt;&gt;"",$R80='تقرير سبتمبر'!$C$4,$P80='تقرير سبتمبر'!$C$6),COUNT(W$4:W79)+1,"")</f>
        <v/>
      </c>
      <c r="X80">
        <f>IF(AND($A80&lt;&gt;"",$B80&lt;&gt;"",$R80='تقرير أكتوبر'!$C$4,$P80='تقرير أكتوبر'!$C$6),COUNT(X$4:X79)+1,"")</f>
        <v/>
      </c>
      <c r="Y80">
        <f>IF(AND($A80&lt;&gt;"",$B80&lt;&gt;"",$R80='تقرير نوفمبر'!$C$4,$P80='تقرير نوفمبر'!$C$6),COUNT(Y$4:Y79)+1,"")</f>
        <v/>
      </c>
      <c r="Z80">
        <f>IF(AND($A80&lt;&gt;"",$B80&lt;&gt;"",$R80='تقرير ديسمبر'!$C$4,$P80='تقرير ديسمبر'!$C$6),COUNT(Z$4:Z79)+1,"")</f>
        <v/>
      </c>
      <c r="AA80">
        <f>IF(AND($A80&lt;&gt;"",$B80&lt;&gt;"",$R80='تقرير يناير'!$C$4,$P80='تقرير يناير'!$C$6),COUNT(AA$4:AA79)+1,"")</f>
        <v/>
      </c>
      <c r="AB80">
        <f>IF(AND($A80&lt;&gt;"",$B80&lt;&gt;"",$R80='تقرير فبراير'!$C$4,$P80='تقرير فبراير'!$C$6),COUNT(AB$4:AB79)+1,"")</f>
        <v/>
      </c>
      <c r="AC80">
        <f>IF(AND($A80&lt;&gt;"",$B80&lt;&gt;"",$R80='تقرير مارس'!$C$4,$P80='تقرير مارس'!$C$6),COUNT(AC$4:AC79)+1,"")</f>
        <v/>
      </c>
      <c r="AD80">
        <f>IF(AND($A80&lt;&gt;"",$B80&lt;&gt;"",$R80='تقرير أبريل'!$C$4,$P80='تقرير أبريل'!$C$6),COUNT(AD$4:AD79)+1,"")</f>
        <v/>
      </c>
      <c r="AE80">
        <f>IF(AND($A80&lt;&gt;"",$B80&lt;&gt;"",$R80='تقرير مايو'!$C$4,$P80='تقرير مايو'!$C$6),COUNT(AE$4:AE79)+1,"")</f>
        <v/>
      </c>
    </row>
    <row r="81">
      <c r="A81" s="16" t="n"/>
      <c r="B81" s="17" t="n"/>
      <c r="C81" s="17" t="n"/>
      <c r="D81" s="18" t="n"/>
      <c r="E81" s="17" t="n"/>
      <c r="F81" s="17" t="n"/>
      <c r="G81" s="19" t="n"/>
      <c r="H81" s="17" t="n"/>
      <c r="I81" s="17" t="n"/>
      <c r="J81" s="17" t="n"/>
      <c r="K81" s="20">
        <f>IF($B81="","",IFERROR(INDEX(الموظفات!$A$5:$A$304,MATCH($B81,الموظفات!$B$5:$B$304,0))&amp;"",""))</f>
        <v/>
      </c>
      <c r="L81" s="21">
        <f>IF($B81="","",IFERROR(INDEX(الموظفات!$C$5:$C$304,MATCH($B81,الموظفات!$B$5:$B$304,0))&amp;"",""))</f>
        <v/>
      </c>
      <c r="M81" s="20">
        <f>IF($B81="","",IFERROR(INDEX(الموظفات!$D$5:$D$304,MATCH($B81,الموظفات!$B$5:$B$304,0))&amp;"",""))</f>
        <v/>
      </c>
      <c r="N81" s="20">
        <f>IF($B81="","",IFERROR(INDEX(الموظفات!$E$5:$E$304,MATCH($B81,الموظفات!$B$5:$B$304,0))&amp;"",""))</f>
        <v/>
      </c>
      <c r="O81" s="21">
        <f>IF(C81="","",IFERROR(INDEX(الإعدادات!$D$7:$D$35,MATCH(C81,الإعدادات!$A$7:$A$35,0))&amp;"",""))</f>
        <v/>
      </c>
      <c r="P81" s="20">
        <f>IF(A81="","",INDEX(الإعدادات!$H$7:$H$18,MONTH(A81)))</f>
        <v/>
      </c>
      <c r="Q81" s="20">
        <f>IF(A81="","",INDEX(الإعدادات!$I$7:$I$18,MONTH(A81)))</f>
        <v/>
      </c>
      <c r="R81" s="20">
        <f>IF(A81="","",IF(MONTH(A81)&gt;=8,YEAR(A81)&amp;"-"&amp;(YEAR(A81)+1),(YEAR(A81)-1)&amp;"-"&amp;YEAR(A81)))</f>
        <v/>
      </c>
      <c r="S81" s="20">
        <f>IF(OR(A81="",B81=""),0,IF(AND(R81=التقارير!$C$4,OR(التقارير!$C$5="سنوي",AND(التقارير!$C$5="شهري",P81=التقارير!$C$6),AND(التقارير!$C$5="فصلي",Q81=التقارير!$C$7))),1,0))</f>
        <v/>
      </c>
      <c r="T81" s="20">
        <f>IF(S81=1,COUNTIF($S$5:S81,1),"")</f>
        <v/>
      </c>
      <c r="U81">
        <f>IF(AND($A81&lt;&gt;"",$B81&lt;&gt;"",$R81='تقرير الفصل الأول'!$C$4,$Q81='تقرير الفصل الأول'!$C$7),COUNT(U$4:U80)+1,"")</f>
        <v/>
      </c>
      <c r="V81">
        <f>IF(AND($A81&lt;&gt;"",$B81&lt;&gt;"",$R81='تقرير الفصل الثاني'!$C$4,$Q81='تقرير الفصل الثاني'!$C$7),COUNT(V$4:V80)+1,"")</f>
        <v/>
      </c>
      <c r="W81">
        <f>IF(AND($A81&lt;&gt;"",$B81&lt;&gt;"",$R81='تقرير سبتمبر'!$C$4,$P81='تقرير سبتمبر'!$C$6),COUNT(W$4:W80)+1,"")</f>
        <v/>
      </c>
      <c r="X81">
        <f>IF(AND($A81&lt;&gt;"",$B81&lt;&gt;"",$R81='تقرير أكتوبر'!$C$4,$P81='تقرير أكتوبر'!$C$6),COUNT(X$4:X80)+1,"")</f>
        <v/>
      </c>
      <c r="Y81">
        <f>IF(AND($A81&lt;&gt;"",$B81&lt;&gt;"",$R81='تقرير نوفمبر'!$C$4,$P81='تقرير نوفمبر'!$C$6),COUNT(Y$4:Y80)+1,"")</f>
        <v/>
      </c>
      <c r="Z81">
        <f>IF(AND($A81&lt;&gt;"",$B81&lt;&gt;"",$R81='تقرير ديسمبر'!$C$4,$P81='تقرير ديسمبر'!$C$6),COUNT(Z$4:Z80)+1,"")</f>
        <v/>
      </c>
      <c r="AA81">
        <f>IF(AND($A81&lt;&gt;"",$B81&lt;&gt;"",$R81='تقرير يناير'!$C$4,$P81='تقرير يناير'!$C$6),COUNT(AA$4:AA80)+1,"")</f>
        <v/>
      </c>
      <c r="AB81">
        <f>IF(AND($A81&lt;&gt;"",$B81&lt;&gt;"",$R81='تقرير فبراير'!$C$4,$P81='تقرير فبراير'!$C$6),COUNT(AB$4:AB80)+1,"")</f>
        <v/>
      </c>
      <c r="AC81">
        <f>IF(AND($A81&lt;&gt;"",$B81&lt;&gt;"",$R81='تقرير مارس'!$C$4,$P81='تقرير مارس'!$C$6),COUNT(AC$4:AC80)+1,"")</f>
        <v/>
      </c>
      <c r="AD81">
        <f>IF(AND($A81&lt;&gt;"",$B81&lt;&gt;"",$R81='تقرير أبريل'!$C$4,$P81='تقرير أبريل'!$C$6),COUNT(AD$4:AD80)+1,"")</f>
        <v/>
      </c>
      <c r="AE81">
        <f>IF(AND($A81&lt;&gt;"",$B81&lt;&gt;"",$R81='تقرير مايو'!$C$4,$P81='تقرير مايو'!$C$6),COUNT(AE$4:AE80)+1,"")</f>
        <v/>
      </c>
    </row>
    <row r="82">
      <c r="A82" s="16" t="n"/>
      <c r="B82" s="17" t="n"/>
      <c r="C82" s="17" t="n"/>
      <c r="D82" s="18" t="n"/>
      <c r="E82" s="17" t="n"/>
      <c r="F82" s="17" t="n"/>
      <c r="G82" s="19" t="n"/>
      <c r="H82" s="17" t="n"/>
      <c r="I82" s="17" t="n"/>
      <c r="J82" s="17" t="n"/>
      <c r="K82" s="20">
        <f>IF($B82="","",IFERROR(INDEX(الموظفات!$A$5:$A$304,MATCH($B82,الموظفات!$B$5:$B$304,0))&amp;"",""))</f>
        <v/>
      </c>
      <c r="L82" s="21">
        <f>IF($B82="","",IFERROR(INDEX(الموظفات!$C$5:$C$304,MATCH($B82,الموظفات!$B$5:$B$304,0))&amp;"",""))</f>
        <v/>
      </c>
      <c r="M82" s="20">
        <f>IF($B82="","",IFERROR(INDEX(الموظفات!$D$5:$D$304,MATCH($B82,الموظفات!$B$5:$B$304,0))&amp;"",""))</f>
        <v/>
      </c>
      <c r="N82" s="20">
        <f>IF($B82="","",IFERROR(INDEX(الموظفات!$E$5:$E$304,MATCH($B82,الموظفات!$B$5:$B$304,0))&amp;"",""))</f>
        <v/>
      </c>
      <c r="O82" s="21">
        <f>IF(C82="","",IFERROR(INDEX(الإعدادات!$D$7:$D$35,MATCH(C82,الإعدادات!$A$7:$A$35,0))&amp;"",""))</f>
        <v/>
      </c>
      <c r="P82" s="20">
        <f>IF(A82="","",INDEX(الإعدادات!$H$7:$H$18,MONTH(A82)))</f>
        <v/>
      </c>
      <c r="Q82" s="20">
        <f>IF(A82="","",INDEX(الإعدادات!$I$7:$I$18,MONTH(A82)))</f>
        <v/>
      </c>
      <c r="R82" s="20">
        <f>IF(A82="","",IF(MONTH(A82)&gt;=8,YEAR(A82)&amp;"-"&amp;(YEAR(A82)+1),(YEAR(A82)-1)&amp;"-"&amp;YEAR(A82)))</f>
        <v/>
      </c>
      <c r="S82" s="20">
        <f>IF(OR(A82="",B82=""),0,IF(AND(R82=التقارير!$C$4,OR(التقارير!$C$5="سنوي",AND(التقارير!$C$5="شهري",P82=التقارير!$C$6),AND(التقارير!$C$5="فصلي",Q82=التقارير!$C$7))),1,0))</f>
        <v/>
      </c>
      <c r="T82" s="20">
        <f>IF(S82=1,COUNTIF($S$5:S82,1),"")</f>
        <v/>
      </c>
      <c r="U82">
        <f>IF(AND($A82&lt;&gt;"",$B82&lt;&gt;"",$R82='تقرير الفصل الأول'!$C$4,$Q82='تقرير الفصل الأول'!$C$7),COUNT(U$4:U81)+1,"")</f>
        <v/>
      </c>
      <c r="V82">
        <f>IF(AND($A82&lt;&gt;"",$B82&lt;&gt;"",$R82='تقرير الفصل الثاني'!$C$4,$Q82='تقرير الفصل الثاني'!$C$7),COUNT(V$4:V81)+1,"")</f>
        <v/>
      </c>
      <c r="W82">
        <f>IF(AND($A82&lt;&gt;"",$B82&lt;&gt;"",$R82='تقرير سبتمبر'!$C$4,$P82='تقرير سبتمبر'!$C$6),COUNT(W$4:W81)+1,"")</f>
        <v/>
      </c>
      <c r="X82">
        <f>IF(AND($A82&lt;&gt;"",$B82&lt;&gt;"",$R82='تقرير أكتوبر'!$C$4,$P82='تقرير أكتوبر'!$C$6),COUNT(X$4:X81)+1,"")</f>
        <v/>
      </c>
      <c r="Y82">
        <f>IF(AND($A82&lt;&gt;"",$B82&lt;&gt;"",$R82='تقرير نوفمبر'!$C$4,$P82='تقرير نوفمبر'!$C$6),COUNT(Y$4:Y81)+1,"")</f>
        <v/>
      </c>
      <c r="Z82">
        <f>IF(AND($A82&lt;&gt;"",$B82&lt;&gt;"",$R82='تقرير ديسمبر'!$C$4,$P82='تقرير ديسمبر'!$C$6),COUNT(Z$4:Z81)+1,"")</f>
        <v/>
      </c>
      <c r="AA82">
        <f>IF(AND($A82&lt;&gt;"",$B82&lt;&gt;"",$R82='تقرير يناير'!$C$4,$P82='تقرير يناير'!$C$6),COUNT(AA$4:AA81)+1,"")</f>
        <v/>
      </c>
      <c r="AB82">
        <f>IF(AND($A82&lt;&gt;"",$B82&lt;&gt;"",$R82='تقرير فبراير'!$C$4,$P82='تقرير فبراير'!$C$6),COUNT(AB$4:AB81)+1,"")</f>
        <v/>
      </c>
      <c r="AC82">
        <f>IF(AND($A82&lt;&gt;"",$B82&lt;&gt;"",$R82='تقرير مارس'!$C$4,$P82='تقرير مارس'!$C$6),COUNT(AC$4:AC81)+1,"")</f>
        <v/>
      </c>
      <c r="AD82">
        <f>IF(AND($A82&lt;&gt;"",$B82&lt;&gt;"",$R82='تقرير أبريل'!$C$4,$P82='تقرير أبريل'!$C$6),COUNT(AD$4:AD81)+1,"")</f>
        <v/>
      </c>
      <c r="AE82">
        <f>IF(AND($A82&lt;&gt;"",$B82&lt;&gt;"",$R82='تقرير مايو'!$C$4,$P82='تقرير مايو'!$C$6),COUNT(AE$4:AE81)+1,"")</f>
        <v/>
      </c>
    </row>
    <row r="83">
      <c r="A83" s="16" t="n"/>
      <c r="B83" s="17" t="n"/>
      <c r="C83" s="17" t="n"/>
      <c r="D83" s="18" t="n"/>
      <c r="E83" s="17" t="n"/>
      <c r="F83" s="17" t="n"/>
      <c r="G83" s="19" t="n"/>
      <c r="H83" s="17" t="n"/>
      <c r="I83" s="17" t="n"/>
      <c r="J83" s="17" t="n"/>
      <c r="K83" s="20">
        <f>IF($B83="","",IFERROR(INDEX(الموظفات!$A$5:$A$304,MATCH($B83,الموظفات!$B$5:$B$304,0))&amp;"",""))</f>
        <v/>
      </c>
      <c r="L83" s="21">
        <f>IF($B83="","",IFERROR(INDEX(الموظفات!$C$5:$C$304,MATCH($B83,الموظفات!$B$5:$B$304,0))&amp;"",""))</f>
        <v/>
      </c>
      <c r="M83" s="20">
        <f>IF($B83="","",IFERROR(INDEX(الموظفات!$D$5:$D$304,MATCH($B83,الموظفات!$B$5:$B$304,0))&amp;"",""))</f>
        <v/>
      </c>
      <c r="N83" s="20">
        <f>IF($B83="","",IFERROR(INDEX(الموظفات!$E$5:$E$304,MATCH($B83,الموظفات!$B$5:$B$304,0))&amp;"",""))</f>
        <v/>
      </c>
      <c r="O83" s="21">
        <f>IF(C83="","",IFERROR(INDEX(الإعدادات!$D$7:$D$35,MATCH(C83,الإعدادات!$A$7:$A$35,0))&amp;"",""))</f>
        <v/>
      </c>
      <c r="P83" s="20">
        <f>IF(A83="","",INDEX(الإعدادات!$H$7:$H$18,MONTH(A83)))</f>
        <v/>
      </c>
      <c r="Q83" s="20">
        <f>IF(A83="","",INDEX(الإعدادات!$I$7:$I$18,MONTH(A83)))</f>
        <v/>
      </c>
      <c r="R83" s="20">
        <f>IF(A83="","",IF(MONTH(A83)&gt;=8,YEAR(A83)&amp;"-"&amp;(YEAR(A83)+1),(YEAR(A83)-1)&amp;"-"&amp;YEAR(A83)))</f>
        <v/>
      </c>
      <c r="S83" s="20">
        <f>IF(OR(A83="",B83=""),0,IF(AND(R83=التقارير!$C$4,OR(التقارير!$C$5="سنوي",AND(التقارير!$C$5="شهري",P83=التقارير!$C$6),AND(التقارير!$C$5="فصلي",Q83=التقارير!$C$7))),1,0))</f>
        <v/>
      </c>
      <c r="T83" s="20">
        <f>IF(S83=1,COUNTIF($S$5:S83,1),"")</f>
        <v/>
      </c>
      <c r="U83">
        <f>IF(AND($A83&lt;&gt;"",$B83&lt;&gt;"",$R83='تقرير الفصل الأول'!$C$4,$Q83='تقرير الفصل الأول'!$C$7),COUNT(U$4:U82)+1,"")</f>
        <v/>
      </c>
      <c r="V83">
        <f>IF(AND($A83&lt;&gt;"",$B83&lt;&gt;"",$R83='تقرير الفصل الثاني'!$C$4,$Q83='تقرير الفصل الثاني'!$C$7),COUNT(V$4:V82)+1,"")</f>
        <v/>
      </c>
      <c r="W83">
        <f>IF(AND($A83&lt;&gt;"",$B83&lt;&gt;"",$R83='تقرير سبتمبر'!$C$4,$P83='تقرير سبتمبر'!$C$6),COUNT(W$4:W82)+1,"")</f>
        <v/>
      </c>
      <c r="X83">
        <f>IF(AND($A83&lt;&gt;"",$B83&lt;&gt;"",$R83='تقرير أكتوبر'!$C$4,$P83='تقرير أكتوبر'!$C$6),COUNT(X$4:X82)+1,"")</f>
        <v/>
      </c>
      <c r="Y83">
        <f>IF(AND($A83&lt;&gt;"",$B83&lt;&gt;"",$R83='تقرير نوفمبر'!$C$4,$P83='تقرير نوفمبر'!$C$6),COUNT(Y$4:Y82)+1,"")</f>
        <v/>
      </c>
      <c r="Z83">
        <f>IF(AND($A83&lt;&gt;"",$B83&lt;&gt;"",$R83='تقرير ديسمبر'!$C$4,$P83='تقرير ديسمبر'!$C$6),COUNT(Z$4:Z82)+1,"")</f>
        <v/>
      </c>
      <c r="AA83">
        <f>IF(AND($A83&lt;&gt;"",$B83&lt;&gt;"",$R83='تقرير يناير'!$C$4,$P83='تقرير يناير'!$C$6),COUNT(AA$4:AA82)+1,"")</f>
        <v/>
      </c>
      <c r="AB83">
        <f>IF(AND($A83&lt;&gt;"",$B83&lt;&gt;"",$R83='تقرير فبراير'!$C$4,$P83='تقرير فبراير'!$C$6),COUNT(AB$4:AB82)+1,"")</f>
        <v/>
      </c>
      <c r="AC83">
        <f>IF(AND($A83&lt;&gt;"",$B83&lt;&gt;"",$R83='تقرير مارس'!$C$4,$P83='تقرير مارس'!$C$6),COUNT(AC$4:AC82)+1,"")</f>
        <v/>
      </c>
      <c r="AD83">
        <f>IF(AND($A83&lt;&gt;"",$B83&lt;&gt;"",$R83='تقرير أبريل'!$C$4,$P83='تقرير أبريل'!$C$6),COUNT(AD$4:AD82)+1,"")</f>
        <v/>
      </c>
      <c r="AE83">
        <f>IF(AND($A83&lt;&gt;"",$B83&lt;&gt;"",$R83='تقرير مايو'!$C$4,$P83='تقرير مايو'!$C$6),COUNT(AE$4:AE82)+1,"")</f>
        <v/>
      </c>
    </row>
    <row r="84">
      <c r="A84" s="16" t="n"/>
      <c r="B84" s="17" t="n"/>
      <c r="C84" s="17" t="n"/>
      <c r="D84" s="18" t="n"/>
      <c r="E84" s="17" t="n"/>
      <c r="F84" s="17" t="n"/>
      <c r="G84" s="19" t="n"/>
      <c r="H84" s="17" t="n"/>
      <c r="I84" s="17" t="n"/>
      <c r="J84" s="17" t="n"/>
      <c r="K84" s="20">
        <f>IF($B84="","",IFERROR(INDEX(الموظفات!$A$5:$A$304,MATCH($B84,الموظفات!$B$5:$B$304,0))&amp;"",""))</f>
        <v/>
      </c>
      <c r="L84" s="21">
        <f>IF($B84="","",IFERROR(INDEX(الموظفات!$C$5:$C$304,MATCH($B84,الموظفات!$B$5:$B$304,0))&amp;"",""))</f>
        <v/>
      </c>
      <c r="M84" s="20">
        <f>IF($B84="","",IFERROR(INDEX(الموظفات!$D$5:$D$304,MATCH($B84,الموظفات!$B$5:$B$304,0))&amp;"",""))</f>
        <v/>
      </c>
      <c r="N84" s="20">
        <f>IF($B84="","",IFERROR(INDEX(الموظفات!$E$5:$E$304,MATCH($B84,الموظفات!$B$5:$B$304,0))&amp;"",""))</f>
        <v/>
      </c>
      <c r="O84" s="21">
        <f>IF(C84="","",IFERROR(INDEX(الإعدادات!$D$7:$D$35,MATCH(C84,الإعدادات!$A$7:$A$35,0))&amp;"",""))</f>
        <v/>
      </c>
      <c r="P84" s="20">
        <f>IF(A84="","",INDEX(الإعدادات!$H$7:$H$18,MONTH(A84)))</f>
        <v/>
      </c>
      <c r="Q84" s="20">
        <f>IF(A84="","",INDEX(الإعدادات!$I$7:$I$18,MONTH(A84)))</f>
        <v/>
      </c>
      <c r="R84" s="20">
        <f>IF(A84="","",IF(MONTH(A84)&gt;=8,YEAR(A84)&amp;"-"&amp;(YEAR(A84)+1),(YEAR(A84)-1)&amp;"-"&amp;YEAR(A84)))</f>
        <v/>
      </c>
      <c r="S84" s="20">
        <f>IF(OR(A84="",B84=""),0,IF(AND(R84=التقارير!$C$4,OR(التقارير!$C$5="سنوي",AND(التقارير!$C$5="شهري",P84=التقارير!$C$6),AND(التقارير!$C$5="فصلي",Q84=التقارير!$C$7))),1,0))</f>
        <v/>
      </c>
      <c r="T84" s="20">
        <f>IF(S84=1,COUNTIF($S$5:S84,1),"")</f>
        <v/>
      </c>
      <c r="U84">
        <f>IF(AND($A84&lt;&gt;"",$B84&lt;&gt;"",$R84='تقرير الفصل الأول'!$C$4,$Q84='تقرير الفصل الأول'!$C$7),COUNT(U$4:U83)+1,"")</f>
        <v/>
      </c>
      <c r="V84">
        <f>IF(AND($A84&lt;&gt;"",$B84&lt;&gt;"",$R84='تقرير الفصل الثاني'!$C$4,$Q84='تقرير الفصل الثاني'!$C$7),COUNT(V$4:V83)+1,"")</f>
        <v/>
      </c>
      <c r="W84">
        <f>IF(AND($A84&lt;&gt;"",$B84&lt;&gt;"",$R84='تقرير سبتمبر'!$C$4,$P84='تقرير سبتمبر'!$C$6),COUNT(W$4:W83)+1,"")</f>
        <v/>
      </c>
      <c r="X84">
        <f>IF(AND($A84&lt;&gt;"",$B84&lt;&gt;"",$R84='تقرير أكتوبر'!$C$4,$P84='تقرير أكتوبر'!$C$6),COUNT(X$4:X83)+1,"")</f>
        <v/>
      </c>
      <c r="Y84">
        <f>IF(AND($A84&lt;&gt;"",$B84&lt;&gt;"",$R84='تقرير نوفمبر'!$C$4,$P84='تقرير نوفمبر'!$C$6),COUNT(Y$4:Y83)+1,"")</f>
        <v/>
      </c>
      <c r="Z84">
        <f>IF(AND($A84&lt;&gt;"",$B84&lt;&gt;"",$R84='تقرير ديسمبر'!$C$4,$P84='تقرير ديسمبر'!$C$6),COUNT(Z$4:Z83)+1,"")</f>
        <v/>
      </c>
      <c r="AA84">
        <f>IF(AND($A84&lt;&gt;"",$B84&lt;&gt;"",$R84='تقرير يناير'!$C$4,$P84='تقرير يناير'!$C$6),COUNT(AA$4:AA83)+1,"")</f>
        <v/>
      </c>
      <c r="AB84">
        <f>IF(AND($A84&lt;&gt;"",$B84&lt;&gt;"",$R84='تقرير فبراير'!$C$4,$P84='تقرير فبراير'!$C$6),COUNT(AB$4:AB83)+1,"")</f>
        <v/>
      </c>
      <c r="AC84">
        <f>IF(AND($A84&lt;&gt;"",$B84&lt;&gt;"",$R84='تقرير مارس'!$C$4,$P84='تقرير مارس'!$C$6),COUNT(AC$4:AC83)+1,"")</f>
        <v/>
      </c>
      <c r="AD84">
        <f>IF(AND($A84&lt;&gt;"",$B84&lt;&gt;"",$R84='تقرير أبريل'!$C$4,$P84='تقرير أبريل'!$C$6),COUNT(AD$4:AD83)+1,"")</f>
        <v/>
      </c>
      <c r="AE84">
        <f>IF(AND($A84&lt;&gt;"",$B84&lt;&gt;"",$R84='تقرير مايو'!$C$4,$P84='تقرير مايو'!$C$6),COUNT(AE$4:AE83)+1,"")</f>
        <v/>
      </c>
    </row>
    <row r="85">
      <c r="A85" s="16" t="n"/>
      <c r="B85" s="17" t="n"/>
      <c r="C85" s="17" t="n"/>
      <c r="D85" s="18" t="n"/>
      <c r="E85" s="17" t="n"/>
      <c r="F85" s="17" t="n"/>
      <c r="G85" s="19" t="n"/>
      <c r="H85" s="17" t="n"/>
      <c r="I85" s="17" t="n"/>
      <c r="J85" s="17" t="n"/>
      <c r="K85" s="20">
        <f>IF($B85="","",IFERROR(INDEX(الموظفات!$A$5:$A$304,MATCH($B85,الموظفات!$B$5:$B$304,0))&amp;"",""))</f>
        <v/>
      </c>
      <c r="L85" s="21">
        <f>IF($B85="","",IFERROR(INDEX(الموظفات!$C$5:$C$304,MATCH($B85,الموظفات!$B$5:$B$304,0))&amp;"",""))</f>
        <v/>
      </c>
      <c r="M85" s="20">
        <f>IF($B85="","",IFERROR(INDEX(الموظفات!$D$5:$D$304,MATCH($B85,الموظفات!$B$5:$B$304,0))&amp;"",""))</f>
        <v/>
      </c>
      <c r="N85" s="20">
        <f>IF($B85="","",IFERROR(INDEX(الموظفات!$E$5:$E$304,MATCH($B85,الموظفات!$B$5:$B$304,0))&amp;"",""))</f>
        <v/>
      </c>
      <c r="O85" s="21">
        <f>IF(C85="","",IFERROR(INDEX(الإعدادات!$D$7:$D$35,MATCH(C85,الإعدادات!$A$7:$A$35,0))&amp;"",""))</f>
        <v/>
      </c>
      <c r="P85" s="20">
        <f>IF(A85="","",INDEX(الإعدادات!$H$7:$H$18,MONTH(A85)))</f>
        <v/>
      </c>
      <c r="Q85" s="20">
        <f>IF(A85="","",INDEX(الإعدادات!$I$7:$I$18,MONTH(A85)))</f>
        <v/>
      </c>
      <c r="R85" s="20">
        <f>IF(A85="","",IF(MONTH(A85)&gt;=8,YEAR(A85)&amp;"-"&amp;(YEAR(A85)+1),(YEAR(A85)-1)&amp;"-"&amp;YEAR(A85)))</f>
        <v/>
      </c>
      <c r="S85" s="20">
        <f>IF(OR(A85="",B85=""),0,IF(AND(R85=التقارير!$C$4,OR(التقارير!$C$5="سنوي",AND(التقارير!$C$5="شهري",P85=التقارير!$C$6),AND(التقارير!$C$5="فصلي",Q85=التقارير!$C$7))),1,0))</f>
        <v/>
      </c>
      <c r="T85" s="20">
        <f>IF(S85=1,COUNTIF($S$5:S85,1),"")</f>
        <v/>
      </c>
      <c r="U85">
        <f>IF(AND($A85&lt;&gt;"",$B85&lt;&gt;"",$R85='تقرير الفصل الأول'!$C$4,$Q85='تقرير الفصل الأول'!$C$7),COUNT(U$4:U84)+1,"")</f>
        <v/>
      </c>
      <c r="V85">
        <f>IF(AND($A85&lt;&gt;"",$B85&lt;&gt;"",$R85='تقرير الفصل الثاني'!$C$4,$Q85='تقرير الفصل الثاني'!$C$7),COUNT(V$4:V84)+1,"")</f>
        <v/>
      </c>
      <c r="W85">
        <f>IF(AND($A85&lt;&gt;"",$B85&lt;&gt;"",$R85='تقرير سبتمبر'!$C$4,$P85='تقرير سبتمبر'!$C$6),COUNT(W$4:W84)+1,"")</f>
        <v/>
      </c>
      <c r="X85">
        <f>IF(AND($A85&lt;&gt;"",$B85&lt;&gt;"",$R85='تقرير أكتوبر'!$C$4,$P85='تقرير أكتوبر'!$C$6),COUNT(X$4:X84)+1,"")</f>
        <v/>
      </c>
      <c r="Y85">
        <f>IF(AND($A85&lt;&gt;"",$B85&lt;&gt;"",$R85='تقرير نوفمبر'!$C$4,$P85='تقرير نوفمبر'!$C$6),COUNT(Y$4:Y84)+1,"")</f>
        <v/>
      </c>
      <c r="Z85">
        <f>IF(AND($A85&lt;&gt;"",$B85&lt;&gt;"",$R85='تقرير ديسمبر'!$C$4,$P85='تقرير ديسمبر'!$C$6),COUNT(Z$4:Z84)+1,"")</f>
        <v/>
      </c>
      <c r="AA85">
        <f>IF(AND($A85&lt;&gt;"",$B85&lt;&gt;"",$R85='تقرير يناير'!$C$4,$P85='تقرير يناير'!$C$6),COUNT(AA$4:AA84)+1,"")</f>
        <v/>
      </c>
      <c r="AB85">
        <f>IF(AND($A85&lt;&gt;"",$B85&lt;&gt;"",$R85='تقرير فبراير'!$C$4,$P85='تقرير فبراير'!$C$6),COUNT(AB$4:AB84)+1,"")</f>
        <v/>
      </c>
      <c r="AC85">
        <f>IF(AND($A85&lt;&gt;"",$B85&lt;&gt;"",$R85='تقرير مارس'!$C$4,$P85='تقرير مارس'!$C$6),COUNT(AC$4:AC84)+1,"")</f>
        <v/>
      </c>
      <c r="AD85">
        <f>IF(AND($A85&lt;&gt;"",$B85&lt;&gt;"",$R85='تقرير أبريل'!$C$4,$P85='تقرير أبريل'!$C$6),COUNT(AD$4:AD84)+1,"")</f>
        <v/>
      </c>
      <c r="AE85">
        <f>IF(AND($A85&lt;&gt;"",$B85&lt;&gt;"",$R85='تقرير مايو'!$C$4,$P85='تقرير مايو'!$C$6),COUNT(AE$4:AE84)+1,"")</f>
        <v/>
      </c>
    </row>
    <row r="86">
      <c r="A86" s="16" t="n"/>
      <c r="B86" s="17" t="n"/>
      <c r="C86" s="17" t="n"/>
      <c r="D86" s="18" t="n"/>
      <c r="E86" s="17" t="n"/>
      <c r="F86" s="17" t="n"/>
      <c r="G86" s="19" t="n"/>
      <c r="H86" s="17" t="n"/>
      <c r="I86" s="17" t="n"/>
      <c r="J86" s="17" t="n"/>
      <c r="K86" s="20">
        <f>IF($B86="","",IFERROR(INDEX(الموظفات!$A$5:$A$304,MATCH($B86,الموظفات!$B$5:$B$304,0))&amp;"",""))</f>
        <v/>
      </c>
      <c r="L86" s="21">
        <f>IF($B86="","",IFERROR(INDEX(الموظفات!$C$5:$C$304,MATCH($B86,الموظفات!$B$5:$B$304,0))&amp;"",""))</f>
        <v/>
      </c>
      <c r="M86" s="20">
        <f>IF($B86="","",IFERROR(INDEX(الموظفات!$D$5:$D$304,MATCH($B86,الموظفات!$B$5:$B$304,0))&amp;"",""))</f>
        <v/>
      </c>
      <c r="N86" s="20">
        <f>IF($B86="","",IFERROR(INDEX(الموظفات!$E$5:$E$304,MATCH($B86,الموظفات!$B$5:$B$304,0))&amp;"",""))</f>
        <v/>
      </c>
      <c r="O86" s="21">
        <f>IF(C86="","",IFERROR(INDEX(الإعدادات!$D$7:$D$35,MATCH(C86,الإعدادات!$A$7:$A$35,0))&amp;"",""))</f>
        <v/>
      </c>
      <c r="P86" s="20">
        <f>IF(A86="","",INDEX(الإعدادات!$H$7:$H$18,MONTH(A86)))</f>
        <v/>
      </c>
      <c r="Q86" s="20">
        <f>IF(A86="","",INDEX(الإعدادات!$I$7:$I$18,MONTH(A86)))</f>
        <v/>
      </c>
      <c r="R86" s="20">
        <f>IF(A86="","",IF(MONTH(A86)&gt;=8,YEAR(A86)&amp;"-"&amp;(YEAR(A86)+1),(YEAR(A86)-1)&amp;"-"&amp;YEAR(A86)))</f>
        <v/>
      </c>
      <c r="S86" s="20">
        <f>IF(OR(A86="",B86=""),0,IF(AND(R86=التقارير!$C$4,OR(التقارير!$C$5="سنوي",AND(التقارير!$C$5="شهري",P86=التقارير!$C$6),AND(التقارير!$C$5="فصلي",Q86=التقارير!$C$7))),1,0))</f>
        <v/>
      </c>
      <c r="T86" s="20">
        <f>IF(S86=1,COUNTIF($S$5:S86,1),"")</f>
        <v/>
      </c>
      <c r="U86">
        <f>IF(AND($A86&lt;&gt;"",$B86&lt;&gt;"",$R86='تقرير الفصل الأول'!$C$4,$Q86='تقرير الفصل الأول'!$C$7),COUNT(U$4:U85)+1,"")</f>
        <v/>
      </c>
      <c r="V86">
        <f>IF(AND($A86&lt;&gt;"",$B86&lt;&gt;"",$R86='تقرير الفصل الثاني'!$C$4,$Q86='تقرير الفصل الثاني'!$C$7),COUNT(V$4:V85)+1,"")</f>
        <v/>
      </c>
      <c r="W86">
        <f>IF(AND($A86&lt;&gt;"",$B86&lt;&gt;"",$R86='تقرير سبتمبر'!$C$4,$P86='تقرير سبتمبر'!$C$6),COUNT(W$4:W85)+1,"")</f>
        <v/>
      </c>
      <c r="X86">
        <f>IF(AND($A86&lt;&gt;"",$B86&lt;&gt;"",$R86='تقرير أكتوبر'!$C$4,$P86='تقرير أكتوبر'!$C$6),COUNT(X$4:X85)+1,"")</f>
        <v/>
      </c>
      <c r="Y86">
        <f>IF(AND($A86&lt;&gt;"",$B86&lt;&gt;"",$R86='تقرير نوفمبر'!$C$4,$P86='تقرير نوفمبر'!$C$6),COUNT(Y$4:Y85)+1,"")</f>
        <v/>
      </c>
      <c r="Z86">
        <f>IF(AND($A86&lt;&gt;"",$B86&lt;&gt;"",$R86='تقرير ديسمبر'!$C$4,$P86='تقرير ديسمبر'!$C$6),COUNT(Z$4:Z85)+1,"")</f>
        <v/>
      </c>
      <c r="AA86">
        <f>IF(AND($A86&lt;&gt;"",$B86&lt;&gt;"",$R86='تقرير يناير'!$C$4,$P86='تقرير يناير'!$C$6),COUNT(AA$4:AA85)+1,"")</f>
        <v/>
      </c>
      <c r="AB86">
        <f>IF(AND($A86&lt;&gt;"",$B86&lt;&gt;"",$R86='تقرير فبراير'!$C$4,$P86='تقرير فبراير'!$C$6),COUNT(AB$4:AB85)+1,"")</f>
        <v/>
      </c>
      <c r="AC86">
        <f>IF(AND($A86&lt;&gt;"",$B86&lt;&gt;"",$R86='تقرير مارس'!$C$4,$P86='تقرير مارس'!$C$6),COUNT(AC$4:AC85)+1,"")</f>
        <v/>
      </c>
      <c r="AD86">
        <f>IF(AND($A86&lt;&gt;"",$B86&lt;&gt;"",$R86='تقرير أبريل'!$C$4,$P86='تقرير أبريل'!$C$6),COUNT(AD$4:AD85)+1,"")</f>
        <v/>
      </c>
      <c r="AE86">
        <f>IF(AND($A86&lt;&gt;"",$B86&lt;&gt;"",$R86='تقرير مايو'!$C$4,$P86='تقرير مايو'!$C$6),COUNT(AE$4:AE85)+1,"")</f>
        <v/>
      </c>
    </row>
    <row r="87">
      <c r="A87" s="16" t="n"/>
      <c r="B87" s="17" t="n"/>
      <c r="C87" s="17" t="n"/>
      <c r="D87" s="18" t="n"/>
      <c r="E87" s="17" t="n"/>
      <c r="F87" s="17" t="n"/>
      <c r="G87" s="19" t="n"/>
      <c r="H87" s="17" t="n"/>
      <c r="I87" s="17" t="n"/>
      <c r="J87" s="17" t="n"/>
      <c r="K87" s="20">
        <f>IF($B87="","",IFERROR(INDEX(الموظفات!$A$5:$A$304,MATCH($B87,الموظفات!$B$5:$B$304,0))&amp;"",""))</f>
        <v/>
      </c>
      <c r="L87" s="21">
        <f>IF($B87="","",IFERROR(INDEX(الموظفات!$C$5:$C$304,MATCH($B87,الموظفات!$B$5:$B$304,0))&amp;"",""))</f>
        <v/>
      </c>
      <c r="M87" s="20">
        <f>IF($B87="","",IFERROR(INDEX(الموظفات!$D$5:$D$304,MATCH($B87,الموظفات!$B$5:$B$304,0))&amp;"",""))</f>
        <v/>
      </c>
      <c r="N87" s="20">
        <f>IF($B87="","",IFERROR(INDEX(الموظفات!$E$5:$E$304,MATCH($B87,الموظفات!$B$5:$B$304,0))&amp;"",""))</f>
        <v/>
      </c>
      <c r="O87" s="21">
        <f>IF(C87="","",IFERROR(INDEX(الإعدادات!$D$7:$D$35,MATCH(C87,الإعدادات!$A$7:$A$35,0))&amp;"",""))</f>
        <v/>
      </c>
      <c r="P87" s="20">
        <f>IF(A87="","",INDEX(الإعدادات!$H$7:$H$18,MONTH(A87)))</f>
        <v/>
      </c>
      <c r="Q87" s="20">
        <f>IF(A87="","",INDEX(الإعدادات!$I$7:$I$18,MONTH(A87)))</f>
        <v/>
      </c>
      <c r="R87" s="20">
        <f>IF(A87="","",IF(MONTH(A87)&gt;=8,YEAR(A87)&amp;"-"&amp;(YEAR(A87)+1),(YEAR(A87)-1)&amp;"-"&amp;YEAR(A87)))</f>
        <v/>
      </c>
      <c r="S87" s="20">
        <f>IF(OR(A87="",B87=""),0,IF(AND(R87=التقارير!$C$4,OR(التقارير!$C$5="سنوي",AND(التقارير!$C$5="شهري",P87=التقارير!$C$6),AND(التقارير!$C$5="فصلي",Q87=التقارير!$C$7))),1,0))</f>
        <v/>
      </c>
      <c r="T87" s="20">
        <f>IF(S87=1,COUNTIF($S$5:S87,1),"")</f>
        <v/>
      </c>
      <c r="U87">
        <f>IF(AND($A87&lt;&gt;"",$B87&lt;&gt;"",$R87='تقرير الفصل الأول'!$C$4,$Q87='تقرير الفصل الأول'!$C$7),COUNT(U$4:U86)+1,"")</f>
        <v/>
      </c>
      <c r="V87">
        <f>IF(AND($A87&lt;&gt;"",$B87&lt;&gt;"",$R87='تقرير الفصل الثاني'!$C$4,$Q87='تقرير الفصل الثاني'!$C$7),COUNT(V$4:V86)+1,"")</f>
        <v/>
      </c>
      <c r="W87">
        <f>IF(AND($A87&lt;&gt;"",$B87&lt;&gt;"",$R87='تقرير سبتمبر'!$C$4,$P87='تقرير سبتمبر'!$C$6),COUNT(W$4:W86)+1,"")</f>
        <v/>
      </c>
      <c r="X87">
        <f>IF(AND($A87&lt;&gt;"",$B87&lt;&gt;"",$R87='تقرير أكتوبر'!$C$4,$P87='تقرير أكتوبر'!$C$6),COUNT(X$4:X86)+1,"")</f>
        <v/>
      </c>
      <c r="Y87">
        <f>IF(AND($A87&lt;&gt;"",$B87&lt;&gt;"",$R87='تقرير نوفمبر'!$C$4,$P87='تقرير نوفمبر'!$C$6),COUNT(Y$4:Y86)+1,"")</f>
        <v/>
      </c>
      <c r="Z87">
        <f>IF(AND($A87&lt;&gt;"",$B87&lt;&gt;"",$R87='تقرير ديسمبر'!$C$4,$P87='تقرير ديسمبر'!$C$6),COUNT(Z$4:Z86)+1,"")</f>
        <v/>
      </c>
      <c r="AA87">
        <f>IF(AND($A87&lt;&gt;"",$B87&lt;&gt;"",$R87='تقرير يناير'!$C$4,$P87='تقرير يناير'!$C$6),COUNT(AA$4:AA86)+1,"")</f>
        <v/>
      </c>
      <c r="AB87">
        <f>IF(AND($A87&lt;&gt;"",$B87&lt;&gt;"",$R87='تقرير فبراير'!$C$4,$P87='تقرير فبراير'!$C$6),COUNT(AB$4:AB86)+1,"")</f>
        <v/>
      </c>
      <c r="AC87">
        <f>IF(AND($A87&lt;&gt;"",$B87&lt;&gt;"",$R87='تقرير مارس'!$C$4,$P87='تقرير مارس'!$C$6),COUNT(AC$4:AC86)+1,"")</f>
        <v/>
      </c>
      <c r="AD87">
        <f>IF(AND($A87&lt;&gt;"",$B87&lt;&gt;"",$R87='تقرير أبريل'!$C$4,$P87='تقرير أبريل'!$C$6),COUNT(AD$4:AD86)+1,"")</f>
        <v/>
      </c>
      <c r="AE87">
        <f>IF(AND($A87&lt;&gt;"",$B87&lt;&gt;"",$R87='تقرير مايو'!$C$4,$P87='تقرير مايو'!$C$6),COUNT(AE$4:AE86)+1,"")</f>
        <v/>
      </c>
    </row>
    <row r="88">
      <c r="A88" s="16" t="n"/>
      <c r="B88" s="17" t="n"/>
      <c r="C88" s="17" t="n"/>
      <c r="D88" s="18" t="n"/>
      <c r="E88" s="17" t="n"/>
      <c r="F88" s="17" t="n"/>
      <c r="G88" s="19" t="n"/>
      <c r="H88" s="17" t="n"/>
      <c r="I88" s="17" t="n"/>
      <c r="J88" s="17" t="n"/>
      <c r="K88" s="20">
        <f>IF($B88="","",IFERROR(INDEX(الموظفات!$A$5:$A$304,MATCH($B88,الموظفات!$B$5:$B$304,0))&amp;"",""))</f>
        <v/>
      </c>
      <c r="L88" s="21">
        <f>IF($B88="","",IFERROR(INDEX(الموظفات!$C$5:$C$304,MATCH($B88,الموظفات!$B$5:$B$304,0))&amp;"",""))</f>
        <v/>
      </c>
      <c r="M88" s="20">
        <f>IF($B88="","",IFERROR(INDEX(الموظفات!$D$5:$D$304,MATCH($B88,الموظفات!$B$5:$B$304,0))&amp;"",""))</f>
        <v/>
      </c>
      <c r="N88" s="20">
        <f>IF($B88="","",IFERROR(INDEX(الموظفات!$E$5:$E$304,MATCH($B88,الموظفات!$B$5:$B$304,0))&amp;"",""))</f>
        <v/>
      </c>
      <c r="O88" s="21">
        <f>IF(C88="","",IFERROR(INDEX(الإعدادات!$D$7:$D$35,MATCH(C88,الإعدادات!$A$7:$A$35,0))&amp;"",""))</f>
        <v/>
      </c>
      <c r="P88" s="20">
        <f>IF(A88="","",INDEX(الإعدادات!$H$7:$H$18,MONTH(A88)))</f>
        <v/>
      </c>
      <c r="Q88" s="20">
        <f>IF(A88="","",INDEX(الإعدادات!$I$7:$I$18,MONTH(A88)))</f>
        <v/>
      </c>
      <c r="R88" s="20">
        <f>IF(A88="","",IF(MONTH(A88)&gt;=8,YEAR(A88)&amp;"-"&amp;(YEAR(A88)+1),(YEAR(A88)-1)&amp;"-"&amp;YEAR(A88)))</f>
        <v/>
      </c>
      <c r="S88" s="20">
        <f>IF(OR(A88="",B88=""),0,IF(AND(R88=التقارير!$C$4,OR(التقارير!$C$5="سنوي",AND(التقارير!$C$5="شهري",P88=التقارير!$C$6),AND(التقارير!$C$5="فصلي",Q88=التقارير!$C$7))),1,0))</f>
        <v/>
      </c>
      <c r="T88" s="20">
        <f>IF(S88=1,COUNTIF($S$5:S88,1),"")</f>
        <v/>
      </c>
      <c r="U88">
        <f>IF(AND($A88&lt;&gt;"",$B88&lt;&gt;"",$R88='تقرير الفصل الأول'!$C$4,$Q88='تقرير الفصل الأول'!$C$7),COUNT(U$4:U87)+1,"")</f>
        <v/>
      </c>
      <c r="V88">
        <f>IF(AND($A88&lt;&gt;"",$B88&lt;&gt;"",$R88='تقرير الفصل الثاني'!$C$4,$Q88='تقرير الفصل الثاني'!$C$7),COUNT(V$4:V87)+1,"")</f>
        <v/>
      </c>
      <c r="W88">
        <f>IF(AND($A88&lt;&gt;"",$B88&lt;&gt;"",$R88='تقرير سبتمبر'!$C$4,$P88='تقرير سبتمبر'!$C$6),COUNT(W$4:W87)+1,"")</f>
        <v/>
      </c>
      <c r="X88">
        <f>IF(AND($A88&lt;&gt;"",$B88&lt;&gt;"",$R88='تقرير أكتوبر'!$C$4,$P88='تقرير أكتوبر'!$C$6),COUNT(X$4:X87)+1,"")</f>
        <v/>
      </c>
      <c r="Y88">
        <f>IF(AND($A88&lt;&gt;"",$B88&lt;&gt;"",$R88='تقرير نوفمبر'!$C$4,$P88='تقرير نوفمبر'!$C$6),COUNT(Y$4:Y87)+1,"")</f>
        <v/>
      </c>
      <c r="Z88">
        <f>IF(AND($A88&lt;&gt;"",$B88&lt;&gt;"",$R88='تقرير ديسمبر'!$C$4,$P88='تقرير ديسمبر'!$C$6),COUNT(Z$4:Z87)+1,"")</f>
        <v/>
      </c>
      <c r="AA88">
        <f>IF(AND($A88&lt;&gt;"",$B88&lt;&gt;"",$R88='تقرير يناير'!$C$4,$P88='تقرير يناير'!$C$6),COUNT(AA$4:AA87)+1,"")</f>
        <v/>
      </c>
      <c r="AB88">
        <f>IF(AND($A88&lt;&gt;"",$B88&lt;&gt;"",$R88='تقرير فبراير'!$C$4,$P88='تقرير فبراير'!$C$6),COUNT(AB$4:AB87)+1,"")</f>
        <v/>
      </c>
      <c r="AC88">
        <f>IF(AND($A88&lt;&gt;"",$B88&lt;&gt;"",$R88='تقرير مارس'!$C$4,$P88='تقرير مارس'!$C$6),COUNT(AC$4:AC87)+1,"")</f>
        <v/>
      </c>
      <c r="AD88">
        <f>IF(AND($A88&lt;&gt;"",$B88&lt;&gt;"",$R88='تقرير أبريل'!$C$4,$P88='تقرير أبريل'!$C$6),COUNT(AD$4:AD87)+1,"")</f>
        <v/>
      </c>
      <c r="AE88">
        <f>IF(AND($A88&lt;&gt;"",$B88&lt;&gt;"",$R88='تقرير مايو'!$C$4,$P88='تقرير مايو'!$C$6),COUNT(AE$4:AE87)+1,"")</f>
        <v/>
      </c>
    </row>
    <row r="89">
      <c r="A89" s="16" t="n"/>
      <c r="B89" s="17" t="n"/>
      <c r="C89" s="17" t="n"/>
      <c r="D89" s="18" t="n"/>
      <c r="E89" s="17" t="n"/>
      <c r="F89" s="17" t="n"/>
      <c r="G89" s="19" t="n"/>
      <c r="H89" s="17" t="n"/>
      <c r="I89" s="17" t="n"/>
      <c r="J89" s="17" t="n"/>
      <c r="K89" s="20">
        <f>IF($B89="","",IFERROR(INDEX(الموظفات!$A$5:$A$304,MATCH($B89,الموظفات!$B$5:$B$304,0))&amp;"",""))</f>
        <v/>
      </c>
      <c r="L89" s="21">
        <f>IF($B89="","",IFERROR(INDEX(الموظفات!$C$5:$C$304,MATCH($B89,الموظفات!$B$5:$B$304,0))&amp;"",""))</f>
        <v/>
      </c>
      <c r="M89" s="20">
        <f>IF($B89="","",IFERROR(INDEX(الموظفات!$D$5:$D$304,MATCH($B89,الموظفات!$B$5:$B$304,0))&amp;"",""))</f>
        <v/>
      </c>
      <c r="N89" s="20">
        <f>IF($B89="","",IFERROR(INDEX(الموظفات!$E$5:$E$304,MATCH($B89,الموظفات!$B$5:$B$304,0))&amp;"",""))</f>
        <v/>
      </c>
      <c r="O89" s="21">
        <f>IF(C89="","",IFERROR(INDEX(الإعدادات!$D$7:$D$35,MATCH(C89,الإعدادات!$A$7:$A$35,0))&amp;"",""))</f>
        <v/>
      </c>
      <c r="P89" s="20">
        <f>IF(A89="","",INDEX(الإعدادات!$H$7:$H$18,MONTH(A89)))</f>
        <v/>
      </c>
      <c r="Q89" s="20">
        <f>IF(A89="","",INDEX(الإعدادات!$I$7:$I$18,MONTH(A89)))</f>
        <v/>
      </c>
      <c r="R89" s="20">
        <f>IF(A89="","",IF(MONTH(A89)&gt;=8,YEAR(A89)&amp;"-"&amp;(YEAR(A89)+1),(YEAR(A89)-1)&amp;"-"&amp;YEAR(A89)))</f>
        <v/>
      </c>
      <c r="S89" s="20">
        <f>IF(OR(A89="",B89=""),0,IF(AND(R89=التقارير!$C$4,OR(التقارير!$C$5="سنوي",AND(التقارير!$C$5="شهري",P89=التقارير!$C$6),AND(التقارير!$C$5="فصلي",Q89=التقارير!$C$7))),1,0))</f>
        <v/>
      </c>
      <c r="T89" s="20">
        <f>IF(S89=1,COUNTIF($S$5:S89,1),"")</f>
        <v/>
      </c>
      <c r="U89">
        <f>IF(AND($A89&lt;&gt;"",$B89&lt;&gt;"",$R89='تقرير الفصل الأول'!$C$4,$Q89='تقرير الفصل الأول'!$C$7),COUNT(U$4:U88)+1,"")</f>
        <v/>
      </c>
      <c r="V89">
        <f>IF(AND($A89&lt;&gt;"",$B89&lt;&gt;"",$R89='تقرير الفصل الثاني'!$C$4,$Q89='تقرير الفصل الثاني'!$C$7),COUNT(V$4:V88)+1,"")</f>
        <v/>
      </c>
      <c r="W89">
        <f>IF(AND($A89&lt;&gt;"",$B89&lt;&gt;"",$R89='تقرير سبتمبر'!$C$4,$P89='تقرير سبتمبر'!$C$6),COUNT(W$4:W88)+1,"")</f>
        <v/>
      </c>
      <c r="X89">
        <f>IF(AND($A89&lt;&gt;"",$B89&lt;&gt;"",$R89='تقرير أكتوبر'!$C$4,$P89='تقرير أكتوبر'!$C$6),COUNT(X$4:X88)+1,"")</f>
        <v/>
      </c>
      <c r="Y89">
        <f>IF(AND($A89&lt;&gt;"",$B89&lt;&gt;"",$R89='تقرير نوفمبر'!$C$4,$P89='تقرير نوفمبر'!$C$6),COUNT(Y$4:Y88)+1,"")</f>
        <v/>
      </c>
      <c r="Z89">
        <f>IF(AND($A89&lt;&gt;"",$B89&lt;&gt;"",$R89='تقرير ديسمبر'!$C$4,$P89='تقرير ديسمبر'!$C$6),COUNT(Z$4:Z88)+1,"")</f>
        <v/>
      </c>
      <c r="AA89">
        <f>IF(AND($A89&lt;&gt;"",$B89&lt;&gt;"",$R89='تقرير يناير'!$C$4,$P89='تقرير يناير'!$C$6),COUNT(AA$4:AA88)+1,"")</f>
        <v/>
      </c>
      <c r="AB89">
        <f>IF(AND($A89&lt;&gt;"",$B89&lt;&gt;"",$R89='تقرير فبراير'!$C$4,$P89='تقرير فبراير'!$C$6),COUNT(AB$4:AB88)+1,"")</f>
        <v/>
      </c>
      <c r="AC89">
        <f>IF(AND($A89&lt;&gt;"",$B89&lt;&gt;"",$R89='تقرير مارس'!$C$4,$P89='تقرير مارس'!$C$6),COUNT(AC$4:AC88)+1,"")</f>
        <v/>
      </c>
      <c r="AD89">
        <f>IF(AND($A89&lt;&gt;"",$B89&lt;&gt;"",$R89='تقرير أبريل'!$C$4,$P89='تقرير أبريل'!$C$6),COUNT(AD$4:AD88)+1,"")</f>
        <v/>
      </c>
      <c r="AE89">
        <f>IF(AND($A89&lt;&gt;"",$B89&lt;&gt;"",$R89='تقرير مايو'!$C$4,$P89='تقرير مايو'!$C$6),COUNT(AE$4:AE88)+1,"")</f>
        <v/>
      </c>
    </row>
    <row r="90">
      <c r="A90" s="16" t="n"/>
      <c r="B90" s="17" t="n"/>
      <c r="C90" s="17" t="n"/>
      <c r="D90" s="18" t="n"/>
      <c r="E90" s="17" t="n"/>
      <c r="F90" s="17" t="n"/>
      <c r="G90" s="19" t="n"/>
      <c r="H90" s="17" t="n"/>
      <c r="I90" s="17" t="n"/>
      <c r="J90" s="17" t="n"/>
      <c r="K90" s="20">
        <f>IF($B90="","",IFERROR(INDEX(الموظفات!$A$5:$A$304,MATCH($B90,الموظفات!$B$5:$B$304,0))&amp;"",""))</f>
        <v/>
      </c>
      <c r="L90" s="21">
        <f>IF($B90="","",IFERROR(INDEX(الموظفات!$C$5:$C$304,MATCH($B90,الموظفات!$B$5:$B$304,0))&amp;"",""))</f>
        <v/>
      </c>
      <c r="M90" s="20">
        <f>IF($B90="","",IFERROR(INDEX(الموظفات!$D$5:$D$304,MATCH($B90,الموظفات!$B$5:$B$304,0))&amp;"",""))</f>
        <v/>
      </c>
      <c r="N90" s="20">
        <f>IF($B90="","",IFERROR(INDEX(الموظفات!$E$5:$E$304,MATCH($B90,الموظفات!$B$5:$B$304,0))&amp;"",""))</f>
        <v/>
      </c>
      <c r="O90" s="21">
        <f>IF(C90="","",IFERROR(INDEX(الإعدادات!$D$7:$D$35,MATCH(C90,الإعدادات!$A$7:$A$35,0))&amp;"",""))</f>
        <v/>
      </c>
      <c r="P90" s="20">
        <f>IF(A90="","",INDEX(الإعدادات!$H$7:$H$18,MONTH(A90)))</f>
        <v/>
      </c>
      <c r="Q90" s="20">
        <f>IF(A90="","",INDEX(الإعدادات!$I$7:$I$18,MONTH(A90)))</f>
        <v/>
      </c>
      <c r="R90" s="20">
        <f>IF(A90="","",IF(MONTH(A90)&gt;=8,YEAR(A90)&amp;"-"&amp;(YEAR(A90)+1),(YEAR(A90)-1)&amp;"-"&amp;YEAR(A90)))</f>
        <v/>
      </c>
      <c r="S90" s="20">
        <f>IF(OR(A90="",B90=""),0,IF(AND(R90=التقارير!$C$4,OR(التقارير!$C$5="سنوي",AND(التقارير!$C$5="شهري",P90=التقارير!$C$6),AND(التقارير!$C$5="فصلي",Q90=التقارير!$C$7))),1,0))</f>
        <v/>
      </c>
      <c r="T90" s="20">
        <f>IF(S90=1,COUNTIF($S$5:S90,1),"")</f>
        <v/>
      </c>
      <c r="U90">
        <f>IF(AND($A90&lt;&gt;"",$B90&lt;&gt;"",$R90='تقرير الفصل الأول'!$C$4,$Q90='تقرير الفصل الأول'!$C$7),COUNT(U$4:U89)+1,"")</f>
        <v/>
      </c>
      <c r="V90">
        <f>IF(AND($A90&lt;&gt;"",$B90&lt;&gt;"",$R90='تقرير الفصل الثاني'!$C$4,$Q90='تقرير الفصل الثاني'!$C$7),COUNT(V$4:V89)+1,"")</f>
        <v/>
      </c>
      <c r="W90">
        <f>IF(AND($A90&lt;&gt;"",$B90&lt;&gt;"",$R90='تقرير سبتمبر'!$C$4,$P90='تقرير سبتمبر'!$C$6),COUNT(W$4:W89)+1,"")</f>
        <v/>
      </c>
      <c r="X90">
        <f>IF(AND($A90&lt;&gt;"",$B90&lt;&gt;"",$R90='تقرير أكتوبر'!$C$4,$P90='تقرير أكتوبر'!$C$6),COUNT(X$4:X89)+1,"")</f>
        <v/>
      </c>
      <c r="Y90">
        <f>IF(AND($A90&lt;&gt;"",$B90&lt;&gt;"",$R90='تقرير نوفمبر'!$C$4,$P90='تقرير نوفمبر'!$C$6),COUNT(Y$4:Y89)+1,"")</f>
        <v/>
      </c>
      <c r="Z90">
        <f>IF(AND($A90&lt;&gt;"",$B90&lt;&gt;"",$R90='تقرير ديسمبر'!$C$4,$P90='تقرير ديسمبر'!$C$6),COUNT(Z$4:Z89)+1,"")</f>
        <v/>
      </c>
      <c r="AA90">
        <f>IF(AND($A90&lt;&gt;"",$B90&lt;&gt;"",$R90='تقرير يناير'!$C$4,$P90='تقرير يناير'!$C$6),COUNT(AA$4:AA89)+1,"")</f>
        <v/>
      </c>
      <c r="AB90">
        <f>IF(AND($A90&lt;&gt;"",$B90&lt;&gt;"",$R90='تقرير فبراير'!$C$4,$P90='تقرير فبراير'!$C$6),COUNT(AB$4:AB89)+1,"")</f>
        <v/>
      </c>
      <c r="AC90">
        <f>IF(AND($A90&lt;&gt;"",$B90&lt;&gt;"",$R90='تقرير مارس'!$C$4,$P90='تقرير مارس'!$C$6),COUNT(AC$4:AC89)+1,"")</f>
        <v/>
      </c>
      <c r="AD90">
        <f>IF(AND($A90&lt;&gt;"",$B90&lt;&gt;"",$R90='تقرير أبريل'!$C$4,$P90='تقرير أبريل'!$C$6),COUNT(AD$4:AD89)+1,"")</f>
        <v/>
      </c>
      <c r="AE90">
        <f>IF(AND($A90&lt;&gt;"",$B90&lt;&gt;"",$R90='تقرير مايو'!$C$4,$P90='تقرير مايو'!$C$6),COUNT(AE$4:AE89)+1,"")</f>
        <v/>
      </c>
    </row>
    <row r="91">
      <c r="A91" s="16" t="n"/>
      <c r="B91" s="17" t="n"/>
      <c r="C91" s="17" t="n"/>
      <c r="D91" s="18" t="n"/>
      <c r="E91" s="17" t="n"/>
      <c r="F91" s="17" t="n"/>
      <c r="G91" s="19" t="n"/>
      <c r="H91" s="17" t="n"/>
      <c r="I91" s="17" t="n"/>
      <c r="J91" s="17" t="n"/>
      <c r="K91" s="20">
        <f>IF($B91="","",IFERROR(INDEX(الموظفات!$A$5:$A$304,MATCH($B91,الموظفات!$B$5:$B$304,0))&amp;"",""))</f>
        <v/>
      </c>
      <c r="L91" s="21">
        <f>IF($B91="","",IFERROR(INDEX(الموظفات!$C$5:$C$304,MATCH($B91,الموظفات!$B$5:$B$304,0))&amp;"",""))</f>
        <v/>
      </c>
      <c r="M91" s="20">
        <f>IF($B91="","",IFERROR(INDEX(الموظفات!$D$5:$D$304,MATCH($B91,الموظفات!$B$5:$B$304,0))&amp;"",""))</f>
        <v/>
      </c>
      <c r="N91" s="20">
        <f>IF($B91="","",IFERROR(INDEX(الموظفات!$E$5:$E$304,MATCH($B91,الموظفات!$B$5:$B$304,0))&amp;"",""))</f>
        <v/>
      </c>
      <c r="O91" s="21">
        <f>IF(C91="","",IFERROR(INDEX(الإعدادات!$D$7:$D$35,MATCH(C91,الإعدادات!$A$7:$A$35,0))&amp;"",""))</f>
        <v/>
      </c>
      <c r="P91" s="20">
        <f>IF(A91="","",INDEX(الإعدادات!$H$7:$H$18,MONTH(A91)))</f>
        <v/>
      </c>
      <c r="Q91" s="20">
        <f>IF(A91="","",INDEX(الإعدادات!$I$7:$I$18,MONTH(A91)))</f>
        <v/>
      </c>
      <c r="R91" s="20">
        <f>IF(A91="","",IF(MONTH(A91)&gt;=8,YEAR(A91)&amp;"-"&amp;(YEAR(A91)+1),(YEAR(A91)-1)&amp;"-"&amp;YEAR(A91)))</f>
        <v/>
      </c>
      <c r="S91" s="20">
        <f>IF(OR(A91="",B91=""),0,IF(AND(R91=التقارير!$C$4,OR(التقارير!$C$5="سنوي",AND(التقارير!$C$5="شهري",P91=التقارير!$C$6),AND(التقارير!$C$5="فصلي",Q91=التقارير!$C$7))),1,0))</f>
        <v/>
      </c>
      <c r="T91" s="20">
        <f>IF(S91=1,COUNTIF($S$5:S91,1),"")</f>
        <v/>
      </c>
      <c r="U91">
        <f>IF(AND($A91&lt;&gt;"",$B91&lt;&gt;"",$R91='تقرير الفصل الأول'!$C$4,$Q91='تقرير الفصل الأول'!$C$7),COUNT(U$4:U90)+1,"")</f>
        <v/>
      </c>
      <c r="V91">
        <f>IF(AND($A91&lt;&gt;"",$B91&lt;&gt;"",$R91='تقرير الفصل الثاني'!$C$4,$Q91='تقرير الفصل الثاني'!$C$7),COUNT(V$4:V90)+1,"")</f>
        <v/>
      </c>
      <c r="W91">
        <f>IF(AND($A91&lt;&gt;"",$B91&lt;&gt;"",$R91='تقرير سبتمبر'!$C$4,$P91='تقرير سبتمبر'!$C$6),COUNT(W$4:W90)+1,"")</f>
        <v/>
      </c>
      <c r="X91">
        <f>IF(AND($A91&lt;&gt;"",$B91&lt;&gt;"",$R91='تقرير أكتوبر'!$C$4,$P91='تقرير أكتوبر'!$C$6),COUNT(X$4:X90)+1,"")</f>
        <v/>
      </c>
      <c r="Y91">
        <f>IF(AND($A91&lt;&gt;"",$B91&lt;&gt;"",$R91='تقرير نوفمبر'!$C$4,$P91='تقرير نوفمبر'!$C$6),COUNT(Y$4:Y90)+1,"")</f>
        <v/>
      </c>
      <c r="Z91">
        <f>IF(AND($A91&lt;&gt;"",$B91&lt;&gt;"",$R91='تقرير ديسمبر'!$C$4,$P91='تقرير ديسمبر'!$C$6),COUNT(Z$4:Z90)+1,"")</f>
        <v/>
      </c>
      <c r="AA91">
        <f>IF(AND($A91&lt;&gt;"",$B91&lt;&gt;"",$R91='تقرير يناير'!$C$4,$P91='تقرير يناير'!$C$6),COUNT(AA$4:AA90)+1,"")</f>
        <v/>
      </c>
      <c r="AB91">
        <f>IF(AND($A91&lt;&gt;"",$B91&lt;&gt;"",$R91='تقرير فبراير'!$C$4,$P91='تقرير فبراير'!$C$6),COUNT(AB$4:AB90)+1,"")</f>
        <v/>
      </c>
      <c r="AC91">
        <f>IF(AND($A91&lt;&gt;"",$B91&lt;&gt;"",$R91='تقرير مارس'!$C$4,$P91='تقرير مارس'!$C$6),COUNT(AC$4:AC90)+1,"")</f>
        <v/>
      </c>
      <c r="AD91">
        <f>IF(AND($A91&lt;&gt;"",$B91&lt;&gt;"",$R91='تقرير أبريل'!$C$4,$P91='تقرير أبريل'!$C$6),COUNT(AD$4:AD90)+1,"")</f>
        <v/>
      </c>
      <c r="AE91">
        <f>IF(AND($A91&lt;&gt;"",$B91&lt;&gt;"",$R91='تقرير مايو'!$C$4,$P91='تقرير مايو'!$C$6),COUNT(AE$4:AE90)+1,"")</f>
        <v/>
      </c>
    </row>
    <row r="92">
      <c r="A92" s="16" t="n"/>
      <c r="B92" s="17" t="n"/>
      <c r="C92" s="17" t="n"/>
      <c r="D92" s="18" t="n"/>
      <c r="E92" s="17" t="n"/>
      <c r="F92" s="17" t="n"/>
      <c r="G92" s="19" t="n"/>
      <c r="H92" s="17" t="n"/>
      <c r="I92" s="17" t="n"/>
      <c r="J92" s="17" t="n"/>
      <c r="K92" s="20">
        <f>IF($B92="","",IFERROR(INDEX(الموظفات!$A$5:$A$304,MATCH($B92,الموظفات!$B$5:$B$304,0))&amp;"",""))</f>
        <v/>
      </c>
      <c r="L92" s="21">
        <f>IF($B92="","",IFERROR(INDEX(الموظفات!$C$5:$C$304,MATCH($B92,الموظفات!$B$5:$B$304,0))&amp;"",""))</f>
        <v/>
      </c>
      <c r="M92" s="20">
        <f>IF($B92="","",IFERROR(INDEX(الموظفات!$D$5:$D$304,MATCH($B92,الموظفات!$B$5:$B$304,0))&amp;"",""))</f>
        <v/>
      </c>
      <c r="N92" s="20">
        <f>IF($B92="","",IFERROR(INDEX(الموظفات!$E$5:$E$304,MATCH($B92,الموظفات!$B$5:$B$304,0))&amp;"",""))</f>
        <v/>
      </c>
      <c r="O92" s="21">
        <f>IF(C92="","",IFERROR(INDEX(الإعدادات!$D$7:$D$35,MATCH(C92,الإعدادات!$A$7:$A$35,0))&amp;"",""))</f>
        <v/>
      </c>
      <c r="P92" s="20">
        <f>IF(A92="","",INDEX(الإعدادات!$H$7:$H$18,MONTH(A92)))</f>
        <v/>
      </c>
      <c r="Q92" s="20">
        <f>IF(A92="","",INDEX(الإعدادات!$I$7:$I$18,MONTH(A92)))</f>
        <v/>
      </c>
      <c r="R92" s="20">
        <f>IF(A92="","",IF(MONTH(A92)&gt;=8,YEAR(A92)&amp;"-"&amp;(YEAR(A92)+1),(YEAR(A92)-1)&amp;"-"&amp;YEAR(A92)))</f>
        <v/>
      </c>
      <c r="S92" s="20">
        <f>IF(OR(A92="",B92=""),0,IF(AND(R92=التقارير!$C$4,OR(التقارير!$C$5="سنوي",AND(التقارير!$C$5="شهري",P92=التقارير!$C$6),AND(التقارير!$C$5="فصلي",Q92=التقارير!$C$7))),1,0))</f>
        <v/>
      </c>
      <c r="T92" s="20">
        <f>IF(S92=1,COUNTIF($S$5:S92,1),"")</f>
        <v/>
      </c>
      <c r="U92">
        <f>IF(AND($A92&lt;&gt;"",$B92&lt;&gt;"",$R92='تقرير الفصل الأول'!$C$4,$Q92='تقرير الفصل الأول'!$C$7),COUNT(U$4:U91)+1,"")</f>
        <v/>
      </c>
      <c r="V92">
        <f>IF(AND($A92&lt;&gt;"",$B92&lt;&gt;"",$R92='تقرير الفصل الثاني'!$C$4,$Q92='تقرير الفصل الثاني'!$C$7),COUNT(V$4:V91)+1,"")</f>
        <v/>
      </c>
      <c r="W92">
        <f>IF(AND($A92&lt;&gt;"",$B92&lt;&gt;"",$R92='تقرير سبتمبر'!$C$4,$P92='تقرير سبتمبر'!$C$6),COUNT(W$4:W91)+1,"")</f>
        <v/>
      </c>
      <c r="X92">
        <f>IF(AND($A92&lt;&gt;"",$B92&lt;&gt;"",$R92='تقرير أكتوبر'!$C$4,$P92='تقرير أكتوبر'!$C$6),COUNT(X$4:X91)+1,"")</f>
        <v/>
      </c>
      <c r="Y92">
        <f>IF(AND($A92&lt;&gt;"",$B92&lt;&gt;"",$R92='تقرير نوفمبر'!$C$4,$P92='تقرير نوفمبر'!$C$6),COUNT(Y$4:Y91)+1,"")</f>
        <v/>
      </c>
      <c r="Z92">
        <f>IF(AND($A92&lt;&gt;"",$B92&lt;&gt;"",$R92='تقرير ديسمبر'!$C$4,$P92='تقرير ديسمبر'!$C$6),COUNT(Z$4:Z91)+1,"")</f>
        <v/>
      </c>
      <c r="AA92">
        <f>IF(AND($A92&lt;&gt;"",$B92&lt;&gt;"",$R92='تقرير يناير'!$C$4,$P92='تقرير يناير'!$C$6),COUNT(AA$4:AA91)+1,"")</f>
        <v/>
      </c>
      <c r="AB92">
        <f>IF(AND($A92&lt;&gt;"",$B92&lt;&gt;"",$R92='تقرير فبراير'!$C$4,$P92='تقرير فبراير'!$C$6),COUNT(AB$4:AB91)+1,"")</f>
        <v/>
      </c>
      <c r="AC92">
        <f>IF(AND($A92&lt;&gt;"",$B92&lt;&gt;"",$R92='تقرير مارس'!$C$4,$P92='تقرير مارس'!$C$6),COUNT(AC$4:AC91)+1,"")</f>
        <v/>
      </c>
      <c r="AD92">
        <f>IF(AND($A92&lt;&gt;"",$B92&lt;&gt;"",$R92='تقرير أبريل'!$C$4,$P92='تقرير أبريل'!$C$6),COUNT(AD$4:AD91)+1,"")</f>
        <v/>
      </c>
      <c r="AE92">
        <f>IF(AND($A92&lt;&gt;"",$B92&lt;&gt;"",$R92='تقرير مايو'!$C$4,$P92='تقرير مايو'!$C$6),COUNT(AE$4:AE91)+1,"")</f>
        <v/>
      </c>
    </row>
    <row r="93">
      <c r="A93" s="16" t="n"/>
      <c r="B93" s="17" t="n"/>
      <c r="C93" s="17" t="n"/>
      <c r="D93" s="18" t="n"/>
      <c r="E93" s="17" t="n"/>
      <c r="F93" s="17" t="n"/>
      <c r="G93" s="19" t="n"/>
      <c r="H93" s="17" t="n"/>
      <c r="I93" s="17" t="n"/>
      <c r="J93" s="17" t="n"/>
      <c r="K93" s="20">
        <f>IF($B93="","",IFERROR(INDEX(الموظفات!$A$5:$A$304,MATCH($B93,الموظفات!$B$5:$B$304,0))&amp;"",""))</f>
        <v/>
      </c>
      <c r="L93" s="21">
        <f>IF($B93="","",IFERROR(INDEX(الموظفات!$C$5:$C$304,MATCH($B93,الموظفات!$B$5:$B$304,0))&amp;"",""))</f>
        <v/>
      </c>
      <c r="M93" s="20">
        <f>IF($B93="","",IFERROR(INDEX(الموظفات!$D$5:$D$304,MATCH($B93,الموظفات!$B$5:$B$304,0))&amp;"",""))</f>
        <v/>
      </c>
      <c r="N93" s="20">
        <f>IF($B93="","",IFERROR(INDEX(الموظفات!$E$5:$E$304,MATCH($B93,الموظفات!$B$5:$B$304,0))&amp;"",""))</f>
        <v/>
      </c>
      <c r="O93" s="21">
        <f>IF(C93="","",IFERROR(INDEX(الإعدادات!$D$7:$D$35,MATCH(C93,الإعدادات!$A$7:$A$35,0))&amp;"",""))</f>
        <v/>
      </c>
      <c r="P93" s="20">
        <f>IF(A93="","",INDEX(الإعدادات!$H$7:$H$18,MONTH(A93)))</f>
        <v/>
      </c>
      <c r="Q93" s="20">
        <f>IF(A93="","",INDEX(الإعدادات!$I$7:$I$18,MONTH(A93)))</f>
        <v/>
      </c>
      <c r="R93" s="20">
        <f>IF(A93="","",IF(MONTH(A93)&gt;=8,YEAR(A93)&amp;"-"&amp;(YEAR(A93)+1),(YEAR(A93)-1)&amp;"-"&amp;YEAR(A93)))</f>
        <v/>
      </c>
      <c r="S93" s="20">
        <f>IF(OR(A93="",B93=""),0,IF(AND(R93=التقارير!$C$4,OR(التقارير!$C$5="سنوي",AND(التقارير!$C$5="شهري",P93=التقارير!$C$6),AND(التقارير!$C$5="فصلي",Q93=التقارير!$C$7))),1,0))</f>
        <v/>
      </c>
      <c r="T93" s="20">
        <f>IF(S93=1,COUNTIF($S$5:S93,1),"")</f>
        <v/>
      </c>
      <c r="U93">
        <f>IF(AND($A93&lt;&gt;"",$B93&lt;&gt;"",$R93='تقرير الفصل الأول'!$C$4,$Q93='تقرير الفصل الأول'!$C$7),COUNT(U$4:U92)+1,"")</f>
        <v/>
      </c>
      <c r="V93">
        <f>IF(AND($A93&lt;&gt;"",$B93&lt;&gt;"",$R93='تقرير الفصل الثاني'!$C$4,$Q93='تقرير الفصل الثاني'!$C$7),COUNT(V$4:V92)+1,"")</f>
        <v/>
      </c>
      <c r="W93">
        <f>IF(AND($A93&lt;&gt;"",$B93&lt;&gt;"",$R93='تقرير سبتمبر'!$C$4,$P93='تقرير سبتمبر'!$C$6),COUNT(W$4:W92)+1,"")</f>
        <v/>
      </c>
      <c r="X93">
        <f>IF(AND($A93&lt;&gt;"",$B93&lt;&gt;"",$R93='تقرير أكتوبر'!$C$4,$P93='تقرير أكتوبر'!$C$6),COUNT(X$4:X92)+1,"")</f>
        <v/>
      </c>
      <c r="Y93">
        <f>IF(AND($A93&lt;&gt;"",$B93&lt;&gt;"",$R93='تقرير نوفمبر'!$C$4,$P93='تقرير نوفمبر'!$C$6),COUNT(Y$4:Y92)+1,"")</f>
        <v/>
      </c>
      <c r="Z93">
        <f>IF(AND($A93&lt;&gt;"",$B93&lt;&gt;"",$R93='تقرير ديسمبر'!$C$4,$P93='تقرير ديسمبر'!$C$6),COUNT(Z$4:Z92)+1,"")</f>
        <v/>
      </c>
      <c r="AA93">
        <f>IF(AND($A93&lt;&gt;"",$B93&lt;&gt;"",$R93='تقرير يناير'!$C$4,$P93='تقرير يناير'!$C$6),COUNT(AA$4:AA92)+1,"")</f>
        <v/>
      </c>
      <c r="AB93">
        <f>IF(AND($A93&lt;&gt;"",$B93&lt;&gt;"",$R93='تقرير فبراير'!$C$4,$P93='تقرير فبراير'!$C$6),COUNT(AB$4:AB92)+1,"")</f>
        <v/>
      </c>
      <c r="AC93">
        <f>IF(AND($A93&lt;&gt;"",$B93&lt;&gt;"",$R93='تقرير مارس'!$C$4,$P93='تقرير مارس'!$C$6),COUNT(AC$4:AC92)+1,"")</f>
        <v/>
      </c>
      <c r="AD93">
        <f>IF(AND($A93&lt;&gt;"",$B93&lt;&gt;"",$R93='تقرير أبريل'!$C$4,$P93='تقرير أبريل'!$C$6),COUNT(AD$4:AD92)+1,"")</f>
        <v/>
      </c>
      <c r="AE93">
        <f>IF(AND($A93&lt;&gt;"",$B93&lt;&gt;"",$R93='تقرير مايو'!$C$4,$P93='تقرير مايو'!$C$6),COUNT(AE$4:AE92)+1,"")</f>
        <v/>
      </c>
    </row>
    <row r="94">
      <c r="A94" s="16" t="n"/>
      <c r="B94" s="17" t="n"/>
      <c r="C94" s="17" t="n"/>
      <c r="D94" s="18" t="n"/>
      <c r="E94" s="17" t="n"/>
      <c r="F94" s="17" t="n"/>
      <c r="G94" s="19" t="n"/>
      <c r="H94" s="17" t="n"/>
      <c r="I94" s="17" t="n"/>
      <c r="J94" s="17" t="n"/>
      <c r="K94" s="20">
        <f>IF($B94="","",IFERROR(INDEX(الموظفات!$A$5:$A$304,MATCH($B94,الموظفات!$B$5:$B$304,0))&amp;"",""))</f>
        <v/>
      </c>
      <c r="L94" s="21">
        <f>IF($B94="","",IFERROR(INDEX(الموظفات!$C$5:$C$304,MATCH($B94,الموظفات!$B$5:$B$304,0))&amp;"",""))</f>
        <v/>
      </c>
      <c r="M94" s="20">
        <f>IF($B94="","",IFERROR(INDEX(الموظفات!$D$5:$D$304,MATCH($B94,الموظفات!$B$5:$B$304,0))&amp;"",""))</f>
        <v/>
      </c>
      <c r="N94" s="20">
        <f>IF($B94="","",IFERROR(INDEX(الموظفات!$E$5:$E$304,MATCH($B94,الموظفات!$B$5:$B$304,0))&amp;"",""))</f>
        <v/>
      </c>
      <c r="O94" s="21">
        <f>IF(C94="","",IFERROR(INDEX(الإعدادات!$D$7:$D$35,MATCH(C94,الإعدادات!$A$7:$A$35,0))&amp;"",""))</f>
        <v/>
      </c>
      <c r="P94" s="20">
        <f>IF(A94="","",INDEX(الإعدادات!$H$7:$H$18,MONTH(A94)))</f>
        <v/>
      </c>
      <c r="Q94" s="20">
        <f>IF(A94="","",INDEX(الإعدادات!$I$7:$I$18,MONTH(A94)))</f>
        <v/>
      </c>
      <c r="R94" s="20">
        <f>IF(A94="","",IF(MONTH(A94)&gt;=8,YEAR(A94)&amp;"-"&amp;(YEAR(A94)+1),(YEAR(A94)-1)&amp;"-"&amp;YEAR(A94)))</f>
        <v/>
      </c>
      <c r="S94" s="20">
        <f>IF(OR(A94="",B94=""),0,IF(AND(R94=التقارير!$C$4,OR(التقارير!$C$5="سنوي",AND(التقارير!$C$5="شهري",P94=التقارير!$C$6),AND(التقارير!$C$5="فصلي",Q94=التقارير!$C$7))),1,0))</f>
        <v/>
      </c>
      <c r="T94" s="20">
        <f>IF(S94=1,COUNTIF($S$5:S94,1),"")</f>
        <v/>
      </c>
      <c r="U94">
        <f>IF(AND($A94&lt;&gt;"",$B94&lt;&gt;"",$R94='تقرير الفصل الأول'!$C$4,$Q94='تقرير الفصل الأول'!$C$7),COUNT(U$4:U93)+1,"")</f>
        <v/>
      </c>
      <c r="V94">
        <f>IF(AND($A94&lt;&gt;"",$B94&lt;&gt;"",$R94='تقرير الفصل الثاني'!$C$4,$Q94='تقرير الفصل الثاني'!$C$7),COUNT(V$4:V93)+1,"")</f>
        <v/>
      </c>
      <c r="W94">
        <f>IF(AND($A94&lt;&gt;"",$B94&lt;&gt;"",$R94='تقرير سبتمبر'!$C$4,$P94='تقرير سبتمبر'!$C$6),COUNT(W$4:W93)+1,"")</f>
        <v/>
      </c>
      <c r="X94">
        <f>IF(AND($A94&lt;&gt;"",$B94&lt;&gt;"",$R94='تقرير أكتوبر'!$C$4,$P94='تقرير أكتوبر'!$C$6),COUNT(X$4:X93)+1,"")</f>
        <v/>
      </c>
      <c r="Y94">
        <f>IF(AND($A94&lt;&gt;"",$B94&lt;&gt;"",$R94='تقرير نوفمبر'!$C$4,$P94='تقرير نوفمبر'!$C$6),COUNT(Y$4:Y93)+1,"")</f>
        <v/>
      </c>
      <c r="Z94">
        <f>IF(AND($A94&lt;&gt;"",$B94&lt;&gt;"",$R94='تقرير ديسمبر'!$C$4,$P94='تقرير ديسمبر'!$C$6),COUNT(Z$4:Z93)+1,"")</f>
        <v/>
      </c>
      <c r="AA94">
        <f>IF(AND($A94&lt;&gt;"",$B94&lt;&gt;"",$R94='تقرير يناير'!$C$4,$P94='تقرير يناير'!$C$6),COUNT(AA$4:AA93)+1,"")</f>
        <v/>
      </c>
      <c r="AB94">
        <f>IF(AND($A94&lt;&gt;"",$B94&lt;&gt;"",$R94='تقرير فبراير'!$C$4,$P94='تقرير فبراير'!$C$6),COUNT(AB$4:AB93)+1,"")</f>
        <v/>
      </c>
      <c r="AC94">
        <f>IF(AND($A94&lt;&gt;"",$B94&lt;&gt;"",$R94='تقرير مارس'!$C$4,$P94='تقرير مارس'!$C$6),COUNT(AC$4:AC93)+1,"")</f>
        <v/>
      </c>
      <c r="AD94">
        <f>IF(AND($A94&lt;&gt;"",$B94&lt;&gt;"",$R94='تقرير أبريل'!$C$4,$P94='تقرير أبريل'!$C$6),COUNT(AD$4:AD93)+1,"")</f>
        <v/>
      </c>
      <c r="AE94">
        <f>IF(AND($A94&lt;&gt;"",$B94&lt;&gt;"",$R94='تقرير مايو'!$C$4,$P94='تقرير مايو'!$C$6),COUNT(AE$4:AE93)+1,"")</f>
        <v/>
      </c>
    </row>
    <row r="95">
      <c r="A95" s="16" t="n"/>
      <c r="B95" s="17" t="n"/>
      <c r="C95" s="17" t="n"/>
      <c r="D95" s="18" t="n"/>
      <c r="E95" s="17" t="n"/>
      <c r="F95" s="17" t="n"/>
      <c r="G95" s="19" t="n"/>
      <c r="H95" s="17" t="n"/>
      <c r="I95" s="17" t="n"/>
      <c r="J95" s="17" t="n"/>
      <c r="K95" s="20">
        <f>IF($B95="","",IFERROR(INDEX(الموظفات!$A$5:$A$304,MATCH($B95,الموظفات!$B$5:$B$304,0))&amp;"",""))</f>
        <v/>
      </c>
      <c r="L95" s="21">
        <f>IF($B95="","",IFERROR(INDEX(الموظفات!$C$5:$C$304,MATCH($B95,الموظفات!$B$5:$B$304,0))&amp;"",""))</f>
        <v/>
      </c>
      <c r="M95" s="20">
        <f>IF($B95="","",IFERROR(INDEX(الموظفات!$D$5:$D$304,MATCH($B95,الموظفات!$B$5:$B$304,0))&amp;"",""))</f>
        <v/>
      </c>
      <c r="N95" s="20">
        <f>IF($B95="","",IFERROR(INDEX(الموظفات!$E$5:$E$304,MATCH($B95,الموظفات!$B$5:$B$304,0))&amp;"",""))</f>
        <v/>
      </c>
      <c r="O95" s="21">
        <f>IF(C95="","",IFERROR(INDEX(الإعدادات!$D$7:$D$35,MATCH(C95,الإعدادات!$A$7:$A$35,0))&amp;"",""))</f>
        <v/>
      </c>
      <c r="P95" s="20">
        <f>IF(A95="","",INDEX(الإعدادات!$H$7:$H$18,MONTH(A95)))</f>
        <v/>
      </c>
      <c r="Q95" s="20">
        <f>IF(A95="","",INDEX(الإعدادات!$I$7:$I$18,MONTH(A95)))</f>
        <v/>
      </c>
      <c r="R95" s="20">
        <f>IF(A95="","",IF(MONTH(A95)&gt;=8,YEAR(A95)&amp;"-"&amp;(YEAR(A95)+1),(YEAR(A95)-1)&amp;"-"&amp;YEAR(A95)))</f>
        <v/>
      </c>
      <c r="S95" s="20">
        <f>IF(OR(A95="",B95=""),0,IF(AND(R95=التقارير!$C$4,OR(التقارير!$C$5="سنوي",AND(التقارير!$C$5="شهري",P95=التقارير!$C$6),AND(التقارير!$C$5="فصلي",Q95=التقارير!$C$7))),1,0))</f>
        <v/>
      </c>
      <c r="T95" s="20">
        <f>IF(S95=1,COUNTIF($S$5:S95,1),"")</f>
        <v/>
      </c>
      <c r="U95">
        <f>IF(AND($A95&lt;&gt;"",$B95&lt;&gt;"",$R95='تقرير الفصل الأول'!$C$4,$Q95='تقرير الفصل الأول'!$C$7),COUNT(U$4:U94)+1,"")</f>
        <v/>
      </c>
      <c r="V95">
        <f>IF(AND($A95&lt;&gt;"",$B95&lt;&gt;"",$R95='تقرير الفصل الثاني'!$C$4,$Q95='تقرير الفصل الثاني'!$C$7),COUNT(V$4:V94)+1,"")</f>
        <v/>
      </c>
      <c r="W95">
        <f>IF(AND($A95&lt;&gt;"",$B95&lt;&gt;"",$R95='تقرير سبتمبر'!$C$4,$P95='تقرير سبتمبر'!$C$6),COUNT(W$4:W94)+1,"")</f>
        <v/>
      </c>
      <c r="X95">
        <f>IF(AND($A95&lt;&gt;"",$B95&lt;&gt;"",$R95='تقرير أكتوبر'!$C$4,$P95='تقرير أكتوبر'!$C$6),COUNT(X$4:X94)+1,"")</f>
        <v/>
      </c>
      <c r="Y95">
        <f>IF(AND($A95&lt;&gt;"",$B95&lt;&gt;"",$R95='تقرير نوفمبر'!$C$4,$P95='تقرير نوفمبر'!$C$6),COUNT(Y$4:Y94)+1,"")</f>
        <v/>
      </c>
      <c r="Z95">
        <f>IF(AND($A95&lt;&gt;"",$B95&lt;&gt;"",$R95='تقرير ديسمبر'!$C$4,$P95='تقرير ديسمبر'!$C$6),COUNT(Z$4:Z94)+1,"")</f>
        <v/>
      </c>
      <c r="AA95">
        <f>IF(AND($A95&lt;&gt;"",$B95&lt;&gt;"",$R95='تقرير يناير'!$C$4,$P95='تقرير يناير'!$C$6),COUNT(AA$4:AA94)+1,"")</f>
        <v/>
      </c>
      <c r="AB95">
        <f>IF(AND($A95&lt;&gt;"",$B95&lt;&gt;"",$R95='تقرير فبراير'!$C$4,$P95='تقرير فبراير'!$C$6),COUNT(AB$4:AB94)+1,"")</f>
        <v/>
      </c>
      <c r="AC95">
        <f>IF(AND($A95&lt;&gt;"",$B95&lt;&gt;"",$R95='تقرير مارس'!$C$4,$P95='تقرير مارس'!$C$6),COUNT(AC$4:AC94)+1,"")</f>
        <v/>
      </c>
      <c r="AD95">
        <f>IF(AND($A95&lt;&gt;"",$B95&lt;&gt;"",$R95='تقرير أبريل'!$C$4,$P95='تقرير أبريل'!$C$6),COUNT(AD$4:AD94)+1,"")</f>
        <v/>
      </c>
      <c r="AE95">
        <f>IF(AND($A95&lt;&gt;"",$B95&lt;&gt;"",$R95='تقرير مايو'!$C$4,$P95='تقرير مايو'!$C$6),COUNT(AE$4:AE94)+1,"")</f>
        <v/>
      </c>
    </row>
    <row r="96">
      <c r="A96" s="16" t="n"/>
      <c r="B96" s="17" t="n"/>
      <c r="C96" s="17" t="n"/>
      <c r="D96" s="18" t="n"/>
      <c r="E96" s="17" t="n"/>
      <c r="F96" s="17" t="n"/>
      <c r="G96" s="19" t="n"/>
      <c r="H96" s="17" t="n"/>
      <c r="I96" s="17" t="n"/>
      <c r="J96" s="17" t="n"/>
      <c r="K96" s="20">
        <f>IF($B96="","",IFERROR(INDEX(الموظفات!$A$5:$A$304,MATCH($B96,الموظفات!$B$5:$B$304,0))&amp;"",""))</f>
        <v/>
      </c>
      <c r="L96" s="21">
        <f>IF($B96="","",IFERROR(INDEX(الموظفات!$C$5:$C$304,MATCH($B96,الموظفات!$B$5:$B$304,0))&amp;"",""))</f>
        <v/>
      </c>
      <c r="M96" s="20">
        <f>IF($B96="","",IFERROR(INDEX(الموظفات!$D$5:$D$304,MATCH($B96,الموظفات!$B$5:$B$304,0))&amp;"",""))</f>
        <v/>
      </c>
      <c r="N96" s="20">
        <f>IF($B96="","",IFERROR(INDEX(الموظفات!$E$5:$E$304,MATCH($B96,الموظفات!$B$5:$B$304,0))&amp;"",""))</f>
        <v/>
      </c>
      <c r="O96" s="21">
        <f>IF(C96="","",IFERROR(INDEX(الإعدادات!$D$7:$D$35,MATCH(C96,الإعدادات!$A$7:$A$35,0))&amp;"",""))</f>
        <v/>
      </c>
      <c r="P96" s="20">
        <f>IF(A96="","",INDEX(الإعدادات!$H$7:$H$18,MONTH(A96)))</f>
        <v/>
      </c>
      <c r="Q96" s="20">
        <f>IF(A96="","",INDEX(الإعدادات!$I$7:$I$18,MONTH(A96)))</f>
        <v/>
      </c>
      <c r="R96" s="20">
        <f>IF(A96="","",IF(MONTH(A96)&gt;=8,YEAR(A96)&amp;"-"&amp;(YEAR(A96)+1),(YEAR(A96)-1)&amp;"-"&amp;YEAR(A96)))</f>
        <v/>
      </c>
      <c r="S96" s="20">
        <f>IF(OR(A96="",B96=""),0,IF(AND(R96=التقارير!$C$4,OR(التقارير!$C$5="سنوي",AND(التقارير!$C$5="شهري",P96=التقارير!$C$6),AND(التقارير!$C$5="فصلي",Q96=التقارير!$C$7))),1,0))</f>
        <v/>
      </c>
      <c r="T96" s="20">
        <f>IF(S96=1,COUNTIF($S$5:S96,1),"")</f>
        <v/>
      </c>
      <c r="U96">
        <f>IF(AND($A96&lt;&gt;"",$B96&lt;&gt;"",$R96='تقرير الفصل الأول'!$C$4,$Q96='تقرير الفصل الأول'!$C$7),COUNT(U$4:U95)+1,"")</f>
        <v/>
      </c>
      <c r="V96">
        <f>IF(AND($A96&lt;&gt;"",$B96&lt;&gt;"",$R96='تقرير الفصل الثاني'!$C$4,$Q96='تقرير الفصل الثاني'!$C$7),COUNT(V$4:V95)+1,"")</f>
        <v/>
      </c>
      <c r="W96">
        <f>IF(AND($A96&lt;&gt;"",$B96&lt;&gt;"",$R96='تقرير سبتمبر'!$C$4,$P96='تقرير سبتمبر'!$C$6),COUNT(W$4:W95)+1,"")</f>
        <v/>
      </c>
      <c r="X96">
        <f>IF(AND($A96&lt;&gt;"",$B96&lt;&gt;"",$R96='تقرير أكتوبر'!$C$4,$P96='تقرير أكتوبر'!$C$6),COUNT(X$4:X95)+1,"")</f>
        <v/>
      </c>
      <c r="Y96">
        <f>IF(AND($A96&lt;&gt;"",$B96&lt;&gt;"",$R96='تقرير نوفمبر'!$C$4,$P96='تقرير نوفمبر'!$C$6),COUNT(Y$4:Y95)+1,"")</f>
        <v/>
      </c>
      <c r="Z96">
        <f>IF(AND($A96&lt;&gt;"",$B96&lt;&gt;"",$R96='تقرير ديسمبر'!$C$4,$P96='تقرير ديسمبر'!$C$6),COUNT(Z$4:Z95)+1,"")</f>
        <v/>
      </c>
      <c r="AA96">
        <f>IF(AND($A96&lt;&gt;"",$B96&lt;&gt;"",$R96='تقرير يناير'!$C$4,$P96='تقرير يناير'!$C$6),COUNT(AA$4:AA95)+1,"")</f>
        <v/>
      </c>
      <c r="AB96">
        <f>IF(AND($A96&lt;&gt;"",$B96&lt;&gt;"",$R96='تقرير فبراير'!$C$4,$P96='تقرير فبراير'!$C$6),COUNT(AB$4:AB95)+1,"")</f>
        <v/>
      </c>
      <c r="AC96">
        <f>IF(AND($A96&lt;&gt;"",$B96&lt;&gt;"",$R96='تقرير مارس'!$C$4,$P96='تقرير مارس'!$C$6),COUNT(AC$4:AC95)+1,"")</f>
        <v/>
      </c>
      <c r="AD96">
        <f>IF(AND($A96&lt;&gt;"",$B96&lt;&gt;"",$R96='تقرير أبريل'!$C$4,$P96='تقرير أبريل'!$C$6),COUNT(AD$4:AD95)+1,"")</f>
        <v/>
      </c>
      <c r="AE96">
        <f>IF(AND($A96&lt;&gt;"",$B96&lt;&gt;"",$R96='تقرير مايو'!$C$4,$P96='تقرير مايو'!$C$6),COUNT(AE$4:AE95)+1,"")</f>
        <v/>
      </c>
    </row>
    <row r="97">
      <c r="A97" s="16" t="n"/>
      <c r="B97" s="17" t="n"/>
      <c r="C97" s="17" t="n"/>
      <c r="D97" s="18" t="n"/>
      <c r="E97" s="17" t="n"/>
      <c r="F97" s="17" t="n"/>
      <c r="G97" s="19" t="n"/>
      <c r="H97" s="17" t="n"/>
      <c r="I97" s="17" t="n"/>
      <c r="J97" s="17" t="n"/>
      <c r="K97" s="20">
        <f>IF($B97="","",IFERROR(INDEX(الموظفات!$A$5:$A$304,MATCH($B97,الموظفات!$B$5:$B$304,0))&amp;"",""))</f>
        <v/>
      </c>
      <c r="L97" s="21">
        <f>IF($B97="","",IFERROR(INDEX(الموظفات!$C$5:$C$304,MATCH($B97,الموظفات!$B$5:$B$304,0))&amp;"",""))</f>
        <v/>
      </c>
      <c r="M97" s="20">
        <f>IF($B97="","",IFERROR(INDEX(الموظفات!$D$5:$D$304,MATCH($B97,الموظفات!$B$5:$B$304,0))&amp;"",""))</f>
        <v/>
      </c>
      <c r="N97" s="20">
        <f>IF($B97="","",IFERROR(INDEX(الموظفات!$E$5:$E$304,MATCH($B97,الموظفات!$B$5:$B$304,0))&amp;"",""))</f>
        <v/>
      </c>
      <c r="O97" s="21">
        <f>IF(C97="","",IFERROR(INDEX(الإعدادات!$D$7:$D$35,MATCH(C97,الإعدادات!$A$7:$A$35,0))&amp;"",""))</f>
        <v/>
      </c>
      <c r="P97" s="20">
        <f>IF(A97="","",INDEX(الإعدادات!$H$7:$H$18,MONTH(A97)))</f>
        <v/>
      </c>
      <c r="Q97" s="20">
        <f>IF(A97="","",INDEX(الإعدادات!$I$7:$I$18,MONTH(A97)))</f>
        <v/>
      </c>
      <c r="R97" s="20">
        <f>IF(A97="","",IF(MONTH(A97)&gt;=8,YEAR(A97)&amp;"-"&amp;(YEAR(A97)+1),(YEAR(A97)-1)&amp;"-"&amp;YEAR(A97)))</f>
        <v/>
      </c>
      <c r="S97" s="20">
        <f>IF(OR(A97="",B97=""),0,IF(AND(R97=التقارير!$C$4,OR(التقارير!$C$5="سنوي",AND(التقارير!$C$5="شهري",P97=التقارير!$C$6),AND(التقارير!$C$5="فصلي",Q97=التقارير!$C$7))),1,0))</f>
        <v/>
      </c>
      <c r="T97" s="20">
        <f>IF(S97=1,COUNTIF($S$5:S97,1),"")</f>
        <v/>
      </c>
      <c r="U97">
        <f>IF(AND($A97&lt;&gt;"",$B97&lt;&gt;"",$R97='تقرير الفصل الأول'!$C$4,$Q97='تقرير الفصل الأول'!$C$7),COUNT(U$4:U96)+1,"")</f>
        <v/>
      </c>
      <c r="V97">
        <f>IF(AND($A97&lt;&gt;"",$B97&lt;&gt;"",$R97='تقرير الفصل الثاني'!$C$4,$Q97='تقرير الفصل الثاني'!$C$7),COUNT(V$4:V96)+1,"")</f>
        <v/>
      </c>
      <c r="W97">
        <f>IF(AND($A97&lt;&gt;"",$B97&lt;&gt;"",$R97='تقرير سبتمبر'!$C$4,$P97='تقرير سبتمبر'!$C$6),COUNT(W$4:W96)+1,"")</f>
        <v/>
      </c>
      <c r="X97">
        <f>IF(AND($A97&lt;&gt;"",$B97&lt;&gt;"",$R97='تقرير أكتوبر'!$C$4,$P97='تقرير أكتوبر'!$C$6),COUNT(X$4:X96)+1,"")</f>
        <v/>
      </c>
      <c r="Y97">
        <f>IF(AND($A97&lt;&gt;"",$B97&lt;&gt;"",$R97='تقرير نوفمبر'!$C$4,$P97='تقرير نوفمبر'!$C$6),COUNT(Y$4:Y96)+1,"")</f>
        <v/>
      </c>
      <c r="Z97">
        <f>IF(AND($A97&lt;&gt;"",$B97&lt;&gt;"",$R97='تقرير ديسمبر'!$C$4,$P97='تقرير ديسمبر'!$C$6),COUNT(Z$4:Z96)+1,"")</f>
        <v/>
      </c>
      <c r="AA97">
        <f>IF(AND($A97&lt;&gt;"",$B97&lt;&gt;"",$R97='تقرير يناير'!$C$4,$P97='تقرير يناير'!$C$6),COUNT(AA$4:AA96)+1,"")</f>
        <v/>
      </c>
      <c r="AB97">
        <f>IF(AND($A97&lt;&gt;"",$B97&lt;&gt;"",$R97='تقرير فبراير'!$C$4,$P97='تقرير فبراير'!$C$6),COUNT(AB$4:AB96)+1,"")</f>
        <v/>
      </c>
      <c r="AC97">
        <f>IF(AND($A97&lt;&gt;"",$B97&lt;&gt;"",$R97='تقرير مارس'!$C$4,$P97='تقرير مارس'!$C$6),COUNT(AC$4:AC96)+1,"")</f>
        <v/>
      </c>
      <c r="AD97">
        <f>IF(AND($A97&lt;&gt;"",$B97&lt;&gt;"",$R97='تقرير أبريل'!$C$4,$P97='تقرير أبريل'!$C$6),COUNT(AD$4:AD96)+1,"")</f>
        <v/>
      </c>
      <c r="AE97">
        <f>IF(AND($A97&lt;&gt;"",$B97&lt;&gt;"",$R97='تقرير مايو'!$C$4,$P97='تقرير مايو'!$C$6),COUNT(AE$4:AE96)+1,"")</f>
        <v/>
      </c>
    </row>
    <row r="98">
      <c r="A98" s="16" t="n"/>
      <c r="B98" s="17" t="n"/>
      <c r="C98" s="17" t="n"/>
      <c r="D98" s="18" t="n"/>
      <c r="E98" s="17" t="n"/>
      <c r="F98" s="17" t="n"/>
      <c r="G98" s="19" t="n"/>
      <c r="H98" s="17" t="n"/>
      <c r="I98" s="17" t="n"/>
      <c r="J98" s="17" t="n"/>
      <c r="K98" s="20">
        <f>IF($B98="","",IFERROR(INDEX(الموظفات!$A$5:$A$304,MATCH($B98,الموظفات!$B$5:$B$304,0))&amp;"",""))</f>
        <v/>
      </c>
      <c r="L98" s="21">
        <f>IF($B98="","",IFERROR(INDEX(الموظفات!$C$5:$C$304,MATCH($B98,الموظفات!$B$5:$B$304,0))&amp;"",""))</f>
        <v/>
      </c>
      <c r="M98" s="20">
        <f>IF($B98="","",IFERROR(INDEX(الموظفات!$D$5:$D$304,MATCH($B98,الموظفات!$B$5:$B$304,0))&amp;"",""))</f>
        <v/>
      </c>
      <c r="N98" s="20">
        <f>IF($B98="","",IFERROR(INDEX(الموظفات!$E$5:$E$304,MATCH($B98,الموظفات!$B$5:$B$304,0))&amp;"",""))</f>
        <v/>
      </c>
      <c r="O98" s="21">
        <f>IF(C98="","",IFERROR(INDEX(الإعدادات!$D$7:$D$35,MATCH(C98,الإعدادات!$A$7:$A$35,0))&amp;"",""))</f>
        <v/>
      </c>
      <c r="P98" s="20">
        <f>IF(A98="","",INDEX(الإعدادات!$H$7:$H$18,MONTH(A98)))</f>
        <v/>
      </c>
      <c r="Q98" s="20">
        <f>IF(A98="","",INDEX(الإعدادات!$I$7:$I$18,MONTH(A98)))</f>
        <v/>
      </c>
      <c r="R98" s="20">
        <f>IF(A98="","",IF(MONTH(A98)&gt;=8,YEAR(A98)&amp;"-"&amp;(YEAR(A98)+1),(YEAR(A98)-1)&amp;"-"&amp;YEAR(A98)))</f>
        <v/>
      </c>
      <c r="S98" s="20">
        <f>IF(OR(A98="",B98=""),0,IF(AND(R98=التقارير!$C$4,OR(التقارير!$C$5="سنوي",AND(التقارير!$C$5="شهري",P98=التقارير!$C$6),AND(التقارير!$C$5="فصلي",Q98=التقارير!$C$7))),1,0))</f>
        <v/>
      </c>
      <c r="T98" s="20">
        <f>IF(S98=1,COUNTIF($S$5:S98,1),"")</f>
        <v/>
      </c>
      <c r="U98">
        <f>IF(AND($A98&lt;&gt;"",$B98&lt;&gt;"",$R98='تقرير الفصل الأول'!$C$4,$Q98='تقرير الفصل الأول'!$C$7),COUNT(U$4:U97)+1,"")</f>
        <v/>
      </c>
      <c r="V98">
        <f>IF(AND($A98&lt;&gt;"",$B98&lt;&gt;"",$R98='تقرير الفصل الثاني'!$C$4,$Q98='تقرير الفصل الثاني'!$C$7),COUNT(V$4:V97)+1,"")</f>
        <v/>
      </c>
      <c r="W98">
        <f>IF(AND($A98&lt;&gt;"",$B98&lt;&gt;"",$R98='تقرير سبتمبر'!$C$4,$P98='تقرير سبتمبر'!$C$6),COUNT(W$4:W97)+1,"")</f>
        <v/>
      </c>
      <c r="X98">
        <f>IF(AND($A98&lt;&gt;"",$B98&lt;&gt;"",$R98='تقرير أكتوبر'!$C$4,$P98='تقرير أكتوبر'!$C$6),COUNT(X$4:X97)+1,"")</f>
        <v/>
      </c>
      <c r="Y98">
        <f>IF(AND($A98&lt;&gt;"",$B98&lt;&gt;"",$R98='تقرير نوفمبر'!$C$4,$P98='تقرير نوفمبر'!$C$6),COUNT(Y$4:Y97)+1,"")</f>
        <v/>
      </c>
      <c r="Z98">
        <f>IF(AND($A98&lt;&gt;"",$B98&lt;&gt;"",$R98='تقرير ديسمبر'!$C$4,$P98='تقرير ديسمبر'!$C$6),COUNT(Z$4:Z97)+1,"")</f>
        <v/>
      </c>
      <c r="AA98">
        <f>IF(AND($A98&lt;&gt;"",$B98&lt;&gt;"",$R98='تقرير يناير'!$C$4,$P98='تقرير يناير'!$C$6),COUNT(AA$4:AA97)+1,"")</f>
        <v/>
      </c>
      <c r="AB98">
        <f>IF(AND($A98&lt;&gt;"",$B98&lt;&gt;"",$R98='تقرير فبراير'!$C$4,$P98='تقرير فبراير'!$C$6),COUNT(AB$4:AB97)+1,"")</f>
        <v/>
      </c>
      <c r="AC98">
        <f>IF(AND($A98&lt;&gt;"",$B98&lt;&gt;"",$R98='تقرير مارس'!$C$4,$P98='تقرير مارس'!$C$6),COUNT(AC$4:AC97)+1,"")</f>
        <v/>
      </c>
      <c r="AD98">
        <f>IF(AND($A98&lt;&gt;"",$B98&lt;&gt;"",$R98='تقرير أبريل'!$C$4,$P98='تقرير أبريل'!$C$6),COUNT(AD$4:AD97)+1,"")</f>
        <v/>
      </c>
      <c r="AE98">
        <f>IF(AND($A98&lt;&gt;"",$B98&lt;&gt;"",$R98='تقرير مايو'!$C$4,$P98='تقرير مايو'!$C$6),COUNT(AE$4:AE97)+1,"")</f>
        <v/>
      </c>
    </row>
    <row r="99">
      <c r="A99" s="16" t="n"/>
      <c r="B99" s="17" t="n"/>
      <c r="C99" s="17" t="n"/>
      <c r="D99" s="18" t="n"/>
      <c r="E99" s="17" t="n"/>
      <c r="F99" s="17" t="n"/>
      <c r="G99" s="19" t="n"/>
      <c r="H99" s="17" t="n"/>
      <c r="I99" s="17" t="n"/>
      <c r="J99" s="17" t="n"/>
      <c r="K99" s="20">
        <f>IF($B99="","",IFERROR(INDEX(الموظفات!$A$5:$A$304,MATCH($B99,الموظفات!$B$5:$B$304,0))&amp;"",""))</f>
        <v/>
      </c>
      <c r="L99" s="21">
        <f>IF($B99="","",IFERROR(INDEX(الموظفات!$C$5:$C$304,MATCH($B99,الموظفات!$B$5:$B$304,0))&amp;"",""))</f>
        <v/>
      </c>
      <c r="M99" s="20">
        <f>IF($B99="","",IFERROR(INDEX(الموظفات!$D$5:$D$304,MATCH($B99,الموظفات!$B$5:$B$304,0))&amp;"",""))</f>
        <v/>
      </c>
      <c r="N99" s="20">
        <f>IF($B99="","",IFERROR(INDEX(الموظفات!$E$5:$E$304,MATCH($B99,الموظفات!$B$5:$B$304,0))&amp;"",""))</f>
        <v/>
      </c>
      <c r="O99" s="21">
        <f>IF(C99="","",IFERROR(INDEX(الإعدادات!$D$7:$D$35,MATCH(C99,الإعدادات!$A$7:$A$35,0))&amp;"",""))</f>
        <v/>
      </c>
      <c r="P99" s="20">
        <f>IF(A99="","",INDEX(الإعدادات!$H$7:$H$18,MONTH(A99)))</f>
        <v/>
      </c>
      <c r="Q99" s="20">
        <f>IF(A99="","",INDEX(الإعدادات!$I$7:$I$18,MONTH(A99)))</f>
        <v/>
      </c>
      <c r="R99" s="20">
        <f>IF(A99="","",IF(MONTH(A99)&gt;=8,YEAR(A99)&amp;"-"&amp;(YEAR(A99)+1),(YEAR(A99)-1)&amp;"-"&amp;YEAR(A99)))</f>
        <v/>
      </c>
      <c r="S99" s="20">
        <f>IF(OR(A99="",B99=""),0,IF(AND(R99=التقارير!$C$4,OR(التقارير!$C$5="سنوي",AND(التقارير!$C$5="شهري",P99=التقارير!$C$6),AND(التقارير!$C$5="فصلي",Q99=التقارير!$C$7))),1,0))</f>
        <v/>
      </c>
      <c r="T99" s="20">
        <f>IF(S99=1,COUNTIF($S$5:S99,1),"")</f>
        <v/>
      </c>
      <c r="U99">
        <f>IF(AND($A99&lt;&gt;"",$B99&lt;&gt;"",$R99='تقرير الفصل الأول'!$C$4,$Q99='تقرير الفصل الأول'!$C$7),COUNT(U$4:U98)+1,"")</f>
        <v/>
      </c>
      <c r="V99">
        <f>IF(AND($A99&lt;&gt;"",$B99&lt;&gt;"",$R99='تقرير الفصل الثاني'!$C$4,$Q99='تقرير الفصل الثاني'!$C$7),COUNT(V$4:V98)+1,"")</f>
        <v/>
      </c>
      <c r="W99">
        <f>IF(AND($A99&lt;&gt;"",$B99&lt;&gt;"",$R99='تقرير سبتمبر'!$C$4,$P99='تقرير سبتمبر'!$C$6),COUNT(W$4:W98)+1,"")</f>
        <v/>
      </c>
      <c r="X99">
        <f>IF(AND($A99&lt;&gt;"",$B99&lt;&gt;"",$R99='تقرير أكتوبر'!$C$4,$P99='تقرير أكتوبر'!$C$6),COUNT(X$4:X98)+1,"")</f>
        <v/>
      </c>
      <c r="Y99">
        <f>IF(AND($A99&lt;&gt;"",$B99&lt;&gt;"",$R99='تقرير نوفمبر'!$C$4,$P99='تقرير نوفمبر'!$C$6),COUNT(Y$4:Y98)+1,"")</f>
        <v/>
      </c>
      <c r="Z99">
        <f>IF(AND($A99&lt;&gt;"",$B99&lt;&gt;"",$R99='تقرير ديسمبر'!$C$4,$P99='تقرير ديسمبر'!$C$6),COUNT(Z$4:Z98)+1,"")</f>
        <v/>
      </c>
      <c r="AA99">
        <f>IF(AND($A99&lt;&gt;"",$B99&lt;&gt;"",$R99='تقرير يناير'!$C$4,$P99='تقرير يناير'!$C$6),COUNT(AA$4:AA98)+1,"")</f>
        <v/>
      </c>
      <c r="AB99">
        <f>IF(AND($A99&lt;&gt;"",$B99&lt;&gt;"",$R99='تقرير فبراير'!$C$4,$P99='تقرير فبراير'!$C$6),COUNT(AB$4:AB98)+1,"")</f>
        <v/>
      </c>
      <c r="AC99">
        <f>IF(AND($A99&lt;&gt;"",$B99&lt;&gt;"",$R99='تقرير مارس'!$C$4,$P99='تقرير مارس'!$C$6),COUNT(AC$4:AC98)+1,"")</f>
        <v/>
      </c>
      <c r="AD99">
        <f>IF(AND($A99&lt;&gt;"",$B99&lt;&gt;"",$R99='تقرير أبريل'!$C$4,$P99='تقرير أبريل'!$C$6),COUNT(AD$4:AD98)+1,"")</f>
        <v/>
      </c>
      <c r="AE99">
        <f>IF(AND($A99&lt;&gt;"",$B99&lt;&gt;"",$R99='تقرير مايو'!$C$4,$P99='تقرير مايو'!$C$6),COUNT(AE$4:AE98)+1,"")</f>
        <v/>
      </c>
    </row>
    <row r="100">
      <c r="A100" s="16" t="n"/>
      <c r="B100" s="17" t="n"/>
      <c r="C100" s="17" t="n"/>
      <c r="D100" s="18" t="n"/>
      <c r="E100" s="17" t="n"/>
      <c r="F100" s="17" t="n"/>
      <c r="G100" s="19" t="n"/>
      <c r="H100" s="17" t="n"/>
      <c r="I100" s="17" t="n"/>
      <c r="J100" s="17" t="n"/>
      <c r="K100" s="20">
        <f>IF($B100="","",IFERROR(INDEX(الموظفات!$A$5:$A$304,MATCH($B100,الموظفات!$B$5:$B$304,0))&amp;"",""))</f>
        <v/>
      </c>
      <c r="L100" s="21">
        <f>IF($B100="","",IFERROR(INDEX(الموظفات!$C$5:$C$304,MATCH($B100,الموظفات!$B$5:$B$304,0))&amp;"",""))</f>
        <v/>
      </c>
      <c r="M100" s="20">
        <f>IF($B100="","",IFERROR(INDEX(الموظفات!$D$5:$D$304,MATCH($B100,الموظفات!$B$5:$B$304,0))&amp;"",""))</f>
        <v/>
      </c>
      <c r="N100" s="20">
        <f>IF($B100="","",IFERROR(INDEX(الموظفات!$E$5:$E$304,MATCH($B100,الموظفات!$B$5:$B$304,0))&amp;"",""))</f>
        <v/>
      </c>
      <c r="O100" s="21">
        <f>IF(C100="","",IFERROR(INDEX(الإعدادات!$D$7:$D$35,MATCH(C100,الإعدادات!$A$7:$A$35,0))&amp;"",""))</f>
        <v/>
      </c>
      <c r="P100" s="20">
        <f>IF(A100="","",INDEX(الإعدادات!$H$7:$H$18,MONTH(A100)))</f>
        <v/>
      </c>
      <c r="Q100" s="20">
        <f>IF(A100="","",INDEX(الإعدادات!$I$7:$I$18,MONTH(A100)))</f>
        <v/>
      </c>
      <c r="R100" s="20">
        <f>IF(A100="","",IF(MONTH(A100)&gt;=8,YEAR(A100)&amp;"-"&amp;(YEAR(A100)+1),(YEAR(A100)-1)&amp;"-"&amp;YEAR(A100)))</f>
        <v/>
      </c>
      <c r="S100" s="20">
        <f>IF(OR(A100="",B100=""),0,IF(AND(R100=التقارير!$C$4,OR(التقارير!$C$5="سنوي",AND(التقارير!$C$5="شهري",P100=التقارير!$C$6),AND(التقارير!$C$5="فصلي",Q100=التقارير!$C$7))),1,0))</f>
        <v/>
      </c>
      <c r="T100" s="20">
        <f>IF(S100=1,COUNTIF($S$5:S100,1),"")</f>
        <v/>
      </c>
      <c r="U100">
        <f>IF(AND($A100&lt;&gt;"",$B100&lt;&gt;"",$R100='تقرير الفصل الأول'!$C$4,$Q100='تقرير الفصل الأول'!$C$7),COUNT(U$4:U99)+1,"")</f>
        <v/>
      </c>
      <c r="V100">
        <f>IF(AND($A100&lt;&gt;"",$B100&lt;&gt;"",$R100='تقرير الفصل الثاني'!$C$4,$Q100='تقرير الفصل الثاني'!$C$7),COUNT(V$4:V99)+1,"")</f>
        <v/>
      </c>
      <c r="W100">
        <f>IF(AND($A100&lt;&gt;"",$B100&lt;&gt;"",$R100='تقرير سبتمبر'!$C$4,$P100='تقرير سبتمبر'!$C$6),COUNT(W$4:W99)+1,"")</f>
        <v/>
      </c>
      <c r="X100">
        <f>IF(AND($A100&lt;&gt;"",$B100&lt;&gt;"",$R100='تقرير أكتوبر'!$C$4,$P100='تقرير أكتوبر'!$C$6),COUNT(X$4:X99)+1,"")</f>
        <v/>
      </c>
      <c r="Y100">
        <f>IF(AND($A100&lt;&gt;"",$B100&lt;&gt;"",$R100='تقرير نوفمبر'!$C$4,$P100='تقرير نوفمبر'!$C$6),COUNT(Y$4:Y99)+1,"")</f>
        <v/>
      </c>
      <c r="Z100">
        <f>IF(AND($A100&lt;&gt;"",$B100&lt;&gt;"",$R100='تقرير ديسمبر'!$C$4,$P100='تقرير ديسمبر'!$C$6),COUNT(Z$4:Z99)+1,"")</f>
        <v/>
      </c>
      <c r="AA100">
        <f>IF(AND($A100&lt;&gt;"",$B100&lt;&gt;"",$R100='تقرير يناير'!$C$4,$P100='تقرير يناير'!$C$6),COUNT(AA$4:AA99)+1,"")</f>
        <v/>
      </c>
      <c r="AB100">
        <f>IF(AND($A100&lt;&gt;"",$B100&lt;&gt;"",$R100='تقرير فبراير'!$C$4,$P100='تقرير فبراير'!$C$6),COUNT(AB$4:AB99)+1,"")</f>
        <v/>
      </c>
      <c r="AC100">
        <f>IF(AND($A100&lt;&gt;"",$B100&lt;&gt;"",$R100='تقرير مارس'!$C$4,$P100='تقرير مارس'!$C$6),COUNT(AC$4:AC99)+1,"")</f>
        <v/>
      </c>
      <c r="AD100">
        <f>IF(AND($A100&lt;&gt;"",$B100&lt;&gt;"",$R100='تقرير أبريل'!$C$4,$P100='تقرير أبريل'!$C$6),COUNT(AD$4:AD99)+1,"")</f>
        <v/>
      </c>
      <c r="AE100">
        <f>IF(AND($A100&lt;&gt;"",$B100&lt;&gt;"",$R100='تقرير مايو'!$C$4,$P100='تقرير مايو'!$C$6),COUNT(AE$4:AE99)+1,"")</f>
        <v/>
      </c>
    </row>
    <row r="101">
      <c r="A101" s="16" t="n"/>
      <c r="B101" s="17" t="n"/>
      <c r="C101" s="17" t="n"/>
      <c r="D101" s="18" t="n"/>
      <c r="E101" s="17" t="n"/>
      <c r="F101" s="17" t="n"/>
      <c r="G101" s="19" t="n"/>
      <c r="H101" s="17" t="n"/>
      <c r="I101" s="17" t="n"/>
      <c r="J101" s="17" t="n"/>
      <c r="K101" s="20">
        <f>IF($B101="","",IFERROR(INDEX(الموظفات!$A$5:$A$304,MATCH($B101,الموظفات!$B$5:$B$304,0))&amp;"",""))</f>
        <v/>
      </c>
      <c r="L101" s="21">
        <f>IF($B101="","",IFERROR(INDEX(الموظفات!$C$5:$C$304,MATCH($B101,الموظفات!$B$5:$B$304,0))&amp;"",""))</f>
        <v/>
      </c>
      <c r="M101" s="20">
        <f>IF($B101="","",IFERROR(INDEX(الموظفات!$D$5:$D$304,MATCH($B101,الموظفات!$B$5:$B$304,0))&amp;"",""))</f>
        <v/>
      </c>
      <c r="N101" s="20">
        <f>IF($B101="","",IFERROR(INDEX(الموظفات!$E$5:$E$304,MATCH($B101,الموظفات!$B$5:$B$304,0))&amp;"",""))</f>
        <v/>
      </c>
      <c r="O101" s="21">
        <f>IF(C101="","",IFERROR(INDEX(الإعدادات!$D$7:$D$35,MATCH(C101,الإعدادات!$A$7:$A$35,0))&amp;"",""))</f>
        <v/>
      </c>
      <c r="P101" s="20">
        <f>IF(A101="","",INDEX(الإعدادات!$H$7:$H$18,MONTH(A101)))</f>
        <v/>
      </c>
      <c r="Q101" s="20">
        <f>IF(A101="","",INDEX(الإعدادات!$I$7:$I$18,MONTH(A101)))</f>
        <v/>
      </c>
      <c r="R101" s="20">
        <f>IF(A101="","",IF(MONTH(A101)&gt;=8,YEAR(A101)&amp;"-"&amp;(YEAR(A101)+1),(YEAR(A101)-1)&amp;"-"&amp;YEAR(A101)))</f>
        <v/>
      </c>
      <c r="S101" s="20">
        <f>IF(OR(A101="",B101=""),0,IF(AND(R101=التقارير!$C$4,OR(التقارير!$C$5="سنوي",AND(التقارير!$C$5="شهري",P101=التقارير!$C$6),AND(التقارير!$C$5="فصلي",Q101=التقارير!$C$7))),1,0))</f>
        <v/>
      </c>
      <c r="T101" s="20">
        <f>IF(S101=1,COUNTIF($S$5:S101,1),"")</f>
        <v/>
      </c>
      <c r="U101">
        <f>IF(AND($A101&lt;&gt;"",$B101&lt;&gt;"",$R101='تقرير الفصل الأول'!$C$4,$Q101='تقرير الفصل الأول'!$C$7),COUNT(U$4:U100)+1,"")</f>
        <v/>
      </c>
      <c r="V101">
        <f>IF(AND($A101&lt;&gt;"",$B101&lt;&gt;"",$R101='تقرير الفصل الثاني'!$C$4,$Q101='تقرير الفصل الثاني'!$C$7),COUNT(V$4:V100)+1,"")</f>
        <v/>
      </c>
      <c r="W101">
        <f>IF(AND($A101&lt;&gt;"",$B101&lt;&gt;"",$R101='تقرير سبتمبر'!$C$4,$P101='تقرير سبتمبر'!$C$6),COUNT(W$4:W100)+1,"")</f>
        <v/>
      </c>
      <c r="X101">
        <f>IF(AND($A101&lt;&gt;"",$B101&lt;&gt;"",$R101='تقرير أكتوبر'!$C$4,$P101='تقرير أكتوبر'!$C$6),COUNT(X$4:X100)+1,"")</f>
        <v/>
      </c>
      <c r="Y101">
        <f>IF(AND($A101&lt;&gt;"",$B101&lt;&gt;"",$R101='تقرير نوفمبر'!$C$4,$P101='تقرير نوفمبر'!$C$6),COUNT(Y$4:Y100)+1,"")</f>
        <v/>
      </c>
      <c r="Z101">
        <f>IF(AND($A101&lt;&gt;"",$B101&lt;&gt;"",$R101='تقرير ديسمبر'!$C$4,$P101='تقرير ديسمبر'!$C$6),COUNT(Z$4:Z100)+1,"")</f>
        <v/>
      </c>
      <c r="AA101">
        <f>IF(AND($A101&lt;&gt;"",$B101&lt;&gt;"",$R101='تقرير يناير'!$C$4,$P101='تقرير يناير'!$C$6),COUNT(AA$4:AA100)+1,"")</f>
        <v/>
      </c>
      <c r="AB101">
        <f>IF(AND($A101&lt;&gt;"",$B101&lt;&gt;"",$R101='تقرير فبراير'!$C$4,$P101='تقرير فبراير'!$C$6),COUNT(AB$4:AB100)+1,"")</f>
        <v/>
      </c>
      <c r="AC101">
        <f>IF(AND($A101&lt;&gt;"",$B101&lt;&gt;"",$R101='تقرير مارس'!$C$4,$P101='تقرير مارس'!$C$6),COUNT(AC$4:AC100)+1,"")</f>
        <v/>
      </c>
      <c r="AD101">
        <f>IF(AND($A101&lt;&gt;"",$B101&lt;&gt;"",$R101='تقرير أبريل'!$C$4,$P101='تقرير أبريل'!$C$6),COUNT(AD$4:AD100)+1,"")</f>
        <v/>
      </c>
      <c r="AE101">
        <f>IF(AND($A101&lt;&gt;"",$B101&lt;&gt;"",$R101='تقرير مايو'!$C$4,$P101='تقرير مايو'!$C$6),COUNT(AE$4:AE100)+1,"")</f>
        <v/>
      </c>
    </row>
    <row r="102">
      <c r="A102" s="16" t="n"/>
      <c r="B102" s="17" t="n"/>
      <c r="C102" s="17" t="n"/>
      <c r="D102" s="18" t="n"/>
      <c r="E102" s="17" t="n"/>
      <c r="F102" s="17" t="n"/>
      <c r="G102" s="19" t="n"/>
      <c r="H102" s="17" t="n"/>
      <c r="I102" s="17" t="n"/>
      <c r="J102" s="17" t="n"/>
      <c r="K102" s="20">
        <f>IF($B102="","",IFERROR(INDEX(الموظفات!$A$5:$A$304,MATCH($B102,الموظفات!$B$5:$B$304,0))&amp;"",""))</f>
        <v/>
      </c>
      <c r="L102" s="21">
        <f>IF($B102="","",IFERROR(INDEX(الموظفات!$C$5:$C$304,MATCH($B102,الموظفات!$B$5:$B$304,0))&amp;"",""))</f>
        <v/>
      </c>
      <c r="M102" s="20">
        <f>IF($B102="","",IFERROR(INDEX(الموظفات!$D$5:$D$304,MATCH($B102,الموظفات!$B$5:$B$304,0))&amp;"",""))</f>
        <v/>
      </c>
      <c r="N102" s="20">
        <f>IF($B102="","",IFERROR(INDEX(الموظفات!$E$5:$E$304,MATCH($B102,الموظفات!$B$5:$B$304,0))&amp;"",""))</f>
        <v/>
      </c>
      <c r="O102" s="21">
        <f>IF(C102="","",IFERROR(INDEX(الإعدادات!$D$7:$D$35,MATCH(C102,الإعدادات!$A$7:$A$35,0))&amp;"",""))</f>
        <v/>
      </c>
      <c r="P102" s="20">
        <f>IF(A102="","",INDEX(الإعدادات!$H$7:$H$18,MONTH(A102)))</f>
        <v/>
      </c>
      <c r="Q102" s="20">
        <f>IF(A102="","",INDEX(الإعدادات!$I$7:$I$18,MONTH(A102)))</f>
        <v/>
      </c>
      <c r="R102" s="20">
        <f>IF(A102="","",IF(MONTH(A102)&gt;=8,YEAR(A102)&amp;"-"&amp;(YEAR(A102)+1),(YEAR(A102)-1)&amp;"-"&amp;YEAR(A102)))</f>
        <v/>
      </c>
      <c r="S102" s="20">
        <f>IF(OR(A102="",B102=""),0,IF(AND(R102=التقارير!$C$4,OR(التقارير!$C$5="سنوي",AND(التقارير!$C$5="شهري",P102=التقارير!$C$6),AND(التقارير!$C$5="فصلي",Q102=التقارير!$C$7))),1,0))</f>
        <v/>
      </c>
      <c r="T102" s="20">
        <f>IF(S102=1,COUNTIF($S$5:S102,1),"")</f>
        <v/>
      </c>
      <c r="U102">
        <f>IF(AND($A102&lt;&gt;"",$B102&lt;&gt;"",$R102='تقرير الفصل الأول'!$C$4,$Q102='تقرير الفصل الأول'!$C$7),COUNT(U$4:U101)+1,"")</f>
        <v/>
      </c>
      <c r="V102">
        <f>IF(AND($A102&lt;&gt;"",$B102&lt;&gt;"",$R102='تقرير الفصل الثاني'!$C$4,$Q102='تقرير الفصل الثاني'!$C$7),COUNT(V$4:V101)+1,"")</f>
        <v/>
      </c>
      <c r="W102">
        <f>IF(AND($A102&lt;&gt;"",$B102&lt;&gt;"",$R102='تقرير سبتمبر'!$C$4,$P102='تقرير سبتمبر'!$C$6),COUNT(W$4:W101)+1,"")</f>
        <v/>
      </c>
      <c r="X102">
        <f>IF(AND($A102&lt;&gt;"",$B102&lt;&gt;"",$R102='تقرير أكتوبر'!$C$4,$P102='تقرير أكتوبر'!$C$6),COUNT(X$4:X101)+1,"")</f>
        <v/>
      </c>
      <c r="Y102">
        <f>IF(AND($A102&lt;&gt;"",$B102&lt;&gt;"",$R102='تقرير نوفمبر'!$C$4,$P102='تقرير نوفمبر'!$C$6),COUNT(Y$4:Y101)+1,"")</f>
        <v/>
      </c>
      <c r="Z102">
        <f>IF(AND($A102&lt;&gt;"",$B102&lt;&gt;"",$R102='تقرير ديسمبر'!$C$4,$P102='تقرير ديسمبر'!$C$6),COUNT(Z$4:Z101)+1,"")</f>
        <v/>
      </c>
      <c r="AA102">
        <f>IF(AND($A102&lt;&gt;"",$B102&lt;&gt;"",$R102='تقرير يناير'!$C$4,$P102='تقرير يناير'!$C$6),COUNT(AA$4:AA101)+1,"")</f>
        <v/>
      </c>
      <c r="AB102">
        <f>IF(AND($A102&lt;&gt;"",$B102&lt;&gt;"",$R102='تقرير فبراير'!$C$4,$P102='تقرير فبراير'!$C$6),COUNT(AB$4:AB101)+1,"")</f>
        <v/>
      </c>
      <c r="AC102">
        <f>IF(AND($A102&lt;&gt;"",$B102&lt;&gt;"",$R102='تقرير مارس'!$C$4,$P102='تقرير مارس'!$C$6),COUNT(AC$4:AC101)+1,"")</f>
        <v/>
      </c>
      <c r="AD102">
        <f>IF(AND($A102&lt;&gt;"",$B102&lt;&gt;"",$R102='تقرير أبريل'!$C$4,$P102='تقرير أبريل'!$C$6),COUNT(AD$4:AD101)+1,"")</f>
        <v/>
      </c>
      <c r="AE102">
        <f>IF(AND($A102&lt;&gt;"",$B102&lt;&gt;"",$R102='تقرير مايو'!$C$4,$P102='تقرير مايو'!$C$6),COUNT(AE$4:AE101)+1,"")</f>
        <v/>
      </c>
    </row>
    <row r="103">
      <c r="A103" s="16" t="n"/>
      <c r="B103" s="17" t="n"/>
      <c r="C103" s="17" t="n"/>
      <c r="D103" s="18" t="n"/>
      <c r="E103" s="17" t="n"/>
      <c r="F103" s="17" t="n"/>
      <c r="G103" s="19" t="n"/>
      <c r="H103" s="17" t="n"/>
      <c r="I103" s="17" t="n"/>
      <c r="J103" s="17" t="n"/>
      <c r="K103" s="20">
        <f>IF($B103="","",IFERROR(INDEX(الموظفات!$A$5:$A$304,MATCH($B103,الموظفات!$B$5:$B$304,0))&amp;"",""))</f>
        <v/>
      </c>
      <c r="L103" s="21">
        <f>IF($B103="","",IFERROR(INDEX(الموظفات!$C$5:$C$304,MATCH($B103,الموظفات!$B$5:$B$304,0))&amp;"",""))</f>
        <v/>
      </c>
      <c r="M103" s="20">
        <f>IF($B103="","",IFERROR(INDEX(الموظفات!$D$5:$D$304,MATCH($B103,الموظفات!$B$5:$B$304,0))&amp;"",""))</f>
        <v/>
      </c>
      <c r="N103" s="20">
        <f>IF($B103="","",IFERROR(INDEX(الموظفات!$E$5:$E$304,MATCH($B103,الموظفات!$B$5:$B$304,0))&amp;"",""))</f>
        <v/>
      </c>
      <c r="O103" s="21">
        <f>IF(C103="","",IFERROR(INDEX(الإعدادات!$D$7:$D$35,MATCH(C103,الإعدادات!$A$7:$A$35,0))&amp;"",""))</f>
        <v/>
      </c>
      <c r="P103" s="20">
        <f>IF(A103="","",INDEX(الإعدادات!$H$7:$H$18,MONTH(A103)))</f>
        <v/>
      </c>
      <c r="Q103" s="20">
        <f>IF(A103="","",INDEX(الإعدادات!$I$7:$I$18,MONTH(A103)))</f>
        <v/>
      </c>
      <c r="R103" s="20">
        <f>IF(A103="","",IF(MONTH(A103)&gt;=8,YEAR(A103)&amp;"-"&amp;(YEAR(A103)+1),(YEAR(A103)-1)&amp;"-"&amp;YEAR(A103)))</f>
        <v/>
      </c>
      <c r="S103" s="20">
        <f>IF(OR(A103="",B103=""),0,IF(AND(R103=التقارير!$C$4,OR(التقارير!$C$5="سنوي",AND(التقارير!$C$5="شهري",P103=التقارير!$C$6),AND(التقارير!$C$5="فصلي",Q103=التقارير!$C$7))),1,0))</f>
        <v/>
      </c>
      <c r="T103" s="20">
        <f>IF(S103=1,COUNTIF($S$5:S103,1),"")</f>
        <v/>
      </c>
      <c r="U103">
        <f>IF(AND($A103&lt;&gt;"",$B103&lt;&gt;"",$R103='تقرير الفصل الأول'!$C$4,$Q103='تقرير الفصل الأول'!$C$7),COUNT(U$4:U102)+1,"")</f>
        <v/>
      </c>
      <c r="V103">
        <f>IF(AND($A103&lt;&gt;"",$B103&lt;&gt;"",$R103='تقرير الفصل الثاني'!$C$4,$Q103='تقرير الفصل الثاني'!$C$7),COUNT(V$4:V102)+1,"")</f>
        <v/>
      </c>
      <c r="W103">
        <f>IF(AND($A103&lt;&gt;"",$B103&lt;&gt;"",$R103='تقرير سبتمبر'!$C$4,$P103='تقرير سبتمبر'!$C$6),COUNT(W$4:W102)+1,"")</f>
        <v/>
      </c>
      <c r="X103">
        <f>IF(AND($A103&lt;&gt;"",$B103&lt;&gt;"",$R103='تقرير أكتوبر'!$C$4,$P103='تقرير أكتوبر'!$C$6),COUNT(X$4:X102)+1,"")</f>
        <v/>
      </c>
      <c r="Y103">
        <f>IF(AND($A103&lt;&gt;"",$B103&lt;&gt;"",$R103='تقرير نوفمبر'!$C$4,$P103='تقرير نوفمبر'!$C$6),COUNT(Y$4:Y102)+1,"")</f>
        <v/>
      </c>
      <c r="Z103">
        <f>IF(AND($A103&lt;&gt;"",$B103&lt;&gt;"",$R103='تقرير ديسمبر'!$C$4,$P103='تقرير ديسمبر'!$C$6),COUNT(Z$4:Z102)+1,"")</f>
        <v/>
      </c>
      <c r="AA103">
        <f>IF(AND($A103&lt;&gt;"",$B103&lt;&gt;"",$R103='تقرير يناير'!$C$4,$P103='تقرير يناير'!$C$6),COUNT(AA$4:AA102)+1,"")</f>
        <v/>
      </c>
      <c r="AB103">
        <f>IF(AND($A103&lt;&gt;"",$B103&lt;&gt;"",$R103='تقرير فبراير'!$C$4,$P103='تقرير فبراير'!$C$6),COUNT(AB$4:AB102)+1,"")</f>
        <v/>
      </c>
      <c r="AC103">
        <f>IF(AND($A103&lt;&gt;"",$B103&lt;&gt;"",$R103='تقرير مارس'!$C$4,$P103='تقرير مارس'!$C$6),COUNT(AC$4:AC102)+1,"")</f>
        <v/>
      </c>
      <c r="AD103">
        <f>IF(AND($A103&lt;&gt;"",$B103&lt;&gt;"",$R103='تقرير أبريل'!$C$4,$P103='تقرير أبريل'!$C$6),COUNT(AD$4:AD102)+1,"")</f>
        <v/>
      </c>
      <c r="AE103">
        <f>IF(AND($A103&lt;&gt;"",$B103&lt;&gt;"",$R103='تقرير مايو'!$C$4,$P103='تقرير مايو'!$C$6),COUNT(AE$4:AE102)+1,"")</f>
        <v/>
      </c>
    </row>
    <row r="104">
      <c r="A104" s="16" t="n"/>
      <c r="B104" s="17" t="n"/>
      <c r="C104" s="17" t="n"/>
      <c r="D104" s="18" t="n"/>
      <c r="E104" s="17" t="n"/>
      <c r="F104" s="17" t="n"/>
      <c r="G104" s="19" t="n"/>
      <c r="H104" s="17" t="n"/>
      <c r="I104" s="17" t="n"/>
      <c r="J104" s="17" t="n"/>
      <c r="K104" s="20">
        <f>IF($B104="","",IFERROR(INDEX(الموظفات!$A$5:$A$304,MATCH($B104,الموظفات!$B$5:$B$304,0))&amp;"",""))</f>
        <v/>
      </c>
      <c r="L104" s="21">
        <f>IF($B104="","",IFERROR(INDEX(الموظفات!$C$5:$C$304,MATCH($B104,الموظفات!$B$5:$B$304,0))&amp;"",""))</f>
        <v/>
      </c>
      <c r="M104" s="20">
        <f>IF($B104="","",IFERROR(INDEX(الموظفات!$D$5:$D$304,MATCH($B104,الموظفات!$B$5:$B$304,0))&amp;"",""))</f>
        <v/>
      </c>
      <c r="N104" s="20">
        <f>IF($B104="","",IFERROR(INDEX(الموظفات!$E$5:$E$304,MATCH($B104,الموظفات!$B$5:$B$304,0))&amp;"",""))</f>
        <v/>
      </c>
      <c r="O104" s="21">
        <f>IF(C104="","",IFERROR(INDEX(الإعدادات!$D$7:$D$35,MATCH(C104,الإعدادات!$A$7:$A$35,0))&amp;"",""))</f>
        <v/>
      </c>
      <c r="P104" s="20">
        <f>IF(A104="","",INDEX(الإعدادات!$H$7:$H$18,MONTH(A104)))</f>
        <v/>
      </c>
      <c r="Q104" s="20">
        <f>IF(A104="","",INDEX(الإعدادات!$I$7:$I$18,MONTH(A104)))</f>
        <v/>
      </c>
      <c r="R104" s="20">
        <f>IF(A104="","",IF(MONTH(A104)&gt;=8,YEAR(A104)&amp;"-"&amp;(YEAR(A104)+1),(YEAR(A104)-1)&amp;"-"&amp;YEAR(A104)))</f>
        <v/>
      </c>
      <c r="S104" s="20">
        <f>IF(OR(A104="",B104=""),0,IF(AND(R104=التقارير!$C$4,OR(التقارير!$C$5="سنوي",AND(التقارير!$C$5="شهري",P104=التقارير!$C$6),AND(التقارير!$C$5="فصلي",Q104=التقارير!$C$7))),1,0))</f>
        <v/>
      </c>
      <c r="T104" s="20">
        <f>IF(S104=1,COUNTIF($S$5:S104,1),"")</f>
        <v/>
      </c>
      <c r="U104">
        <f>IF(AND($A104&lt;&gt;"",$B104&lt;&gt;"",$R104='تقرير الفصل الأول'!$C$4,$Q104='تقرير الفصل الأول'!$C$7),COUNT(U$4:U103)+1,"")</f>
        <v/>
      </c>
      <c r="V104">
        <f>IF(AND($A104&lt;&gt;"",$B104&lt;&gt;"",$R104='تقرير الفصل الثاني'!$C$4,$Q104='تقرير الفصل الثاني'!$C$7),COUNT(V$4:V103)+1,"")</f>
        <v/>
      </c>
      <c r="W104">
        <f>IF(AND($A104&lt;&gt;"",$B104&lt;&gt;"",$R104='تقرير سبتمبر'!$C$4,$P104='تقرير سبتمبر'!$C$6),COUNT(W$4:W103)+1,"")</f>
        <v/>
      </c>
      <c r="X104">
        <f>IF(AND($A104&lt;&gt;"",$B104&lt;&gt;"",$R104='تقرير أكتوبر'!$C$4,$P104='تقرير أكتوبر'!$C$6),COUNT(X$4:X103)+1,"")</f>
        <v/>
      </c>
      <c r="Y104">
        <f>IF(AND($A104&lt;&gt;"",$B104&lt;&gt;"",$R104='تقرير نوفمبر'!$C$4,$P104='تقرير نوفمبر'!$C$6),COUNT(Y$4:Y103)+1,"")</f>
        <v/>
      </c>
      <c r="Z104">
        <f>IF(AND($A104&lt;&gt;"",$B104&lt;&gt;"",$R104='تقرير ديسمبر'!$C$4,$P104='تقرير ديسمبر'!$C$6),COUNT(Z$4:Z103)+1,"")</f>
        <v/>
      </c>
      <c r="AA104">
        <f>IF(AND($A104&lt;&gt;"",$B104&lt;&gt;"",$R104='تقرير يناير'!$C$4,$P104='تقرير يناير'!$C$6),COUNT(AA$4:AA103)+1,"")</f>
        <v/>
      </c>
      <c r="AB104">
        <f>IF(AND($A104&lt;&gt;"",$B104&lt;&gt;"",$R104='تقرير فبراير'!$C$4,$P104='تقرير فبراير'!$C$6),COUNT(AB$4:AB103)+1,"")</f>
        <v/>
      </c>
      <c r="AC104">
        <f>IF(AND($A104&lt;&gt;"",$B104&lt;&gt;"",$R104='تقرير مارس'!$C$4,$P104='تقرير مارس'!$C$6),COUNT(AC$4:AC103)+1,"")</f>
        <v/>
      </c>
      <c r="AD104">
        <f>IF(AND($A104&lt;&gt;"",$B104&lt;&gt;"",$R104='تقرير أبريل'!$C$4,$P104='تقرير أبريل'!$C$6),COUNT(AD$4:AD103)+1,"")</f>
        <v/>
      </c>
      <c r="AE104">
        <f>IF(AND($A104&lt;&gt;"",$B104&lt;&gt;"",$R104='تقرير مايو'!$C$4,$P104='تقرير مايو'!$C$6),COUNT(AE$4:AE103)+1,"")</f>
        <v/>
      </c>
    </row>
    <row r="105">
      <c r="A105" s="16" t="n"/>
      <c r="B105" s="17" t="n"/>
      <c r="C105" s="17" t="n"/>
      <c r="D105" s="18" t="n"/>
      <c r="E105" s="17" t="n"/>
      <c r="F105" s="17" t="n"/>
      <c r="G105" s="19" t="n"/>
      <c r="H105" s="17" t="n"/>
      <c r="I105" s="17" t="n"/>
      <c r="J105" s="17" t="n"/>
      <c r="K105" s="20">
        <f>IF($B105="","",IFERROR(INDEX(الموظفات!$A$5:$A$304,MATCH($B105,الموظفات!$B$5:$B$304,0))&amp;"",""))</f>
        <v/>
      </c>
      <c r="L105" s="21">
        <f>IF($B105="","",IFERROR(INDEX(الموظفات!$C$5:$C$304,MATCH($B105,الموظفات!$B$5:$B$304,0))&amp;"",""))</f>
        <v/>
      </c>
      <c r="M105" s="20">
        <f>IF($B105="","",IFERROR(INDEX(الموظفات!$D$5:$D$304,MATCH($B105,الموظفات!$B$5:$B$304,0))&amp;"",""))</f>
        <v/>
      </c>
      <c r="N105" s="20">
        <f>IF($B105="","",IFERROR(INDEX(الموظفات!$E$5:$E$304,MATCH($B105,الموظفات!$B$5:$B$304,0))&amp;"",""))</f>
        <v/>
      </c>
      <c r="O105" s="21">
        <f>IF(C105="","",IFERROR(INDEX(الإعدادات!$D$7:$D$35,MATCH(C105,الإعدادات!$A$7:$A$35,0))&amp;"",""))</f>
        <v/>
      </c>
      <c r="P105" s="20">
        <f>IF(A105="","",INDEX(الإعدادات!$H$7:$H$18,MONTH(A105)))</f>
        <v/>
      </c>
      <c r="Q105" s="20">
        <f>IF(A105="","",INDEX(الإعدادات!$I$7:$I$18,MONTH(A105)))</f>
        <v/>
      </c>
      <c r="R105" s="20">
        <f>IF(A105="","",IF(MONTH(A105)&gt;=8,YEAR(A105)&amp;"-"&amp;(YEAR(A105)+1),(YEAR(A105)-1)&amp;"-"&amp;YEAR(A105)))</f>
        <v/>
      </c>
      <c r="S105" s="20">
        <f>IF(OR(A105="",B105=""),0,IF(AND(R105=التقارير!$C$4,OR(التقارير!$C$5="سنوي",AND(التقارير!$C$5="شهري",P105=التقارير!$C$6),AND(التقارير!$C$5="فصلي",Q105=التقارير!$C$7))),1,0))</f>
        <v/>
      </c>
      <c r="T105" s="20">
        <f>IF(S105=1,COUNTIF($S$5:S105,1),"")</f>
        <v/>
      </c>
      <c r="U105">
        <f>IF(AND($A105&lt;&gt;"",$B105&lt;&gt;"",$R105='تقرير الفصل الأول'!$C$4,$Q105='تقرير الفصل الأول'!$C$7),COUNT(U$4:U104)+1,"")</f>
        <v/>
      </c>
      <c r="V105">
        <f>IF(AND($A105&lt;&gt;"",$B105&lt;&gt;"",$R105='تقرير الفصل الثاني'!$C$4,$Q105='تقرير الفصل الثاني'!$C$7),COUNT(V$4:V104)+1,"")</f>
        <v/>
      </c>
      <c r="W105">
        <f>IF(AND($A105&lt;&gt;"",$B105&lt;&gt;"",$R105='تقرير سبتمبر'!$C$4,$P105='تقرير سبتمبر'!$C$6),COUNT(W$4:W104)+1,"")</f>
        <v/>
      </c>
      <c r="X105">
        <f>IF(AND($A105&lt;&gt;"",$B105&lt;&gt;"",$R105='تقرير أكتوبر'!$C$4,$P105='تقرير أكتوبر'!$C$6),COUNT(X$4:X104)+1,"")</f>
        <v/>
      </c>
      <c r="Y105">
        <f>IF(AND($A105&lt;&gt;"",$B105&lt;&gt;"",$R105='تقرير نوفمبر'!$C$4,$P105='تقرير نوفمبر'!$C$6),COUNT(Y$4:Y104)+1,"")</f>
        <v/>
      </c>
      <c r="Z105">
        <f>IF(AND($A105&lt;&gt;"",$B105&lt;&gt;"",$R105='تقرير ديسمبر'!$C$4,$P105='تقرير ديسمبر'!$C$6),COUNT(Z$4:Z104)+1,"")</f>
        <v/>
      </c>
      <c r="AA105">
        <f>IF(AND($A105&lt;&gt;"",$B105&lt;&gt;"",$R105='تقرير يناير'!$C$4,$P105='تقرير يناير'!$C$6),COUNT(AA$4:AA104)+1,"")</f>
        <v/>
      </c>
      <c r="AB105">
        <f>IF(AND($A105&lt;&gt;"",$B105&lt;&gt;"",$R105='تقرير فبراير'!$C$4,$P105='تقرير فبراير'!$C$6),COUNT(AB$4:AB104)+1,"")</f>
        <v/>
      </c>
      <c r="AC105">
        <f>IF(AND($A105&lt;&gt;"",$B105&lt;&gt;"",$R105='تقرير مارس'!$C$4,$P105='تقرير مارس'!$C$6),COUNT(AC$4:AC104)+1,"")</f>
        <v/>
      </c>
      <c r="AD105">
        <f>IF(AND($A105&lt;&gt;"",$B105&lt;&gt;"",$R105='تقرير أبريل'!$C$4,$P105='تقرير أبريل'!$C$6),COUNT(AD$4:AD104)+1,"")</f>
        <v/>
      </c>
      <c r="AE105">
        <f>IF(AND($A105&lt;&gt;"",$B105&lt;&gt;"",$R105='تقرير مايو'!$C$4,$P105='تقرير مايو'!$C$6),COUNT(AE$4:AE104)+1,"")</f>
        <v/>
      </c>
    </row>
    <row r="106">
      <c r="A106" s="16" t="n"/>
      <c r="B106" s="17" t="n"/>
      <c r="C106" s="17" t="n"/>
      <c r="D106" s="18" t="n"/>
      <c r="E106" s="17" t="n"/>
      <c r="F106" s="17" t="n"/>
      <c r="G106" s="19" t="n"/>
      <c r="H106" s="17" t="n"/>
      <c r="I106" s="17" t="n"/>
      <c r="J106" s="17" t="n"/>
      <c r="K106" s="20">
        <f>IF($B106="","",IFERROR(INDEX(الموظفات!$A$5:$A$304,MATCH($B106,الموظفات!$B$5:$B$304,0))&amp;"",""))</f>
        <v/>
      </c>
      <c r="L106" s="21">
        <f>IF($B106="","",IFERROR(INDEX(الموظفات!$C$5:$C$304,MATCH($B106,الموظفات!$B$5:$B$304,0))&amp;"",""))</f>
        <v/>
      </c>
      <c r="M106" s="20">
        <f>IF($B106="","",IFERROR(INDEX(الموظفات!$D$5:$D$304,MATCH($B106,الموظفات!$B$5:$B$304,0))&amp;"",""))</f>
        <v/>
      </c>
      <c r="N106" s="20">
        <f>IF($B106="","",IFERROR(INDEX(الموظفات!$E$5:$E$304,MATCH($B106,الموظفات!$B$5:$B$304,0))&amp;"",""))</f>
        <v/>
      </c>
      <c r="O106" s="21">
        <f>IF(C106="","",IFERROR(INDEX(الإعدادات!$D$7:$D$35,MATCH(C106,الإعدادات!$A$7:$A$35,0))&amp;"",""))</f>
        <v/>
      </c>
      <c r="P106" s="20">
        <f>IF(A106="","",INDEX(الإعدادات!$H$7:$H$18,MONTH(A106)))</f>
        <v/>
      </c>
      <c r="Q106" s="20">
        <f>IF(A106="","",INDEX(الإعدادات!$I$7:$I$18,MONTH(A106)))</f>
        <v/>
      </c>
      <c r="R106" s="20">
        <f>IF(A106="","",IF(MONTH(A106)&gt;=8,YEAR(A106)&amp;"-"&amp;(YEAR(A106)+1),(YEAR(A106)-1)&amp;"-"&amp;YEAR(A106)))</f>
        <v/>
      </c>
      <c r="S106" s="20">
        <f>IF(OR(A106="",B106=""),0,IF(AND(R106=التقارير!$C$4,OR(التقارير!$C$5="سنوي",AND(التقارير!$C$5="شهري",P106=التقارير!$C$6),AND(التقارير!$C$5="فصلي",Q106=التقارير!$C$7))),1,0))</f>
        <v/>
      </c>
      <c r="T106" s="20">
        <f>IF(S106=1,COUNTIF($S$5:S106,1),"")</f>
        <v/>
      </c>
      <c r="U106">
        <f>IF(AND($A106&lt;&gt;"",$B106&lt;&gt;"",$R106='تقرير الفصل الأول'!$C$4,$Q106='تقرير الفصل الأول'!$C$7),COUNT(U$4:U105)+1,"")</f>
        <v/>
      </c>
      <c r="V106">
        <f>IF(AND($A106&lt;&gt;"",$B106&lt;&gt;"",$R106='تقرير الفصل الثاني'!$C$4,$Q106='تقرير الفصل الثاني'!$C$7),COUNT(V$4:V105)+1,"")</f>
        <v/>
      </c>
      <c r="W106">
        <f>IF(AND($A106&lt;&gt;"",$B106&lt;&gt;"",$R106='تقرير سبتمبر'!$C$4,$P106='تقرير سبتمبر'!$C$6),COUNT(W$4:W105)+1,"")</f>
        <v/>
      </c>
      <c r="X106">
        <f>IF(AND($A106&lt;&gt;"",$B106&lt;&gt;"",$R106='تقرير أكتوبر'!$C$4,$P106='تقرير أكتوبر'!$C$6),COUNT(X$4:X105)+1,"")</f>
        <v/>
      </c>
      <c r="Y106">
        <f>IF(AND($A106&lt;&gt;"",$B106&lt;&gt;"",$R106='تقرير نوفمبر'!$C$4,$P106='تقرير نوفمبر'!$C$6),COUNT(Y$4:Y105)+1,"")</f>
        <v/>
      </c>
      <c r="Z106">
        <f>IF(AND($A106&lt;&gt;"",$B106&lt;&gt;"",$R106='تقرير ديسمبر'!$C$4,$P106='تقرير ديسمبر'!$C$6),COUNT(Z$4:Z105)+1,"")</f>
        <v/>
      </c>
      <c r="AA106">
        <f>IF(AND($A106&lt;&gt;"",$B106&lt;&gt;"",$R106='تقرير يناير'!$C$4,$P106='تقرير يناير'!$C$6),COUNT(AA$4:AA105)+1,"")</f>
        <v/>
      </c>
      <c r="AB106">
        <f>IF(AND($A106&lt;&gt;"",$B106&lt;&gt;"",$R106='تقرير فبراير'!$C$4,$P106='تقرير فبراير'!$C$6),COUNT(AB$4:AB105)+1,"")</f>
        <v/>
      </c>
      <c r="AC106">
        <f>IF(AND($A106&lt;&gt;"",$B106&lt;&gt;"",$R106='تقرير مارس'!$C$4,$P106='تقرير مارس'!$C$6),COUNT(AC$4:AC105)+1,"")</f>
        <v/>
      </c>
      <c r="AD106">
        <f>IF(AND($A106&lt;&gt;"",$B106&lt;&gt;"",$R106='تقرير أبريل'!$C$4,$P106='تقرير أبريل'!$C$6),COUNT(AD$4:AD105)+1,"")</f>
        <v/>
      </c>
      <c r="AE106">
        <f>IF(AND($A106&lt;&gt;"",$B106&lt;&gt;"",$R106='تقرير مايو'!$C$4,$P106='تقرير مايو'!$C$6),COUNT(AE$4:AE105)+1,"")</f>
        <v/>
      </c>
    </row>
    <row r="107">
      <c r="A107" s="16" t="n"/>
      <c r="B107" s="17" t="n"/>
      <c r="C107" s="17" t="n"/>
      <c r="D107" s="18" t="n"/>
      <c r="E107" s="17" t="n"/>
      <c r="F107" s="17" t="n"/>
      <c r="G107" s="19" t="n"/>
      <c r="H107" s="17" t="n"/>
      <c r="I107" s="17" t="n"/>
      <c r="J107" s="17" t="n"/>
      <c r="K107" s="20">
        <f>IF($B107="","",IFERROR(INDEX(الموظفات!$A$5:$A$304,MATCH($B107,الموظفات!$B$5:$B$304,0))&amp;"",""))</f>
        <v/>
      </c>
      <c r="L107" s="21">
        <f>IF($B107="","",IFERROR(INDEX(الموظفات!$C$5:$C$304,MATCH($B107,الموظفات!$B$5:$B$304,0))&amp;"",""))</f>
        <v/>
      </c>
      <c r="M107" s="20">
        <f>IF($B107="","",IFERROR(INDEX(الموظفات!$D$5:$D$304,MATCH($B107,الموظفات!$B$5:$B$304,0))&amp;"",""))</f>
        <v/>
      </c>
      <c r="N107" s="20">
        <f>IF($B107="","",IFERROR(INDEX(الموظفات!$E$5:$E$304,MATCH($B107,الموظفات!$B$5:$B$304,0))&amp;"",""))</f>
        <v/>
      </c>
      <c r="O107" s="21">
        <f>IF(C107="","",IFERROR(INDEX(الإعدادات!$D$7:$D$35,MATCH(C107,الإعدادات!$A$7:$A$35,0))&amp;"",""))</f>
        <v/>
      </c>
      <c r="P107" s="20">
        <f>IF(A107="","",INDEX(الإعدادات!$H$7:$H$18,MONTH(A107)))</f>
        <v/>
      </c>
      <c r="Q107" s="20">
        <f>IF(A107="","",INDEX(الإعدادات!$I$7:$I$18,MONTH(A107)))</f>
        <v/>
      </c>
      <c r="R107" s="20">
        <f>IF(A107="","",IF(MONTH(A107)&gt;=8,YEAR(A107)&amp;"-"&amp;(YEAR(A107)+1),(YEAR(A107)-1)&amp;"-"&amp;YEAR(A107)))</f>
        <v/>
      </c>
      <c r="S107" s="20">
        <f>IF(OR(A107="",B107=""),0,IF(AND(R107=التقارير!$C$4,OR(التقارير!$C$5="سنوي",AND(التقارير!$C$5="شهري",P107=التقارير!$C$6),AND(التقارير!$C$5="فصلي",Q107=التقارير!$C$7))),1,0))</f>
        <v/>
      </c>
      <c r="T107" s="20">
        <f>IF(S107=1,COUNTIF($S$5:S107,1),"")</f>
        <v/>
      </c>
      <c r="U107">
        <f>IF(AND($A107&lt;&gt;"",$B107&lt;&gt;"",$R107='تقرير الفصل الأول'!$C$4,$Q107='تقرير الفصل الأول'!$C$7),COUNT(U$4:U106)+1,"")</f>
        <v/>
      </c>
      <c r="V107">
        <f>IF(AND($A107&lt;&gt;"",$B107&lt;&gt;"",$R107='تقرير الفصل الثاني'!$C$4,$Q107='تقرير الفصل الثاني'!$C$7),COUNT(V$4:V106)+1,"")</f>
        <v/>
      </c>
      <c r="W107">
        <f>IF(AND($A107&lt;&gt;"",$B107&lt;&gt;"",$R107='تقرير سبتمبر'!$C$4,$P107='تقرير سبتمبر'!$C$6),COUNT(W$4:W106)+1,"")</f>
        <v/>
      </c>
      <c r="X107">
        <f>IF(AND($A107&lt;&gt;"",$B107&lt;&gt;"",$R107='تقرير أكتوبر'!$C$4,$P107='تقرير أكتوبر'!$C$6),COUNT(X$4:X106)+1,"")</f>
        <v/>
      </c>
      <c r="Y107">
        <f>IF(AND($A107&lt;&gt;"",$B107&lt;&gt;"",$R107='تقرير نوفمبر'!$C$4,$P107='تقرير نوفمبر'!$C$6),COUNT(Y$4:Y106)+1,"")</f>
        <v/>
      </c>
      <c r="Z107">
        <f>IF(AND($A107&lt;&gt;"",$B107&lt;&gt;"",$R107='تقرير ديسمبر'!$C$4,$P107='تقرير ديسمبر'!$C$6),COUNT(Z$4:Z106)+1,"")</f>
        <v/>
      </c>
      <c r="AA107">
        <f>IF(AND($A107&lt;&gt;"",$B107&lt;&gt;"",$R107='تقرير يناير'!$C$4,$P107='تقرير يناير'!$C$6),COUNT(AA$4:AA106)+1,"")</f>
        <v/>
      </c>
      <c r="AB107">
        <f>IF(AND($A107&lt;&gt;"",$B107&lt;&gt;"",$R107='تقرير فبراير'!$C$4,$P107='تقرير فبراير'!$C$6),COUNT(AB$4:AB106)+1,"")</f>
        <v/>
      </c>
      <c r="AC107">
        <f>IF(AND($A107&lt;&gt;"",$B107&lt;&gt;"",$R107='تقرير مارس'!$C$4,$P107='تقرير مارس'!$C$6),COUNT(AC$4:AC106)+1,"")</f>
        <v/>
      </c>
      <c r="AD107">
        <f>IF(AND($A107&lt;&gt;"",$B107&lt;&gt;"",$R107='تقرير أبريل'!$C$4,$P107='تقرير أبريل'!$C$6),COUNT(AD$4:AD106)+1,"")</f>
        <v/>
      </c>
      <c r="AE107">
        <f>IF(AND($A107&lt;&gt;"",$B107&lt;&gt;"",$R107='تقرير مايو'!$C$4,$P107='تقرير مايو'!$C$6),COUNT(AE$4:AE106)+1,"")</f>
        <v/>
      </c>
    </row>
    <row r="108">
      <c r="A108" s="16" t="n"/>
      <c r="B108" s="17" t="n"/>
      <c r="C108" s="17" t="n"/>
      <c r="D108" s="18" t="n"/>
      <c r="E108" s="17" t="n"/>
      <c r="F108" s="17" t="n"/>
      <c r="G108" s="19" t="n"/>
      <c r="H108" s="17" t="n"/>
      <c r="I108" s="17" t="n"/>
      <c r="J108" s="17" t="n"/>
      <c r="K108" s="20">
        <f>IF($B108="","",IFERROR(INDEX(الموظفات!$A$5:$A$304,MATCH($B108,الموظفات!$B$5:$B$304,0))&amp;"",""))</f>
        <v/>
      </c>
      <c r="L108" s="21">
        <f>IF($B108="","",IFERROR(INDEX(الموظفات!$C$5:$C$304,MATCH($B108,الموظفات!$B$5:$B$304,0))&amp;"",""))</f>
        <v/>
      </c>
      <c r="M108" s="20">
        <f>IF($B108="","",IFERROR(INDEX(الموظفات!$D$5:$D$304,MATCH($B108,الموظفات!$B$5:$B$304,0))&amp;"",""))</f>
        <v/>
      </c>
      <c r="N108" s="20">
        <f>IF($B108="","",IFERROR(INDEX(الموظفات!$E$5:$E$304,MATCH($B108,الموظفات!$B$5:$B$304,0))&amp;"",""))</f>
        <v/>
      </c>
      <c r="O108" s="21">
        <f>IF(C108="","",IFERROR(INDEX(الإعدادات!$D$7:$D$35,MATCH(C108,الإعدادات!$A$7:$A$35,0))&amp;"",""))</f>
        <v/>
      </c>
      <c r="P108" s="20">
        <f>IF(A108="","",INDEX(الإعدادات!$H$7:$H$18,MONTH(A108)))</f>
        <v/>
      </c>
      <c r="Q108" s="20">
        <f>IF(A108="","",INDEX(الإعدادات!$I$7:$I$18,MONTH(A108)))</f>
        <v/>
      </c>
      <c r="R108" s="20">
        <f>IF(A108="","",IF(MONTH(A108)&gt;=8,YEAR(A108)&amp;"-"&amp;(YEAR(A108)+1),(YEAR(A108)-1)&amp;"-"&amp;YEAR(A108)))</f>
        <v/>
      </c>
      <c r="S108" s="20">
        <f>IF(OR(A108="",B108=""),0,IF(AND(R108=التقارير!$C$4,OR(التقارير!$C$5="سنوي",AND(التقارير!$C$5="شهري",P108=التقارير!$C$6),AND(التقارير!$C$5="فصلي",Q108=التقارير!$C$7))),1,0))</f>
        <v/>
      </c>
      <c r="T108" s="20">
        <f>IF(S108=1,COUNTIF($S$5:S108,1),"")</f>
        <v/>
      </c>
      <c r="U108">
        <f>IF(AND($A108&lt;&gt;"",$B108&lt;&gt;"",$R108='تقرير الفصل الأول'!$C$4,$Q108='تقرير الفصل الأول'!$C$7),COUNT(U$4:U107)+1,"")</f>
        <v/>
      </c>
      <c r="V108">
        <f>IF(AND($A108&lt;&gt;"",$B108&lt;&gt;"",$R108='تقرير الفصل الثاني'!$C$4,$Q108='تقرير الفصل الثاني'!$C$7),COUNT(V$4:V107)+1,"")</f>
        <v/>
      </c>
      <c r="W108">
        <f>IF(AND($A108&lt;&gt;"",$B108&lt;&gt;"",$R108='تقرير سبتمبر'!$C$4,$P108='تقرير سبتمبر'!$C$6),COUNT(W$4:W107)+1,"")</f>
        <v/>
      </c>
      <c r="X108">
        <f>IF(AND($A108&lt;&gt;"",$B108&lt;&gt;"",$R108='تقرير أكتوبر'!$C$4,$P108='تقرير أكتوبر'!$C$6),COUNT(X$4:X107)+1,"")</f>
        <v/>
      </c>
      <c r="Y108">
        <f>IF(AND($A108&lt;&gt;"",$B108&lt;&gt;"",$R108='تقرير نوفمبر'!$C$4,$P108='تقرير نوفمبر'!$C$6),COUNT(Y$4:Y107)+1,"")</f>
        <v/>
      </c>
      <c r="Z108">
        <f>IF(AND($A108&lt;&gt;"",$B108&lt;&gt;"",$R108='تقرير ديسمبر'!$C$4,$P108='تقرير ديسمبر'!$C$6),COUNT(Z$4:Z107)+1,"")</f>
        <v/>
      </c>
      <c r="AA108">
        <f>IF(AND($A108&lt;&gt;"",$B108&lt;&gt;"",$R108='تقرير يناير'!$C$4,$P108='تقرير يناير'!$C$6),COUNT(AA$4:AA107)+1,"")</f>
        <v/>
      </c>
      <c r="AB108">
        <f>IF(AND($A108&lt;&gt;"",$B108&lt;&gt;"",$R108='تقرير فبراير'!$C$4,$P108='تقرير فبراير'!$C$6),COUNT(AB$4:AB107)+1,"")</f>
        <v/>
      </c>
      <c r="AC108">
        <f>IF(AND($A108&lt;&gt;"",$B108&lt;&gt;"",$R108='تقرير مارس'!$C$4,$P108='تقرير مارس'!$C$6),COUNT(AC$4:AC107)+1,"")</f>
        <v/>
      </c>
      <c r="AD108">
        <f>IF(AND($A108&lt;&gt;"",$B108&lt;&gt;"",$R108='تقرير أبريل'!$C$4,$P108='تقرير أبريل'!$C$6),COUNT(AD$4:AD107)+1,"")</f>
        <v/>
      </c>
      <c r="AE108">
        <f>IF(AND($A108&lt;&gt;"",$B108&lt;&gt;"",$R108='تقرير مايو'!$C$4,$P108='تقرير مايو'!$C$6),COUNT(AE$4:AE107)+1,"")</f>
        <v/>
      </c>
    </row>
    <row r="109">
      <c r="A109" s="16" t="n"/>
      <c r="B109" s="17" t="n"/>
      <c r="C109" s="17" t="n"/>
      <c r="D109" s="18" t="n"/>
      <c r="E109" s="17" t="n"/>
      <c r="F109" s="17" t="n"/>
      <c r="G109" s="19" t="n"/>
      <c r="H109" s="17" t="n"/>
      <c r="I109" s="17" t="n"/>
      <c r="J109" s="17" t="n"/>
      <c r="K109" s="20">
        <f>IF($B109="","",IFERROR(INDEX(الموظفات!$A$5:$A$304,MATCH($B109,الموظفات!$B$5:$B$304,0))&amp;"",""))</f>
        <v/>
      </c>
      <c r="L109" s="21">
        <f>IF($B109="","",IFERROR(INDEX(الموظفات!$C$5:$C$304,MATCH($B109,الموظفات!$B$5:$B$304,0))&amp;"",""))</f>
        <v/>
      </c>
      <c r="M109" s="20">
        <f>IF($B109="","",IFERROR(INDEX(الموظفات!$D$5:$D$304,MATCH($B109,الموظفات!$B$5:$B$304,0))&amp;"",""))</f>
        <v/>
      </c>
      <c r="N109" s="20">
        <f>IF($B109="","",IFERROR(INDEX(الموظفات!$E$5:$E$304,MATCH($B109,الموظفات!$B$5:$B$304,0))&amp;"",""))</f>
        <v/>
      </c>
      <c r="O109" s="21">
        <f>IF(C109="","",IFERROR(INDEX(الإعدادات!$D$7:$D$35,MATCH(C109,الإعدادات!$A$7:$A$35,0))&amp;"",""))</f>
        <v/>
      </c>
      <c r="P109" s="20">
        <f>IF(A109="","",INDEX(الإعدادات!$H$7:$H$18,MONTH(A109)))</f>
        <v/>
      </c>
      <c r="Q109" s="20">
        <f>IF(A109="","",INDEX(الإعدادات!$I$7:$I$18,MONTH(A109)))</f>
        <v/>
      </c>
      <c r="R109" s="20">
        <f>IF(A109="","",IF(MONTH(A109)&gt;=8,YEAR(A109)&amp;"-"&amp;(YEAR(A109)+1),(YEAR(A109)-1)&amp;"-"&amp;YEAR(A109)))</f>
        <v/>
      </c>
      <c r="S109" s="20">
        <f>IF(OR(A109="",B109=""),0,IF(AND(R109=التقارير!$C$4,OR(التقارير!$C$5="سنوي",AND(التقارير!$C$5="شهري",P109=التقارير!$C$6),AND(التقارير!$C$5="فصلي",Q109=التقارير!$C$7))),1,0))</f>
        <v/>
      </c>
      <c r="T109" s="20">
        <f>IF(S109=1,COUNTIF($S$5:S109,1),"")</f>
        <v/>
      </c>
      <c r="U109">
        <f>IF(AND($A109&lt;&gt;"",$B109&lt;&gt;"",$R109='تقرير الفصل الأول'!$C$4,$Q109='تقرير الفصل الأول'!$C$7),COUNT(U$4:U108)+1,"")</f>
        <v/>
      </c>
      <c r="V109">
        <f>IF(AND($A109&lt;&gt;"",$B109&lt;&gt;"",$R109='تقرير الفصل الثاني'!$C$4,$Q109='تقرير الفصل الثاني'!$C$7),COUNT(V$4:V108)+1,"")</f>
        <v/>
      </c>
      <c r="W109">
        <f>IF(AND($A109&lt;&gt;"",$B109&lt;&gt;"",$R109='تقرير سبتمبر'!$C$4,$P109='تقرير سبتمبر'!$C$6),COUNT(W$4:W108)+1,"")</f>
        <v/>
      </c>
      <c r="X109">
        <f>IF(AND($A109&lt;&gt;"",$B109&lt;&gt;"",$R109='تقرير أكتوبر'!$C$4,$P109='تقرير أكتوبر'!$C$6),COUNT(X$4:X108)+1,"")</f>
        <v/>
      </c>
      <c r="Y109">
        <f>IF(AND($A109&lt;&gt;"",$B109&lt;&gt;"",$R109='تقرير نوفمبر'!$C$4,$P109='تقرير نوفمبر'!$C$6),COUNT(Y$4:Y108)+1,"")</f>
        <v/>
      </c>
      <c r="Z109">
        <f>IF(AND($A109&lt;&gt;"",$B109&lt;&gt;"",$R109='تقرير ديسمبر'!$C$4,$P109='تقرير ديسمبر'!$C$6),COUNT(Z$4:Z108)+1,"")</f>
        <v/>
      </c>
      <c r="AA109">
        <f>IF(AND($A109&lt;&gt;"",$B109&lt;&gt;"",$R109='تقرير يناير'!$C$4,$P109='تقرير يناير'!$C$6),COUNT(AA$4:AA108)+1,"")</f>
        <v/>
      </c>
      <c r="AB109">
        <f>IF(AND($A109&lt;&gt;"",$B109&lt;&gt;"",$R109='تقرير فبراير'!$C$4,$P109='تقرير فبراير'!$C$6),COUNT(AB$4:AB108)+1,"")</f>
        <v/>
      </c>
      <c r="AC109">
        <f>IF(AND($A109&lt;&gt;"",$B109&lt;&gt;"",$R109='تقرير مارس'!$C$4,$P109='تقرير مارس'!$C$6),COUNT(AC$4:AC108)+1,"")</f>
        <v/>
      </c>
      <c r="AD109">
        <f>IF(AND($A109&lt;&gt;"",$B109&lt;&gt;"",$R109='تقرير أبريل'!$C$4,$P109='تقرير أبريل'!$C$6),COUNT(AD$4:AD108)+1,"")</f>
        <v/>
      </c>
      <c r="AE109">
        <f>IF(AND($A109&lt;&gt;"",$B109&lt;&gt;"",$R109='تقرير مايو'!$C$4,$P109='تقرير مايو'!$C$6),COUNT(AE$4:AE108)+1,"")</f>
        <v/>
      </c>
    </row>
    <row r="110">
      <c r="A110" s="16" t="n"/>
      <c r="B110" s="17" t="n"/>
      <c r="C110" s="17" t="n"/>
      <c r="D110" s="18" t="n"/>
      <c r="E110" s="17" t="n"/>
      <c r="F110" s="17" t="n"/>
      <c r="G110" s="19" t="n"/>
      <c r="H110" s="17" t="n"/>
      <c r="I110" s="17" t="n"/>
      <c r="J110" s="17" t="n"/>
      <c r="K110" s="20">
        <f>IF($B110="","",IFERROR(INDEX(الموظفات!$A$5:$A$304,MATCH($B110,الموظفات!$B$5:$B$304,0))&amp;"",""))</f>
        <v/>
      </c>
      <c r="L110" s="21">
        <f>IF($B110="","",IFERROR(INDEX(الموظفات!$C$5:$C$304,MATCH($B110,الموظفات!$B$5:$B$304,0))&amp;"",""))</f>
        <v/>
      </c>
      <c r="M110" s="20">
        <f>IF($B110="","",IFERROR(INDEX(الموظفات!$D$5:$D$304,MATCH($B110,الموظفات!$B$5:$B$304,0))&amp;"",""))</f>
        <v/>
      </c>
      <c r="N110" s="20">
        <f>IF($B110="","",IFERROR(INDEX(الموظفات!$E$5:$E$304,MATCH($B110,الموظفات!$B$5:$B$304,0))&amp;"",""))</f>
        <v/>
      </c>
      <c r="O110" s="21">
        <f>IF(C110="","",IFERROR(INDEX(الإعدادات!$D$7:$D$35,MATCH(C110,الإعدادات!$A$7:$A$35,0))&amp;"",""))</f>
        <v/>
      </c>
      <c r="P110" s="20">
        <f>IF(A110="","",INDEX(الإعدادات!$H$7:$H$18,MONTH(A110)))</f>
        <v/>
      </c>
      <c r="Q110" s="20">
        <f>IF(A110="","",INDEX(الإعدادات!$I$7:$I$18,MONTH(A110)))</f>
        <v/>
      </c>
      <c r="R110" s="20">
        <f>IF(A110="","",IF(MONTH(A110)&gt;=8,YEAR(A110)&amp;"-"&amp;(YEAR(A110)+1),(YEAR(A110)-1)&amp;"-"&amp;YEAR(A110)))</f>
        <v/>
      </c>
      <c r="S110" s="20">
        <f>IF(OR(A110="",B110=""),0,IF(AND(R110=التقارير!$C$4,OR(التقارير!$C$5="سنوي",AND(التقارير!$C$5="شهري",P110=التقارير!$C$6),AND(التقارير!$C$5="فصلي",Q110=التقارير!$C$7))),1,0))</f>
        <v/>
      </c>
      <c r="T110" s="20">
        <f>IF(S110=1,COUNTIF($S$5:S110,1),"")</f>
        <v/>
      </c>
      <c r="U110">
        <f>IF(AND($A110&lt;&gt;"",$B110&lt;&gt;"",$R110='تقرير الفصل الأول'!$C$4,$Q110='تقرير الفصل الأول'!$C$7),COUNT(U$4:U109)+1,"")</f>
        <v/>
      </c>
      <c r="V110">
        <f>IF(AND($A110&lt;&gt;"",$B110&lt;&gt;"",$R110='تقرير الفصل الثاني'!$C$4,$Q110='تقرير الفصل الثاني'!$C$7),COUNT(V$4:V109)+1,"")</f>
        <v/>
      </c>
      <c r="W110">
        <f>IF(AND($A110&lt;&gt;"",$B110&lt;&gt;"",$R110='تقرير سبتمبر'!$C$4,$P110='تقرير سبتمبر'!$C$6),COUNT(W$4:W109)+1,"")</f>
        <v/>
      </c>
      <c r="X110">
        <f>IF(AND($A110&lt;&gt;"",$B110&lt;&gt;"",$R110='تقرير أكتوبر'!$C$4,$P110='تقرير أكتوبر'!$C$6),COUNT(X$4:X109)+1,"")</f>
        <v/>
      </c>
      <c r="Y110">
        <f>IF(AND($A110&lt;&gt;"",$B110&lt;&gt;"",$R110='تقرير نوفمبر'!$C$4,$P110='تقرير نوفمبر'!$C$6),COUNT(Y$4:Y109)+1,"")</f>
        <v/>
      </c>
      <c r="Z110">
        <f>IF(AND($A110&lt;&gt;"",$B110&lt;&gt;"",$R110='تقرير ديسمبر'!$C$4,$P110='تقرير ديسمبر'!$C$6),COUNT(Z$4:Z109)+1,"")</f>
        <v/>
      </c>
      <c r="AA110">
        <f>IF(AND($A110&lt;&gt;"",$B110&lt;&gt;"",$R110='تقرير يناير'!$C$4,$P110='تقرير يناير'!$C$6),COUNT(AA$4:AA109)+1,"")</f>
        <v/>
      </c>
      <c r="AB110">
        <f>IF(AND($A110&lt;&gt;"",$B110&lt;&gt;"",$R110='تقرير فبراير'!$C$4,$P110='تقرير فبراير'!$C$6),COUNT(AB$4:AB109)+1,"")</f>
        <v/>
      </c>
      <c r="AC110">
        <f>IF(AND($A110&lt;&gt;"",$B110&lt;&gt;"",$R110='تقرير مارس'!$C$4,$P110='تقرير مارس'!$C$6),COUNT(AC$4:AC109)+1,"")</f>
        <v/>
      </c>
      <c r="AD110">
        <f>IF(AND($A110&lt;&gt;"",$B110&lt;&gt;"",$R110='تقرير أبريل'!$C$4,$P110='تقرير أبريل'!$C$6),COUNT(AD$4:AD109)+1,"")</f>
        <v/>
      </c>
      <c r="AE110">
        <f>IF(AND($A110&lt;&gt;"",$B110&lt;&gt;"",$R110='تقرير مايو'!$C$4,$P110='تقرير مايو'!$C$6),COUNT(AE$4:AE109)+1,"")</f>
        <v/>
      </c>
    </row>
    <row r="111">
      <c r="A111" s="16" t="n"/>
      <c r="B111" s="17" t="n"/>
      <c r="C111" s="17" t="n"/>
      <c r="D111" s="18" t="n"/>
      <c r="E111" s="17" t="n"/>
      <c r="F111" s="17" t="n"/>
      <c r="G111" s="19" t="n"/>
      <c r="H111" s="17" t="n"/>
      <c r="I111" s="17" t="n"/>
      <c r="J111" s="17" t="n"/>
      <c r="K111" s="20">
        <f>IF($B111="","",IFERROR(INDEX(الموظفات!$A$5:$A$304,MATCH($B111,الموظفات!$B$5:$B$304,0))&amp;"",""))</f>
        <v/>
      </c>
      <c r="L111" s="21">
        <f>IF($B111="","",IFERROR(INDEX(الموظفات!$C$5:$C$304,MATCH($B111,الموظفات!$B$5:$B$304,0))&amp;"",""))</f>
        <v/>
      </c>
      <c r="M111" s="20">
        <f>IF($B111="","",IFERROR(INDEX(الموظفات!$D$5:$D$304,MATCH($B111,الموظفات!$B$5:$B$304,0))&amp;"",""))</f>
        <v/>
      </c>
      <c r="N111" s="20">
        <f>IF($B111="","",IFERROR(INDEX(الموظفات!$E$5:$E$304,MATCH($B111,الموظفات!$B$5:$B$304,0))&amp;"",""))</f>
        <v/>
      </c>
      <c r="O111" s="21">
        <f>IF(C111="","",IFERROR(INDEX(الإعدادات!$D$7:$D$35,MATCH(C111,الإعدادات!$A$7:$A$35,0))&amp;"",""))</f>
        <v/>
      </c>
      <c r="P111" s="20">
        <f>IF(A111="","",INDEX(الإعدادات!$H$7:$H$18,MONTH(A111)))</f>
        <v/>
      </c>
      <c r="Q111" s="20">
        <f>IF(A111="","",INDEX(الإعدادات!$I$7:$I$18,MONTH(A111)))</f>
        <v/>
      </c>
      <c r="R111" s="20">
        <f>IF(A111="","",IF(MONTH(A111)&gt;=8,YEAR(A111)&amp;"-"&amp;(YEAR(A111)+1),(YEAR(A111)-1)&amp;"-"&amp;YEAR(A111)))</f>
        <v/>
      </c>
      <c r="S111" s="20">
        <f>IF(OR(A111="",B111=""),0,IF(AND(R111=التقارير!$C$4,OR(التقارير!$C$5="سنوي",AND(التقارير!$C$5="شهري",P111=التقارير!$C$6),AND(التقارير!$C$5="فصلي",Q111=التقارير!$C$7))),1,0))</f>
        <v/>
      </c>
      <c r="T111" s="20">
        <f>IF(S111=1,COUNTIF($S$5:S111,1),"")</f>
        <v/>
      </c>
      <c r="U111">
        <f>IF(AND($A111&lt;&gt;"",$B111&lt;&gt;"",$R111='تقرير الفصل الأول'!$C$4,$Q111='تقرير الفصل الأول'!$C$7),COUNT(U$4:U110)+1,"")</f>
        <v/>
      </c>
      <c r="V111">
        <f>IF(AND($A111&lt;&gt;"",$B111&lt;&gt;"",$R111='تقرير الفصل الثاني'!$C$4,$Q111='تقرير الفصل الثاني'!$C$7),COUNT(V$4:V110)+1,"")</f>
        <v/>
      </c>
      <c r="W111">
        <f>IF(AND($A111&lt;&gt;"",$B111&lt;&gt;"",$R111='تقرير سبتمبر'!$C$4,$P111='تقرير سبتمبر'!$C$6),COUNT(W$4:W110)+1,"")</f>
        <v/>
      </c>
      <c r="X111">
        <f>IF(AND($A111&lt;&gt;"",$B111&lt;&gt;"",$R111='تقرير أكتوبر'!$C$4,$P111='تقرير أكتوبر'!$C$6),COUNT(X$4:X110)+1,"")</f>
        <v/>
      </c>
      <c r="Y111">
        <f>IF(AND($A111&lt;&gt;"",$B111&lt;&gt;"",$R111='تقرير نوفمبر'!$C$4,$P111='تقرير نوفمبر'!$C$6),COUNT(Y$4:Y110)+1,"")</f>
        <v/>
      </c>
      <c r="Z111">
        <f>IF(AND($A111&lt;&gt;"",$B111&lt;&gt;"",$R111='تقرير ديسمبر'!$C$4,$P111='تقرير ديسمبر'!$C$6),COUNT(Z$4:Z110)+1,"")</f>
        <v/>
      </c>
      <c r="AA111">
        <f>IF(AND($A111&lt;&gt;"",$B111&lt;&gt;"",$R111='تقرير يناير'!$C$4,$P111='تقرير يناير'!$C$6),COUNT(AA$4:AA110)+1,"")</f>
        <v/>
      </c>
      <c r="AB111">
        <f>IF(AND($A111&lt;&gt;"",$B111&lt;&gt;"",$R111='تقرير فبراير'!$C$4,$P111='تقرير فبراير'!$C$6),COUNT(AB$4:AB110)+1,"")</f>
        <v/>
      </c>
      <c r="AC111">
        <f>IF(AND($A111&lt;&gt;"",$B111&lt;&gt;"",$R111='تقرير مارس'!$C$4,$P111='تقرير مارس'!$C$6),COUNT(AC$4:AC110)+1,"")</f>
        <v/>
      </c>
      <c r="AD111">
        <f>IF(AND($A111&lt;&gt;"",$B111&lt;&gt;"",$R111='تقرير أبريل'!$C$4,$P111='تقرير أبريل'!$C$6),COUNT(AD$4:AD110)+1,"")</f>
        <v/>
      </c>
      <c r="AE111">
        <f>IF(AND($A111&lt;&gt;"",$B111&lt;&gt;"",$R111='تقرير مايو'!$C$4,$P111='تقرير مايو'!$C$6),COUNT(AE$4:AE110)+1,"")</f>
        <v/>
      </c>
    </row>
    <row r="112">
      <c r="A112" s="16" t="n"/>
      <c r="B112" s="17" t="n"/>
      <c r="C112" s="17" t="n"/>
      <c r="D112" s="18" t="n"/>
      <c r="E112" s="17" t="n"/>
      <c r="F112" s="17" t="n"/>
      <c r="G112" s="19" t="n"/>
      <c r="H112" s="17" t="n"/>
      <c r="I112" s="17" t="n"/>
      <c r="J112" s="17" t="n"/>
      <c r="K112" s="20">
        <f>IF($B112="","",IFERROR(INDEX(الموظفات!$A$5:$A$304,MATCH($B112,الموظفات!$B$5:$B$304,0))&amp;"",""))</f>
        <v/>
      </c>
      <c r="L112" s="21">
        <f>IF($B112="","",IFERROR(INDEX(الموظفات!$C$5:$C$304,MATCH($B112,الموظفات!$B$5:$B$304,0))&amp;"",""))</f>
        <v/>
      </c>
      <c r="M112" s="20">
        <f>IF($B112="","",IFERROR(INDEX(الموظفات!$D$5:$D$304,MATCH($B112,الموظفات!$B$5:$B$304,0))&amp;"",""))</f>
        <v/>
      </c>
      <c r="N112" s="20">
        <f>IF($B112="","",IFERROR(INDEX(الموظفات!$E$5:$E$304,MATCH($B112,الموظفات!$B$5:$B$304,0))&amp;"",""))</f>
        <v/>
      </c>
      <c r="O112" s="21">
        <f>IF(C112="","",IFERROR(INDEX(الإعدادات!$D$7:$D$35,MATCH(C112,الإعدادات!$A$7:$A$35,0))&amp;"",""))</f>
        <v/>
      </c>
      <c r="P112" s="20">
        <f>IF(A112="","",INDEX(الإعدادات!$H$7:$H$18,MONTH(A112)))</f>
        <v/>
      </c>
      <c r="Q112" s="20">
        <f>IF(A112="","",INDEX(الإعدادات!$I$7:$I$18,MONTH(A112)))</f>
        <v/>
      </c>
      <c r="R112" s="20">
        <f>IF(A112="","",IF(MONTH(A112)&gt;=8,YEAR(A112)&amp;"-"&amp;(YEAR(A112)+1),(YEAR(A112)-1)&amp;"-"&amp;YEAR(A112)))</f>
        <v/>
      </c>
      <c r="S112" s="20">
        <f>IF(OR(A112="",B112=""),0,IF(AND(R112=التقارير!$C$4,OR(التقارير!$C$5="سنوي",AND(التقارير!$C$5="شهري",P112=التقارير!$C$6),AND(التقارير!$C$5="فصلي",Q112=التقارير!$C$7))),1,0))</f>
        <v/>
      </c>
      <c r="T112" s="20">
        <f>IF(S112=1,COUNTIF($S$5:S112,1),"")</f>
        <v/>
      </c>
      <c r="U112">
        <f>IF(AND($A112&lt;&gt;"",$B112&lt;&gt;"",$R112='تقرير الفصل الأول'!$C$4,$Q112='تقرير الفصل الأول'!$C$7),COUNT(U$4:U111)+1,"")</f>
        <v/>
      </c>
      <c r="V112">
        <f>IF(AND($A112&lt;&gt;"",$B112&lt;&gt;"",$R112='تقرير الفصل الثاني'!$C$4,$Q112='تقرير الفصل الثاني'!$C$7),COUNT(V$4:V111)+1,"")</f>
        <v/>
      </c>
      <c r="W112">
        <f>IF(AND($A112&lt;&gt;"",$B112&lt;&gt;"",$R112='تقرير سبتمبر'!$C$4,$P112='تقرير سبتمبر'!$C$6),COUNT(W$4:W111)+1,"")</f>
        <v/>
      </c>
      <c r="X112">
        <f>IF(AND($A112&lt;&gt;"",$B112&lt;&gt;"",$R112='تقرير أكتوبر'!$C$4,$P112='تقرير أكتوبر'!$C$6),COUNT(X$4:X111)+1,"")</f>
        <v/>
      </c>
      <c r="Y112">
        <f>IF(AND($A112&lt;&gt;"",$B112&lt;&gt;"",$R112='تقرير نوفمبر'!$C$4,$P112='تقرير نوفمبر'!$C$6),COUNT(Y$4:Y111)+1,"")</f>
        <v/>
      </c>
      <c r="Z112">
        <f>IF(AND($A112&lt;&gt;"",$B112&lt;&gt;"",$R112='تقرير ديسمبر'!$C$4,$P112='تقرير ديسمبر'!$C$6),COUNT(Z$4:Z111)+1,"")</f>
        <v/>
      </c>
      <c r="AA112">
        <f>IF(AND($A112&lt;&gt;"",$B112&lt;&gt;"",$R112='تقرير يناير'!$C$4,$P112='تقرير يناير'!$C$6),COUNT(AA$4:AA111)+1,"")</f>
        <v/>
      </c>
      <c r="AB112">
        <f>IF(AND($A112&lt;&gt;"",$B112&lt;&gt;"",$R112='تقرير فبراير'!$C$4,$P112='تقرير فبراير'!$C$6),COUNT(AB$4:AB111)+1,"")</f>
        <v/>
      </c>
      <c r="AC112">
        <f>IF(AND($A112&lt;&gt;"",$B112&lt;&gt;"",$R112='تقرير مارس'!$C$4,$P112='تقرير مارس'!$C$6),COUNT(AC$4:AC111)+1,"")</f>
        <v/>
      </c>
      <c r="AD112">
        <f>IF(AND($A112&lt;&gt;"",$B112&lt;&gt;"",$R112='تقرير أبريل'!$C$4,$P112='تقرير أبريل'!$C$6),COUNT(AD$4:AD111)+1,"")</f>
        <v/>
      </c>
      <c r="AE112">
        <f>IF(AND($A112&lt;&gt;"",$B112&lt;&gt;"",$R112='تقرير مايو'!$C$4,$P112='تقرير مايو'!$C$6),COUNT(AE$4:AE111)+1,"")</f>
        <v/>
      </c>
    </row>
    <row r="113">
      <c r="A113" s="16" t="n"/>
      <c r="B113" s="17" t="n"/>
      <c r="C113" s="17" t="n"/>
      <c r="D113" s="18" t="n"/>
      <c r="E113" s="17" t="n"/>
      <c r="F113" s="17" t="n"/>
      <c r="G113" s="19" t="n"/>
      <c r="H113" s="17" t="n"/>
      <c r="I113" s="17" t="n"/>
      <c r="J113" s="17" t="n"/>
      <c r="K113" s="20">
        <f>IF($B113="","",IFERROR(INDEX(الموظفات!$A$5:$A$304,MATCH($B113,الموظفات!$B$5:$B$304,0))&amp;"",""))</f>
        <v/>
      </c>
      <c r="L113" s="21">
        <f>IF($B113="","",IFERROR(INDEX(الموظفات!$C$5:$C$304,MATCH($B113,الموظفات!$B$5:$B$304,0))&amp;"",""))</f>
        <v/>
      </c>
      <c r="M113" s="20">
        <f>IF($B113="","",IFERROR(INDEX(الموظفات!$D$5:$D$304,MATCH($B113,الموظفات!$B$5:$B$304,0))&amp;"",""))</f>
        <v/>
      </c>
      <c r="N113" s="20">
        <f>IF($B113="","",IFERROR(INDEX(الموظفات!$E$5:$E$304,MATCH($B113,الموظفات!$B$5:$B$304,0))&amp;"",""))</f>
        <v/>
      </c>
      <c r="O113" s="21">
        <f>IF(C113="","",IFERROR(INDEX(الإعدادات!$D$7:$D$35,MATCH(C113,الإعدادات!$A$7:$A$35,0))&amp;"",""))</f>
        <v/>
      </c>
      <c r="P113" s="20">
        <f>IF(A113="","",INDEX(الإعدادات!$H$7:$H$18,MONTH(A113)))</f>
        <v/>
      </c>
      <c r="Q113" s="20">
        <f>IF(A113="","",INDEX(الإعدادات!$I$7:$I$18,MONTH(A113)))</f>
        <v/>
      </c>
      <c r="R113" s="20">
        <f>IF(A113="","",IF(MONTH(A113)&gt;=8,YEAR(A113)&amp;"-"&amp;(YEAR(A113)+1),(YEAR(A113)-1)&amp;"-"&amp;YEAR(A113)))</f>
        <v/>
      </c>
      <c r="S113" s="20">
        <f>IF(OR(A113="",B113=""),0,IF(AND(R113=التقارير!$C$4,OR(التقارير!$C$5="سنوي",AND(التقارير!$C$5="شهري",P113=التقارير!$C$6),AND(التقارير!$C$5="فصلي",Q113=التقارير!$C$7))),1,0))</f>
        <v/>
      </c>
      <c r="T113" s="20">
        <f>IF(S113=1,COUNTIF($S$5:S113,1),"")</f>
        <v/>
      </c>
      <c r="U113">
        <f>IF(AND($A113&lt;&gt;"",$B113&lt;&gt;"",$R113='تقرير الفصل الأول'!$C$4,$Q113='تقرير الفصل الأول'!$C$7),COUNT(U$4:U112)+1,"")</f>
        <v/>
      </c>
      <c r="V113">
        <f>IF(AND($A113&lt;&gt;"",$B113&lt;&gt;"",$R113='تقرير الفصل الثاني'!$C$4,$Q113='تقرير الفصل الثاني'!$C$7),COUNT(V$4:V112)+1,"")</f>
        <v/>
      </c>
      <c r="W113">
        <f>IF(AND($A113&lt;&gt;"",$B113&lt;&gt;"",$R113='تقرير سبتمبر'!$C$4,$P113='تقرير سبتمبر'!$C$6),COUNT(W$4:W112)+1,"")</f>
        <v/>
      </c>
      <c r="X113">
        <f>IF(AND($A113&lt;&gt;"",$B113&lt;&gt;"",$R113='تقرير أكتوبر'!$C$4,$P113='تقرير أكتوبر'!$C$6),COUNT(X$4:X112)+1,"")</f>
        <v/>
      </c>
      <c r="Y113">
        <f>IF(AND($A113&lt;&gt;"",$B113&lt;&gt;"",$R113='تقرير نوفمبر'!$C$4,$P113='تقرير نوفمبر'!$C$6),COUNT(Y$4:Y112)+1,"")</f>
        <v/>
      </c>
      <c r="Z113">
        <f>IF(AND($A113&lt;&gt;"",$B113&lt;&gt;"",$R113='تقرير ديسمبر'!$C$4,$P113='تقرير ديسمبر'!$C$6),COUNT(Z$4:Z112)+1,"")</f>
        <v/>
      </c>
      <c r="AA113">
        <f>IF(AND($A113&lt;&gt;"",$B113&lt;&gt;"",$R113='تقرير يناير'!$C$4,$P113='تقرير يناير'!$C$6),COUNT(AA$4:AA112)+1,"")</f>
        <v/>
      </c>
      <c r="AB113">
        <f>IF(AND($A113&lt;&gt;"",$B113&lt;&gt;"",$R113='تقرير فبراير'!$C$4,$P113='تقرير فبراير'!$C$6),COUNT(AB$4:AB112)+1,"")</f>
        <v/>
      </c>
      <c r="AC113">
        <f>IF(AND($A113&lt;&gt;"",$B113&lt;&gt;"",$R113='تقرير مارس'!$C$4,$P113='تقرير مارس'!$C$6),COUNT(AC$4:AC112)+1,"")</f>
        <v/>
      </c>
      <c r="AD113">
        <f>IF(AND($A113&lt;&gt;"",$B113&lt;&gt;"",$R113='تقرير أبريل'!$C$4,$P113='تقرير أبريل'!$C$6),COUNT(AD$4:AD112)+1,"")</f>
        <v/>
      </c>
      <c r="AE113">
        <f>IF(AND($A113&lt;&gt;"",$B113&lt;&gt;"",$R113='تقرير مايو'!$C$4,$P113='تقرير مايو'!$C$6),COUNT(AE$4:AE112)+1,"")</f>
        <v/>
      </c>
    </row>
    <row r="114">
      <c r="A114" s="16" t="n"/>
      <c r="B114" s="17" t="n"/>
      <c r="C114" s="17" t="n"/>
      <c r="D114" s="18" t="n"/>
      <c r="E114" s="17" t="n"/>
      <c r="F114" s="17" t="n"/>
      <c r="G114" s="19" t="n"/>
      <c r="H114" s="17" t="n"/>
      <c r="I114" s="17" t="n"/>
      <c r="J114" s="17" t="n"/>
      <c r="K114" s="20">
        <f>IF($B114="","",IFERROR(INDEX(الموظفات!$A$5:$A$304,MATCH($B114,الموظفات!$B$5:$B$304,0))&amp;"",""))</f>
        <v/>
      </c>
      <c r="L114" s="21">
        <f>IF($B114="","",IFERROR(INDEX(الموظفات!$C$5:$C$304,MATCH($B114,الموظفات!$B$5:$B$304,0))&amp;"",""))</f>
        <v/>
      </c>
      <c r="M114" s="20">
        <f>IF($B114="","",IFERROR(INDEX(الموظفات!$D$5:$D$304,MATCH($B114,الموظفات!$B$5:$B$304,0))&amp;"",""))</f>
        <v/>
      </c>
      <c r="N114" s="20">
        <f>IF($B114="","",IFERROR(INDEX(الموظفات!$E$5:$E$304,MATCH($B114,الموظفات!$B$5:$B$304,0))&amp;"",""))</f>
        <v/>
      </c>
      <c r="O114" s="21">
        <f>IF(C114="","",IFERROR(INDEX(الإعدادات!$D$7:$D$35,MATCH(C114,الإعدادات!$A$7:$A$35,0))&amp;"",""))</f>
        <v/>
      </c>
      <c r="P114" s="20">
        <f>IF(A114="","",INDEX(الإعدادات!$H$7:$H$18,MONTH(A114)))</f>
        <v/>
      </c>
      <c r="Q114" s="20">
        <f>IF(A114="","",INDEX(الإعدادات!$I$7:$I$18,MONTH(A114)))</f>
        <v/>
      </c>
      <c r="R114" s="20">
        <f>IF(A114="","",IF(MONTH(A114)&gt;=8,YEAR(A114)&amp;"-"&amp;(YEAR(A114)+1),(YEAR(A114)-1)&amp;"-"&amp;YEAR(A114)))</f>
        <v/>
      </c>
      <c r="S114" s="20">
        <f>IF(OR(A114="",B114=""),0,IF(AND(R114=التقارير!$C$4,OR(التقارير!$C$5="سنوي",AND(التقارير!$C$5="شهري",P114=التقارير!$C$6),AND(التقارير!$C$5="فصلي",Q114=التقارير!$C$7))),1,0))</f>
        <v/>
      </c>
      <c r="T114" s="20">
        <f>IF(S114=1,COUNTIF($S$5:S114,1),"")</f>
        <v/>
      </c>
      <c r="U114">
        <f>IF(AND($A114&lt;&gt;"",$B114&lt;&gt;"",$R114='تقرير الفصل الأول'!$C$4,$Q114='تقرير الفصل الأول'!$C$7),COUNT(U$4:U113)+1,"")</f>
        <v/>
      </c>
      <c r="V114">
        <f>IF(AND($A114&lt;&gt;"",$B114&lt;&gt;"",$R114='تقرير الفصل الثاني'!$C$4,$Q114='تقرير الفصل الثاني'!$C$7),COUNT(V$4:V113)+1,"")</f>
        <v/>
      </c>
      <c r="W114">
        <f>IF(AND($A114&lt;&gt;"",$B114&lt;&gt;"",$R114='تقرير سبتمبر'!$C$4,$P114='تقرير سبتمبر'!$C$6),COUNT(W$4:W113)+1,"")</f>
        <v/>
      </c>
      <c r="X114">
        <f>IF(AND($A114&lt;&gt;"",$B114&lt;&gt;"",$R114='تقرير أكتوبر'!$C$4,$P114='تقرير أكتوبر'!$C$6),COUNT(X$4:X113)+1,"")</f>
        <v/>
      </c>
      <c r="Y114">
        <f>IF(AND($A114&lt;&gt;"",$B114&lt;&gt;"",$R114='تقرير نوفمبر'!$C$4,$P114='تقرير نوفمبر'!$C$6),COUNT(Y$4:Y113)+1,"")</f>
        <v/>
      </c>
      <c r="Z114">
        <f>IF(AND($A114&lt;&gt;"",$B114&lt;&gt;"",$R114='تقرير ديسمبر'!$C$4,$P114='تقرير ديسمبر'!$C$6),COUNT(Z$4:Z113)+1,"")</f>
        <v/>
      </c>
      <c r="AA114">
        <f>IF(AND($A114&lt;&gt;"",$B114&lt;&gt;"",$R114='تقرير يناير'!$C$4,$P114='تقرير يناير'!$C$6),COUNT(AA$4:AA113)+1,"")</f>
        <v/>
      </c>
      <c r="AB114">
        <f>IF(AND($A114&lt;&gt;"",$B114&lt;&gt;"",$R114='تقرير فبراير'!$C$4,$P114='تقرير فبراير'!$C$6),COUNT(AB$4:AB113)+1,"")</f>
        <v/>
      </c>
      <c r="AC114">
        <f>IF(AND($A114&lt;&gt;"",$B114&lt;&gt;"",$R114='تقرير مارس'!$C$4,$P114='تقرير مارس'!$C$6),COUNT(AC$4:AC113)+1,"")</f>
        <v/>
      </c>
      <c r="AD114">
        <f>IF(AND($A114&lt;&gt;"",$B114&lt;&gt;"",$R114='تقرير أبريل'!$C$4,$P114='تقرير أبريل'!$C$6),COUNT(AD$4:AD113)+1,"")</f>
        <v/>
      </c>
      <c r="AE114">
        <f>IF(AND($A114&lt;&gt;"",$B114&lt;&gt;"",$R114='تقرير مايو'!$C$4,$P114='تقرير مايو'!$C$6),COUNT(AE$4:AE113)+1,"")</f>
        <v/>
      </c>
    </row>
    <row r="115">
      <c r="A115" s="16" t="n"/>
      <c r="B115" s="17" t="n"/>
      <c r="C115" s="17" t="n"/>
      <c r="D115" s="18" t="n"/>
      <c r="E115" s="17" t="n"/>
      <c r="F115" s="17" t="n"/>
      <c r="G115" s="19" t="n"/>
      <c r="H115" s="17" t="n"/>
      <c r="I115" s="17" t="n"/>
      <c r="J115" s="17" t="n"/>
      <c r="K115" s="20">
        <f>IF($B115="","",IFERROR(INDEX(الموظفات!$A$5:$A$304,MATCH($B115,الموظفات!$B$5:$B$304,0))&amp;"",""))</f>
        <v/>
      </c>
      <c r="L115" s="21">
        <f>IF($B115="","",IFERROR(INDEX(الموظفات!$C$5:$C$304,MATCH($B115,الموظفات!$B$5:$B$304,0))&amp;"",""))</f>
        <v/>
      </c>
      <c r="M115" s="20">
        <f>IF($B115="","",IFERROR(INDEX(الموظفات!$D$5:$D$304,MATCH($B115,الموظفات!$B$5:$B$304,0))&amp;"",""))</f>
        <v/>
      </c>
      <c r="N115" s="20">
        <f>IF($B115="","",IFERROR(INDEX(الموظفات!$E$5:$E$304,MATCH($B115,الموظفات!$B$5:$B$304,0))&amp;"",""))</f>
        <v/>
      </c>
      <c r="O115" s="21">
        <f>IF(C115="","",IFERROR(INDEX(الإعدادات!$D$7:$D$35,MATCH(C115,الإعدادات!$A$7:$A$35,0))&amp;"",""))</f>
        <v/>
      </c>
      <c r="P115" s="20">
        <f>IF(A115="","",INDEX(الإعدادات!$H$7:$H$18,MONTH(A115)))</f>
        <v/>
      </c>
      <c r="Q115" s="20">
        <f>IF(A115="","",INDEX(الإعدادات!$I$7:$I$18,MONTH(A115)))</f>
        <v/>
      </c>
      <c r="R115" s="20">
        <f>IF(A115="","",IF(MONTH(A115)&gt;=8,YEAR(A115)&amp;"-"&amp;(YEAR(A115)+1),(YEAR(A115)-1)&amp;"-"&amp;YEAR(A115)))</f>
        <v/>
      </c>
      <c r="S115" s="20">
        <f>IF(OR(A115="",B115=""),0,IF(AND(R115=التقارير!$C$4,OR(التقارير!$C$5="سنوي",AND(التقارير!$C$5="شهري",P115=التقارير!$C$6),AND(التقارير!$C$5="فصلي",Q115=التقارير!$C$7))),1,0))</f>
        <v/>
      </c>
      <c r="T115" s="20">
        <f>IF(S115=1,COUNTIF($S$5:S115,1),"")</f>
        <v/>
      </c>
      <c r="U115">
        <f>IF(AND($A115&lt;&gt;"",$B115&lt;&gt;"",$R115='تقرير الفصل الأول'!$C$4,$Q115='تقرير الفصل الأول'!$C$7),COUNT(U$4:U114)+1,"")</f>
        <v/>
      </c>
      <c r="V115">
        <f>IF(AND($A115&lt;&gt;"",$B115&lt;&gt;"",$R115='تقرير الفصل الثاني'!$C$4,$Q115='تقرير الفصل الثاني'!$C$7),COUNT(V$4:V114)+1,"")</f>
        <v/>
      </c>
      <c r="W115">
        <f>IF(AND($A115&lt;&gt;"",$B115&lt;&gt;"",$R115='تقرير سبتمبر'!$C$4,$P115='تقرير سبتمبر'!$C$6),COUNT(W$4:W114)+1,"")</f>
        <v/>
      </c>
      <c r="X115">
        <f>IF(AND($A115&lt;&gt;"",$B115&lt;&gt;"",$R115='تقرير أكتوبر'!$C$4,$P115='تقرير أكتوبر'!$C$6),COUNT(X$4:X114)+1,"")</f>
        <v/>
      </c>
      <c r="Y115">
        <f>IF(AND($A115&lt;&gt;"",$B115&lt;&gt;"",$R115='تقرير نوفمبر'!$C$4,$P115='تقرير نوفمبر'!$C$6),COUNT(Y$4:Y114)+1,"")</f>
        <v/>
      </c>
      <c r="Z115">
        <f>IF(AND($A115&lt;&gt;"",$B115&lt;&gt;"",$R115='تقرير ديسمبر'!$C$4,$P115='تقرير ديسمبر'!$C$6),COUNT(Z$4:Z114)+1,"")</f>
        <v/>
      </c>
      <c r="AA115">
        <f>IF(AND($A115&lt;&gt;"",$B115&lt;&gt;"",$R115='تقرير يناير'!$C$4,$P115='تقرير يناير'!$C$6),COUNT(AA$4:AA114)+1,"")</f>
        <v/>
      </c>
      <c r="AB115">
        <f>IF(AND($A115&lt;&gt;"",$B115&lt;&gt;"",$R115='تقرير فبراير'!$C$4,$P115='تقرير فبراير'!$C$6),COUNT(AB$4:AB114)+1,"")</f>
        <v/>
      </c>
      <c r="AC115">
        <f>IF(AND($A115&lt;&gt;"",$B115&lt;&gt;"",$R115='تقرير مارس'!$C$4,$P115='تقرير مارس'!$C$6),COUNT(AC$4:AC114)+1,"")</f>
        <v/>
      </c>
      <c r="AD115">
        <f>IF(AND($A115&lt;&gt;"",$B115&lt;&gt;"",$R115='تقرير أبريل'!$C$4,$P115='تقرير أبريل'!$C$6),COUNT(AD$4:AD114)+1,"")</f>
        <v/>
      </c>
      <c r="AE115">
        <f>IF(AND($A115&lt;&gt;"",$B115&lt;&gt;"",$R115='تقرير مايو'!$C$4,$P115='تقرير مايو'!$C$6),COUNT(AE$4:AE114)+1,"")</f>
        <v/>
      </c>
    </row>
    <row r="116">
      <c r="A116" s="16" t="n"/>
      <c r="B116" s="17" t="n"/>
      <c r="C116" s="17" t="n"/>
      <c r="D116" s="18" t="n"/>
      <c r="E116" s="17" t="n"/>
      <c r="F116" s="17" t="n"/>
      <c r="G116" s="19" t="n"/>
      <c r="H116" s="17" t="n"/>
      <c r="I116" s="17" t="n"/>
      <c r="J116" s="17" t="n"/>
      <c r="K116" s="20">
        <f>IF($B116="","",IFERROR(INDEX(الموظفات!$A$5:$A$304,MATCH($B116,الموظفات!$B$5:$B$304,0))&amp;"",""))</f>
        <v/>
      </c>
      <c r="L116" s="21">
        <f>IF($B116="","",IFERROR(INDEX(الموظفات!$C$5:$C$304,MATCH($B116,الموظفات!$B$5:$B$304,0))&amp;"",""))</f>
        <v/>
      </c>
      <c r="M116" s="20">
        <f>IF($B116="","",IFERROR(INDEX(الموظفات!$D$5:$D$304,MATCH($B116,الموظفات!$B$5:$B$304,0))&amp;"",""))</f>
        <v/>
      </c>
      <c r="N116" s="20">
        <f>IF($B116="","",IFERROR(INDEX(الموظفات!$E$5:$E$304,MATCH($B116,الموظفات!$B$5:$B$304,0))&amp;"",""))</f>
        <v/>
      </c>
      <c r="O116" s="21">
        <f>IF(C116="","",IFERROR(INDEX(الإعدادات!$D$7:$D$35,MATCH(C116,الإعدادات!$A$7:$A$35,0))&amp;"",""))</f>
        <v/>
      </c>
      <c r="P116" s="20">
        <f>IF(A116="","",INDEX(الإعدادات!$H$7:$H$18,MONTH(A116)))</f>
        <v/>
      </c>
      <c r="Q116" s="20">
        <f>IF(A116="","",INDEX(الإعدادات!$I$7:$I$18,MONTH(A116)))</f>
        <v/>
      </c>
      <c r="R116" s="20">
        <f>IF(A116="","",IF(MONTH(A116)&gt;=8,YEAR(A116)&amp;"-"&amp;(YEAR(A116)+1),(YEAR(A116)-1)&amp;"-"&amp;YEAR(A116)))</f>
        <v/>
      </c>
      <c r="S116" s="20">
        <f>IF(OR(A116="",B116=""),0,IF(AND(R116=التقارير!$C$4,OR(التقارير!$C$5="سنوي",AND(التقارير!$C$5="شهري",P116=التقارير!$C$6),AND(التقارير!$C$5="فصلي",Q116=التقارير!$C$7))),1,0))</f>
        <v/>
      </c>
      <c r="T116" s="20">
        <f>IF(S116=1,COUNTIF($S$5:S116,1),"")</f>
        <v/>
      </c>
      <c r="U116">
        <f>IF(AND($A116&lt;&gt;"",$B116&lt;&gt;"",$R116='تقرير الفصل الأول'!$C$4,$Q116='تقرير الفصل الأول'!$C$7),COUNT(U$4:U115)+1,"")</f>
        <v/>
      </c>
      <c r="V116">
        <f>IF(AND($A116&lt;&gt;"",$B116&lt;&gt;"",$R116='تقرير الفصل الثاني'!$C$4,$Q116='تقرير الفصل الثاني'!$C$7),COUNT(V$4:V115)+1,"")</f>
        <v/>
      </c>
      <c r="W116">
        <f>IF(AND($A116&lt;&gt;"",$B116&lt;&gt;"",$R116='تقرير سبتمبر'!$C$4,$P116='تقرير سبتمبر'!$C$6),COUNT(W$4:W115)+1,"")</f>
        <v/>
      </c>
      <c r="X116">
        <f>IF(AND($A116&lt;&gt;"",$B116&lt;&gt;"",$R116='تقرير أكتوبر'!$C$4,$P116='تقرير أكتوبر'!$C$6),COUNT(X$4:X115)+1,"")</f>
        <v/>
      </c>
      <c r="Y116">
        <f>IF(AND($A116&lt;&gt;"",$B116&lt;&gt;"",$R116='تقرير نوفمبر'!$C$4,$P116='تقرير نوفمبر'!$C$6),COUNT(Y$4:Y115)+1,"")</f>
        <v/>
      </c>
      <c r="Z116">
        <f>IF(AND($A116&lt;&gt;"",$B116&lt;&gt;"",$R116='تقرير ديسمبر'!$C$4,$P116='تقرير ديسمبر'!$C$6),COUNT(Z$4:Z115)+1,"")</f>
        <v/>
      </c>
      <c r="AA116">
        <f>IF(AND($A116&lt;&gt;"",$B116&lt;&gt;"",$R116='تقرير يناير'!$C$4,$P116='تقرير يناير'!$C$6),COUNT(AA$4:AA115)+1,"")</f>
        <v/>
      </c>
      <c r="AB116">
        <f>IF(AND($A116&lt;&gt;"",$B116&lt;&gt;"",$R116='تقرير فبراير'!$C$4,$P116='تقرير فبراير'!$C$6),COUNT(AB$4:AB115)+1,"")</f>
        <v/>
      </c>
      <c r="AC116">
        <f>IF(AND($A116&lt;&gt;"",$B116&lt;&gt;"",$R116='تقرير مارس'!$C$4,$P116='تقرير مارس'!$C$6),COUNT(AC$4:AC115)+1,"")</f>
        <v/>
      </c>
      <c r="AD116">
        <f>IF(AND($A116&lt;&gt;"",$B116&lt;&gt;"",$R116='تقرير أبريل'!$C$4,$P116='تقرير أبريل'!$C$6),COUNT(AD$4:AD115)+1,"")</f>
        <v/>
      </c>
      <c r="AE116">
        <f>IF(AND($A116&lt;&gt;"",$B116&lt;&gt;"",$R116='تقرير مايو'!$C$4,$P116='تقرير مايو'!$C$6),COUNT(AE$4:AE115)+1,"")</f>
        <v/>
      </c>
    </row>
    <row r="117">
      <c r="A117" s="16" t="n"/>
      <c r="B117" s="17" t="n"/>
      <c r="C117" s="17" t="n"/>
      <c r="D117" s="18" t="n"/>
      <c r="E117" s="17" t="n"/>
      <c r="F117" s="17" t="n"/>
      <c r="G117" s="19" t="n"/>
      <c r="H117" s="17" t="n"/>
      <c r="I117" s="17" t="n"/>
      <c r="J117" s="17" t="n"/>
      <c r="K117" s="20">
        <f>IF($B117="","",IFERROR(INDEX(الموظفات!$A$5:$A$304,MATCH($B117,الموظفات!$B$5:$B$304,0))&amp;"",""))</f>
        <v/>
      </c>
      <c r="L117" s="21">
        <f>IF($B117="","",IFERROR(INDEX(الموظفات!$C$5:$C$304,MATCH($B117,الموظفات!$B$5:$B$304,0))&amp;"",""))</f>
        <v/>
      </c>
      <c r="M117" s="20">
        <f>IF($B117="","",IFERROR(INDEX(الموظفات!$D$5:$D$304,MATCH($B117,الموظفات!$B$5:$B$304,0))&amp;"",""))</f>
        <v/>
      </c>
      <c r="N117" s="20">
        <f>IF($B117="","",IFERROR(INDEX(الموظفات!$E$5:$E$304,MATCH($B117,الموظفات!$B$5:$B$304,0))&amp;"",""))</f>
        <v/>
      </c>
      <c r="O117" s="21">
        <f>IF(C117="","",IFERROR(INDEX(الإعدادات!$D$7:$D$35,MATCH(C117,الإعدادات!$A$7:$A$35,0))&amp;"",""))</f>
        <v/>
      </c>
      <c r="P117" s="20">
        <f>IF(A117="","",INDEX(الإعدادات!$H$7:$H$18,MONTH(A117)))</f>
        <v/>
      </c>
      <c r="Q117" s="20">
        <f>IF(A117="","",INDEX(الإعدادات!$I$7:$I$18,MONTH(A117)))</f>
        <v/>
      </c>
      <c r="R117" s="20">
        <f>IF(A117="","",IF(MONTH(A117)&gt;=8,YEAR(A117)&amp;"-"&amp;(YEAR(A117)+1),(YEAR(A117)-1)&amp;"-"&amp;YEAR(A117)))</f>
        <v/>
      </c>
      <c r="S117" s="20">
        <f>IF(OR(A117="",B117=""),0,IF(AND(R117=التقارير!$C$4,OR(التقارير!$C$5="سنوي",AND(التقارير!$C$5="شهري",P117=التقارير!$C$6),AND(التقارير!$C$5="فصلي",Q117=التقارير!$C$7))),1,0))</f>
        <v/>
      </c>
      <c r="T117" s="20">
        <f>IF(S117=1,COUNTIF($S$5:S117,1),"")</f>
        <v/>
      </c>
      <c r="U117">
        <f>IF(AND($A117&lt;&gt;"",$B117&lt;&gt;"",$R117='تقرير الفصل الأول'!$C$4,$Q117='تقرير الفصل الأول'!$C$7),COUNT(U$4:U116)+1,"")</f>
        <v/>
      </c>
      <c r="V117">
        <f>IF(AND($A117&lt;&gt;"",$B117&lt;&gt;"",$R117='تقرير الفصل الثاني'!$C$4,$Q117='تقرير الفصل الثاني'!$C$7),COUNT(V$4:V116)+1,"")</f>
        <v/>
      </c>
      <c r="W117">
        <f>IF(AND($A117&lt;&gt;"",$B117&lt;&gt;"",$R117='تقرير سبتمبر'!$C$4,$P117='تقرير سبتمبر'!$C$6),COUNT(W$4:W116)+1,"")</f>
        <v/>
      </c>
      <c r="X117">
        <f>IF(AND($A117&lt;&gt;"",$B117&lt;&gt;"",$R117='تقرير أكتوبر'!$C$4,$P117='تقرير أكتوبر'!$C$6),COUNT(X$4:X116)+1,"")</f>
        <v/>
      </c>
      <c r="Y117">
        <f>IF(AND($A117&lt;&gt;"",$B117&lt;&gt;"",$R117='تقرير نوفمبر'!$C$4,$P117='تقرير نوفمبر'!$C$6),COUNT(Y$4:Y116)+1,"")</f>
        <v/>
      </c>
      <c r="Z117">
        <f>IF(AND($A117&lt;&gt;"",$B117&lt;&gt;"",$R117='تقرير ديسمبر'!$C$4,$P117='تقرير ديسمبر'!$C$6),COUNT(Z$4:Z116)+1,"")</f>
        <v/>
      </c>
      <c r="AA117">
        <f>IF(AND($A117&lt;&gt;"",$B117&lt;&gt;"",$R117='تقرير يناير'!$C$4,$P117='تقرير يناير'!$C$6),COUNT(AA$4:AA116)+1,"")</f>
        <v/>
      </c>
      <c r="AB117">
        <f>IF(AND($A117&lt;&gt;"",$B117&lt;&gt;"",$R117='تقرير فبراير'!$C$4,$P117='تقرير فبراير'!$C$6),COUNT(AB$4:AB116)+1,"")</f>
        <v/>
      </c>
      <c r="AC117">
        <f>IF(AND($A117&lt;&gt;"",$B117&lt;&gt;"",$R117='تقرير مارس'!$C$4,$P117='تقرير مارس'!$C$6),COUNT(AC$4:AC116)+1,"")</f>
        <v/>
      </c>
      <c r="AD117">
        <f>IF(AND($A117&lt;&gt;"",$B117&lt;&gt;"",$R117='تقرير أبريل'!$C$4,$P117='تقرير أبريل'!$C$6),COUNT(AD$4:AD116)+1,"")</f>
        <v/>
      </c>
      <c r="AE117">
        <f>IF(AND($A117&lt;&gt;"",$B117&lt;&gt;"",$R117='تقرير مايو'!$C$4,$P117='تقرير مايو'!$C$6),COUNT(AE$4:AE116)+1,"")</f>
        <v/>
      </c>
    </row>
    <row r="118">
      <c r="A118" s="16" t="n"/>
      <c r="B118" s="17" t="n"/>
      <c r="C118" s="17" t="n"/>
      <c r="D118" s="18" t="n"/>
      <c r="E118" s="17" t="n"/>
      <c r="F118" s="17" t="n"/>
      <c r="G118" s="19" t="n"/>
      <c r="H118" s="17" t="n"/>
      <c r="I118" s="17" t="n"/>
      <c r="J118" s="17" t="n"/>
      <c r="K118" s="20">
        <f>IF($B118="","",IFERROR(INDEX(الموظفات!$A$5:$A$304,MATCH($B118,الموظفات!$B$5:$B$304,0))&amp;"",""))</f>
        <v/>
      </c>
      <c r="L118" s="21">
        <f>IF($B118="","",IFERROR(INDEX(الموظفات!$C$5:$C$304,MATCH($B118,الموظفات!$B$5:$B$304,0))&amp;"",""))</f>
        <v/>
      </c>
      <c r="M118" s="20">
        <f>IF($B118="","",IFERROR(INDEX(الموظفات!$D$5:$D$304,MATCH($B118,الموظفات!$B$5:$B$304,0))&amp;"",""))</f>
        <v/>
      </c>
      <c r="N118" s="20">
        <f>IF($B118="","",IFERROR(INDEX(الموظفات!$E$5:$E$304,MATCH($B118,الموظفات!$B$5:$B$304,0))&amp;"",""))</f>
        <v/>
      </c>
      <c r="O118" s="21">
        <f>IF(C118="","",IFERROR(INDEX(الإعدادات!$D$7:$D$35,MATCH(C118,الإعدادات!$A$7:$A$35,0))&amp;"",""))</f>
        <v/>
      </c>
      <c r="P118" s="20">
        <f>IF(A118="","",INDEX(الإعدادات!$H$7:$H$18,MONTH(A118)))</f>
        <v/>
      </c>
      <c r="Q118" s="20">
        <f>IF(A118="","",INDEX(الإعدادات!$I$7:$I$18,MONTH(A118)))</f>
        <v/>
      </c>
      <c r="R118" s="20">
        <f>IF(A118="","",IF(MONTH(A118)&gt;=8,YEAR(A118)&amp;"-"&amp;(YEAR(A118)+1),(YEAR(A118)-1)&amp;"-"&amp;YEAR(A118)))</f>
        <v/>
      </c>
      <c r="S118" s="20">
        <f>IF(OR(A118="",B118=""),0,IF(AND(R118=التقارير!$C$4,OR(التقارير!$C$5="سنوي",AND(التقارير!$C$5="شهري",P118=التقارير!$C$6),AND(التقارير!$C$5="فصلي",Q118=التقارير!$C$7))),1,0))</f>
        <v/>
      </c>
      <c r="T118" s="20">
        <f>IF(S118=1,COUNTIF($S$5:S118,1),"")</f>
        <v/>
      </c>
      <c r="U118">
        <f>IF(AND($A118&lt;&gt;"",$B118&lt;&gt;"",$R118='تقرير الفصل الأول'!$C$4,$Q118='تقرير الفصل الأول'!$C$7),COUNT(U$4:U117)+1,"")</f>
        <v/>
      </c>
      <c r="V118">
        <f>IF(AND($A118&lt;&gt;"",$B118&lt;&gt;"",$R118='تقرير الفصل الثاني'!$C$4,$Q118='تقرير الفصل الثاني'!$C$7),COUNT(V$4:V117)+1,"")</f>
        <v/>
      </c>
      <c r="W118">
        <f>IF(AND($A118&lt;&gt;"",$B118&lt;&gt;"",$R118='تقرير سبتمبر'!$C$4,$P118='تقرير سبتمبر'!$C$6),COUNT(W$4:W117)+1,"")</f>
        <v/>
      </c>
      <c r="X118">
        <f>IF(AND($A118&lt;&gt;"",$B118&lt;&gt;"",$R118='تقرير أكتوبر'!$C$4,$P118='تقرير أكتوبر'!$C$6),COUNT(X$4:X117)+1,"")</f>
        <v/>
      </c>
      <c r="Y118">
        <f>IF(AND($A118&lt;&gt;"",$B118&lt;&gt;"",$R118='تقرير نوفمبر'!$C$4,$P118='تقرير نوفمبر'!$C$6),COUNT(Y$4:Y117)+1,"")</f>
        <v/>
      </c>
      <c r="Z118">
        <f>IF(AND($A118&lt;&gt;"",$B118&lt;&gt;"",$R118='تقرير ديسمبر'!$C$4,$P118='تقرير ديسمبر'!$C$6),COUNT(Z$4:Z117)+1,"")</f>
        <v/>
      </c>
      <c r="AA118">
        <f>IF(AND($A118&lt;&gt;"",$B118&lt;&gt;"",$R118='تقرير يناير'!$C$4,$P118='تقرير يناير'!$C$6),COUNT(AA$4:AA117)+1,"")</f>
        <v/>
      </c>
      <c r="AB118">
        <f>IF(AND($A118&lt;&gt;"",$B118&lt;&gt;"",$R118='تقرير فبراير'!$C$4,$P118='تقرير فبراير'!$C$6),COUNT(AB$4:AB117)+1,"")</f>
        <v/>
      </c>
      <c r="AC118">
        <f>IF(AND($A118&lt;&gt;"",$B118&lt;&gt;"",$R118='تقرير مارس'!$C$4,$P118='تقرير مارس'!$C$6),COUNT(AC$4:AC117)+1,"")</f>
        <v/>
      </c>
      <c r="AD118">
        <f>IF(AND($A118&lt;&gt;"",$B118&lt;&gt;"",$R118='تقرير أبريل'!$C$4,$P118='تقرير أبريل'!$C$6),COUNT(AD$4:AD117)+1,"")</f>
        <v/>
      </c>
      <c r="AE118">
        <f>IF(AND($A118&lt;&gt;"",$B118&lt;&gt;"",$R118='تقرير مايو'!$C$4,$P118='تقرير مايو'!$C$6),COUNT(AE$4:AE117)+1,"")</f>
        <v/>
      </c>
    </row>
    <row r="119">
      <c r="A119" s="16" t="n"/>
      <c r="B119" s="17" t="n"/>
      <c r="C119" s="17" t="n"/>
      <c r="D119" s="18" t="n"/>
      <c r="E119" s="17" t="n"/>
      <c r="F119" s="17" t="n"/>
      <c r="G119" s="19" t="n"/>
      <c r="H119" s="17" t="n"/>
      <c r="I119" s="17" t="n"/>
      <c r="J119" s="17" t="n"/>
      <c r="K119" s="20">
        <f>IF($B119="","",IFERROR(INDEX(الموظفات!$A$5:$A$304,MATCH($B119,الموظفات!$B$5:$B$304,0))&amp;"",""))</f>
        <v/>
      </c>
      <c r="L119" s="21">
        <f>IF($B119="","",IFERROR(INDEX(الموظفات!$C$5:$C$304,MATCH($B119,الموظفات!$B$5:$B$304,0))&amp;"",""))</f>
        <v/>
      </c>
      <c r="M119" s="20">
        <f>IF($B119="","",IFERROR(INDEX(الموظفات!$D$5:$D$304,MATCH($B119,الموظفات!$B$5:$B$304,0))&amp;"",""))</f>
        <v/>
      </c>
      <c r="N119" s="20">
        <f>IF($B119="","",IFERROR(INDEX(الموظفات!$E$5:$E$304,MATCH($B119,الموظفات!$B$5:$B$304,0))&amp;"",""))</f>
        <v/>
      </c>
      <c r="O119" s="21">
        <f>IF(C119="","",IFERROR(INDEX(الإعدادات!$D$7:$D$35,MATCH(C119,الإعدادات!$A$7:$A$35,0))&amp;"",""))</f>
        <v/>
      </c>
      <c r="P119" s="20">
        <f>IF(A119="","",INDEX(الإعدادات!$H$7:$H$18,MONTH(A119)))</f>
        <v/>
      </c>
      <c r="Q119" s="20">
        <f>IF(A119="","",INDEX(الإعدادات!$I$7:$I$18,MONTH(A119)))</f>
        <v/>
      </c>
      <c r="R119" s="20">
        <f>IF(A119="","",IF(MONTH(A119)&gt;=8,YEAR(A119)&amp;"-"&amp;(YEAR(A119)+1),(YEAR(A119)-1)&amp;"-"&amp;YEAR(A119)))</f>
        <v/>
      </c>
      <c r="S119" s="20">
        <f>IF(OR(A119="",B119=""),0,IF(AND(R119=التقارير!$C$4,OR(التقارير!$C$5="سنوي",AND(التقارير!$C$5="شهري",P119=التقارير!$C$6),AND(التقارير!$C$5="فصلي",Q119=التقارير!$C$7))),1,0))</f>
        <v/>
      </c>
      <c r="T119" s="20">
        <f>IF(S119=1,COUNTIF($S$5:S119,1),"")</f>
        <v/>
      </c>
      <c r="U119">
        <f>IF(AND($A119&lt;&gt;"",$B119&lt;&gt;"",$R119='تقرير الفصل الأول'!$C$4,$Q119='تقرير الفصل الأول'!$C$7),COUNT(U$4:U118)+1,"")</f>
        <v/>
      </c>
      <c r="V119">
        <f>IF(AND($A119&lt;&gt;"",$B119&lt;&gt;"",$R119='تقرير الفصل الثاني'!$C$4,$Q119='تقرير الفصل الثاني'!$C$7),COUNT(V$4:V118)+1,"")</f>
        <v/>
      </c>
      <c r="W119">
        <f>IF(AND($A119&lt;&gt;"",$B119&lt;&gt;"",$R119='تقرير سبتمبر'!$C$4,$P119='تقرير سبتمبر'!$C$6),COUNT(W$4:W118)+1,"")</f>
        <v/>
      </c>
      <c r="X119">
        <f>IF(AND($A119&lt;&gt;"",$B119&lt;&gt;"",$R119='تقرير أكتوبر'!$C$4,$P119='تقرير أكتوبر'!$C$6),COUNT(X$4:X118)+1,"")</f>
        <v/>
      </c>
      <c r="Y119">
        <f>IF(AND($A119&lt;&gt;"",$B119&lt;&gt;"",$R119='تقرير نوفمبر'!$C$4,$P119='تقرير نوفمبر'!$C$6),COUNT(Y$4:Y118)+1,"")</f>
        <v/>
      </c>
      <c r="Z119">
        <f>IF(AND($A119&lt;&gt;"",$B119&lt;&gt;"",$R119='تقرير ديسمبر'!$C$4,$P119='تقرير ديسمبر'!$C$6),COUNT(Z$4:Z118)+1,"")</f>
        <v/>
      </c>
      <c r="AA119">
        <f>IF(AND($A119&lt;&gt;"",$B119&lt;&gt;"",$R119='تقرير يناير'!$C$4,$P119='تقرير يناير'!$C$6),COUNT(AA$4:AA118)+1,"")</f>
        <v/>
      </c>
      <c r="AB119">
        <f>IF(AND($A119&lt;&gt;"",$B119&lt;&gt;"",$R119='تقرير فبراير'!$C$4,$P119='تقرير فبراير'!$C$6),COUNT(AB$4:AB118)+1,"")</f>
        <v/>
      </c>
      <c r="AC119">
        <f>IF(AND($A119&lt;&gt;"",$B119&lt;&gt;"",$R119='تقرير مارس'!$C$4,$P119='تقرير مارس'!$C$6),COUNT(AC$4:AC118)+1,"")</f>
        <v/>
      </c>
      <c r="AD119">
        <f>IF(AND($A119&lt;&gt;"",$B119&lt;&gt;"",$R119='تقرير أبريل'!$C$4,$P119='تقرير أبريل'!$C$6),COUNT(AD$4:AD118)+1,"")</f>
        <v/>
      </c>
      <c r="AE119">
        <f>IF(AND($A119&lt;&gt;"",$B119&lt;&gt;"",$R119='تقرير مايو'!$C$4,$P119='تقرير مايو'!$C$6),COUNT(AE$4:AE118)+1,"")</f>
        <v/>
      </c>
    </row>
    <row r="120">
      <c r="A120" s="16" t="n"/>
      <c r="B120" s="17" t="n"/>
      <c r="C120" s="17" t="n"/>
      <c r="D120" s="18" t="n"/>
      <c r="E120" s="17" t="n"/>
      <c r="F120" s="17" t="n"/>
      <c r="G120" s="19" t="n"/>
      <c r="H120" s="17" t="n"/>
      <c r="I120" s="17" t="n"/>
      <c r="J120" s="17" t="n"/>
      <c r="K120" s="20">
        <f>IF($B120="","",IFERROR(INDEX(الموظفات!$A$5:$A$304,MATCH($B120,الموظفات!$B$5:$B$304,0))&amp;"",""))</f>
        <v/>
      </c>
      <c r="L120" s="21">
        <f>IF($B120="","",IFERROR(INDEX(الموظفات!$C$5:$C$304,MATCH($B120,الموظفات!$B$5:$B$304,0))&amp;"",""))</f>
        <v/>
      </c>
      <c r="M120" s="20">
        <f>IF($B120="","",IFERROR(INDEX(الموظفات!$D$5:$D$304,MATCH($B120,الموظفات!$B$5:$B$304,0))&amp;"",""))</f>
        <v/>
      </c>
      <c r="N120" s="20">
        <f>IF($B120="","",IFERROR(INDEX(الموظفات!$E$5:$E$304,MATCH($B120,الموظفات!$B$5:$B$304,0))&amp;"",""))</f>
        <v/>
      </c>
      <c r="O120" s="21">
        <f>IF(C120="","",IFERROR(INDEX(الإعدادات!$D$7:$D$35,MATCH(C120,الإعدادات!$A$7:$A$35,0))&amp;"",""))</f>
        <v/>
      </c>
      <c r="P120" s="20">
        <f>IF(A120="","",INDEX(الإعدادات!$H$7:$H$18,MONTH(A120)))</f>
        <v/>
      </c>
      <c r="Q120" s="20">
        <f>IF(A120="","",INDEX(الإعدادات!$I$7:$I$18,MONTH(A120)))</f>
        <v/>
      </c>
      <c r="R120" s="20">
        <f>IF(A120="","",IF(MONTH(A120)&gt;=8,YEAR(A120)&amp;"-"&amp;(YEAR(A120)+1),(YEAR(A120)-1)&amp;"-"&amp;YEAR(A120)))</f>
        <v/>
      </c>
      <c r="S120" s="20">
        <f>IF(OR(A120="",B120=""),0,IF(AND(R120=التقارير!$C$4,OR(التقارير!$C$5="سنوي",AND(التقارير!$C$5="شهري",P120=التقارير!$C$6),AND(التقارير!$C$5="فصلي",Q120=التقارير!$C$7))),1,0))</f>
        <v/>
      </c>
      <c r="T120" s="20">
        <f>IF(S120=1,COUNTIF($S$5:S120,1),"")</f>
        <v/>
      </c>
      <c r="U120">
        <f>IF(AND($A120&lt;&gt;"",$B120&lt;&gt;"",$R120='تقرير الفصل الأول'!$C$4,$Q120='تقرير الفصل الأول'!$C$7),COUNT(U$4:U119)+1,"")</f>
        <v/>
      </c>
      <c r="V120">
        <f>IF(AND($A120&lt;&gt;"",$B120&lt;&gt;"",$R120='تقرير الفصل الثاني'!$C$4,$Q120='تقرير الفصل الثاني'!$C$7),COUNT(V$4:V119)+1,"")</f>
        <v/>
      </c>
      <c r="W120">
        <f>IF(AND($A120&lt;&gt;"",$B120&lt;&gt;"",$R120='تقرير سبتمبر'!$C$4,$P120='تقرير سبتمبر'!$C$6),COUNT(W$4:W119)+1,"")</f>
        <v/>
      </c>
      <c r="X120">
        <f>IF(AND($A120&lt;&gt;"",$B120&lt;&gt;"",$R120='تقرير أكتوبر'!$C$4,$P120='تقرير أكتوبر'!$C$6),COUNT(X$4:X119)+1,"")</f>
        <v/>
      </c>
      <c r="Y120">
        <f>IF(AND($A120&lt;&gt;"",$B120&lt;&gt;"",$R120='تقرير نوفمبر'!$C$4,$P120='تقرير نوفمبر'!$C$6),COUNT(Y$4:Y119)+1,"")</f>
        <v/>
      </c>
      <c r="Z120">
        <f>IF(AND($A120&lt;&gt;"",$B120&lt;&gt;"",$R120='تقرير ديسمبر'!$C$4,$P120='تقرير ديسمبر'!$C$6),COUNT(Z$4:Z119)+1,"")</f>
        <v/>
      </c>
      <c r="AA120">
        <f>IF(AND($A120&lt;&gt;"",$B120&lt;&gt;"",$R120='تقرير يناير'!$C$4,$P120='تقرير يناير'!$C$6),COUNT(AA$4:AA119)+1,"")</f>
        <v/>
      </c>
      <c r="AB120">
        <f>IF(AND($A120&lt;&gt;"",$B120&lt;&gt;"",$R120='تقرير فبراير'!$C$4,$P120='تقرير فبراير'!$C$6),COUNT(AB$4:AB119)+1,"")</f>
        <v/>
      </c>
      <c r="AC120">
        <f>IF(AND($A120&lt;&gt;"",$B120&lt;&gt;"",$R120='تقرير مارس'!$C$4,$P120='تقرير مارس'!$C$6),COUNT(AC$4:AC119)+1,"")</f>
        <v/>
      </c>
      <c r="AD120">
        <f>IF(AND($A120&lt;&gt;"",$B120&lt;&gt;"",$R120='تقرير أبريل'!$C$4,$P120='تقرير أبريل'!$C$6),COUNT(AD$4:AD119)+1,"")</f>
        <v/>
      </c>
      <c r="AE120">
        <f>IF(AND($A120&lt;&gt;"",$B120&lt;&gt;"",$R120='تقرير مايو'!$C$4,$P120='تقرير مايو'!$C$6),COUNT(AE$4:AE119)+1,"")</f>
        <v/>
      </c>
    </row>
    <row r="121">
      <c r="A121" s="16" t="n"/>
      <c r="B121" s="17" t="n"/>
      <c r="C121" s="17" t="n"/>
      <c r="D121" s="18" t="n"/>
      <c r="E121" s="17" t="n"/>
      <c r="F121" s="17" t="n"/>
      <c r="G121" s="19" t="n"/>
      <c r="H121" s="17" t="n"/>
      <c r="I121" s="17" t="n"/>
      <c r="J121" s="17" t="n"/>
      <c r="K121" s="20">
        <f>IF($B121="","",IFERROR(INDEX(الموظفات!$A$5:$A$304,MATCH($B121,الموظفات!$B$5:$B$304,0))&amp;"",""))</f>
        <v/>
      </c>
      <c r="L121" s="21">
        <f>IF($B121="","",IFERROR(INDEX(الموظفات!$C$5:$C$304,MATCH($B121,الموظفات!$B$5:$B$304,0))&amp;"",""))</f>
        <v/>
      </c>
      <c r="M121" s="20">
        <f>IF($B121="","",IFERROR(INDEX(الموظفات!$D$5:$D$304,MATCH($B121,الموظفات!$B$5:$B$304,0))&amp;"",""))</f>
        <v/>
      </c>
      <c r="N121" s="20">
        <f>IF($B121="","",IFERROR(INDEX(الموظفات!$E$5:$E$304,MATCH($B121,الموظفات!$B$5:$B$304,0))&amp;"",""))</f>
        <v/>
      </c>
      <c r="O121" s="21">
        <f>IF(C121="","",IFERROR(INDEX(الإعدادات!$D$7:$D$35,MATCH(C121,الإعدادات!$A$7:$A$35,0))&amp;"",""))</f>
        <v/>
      </c>
      <c r="P121" s="20">
        <f>IF(A121="","",INDEX(الإعدادات!$H$7:$H$18,MONTH(A121)))</f>
        <v/>
      </c>
      <c r="Q121" s="20">
        <f>IF(A121="","",INDEX(الإعدادات!$I$7:$I$18,MONTH(A121)))</f>
        <v/>
      </c>
      <c r="R121" s="20">
        <f>IF(A121="","",IF(MONTH(A121)&gt;=8,YEAR(A121)&amp;"-"&amp;(YEAR(A121)+1),(YEAR(A121)-1)&amp;"-"&amp;YEAR(A121)))</f>
        <v/>
      </c>
      <c r="S121" s="20">
        <f>IF(OR(A121="",B121=""),0,IF(AND(R121=التقارير!$C$4,OR(التقارير!$C$5="سنوي",AND(التقارير!$C$5="شهري",P121=التقارير!$C$6),AND(التقارير!$C$5="فصلي",Q121=التقارير!$C$7))),1,0))</f>
        <v/>
      </c>
      <c r="T121" s="20">
        <f>IF(S121=1,COUNTIF($S$5:S121,1),"")</f>
        <v/>
      </c>
      <c r="U121">
        <f>IF(AND($A121&lt;&gt;"",$B121&lt;&gt;"",$R121='تقرير الفصل الأول'!$C$4,$Q121='تقرير الفصل الأول'!$C$7),COUNT(U$4:U120)+1,"")</f>
        <v/>
      </c>
      <c r="V121">
        <f>IF(AND($A121&lt;&gt;"",$B121&lt;&gt;"",$R121='تقرير الفصل الثاني'!$C$4,$Q121='تقرير الفصل الثاني'!$C$7),COUNT(V$4:V120)+1,"")</f>
        <v/>
      </c>
      <c r="W121">
        <f>IF(AND($A121&lt;&gt;"",$B121&lt;&gt;"",$R121='تقرير سبتمبر'!$C$4,$P121='تقرير سبتمبر'!$C$6),COUNT(W$4:W120)+1,"")</f>
        <v/>
      </c>
      <c r="X121">
        <f>IF(AND($A121&lt;&gt;"",$B121&lt;&gt;"",$R121='تقرير أكتوبر'!$C$4,$P121='تقرير أكتوبر'!$C$6),COUNT(X$4:X120)+1,"")</f>
        <v/>
      </c>
      <c r="Y121">
        <f>IF(AND($A121&lt;&gt;"",$B121&lt;&gt;"",$R121='تقرير نوفمبر'!$C$4,$P121='تقرير نوفمبر'!$C$6),COUNT(Y$4:Y120)+1,"")</f>
        <v/>
      </c>
      <c r="Z121">
        <f>IF(AND($A121&lt;&gt;"",$B121&lt;&gt;"",$R121='تقرير ديسمبر'!$C$4,$P121='تقرير ديسمبر'!$C$6),COUNT(Z$4:Z120)+1,"")</f>
        <v/>
      </c>
      <c r="AA121">
        <f>IF(AND($A121&lt;&gt;"",$B121&lt;&gt;"",$R121='تقرير يناير'!$C$4,$P121='تقرير يناير'!$C$6),COUNT(AA$4:AA120)+1,"")</f>
        <v/>
      </c>
      <c r="AB121">
        <f>IF(AND($A121&lt;&gt;"",$B121&lt;&gt;"",$R121='تقرير فبراير'!$C$4,$P121='تقرير فبراير'!$C$6),COUNT(AB$4:AB120)+1,"")</f>
        <v/>
      </c>
      <c r="AC121">
        <f>IF(AND($A121&lt;&gt;"",$B121&lt;&gt;"",$R121='تقرير مارس'!$C$4,$P121='تقرير مارس'!$C$6),COUNT(AC$4:AC120)+1,"")</f>
        <v/>
      </c>
      <c r="AD121">
        <f>IF(AND($A121&lt;&gt;"",$B121&lt;&gt;"",$R121='تقرير أبريل'!$C$4,$P121='تقرير أبريل'!$C$6),COUNT(AD$4:AD120)+1,"")</f>
        <v/>
      </c>
      <c r="AE121">
        <f>IF(AND($A121&lt;&gt;"",$B121&lt;&gt;"",$R121='تقرير مايو'!$C$4,$P121='تقرير مايو'!$C$6),COUNT(AE$4:AE120)+1,"")</f>
        <v/>
      </c>
    </row>
    <row r="122">
      <c r="A122" s="16" t="n"/>
      <c r="B122" s="17" t="n"/>
      <c r="C122" s="17" t="n"/>
      <c r="D122" s="18" t="n"/>
      <c r="E122" s="17" t="n"/>
      <c r="F122" s="17" t="n"/>
      <c r="G122" s="19" t="n"/>
      <c r="H122" s="17" t="n"/>
      <c r="I122" s="17" t="n"/>
      <c r="J122" s="17" t="n"/>
      <c r="K122" s="20">
        <f>IF($B122="","",IFERROR(INDEX(الموظفات!$A$5:$A$304,MATCH($B122,الموظفات!$B$5:$B$304,0))&amp;"",""))</f>
        <v/>
      </c>
      <c r="L122" s="21">
        <f>IF($B122="","",IFERROR(INDEX(الموظفات!$C$5:$C$304,MATCH($B122,الموظفات!$B$5:$B$304,0))&amp;"",""))</f>
        <v/>
      </c>
      <c r="M122" s="20">
        <f>IF($B122="","",IFERROR(INDEX(الموظفات!$D$5:$D$304,MATCH($B122,الموظفات!$B$5:$B$304,0))&amp;"",""))</f>
        <v/>
      </c>
      <c r="N122" s="20">
        <f>IF($B122="","",IFERROR(INDEX(الموظفات!$E$5:$E$304,MATCH($B122,الموظفات!$B$5:$B$304,0))&amp;"",""))</f>
        <v/>
      </c>
      <c r="O122" s="21">
        <f>IF(C122="","",IFERROR(INDEX(الإعدادات!$D$7:$D$35,MATCH(C122,الإعدادات!$A$7:$A$35,0))&amp;"",""))</f>
        <v/>
      </c>
      <c r="P122" s="20">
        <f>IF(A122="","",INDEX(الإعدادات!$H$7:$H$18,MONTH(A122)))</f>
        <v/>
      </c>
      <c r="Q122" s="20">
        <f>IF(A122="","",INDEX(الإعدادات!$I$7:$I$18,MONTH(A122)))</f>
        <v/>
      </c>
      <c r="R122" s="20">
        <f>IF(A122="","",IF(MONTH(A122)&gt;=8,YEAR(A122)&amp;"-"&amp;(YEAR(A122)+1),(YEAR(A122)-1)&amp;"-"&amp;YEAR(A122)))</f>
        <v/>
      </c>
      <c r="S122" s="20">
        <f>IF(OR(A122="",B122=""),0,IF(AND(R122=التقارير!$C$4,OR(التقارير!$C$5="سنوي",AND(التقارير!$C$5="شهري",P122=التقارير!$C$6),AND(التقارير!$C$5="فصلي",Q122=التقارير!$C$7))),1,0))</f>
        <v/>
      </c>
      <c r="T122" s="20">
        <f>IF(S122=1,COUNTIF($S$5:S122,1),"")</f>
        <v/>
      </c>
      <c r="U122">
        <f>IF(AND($A122&lt;&gt;"",$B122&lt;&gt;"",$R122='تقرير الفصل الأول'!$C$4,$Q122='تقرير الفصل الأول'!$C$7),COUNT(U$4:U121)+1,"")</f>
        <v/>
      </c>
      <c r="V122">
        <f>IF(AND($A122&lt;&gt;"",$B122&lt;&gt;"",$R122='تقرير الفصل الثاني'!$C$4,$Q122='تقرير الفصل الثاني'!$C$7),COUNT(V$4:V121)+1,"")</f>
        <v/>
      </c>
      <c r="W122">
        <f>IF(AND($A122&lt;&gt;"",$B122&lt;&gt;"",$R122='تقرير سبتمبر'!$C$4,$P122='تقرير سبتمبر'!$C$6),COUNT(W$4:W121)+1,"")</f>
        <v/>
      </c>
      <c r="X122">
        <f>IF(AND($A122&lt;&gt;"",$B122&lt;&gt;"",$R122='تقرير أكتوبر'!$C$4,$P122='تقرير أكتوبر'!$C$6),COUNT(X$4:X121)+1,"")</f>
        <v/>
      </c>
      <c r="Y122">
        <f>IF(AND($A122&lt;&gt;"",$B122&lt;&gt;"",$R122='تقرير نوفمبر'!$C$4,$P122='تقرير نوفمبر'!$C$6),COUNT(Y$4:Y121)+1,"")</f>
        <v/>
      </c>
      <c r="Z122">
        <f>IF(AND($A122&lt;&gt;"",$B122&lt;&gt;"",$R122='تقرير ديسمبر'!$C$4,$P122='تقرير ديسمبر'!$C$6),COUNT(Z$4:Z121)+1,"")</f>
        <v/>
      </c>
      <c r="AA122">
        <f>IF(AND($A122&lt;&gt;"",$B122&lt;&gt;"",$R122='تقرير يناير'!$C$4,$P122='تقرير يناير'!$C$6),COUNT(AA$4:AA121)+1,"")</f>
        <v/>
      </c>
      <c r="AB122">
        <f>IF(AND($A122&lt;&gt;"",$B122&lt;&gt;"",$R122='تقرير فبراير'!$C$4,$P122='تقرير فبراير'!$C$6),COUNT(AB$4:AB121)+1,"")</f>
        <v/>
      </c>
      <c r="AC122">
        <f>IF(AND($A122&lt;&gt;"",$B122&lt;&gt;"",$R122='تقرير مارس'!$C$4,$P122='تقرير مارس'!$C$6),COUNT(AC$4:AC121)+1,"")</f>
        <v/>
      </c>
      <c r="AD122">
        <f>IF(AND($A122&lt;&gt;"",$B122&lt;&gt;"",$R122='تقرير أبريل'!$C$4,$P122='تقرير أبريل'!$C$6),COUNT(AD$4:AD121)+1,"")</f>
        <v/>
      </c>
      <c r="AE122">
        <f>IF(AND($A122&lt;&gt;"",$B122&lt;&gt;"",$R122='تقرير مايو'!$C$4,$P122='تقرير مايو'!$C$6),COUNT(AE$4:AE121)+1,"")</f>
        <v/>
      </c>
    </row>
    <row r="123">
      <c r="A123" s="16" t="n"/>
      <c r="B123" s="17" t="n"/>
      <c r="C123" s="17" t="n"/>
      <c r="D123" s="18" t="n"/>
      <c r="E123" s="17" t="n"/>
      <c r="F123" s="17" t="n"/>
      <c r="G123" s="19" t="n"/>
      <c r="H123" s="17" t="n"/>
      <c r="I123" s="17" t="n"/>
      <c r="J123" s="17" t="n"/>
      <c r="K123" s="20">
        <f>IF($B123="","",IFERROR(INDEX(الموظفات!$A$5:$A$304,MATCH($B123,الموظفات!$B$5:$B$304,0))&amp;"",""))</f>
        <v/>
      </c>
      <c r="L123" s="21">
        <f>IF($B123="","",IFERROR(INDEX(الموظفات!$C$5:$C$304,MATCH($B123,الموظفات!$B$5:$B$304,0))&amp;"",""))</f>
        <v/>
      </c>
      <c r="M123" s="20">
        <f>IF($B123="","",IFERROR(INDEX(الموظفات!$D$5:$D$304,MATCH($B123,الموظفات!$B$5:$B$304,0))&amp;"",""))</f>
        <v/>
      </c>
      <c r="N123" s="20">
        <f>IF($B123="","",IFERROR(INDEX(الموظفات!$E$5:$E$304,MATCH($B123,الموظفات!$B$5:$B$304,0))&amp;"",""))</f>
        <v/>
      </c>
      <c r="O123" s="21">
        <f>IF(C123="","",IFERROR(INDEX(الإعدادات!$D$7:$D$35,MATCH(C123,الإعدادات!$A$7:$A$35,0))&amp;"",""))</f>
        <v/>
      </c>
      <c r="P123" s="20">
        <f>IF(A123="","",INDEX(الإعدادات!$H$7:$H$18,MONTH(A123)))</f>
        <v/>
      </c>
      <c r="Q123" s="20">
        <f>IF(A123="","",INDEX(الإعدادات!$I$7:$I$18,MONTH(A123)))</f>
        <v/>
      </c>
      <c r="R123" s="20">
        <f>IF(A123="","",IF(MONTH(A123)&gt;=8,YEAR(A123)&amp;"-"&amp;(YEAR(A123)+1),(YEAR(A123)-1)&amp;"-"&amp;YEAR(A123)))</f>
        <v/>
      </c>
      <c r="S123" s="20">
        <f>IF(OR(A123="",B123=""),0,IF(AND(R123=التقارير!$C$4,OR(التقارير!$C$5="سنوي",AND(التقارير!$C$5="شهري",P123=التقارير!$C$6),AND(التقارير!$C$5="فصلي",Q123=التقارير!$C$7))),1,0))</f>
        <v/>
      </c>
      <c r="T123" s="20">
        <f>IF(S123=1,COUNTIF($S$5:S123,1),"")</f>
        <v/>
      </c>
      <c r="U123">
        <f>IF(AND($A123&lt;&gt;"",$B123&lt;&gt;"",$R123='تقرير الفصل الأول'!$C$4,$Q123='تقرير الفصل الأول'!$C$7),COUNT(U$4:U122)+1,"")</f>
        <v/>
      </c>
      <c r="V123">
        <f>IF(AND($A123&lt;&gt;"",$B123&lt;&gt;"",$R123='تقرير الفصل الثاني'!$C$4,$Q123='تقرير الفصل الثاني'!$C$7),COUNT(V$4:V122)+1,"")</f>
        <v/>
      </c>
      <c r="W123">
        <f>IF(AND($A123&lt;&gt;"",$B123&lt;&gt;"",$R123='تقرير سبتمبر'!$C$4,$P123='تقرير سبتمبر'!$C$6),COUNT(W$4:W122)+1,"")</f>
        <v/>
      </c>
      <c r="X123">
        <f>IF(AND($A123&lt;&gt;"",$B123&lt;&gt;"",$R123='تقرير أكتوبر'!$C$4,$P123='تقرير أكتوبر'!$C$6),COUNT(X$4:X122)+1,"")</f>
        <v/>
      </c>
      <c r="Y123">
        <f>IF(AND($A123&lt;&gt;"",$B123&lt;&gt;"",$R123='تقرير نوفمبر'!$C$4,$P123='تقرير نوفمبر'!$C$6),COUNT(Y$4:Y122)+1,"")</f>
        <v/>
      </c>
      <c r="Z123">
        <f>IF(AND($A123&lt;&gt;"",$B123&lt;&gt;"",$R123='تقرير ديسمبر'!$C$4,$P123='تقرير ديسمبر'!$C$6),COUNT(Z$4:Z122)+1,"")</f>
        <v/>
      </c>
      <c r="AA123">
        <f>IF(AND($A123&lt;&gt;"",$B123&lt;&gt;"",$R123='تقرير يناير'!$C$4,$P123='تقرير يناير'!$C$6),COUNT(AA$4:AA122)+1,"")</f>
        <v/>
      </c>
      <c r="AB123">
        <f>IF(AND($A123&lt;&gt;"",$B123&lt;&gt;"",$R123='تقرير فبراير'!$C$4,$P123='تقرير فبراير'!$C$6),COUNT(AB$4:AB122)+1,"")</f>
        <v/>
      </c>
      <c r="AC123">
        <f>IF(AND($A123&lt;&gt;"",$B123&lt;&gt;"",$R123='تقرير مارس'!$C$4,$P123='تقرير مارس'!$C$6),COUNT(AC$4:AC122)+1,"")</f>
        <v/>
      </c>
      <c r="AD123">
        <f>IF(AND($A123&lt;&gt;"",$B123&lt;&gt;"",$R123='تقرير أبريل'!$C$4,$P123='تقرير أبريل'!$C$6),COUNT(AD$4:AD122)+1,"")</f>
        <v/>
      </c>
      <c r="AE123">
        <f>IF(AND($A123&lt;&gt;"",$B123&lt;&gt;"",$R123='تقرير مايو'!$C$4,$P123='تقرير مايو'!$C$6),COUNT(AE$4:AE122)+1,"")</f>
        <v/>
      </c>
    </row>
    <row r="124">
      <c r="A124" s="16" t="n"/>
      <c r="B124" s="17" t="n"/>
      <c r="C124" s="17" t="n"/>
      <c r="D124" s="18" t="n"/>
      <c r="E124" s="17" t="n"/>
      <c r="F124" s="17" t="n"/>
      <c r="G124" s="19" t="n"/>
      <c r="H124" s="17" t="n"/>
      <c r="I124" s="17" t="n"/>
      <c r="J124" s="17" t="n"/>
      <c r="K124" s="20">
        <f>IF($B124="","",IFERROR(INDEX(الموظفات!$A$5:$A$304,MATCH($B124,الموظفات!$B$5:$B$304,0))&amp;"",""))</f>
        <v/>
      </c>
      <c r="L124" s="21">
        <f>IF($B124="","",IFERROR(INDEX(الموظفات!$C$5:$C$304,MATCH($B124,الموظفات!$B$5:$B$304,0))&amp;"",""))</f>
        <v/>
      </c>
      <c r="M124" s="20">
        <f>IF($B124="","",IFERROR(INDEX(الموظفات!$D$5:$D$304,MATCH($B124,الموظفات!$B$5:$B$304,0))&amp;"",""))</f>
        <v/>
      </c>
      <c r="N124" s="20">
        <f>IF($B124="","",IFERROR(INDEX(الموظفات!$E$5:$E$304,MATCH($B124,الموظفات!$B$5:$B$304,0))&amp;"",""))</f>
        <v/>
      </c>
      <c r="O124" s="21">
        <f>IF(C124="","",IFERROR(INDEX(الإعدادات!$D$7:$D$35,MATCH(C124,الإعدادات!$A$7:$A$35,0))&amp;"",""))</f>
        <v/>
      </c>
      <c r="P124" s="20">
        <f>IF(A124="","",INDEX(الإعدادات!$H$7:$H$18,MONTH(A124)))</f>
        <v/>
      </c>
      <c r="Q124" s="20">
        <f>IF(A124="","",INDEX(الإعدادات!$I$7:$I$18,MONTH(A124)))</f>
        <v/>
      </c>
      <c r="R124" s="20">
        <f>IF(A124="","",IF(MONTH(A124)&gt;=8,YEAR(A124)&amp;"-"&amp;(YEAR(A124)+1),(YEAR(A124)-1)&amp;"-"&amp;YEAR(A124)))</f>
        <v/>
      </c>
      <c r="S124" s="20">
        <f>IF(OR(A124="",B124=""),0,IF(AND(R124=التقارير!$C$4,OR(التقارير!$C$5="سنوي",AND(التقارير!$C$5="شهري",P124=التقارير!$C$6),AND(التقارير!$C$5="فصلي",Q124=التقارير!$C$7))),1,0))</f>
        <v/>
      </c>
      <c r="T124" s="20">
        <f>IF(S124=1,COUNTIF($S$5:S124,1),"")</f>
        <v/>
      </c>
      <c r="U124">
        <f>IF(AND($A124&lt;&gt;"",$B124&lt;&gt;"",$R124='تقرير الفصل الأول'!$C$4,$Q124='تقرير الفصل الأول'!$C$7),COUNT(U$4:U123)+1,"")</f>
        <v/>
      </c>
      <c r="V124">
        <f>IF(AND($A124&lt;&gt;"",$B124&lt;&gt;"",$R124='تقرير الفصل الثاني'!$C$4,$Q124='تقرير الفصل الثاني'!$C$7),COUNT(V$4:V123)+1,"")</f>
        <v/>
      </c>
      <c r="W124">
        <f>IF(AND($A124&lt;&gt;"",$B124&lt;&gt;"",$R124='تقرير سبتمبر'!$C$4,$P124='تقرير سبتمبر'!$C$6),COUNT(W$4:W123)+1,"")</f>
        <v/>
      </c>
      <c r="X124">
        <f>IF(AND($A124&lt;&gt;"",$B124&lt;&gt;"",$R124='تقرير أكتوبر'!$C$4,$P124='تقرير أكتوبر'!$C$6),COUNT(X$4:X123)+1,"")</f>
        <v/>
      </c>
      <c r="Y124">
        <f>IF(AND($A124&lt;&gt;"",$B124&lt;&gt;"",$R124='تقرير نوفمبر'!$C$4,$P124='تقرير نوفمبر'!$C$6),COUNT(Y$4:Y123)+1,"")</f>
        <v/>
      </c>
      <c r="Z124">
        <f>IF(AND($A124&lt;&gt;"",$B124&lt;&gt;"",$R124='تقرير ديسمبر'!$C$4,$P124='تقرير ديسمبر'!$C$6),COUNT(Z$4:Z123)+1,"")</f>
        <v/>
      </c>
      <c r="AA124">
        <f>IF(AND($A124&lt;&gt;"",$B124&lt;&gt;"",$R124='تقرير يناير'!$C$4,$P124='تقرير يناير'!$C$6),COUNT(AA$4:AA123)+1,"")</f>
        <v/>
      </c>
      <c r="AB124">
        <f>IF(AND($A124&lt;&gt;"",$B124&lt;&gt;"",$R124='تقرير فبراير'!$C$4,$P124='تقرير فبراير'!$C$6),COUNT(AB$4:AB123)+1,"")</f>
        <v/>
      </c>
      <c r="AC124">
        <f>IF(AND($A124&lt;&gt;"",$B124&lt;&gt;"",$R124='تقرير مارس'!$C$4,$P124='تقرير مارس'!$C$6),COUNT(AC$4:AC123)+1,"")</f>
        <v/>
      </c>
      <c r="AD124">
        <f>IF(AND($A124&lt;&gt;"",$B124&lt;&gt;"",$R124='تقرير أبريل'!$C$4,$P124='تقرير أبريل'!$C$6),COUNT(AD$4:AD123)+1,"")</f>
        <v/>
      </c>
      <c r="AE124">
        <f>IF(AND($A124&lt;&gt;"",$B124&lt;&gt;"",$R124='تقرير مايو'!$C$4,$P124='تقرير مايو'!$C$6),COUNT(AE$4:AE123)+1,"")</f>
        <v/>
      </c>
    </row>
    <row r="125">
      <c r="A125" s="16" t="n"/>
      <c r="B125" s="17" t="n"/>
      <c r="C125" s="17" t="n"/>
      <c r="D125" s="18" t="n"/>
      <c r="E125" s="17" t="n"/>
      <c r="F125" s="17" t="n"/>
      <c r="G125" s="19" t="n"/>
      <c r="H125" s="17" t="n"/>
      <c r="I125" s="17" t="n"/>
      <c r="J125" s="17" t="n"/>
      <c r="K125" s="20">
        <f>IF($B125="","",IFERROR(INDEX(الموظفات!$A$5:$A$304,MATCH($B125,الموظفات!$B$5:$B$304,0))&amp;"",""))</f>
        <v/>
      </c>
      <c r="L125" s="21">
        <f>IF($B125="","",IFERROR(INDEX(الموظفات!$C$5:$C$304,MATCH($B125,الموظفات!$B$5:$B$304,0))&amp;"",""))</f>
        <v/>
      </c>
      <c r="M125" s="20">
        <f>IF($B125="","",IFERROR(INDEX(الموظفات!$D$5:$D$304,MATCH($B125,الموظفات!$B$5:$B$304,0))&amp;"",""))</f>
        <v/>
      </c>
      <c r="N125" s="20">
        <f>IF($B125="","",IFERROR(INDEX(الموظفات!$E$5:$E$304,MATCH($B125,الموظفات!$B$5:$B$304,0))&amp;"",""))</f>
        <v/>
      </c>
      <c r="O125" s="21">
        <f>IF(C125="","",IFERROR(INDEX(الإعدادات!$D$7:$D$35,MATCH(C125,الإعدادات!$A$7:$A$35,0))&amp;"",""))</f>
        <v/>
      </c>
      <c r="P125" s="20">
        <f>IF(A125="","",INDEX(الإعدادات!$H$7:$H$18,MONTH(A125)))</f>
        <v/>
      </c>
      <c r="Q125" s="20">
        <f>IF(A125="","",INDEX(الإعدادات!$I$7:$I$18,MONTH(A125)))</f>
        <v/>
      </c>
      <c r="R125" s="20">
        <f>IF(A125="","",IF(MONTH(A125)&gt;=8,YEAR(A125)&amp;"-"&amp;(YEAR(A125)+1),(YEAR(A125)-1)&amp;"-"&amp;YEAR(A125)))</f>
        <v/>
      </c>
      <c r="S125" s="20">
        <f>IF(OR(A125="",B125=""),0,IF(AND(R125=التقارير!$C$4,OR(التقارير!$C$5="سنوي",AND(التقارير!$C$5="شهري",P125=التقارير!$C$6),AND(التقارير!$C$5="فصلي",Q125=التقارير!$C$7))),1,0))</f>
        <v/>
      </c>
      <c r="T125" s="20">
        <f>IF(S125=1,COUNTIF($S$5:S125,1),"")</f>
        <v/>
      </c>
      <c r="U125">
        <f>IF(AND($A125&lt;&gt;"",$B125&lt;&gt;"",$R125='تقرير الفصل الأول'!$C$4,$Q125='تقرير الفصل الأول'!$C$7),COUNT(U$4:U124)+1,"")</f>
        <v/>
      </c>
      <c r="V125">
        <f>IF(AND($A125&lt;&gt;"",$B125&lt;&gt;"",$R125='تقرير الفصل الثاني'!$C$4,$Q125='تقرير الفصل الثاني'!$C$7),COUNT(V$4:V124)+1,"")</f>
        <v/>
      </c>
      <c r="W125">
        <f>IF(AND($A125&lt;&gt;"",$B125&lt;&gt;"",$R125='تقرير سبتمبر'!$C$4,$P125='تقرير سبتمبر'!$C$6),COUNT(W$4:W124)+1,"")</f>
        <v/>
      </c>
      <c r="X125">
        <f>IF(AND($A125&lt;&gt;"",$B125&lt;&gt;"",$R125='تقرير أكتوبر'!$C$4,$P125='تقرير أكتوبر'!$C$6),COUNT(X$4:X124)+1,"")</f>
        <v/>
      </c>
      <c r="Y125">
        <f>IF(AND($A125&lt;&gt;"",$B125&lt;&gt;"",$R125='تقرير نوفمبر'!$C$4,$P125='تقرير نوفمبر'!$C$6),COUNT(Y$4:Y124)+1,"")</f>
        <v/>
      </c>
      <c r="Z125">
        <f>IF(AND($A125&lt;&gt;"",$B125&lt;&gt;"",$R125='تقرير ديسمبر'!$C$4,$P125='تقرير ديسمبر'!$C$6),COUNT(Z$4:Z124)+1,"")</f>
        <v/>
      </c>
      <c r="AA125">
        <f>IF(AND($A125&lt;&gt;"",$B125&lt;&gt;"",$R125='تقرير يناير'!$C$4,$P125='تقرير يناير'!$C$6),COUNT(AA$4:AA124)+1,"")</f>
        <v/>
      </c>
      <c r="AB125">
        <f>IF(AND($A125&lt;&gt;"",$B125&lt;&gt;"",$R125='تقرير فبراير'!$C$4,$P125='تقرير فبراير'!$C$6),COUNT(AB$4:AB124)+1,"")</f>
        <v/>
      </c>
      <c r="AC125">
        <f>IF(AND($A125&lt;&gt;"",$B125&lt;&gt;"",$R125='تقرير مارس'!$C$4,$P125='تقرير مارس'!$C$6),COUNT(AC$4:AC124)+1,"")</f>
        <v/>
      </c>
      <c r="AD125">
        <f>IF(AND($A125&lt;&gt;"",$B125&lt;&gt;"",$R125='تقرير أبريل'!$C$4,$P125='تقرير أبريل'!$C$6),COUNT(AD$4:AD124)+1,"")</f>
        <v/>
      </c>
      <c r="AE125">
        <f>IF(AND($A125&lt;&gt;"",$B125&lt;&gt;"",$R125='تقرير مايو'!$C$4,$P125='تقرير مايو'!$C$6),COUNT(AE$4:AE124)+1,"")</f>
        <v/>
      </c>
    </row>
    <row r="126">
      <c r="A126" s="16" t="n"/>
      <c r="B126" s="17" t="n"/>
      <c r="C126" s="17" t="n"/>
      <c r="D126" s="18" t="n"/>
      <c r="E126" s="17" t="n"/>
      <c r="F126" s="17" t="n"/>
      <c r="G126" s="19" t="n"/>
      <c r="H126" s="17" t="n"/>
      <c r="I126" s="17" t="n"/>
      <c r="J126" s="17" t="n"/>
      <c r="K126" s="20">
        <f>IF($B126="","",IFERROR(INDEX(الموظفات!$A$5:$A$304,MATCH($B126,الموظفات!$B$5:$B$304,0))&amp;"",""))</f>
        <v/>
      </c>
      <c r="L126" s="21">
        <f>IF($B126="","",IFERROR(INDEX(الموظفات!$C$5:$C$304,MATCH($B126,الموظفات!$B$5:$B$304,0))&amp;"",""))</f>
        <v/>
      </c>
      <c r="M126" s="20">
        <f>IF($B126="","",IFERROR(INDEX(الموظفات!$D$5:$D$304,MATCH($B126,الموظفات!$B$5:$B$304,0))&amp;"",""))</f>
        <v/>
      </c>
      <c r="N126" s="20">
        <f>IF($B126="","",IFERROR(INDEX(الموظفات!$E$5:$E$304,MATCH($B126,الموظفات!$B$5:$B$304,0))&amp;"",""))</f>
        <v/>
      </c>
      <c r="O126" s="21">
        <f>IF(C126="","",IFERROR(INDEX(الإعدادات!$D$7:$D$35,MATCH(C126,الإعدادات!$A$7:$A$35,0))&amp;"",""))</f>
        <v/>
      </c>
      <c r="P126" s="20">
        <f>IF(A126="","",INDEX(الإعدادات!$H$7:$H$18,MONTH(A126)))</f>
        <v/>
      </c>
      <c r="Q126" s="20">
        <f>IF(A126="","",INDEX(الإعدادات!$I$7:$I$18,MONTH(A126)))</f>
        <v/>
      </c>
      <c r="R126" s="20">
        <f>IF(A126="","",IF(MONTH(A126)&gt;=8,YEAR(A126)&amp;"-"&amp;(YEAR(A126)+1),(YEAR(A126)-1)&amp;"-"&amp;YEAR(A126)))</f>
        <v/>
      </c>
      <c r="S126" s="20">
        <f>IF(OR(A126="",B126=""),0,IF(AND(R126=التقارير!$C$4,OR(التقارير!$C$5="سنوي",AND(التقارير!$C$5="شهري",P126=التقارير!$C$6),AND(التقارير!$C$5="فصلي",Q126=التقارير!$C$7))),1,0))</f>
        <v/>
      </c>
      <c r="T126" s="20">
        <f>IF(S126=1,COUNTIF($S$5:S126,1),"")</f>
        <v/>
      </c>
      <c r="U126">
        <f>IF(AND($A126&lt;&gt;"",$B126&lt;&gt;"",$R126='تقرير الفصل الأول'!$C$4,$Q126='تقرير الفصل الأول'!$C$7),COUNT(U$4:U125)+1,"")</f>
        <v/>
      </c>
      <c r="V126">
        <f>IF(AND($A126&lt;&gt;"",$B126&lt;&gt;"",$R126='تقرير الفصل الثاني'!$C$4,$Q126='تقرير الفصل الثاني'!$C$7),COUNT(V$4:V125)+1,"")</f>
        <v/>
      </c>
      <c r="W126">
        <f>IF(AND($A126&lt;&gt;"",$B126&lt;&gt;"",$R126='تقرير سبتمبر'!$C$4,$P126='تقرير سبتمبر'!$C$6),COUNT(W$4:W125)+1,"")</f>
        <v/>
      </c>
      <c r="X126">
        <f>IF(AND($A126&lt;&gt;"",$B126&lt;&gt;"",$R126='تقرير أكتوبر'!$C$4,$P126='تقرير أكتوبر'!$C$6),COUNT(X$4:X125)+1,"")</f>
        <v/>
      </c>
      <c r="Y126">
        <f>IF(AND($A126&lt;&gt;"",$B126&lt;&gt;"",$R126='تقرير نوفمبر'!$C$4,$P126='تقرير نوفمبر'!$C$6),COUNT(Y$4:Y125)+1,"")</f>
        <v/>
      </c>
      <c r="Z126">
        <f>IF(AND($A126&lt;&gt;"",$B126&lt;&gt;"",$R126='تقرير ديسمبر'!$C$4,$P126='تقرير ديسمبر'!$C$6),COUNT(Z$4:Z125)+1,"")</f>
        <v/>
      </c>
      <c r="AA126">
        <f>IF(AND($A126&lt;&gt;"",$B126&lt;&gt;"",$R126='تقرير يناير'!$C$4,$P126='تقرير يناير'!$C$6),COUNT(AA$4:AA125)+1,"")</f>
        <v/>
      </c>
      <c r="AB126">
        <f>IF(AND($A126&lt;&gt;"",$B126&lt;&gt;"",$R126='تقرير فبراير'!$C$4,$P126='تقرير فبراير'!$C$6),COUNT(AB$4:AB125)+1,"")</f>
        <v/>
      </c>
      <c r="AC126">
        <f>IF(AND($A126&lt;&gt;"",$B126&lt;&gt;"",$R126='تقرير مارس'!$C$4,$P126='تقرير مارس'!$C$6),COUNT(AC$4:AC125)+1,"")</f>
        <v/>
      </c>
      <c r="AD126">
        <f>IF(AND($A126&lt;&gt;"",$B126&lt;&gt;"",$R126='تقرير أبريل'!$C$4,$P126='تقرير أبريل'!$C$6),COUNT(AD$4:AD125)+1,"")</f>
        <v/>
      </c>
      <c r="AE126">
        <f>IF(AND($A126&lt;&gt;"",$B126&lt;&gt;"",$R126='تقرير مايو'!$C$4,$P126='تقرير مايو'!$C$6),COUNT(AE$4:AE125)+1,"")</f>
        <v/>
      </c>
    </row>
    <row r="127">
      <c r="A127" s="16" t="n"/>
      <c r="B127" s="17" t="n"/>
      <c r="C127" s="17" t="n"/>
      <c r="D127" s="18" t="n"/>
      <c r="E127" s="17" t="n"/>
      <c r="F127" s="17" t="n"/>
      <c r="G127" s="19" t="n"/>
      <c r="H127" s="17" t="n"/>
      <c r="I127" s="17" t="n"/>
      <c r="J127" s="17" t="n"/>
      <c r="K127" s="20">
        <f>IF($B127="","",IFERROR(INDEX(الموظفات!$A$5:$A$304,MATCH($B127,الموظفات!$B$5:$B$304,0))&amp;"",""))</f>
        <v/>
      </c>
      <c r="L127" s="21">
        <f>IF($B127="","",IFERROR(INDEX(الموظفات!$C$5:$C$304,MATCH($B127,الموظفات!$B$5:$B$304,0))&amp;"",""))</f>
        <v/>
      </c>
      <c r="M127" s="20">
        <f>IF($B127="","",IFERROR(INDEX(الموظفات!$D$5:$D$304,MATCH($B127,الموظفات!$B$5:$B$304,0))&amp;"",""))</f>
        <v/>
      </c>
      <c r="N127" s="20">
        <f>IF($B127="","",IFERROR(INDEX(الموظفات!$E$5:$E$304,MATCH($B127,الموظفات!$B$5:$B$304,0))&amp;"",""))</f>
        <v/>
      </c>
      <c r="O127" s="21">
        <f>IF(C127="","",IFERROR(INDEX(الإعدادات!$D$7:$D$35,MATCH(C127,الإعدادات!$A$7:$A$35,0))&amp;"",""))</f>
        <v/>
      </c>
      <c r="P127" s="20">
        <f>IF(A127="","",INDEX(الإعدادات!$H$7:$H$18,MONTH(A127)))</f>
        <v/>
      </c>
      <c r="Q127" s="20">
        <f>IF(A127="","",INDEX(الإعدادات!$I$7:$I$18,MONTH(A127)))</f>
        <v/>
      </c>
      <c r="R127" s="20">
        <f>IF(A127="","",IF(MONTH(A127)&gt;=8,YEAR(A127)&amp;"-"&amp;(YEAR(A127)+1),(YEAR(A127)-1)&amp;"-"&amp;YEAR(A127)))</f>
        <v/>
      </c>
      <c r="S127" s="20">
        <f>IF(OR(A127="",B127=""),0,IF(AND(R127=التقارير!$C$4,OR(التقارير!$C$5="سنوي",AND(التقارير!$C$5="شهري",P127=التقارير!$C$6),AND(التقارير!$C$5="فصلي",Q127=التقارير!$C$7))),1,0))</f>
        <v/>
      </c>
      <c r="T127" s="20">
        <f>IF(S127=1,COUNTIF($S$5:S127,1),"")</f>
        <v/>
      </c>
      <c r="U127">
        <f>IF(AND($A127&lt;&gt;"",$B127&lt;&gt;"",$R127='تقرير الفصل الأول'!$C$4,$Q127='تقرير الفصل الأول'!$C$7),COUNT(U$4:U126)+1,"")</f>
        <v/>
      </c>
      <c r="V127">
        <f>IF(AND($A127&lt;&gt;"",$B127&lt;&gt;"",$R127='تقرير الفصل الثاني'!$C$4,$Q127='تقرير الفصل الثاني'!$C$7),COUNT(V$4:V126)+1,"")</f>
        <v/>
      </c>
      <c r="W127">
        <f>IF(AND($A127&lt;&gt;"",$B127&lt;&gt;"",$R127='تقرير سبتمبر'!$C$4,$P127='تقرير سبتمبر'!$C$6),COUNT(W$4:W126)+1,"")</f>
        <v/>
      </c>
      <c r="X127">
        <f>IF(AND($A127&lt;&gt;"",$B127&lt;&gt;"",$R127='تقرير أكتوبر'!$C$4,$P127='تقرير أكتوبر'!$C$6),COUNT(X$4:X126)+1,"")</f>
        <v/>
      </c>
      <c r="Y127">
        <f>IF(AND($A127&lt;&gt;"",$B127&lt;&gt;"",$R127='تقرير نوفمبر'!$C$4,$P127='تقرير نوفمبر'!$C$6),COUNT(Y$4:Y126)+1,"")</f>
        <v/>
      </c>
      <c r="Z127">
        <f>IF(AND($A127&lt;&gt;"",$B127&lt;&gt;"",$R127='تقرير ديسمبر'!$C$4,$P127='تقرير ديسمبر'!$C$6),COUNT(Z$4:Z126)+1,"")</f>
        <v/>
      </c>
      <c r="AA127">
        <f>IF(AND($A127&lt;&gt;"",$B127&lt;&gt;"",$R127='تقرير يناير'!$C$4,$P127='تقرير يناير'!$C$6),COUNT(AA$4:AA126)+1,"")</f>
        <v/>
      </c>
      <c r="AB127">
        <f>IF(AND($A127&lt;&gt;"",$B127&lt;&gt;"",$R127='تقرير فبراير'!$C$4,$P127='تقرير فبراير'!$C$6),COUNT(AB$4:AB126)+1,"")</f>
        <v/>
      </c>
      <c r="AC127">
        <f>IF(AND($A127&lt;&gt;"",$B127&lt;&gt;"",$R127='تقرير مارس'!$C$4,$P127='تقرير مارس'!$C$6),COUNT(AC$4:AC126)+1,"")</f>
        <v/>
      </c>
      <c r="AD127">
        <f>IF(AND($A127&lt;&gt;"",$B127&lt;&gt;"",$R127='تقرير أبريل'!$C$4,$P127='تقرير أبريل'!$C$6),COUNT(AD$4:AD126)+1,"")</f>
        <v/>
      </c>
      <c r="AE127">
        <f>IF(AND($A127&lt;&gt;"",$B127&lt;&gt;"",$R127='تقرير مايو'!$C$4,$P127='تقرير مايو'!$C$6),COUNT(AE$4:AE126)+1,"")</f>
        <v/>
      </c>
    </row>
    <row r="128">
      <c r="A128" s="16" t="n"/>
      <c r="B128" s="17" t="n"/>
      <c r="C128" s="17" t="n"/>
      <c r="D128" s="18" t="n"/>
      <c r="E128" s="17" t="n"/>
      <c r="F128" s="17" t="n"/>
      <c r="G128" s="19" t="n"/>
      <c r="H128" s="17" t="n"/>
      <c r="I128" s="17" t="n"/>
      <c r="J128" s="17" t="n"/>
      <c r="K128" s="20">
        <f>IF($B128="","",IFERROR(INDEX(الموظفات!$A$5:$A$304,MATCH($B128,الموظفات!$B$5:$B$304,0))&amp;"",""))</f>
        <v/>
      </c>
      <c r="L128" s="21">
        <f>IF($B128="","",IFERROR(INDEX(الموظفات!$C$5:$C$304,MATCH($B128,الموظفات!$B$5:$B$304,0))&amp;"",""))</f>
        <v/>
      </c>
      <c r="M128" s="20">
        <f>IF($B128="","",IFERROR(INDEX(الموظفات!$D$5:$D$304,MATCH($B128,الموظفات!$B$5:$B$304,0))&amp;"",""))</f>
        <v/>
      </c>
      <c r="N128" s="20">
        <f>IF($B128="","",IFERROR(INDEX(الموظفات!$E$5:$E$304,MATCH($B128,الموظفات!$B$5:$B$304,0))&amp;"",""))</f>
        <v/>
      </c>
      <c r="O128" s="21">
        <f>IF(C128="","",IFERROR(INDEX(الإعدادات!$D$7:$D$35,MATCH(C128,الإعدادات!$A$7:$A$35,0))&amp;"",""))</f>
        <v/>
      </c>
      <c r="P128" s="20">
        <f>IF(A128="","",INDEX(الإعدادات!$H$7:$H$18,MONTH(A128)))</f>
        <v/>
      </c>
      <c r="Q128" s="20">
        <f>IF(A128="","",INDEX(الإعدادات!$I$7:$I$18,MONTH(A128)))</f>
        <v/>
      </c>
      <c r="R128" s="20">
        <f>IF(A128="","",IF(MONTH(A128)&gt;=8,YEAR(A128)&amp;"-"&amp;(YEAR(A128)+1),(YEAR(A128)-1)&amp;"-"&amp;YEAR(A128)))</f>
        <v/>
      </c>
      <c r="S128" s="20">
        <f>IF(OR(A128="",B128=""),0,IF(AND(R128=التقارير!$C$4,OR(التقارير!$C$5="سنوي",AND(التقارير!$C$5="شهري",P128=التقارير!$C$6),AND(التقارير!$C$5="فصلي",Q128=التقارير!$C$7))),1,0))</f>
        <v/>
      </c>
      <c r="T128" s="20">
        <f>IF(S128=1,COUNTIF($S$5:S128,1),"")</f>
        <v/>
      </c>
      <c r="U128">
        <f>IF(AND($A128&lt;&gt;"",$B128&lt;&gt;"",$R128='تقرير الفصل الأول'!$C$4,$Q128='تقرير الفصل الأول'!$C$7),COUNT(U$4:U127)+1,"")</f>
        <v/>
      </c>
      <c r="V128">
        <f>IF(AND($A128&lt;&gt;"",$B128&lt;&gt;"",$R128='تقرير الفصل الثاني'!$C$4,$Q128='تقرير الفصل الثاني'!$C$7),COUNT(V$4:V127)+1,"")</f>
        <v/>
      </c>
      <c r="W128">
        <f>IF(AND($A128&lt;&gt;"",$B128&lt;&gt;"",$R128='تقرير سبتمبر'!$C$4,$P128='تقرير سبتمبر'!$C$6),COUNT(W$4:W127)+1,"")</f>
        <v/>
      </c>
      <c r="X128">
        <f>IF(AND($A128&lt;&gt;"",$B128&lt;&gt;"",$R128='تقرير أكتوبر'!$C$4,$P128='تقرير أكتوبر'!$C$6),COUNT(X$4:X127)+1,"")</f>
        <v/>
      </c>
      <c r="Y128">
        <f>IF(AND($A128&lt;&gt;"",$B128&lt;&gt;"",$R128='تقرير نوفمبر'!$C$4,$P128='تقرير نوفمبر'!$C$6),COUNT(Y$4:Y127)+1,"")</f>
        <v/>
      </c>
      <c r="Z128">
        <f>IF(AND($A128&lt;&gt;"",$B128&lt;&gt;"",$R128='تقرير ديسمبر'!$C$4,$P128='تقرير ديسمبر'!$C$6),COUNT(Z$4:Z127)+1,"")</f>
        <v/>
      </c>
      <c r="AA128">
        <f>IF(AND($A128&lt;&gt;"",$B128&lt;&gt;"",$R128='تقرير يناير'!$C$4,$P128='تقرير يناير'!$C$6),COUNT(AA$4:AA127)+1,"")</f>
        <v/>
      </c>
      <c r="AB128">
        <f>IF(AND($A128&lt;&gt;"",$B128&lt;&gt;"",$R128='تقرير فبراير'!$C$4,$P128='تقرير فبراير'!$C$6),COUNT(AB$4:AB127)+1,"")</f>
        <v/>
      </c>
      <c r="AC128">
        <f>IF(AND($A128&lt;&gt;"",$B128&lt;&gt;"",$R128='تقرير مارس'!$C$4,$P128='تقرير مارس'!$C$6),COUNT(AC$4:AC127)+1,"")</f>
        <v/>
      </c>
      <c r="AD128">
        <f>IF(AND($A128&lt;&gt;"",$B128&lt;&gt;"",$R128='تقرير أبريل'!$C$4,$P128='تقرير أبريل'!$C$6),COUNT(AD$4:AD127)+1,"")</f>
        <v/>
      </c>
      <c r="AE128">
        <f>IF(AND($A128&lt;&gt;"",$B128&lt;&gt;"",$R128='تقرير مايو'!$C$4,$P128='تقرير مايو'!$C$6),COUNT(AE$4:AE127)+1,"")</f>
        <v/>
      </c>
    </row>
    <row r="129">
      <c r="A129" s="16" t="n"/>
      <c r="B129" s="17" t="n"/>
      <c r="C129" s="17" t="n"/>
      <c r="D129" s="18" t="n"/>
      <c r="E129" s="17" t="n"/>
      <c r="F129" s="17" t="n"/>
      <c r="G129" s="19" t="n"/>
      <c r="H129" s="17" t="n"/>
      <c r="I129" s="17" t="n"/>
      <c r="J129" s="17" t="n"/>
      <c r="K129" s="20">
        <f>IF($B129="","",IFERROR(INDEX(الموظفات!$A$5:$A$304,MATCH($B129,الموظفات!$B$5:$B$304,0))&amp;"",""))</f>
        <v/>
      </c>
      <c r="L129" s="21">
        <f>IF($B129="","",IFERROR(INDEX(الموظفات!$C$5:$C$304,MATCH($B129,الموظفات!$B$5:$B$304,0))&amp;"",""))</f>
        <v/>
      </c>
      <c r="M129" s="20">
        <f>IF($B129="","",IFERROR(INDEX(الموظفات!$D$5:$D$304,MATCH($B129,الموظفات!$B$5:$B$304,0))&amp;"",""))</f>
        <v/>
      </c>
      <c r="N129" s="20">
        <f>IF($B129="","",IFERROR(INDEX(الموظفات!$E$5:$E$304,MATCH($B129,الموظفات!$B$5:$B$304,0))&amp;"",""))</f>
        <v/>
      </c>
      <c r="O129" s="21">
        <f>IF(C129="","",IFERROR(INDEX(الإعدادات!$D$7:$D$35,MATCH(C129,الإعدادات!$A$7:$A$35,0))&amp;"",""))</f>
        <v/>
      </c>
      <c r="P129" s="20">
        <f>IF(A129="","",INDEX(الإعدادات!$H$7:$H$18,MONTH(A129)))</f>
        <v/>
      </c>
      <c r="Q129" s="20">
        <f>IF(A129="","",INDEX(الإعدادات!$I$7:$I$18,MONTH(A129)))</f>
        <v/>
      </c>
      <c r="R129" s="20">
        <f>IF(A129="","",IF(MONTH(A129)&gt;=8,YEAR(A129)&amp;"-"&amp;(YEAR(A129)+1),(YEAR(A129)-1)&amp;"-"&amp;YEAR(A129)))</f>
        <v/>
      </c>
      <c r="S129" s="20">
        <f>IF(OR(A129="",B129=""),0,IF(AND(R129=التقارير!$C$4,OR(التقارير!$C$5="سنوي",AND(التقارير!$C$5="شهري",P129=التقارير!$C$6),AND(التقارير!$C$5="فصلي",Q129=التقارير!$C$7))),1,0))</f>
        <v/>
      </c>
      <c r="T129" s="20">
        <f>IF(S129=1,COUNTIF($S$5:S129,1),"")</f>
        <v/>
      </c>
      <c r="U129">
        <f>IF(AND($A129&lt;&gt;"",$B129&lt;&gt;"",$R129='تقرير الفصل الأول'!$C$4,$Q129='تقرير الفصل الأول'!$C$7),COUNT(U$4:U128)+1,"")</f>
        <v/>
      </c>
      <c r="V129">
        <f>IF(AND($A129&lt;&gt;"",$B129&lt;&gt;"",$R129='تقرير الفصل الثاني'!$C$4,$Q129='تقرير الفصل الثاني'!$C$7),COUNT(V$4:V128)+1,"")</f>
        <v/>
      </c>
      <c r="W129">
        <f>IF(AND($A129&lt;&gt;"",$B129&lt;&gt;"",$R129='تقرير سبتمبر'!$C$4,$P129='تقرير سبتمبر'!$C$6),COUNT(W$4:W128)+1,"")</f>
        <v/>
      </c>
      <c r="X129">
        <f>IF(AND($A129&lt;&gt;"",$B129&lt;&gt;"",$R129='تقرير أكتوبر'!$C$4,$P129='تقرير أكتوبر'!$C$6),COUNT(X$4:X128)+1,"")</f>
        <v/>
      </c>
      <c r="Y129">
        <f>IF(AND($A129&lt;&gt;"",$B129&lt;&gt;"",$R129='تقرير نوفمبر'!$C$4,$P129='تقرير نوفمبر'!$C$6),COUNT(Y$4:Y128)+1,"")</f>
        <v/>
      </c>
      <c r="Z129">
        <f>IF(AND($A129&lt;&gt;"",$B129&lt;&gt;"",$R129='تقرير ديسمبر'!$C$4,$P129='تقرير ديسمبر'!$C$6),COUNT(Z$4:Z128)+1,"")</f>
        <v/>
      </c>
      <c r="AA129">
        <f>IF(AND($A129&lt;&gt;"",$B129&lt;&gt;"",$R129='تقرير يناير'!$C$4,$P129='تقرير يناير'!$C$6),COUNT(AA$4:AA128)+1,"")</f>
        <v/>
      </c>
      <c r="AB129">
        <f>IF(AND($A129&lt;&gt;"",$B129&lt;&gt;"",$R129='تقرير فبراير'!$C$4,$P129='تقرير فبراير'!$C$6),COUNT(AB$4:AB128)+1,"")</f>
        <v/>
      </c>
      <c r="AC129">
        <f>IF(AND($A129&lt;&gt;"",$B129&lt;&gt;"",$R129='تقرير مارس'!$C$4,$P129='تقرير مارس'!$C$6),COUNT(AC$4:AC128)+1,"")</f>
        <v/>
      </c>
      <c r="AD129">
        <f>IF(AND($A129&lt;&gt;"",$B129&lt;&gt;"",$R129='تقرير أبريل'!$C$4,$P129='تقرير أبريل'!$C$6),COUNT(AD$4:AD128)+1,"")</f>
        <v/>
      </c>
      <c r="AE129">
        <f>IF(AND($A129&lt;&gt;"",$B129&lt;&gt;"",$R129='تقرير مايو'!$C$4,$P129='تقرير مايو'!$C$6),COUNT(AE$4:AE128)+1,"")</f>
        <v/>
      </c>
    </row>
    <row r="130">
      <c r="A130" s="16" t="n"/>
      <c r="B130" s="17" t="n"/>
      <c r="C130" s="17" t="n"/>
      <c r="D130" s="18" t="n"/>
      <c r="E130" s="17" t="n"/>
      <c r="F130" s="17" t="n"/>
      <c r="G130" s="19" t="n"/>
      <c r="H130" s="17" t="n"/>
      <c r="I130" s="17" t="n"/>
      <c r="J130" s="17" t="n"/>
      <c r="K130" s="20">
        <f>IF($B130="","",IFERROR(INDEX(الموظفات!$A$5:$A$304,MATCH($B130,الموظفات!$B$5:$B$304,0))&amp;"",""))</f>
        <v/>
      </c>
      <c r="L130" s="21">
        <f>IF($B130="","",IFERROR(INDEX(الموظفات!$C$5:$C$304,MATCH($B130,الموظفات!$B$5:$B$304,0))&amp;"",""))</f>
        <v/>
      </c>
      <c r="M130" s="20">
        <f>IF($B130="","",IFERROR(INDEX(الموظفات!$D$5:$D$304,MATCH($B130,الموظفات!$B$5:$B$304,0))&amp;"",""))</f>
        <v/>
      </c>
      <c r="N130" s="20">
        <f>IF($B130="","",IFERROR(INDEX(الموظفات!$E$5:$E$304,MATCH($B130,الموظفات!$B$5:$B$304,0))&amp;"",""))</f>
        <v/>
      </c>
      <c r="O130" s="21">
        <f>IF(C130="","",IFERROR(INDEX(الإعدادات!$D$7:$D$35,MATCH(C130,الإعدادات!$A$7:$A$35,0))&amp;"",""))</f>
        <v/>
      </c>
      <c r="P130" s="20">
        <f>IF(A130="","",INDEX(الإعدادات!$H$7:$H$18,MONTH(A130)))</f>
        <v/>
      </c>
      <c r="Q130" s="20">
        <f>IF(A130="","",INDEX(الإعدادات!$I$7:$I$18,MONTH(A130)))</f>
        <v/>
      </c>
      <c r="R130" s="20">
        <f>IF(A130="","",IF(MONTH(A130)&gt;=8,YEAR(A130)&amp;"-"&amp;(YEAR(A130)+1),(YEAR(A130)-1)&amp;"-"&amp;YEAR(A130)))</f>
        <v/>
      </c>
      <c r="S130" s="20">
        <f>IF(OR(A130="",B130=""),0,IF(AND(R130=التقارير!$C$4,OR(التقارير!$C$5="سنوي",AND(التقارير!$C$5="شهري",P130=التقارير!$C$6),AND(التقارير!$C$5="فصلي",Q130=التقارير!$C$7))),1,0))</f>
        <v/>
      </c>
      <c r="T130" s="20">
        <f>IF(S130=1,COUNTIF($S$5:S130,1),"")</f>
        <v/>
      </c>
      <c r="U130">
        <f>IF(AND($A130&lt;&gt;"",$B130&lt;&gt;"",$R130='تقرير الفصل الأول'!$C$4,$Q130='تقرير الفصل الأول'!$C$7),COUNT(U$4:U129)+1,"")</f>
        <v/>
      </c>
      <c r="V130">
        <f>IF(AND($A130&lt;&gt;"",$B130&lt;&gt;"",$R130='تقرير الفصل الثاني'!$C$4,$Q130='تقرير الفصل الثاني'!$C$7),COUNT(V$4:V129)+1,"")</f>
        <v/>
      </c>
      <c r="W130">
        <f>IF(AND($A130&lt;&gt;"",$B130&lt;&gt;"",$R130='تقرير سبتمبر'!$C$4,$P130='تقرير سبتمبر'!$C$6),COUNT(W$4:W129)+1,"")</f>
        <v/>
      </c>
      <c r="X130">
        <f>IF(AND($A130&lt;&gt;"",$B130&lt;&gt;"",$R130='تقرير أكتوبر'!$C$4,$P130='تقرير أكتوبر'!$C$6),COUNT(X$4:X129)+1,"")</f>
        <v/>
      </c>
      <c r="Y130">
        <f>IF(AND($A130&lt;&gt;"",$B130&lt;&gt;"",$R130='تقرير نوفمبر'!$C$4,$P130='تقرير نوفمبر'!$C$6),COUNT(Y$4:Y129)+1,"")</f>
        <v/>
      </c>
      <c r="Z130">
        <f>IF(AND($A130&lt;&gt;"",$B130&lt;&gt;"",$R130='تقرير ديسمبر'!$C$4,$P130='تقرير ديسمبر'!$C$6),COUNT(Z$4:Z129)+1,"")</f>
        <v/>
      </c>
      <c r="AA130">
        <f>IF(AND($A130&lt;&gt;"",$B130&lt;&gt;"",$R130='تقرير يناير'!$C$4,$P130='تقرير يناير'!$C$6),COUNT(AA$4:AA129)+1,"")</f>
        <v/>
      </c>
      <c r="AB130">
        <f>IF(AND($A130&lt;&gt;"",$B130&lt;&gt;"",$R130='تقرير فبراير'!$C$4,$P130='تقرير فبراير'!$C$6),COUNT(AB$4:AB129)+1,"")</f>
        <v/>
      </c>
      <c r="AC130">
        <f>IF(AND($A130&lt;&gt;"",$B130&lt;&gt;"",$R130='تقرير مارس'!$C$4,$P130='تقرير مارس'!$C$6),COUNT(AC$4:AC129)+1,"")</f>
        <v/>
      </c>
      <c r="AD130">
        <f>IF(AND($A130&lt;&gt;"",$B130&lt;&gt;"",$R130='تقرير أبريل'!$C$4,$P130='تقرير أبريل'!$C$6),COUNT(AD$4:AD129)+1,"")</f>
        <v/>
      </c>
      <c r="AE130">
        <f>IF(AND($A130&lt;&gt;"",$B130&lt;&gt;"",$R130='تقرير مايو'!$C$4,$P130='تقرير مايو'!$C$6),COUNT(AE$4:AE129)+1,"")</f>
        <v/>
      </c>
    </row>
    <row r="131">
      <c r="A131" s="16" t="n"/>
      <c r="B131" s="17" t="n"/>
      <c r="C131" s="17" t="n"/>
      <c r="D131" s="18" t="n"/>
      <c r="E131" s="17" t="n"/>
      <c r="F131" s="17" t="n"/>
      <c r="G131" s="19" t="n"/>
      <c r="H131" s="17" t="n"/>
      <c r="I131" s="17" t="n"/>
      <c r="J131" s="17" t="n"/>
      <c r="K131" s="20">
        <f>IF($B131="","",IFERROR(INDEX(الموظفات!$A$5:$A$304,MATCH($B131,الموظفات!$B$5:$B$304,0))&amp;"",""))</f>
        <v/>
      </c>
      <c r="L131" s="21">
        <f>IF($B131="","",IFERROR(INDEX(الموظفات!$C$5:$C$304,MATCH($B131,الموظفات!$B$5:$B$304,0))&amp;"",""))</f>
        <v/>
      </c>
      <c r="M131" s="20">
        <f>IF($B131="","",IFERROR(INDEX(الموظفات!$D$5:$D$304,MATCH($B131,الموظفات!$B$5:$B$304,0))&amp;"",""))</f>
        <v/>
      </c>
      <c r="N131" s="20">
        <f>IF($B131="","",IFERROR(INDEX(الموظفات!$E$5:$E$304,MATCH($B131,الموظفات!$B$5:$B$304,0))&amp;"",""))</f>
        <v/>
      </c>
      <c r="O131" s="21">
        <f>IF(C131="","",IFERROR(INDEX(الإعدادات!$D$7:$D$35,MATCH(C131,الإعدادات!$A$7:$A$35,0))&amp;"",""))</f>
        <v/>
      </c>
      <c r="P131" s="20">
        <f>IF(A131="","",INDEX(الإعدادات!$H$7:$H$18,MONTH(A131)))</f>
        <v/>
      </c>
      <c r="Q131" s="20">
        <f>IF(A131="","",INDEX(الإعدادات!$I$7:$I$18,MONTH(A131)))</f>
        <v/>
      </c>
      <c r="R131" s="20">
        <f>IF(A131="","",IF(MONTH(A131)&gt;=8,YEAR(A131)&amp;"-"&amp;(YEAR(A131)+1),(YEAR(A131)-1)&amp;"-"&amp;YEAR(A131)))</f>
        <v/>
      </c>
      <c r="S131" s="20">
        <f>IF(OR(A131="",B131=""),0,IF(AND(R131=التقارير!$C$4,OR(التقارير!$C$5="سنوي",AND(التقارير!$C$5="شهري",P131=التقارير!$C$6),AND(التقارير!$C$5="فصلي",Q131=التقارير!$C$7))),1,0))</f>
        <v/>
      </c>
      <c r="T131" s="20">
        <f>IF(S131=1,COUNTIF($S$5:S131,1),"")</f>
        <v/>
      </c>
      <c r="U131">
        <f>IF(AND($A131&lt;&gt;"",$B131&lt;&gt;"",$R131='تقرير الفصل الأول'!$C$4,$Q131='تقرير الفصل الأول'!$C$7),COUNT(U$4:U130)+1,"")</f>
        <v/>
      </c>
      <c r="V131">
        <f>IF(AND($A131&lt;&gt;"",$B131&lt;&gt;"",$R131='تقرير الفصل الثاني'!$C$4,$Q131='تقرير الفصل الثاني'!$C$7),COUNT(V$4:V130)+1,"")</f>
        <v/>
      </c>
      <c r="W131">
        <f>IF(AND($A131&lt;&gt;"",$B131&lt;&gt;"",$R131='تقرير سبتمبر'!$C$4,$P131='تقرير سبتمبر'!$C$6),COUNT(W$4:W130)+1,"")</f>
        <v/>
      </c>
      <c r="X131">
        <f>IF(AND($A131&lt;&gt;"",$B131&lt;&gt;"",$R131='تقرير أكتوبر'!$C$4,$P131='تقرير أكتوبر'!$C$6),COUNT(X$4:X130)+1,"")</f>
        <v/>
      </c>
      <c r="Y131">
        <f>IF(AND($A131&lt;&gt;"",$B131&lt;&gt;"",$R131='تقرير نوفمبر'!$C$4,$P131='تقرير نوفمبر'!$C$6),COUNT(Y$4:Y130)+1,"")</f>
        <v/>
      </c>
      <c r="Z131">
        <f>IF(AND($A131&lt;&gt;"",$B131&lt;&gt;"",$R131='تقرير ديسمبر'!$C$4,$P131='تقرير ديسمبر'!$C$6),COUNT(Z$4:Z130)+1,"")</f>
        <v/>
      </c>
      <c r="AA131">
        <f>IF(AND($A131&lt;&gt;"",$B131&lt;&gt;"",$R131='تقرير يناير'!$C$4,$P131='تقرير يناير'!$C$6),COUNT(AA$4:AA130)+1,"")</f>
        <v/>
      </c>
      <c r="AB131">
        <f>IF(AND($A131&lt;&gt;"",$B131&lt;&gt;"",$R131='تقرير فبراير'!$C$4,$P131='تقرير فبراير'!$C$6),COUNT(AB$4:AB130)+1,"")</f>
        <v/>
      </c>
      <c r="AC131">
        <f>IF(AND($A131&lt;&gt;"",$B131&lt;&gt;"",$R131='تقرير مارس'!$C$4,$P131='تقرير مارس'!$C$6),COUNT(AC$4:AC130)+1,"")</f>
        <v/>
      </c>
      <c r="AD131">
        <f>IF(AND($A131&lt;&gt;"",$B131&lt;&gt;"",$R131='تقرير أبريل'!$C$4,$P131='تقرير أبريل'!$C$6),COUNT(AD$4:AD130)+1,"")</f>
        <v/>
      </c>
      <c r="AE131">
        <f>IF(AND($A131&lt;&gt;"",$B131&lt;&gt;"",$R131='تقرير مايو'!$C$4,$P131='تقرير مايو'!$C$6),COUNT(AE$4:AE130)+1,"")</f>
        <v/>
      </c>
    </row>
    <row r="132">
      <c r="A132" s="16" t="n"/>
      <c r="B132" s="17" t="n"/>
      <c r="C132" s="17" t="n"/>
      <c r="D132" s="18" t="n"/>
      <c r="E132" s="17" t="n"/>
      <c r="F132" s="17" t="n"/>
      <c r="G132" s="19" t="n"/>
      <c r="H132" s="17" t="n"/>
      <c r="I132" s="17" t="n"/>
      <c r="J132" s="17" t="n"/>
      <c r="K132" s="20">
        <f>IF($B132="","",IFERROR(INDEX(الموظفات!$A$5:$A$304,MATCH($B132,الموظفات!$B$5:$B$304,0))&amp;"",""))</f>
        <v/>
      </c>
      <c r="L132" s="21">
        <f>IF($B132="","",IFERROR(INDEX(الموظفات!$C$5:$C$304,MATCH($B132,الموظفات!$B$5:$B$304,0))&amp;"",""))</f>
        <v/>
      </c>
      <c r="M132" s="20">
        <f>IF($B132="","",IFERROR(INDEX(الموظفات!$D$5:$D$304,MATCH($B132,الموظفات!$B$5:$B$304,0))&amp;"",""))</f>
        <v/>
      </c>
      <c r="N132" s="20">
        <f>IF($B132="","",IFERROR(INDEX(الموظفات!$E$5:$E$304,MATCH($B132,الموظفات!$B$5:$B$304,0))&amp;"",""))</f>
        <v/>
      </c>
      <c r="O132" s="21">
        <f>IF(C132="","",IFERROR(INDEX(الإعدادات!$D$7:$D$35,MATCH(C132,الإعدادات!$A$7:$A$35,0))&amp;"",""))</f>
        <v/>
      </c>
      <c r="P132" s="20">
        <f>IF(A132="","",INDEX(الإعدادات!$H$7:$H$18,MONTH(A132)))</f>
        <v/>
      </c>
      <c r="Q132" s="20">
        <f>IF(A132="","",INDEX(الإعدادات!$I$7:$I$18,MONTH(A132)))</f>
        <v/>
      </c>
      <c r="R132" s="20">
        <f>IF(A132="","",IF(MONTH(A132)&gt;=8,YEAR(A132)&amp;"-"&amp;(YEAR(A132)+1),(YEAR(A132)-1)&amp;"-"&amp;YEAR(A132)))</f>
        <v/>
      </c>
      <c r="S132" s="20">
        <f>IF(OR(A132="",B132=""),0,IF(AND(R132=التقارير!$C$4,OR(التقارير!$C$5="سنوي",AND(التقارير!$C$5="شهري",P132=التقارير!$C$6),AND(التقارير!$C$5="فصلي",Q132=التقارير!$C$7))),1,0))</f>
        <v/>
      </c>
      <c r="T132" s="20">
        <f>IF(S132=1,COUNTIF($S$5:S132,1),"")</f>
        <v/>
      </c>
      <c r="U132">
        <f>IF(AND($A132&lt;&gt;"",$B132&lt;&gt;"",$R132='تقرير الفصل الأول'!$C$4,$Q132='تقرير الفصل الأول'!$C$7),COUNT(U$4:U131)+1,"")</f>
        <v/>
      </c>
      <c r="V132">
        <f>IF(AND($A132&lt;&gt;"",$B132&lt;&gt;"",$R132='تقرير الفصل الثاني'!$C$4,$Q132='تقرير الفصل الثاني'!$C$7),COUNT(V$4:V131)+1,"")</f>
        <v/>
      </c>
      <c r="W132">
        <f>IF(AND($A132&lt;&gt;"",$B132&lt;&gt;"",$R132='تقرير سبتمبر'!$C$4,$P132='تقرير سبتمبر'!$C$6),COUNT(W$4:W131)+1,"")</f>
        <v/>
      </c>
      <c r="X132">
        <f>IF(AND($A132&lt;&gt;"",$B132&lt;&gt;"",$R132='تقرير أكتوبر'!$C$4,$P132='تقرير أكتوبر'!$C$6),COUNT(X$4:X131)+1,"")</f>
        <v/>
      </c>
      <c r="Y132">
        <f>IF(AND($A132&lt;&gt;"",$B132&lt;&gt;"",$R132='تقرير نوفمبر'!$C$4,$P132='تقرير نوفمبر'!$C$6),COUNT(Y$4:Y131)+1,"")</f>
        <v/>
      </c>
      <c r="Z132">
        <f>IF(AND($A132&lt;&gt;"",$B132&lt;&gt;"",$R132='تقرير ديسمبر'!$C$4,$P132='تقرير ديسمبر'!$C$6),COUNT(Z$4:Z131)+1,"")</f>
        <v/>
      </c>
      <c r="AA132">
        <f>IF(AND($A132&lt;&gt;"",$B132&lt;&gt;"",$R132='تقرير يناير'!$C$4,$P132='تقرير يناير'!$C$6),COUNT(AA$4:AA131)+1,"")</f>
        <v/>
      </c>
      <c r="AB132">
        <f>IF(AND($A132&lt;&gt;"",$B132&lt;&gt;"",$R132='تقرير فبراير'!$C$4,$P132='تقرير فبراير'!$C$6),COUNT(AB$4:AB131)+1,"")</f>
        <v/>
      </c>
      <c r="AC132">
        <f>IF(AND($A132&lt;&gt;"",$B132&lt;&gt;"",$R132='تقرير مارس'!$C$4,$P132='تقرير مارس'!$C$6),COUNT(AC$4:AC131)+1,"")</f>
        <v/>
      </c>
      <c r="AD132">
        <f>IF(AND($A132&lt;&gt;"",$B132&lt;&gt;"",$R132='تقرير أبريل'!$C$4,$P132='تقرير أبريل'!$C$6),COUNT(AD$4:AD131)+1,"")</f>
        <v/>
      </c>
      <c r="AE132">
        <f>IF(AND($A132&lt;&gt;"",$B132&lt;&gt;"",$R132='تقرير مايو'!$C$4,$P132='تقرير مايو'!$C$6),COUNT(AE$4:AE131)+1,"")</f>
        <v/>
      </c>
    </row>
    <row r="133">
      <c r="A133" s="16" t="n"/>
      <c r="B133" s="17" t="n"/>
      <c r="C133" s="17" t="n"/>
      <c r="D133" s="18" t="n"/>
      <c r="E133" s="17" t="n"/>
      <c r="F133" s="17" t="n"/>
      <c r="G133" s="19" t="n"/>
      <c r="H133" s="17" t="n"/>
      <c r="I133" s="17" t="n"/>
      <c r="J133" s="17" t="n"/>
      <c r="K133" s="20">
        <f>IF($B133="","",IFERROR(INDEX(الموظفات!$A$5:$A$304,MATCH($B133,الموظفات!$B$5:$B$304,0))&amp;"",""))</f>
        <v/>
      </c>
      <c r="L133" s="21">
        <f>IF($B133="","",IFERROR(INDEX(الموظفات!$C$5:$C$304,MATCH($B133,الموظفات!$B$5:$B$304,0))&amp;"",""))</f>
        <v/>
      </c>
      <c r="M133" s="20">
        <f>IF($B133="","",IFERROR(INDEX(الموظفات!$D$5:$D$304,MATCH($B133,الموظفات!$B$5:$B$304,0))&amp;"",""))</f>
        <v/>
      </c>
      <c r="N133" s="20">
        <f>IF($B133="","",IFERROR(INDEX(الموظفات!$E$5:$E$304,MATCH($B133,الموظفات!$B$5:$B$304,0))&amp;"",""))</f>
        <v/>
      </c>
      <c r="O133" s="21">
        <f>IF(C133="","",IFERROR(INDEX(الإعدادات!$D$7:$D$35,MATCH(C133,الإعدادات!$A$7:$A$35,0))&amp;"",""))</f>
        <v/>
      </c>
      <c r="P133" s="20">
        <f>IF(A133="","",INDEX(الإعدادات!$H$7:$H$18,MONTH(A133)))</f>
        <v/>
      </c>
      <c r="Q133" s="20">
        <f>IF(A133="","",INDEX(الإعدادات!$I$7:$I$18,MONTH(A133)))</f>
        <v/>
      </c>
      <c r="R133" s="20">
        <f>IF(A133="","",IF(MONTH(A133)&gt;=8,YEAR(A133)&amp;"-"&amp;(YEAR(A133)+1),(YEAR(A133)-1)&amp;"-"&amp;YEAR(A133)))</f>
        <v/>
      </c>
      <c r="S133" s="20">
        <f>IF(OR(A133="",B133=""),0,IF(AND(R133=التقارير!$C$4,OR(التقارير!$C$5="سنوي",AND(التقارير!$C$5="شهري",P133=التقارير!$C$6),AND(التقارير!$C$5="فصلي",Q133=التقارير!$C$7))),1,0))</f>
        <v/>
      </c>
      <c r="T133" s="20">
        <f>IF(S133=1,COUNTIF($S$5:S133,1),"")</f>
        <v/>
      </c>
      <c r="U133">
        <f>IF(AND($A133&lt;&gt;"",$B133&lt;&gt;"",$R133='تقرير الفصل الأول'!$C$4,$Q133='تقرير الفصل الأول'!$C$7),COUNT(U$4:U132)+1,"")</f>
        <v/>
      </c>
      <c r="V133">
        <f>IF(AND($A133&lt;&gt;"",$B133&lt;&gt;"",$R133='تقرير الفصل الثاني'!$C$4,$Q133='تقرير الفصل الثاني'!$C$7),COUNT(V$4:V132)+1,"")</f>
        <v/>
      </c>
      <c r="W133">
        <f>IF(AND($A133&lt;&gt;"",$B133&lt;&gt;"",$R133='تقرير سبتمبر'!$C$4,$P133='تقرير سبتمبر'!$C$6),COUNT(W$4:W132)+1,"")</f>
        <v/>
      </c>
      <c r="X133">
        <f>IF(AND($A133&lt;&gt;"",$B133&lt;&gt;"",$R133='تقرير أكتوبر'!$C$4,$P133='تقرير أكتوبر'!$C$6),COUNT(X$4:X132)+1,"")</f>
        <v/>
      </c>
      <c r="Y133">
        <f>IF(AND($A133&lt;&gt;"",$B133&lt;&gt;"",$R133='تقرير نوفمبر'!$C$4,$P133='تقرير نوفمبر'!$C$6),COUNT(Y$4:Y132)+1,"")</f>
        <v/>
      </c>
      <c r="Z133">
        <f>IF(AND($A133&lt;&gt;"",$B133&lt;&gt;"",$R133='تقرير ديسمبر'!$C$4,$P133='تقرير ديسمبر'!$C$6),COUNT(Z$4:Z132)+1,"")</f>
        <v/>
      </c>
      <c r="AA133">
        <f>IF(AND($A133&lt;&gt;"",$B133&lt;&gt;"",$R133='تقرير يناير'!$C$4,$P133='تقرير يناير'!$C$6),COUNT(AA$4:AA132)+1,"")</f>
        <v/>
      </c>
      <c r="AB133">
        <f>IF(AND($A133&lt;&gt;"",$B133&lt;&gt;"",$R133='تقرير فبراير'!$C$4,$P133='تقرير فبراير'!$C$6),COUNT(AB$4:AB132)+1,"")</f>
        <v/>
      </c>
      <c r="AC133">
        <f>IF(AND($A133&lt;&gt;"",$B133&lt;&gt;"",$R133='تقرير مارس'!$C$4,$P133='تقرير مارس'!$C$6),COUNT(AC$4:AC132)+1,"")</f>
        <v/>
      </c>
      <c r="AD133">
        <f>IF(AND($A133&lt;&gt;"",$B133&lt;&gt;"",$R133='تقرير أبريل'!$C$4,$P133='تقرير أبريل'!$C$6),COUNT(AD$4:AD132)+1,"")</f>
        <v/>
      </c>
      <c r="AE133">
        <f>IF(AND($A133&lt;&gt;"",$B133&lt;&gt;"",$R133='تقرير مايو'!$C$4,$P133='تقرير مايو'!$C$6),COUNT(AE$4:AE132)+1,"")</f>
        <v/>
      </c>
    </row>
    <row r="134">
      <c r="A134" s="16" t="n"/>
      <c r="B134" s="17" t="n"/>
      <c r="C134" s="17" t="n"/>
      <c r="D134" s="18" t="n"/>
      <c r="E134" s="17" t="n"/>
      <c r="F134" s="17" t="n"/>
      <c r="G134" s="19" t="n"/>
      <c r="H134" s="17" t="n"/>
      <c r="I134" s="17" t="n"/>
      <c r="J134" s="17" t="n"/>
      <c r="K134" s="20">
        <f>IF($B134="","",IFERROR(INDEX(الموظفات!$A$5:$A$304,MATCH($B134,الموظفات!$B$5:$B$304,0))&amp;"",""))</f>
        <v/>
      </c>
      <c r="L134" s="21">
        <f>IF($B134="","",IFERROR(INDEX(الموظفات!$C$5:$C$304,MATCH($B134,الموظفات!$B$5:$B$304,0))&amp;"",""))</f>
        <v/>
      </c>
      <c r="M134" s="20">
        <f>IF($B134="","",IFERROR(INDEX(الموظفات!$D$5:$D$304,MATCH($B134,الموظفات!$B$5:$B$304,0))&amp;"",""))</f>
        <v/>
      </c>
      <c r="N134" s="20">
        <f>IF($B134="","",IFERROR(INDEX(الموظفات!$E$5:$E$304,MATCH($B134,الموظفات!$B$5:$B$304,0))&amp;"",""))</f>
        <v/>
      </c>
      <c r="O134" s="21">
        <f>IF(C134="","",IFERROR(INDEX(الإعدادات!$D$7:$D$35,MATCH(C134,الإعدادات!$A$7:$A$35,0))&amp;"",""))</f>
        <v/>
      </c>
      <c r="P134" s="20">
        <f>IF(A134="","",INDEX(الإعدادات!$H$7:$H$18,MONTH(A134)))</f>
        <v/>
      </c>
      <c r="Q134" s="20">
        <f>IF(A134="","",INDEX(الإعدادات!$I$7:$I$18,MONTH(A134)))</f>
        <v/>
      </c>
      <c r="R134" s="20">
        <f>IF(A134="","",IF(MONTH(A134)&gt;=8,YEAR(A134)&amp;"-"&amp;(YEAR(A134)+1),(YEAR(A134)-1)&amp;"-"&amp;YEAR(A134)))</f>
        <v/>
      </c>
      <c r="S134" s="20">
        <f>IF(OR(A134="",B134=""),0,IF(AND(R134=التقارير!$C$4,OR(التقارير!$C$5="سنوي",AND(التقارير!$C$5="شهري",P134=التقارير!$C$6),AND(التقارير!$C$5="فصلي",Q134=التقارير!$C$7))),1,0))</f>
        <v/>
      </c>
      <c r="T134" s="20">
        <f>IF(S134=1,COUNTIF($S$5:S134,1),"")</f>
        <v/>
      </c>
      <c r="U134">
        <f>IF(AND($A134&lt;&gt;"",$B134&lt;&gt;"",$R134='تقرير الفصل الأول'!$C$4,$Q134='تقرير الفصل الأول'!$C$7),COUNT(U$4:U133)+1,"")</f>
        <v/>
      </c>
      <c r="V134">
        <f>IF(AND($A134&lt;&gt;"",$B134&lt;&gt;"",$R134='تقرير الفصل الثاني'!$C$4,$Q134='تقرير الفصل الثاني'!$C$7),COUNT(V$4:V133)+1,"")</f>
        <v/>
      </c>
      <c r="W134">
        <f>IF(AND($A134&lt;&gt;"",$B134&lt;&gt;"",$R134='تقرير سبتمبر'!$C$4,$P134='تقرير سبتمبر'!$C$6),COUNT(W$4:W133)+1,"")</f>
        <v/>
      </c>
      <c r="X134">
        <f>IF(AND($A134&lt;&gt;"",$B134&lt;&gt;"",$R134='تقرير أكتوبر'!$C$4,$P134='تقرير أكتوبر'!$C$6),COUNT(X$4:X133)+1,"")</f>
        <v/>
      </c>
      <c r="Y134">
        <f>IF(AND($A134&lt;&gt;"",$B134&lt;&gt;"",$R134='تقرير نوفمبر'!$C$4,$P134='تقرير نوفمبر'!$C$6),COUNT(Y$4:Y133)+1,"")</f>
        <v/>
      </c>
      <c r="Z134">
        <f>IF(AND($A134&lt;&gt;"",$B134&lt;&gt;"",$R134='تقرير ديسمبر'!$C$4,$P134='تقرير ديسمبر'!$C$6),COUNT(Z$4:Z133)+1,"")</f>
        <v/>
      </c>
      <c r="AA134">
        <f>IF(AND($A134&lt;&gt;"",$B134&lt;&gt;"",$R134='تقرير يناير'!$C$4,$P134='تقرير يناير'!$C$6),COUNT(AA$4:AA133)+1,"")</f>
        <v/>
      </c>
      <c r="AB134">
        <f>IF(AND($A134&lt;&gt;"",$B134&lt;&gt;"",$R134='تقرير فبراير'!$C$4,$P134='تقرير فبراير'!$C$6),COUNT(AB$4:AB133)+1,"")</f>
        <v/>
      </c>
      <c r="AC134">
        <f>IF(AND($A134&lt;&gt;"",$B134&lt;&gt;"",$R134='تقرير مارس'!$C$4,$P134='تقرير مارس'!$C$6),COUNT(AC$4:AC133)+1,"")</f>
        <v/>
      </c>
      <c r="AD134">
        <f>IF(AND($A134&lt;&gt;"",$B134&lt;&gt;"",$R134='تقرير أبريل'!$C$4,$P134='تقرير أبريل'!$C$6),COUNT(AD$4:AD133)+1,"")</f>
        <v/>
      </c>
      <c r="AE134">
        <f>IF(AND($A134&lt;&gt;"",$B134&lt;&gt;"",$R134='تقرير مايو'!$C$4,$P134='تقرير مايو'!$C$6),COUNT(AE$4:AE133)+1,"")</f>
        <v/>
      </c>
    </row>
    <row r="135">
      <c r="A135" s="16" t="n"/>
      <c r="B135" s="17" t="n"/>
      <c r="C135" s="17" t="n"/>
      <c r="D135" s="18" t="n"/>
      <c r="E135" s="17" t="n"/>
      <c r="F135" s="17" t="n"/>
      <c r="G135" s="19" t="n"/>
      <c r="H135" s="17" t="n"/>
      <c r="I135" s="17" t="n"/>
      <c r="J135" s="17" t="n"/>
      <c r="K135" s="20">
        <f>IF($B135="","",IFERROR(INDEX(الموظفات!$A$5:$A$304,MATCH($B135,الموظفات!$B$5:$B$304,0))&amp;"",""))</f>
        <v/>
      </c>
      <c r="L135" s="21">
        <f>IF($B135="","",IFERROR(INDEX(الموظفات!$C$5:$C$304,MATCH($B135,الموظفات!$B$5:$B$304,0))&amp;"",""))</f>
        <v/>
      </c>
      <c r="M135" s="20">
        <f>IF($B135="","",IFERROR(INDEX(الموظفات!$D$5:$D$304,MATCH($B135,الموظفات!$B$5:$B$304,0))&amp;"",""))</f>
        <v/>
      </c>
      <c r="N135" s="20">
        <f>IF($B135="","",IFERROR(INDEX(الموظفات!$E$5:$E$304,MATCH($B135,الموظفات!$B$5:$B$304,0))&amp;"",""))</f>
        <v/>
      </c>
      <c r="O135" s="21">
        <f>IF(C135="","",IFERROR(INDEX(الإعدادات!$D$7:$D$35,MATCH(C135,الإعدادات!$A$7:$A$35,0))&amp;"",""))</f>
        <v/>
      </c>
      <c r="P135" s="20">
        <f>IF(A135="","",INDEX(الإعدادات!$H$7:$H$18,MONTH(A135)))</f>
        <v/>
      </c>
      <c r="Q135" s="20">
        <f>IF(A135="","",INDEX(الإعدادات!$I$7:$I$18,MONTH(A135)))</f>
        <v/>
      </c>
      <c r="R135" s="20">
        <f>IF(A135="","",IF(MONTH(A135)&gt;=8,YEAR(A135)&amp;"-"&amp;(YEAR(A135)+1),(YEAR(A135)-1)&amp;"-"&amp;YEAR(A135)))</f>
        <v/>
      </c>
      <c r="S135" s="20">
        <f>IF(OR(A135="",B135=""),0,IF(AND(R135=التقارير!$C$4,OR(التقارير!$C$5="سنوي",AND(التقارير!$C$5="شهري",P135=التقارير!$C$6),AND(التقارير!$C$5="فصلي",Q135=التقارير!$C$7))),1,0))</f>
        <v/>
      </c>
      <c r="T135" s="20">
        <f>IF(S135=1,COUNTIF($S$5:S135,1),"")</f>
        <v/>
      </c>
      <c r="U135">
        <f>IF(AND($A135&lt;&gt;"",$B135&lt;&gt;"",$R135='تقرير الفصل الأول'!$C$4,$Q135='تقرير الفصل الأول'!$C$7),COUNT(U$4:U134)+1,"")</f>
        <v/>
      </c>
      <c r="V135">
        <f>IF(AND($A135&lt;&gt;"",$B135&lt;&gt;"",$R135='تقرير الفصل الثاني'!$C$4,$Q135='تقرير الفصل الثاني'!$C$7),COUNT(V$4:V134)+1,"")</f>
        <v/>
      </c>
      <c r="W135">
        <f>IF(AND($A135&lt;&gt;"",$B135&lt;&gt;"",$R135='تقرير سبتمبر'!$C$4,$P135='تقرير سبتمبر'!$C$6),COUNT(W$4:W134)+1,"")</f>
        <v/>
      </c>
      <c r="X135">
        <f>IF(AND($A135&lt;&gt;"",$B135&lt;&gt;"",$R135='تقرير أكتوبر'!$C$4,$P135='تقرير أكتوبر'!$C$6),COUNT(X$4:X134)+1,"")</f>
        <v/>
      </c>
      <c r="Y135">
        <f>IF(AND($A135&lt;&gt;"",$B135&lt;&gt;"",$R135='تقرير نوفمبر'!$C$4,$P135='تقرير نوفمبر'!$C$6),COUNT(Y$4:Y134)+1,"")</f>
        <v/>
      </c>
      <c r="Z135">
        <f>IF(AND($A135&lt;&gt;"",$B135&lt;&gt;"",$R135='تقرير ديسمبر'!$C$4,$P135='تقرير ديسمبر'!$C$6),COUNT(Z$4:Z134)+1,"")</f>
        <v/>
      </c>
      <c r="AA135">
        <f>IF(AND($A135&lt;&gt;"",$B135&lt;&gt;"",$R135='تقرير يناير'!$C$4,$P135='تقرير يناير'!$C$6),COUNT(AA$4:AA134)+1,"")</f>
        <v/>
      </c>
      <c r="AB135">
        <f>IF(AND($A135&lt;&gt;"",$B135&lt;&gt;"",$R135='تقرير فبراير'!$C$4,$P135='تقرير فبراير'!$C$6),COUNT(AB$4:AB134)+1,"")</f>
        <v/>
      </c>
      <c r="AC135">
        <f>IF(AND($A135&lt;&gt;"",$B135&lt;&gt;"",$R135='تقرير مارس'!$C$4,$P135='تقرير مارس'!$C$6),COUNT(AC$4:AC134)+1,"")</f>
        <v/>
      </c>
      <c r="AD135">
        <f>IF(AND($A135&lt;&gt;"",$B135&lt;&gt;"",$R135='تقرير أبريل'!$C$4,$P135='تقرير أبريل'!$C$6),COUNT(AD$4:AD134)+1,"")</f>
        <v/>
      </c>
      <c r="AE135">
        <f>IF(AND($A135&lt;&gt;"",$B135&lt;&gt;"",$R135='تقرير مايو'!$C$4,$P135='تقرير مايو'!$C$6),COUNT(AE$4:AE134)+1,"")</f>
        <v/>
      </c>
    </row>
    <row r="136">
      <c r="A136" s="16" t="n"/>
      <c r="B136" s="17" t="n"/>
      <c r="C136" s="17" t="n"/>
      <c r="D136" s="18" t="n"/>
      <c r="E136" s="17" t="n"/>
      <c r="F136" s="17" t="n"/>
      <c r="G136" s="19" t="n"/>
      <c r="H136" s="17" t="n"/>
      <c r="I136" s="17" t="n"/>
      <c r="J136" s="17" t="n"/>
      <c r="K136" s="20">
        <f>IF($B136="","",IFERROR(INDEX(الموظفات!$A$5:$A$304,MATCH($B136,الموظفات!$B$5:$B$304,0))&amp;"",""))</f>
        <v/>
      </c>
      <c r="L136" s="21">
        <f>IF($B136="","",IFERROR(INDEX(الموظفات!$C$5:$C$304,MATCH($B136,الموظفات!$B$5:$B$304,0))&amp;"",""))</f>
        <v/>
      </c>
      <c r="M136" s="20">
        <f>IF($B136="","",IFERROR(INDEX(الموظفات!$D$5:$D$304,MATCH($B136,الموظفات!$B$5:$B$304,0))&amp;"",""))</f>
        <v/>
      </c>
      <c r="N136" s="20">
        <f>IF($B136="","",IFERROR(INDEX(الموظفات!$E$5:$E$304,MATCH($B136,الموظفات!$B$5:$B$304,0))&amp;"",""))</f>
        <v/>
      </c>
      <c r="O136" s="21">
        <f>IF(C136="","",IFERROR(INDEX(الإعدادات!$D$7:$D$35,MATCH(C136,الإعدادات!$A$7:$A$35,0))&amp;"",""))</f>
        <v/>
      </c>
      <c r="P136" s="20">
        <f>IF(A136="","",INDEX(الإعدادات!$H$7:$H$18,MONTH(A136)))</f>
        <v/>
      </c>
      <c r="Q136" s="20">
        <f>IF(A136="","",INDEX(الإعدادات!$I$7:$I$18,MONTH(A136)))</f>
        <v/>
      </c>
      <c r="R136" s="20">
        <f>IF(A136="","",IF(MONTH(A136)&gt;=8,YEAR(A136)&amp;"-"&amp;(YEAR(A136)+1),(YEAR(A136)-1)&amp;"-"&amp;YEAR(A136)))</f>
        <v/>
      </c>
      <c r="S136" s="20">
        <f>IF(OR(A136="",B136=""),0,IF(AND(R136=التقارير!$C$4,OR(التقارير!$C$5="سنوي",AND(التقارير!$C$5="شهري",P136=التقارير!$C$6),AND(التقارير!$C$5="فصلي",Q136=التقارير!$C$7))),1,0))</f>
        <v/>
      </c>
      <c r="T136" s="20">
        <f>IF(S136=1,COUNTIF($S$5:S136,1),"")</f>
        <v/>
      </c>
      <c r="U136">
        <f>IF(AND($A136&lt;&gt;"",$B136&lt;&gt;"",$R136='تقرير الفصل الأول'!$C$4,$Q136='تقرير الفصل الأول'!$C$7),COUNT(U$4:U135)+1,"")</f>
        <v/>
      </c>
      <c r="V136">
        <f>IF(AND($A136&lt;&gt;"",$B136&lt;&gt;"",$R136='تقرير الفصل الثاني'!$C$4,$Q136='تقرير الفصل الثاني'!$C$7),COUNT(V$4:V135)+1,"")</f>
        <v/>
      </c>
      <c r="W136">
        <f>IF(AND($A136&lt;&gt;"",$B136&lt;&gt;"",$R136='تقرير سبتمبر'!$C$4,$P136='تقرير سبتمبر'!$C$6),COUNT(W$4:W135)+1,"")</f>
        <v/>
      </c>
      <c r="X136">
        <f>IF(AND($A136&lt;&gt;"",$B136&lt;&gt;"",$R136='تقرير أكتوبر'!$C$4,$P136='تقرير أكتوبر'!$C$6),COUNT(X$4:X135)+1,"")</f>
        <v/>
      </c>
      <c r="Y136">
        <f>IF(AND($A136&lt;&gt;"",$B136&lt;&gt;"",$R136='تقرير نوفمبر'!$C$4,$P136='تقرير نوفمبر'!$C$6),COUNT(Y$4:Y135)+1,"")</f>
        <v/>
      </c>
      <c r="Z136">
        <f>IF(AND($A136&lt;&gt;"",$B136&lt;&gt;"",$R136='تقرير ديسمبر'!$C$4,$P136='تقرير ديسمبر'!$C$6),COUNT(Z$4:Z135)+1,"")</f>
        <v/>
      </c>
      <c r="AA136">
        <f>IF(AND($A136&lt;&gt;"",$B136&lt;&gt;"",$R136='تقرير يناير'!$C$4,$P136='تقرير يناير'!$C$6),COUNT(AA$4:AA135)+1,"")</f>
        <v/>
      </c>
      <c r="AB136">
        <f>IF(AND($A136&lt;&gt;"",$B136&lt;&gt;"",$R136='تقرير فبراير'!$C$4,$P136='تقرير فبراير'!$C$6),COUNT(AB$4:AB135)+1,"")</f>
        <v/>
      </c>
      <c r="AC136">
        <f>IF(AND($A136&lt;&gt;"",$B136&lt;&gt;"",$R136='تقرير مارس'!$C$4,$P136='تقرير مارس'!$C$6),COUNT(AC$4:AC135)+1,"")</f>
        <v/>
      </c>
      <c r="AD136">
        <f>IF(AND($A136&lt;&gt;"",$B136&lt;&gt;"",$R136='تقرير أبريل'!$C$4,$P136='تقرير أبريل'!$C$6),COUNT(AD$4:AD135)+1,"")</f>
        <v/>
      </c>
      <c r="AE136">
        <f>IF(AND($A136&lt;&gt;"",$B136&lt;&gt;"",$R136='تقرير مايو'!$C$4,$P136='تقرير مايو'!$C$6),COUNT(AE$4:AE135)+1,"")</f>
        <v/>
      </c>
    </row>
    <row r="137">
      <c r="A137" s="16" t="n"/>
      <c r="B137" s="17" t="n"/>
      <c r="C137" s="17" t="n"/>
      <c r="D137" s="18" t="n"/>
      <c r="E137" s="17" t="n"/>
      <c r="F137" s="17" t="n"/>
      <c r="G137" s="19" t="n"/>
      <c r="H137" s="17" t="n"/>
      <c r="I137" s="17" t="n"/>
      <c r="J137" s="17" t="n"/>
      <c r="K137" s="20">
        <f>IF($B137="","",IFERROR(INDEX(الموظفات!$A$5:$A$304,MATCH($B137,الموظفات!$B$5:$B$304,0))&amp;"",""))</f>
        <v/>
      </c>
      <c r="L137" s="21">
        <f>IF($B137="","",IFERROR(INDEX(الموظفات!$C$5:$C$304,MATCH($B137,الموظفات!$B$5:$B$304,0))&amp;"",""))</f>
        <v/>
      </c>
      <c r="M137" s="20">
        <f>IF($B137="","",IFERROR(INDEX(الموظفات!$D$5:$D$304,MATCH($B137,الموظفات!$B$5:$B$304,0))&amp;"",""))</f>
        <v/>
      </c>
      <c r="N137" s="20">
        <f>IF($B137="","",IFERROR(INDEX(الموظفات!$E$5:$E$304,MATCH($B137,الموظفات!$B$5:$B$304,0))&amp;"",""))</f>
        <v/>
      </c>
      <c r="O137" s="21">
        <f>IF(C137="","",IFERROR(INDEX(الإعدادات!$D$7:$D$35,MATCH(C137,الإعدادات!$A$7:$A$35,0))&amp;"",""))</f>
        <v/>
      </c>
      <c r="P137" s="20">
        <f>IF(A137="","",INDEX(الإعدادات!$H$7:$H$18,MONTH(A137)))</f>
        <v/>
      </c>
      <c r="Q137" s="20">
        <f>IF(A137="","",INDEX(الإعدادات!$I$7:$I$18,MONTH(A137)))</f>
        <v/>
      </c>
      <c r="R137" s="20">
        <f>IF(A137="","",IF(MONTH(A137)&gt;=8,YEAR(A137)&amp;"-"&amp;(YEAR(A137)+1),(YEAR(A137)-1)&amp;"-"&amp;YEAR(A137)))</f>
        <v/>
      </c>
      <c r="S137" s="20">
        <f>IF(OR(A137="",B137=""),0,IF(AND(R137=التقارير!$C$4,OR(التقارير!$C$5="سنوي",AND(التقارير!$C$5="شهري",P137=التقارير!$C$6),AND(التقارير!$C$5="فصلي",Q137=التقارير!$C$7))),1,0))</f>
        <v/>
      </c>
      <c r="T137" s="20">
        <f>IF(S137=1,COUNTIF($S$5:S137,1),"")</f>
        <v/>
      </c>
      <c r="U137">
        <f>IF(AND($A137&lt;&gt;"",$B137&lt;&gt;"",$R137='تقرير الفصل الأول'!$C$4,$Q137='تقرير الفصل الأول'!$C$7),COUNT(U$4:U136)+1,"")</f>
        <v/>
      </c>
      <c r="V137">
        <f>IF(AND($A137&lt;&gt;"",$B137&lt;&gt;"",$R137='تقرير الفصل الثاني'!$C$4,$Q137='تقرير الفصل الثاني'!$C$7),COUNT(V$4:V136)+1,"")</f>
        <v/>
      </c>
      <c r="W137">
        <f>IF(AND($A137&lt;&gt;"",$B137&lt;&gt;"",$R137='تقرير سبتمبر'!$C$4,$P137='تقرير سبتمبر'!$C$6),COUNT(W$4:W136)+1,"")</f>
        <v/>
      </c>
      <c r="X137">
        <f>IF(AND($A137&lt;&gt;"",$B137&lt;&gt;"",$R137='تقرير أكتوبر'!$C$4,$P137='تقرير أكتوبر'!$C$6),COUNT(X$4:X136)+1,"")</f>
        <v/>
      </c>
      <c r="Y137">
        <f>IF(AND($A137&lt;&gt;"",$B137&lt;&gt;"",$R137='تقرير نوفمبر'!$C$4,$P137='تقرير نوفمبر'!$C$6),COUNT(Y$4:Y136)+1,"")</f>
        <v/>
      </c>
      <c r="Z137">
        <f>IF(AND($A137&lt;&gt;"",$B137&lt;&gt;"",$R137='تقرير ديسمبر'!$C$4,$P137='تقرير ديسمبر'!$C$6),COUNT(Z$4:Z136)+1,"")</f>
        <v/>
      </c>
      <c r="AA137">
        <f>IF(AND($A137&lt;&gt;"",$B137&lt;&gt;"",$R137='تقرير يناير'!$C$4,$P137='تقرير يناير'!$C$6),COUNT(AA$4:AA136)+1,"")</f>
        <v/>
      </c>
      <c r="AB137">
        <f>IF(AND($A137&lt;&gt;"",$B137&lt;&gt;"",$R137='تقرير فبراير'!$C$4,$P137='تقرير فبراير'!$C$6),COUNT(AB$4:AB136)+1,"")</f>
        <v/>
      </c>
      <c r="AC137">
        <f>IF(AND($A137&lt;&gt;"",$B137&lt;&gt;"",$R137='تقرير مارس'!$C$4,$P137='تقرير مارس'!$C$6),COUNT(AC$4:AC136)+1,"")</f>
        <v/>
      </c>
      <c r="AD137">
        <f>IF(AND($A137&lt;&gt;"",$B137&lt;&gt;"",$R137='تقرير أبريل'!$C$4,$P137='تقرير أبريل'!$C$6),COUNT(AD$4:AD136)+1,"")</f>
        <v/>
      </c>
      <c r="AE137">
        <f>IF(AND($A137&lt;&gt;"",$B137&lt;&gt;"",$R137='تقرير مايو'!$C$4,$P137='تقرير مايو'!$C$6),COUNT(AE$4:AE136)+1,"")</f>
        <v/>
      </c>
    </row>
    <row r="138">
      <c r="A138" s="16" t="n"/>
      <c r="B138" s="17" t="n"/>
      <c r="C138" s="17" t="n"/>
      <c r="D138" s="18" t="n"/>
      <c r="E138" s="17" t="n"/>
      <c r="F138" s="17" t="n"/>
      <c r="G138" s="19" t="n"/>
      <c r="H138" s="17" t="n"/>
      <c r="I138" s="17" t="n"/>
      <c r="J138" s="17" t="n"/>
      <c r="K138" s="20">
        <f>IF($B138="","",IFERROR(INDEX(الموظفات!$A$5:$A$304,MATCH($B138,الموظفات!$B$5:$B$304,0))&amp;"",""))</f>
        <v/>
      </c>
      <c r="L138" s="21">
        <f>IF($B138="","",IFERROR(INDEX(الموظفات!$C$5:$C$304,MATCH($B138,الموظفات!$B$5:$B$304,0))&amp;"",""))</f>
        <v/>
      </c>
      <c r="M138" s="20">
        <f>IF($B138="","",IFERROR(INDEX(الموظفات!$D$5:$D$304,MATCH($B138,الموظفات!$B$5:$B$304,0))&amp;"",""))</f>
        <v/>
      </c>
      <c r="N138" s="20">
        <f>IF($B138="","",IFERROR(INDEX(الموظفات!$E$5:$E$304,MATCH($B138,الموظفات!$B$5:$B$304,0))&amp;"",""))</f>
        <v/>
      </c>
      <c r="O138" s="21">
        <f>IF(C138="","",IFERROR(INDEX(الإعدادات!$D$7:$D$35,MATCH(C138,الإعدادات!$A$7:$A$35,0))&amp;"",""))</f>
        <v/>
      </c>
      <c r="P138" s="20">
        <f>IF(A138="","",INDEX(الإعدادات!$H$7:$H$18,MONTH(A138)))</f>
        <v/>
      </c>
      <c r="Q138" s="20">
        <f>IF(A138="","",INDEX(الإعدادات!$I$7:$I$18,MONTH(A138)))</f>
        <v/>
      </c>
      <c r="R138" s="20">
        <f>IF(A138="","",IF(MONTH(A138)&gt;=8,YEAR(A138)&amp;"-"&amp;(YEAR(A138)+1),(YEAR(A138)-1)&amp;"-"&amp;YEAR(A138)))</f>
        <v/>
      </c>
      <c r="S138" s="20">
        <f>IF(OR(A138="",B138=""),0,IF(AND(R138=التقارير!$C$4,OR(التقارير!$C$5="سنوي",AND(التقارير!$C$5="شهري",P138=التقارير!$C$6),AND(التقارير!$C$5="فصلي",Q138=التقارير!$C$7))),1,0))</f>
        <v/>
      </c>
      <c r="T138" s="20">
        <f>IF(S138=1,COUNTIF($S$5:S138,1),"")</f>
        <v/>
      </c>
      <c r="U138">
        <f>IF(AND($A138&lt;&gt;"",$B138&lt;&gt;"",$R138='تقرير الفصل الأول'!$C$4,$Q138='تقرير الفصل الأول'!$C$7),COUNT(U$4:U137)+1,"")</f>
        <v/>
      </c>
      <c r="V138">
        <f>IF(AND($A138&lt;&gt;"",$B138&lt;&gt;"",$R138='تقرير الفصل الثاني'!$C$4,$Q138='تقرير الفصل الثاني'!$C$7),COUNT(V$4:V137)+1,"")</f>
        <v/>
      </c>
      <c r="W138">
        <f>IF(AND($A138&lt;&gt;"",$B138&lt;&gt;"",$R138='تقرير سبتمبر'!$C$4,$P138='تقرير سبتمبر'!$C$6),COUNT(W$4:W137)+1,"")</f>
        <v/>
      </c>
      <c r="X138">
        <f>IF(AND($A138&lt;&gt;"",$B138&lt;&gt;"",$R138='تقرير أكتوبر'!$C$4,$P138='تقرير أكتوبر'!$C$6),COUNT(X$4:X137)+1,"")</f>
        <v/>
      </c>
      <c r="Y138">
        <f>IF(AND($A138&lt;&gt;"",$B138&lt;&gt;"",$R138='تقرير نوفمبر'!$C$4,$P138='تقرير نوفمبر'!$C$6),COUNT(Y$4:Y137)+1,"")</f>
        <v/>
      </c>
      <c r="Z138">
        <f>IF(AND($A138&lt;&gt;"",$B138&lt;&gt;"",$R138='تقرير ديسمبر'!$C$4,$P138='تقرير ديسمبر'!$C$6),COUNT(Z$4:Z137)+1,"")</f>
        <v/>
      </c>
      <c r="AA138">
        <f>IF(AND($A138&lt;&gt;"",$B138&lt;&gt;"",$R138='تقرير يناير'!$C$4,$P138='تقرير يناير'!$C$6),COUNT(AA$4:AA137)+1,"")</f>
        <v/>
      </c>
      <c r="AB138">
        <f>IF(AND($A138&lt;&gt;"",$B138&lt;&gt;"",$R138='تقرير فبراير'!$C$4,$P138='تقرير فبراير'!$C$6),COUNT(AB$4:AB137)+1,"")</f>
        <v/>
      </c>
      <c r="AC138">
        <f>IF(AND($A138&lt;&gt;"",$B138&lt;&gt;"",$R138='تقرير مارس'!$C$4,$P138='تقرير مارس'!$C$6),COUNT(AC$4:AC137)+1,"")</f>
        <v/>
      </c>
      <c r="AD138">
        <f>IF(AND($A138&lt;&gt;"",$B138&lt;&gt;"",$R138='تقرير أبريل'!$C$4,$P138='تقرير أبريل'!$C$6),COUNT(AD$4:AD137)+1,"")</f>
        <v/>
      </c>
      <c r="AE138">
        <f>IF(AND($A138&lt;&gt;"",$B138&lt;&gt;"",$R138='تقرير مايو'!$C$4,$P138='تقرير مايو'!$C$6),COUNT(AE$4:AE137)+1,"")</f>
        <v/>
      </c>
    </row>
    <row r="139">
      <c r="A139" s="16" t="n"/>
      <c r="B139" s="17" t="n"/>
      <c r="C139" s="17" t="n"/>
      <c r="D139" s="18" t="n"/>
      <c r="E139" s="17" t="n"/>
      <c r="F139" s="17" t="n"/>
      <c r="G139" s="19" t="n"/>
      <c r="H139" s="17" t="n"/>
      <c r="I139" s="17" t="n"/>
      <c r="J139" s="17" t="n"/>
      <c r="K139" s="20">
        <f>IF($B139="","",IFERROR(INDEX(الموظفات!$A$5:$A$304,MATCH($B139,الموظفات!$B$5:$B$304,0))&amp;"",""))</f>
        <v/>
      </c>
      <c r="L139" s="21">
        <f>IF($B139="","",IFERROR(INDEX(الموظفات!$C$5:$C$304,MATCH($B139,الموظفات!$B$5:$B$304,0))&amp;"",""))</f>
        <v/>
      </c>
      <c r="M139" s="20">
        <f>IF($B139="","",IFERROR(INDEX(الموظفات!$D$5:$D$304,MATCH($B139,الموظفات!$B$5:$B$304,0))&amp;"",""))</f>
        <v/>
      </c>
      <c r="N139" s="20">
        <f>IF($B139="","",IFERROR(INDEX(الموظفات!$E$5:$E$304,MATCH($B139,الموظفات!$B$5:$B$304,0))&amp;"",""))</f>
        <v/>
      </c>
      <c r="O139" s="21">
        <f>IF(C139="","",IFERROR(INDEX(الإعدادات!$D$7:$D$35,MATCH(C139,الإعدادات!$A$7:$A$35,0))&amp;"",""))</f>
        <v/>
      </c>
      <c r="P139" s="20">
        <f>IF(A139="","",INDEX(الإعدادات!$H$7:$H$18,MONTH(A139)))</f>
        <v/>
      </c>
      <c r="Q139" s="20">
        <f>IF(A139="","",INDEX(الإعدادات!$I$7:$I$18,MONTH(A139)))</f>
        <v/>
      </c>
      <c r="R139" s="20">
        <f>IF(A139="","",IF(MONTH(A139)&gt;=8,YEAR(A139)&amp;"-"&amp;(YEAR(A139)+1),(YEAR(A139)-1)&amp;"-"&amp;YEAR(A139)))</f>
        <v/>
      </c>
      <c r="S139" s="20">
        <f>IF(OR(A139="",B139=""),0,IF(AND(R139=التقارير!$C$4,OR(التقارير!$C$5="سنوي",AND(التقارير!$C$5="شهري",P139=التقارير!$C$6),AND(التقارير!$C$5="فصلي",Q139=التقارير!$C$7))),1,0))</f>
        <v/>
      </c>
      <c r="T139" s="20">
        <f>IF(S139=1,COUNTIF($S$5:S139,1),"")</f>
        <v/>
      </c>
      <c r="U139">
        <f>IF(AND($A139&lt;&gt;"",$B139&lt;&gt;"",$R139='تقرير الفصل الأول'!$C$4,$Q139='تقرير الفصل الأول'!$C$7),COUNT(U$4:U138)+1,"")</f>
        <v/>
      </c>
      <c r="V139">
        <f>IF(AND($A139&lt;&gt;"",$B139&lt;&gt;"",$R139='تقرير الفصل الثاني'!$C$4,$Q139='تقرير الفصل الثاني'!$C$7),COUNT(V$4:V138)+1,"")</f>
        <v/>
      </c>
      <c r="W139">
        <f>IF(AND($A139&lt;&gt;"",$B139&lt;&gt;"",$R139='تقرير سبتمبر'!$C$4,$P139='تقرير سبتمبر'!$C$6),COUNT(W$4:W138)+1,"")</f>
        <v/>
      </c>
      <c r="X139">
        <f>IF(AND($A139&lt;&gt;"",$B139&lt;&gt;"",$R139='تقرير أكتوبر'!$C$4,$P139='تقرير أكتوبر'!$C$6),COUNT(X$4:X138)+1,"")</f>
        <v/>
      </c>
      <c r="Y139">
        <f>IF(AND($A139&lt;&gt;"",$B139&lt;&gt;"",$R139='تقرير نوفمبر'!$C$4,$P139='تقرير نوفمبر'!$C$6),COUNT(Y$4:Y138)+1,"")</f>
        <v/>
      </c>
      <c r="Z139">
        <f>IF(AND($A139&lt;&gt;"",$B139&lt;&gt;"",$R139='تقرير ديسمبر'!$C$4,$P139='تقرير ديسمبر'!$C$6),COUNT(Z$4:Z138)+1,"")</f>
        <v/>
      </c>
      <c r="AA139">
        <f>IF(AND($A139&lt;&gt;"",$B139&lt;&gt;"",$R139='تقرير يناير'!$C$4,$P139='تقرير يناير'!$C$6),COUNT(AA$4:AA138)+1,"")</f>
        <v/>
      </c>
      <c r="AB139">
        <f>IF(AND($A139&lt;&gt;"",$B139&lt;&gt;"",$R139='تقرير فبراير'!$C$4,$P139='تقرير فبراير'!$C$6),COUNT(AB$4:AB138)+1,"")</f>
        <v/>
      </c>
      <c r="AC139">
        <f>IF(AND($A139&lt;&gt;"",$B139&lt;&gt;"",$R139='تقرير مارس'!$C$4,$P139='تقرير مارس'!$C$6),COUNT(AC$4:AC138)+1,"")</f>
        <v/>
      </c>
      <c r="AD139">
        <f>IF(AND($A139&lt;&gt;"",$B139&lt;&gt;"",$R139='تقرير أبريل'!$C$4,$P139='تقرير أبريل'!$C$6),COUNT(AD$4:AD138)+1,"")</f>
        <v/>
      </c>
      <c r="AE139">
        <f>IF(AND($A139&lt;&gt;"",$B139&lt;&gt;"",$R139='تقرير مايو'!$C$4,$P139='تقرير مايو'!$C$6),COUNT(AE$4:AE138)+1,"")</f>
        <v/>
      </c>
    </row>
    <row r="140">
      <c r="A140" s="16" t="n"/>
      <c r="B140" s="17" t="n"/>
      <c r="C140" s="17" t="n"/>
      <c r="D140" s="18" t="n"/>
      <c r="E140" s="17" t="n"/>
      <c r="F140" s="17" t="n"/>
      <c r="G140" s="19" t="n"/>
      <c r="H140" s="17" t="n"/>
      <c r="I140" s="17" t="n"/>
      <c r="J140" s="17" t="n"/>
      <c r="K140" s="20">
        <f>IF($B140="","",IFERROR(INDEX(الموظفات!$A$5:$A$304,MATCH($B140,الموظفات!$B$5:$B$304,0))&amp;"",""))</f>
        <v/>
      </c>
      <c r="L140" s="21">
        <f>IF($B140="","",IFERROR(INDEX(الموظفات!$C$5:$C$304,MATCH($B140,الموظفات!$B$5:$B$304,0))&amp;"",""))</f>
        <v/>
      </c>
      <c r="M140" s="20">
        <f>IF($B140="","",IFERROR(INDEX(الموظفات!$D$5:$D$304,MATCH($B140,الموظفات!$B$5:$B$304,0))&amp;"",""))</f>
        <v/>
      </c>
      <c r="N140" s="20">
        <f>IF($B140="","",IFERROR(INDEX(الموظفات!$E$5:$E$304,MATCH($B140,الموظفات!$B$5:$B$304,0))&amp;"",""))</f>
        <v/>
      </c>
      <c r="O140" s="21">
        <f>IF(C140="","",IFERROR(INDEX(الإعدادات!$D$7:$D$35,MATCH(C140,الإعدادات!$A$7:$A$35,0))&amp;"",""))</f>
        <v/>
      </c>
      <c r="P140" s="20">
        <f>IF(A140="","",INDEX(الإعدادات!$H$7:$H$18,MONTH(A140)))</f>
        <v/>
      </c>
      <c r="Q140" s="20">
        <f>IF(A140="","",INDEX(الإعدادات!$I$7:$I$18,MONTH(A140)))</f>
        <v/>
      </c>
      <c r="R140" s="20">
        <f>IF(A140="","",IF(MONTH(A140)&gt;=8,YEAR(A140)&amp;"-"&amp;(YEAR(A140)+1),(YEAR(A140)-1)&amp;"-"&amp;YEAR(A140)))</f>
        <v/>
      </c>
      <c r="S140" s="20">
        <f>IF(OR(A140="",B140=""),0,IF(AND(R140=التقارير!$C$4,OR(التقارير!$C$5="سنوي",AND(التقارير!$C$5="شهري",P140=التقارير!$C$6),AND(التقارير!$C$5="فصلي",Q140=التقارير!$C$7))),1,0))</f>
        <v/>
      </c>
      <c r="T140" s="20">
        <f>IF(S140=1,COUNTIF($S$5:S140,1),"")</f>
        <v/>
      </c>
      <c r="U140">
        <f>IF(AND($A140&lt;&gt;"",$B140&lt;&gt;"",$R140='تقرير الفصل الأول'!$C$4,$Q140='تقرير الفصل الأول'!$C$7),COUNT(U$4:U139)+1,"")</f>
        <v/>
      </c>
      <c r="V140">
        <f>IF(AND($A140&lt;&gt;"",$B140&lt;&gt;"",$R140='تقرير الفصل الثاني'!$C$4,$Q140='تقرير الفصل الثاني'!$C$7),COUNT(V$4:V139)+1,"")</f>
        <v/>
      </c>
      <c r="W140">
        <f>IF(AND($A140&lt;&gt;"",$B140&lt;&gt;"",$R140='تقرير سبتمبر'!$C$4,$P140='تقرير سبتمبر'!$C$6),COUNT(W$4:W139)+1,"")</f>
        <v/>
      </c>
      <c r="X140">
        <f>IF(AND($A140&lt;&gt;"",$B140&lt;&gt;"",$R140='تقرير أكتوبر'!$C$4,$P140='تقرير أكتوبر'!$C$6),COUNT(X$4:X139)+1,"")</f>
        <v/>
      </c>
      <c r="Y140">
        <f>IF(AND($A140&lt;&gt;"",$B140&lt;&gt;"",$R140='تقرير نوفمبر'!$C$4,$P140='تقرير نوفمبر'!$C$6),COUNT(Y$4:Y139)+1,"")</f>
        <v/>
      </c>
      <c r="Z140">
        <f>IF(AND($A140&lt;&gt;"",$B140&lt;&gt;"",$R140='تقرير ديسمبر'!$C$4,$P140='تقرير ديسمبر'!$C$6),COUNT(Z$4:Z139)+1,"")</f>
        <v/>
      </c>
      <c r="AA140">
        <f>IF(AND($A140&lt;&gt;"",$B140&lt;&gt;"",$R140='تقرير يناير'!$C$4,$P140='تقرير يناير'!$C$6),COUNT(AA$4:AA139)+1,"")</f>
        <v/>
      </c>
      <c r="AB140">
        <f>IF(AND($A140&lt;&gt;"",$B140&lt;&gt;"",$R140='تقرير فبراير'!$C$4,$P140='تقرير فبراير'!$C$6),COUNT(AB$4:AB139)+1,"")</f>
        <v/>
      </c>
      <c r="AC140">
        <f>IF(AND($A140&lt;&gt;"",$B140&lt;&gt;"",$R140='تقرير مارس'!$C$4,$P140='تقرير مارس'!$C$6),COUNT(AC$4:AC139)+1,"")</f>
        <v/>
      </c>
      <c r="AD140">
        <f>IF(AND($A140&lt;&gt;"",$B140&lt;&gt;"",$R140='تقرير أبريل'!$C$4,$P140='تقرير أبريل'!$C$6),COUNT(AD$4:AD139)+1,"")</f>
        <v/>
      </c>
      <c r="AE140">
        <f>IF(AND($A140&lt;&gt;"",$B140&lt;&gt;"",$R140='تقرير مايو'!$C$4,$P140='تقرير مايو'!$C$6),COUNT(AE$4:AE139)+1,"")</f>
        <v/>
      </c>
    </row>
    <row r="141">
      <c r="A141" s="16" t="n"/>
      <c r="B141" s="17" t="n"/>
      <c r="C141" s="17" t="n"/>
      <c r="D141" s="18" t="n"/>
      <c r="E141" s="17" t="n"/>
      <c r="F141" s="17" t="n"/>
      <c r="G141" s="19" t="n"/>
      <c r="H141" s="17" t="n"/>
      <c r="I141" s="17" t="n"/>
      <c r="J141" s="17" t="n"/>
      <c r="K141" s="20">
        <f>IF($B141="","",IFERROR(INDEX(الموظفات!$A$5:$A$304,MATCH($B141,الموظفات!$B$5:$B$304,0))&amp;"",""))</f>
        <v/>
      </c>
      <c r="L141" s="21">
        <f>IF($B141="","",IFERROR(INDEX(الموظفات!$C$5:$C$304,MATCH($B141,الموظفات!$B$5:$B$304,0))&amp;"",""))</f>
        <v/>
      </c>
      <c r="M141" s="20">
        <f>IF($B141="","",IFERROR(INDEX(الموظفات!$D$5:$D$304,MATCH($B141,الموظفات!$B$5:$B$304,0))&amp;"",""))</f>
        <v/>
      </c>
      <c r="N141" s="20">
        <f>IF($B141="","",IFERROR(INDEX(الموظفات!$E$5:$E$304,MATCH($B141,الموظفات!$B$5:$B$304,0))&amp;"",""))</f>
        <v/>
      </c>
      <c r="O141" s="21">
        <f>IF(C141="","",IFERROR(INDEX(الإعدادات!$D$7:$D$35,MATCH(C141,الإعدادات!$A$7:$A$35,0))&amp;"",""))</f>
        <v/>
      </c>
      <c r="P141" s="20">
        <f>IF(A141="","",INDEX(الإعدادات!$H$7:$H$18,MONTH(A141)))</f>
        <v/>
      </c>
      <c r="Q141" s="20">
        <f>IF(A141="","",INDEX(الإعدادات!$I$7:$I$18,MONTH(A141)))</f>
        <v/>
      </c>
      <c r="R141" s="20">
        <f>IF(A141="","",IF(MONTH(A141)&gt;=8,YEAR(A141)&amp;"-"&amp;(YEAR(A141)+1),(YEAR(A141)-1)&amp;"-"&amp;YEAR(A141)))</f>
        <v/>
      </c>
      <c r="S141" s="20">
        <f>IF(OR(A141="",B141=""),0,IF(AND(R141=التقارير!$C$4,OR(التقارير!$C$5="سنوي",AND(التقارير!$C$5="شهري",P141=التقارير!$C$6),AND(التقارير!$C$5="فصلي",Q141=التقارير!$C$7))),1,0))</f>
        <v/>
      </c>
      <c r="T141" s="20">
        <f>IF(S141=1,COUNTIF($S$5:S141,1),"")</f>
        <v/>
      </c>
      <c r="U141">
        <f>IF(AND($A141&lt;&gt;"",$B141&lt;&gt;"",$R141='تقرير الفصل الأول'!$C$4,$Q141='تقرير الفصل الأول'!$C$7),COUNT(U$4:U140)+1,"")</f>
        <v/>
      </c>
      <c r="V141">
        <f>IF(AND($A141&lt;&gt;"",$B141&lt;&gt;"",$R141='تقرير الفصل الثاني'!$C$4,$Q141='تقرير الفصل الثاني'!$C$7),COUNT(V$4:V140)+1,"")</f>
        <v/>
      </c>
      <c r="W141">
        <f>IF(AND($A141&lt;&gt;"",$B141&lt;&gt;"",$R141='تقرير سبتمبر'!$C$4,$P141='تقرير سبتمبر'!$C$6),COUNT(W$4:W140)+1,"")</f>
        <v/>
      </c>
      <c r="X141">
        <f>IF(AND($A141&lt;&gt;"",$B141&lt;&gt;"",$R141='تقرير أكتوبر'!$C$4,$P141='تقرير أكتوبر'!$C$6),COUNT(X$4:X140)+1,"")</f>
        <v/>
      </c>
      <c r="Y141">
        <f>IF(AND($A141&lt;&gt;"",$B141&lt;&gt;"",$R141='تقرير نوفمبر'!$C$4,$P141='تقرير نوفمبر'!$C$6),COUNT(Y$4:Y140)+1,"")</f>
        <v/>
      </c>
      <c r="Z141">
        <f>IF(AND($A141&lt;&gt;"",$B141&lt;&gt;"",$R141='تقرير ديسمبر'!$C$4,$P141='تقرير ديسمبر'!$C$6),COUNT(Z$4:Z140)+1,"")</f>
        <v/>
      </c>
      <c r="AA141">
        <f>IF(AND($A141&lt;&gt;"",$B141&lt;&gt;"",$R141='تقرير يناير'!$C$4,$P141='تقرير يناير'!$C$6),COUNT(AA$4:AA140)+1,"")</f>
        <v/>
      </c>
      <c r="AB141">
        <f>IF(AND($A141&lt;&gt;"",$B141&lt;&gt;"",$R141='تقرير فبراير'!$C$4,$P141='تقرير فبراير'!$C$6),COUNT(AB$4:AB140)+1,"")</f>
        <v/>
      </c>
      <c r="AC141">
        <f>IF(AND($A141&lt;&gt;"",$B141&lt;&gt;"",$R141='تقرير مارس'!$C$4,$P141='تقرير مارس'!$C$6),COUNT(AC$4:AC140)+1,"")</f>
        <v/>
      </c>
      <c r="AD141">
        <f>IF(AND($A141&lt;&gt;"",$B141&lt;&gt;"",$R141='تقرير أبريل'!$C$4,$P141='تقرير أبريل'!$C$6),COUNT(AD$4:AD140)+1,"")</f>
        <v/>
      </c>
      <c r="AE141">
        <f>IF(AND($A141&lt;&gt;"",$B141&lt;&gt;"",$R141='تقرير مايو'!$C$4,$P141='تقرير مايو'!$C$6),COUNT(AE$4:AE140)+1,"")</f>
        <v/>
      </c>
    </row>
    <row r="142">
      <c r="A142" s="16" t="n"/>
      <c r="B142" s="17" t="n"/>
      <c r="C142" s="17" t="n"/>
      <c r="D142" s="18" t="n"/>
      <c r="E142" s="17" t="n"/>
      <c r="F142" s="17" t="n"/>
      <c r="G142" s="19" t="n"/>
      <c r="H142" s="17" t="n"/>
      <c r="I142" s="17" t="n"/>
      <c r="J142" s="17" t="n"/>
      <c r="K142" s="20">
        <f>IF($B142="","",IFERROR(INDEX(الموظفات!$A$5:$A$304,MATCH($B142,الموظفات!$B$5:$B$304,0))&amp;"",""))</f>
        <v/>
      </c>
      <c r="L142" s="21">
        <f>IF($B142="","",IFERROR(INDEX(الموظفات!$C$5:$C$304,MATCH($B142,الموظفات!$B$5:$B$304,0))&amp;"",""))</f>
        <v/>
      </c>
      <c r="M142" s="20">
        <f>IF($B142="","",IFERROR(INDEX(الموظفات!$D$5:$D$304,MATCH($B142,الموظفات!$B$5:$B$304,0))&amp;"",""))</f>
        <v/>
      </c>
      <c r="N142" s="20">
        <f>IF($B142="","",IFERROR(INDEX(الموظفات!$E$5:$E$304,MATCH($B142,الموظفات!$B$5:$B$304,0))&amp;"",""))</f>
        <v/>
      </c>
      <c r="O142" s="21">
        <f>IF(C142="","",IFERROR(INDEX(الإعدادات!$D$7:$D$35,MATCH(C142,الإعدادات!$A$7:$A$35,0))&amp;"",""))</f>
        <v/>
      </c>
      <c r="P142" s="20">
        <f>IF(A142="","",INDEX(الإعدادات!$H$7:$H$18,MONTH(A142)))</f>
        <v/>
      </c>
      <c r="Q142" s="20">
        <f>IF(A142="","",INDEX(الإعدادات!$I$7:$I$18,MONTH(A142)))</f>
        <v/>
      </c>
      <c r="R142" s="20">
        <f>IF(A142="","",IF(MONTH(A142)&gt;=8,YEAR(A142)&amp;"-"&amp;(YEAR(A142)+1),(YEAR(A142)-1)&amp;"-"&amp;YEAR(A142)))</f>
        <v/>
      </c>
      <c r="S142" s="20">
        <f>IF(OR(A142="",B142=""),0,IF(AND(R142=التقارير!$C$4,OR(التقارير!$C$5="سنوي",AND(التقارير!$C$5="شهري",P142=التقارير!$C$6),AND(التقارير!$C$5="فصلي",Q142=التقارير!$C$7))),1,0))</f>
        <v/>
      </c>
      <c r="T142" s="20">
        <f>IF(S142=1,COUNTIF($S$5:S142,1),"")</f>
        <v/>
      </c>
      <c r="U142">
        <f>IF(AND($A142&lt;&gt;"",$B142&lt;&gt;"",$R142='تقرير الفصل الأول'!$C$4,$Q142='تقرير الفصل الأول'!$C$7),COUNT(U$4:U141)+1,"")</f>
        <v/>
      </c>
      <c r="V142">
        <f>IF(AND($A142&lt;&gt;"",$B142&lt;&gt;"",$R142='تقرير الفصل الثاني'!$C$4,$Q142='تقرير الفصل الثاني'!$C$7),COUNT(V$4:V141)+1,"")</f>
        <v/>
      </c>
      <c r="W142">
        <f>IF(AND($A142&lt;&gt;"",$B142&lt;&gt;"",$R142='تقرير سبتمبر'!$C$4,$P142='تقرير سبتمبر'!$C$6),COUNT(W$4:W141)+1,"")</f>
        <v/>
      </c>
      <c r="X142">
        <f>IF(AND($A142&lt;&gt;"",$B142&lt;&gt;"",$R142='تقرير أكتوبر'!$C$4,$P142='تقرير أكتوبر'!$C$6),COUNT(X$4:X141)+1,"")</f>
        <v/>
      </c>
      <c r="Y142">
        <f>IF(AND($A142&lt;&gt;"",$B142&lt;&gt;"",$R142='تقرير نوفمبر'!$C$4,$P142='تقرير نوفمبر'!$C$6),COUNT(Y$4:Y141)+1,"")</f>
        <v/>
      </c>
      <c r="Z142">
        <f>IF(AND($A142&lt;&gt;"",$B142&lt;&gt;"",$R142='تقرير ديسمبر'!$C$4,$P142='تقرير ديسمبر'!$C$6),COUNT(Z$4:Z141)+1,"")</f>
        <v/>
      </c>
      <c r="AA142">
        <f>IF(AND($A142&lt;&gt;"",$B142&lt;&gt;"",$R142='تقرير يناير'!$C$4,$P142='تقرير يناير'!$C$6),COUNT(AA$4:AA141)+1,"")</f>
        <v/>
      </c>
      <c r="AB142">
        <f>IF(AND($A142&lt;&gt;"",$B142&lt;&gt;"",$R142='تقرير فبراير'!$C$4,$P142='تقرير فبراير'!$C$6),COUNT(AB$4:AB141)+1,"")</f>
        <v/>
      </c>
      <c r="AC142">
        <f>IF(AND($A142&lt;&gt;"",$B142&lt;&gt;"",$R142='تقرير مارس'!$C$4,$P142='تقرير مارس'!$C$6),COUNT(AC$4:AC141)+1,"")</f>
        <v/>
      </c>
      <c r="AD142">
        <f>IF(AND($A142&lt;&gt;"",$B142&lt;&gt;"",$R142='تقرير أبريل'!$C$4,$P142='تقرير أبريل'!$C$6),COUNT(AD$4:AD141)+1,"")</f>
        <v/>
      </c>
      <c r="AE142">
        <f>IF(AND($A142&lt;&gt;"",$B142&lt;&gt;"",$R142='تقرير مايو'!$C$4,$P142='تقرير مايو'!$C$6),COUNT(AE$4:AE141)+1,"")</f>
        <v/>
      </c>
    </row>
    <row r="143">
      <c r="A143" s="16" t="n"/>
      <c r="B143" s="17" t="n"/>
      <c r="C143" s="17" t="n"/>
      <c r="D143" s="18" t="n"/>
      <c r="E143" s="17" t="n"/>
      <c r="F143" s="17" t="n"/>
      <c r="G143" s="19" t="n"/>
      <c r="H143" s="17" t="n"/>
      <c r="I143" s="17" t="n"/>
      <c r="J143" s="17" t="n"/>
      <c r="K143" s="20">
        <f>IF($B143="","",IFERROR(INDEX(الموظفات!$A$5:$A$304,MATCH($B143,الموظفات!$B$5:$B$304,0))&amp;"",""))</f>
        <v/>
      </c>
      <c r="L143" s="21">
        <f>IF($B143="","",IFERROR(INDEX(الموظفات!$C$5:$C$304,MATCH($B143,الموظفات!$B$5:$B$304,0))&amp;"",""))</f>
        <v/>
      </c>
      <c r="M143" s="20">
        <f>IF($B143="","",IFERROR(INDEX(الموظفات!$D$5:$D$304,MATCH($B143,الموظفات!$B$5:$B$304,0))&amp;"",""))</f>
        <v/>
      </c>
      <c r="N143" s="20">
        <f>IF($B143="","",IFERROR(INDEX(الموظفات!$E$5:$E$304,MATCH($B143,الموظفات!$B$5:$B$304,0))&amp;"",""))</f>
        <v/>
      </c>
      <c r="O143" s="21">
        <f>IF(C143="","",IFERROR(INDEX(الإعدادات!$D$7:$D$35,MATCH(C143,الإعدادات!$A$7:$A$35,0))&amp;"",""))</f>
        <v/>
      </c>
      <c r="P143" s="20">
        <f>IF(A143="","",INDEX(الإعدادات!$H$7:$H$18,MONTH(A143)))</f>
        <v/>
      </c>
      <c r="Q143" s="20">
        <f>IF(A143="","",INDEX(الإعدادات!$I$7:$I$18,MONTH(A143)))</f>
        <v/>
      </c>
      <c r="R143" s="20">
        <f>IF(A143="","",IF(MONTH(A143)&gt;=8,YEAR(A143)&amp;"-"&amp;(YEAR(A143)+1),(YEAR(A143)-1)&amp;"-"&amp;YEAR(A143)))</f>
        <v/>
      </c>
      <c r="S143" s="20">
        <f>IF(OR(A143="",B143=""),0,IF(AND(R143=التقارير!$C$4,OR(التقارير!$C$5="سنوي",AND(التقارير!$C$5="شهري",P143=التقارير!$C$6),AND(التقارير!$C$5="فصلي",Q143=التقارير!$C$7))),1,0))</f>
        <v/>
      </c>
      <c r="T143" s="20">
        <f>IF(S143=1,COUNTIF($S$5:S143,1),"")</f>
        <v/>
      </c>
      <c r="U143">
        <f>IF(AND($A143&lt;&gt;"",$B143&lt;&gt;"",$R143='تقرير الفصل الأول'!$C$4,$Q143='تقرير الفصل الأول'!$C$7),COUNT(U$4:U142)+1,"")</f>
        <v/>
      </c>
      <c r="V143">
        <f>IF(AND($A143&lt;&gt;"",$B143&lt;&gt;"",$R143='تقرير الفصل الثاني'!$C$4,$Q143='تقرير الفصل الثاني'!$C$7),COUNT(V$4:V142)+1,"")</f>
        <v/>
      </c>
      <c r="W143">
        <f>IF(AND($A143&lt;&gt;"",$B143&lt;&gt;"",$R143='تقرير سبتمبر'!$C$4,$P143='تقرير سبتمبر'!$C$6),COUNT(W$4:W142)+1,"")</f>
        <v/>
      </c>
      <c r="X143">
        <f>IF(AND($A143&lt;&gt;"",$B143&lt;&gt;"",$R143='تقرير أكتوبر'!$C$4,$P143='تقرير أكتوبر'!$C$6),COUNT(X$4:X142)+1,"")</f>
        <v/>
      </c>
      <c r="Y143">
        <f>IF(AND($A143&lt;&gt;"",$B143&lt;&gt;"",$R143='تقرير نوفمبر'!$C$4,$P143='تقرير نوفمبر'!$C$6),COUNT(Y$4:Y142)+1,"")</f>
        <v/>
      </c>
      <c r="Z143">
        <f>IF(AND($A143&lt;&gt;"",$B143&lt;&gt;"",$R143='تقرير ديسمبر'!$C$4,$P143='تقرير ديسمبر'!$C$6),COUNT(Z$4:Z142)+1,"")</f>
        <v/>
      </c>
      <c r="AA143">
        <f>IF(AND($A143&lt;&gt;"",$B143&lt;&gt;"",$R143='تقرير يناير'!$C$4,$P143='تقرير يناير'!$C$6),COUNT(AA$4:AA142)+1,"")</f>
        <v/>
      </c>
      <c r="AB143">
        <f>IF(AND($A143&lt;&gt;"",$B143&lt;&gt;"",$R143='تقرير فبراير'!$C$4,$P143='تقرير فبراير'!$C$6),COUNT(AB$4:AB142)+1,"")</f>
        <v/>
      </c>
      <c r="AC143">
        <f>IF(AND($A143&lt;&gt;"",$B143&lt;&gt;"",$R143='تقرير مارس'!$C$4,$P143='تقرير مارس'!$C$6),COUNT(AC$4:AC142)+1,"")</f>
        <v/>
      </c>
      <c r="AD143">
        <f>IF(AND($A143&lt;&gt;"",$B143&lt;&gt;"",$R143='تقرير أبريل'!$C$4,$P143='تقرير أبريل'!$C$6),COUNT(AD$4:AD142)+1,"")</f>
        <v/>
      </c>
      <c r="AE143">
        <f>IF(AND($A143&lt;&gt;"",$B143&lt;&gt;"",$R143='تقرير مايو'!$C$4,$P143='تقرير مايو'!$C$6),COUNT(AE$4:AE142)+1,"")</f>
        <v/>
      </c>
    </row>
    <row r="144">
      <c r="A144" s="16" t="n"/>
      <c r="B144" s="17" t="n"/>
      <c r="C144" s="17" t="n"/>
      <c r="D144" s="18" t="n"/>
      <c r="E144" s="17" t="n"/>
      <c r="F144" s="17" t="n"/>
      <c r="G144" s="19" t="n"/>
      <c r="H144" s="17" t="n"/>
      <c r="I144" s="17" t="n"/>
      <c r="J144" s="17" t="n"/>
      <c r="K144" s="20">
        <f>IF($B144="","",IFERROR(INDEX(الموظفات!$A$5:$A$304,MATCH($B144,الموظفات!$B$5:$B$304,0))&amp;"",""))</f>
        <v/>
      </c>
      <c r="L144" s="21">
        <f>IF($B144="","",IFERROR(INDEX(الموظفات!$C$5:$C$304,MATCH($B144,الموظفات!$B$5:$B$304,0))&amp;"",""))</f>
        <v/>
      </c>
      <c r="M144" s="20">
        <f>IF($B144="","",IFERROR(INDEX(الموظفات!$D$5:$D$304,MATCH($B144,الموظفات!$B$5:$B$304,0))&amp;"",""))</f>
        <v/>
      </c>
      <c r="N144" s="20">
        <f>IF($B144="","",IFERROR(INDEX(الموظفات!$E$5:$E$304,MATCH($B144,الموظفات!$B$5:$B$304,0))&amp;"",""))</f>
        <v/>
      </c>
      <c r="O144" s="21">
        <f>IF(C144="","",IFERROR(INDEX(الإعدادات!$D$7:$D$35,MATCH(C144,الإعدادات!$A$7:$A$35,0))&amp;"",""))</f>
        <v/>
      </c>
      <c r="P144" s="20">
        <f>IF(A144="","",INDEX(الإعدادات!$H$7:$H$18,MONTH(A144)))</f>
        <v/>
      </c>
      <c r="Q144" s="20">
        <f>IF(A144="","",INDEX(الإعدادات!$I$7:$I$18,MONTH(A144)))</f>
        <v/>
      </c>
      <c r="R144" s="20">
        <f>IF(A144="","",IF(MONTH(A144)&gt;=8,YEAR(A144)&amp;"-"&amp;(YEAR(A144)+1),(YEAR(A144)-1)&amp;"-"&amp;YEAR(A144)))</f>
        <v/>
      </c>
      <c r="S144" s="20">
        <f>IF(OR(A144="",B144=""),0,IF(AND(R144=التقارير!$C$4,OR(التقارير!$C$5="سنوي",AND(التقارير!$C$5="شهري",P144=التقارير!$C$6),AND(التقارير!$C$5="فصلي",Q144=التقارير!$C$7))),1,0))</f>
        <v/>
      </c>
      <c r="T144" s="20">
        <f>IF(S144=1,COUNTIF($S$5:S144,1),"")</f>
        <v/>
      </c>
      <c r="U144">
        <f>IF(AND($A144&lt;&gt;"",$B144&lt;&gt;"",$R144='تقرير الفصل الأول'!$C$4,$Q144='تقرير الفصل الأول'!$C$7),COUNT(U$4:U143)+1,"")</f>
        <v/>
      </c>
      <c r="V144">
        <f>IF(AND($A144&lt;&gt;"",$B144&lt;&gt;"",$R144='تقرير الفصل الثاني'!$C$4,$Q144='تقرير الفصل الثاني'!$C$7),COUNT(V$4:V143)+1,"")</f>
        <v/>
      </c>
      <c r="W144">
        <f>IF(AND($A144&lt;&gt;"",$B144&lt;&gt;"",$R144='تقرير سبتمبر'!$C$4,$P144='تقرير سبتمبر'!$C$6),COUNT(W$4:W143)+1,"")</f>
        <v/>
      </c>
      <c r="X144">
        <f>IF(AND($A144&lt;&gt;"",$B144&lt;&gt;"",$R144='تقرير أكتوبر'!$C$4,$P144='تقرير أكتوبر'!$C$6),COUNT(X$4:X143)+1,"")</f>
        <v/>
      </c>
      <c r="Y144">
        <f>IF(AND($A144&lt;&gt;"",$B144&lt;&gt;"",$R144='تقرير نوفمبر'!$C$4,$P144='تقرير نوفمبر'!$C$6),COUNT(Y$4:Y143)+1,"")</f>
        <v/>
      </c>
      <c r="Z144">
        <f>IF(AND($A144&lt;&gt;"",$B144&lt;&gt;"",$R144='تقرير ديسمبر'!$C$4,$P144='تقرير ديسمبر'!$C$6),COUNT(Z$4:Z143)+1,"")</f>
        <v/>
      </c>
      <c r="AA144">
        <f>IF(AND($A144&lt;&gt;"",$B144&lt;&gt;"",$R144='تقرير يناير'!$C$4,$P144='تقرير يناير'!$C$6),COUNT(AA$4:AA143)+1,"")</f>
        <v/>
      </c>
      <c r="AB144">
        <f>IF(AND($A144&lt;&gt;"",$B144&lt;&gt;"",$R144='تقرير فبراير'!$C$4,$P144='تقرير فبراير'!$C$6),COUNT(AB$4:AB143)+1,"")</f>
        <v/>
      </c>
      <c r="AC144">
        <f>IF(AND($A144&lt;&gt;"",$B144&lt;&gt;"",$R144='تقرير مارس'!$C$4,$P144='تقرير مارس'!$C$6),COUNT(AC$4:AC143)+1,"")</f>
        <v/>
      </c>
      <c r="AD144">
        <f>IF(AND($A144&lt;&gt;"",$B144&lt;&gt;"",$R144='تقرير أبريل'!$C$4,$P144='تقرير أبريل'!$C$6),COUNT(AD$4:AD143)+1,"")</f>
        <v/>
      </c>
      <c r="AE144">
        <f>IF(AND($A144&lt;&gt;"",$B144&lt;&gt;"",$R144='تقرير مايو'!$C$4,$P144='تقرير مايو'!$C$6),COUNT(AE$4:AE143)+1,"")</f>
        <v/>
      </c>
    </row>
    <row r="145">
      <c r="A145" s="16" t="n"/>
      <c r="B145" s="17" t="n"/>
      <c r="C145" s="17" t="n"/>
      <c r="D145" s="18" t="n"/>
      <c r="E145" s="17" t="n"/>
      <c r="F145" s="17" t="n"/>
      <c r="G145" s="19" t="n"/>
      <c r="H145" s="17" t="n"/>
      <c r="I145" s="17" t="n"/>
      <c r="J145" s="17" t="n"/>
      <c r="K145" s="20">
        <f>IF($B145="","",IFERROR(INDEX(الموظفات!$A$5:$A$304,MATCH($B145,الموظفات!$B$5:$B$304,0))&amp;"",""))</f>
        <v/>
      </c>
      <c r="L145" s="21">
        <f>IF($B145="","",IFERROR(INDEX(الموظفات!$C$5:$C$304,MATCH($B145,الموظفات!$B$5:$B$304,0))&amp;"",""))</f>
        <v/>
      </c>
      <c r="M145" s="20">
        <f>IF($B145="","",IFERROR(INDEX(الموظفات!$D$5:$D$304,MATCH($B145,الموظفات!$B$5:$B$304,0))&amp;"",""))</f>
        <v/>
      </c>
      <c r="N145" s="20">
        <f>IF($B145="","",IFERROR(INDEX(الموظفات!$E$5:$E$304,MATCH($B145,الموظفات!$B$5:$B$304,0))&amp;"",""))</f>
        <v/>
      </c>
      <c r="O145" s="21">
        <f>IF(C145="","",IFERROR(INDEX(الإعدادات!$D$7:$D$35,MATCH(C145,الإعدادات!$A$7:$A$35,0))&amp;"",""))</f>
        <v/>
      </c>
      <c r="P145" s="20">
        <f>IF(A145="","",INDEX(الإعدادات!$H$7:$H$18,MONTH(A145)))</f>
        <v/>
      </c>
      <c r="Q145" s="20">
        <f>IF(A145="","",INDEX(الإعدادات!$I$7:$I$18,MONTH(A145)))</f>
        <v/>
      </c>
      <c r="R145" s="20">
        <f>IF(A145="","",IF(MONTH(A145)&gt;=8,YEAR(A145)&amp;"-"&amp;(YEAR(A145)+1),(YEAR(A145)-1)&amp;"-"&amp;YEAR(A145)))</f>
        <v/>
      </c>
      <c r="S145" s="20">
        <f>IF(OR(A145="",B145=""),0,IF(AND(R145=التقارير!$C$4,OR(التقارير!$C$5="سنوي",AND(التقارير!$C$5="شهري",P145=التقارير!$C$6),AND(التقارير!$C$5="فصلي",Q145=التقارير!$C$7))),1,0))</f>
        <v/>
      </c>
      <c r="T145" s="20">
        <f>IF(S145=1,COUNTIF($S$5:S145,1),"")</f>
        <v/>
      </c>
      <c r="U145">
        <f>IF(AND($A145&lt;&gt;"",$B145&lt;&gt;"",$R145='تقرير الفصل الأول'!$C$4,$Q145='تقرير الفصل الأول'!$C$7),COUNT(U$4:U144)+1,"")</f>
        <v/>
      </c>
      <c r="V145">
        <f>IF(AND($A145&lt;&gt;"",$B145&lt;&gt;"",$R145='تقرير الفصل الثاني'!$C$4,$Q145='تقرير الفصل الثاني'!$C$7),COUNT(V$4:V144)+1,"")</f>
        <v/>
      </c>
      <c r="W145">
        <f>IF(AND($A145&lt;&gt;"",$B145&lt;&gt;"",$R145='تقرير سبتمبر'!$C$4,$P145='تقرير سبتمبر'!$C$6),COUNT(W$4:W144)+1,"")</f>
        <v/>
      </c>
      <c r="X145">
        <f>IF(AND($A145&lt;&gt;"",$B145&lt;&gt;"",$R145='تقرير أكتوبر'!$C$4,$P145='تقرير أكتوبر'!$C$6),COUNT(X$4:X144)+1,"")</f>
        <v/>
      </c>
      <c r="Y145">
        <f>IF(AND($A145&lt;&gt;"",$B145&lt;&gt;"",$R145='تقرير نوفمبر'!$C$4,$P145='تقرير نوفمبر'!$C$6),COUNT(Y$4:Y144)+1,"")</f>
        <v/>
      </c>
      <c r="Z145">
        <f>IF(AND($A145&lt;&gt;"",$B145&lt;&gt;"",$R145='تقرير ديسمبر'!$C$4,$P145='تقرير ديسمبر'!$C$6),COUNT(Z$4:Z144)+1,"")</f>
        <v/>
      </c>
      <c r="AA145">
        <f>IF(AND($A145&lt;&gt;"",$B145&lt;&gt;"",$R145='تقرير يناير'!$C$4,$P145='تقرير يناير'!$C$6),COUNT(AA$4:AA144)+1,"")</f>
        <v/>
      </c>
      <c r="AB145">
        <f>IF(AND($A145&lt;&gt;"",$B145&lt;&gt;"",$R145='تقرير فبراير'!$C$4,$P145='تقرير فبراير'!$C$6),COUNT(AB$4:AB144)+1,"")</f>
        <v/>
      </c>
      <c r="AC145">
        <f>IF(AND($A145&lt;&gt;"",$B145&lt;&gt;"",$R145='تقرير مارس'!$C$4,$P145='تقرير مارس'!$C$6),COUNT(AC$4:AC144)+1,"")</f>
        <v/>
      </c>
      <c r="AD145">
        <f>IF(AND($A145&lt;&gt;"",$B145&lt;&gt;"",$R145='تقرير أبريل'!$C$4,$P145='تقرير أبريل'!$C$6),COUNT(AD$4:AD144)+1,"")</f>
        <v/>
      </c>
      <c r="AE145">
        <f>IF(AND($A145&lt;&gt;"",$B145&lt;&gt;"",$R145='تقرير مايو'!$C$4,$P145='تقرير مايو'!$C$6),COUNT(AE$4:AE144)+1,"")</f>
        <v/>
      </c>
    </row>
    <row r="146">
      <c r="A146" s="16" t="n"/>
      <c r="B146" s="17" t="n"/>
      <c r="C146" s="17" t="n"/>
      <c r="D146" s="18" t="n"/>
      <c r="E146" s="17" t="n"/>
      <c r="F146" s="17" t="n"/>
      <c r="G146" s="19" t="n"/>
      <c r="H146" s="17" t="n"/>
      <c r="I146" s="17" t="n"/>
      <c r="J146" s="17" t="n"/>
      <c r="K146" s="20">
        <f>IF($B146="","",IFERROR(INDEX(الموظفات!$A$5:$A$304,MATCH($B146,الموظفات!$B$5:$B$304,0))&amp;"",""))</f>
        <v/>
      </c>
      <c r="L146" s="21">
        <f>IF($B146="","",IFERROR(INDEX(الموظفات!$C$5:$C$304,MATCH($B146,الموظفات!$B$5:$B$304,0))&amp;"",""))</f>
        <v/>
      </c>
      <c r="M146" s="20">
        <f>IF($B146="","",IFERROR(INDEX(الموظفات!$D$5:$D$304,MATCH($B146,الموظفات!$B$5:$B$304,0))&amp;"",""))</f>
        <v/>
      </c>
      <c r="N146" s="20">
        <f>IF($B146="","",IFERROR(INDEX(الموظفات!$E$5:$E$304,MATCH($B146,الموظفات!$B$5:$B$304,0))&amp;"",""))</f>
        <v/>
      </c>
      <c r="O146" s="21">
        <f>IF(C146="","",IFERROR(INDEX(الإعدادات!$D$7:$D$35,MATCH(C146,الإعدادات!$A$7:$A$35,0))&amp;"",""))</f>
        <v/>
      </c>
      <c r="P146" s="20">
        <f>IF(A146="","",INDEX(الإعدادات!$H$7:$H$18,MONTH(A146)))</f>
        <v/>
      </c>
      <c r="Q146" s="20">
        <f>IF(A146="","",INDEX(الإعدادات!$I$7:$I$18,MONTH(A146)))</f>
        <v/>
      </c>
      <c r="R146" s="20">
        <f>IF(A146="","",IF(MONTH(A146)&gt;=8,YEAR(A146)&amp;"-"&amp;(YEAR(A146)+1),(YEAR(A146)-1)&amp;"-"&amp;YEAR(A146)))</f>
        <v/>
      </c>
      <c r="S146" s="20">
        <f>IF(OR(A146="",B146=""),0,IF(AND(R146=التقارير!$C$4,OR(التقارير!$C$5="سنوي",AND(التقارير!$C$5="شهري",P146=التقارير!$C$6),AND(التقارير!$C$5="فصلي",Q146=التقارير!$C$7))),1,0))</f>
        <v/>
      </c>
      <c r="T146" s="20">
        <f>IF(S146=1,COUNTIF($S$5:S146,1),"")</f>
        <v/>
      </c>
      <c r="U146">
        <f>IF(AND($A146&lt;&gt;"",$B146&lt;&gt;"",$R146='تقرير الفصل الأول'!$C$4,$Q146='تقرير الفصل الأول'!$C$7),COUNT(U$4:U145)+1,"")</f>
        <v/>
      </c>
      <c r="V146">
        <f>IF(AND($A146&lt;&gt;"",$B146&lt;&gt;"",$R146='تقرير الفصل الثاني'!$C$4,$Q146='تقرير الفصل الثاني'!$C$7),COUNT(V$4:V145)+1,"")</f>
        <v/>
      </c>
      <c r="W146">
        <f>IF(AND($A146&lt;&gt;"",$B146&lt;&gt;"",$R146='تقرير سبتمبر'!$C$4,$P146='تقرير سبتمبر'!$C$6),COUNT(W$4:W145)+1,"")</f>
        <v/>
      </c>
      <c r="X146">
        <f>IF(AND($A146&lt;&gt;"",$B146&lt;&gt;"",$R146='تقرير أكتوبر'!$C$4,$P146='تقرير أكتوبر'!$C$6),COUNT(X$4:X145)+1,"")</f>
        <v/>
      </c>
      <c r="Y146">
        <f>IF(AND($A146&lt;&gt;"",$B146&lt;&gt;"",$R146='تقرير نوفمبر'!$C$4,$P146='تقرير نوفمبر'!$C$6),COUNT(Y$4:Y145)+1,"")</f>
        <v/>
      </c>
      <c r="Z146">
        <f>IF(AND($A146&lt;&gt;"",$B146&lt;&gt;"",$R146='تقرير ديسمبر'!$C$4,$P146='تقرير ديسمبر'!$C$6),COUNT(Z$4:Z145)+1,"")</f>
        <v/>
      </c>
      <c r="AA146">
        <f>IF(AND($A146&lt;&gt;"",$B146&lt;&gt;"",$R146='تقرير يناير'!$C$4,$P146='تقرير يناير'!$C$6),COUNT(AA$4:AA145)+1,"")</f>
        <v/>
      </c>
      <c r="AB146">
        <f>IF(AND($A146&lt;&gt;"",$B146&lt;&gt;"",$R146='تقرير فبراير'!$C$4,$P146='تقرير فبراير'!$C$6),COUNT(AB$4:AB145)+1,"")</f>
        <v/>
      </c>
      <c r="AC146">
        <f>IF(AND($A146&lt;&gt;"",$B146&lt;&gt;"",$R146='تقرير مارس'!$C$4,$P146='تقرير مارس'!$C$6),COUNT(AC$4:AC145)+1,"")</f>
        <v/>
      </c>
      <c r="AD146">
        <f>IF(AND($A146&lt;&gt;"",$B146&lt;&gt;"",$R146='تقرير أبريل'!$C$4,$P146='تقرير أبريل'!$C$6),COUNT(AD$4:AD145)+1,"")</f>
        <v/>
      </c>
      <c r="AE146">
        <f>IF(AND($A146&lt;&gt;"",$B146&lt;&gt;"",$R146='تقرير مايو'!$C$4,$P146='تقرير مايو'!$C$6),COUNT(AE$4:AE145)+1,"")</f>
        <v/>
      </c>
    </row>
    <row r="147">
      <c r="A147" s="16" t="n"/>
      <c r="B147" s="17" t="n"/>
      <c r="C147" s="17" t="n"/>
      <c r="D147" s="18" t="n"/>
      <c r="E147" s="17" t="n"/>
      <c r="F147" s="17" t="n"/>
      <c r="G147" s="19" t="n"/>
      <c r="H147" s="17" t="n"/>
      <c r="I147" s="17" t="n"/>
      <c r="J147" s="17" t="n"/>
      <c r="K147" s="20">
        <f>IF($B147="","",IFERROR(INDEX(الموظفات!$A$5:$A$304,MATCH($B147,الموظفات!$B$5:$B$304,0))&amp;"",""))</f>
        <v/>
      </c>
      <c r="L147" s="21">
        <f>IF($B147="","",IFERROR(INDEX(الموظفات!$C$5:$C$304,MATCH($B147,الموظفات!$B$5:$B$304,0))&amp;"",""))</f>
        <v/>
      </c>
      <c r="M147" s="20">
        <f>IF($B147="","",IFERROR(INDEX(الموظفات!$D$5:$D$304,MATCH($B147,الموظفات!$B$5:$B$304,0))&amp;"",""))</f>
        <v/>
      </c>
      <c r="N147" s="20">
        <f>IF($B147="","",IFERROR(INDEX(الموظفات!$E$5:$E$304,MATCH($B147,الموظفات!$B$5:$B$304,0))&amp;"",""))</f>
        <v/>
      </c>
      <c r="O147" s="21">
        <f>IF(C147="","",IFERROR(INDEX(الإعدادات!$D$7:$D$35,MATCH(C147,الإعدادات!$A$7:$A$35,0))&amp;"",""))</f>
        <v/>
      </c>
      <c r="P147" s="20">
        <f>IF(A147="","",INDEX(الإعدادات!$H$7:$H$18,MONTH(A147)))</f>
        <v/>
      </c>
      <c r="Q147" s="20">
        <f>IF(A147="","",INDEX(الإعدادات!$I$7:$I$18,MONTH(A147)))</f>
        <v/>
      </c>
      <c r="R147" s="20">
        <f>IF(A147="","",IF(MONTH(A147)&gt;=8,YEAR(A147)&amp;"-"&amp;(YEAR(A147)+1),(YEAR(A147)-1)&amp;"-"&amp;YEAR(A147)))</f>
        <v/>
      </c>
      <c r="S147" s="20">
        <f>IF(OR(A147="",B147=""),0,IF(AND(R147=التقارير!$C$4,OR(التقارير!$C$5="سنوي",AND(التقارير!$C$5="شهري",P147=التقارير!$C$6),AND(التقارير!$C$5="فصلي",Q147=التقارير!$C$7))),1,0))</f>
        <v/>
      </c>
      <c r="T147" s="20">
        <f>IF(S147=1,COUNTIF($S$5:S147,1),"")</f>
        <v/>
      </c>
      <c r="U147">
        <f>IF(AND($A147&lt;&gt;"",$B147&lt;&gt;"",$R147='تقرير الفصل الأول'!$C$4,$Q147='تقرير الفصل الأول'!$C$7),COUNT(U$4:U146)+1,"")</f>
        <v/>
      </c>
      <c r="V147">
        <f>IF(AND($A147&lt;&gt;"",$B147&lt;&gt;"",$R147='تقرير الفصل الثاني'!$C$4,$Q147='تقرير الفصل الثاني'!$C$7),COUNT(V$4:V146)+1,"")</f>
        <v/>
      </c>
      <c r="W147">
        <f>IF(AND($A147&lt;&gt;"",$B147&lt;&gt;"",$R147='تقرير سبتمبر'!$C$4,$P147='تقرير سبتمبر'!$C$6),COUNT(W$4:W146)+1,"")</f>
        <v/>
      </c>
      <c r="X147">
        <f>IF(AND($A147&lt;&gt;"",$B147&lt;&gt;"",$R147='تقرير أكتوبر'!$C$4,$P147='تقرير أكتوبر'!$C$6),COUNT(X$4:X146)+1,"")</f>
        <v/>
      </c>
      <c r="Y147">
        <f>IF(AND($A147&lt;&gt;"",$B147&lt;&gt;"",$R147='تقرير نوفمبر'!$C$4,$P147='تقرير نوفمبر'!$C$6),COUNT(Y$4:Y146)+1,"")</f>
        <v/>
      </c>
      <c r="Z147">
        <f>IF(AND($A147&lt;&gt;"",$B147&lt;&gt;"",$R147='تقرير ديسمبر'!$C$4,$P147='تقرير ديسمبر'!$C$6),COUNT(Z$4:Z146)+1,"")</f>
        <v/>
      </c>
      <c r="AA147">
        <f>IF(AND($A147&lt;&gt;"",$B147&lt;&gt;"",$R147='تقرير يناير'!$C$4,$P147='تقرير يناير'!$C$6),COUNT(AA$4:AA146)+1,"")</f>
        <v/>
      </c>
      <c r="AB147">
        <f>IF(AND($A147&lt;&gt;"",$B147&lt;&gt;"",$R147='تقرير فبراير'!$C$4,$P147='تقرير فبراير'!$C$6),COUNT(AB$4:AB146)+1,"")</f>
        <v/>
      </c>
      <c r="AC147">
        <f>IF(AND($A147&lt;&gt;"",$B147&lt;&gt;"",$R147='تقرير مارس'!$C$4,$P147='تقرير مارس'!$C$6),COUNT(AC$4:AC146)+1,"")</f>
        <v/>
      </c>
      <c r="AD147">
        <f>IF(AND($A147&lt;&gt;"",$B147&lt;&gt;"",$R147='تقرير أبريل'!$C$4,$P147='تقرير أبريل'!$C$6),COUNT(AD$4:AD146)+1,"")</f>
        <v/>
      </c>
      <c r="AE147">
        <f>IF(AND($A147&lt;&gt;"",$B147&lt;&gt;"",$R147='تقرير مايو'!$C$4,$P147='تقرير مايو'!$C$6),COUNT(AE$4:AE146)+1,"")</f>
        <v/>
      </c>
    </row>
    <row r="148">
      <c r="A148" s="16" t="n"/>
      <c r="B148" s="17" t="n"/>
      <c r="C148" s="17" t="n"/>
      <c r="D148" s="18" t="n"/>
      <c r="E148" s="17" t="n"/>
      <c r="F148" s="17" t="n"/>
      <c r="G148" s="19" t="n"/>
      <c r="H148" s="17" t="n"/>
      <c r="I148" s="17" t="n"/>
      <c r="J148" s="17" t="n"/>
      <c r="K148" s="20">
        <f>IF($B148="","",IFERROR(INDEX(الموظفات!$A$5:$A$304,MATCH($B148,الموظفات!$B$5:$B$304,0))&amp;"",""))</f>
        <v/>
      </c>
      <c r="L148" s="21">
        <f>IF($B148="","",IFERROR(INDEX(الموظفات!$C$5:$C$304,MATCH($B148,الموظفات!$B$5:$B$304,0))&amp;"",""))</f>
        <v/>
      </c>
      <c r="M148" s="20">
        <f>IF($B148="","",IFERROR(INDEX(الموظفات!$D$5:$D$304,MATCH($B148,الموظفات!$B$5:$B$304,0))&amp;"",""))</f>
        <v/>
      </c>
      <c r="N148" s="20">
        <f>IF($B148="","",IFERROR(INDEX(الموظفات!$E$5:$E$304,MATCH($B148,الموظفات!$B$5:$B$304,0))&amp;"",""))</f>
        <v/>
      </c>
      <c r="O148" s="21">
        <f>IF(C148="","",IFERROR(INDEX(الإعدادات!$D$7:$D$35,MATCH(C148,الإعدادات!$A$7:$A$35,0))&amp;"",""))</f>
        <v/>
      </c>
      <c r="P148" s="20">
        <f>IF(A148="","",INDEX(الإعدادات!$H$7:$H$18,MONTH(A148)))</f>
        <v/>
      </c>
      <c r="Q148" s="20">
        <f>IF(A148="","",INDEX(الإعدادات!$I$7:$I$18,MONTH(A148)))</f>
        <v/>
      </c>
      <c r="R148" s="20">
        <f>IF(A148="","",IF(MONTH(A148)&gt;=8,YEAR(A148)&amp;"-"&amp;(YEAR(A148)+1),(YEAR(A148)-1)&amp;"-"&amp;YEAR(A148)))</f>
        <v/>
      </c>
      <c r="S148" s="20">
        <f>IF(OR(A148="",B148=""),0,IF(AND(R148=التقارير!$C$4,OR(التقارير!$C$5="سنوي",AND(التقارير!$C$5="شهري",P148=التقارير!$C$6),AND(التقارير!$C$5="فصلي",Q148=التقارير!$C$7))),1,0))</f>
        <v/>
      </c>
      <c r="T148" s="20">
        <f>IF(S148=1,COUNTIF($S$5:S148,1),"")</f>
        <v/>
      </c>
      <c r="U148">
        <f>IF(AND($A148&lt;&gt;"",$B148&lt;&gt;"",$R148='تقرير الفصل الأول'!$C$4,$Q148='تقرير الفصل الأول'!$C$7),COUNT(U$4:U147)+1,"")</f>
        <v/>
      </c>
      <c r="V148">
        <f>IF(AND($A148&lt;&gt;"",$B148&lt;&gt;"",$R148='تقرير الفصل الثاني'!$C$4,$Q148='تقرير الفصل الثاني'!$C$7),COUNT(V$4:V147)+1,"")</f>
        <v/>
      </c>
      <c r="W148">
        <f>IF(AND($A148&lt;&gt;"",$B148&lt;&gt;"",$R148='تقرير سبتمبر'!$C$4,$P148='تقرير سبتمبر'!$C$6),COUNT(W$4:W147)+1,"")</f>
        <v/>
      </c>
      <c r="X148">
        <f>IF(AND($A148&lt;&gt;"",$B148&lt;&gt;"",$R148='تقرير أكتوبر'!$C$4,$P148='تقرير أكتوبر'!$C$6),COUNT(X$4:X147)+1,"")</f>
        <v/>
      </c>
      <c r="Y148">
        <f>IF(AND($A148&lt;&gt;"",$B148&lt;&gt;"",$R148='تقرير نوفمبر'!$C$4,$P148='تقرير نوفمبر'!$C$6),COUNT(Y$4:Y147)+1,"")</f>
        <v/>
      </c>
      <c r="Z148">
        <f>IF(AND($A148&lt;&gt;"",$B148&lt;&gt;"",$R148='تقرير ديسمبر'!$C$4,$P148='تقرير ديسمبر'!$C$6),COUNT(Z$4:Z147)+1,"")</f>
        <v/>
      </c>
      <c r="AA148">
        <f>IF(AND($A148&lt;&gt;"",$B148&lt;&gt;"",$R148='تقرير يناير'!$C$4,$P148='تقرير يناير'!$C$6),COUNT(AA$4:AA147)+1,"")</f>
        <v/>
      </c>
      <c r="AB148">
        <f>IF(AND($A148&lt;&gt;"",$B148&lt;&gt;"",$R148='تقرير فبراير'!$C$4,$P148='تقرير فبراير'!$C$6),COUNT(AB$4:AB147)+1,"")</f>
        <v/>
      </c>
      <c r="AC148">
        <f>IF(AND($A148&lt;&gt;"",$B148&lt;&gt;"",$R148='تقرير مارس'!$C$4,$P148='تقرير مارس'!$C$6),COUNT(AC$4:AC147)+1,"")</f>
        <v/>
      </c>
      <c r="AD148">
        <f>IF(AND($A148&lt;&gt;"",$B148&lt;&gt;"",$R148='تقرير أبريل'!$C$4,$P148='تقرير أبريل'!$C$6),COUNT(AD$4:AD147)+1,"")</f>
        <v/>
      </c>
      <c r="AE148">
        <f>IF(AND($A148&lt;&gt;"",$B148&lt;&gt;"",$R148='تقرير مايو'!$C$4,$P148='تقرير مايو'!$C$6),COUNT(AE$4:AE147)+1,"")</f>
        <v/>
      </c>
    </row>
    <row r="149">
      <c r="A149" s="16" t="n"/>
      <c r="B149" s="17" t="n"/>
      <c r="C149" s="17" t="n"/>
      <c r="D149" s="18" t="n"/>
      <c r="E149" s="17" t="n"/>
      <c r="F149" s="17" t="n"/>
      <c r="G149" s="19" t="n"/>
      <c r="H149" s="17" t="n"/>
      <c r="I149" s="17" t="n"/>
      <c r="J149" s="17" t="n"/>
      <c r="K149" s="20">
        <f>IF($B149="","",IFERROR(INDEX(الموظفات!$A$5:$A$304,MATCH($B149,الموظفات!$B$5:$B$304,0))&amp;"",""))</f>
        <v/>
      </c>
      <c r="L149" s="21">
        <f>IF($B149="","",IFERROR(INDEX(الموظفات!$C$5:$C$304,MATCH($B149,الموظفات!$B$5:$B$304,0))&amp;"",""))</f>
        <v/>
      </c>
      <c r="M149" s="20">
        <f>IF($B149="","",IFERROR(INDEX(الموظفات!$D$5:$D$304,MATCH($B149,الموظفات!$B$5:$B$304,0))&amp;"",""))</f>
        <v/>
      </c>
      <c r="N149" s="20">
        <f>IF($B149="","",IFERROR(INDEX(الموظفات!$E$5:$E$304,MATCH($B149,الموظفات!$B$5:$B$304,0))&amp;"",""))</f>
        <v/>
      </c>
      <c r="O149" s="21">
        <f>IF(C149="","",IFERROR(INDEX(الإعدادات!$D$7:$D$35,MATCH(C149,الإعدادات!$A$7:$A$35,0))&amp;"",""))</f>
        <v/>
      </c>
      <c r="P149" s="20">
        <f>IF(A149="","",INDEX(الإعدادات!$H$7:$H$18,MONTH(A149)))</f>
        <v/>
      </c>
      <c r="Q149" s="20">
        <f>IF(A149="","",INDEX(الإعدادات!$I$7:$I$18,MONTH(A149)))</f>
        <v/>
      </c>
      <c r="R149" s="20">
        <f>IF(A149="","",IF(MONTH(A149)&gt;=8,YEAR(A149)&amp;"-"&amp;(YEAR(A149)+1),(YEAR(A149)-1)&amp;"-"&amp;YEAR(A149)))</f>
        <v/>
      </c>
      <c r="S149" s="20">
        <f>IF(OR(A149="",B149=""),0,IF(AND(R149=التقارير!$C$4,OR(التقارير!$C$5="سنوي",AND(التقارير!$C$5="شهري",P149=التقارير!$C$6),AND(التقارير!$C$5="فصلي",Q149=التقارير!$C$7))),1,0))</f>
        <v/>
      </c>
      <c r="T149" s="20">
        <f>IF(S149=1,COUNTIF($S$5:S149,1),"")</f>
        <v/>
      </c>
      <c r="U149">
        <f>IF(AND($A149&lt;&gt;"",$B149&lt;&gt;"",$R149='تقرير الفصل الأول'!$C$4,$Q149='تقرير الفصل الأول'!$C$7),COUNT(U$4:U148)+1,"")</f>
        <v/>
      </c>
      <c r="V149">
        <f>IF(AND($A149&lt;&gt;"",$B149&lt;&gt;"",$R149='تقرير الفصل الثاني'!$C$4,$Q149='تقرير الفصل الثاني'!$C$7),COUNT(V$4:V148)+1,"")</f>
        <v/>
      </c>
      <c r="W149">
        <f>IF(AND($A149&lt;&gt;"",$B149&lt;&gt;"",$R149='تقرير سبتمبر'!$C$4,$P149='تقرير سبتمبر'!$C$6),COUNT(W$4:W148)+1,"")</f>
        <v/>
      </c>
      <c r="X149">
        <f>IF(AND($A149&lt;&gt;"",$B149&lt;&gt;"",$R149='تقرير أكتوبر'!$C$4,$P149='تقرير أكتوبر'!$C$6),COUNT(X$4:X148)+1,"")</f>
        <v/>
      </c>
      <c r="Y149">
        <f>IF(AND($A149&lt;&gt;"",$B149&lt;&gt;"",$R149='تقرير نوفمبر'!$C$4,$P149='تقرير نوفمبر'!$C$6),COUNT(Y$4:Y148)+1,"")</f>
        <v/>
      </c>
      <c r="Z149">
        <f>IF(AND($A149&lt;&gt;"",$B149&lt;&gt;"",$R149='تقرير ديسمبر'!$C$4,$P149='تقرير ديسمبر'!$C$6),COUNT(Z$4:Z148)+1,"")</f>
        <v/>
      </c>
      <c r="AA149">
        <f>IF(AND($A149&lt;&gt;"",$B149&lt;&gt;"",$R149='تقرير يناير'!$C$4,$P149='تقرير يناير'!$C$6),COUNT(AA$4:AA148)+1,"")</f>
        <v/>
      </c>
      <c r="AB149">
        <f>IF(AND($A149&lt;&gt;"",$B149&lt;&gt;"",$R149='تقرير فبراير'!$C$4,$P149='تقرير فبراير'!$C$6),COUNT(AB$4:AB148)+1,"")</f>
        <v/>
      </c>
      <c r="AC149">
        <f>IF(AND($A149&lt;&gt;"",$B149&lt;&gt;"",$R149='تقرير مارس'!$C$4,$P149='تقرير مارس'!$C$6),COUNT(AC$4:AC148)+1,"")</f>
        <v/>
      </c>
      <c r="AD149">
        <f>IF(AND($A149&lt;&gt;"",$B149&lt;&gt;"",$R149='تقرير أبريل'!$C$4,$P149='تقرير أبريل'!$C$6),COUNT(AD$4:AD148)+1,"")</f>
        <v/>
      </c>
      <c r="AE149">
        <f>IF(AND($A149&lt;&gt;"",$B149&lt;&gt;"",$R149='تقرير مايو'!$C$4,$P149='تقرير مايو'!$C$6),COUNT(AE$4:AE148)+1,"")</f>
        <v/>
      </c>
    </row>
    <row r="150">
      <c r="A150" s="16" t="n"/>
      <c r="B150" s="17" t="n"/>
      <c r="C150" s="17" t="n"/>
      <c r="D150" s="18" t="n"/>
      <c r="E150" s="17" t="n"/>
      <c r="F150" s="17" t="n"/>
      <c r="G150" s="19" t="n"/>
      <c r="H150" s="17" t="n"/>
      <c r="I150" s="17" t="n"/>
      <c r="J150" s="17" t="n"/>
      <c r="K150" s="20">
        <f>IF($B150="","",IFERROR(INDEX(الموظفات!$A$5:$A$304,MATCH($B150,الموظفات!$B$5:$B$304,0))&amp;"",""))</f>
        <v/>
      </c>
      <c r="L150" s="21">
        <f>IF($B150="","",IFERROR(INDEX(الموظفات!$C$5:$C$304,MATCH($B150,الموظفات!$B$5:$B$304,0))&amp;"",""))</f>
        <v/>
      </c>
      <c r="M150" s="20">
        <f>IF($B150="","",IFERROR(INDEX(الموظفات!$D$5:$D$304,MATCH($B150,الموظفات!$B$5:$B$304,0))&amp;"",""))</f>
        <v/>
      </c>
      <c r="N150" s="20">
        <f>IF($B150="","",IFERROR(INDEX(الموظفات!$E$5:$E$304,MATCH($B150,الموظفات!$B$5:$B$304,0))&amp;"",""))</f>
        <v/>
      </c>
      <c r="O150" s="21">
        <f>IF(C150="","",IFERROR(INDEX(الإعدادات!$D$7:$D$35,MATCH(C150,الإعدادات!$A$7:$A$35,0))&amp;"",""))</f>
        <v/>
      </c>
      <c r="P150" s="20">
        <f>IF(A150="","",INDEX(الإعدادات!$H$7:$H$18,MONTH(A150)))</f>
        <v/>
      </c>
      <c r="Q150" s="20">
        <f>IF(A150="","",INDEX(الإعدادات!$I$7:$I$18,MONTH(A150)))</f>
        <v/>
      </c>
      <c r="R150" s="20">
        <f>IF(A150="","",IF(MONTH(A150)&gt;=8,YEAR(A150)&amp;"-"&amp;(YEAR(A150)+1),(YEAR(A150)-1)&amp;"-"&amp;YEAR(A150)))</f>
        <v/>
      </c>
      <c r="S150" s="20">
        <f>IF(OR(A150="",B150=""),0,IF(AND(R150=التقارير!$C$4,OR(التقارير!$C$5="سنوي",AND(التقارير!$C$5="شهري",P150=التقارير!$C$6),AND(التقارير!$C$5="فصلي",Q150=التقارير!$C$7))),1,0))</f>
        <v/>
      </c>
      <c r="T150" s="20">
        <f>IF(S150=1,COUNTIF($S$5:S150,1),"")</f>
        <v/>
      </c>
      <c r="U150">
        <f>IF(AND($A150&lt;&gt;"",$B150&lt;&gt;"",$R150='تقرير الفصل الأول'!$C$4,$Q150='تقرير الفصل الأول'!$C$7),COUNT(U$4:U149)+1,"")</f>
        <v/>
      </c>
      <c r="V150">
        <f>IF(AND($A150&lt;&gt;"",$B150&lt;&gt;"",$R150='تقرير الفصل الثاني'!$C$4,$Q150='تقرير الفصل الثاني'!$C$7),COUNT(V$4:V149)+1,"")</f>
        <v/>
      </c>
      <c r="W150">
        <f>IF(AND($A150&lt;&gt;"",$B150&lt;&gt;"",$R150='تقرير سبتمبر'!$C$4,$P150='تقرير سبتمبر'!$C$6),COUNT(W$4:W149)+1,"")</f>
        <v/>
      </c>
      <c r="X150">
        <f>IF(AND($A150&lt;&gt;"",$B150&lt;&gt;"",$R150='تقرير أكتوبر'!$C$4,$P150='تقرير أكتوبر'!$C$6),COUNT(X$4:X149)+1,"")</f>
        <v/>
      </c>
      <c r="Y150">
        <f>IF(AND($A150&lt;&gt;"",$B150&lt;&gt;"",$R150='تقرير نوفمبر'!$C$4,$P150='تقرير نوفمبر'!$C$6),COUNT(Y$4:Y149)+1,"")</f>
        <v/>
      </c>
      <c r="Z150">
        <f>IF(AND($A150&lt;&gt;"",$B150&lt;&gt;"",$R150='تقرير ديسمبر'!$C$4,$P150='تقرير ديسمبر'!$C$6),COUNT(Z$4:Z149)+1,"")</f>
        <v/>
      </c>
      <c r="AA150">
        <f>IF(AND($A150&lt;&gt;"",$B150&lt;&gt;"",$R150='تقرير يناير'!$C$4,$P150='تقرير يناير'!$C$6),COUNT(AA$4:AA149)+1,"")</f>
        <v/>
      </c>
      <c r="AB150">
        <f>IF(AND($A150&lt;&gt;"",$B150&lt;&gt;"",$R150='تقرير فبراير'!$C$4,$P150='تقرير فبراير'!$C$6),COUNT(AB$4:AB149)+1,"")</f>
        <v/>
      </c>
      <c r="AC150">
        <f>IF(AND($A150&lt;&gt;"",$B150&lt;&gt;"",$R150='تقرير مارس'!$C$4,$P150='تقرير مارس'!$C$6),COUNT(AC$4:AC149)+1,"")</f>
        <v/>
      </c>
      <c r="AD150">
        <f>IF(AND($A150&lt;&gt;"",$B150&lt;&gt;"",$R150='تقرير أبريل'!$C$4,$P150='تقرير أبريل'!$C$6),COUNT(AD$4:AD149)+1,"")</f>
        <v/>
      </c>
      <c r="AE150">
        <f>IF(AND($A150&lt;&gt;"",$B150&lt;&gt;"",$R150='تقرير مايو'!$C$4,$P150='تقرير مايو'!$C$6),COUNT(AE$4:AE149)+1,"")</f>
        <v/>
      </c>
    </row>
    <row r="151">
      <c r="A151" s="16" t="n"/>
      <c r="B151" s="17" t="n"/>
      <c r="C151" s="17" t="n"/>
      <c r="D151" s="18" t="n"/>
      <c r="E151" s="17" t="n"/>
      <c r="F151" s="17" t="n"/>
      <c r="G151" s="19" t="n"/>
      <c r="H151" s="17" t="n"/>
      <c r="I151" s="17" t="n"/>
      <c r="J151" s="17" t="n"/>
      <c r="K151" s="20">
        <f>IF($B151="","",IFERROR(INDEX(الموظفات!$A$5:$A$304,MATCH($B151,الموظفات!$B$5:$B$304,0))&amp;"",""))</f>
        <v/>
      </c>
      <c r="L151" s="21">
        <f>IF($B151="","",IFERROR(INDEX(الموظفات!$C$5:$C$304,MATCH($B151,الموظفات!$B$5:$B$304,0))&amp;"",""))</f>
        <v/>
      </c>
      <c r="M151" s="20">
        <f>IF($B151="","",IFERROR(INDEX(الموظفات!$D$5:$D$304,MATCH($B151,الموظفات!$B$5:$B$304,0))&amp;"",""))</f>
        <v/>
      </c>
      <c r="N151" s="20">
        <f>IF($B151="","",IFERROR(INDEX(الموظفات!$E$5:$E$304,MATCH($B151,الموظفات!$B$5:$B$304,0))&amp;"",""))</f>
        <v/>
      </c>
      <c r="O151" s="21">
        <f>IF(C151="","",IFERROR(INDEX(الإعدادات!$D$7:$D$35,MATCH(C151,الإعدادات!$A$7:$A$35,0))&amp;"",""))</f>
        <v/>
      </c>
      <c r="P151" s="20">
        <f>IF(A151="","",INDEX(الإعدادات!$H$7:$H$18,MONTH(A151)))</f>
        <v/>
      </c>
      <c r="Q151" s="20">
        <f>IF(A151="","",INDEX(الإعدادات!$I$7:$I$18,MONTH(A151)))</f>
        <v/>
      </c>
      <c r="R151" s="20">
        <f>IF(A151="","",IF(MONTH(A151)&gt;=8,YEAR(A151)&amp;"-"&amp;(YEAR(A151)+1),(YEAR(A151)-1)&amp;"-"&amp;YEAR(A151)))</f>
        <v/>
      </c>
      <c r="S151" s="20">
        <f>IF(OR(A151="",B151=""),0,IF(AND(R151=التقارير!$C$4,OR(التقارير!$C$5="سنوي",AND(التقارير!$C$5="شهري",P151=التقارير!$C$6),AND(التقارير!$C$5="فصلي",Q151=التقارير!$C$7))),1,0))</f>
        <v/>
      </c>
      <c r="T151" s="20">
        <f>IF(S151=1,COUNTIF($S$5:S151,1),"")</f>
        <v/>
      </c>
      <c r="U151">
        <f>IF(AND($A151&lt;&gt;"",$B151&lt;&gt;"",$R151='تقرير الفصل الأول'!$C$4,$Q151='تقرير الفصل الأول'!$C$7),COUNT(U$4:U150)+1,"")</f>
        <v/>
      </c>
      <c r="V151">
        <f>IF(AND($A151&lt;&gt;"",$B151&lt;&gt;"",$R151='تقرير الفصل الثاني'!$C$4,$Q151='تقرير الفصل الثاني'!$C$7),COUNT(V$4:V150)+1,"")</f>
        <v/>
      </c>
      <c r="W151">
        <f>IF(AND($A151&lt;&gt;"",$B151&lt;&gt;"",$R151='تقرير سبتمبر'!$C$4,$P151='تقرير سبتمبر'!$C$6),COUNT(W$4:W150)+1,"")</f>
        <v/>
      </c>
      <c r="X151">
        <f>IF(AND($A151&lt;&gt;"",$B151&lt;&gt;"",$R151='تقرير أكتوبر'!$C$4,$P151='تقرير أكتوبر'!$C$6),COUNT(X$4:X150)+1,"")</f>
        <v/>
      </c>
      <c r="Y151">
        <f>IF(AND($A151&lt;&gt;"",$B151&lt;&gt;"",$R151='تقرير نوفمبر'!$C$4,$P151='تقرير نوفمبر'!$C$6),COUNT(Y$4:Y150)+1,"")</f>
        <v/>
      </c>
      <c r="Z151">
        <f>IF(AND($A151&lt;&gt;"",$B151&lt;&gt;"",$R151='تقرير ديسمبر'!$C$4,$P151='تقرير ديسمبر'!$C$6),COUNT(Z$4:Z150)+1,"")</f>
        <v/>
      </c>
      <c r="AA151">
        <f>IF(AND($A151&lt;&gt;"",$B151&lt;&gt;"",$R151='تقرير يناير'!$C$4,$P151='تقرير يناير'!$C$6),COUNT(AA$4:AA150)+1,"")</f>
        <v/>
      </c>
      <c r="AB151">
        <f>IF(AND($A151&lt;&gt;"",$B151&lt;&gt;"",$R151='تقرير فبراير'!$C$4,$P151='تقرير فبراير'!$C$6),COUNT(AB$4:AB150)+1,"")</f>
        <v/>
      </c>
      <c r="AC151">
        <f>IF(AND($A151&lt;&gt;"",$B151&lt;&gt;"",$R151='تقرير مارس'!$C$4,$P151='تقرير مارس'!$C$6),COUNT(AC$4:AC150)+1,"")</f>
        <v/>
      </c>
      <c r="AD151">
        <f>IF(AND($A151&lt;&gt;"",$B151&lt;&gt;"",$R151='تقرير أبريل'!$C$4,$P151='تقرير أبريل'!$C$6),COUNT(AD$4:AD150)+1,"")</f>
        <v/>
      </c>
      <c r="AE151">
        <f>IF(AND($A151&lt;&gt;"",$B151&lt;&gt;"",$R151='تقرير مايو'!$C$4,$P151='تقرير مايو'!$C$6),COUNT(AE$4:AE150)+1,"")</f>
        <v/>
      </c>
    </row>
    <row r="152">
      <c r="A152" s="16" t="n"/>
      <c r="B152" s="17" t="n"/>
      <c r="C152" s="17" t="n"/>
      <c r="D152" s="18" t="n"/>
      <c r="E152" s="17" t="n"/>
      <c r="F152" s="17" t="n"/>
      <c r="G152" s="19" t="n"/>
      <c r="H152" s="17" t="n"/>
      <c r="I152" s="17" t="n"/>
      <c r="J152" s="17" t="n"/>
      <c r="K152" s="20">
        <f>IF($B152="","",IFERROR(INDEX(الموظفات!$A$5:$A$304,MATCH($B152,الموظفات!$B$5:$B$304,0))&amp;"",""))</f>
        <v/>
      </c>
      <c r="L152" s="21">
        <f>IF($B152="","",IFERROR(INDEX(الموظفات!$C$5:$C$304,MATCH($B152,الموظفات!$B$5:$B$304,0))&amp;"",""))</f>
        <v/>
      </c>
      <c r="M152" s="20">
        <f>IF($B152="","",IFERROR(INDEX(الموظفات!$D$5:$D$304,MATCH($B152,الموظفات!$B$5:$B$304,0))&amp;"",""))</f>
        <v/>
      </c>
      <c r="N152" s="20">
        <f>IF($B152="","",IFERROR(INDEX(الموظفات!$E$5:$E$304,MATCH($B152,الموظفات!$B$5:$B$304,0))&amp;"",""))</f>
        <v/>
      </c>
      <c r="O152" s="21">
        <f>IF(C152="","",IFERROR(INDEX(الإعدادات!$D$7:$D$35,MATCH(C152,الإعدادات!$A$7:$A$35,0))&amp;"",""))</f>
        <v/>
      </c>
      <c r="P152" s="20">
        <f>IF(A152="","",INDEX(الإعدادات!$H$7:$H$18,MONTH(A152)))</f>
        <v/>
      </c>
      <c r="Q152" s="20">
        <f>IF(A152="","",INDEX(الإعدادات!$I$7:$I$18,MONTH(A152)))</f>
        <v/>
      </c>
      <c r="R152" s="20">
        <f>IF(A152="","",IF(MONTH(A152)&gt;=8,YEAR(A152)&amp;"-"&amp;(YEAR(A152)+1),(YEAR(A152)-1)&amp;"-"&amp;YEAR(A152)))</f>
        <v/>
      </c>
      <c r="S152" s="20">
        <f>IF(OR(A152="",B152=""),0,IF(AND(R152=التقارير!$C$4,OR(التقارير!$C$5="سنوي",AND(التقارير!$C$5="شهري",P152=التقارير!$C$6),AND(التقارير!$C$5="فصلي",Q152=التقارير!$C$7))),1,0))</f>
        <v/>
      </c>
      <c r="T152" s="20">
        <f>IF(S152=1,COUNTIF($S$5:S152,1),"")</f>
        <v/>
      </c>
      <c r="U152">
        <f>IF(AND($A152&lt;&gt;"",$B152&lt;&gt;"",$R152='تقرير الفصل الأول'!$C$4,$Q152='تقرير الفصل الأول'!$C$7),COUNT(U$4:U151)+1,"")</f>
        <v/>
      </c>
      <c r="V152">
        <f>IF(AND($A152&lt;&gt;"",$B152&lt;&gt;"",$R152='تقرير الفصل الثاني'!$C$4,$Q152='تقرير الفصل الثاني'!$C$7),COUNT(V$4:V151)+1,"")</f>
        <v/>
      </c>
      <c r="W152">
        <f>IF(AND($A152&lt;&gt;"",$B152&lt;&gt;"",$R152='تقرير سبتمبر'!$C$4,$P152='تقرير سبتمبر'!$C$6),COUNT(W$4:W151)+1,"")</f>
        <v/>
      </c>
      <c r="X152">
        <f>IF(AND($A152&lt;&gt;"",$B152&lt;&gt;"",$R152='تقرير أكتوبر'!$C$4,$P152='تقرير أكتوبر'!$C$6),COUNT(X$4:X151)+1,"")</f>
        <v/>
      </c>
      <c r="Y152">
        <f>IF(AND($A152&lt;&gt;"",$B152&lt;&gt;"",$R152='تقرير نوفمبر'!$C$4,$P152='تقرير نوفمبر'!$C$6),COUNT(Y$4:Y151)+1,"")</f>
        <v/>
      </c>
      <c r="Z152">
        <f>IF(AND($A152&lt;&gt;"",$B152&lt;&gt;"",$R152='تقرير ديسمبر'!$C$4,$P152='تقرير ديسمبر'!$C$6),COUNT(Z$4:Z151)+1,"")</f>
        <v/>
      </c>
      <c r="AA152">
        <f>IF(AND($A152&lt;&gt;"",$B152&lt;&gt;"",$R152='تقرير يناير'!$C$4,$P152='تقرير يناير'!$C$6),COUNT(AA$4:AA151)+1,"")</f>
        <v/>
      </c>
      <c r="AB152">
        <f>IF(AND($A152&lt;&gt;"",$B152&lt;&gt;"",$R152='تقرير فبراير'!$C$4,$P152='تقرير فبراير'!$C$6),COUNT(AB$4:AB151)+1,"")</f>
        <v/>
      </c>
      <c r="AC152">
        <f>IF(AND($A152&lt;&gt;"",$B152&lt;&gt;"",$R152='تقرير مارس'!$C$4,$P152='تقرير مارس'!$C$6),COUNT(AC$4:AC151)+1,"")</f>
        <v/>
      </c>
      <c r="AD152">
        <f>IF(AND($A152&lt;&gt;"",$B152&lt;&gt;"",$R152='تقرير أبريل'!$C$4,$P152='تقرير أبريل'!$C$6),COUNT(AD$4:AD151)+1,"")</f>
        <v/>
      </c>
      <c r="AE152">
        <f>IF(AND($A152&lt;&gt;"",$B152&lt;&gt;"",$R152='تقرير مايو'!$C$4,$P152='تقرير مايو'!$C$6),COUNT(AE$4:AE151)+1,"")</f>
        <v/>
      </c>
    </row>
    <row r="153">
      <c r="A153" s="16" t="n"/>
      <c r="B153" s="17" t="n"/>
      <c r="C153" s="17" t="n"/>
      <c r="D153" s="18" t="n"/>
      <c r="E153" s="17" t="n"/>
      <c r="F153" s="17" t="n"/>
      <c r="G153" s="19" t="n"/>
      <c r="H153" s="17" t="n"/>
      <c r="I153" s="17" t="n"/>
      <c r="J153" s="17" t="n"/>
      <c r="K153" s="20">
        <f>IF($B153="","",IFERROR(INDEX(الموظفات!$A$5:$A$304,MATCH($B153,الموظفات!$B$5:$B$304,0))&amp;"",""))</f>
        <v/>
      </c>
      <c r="L153" s="21">
        <f>IF($B153="","",IFERROR(INDEX(الموظفات!$C$5:$C$304,MATCH($B153,الموظفات!$B$5:$B$304,0))&amp;"",""))</f>
        <v/>
      </c>
      <c r="M153" s="20">
        <f>IF($B153="","",IFERROR(INDEX(الموظفات!$D$5:$D$304,MATCH($B153,الموظفات!$B$5:$B$304,0))&amp;"",""))</f>
        <v/>
      </c>
      <c r="N153" s="20">
        <f>IF($B153="","",IFERROR(INDEX(الموظفات!$E$5:$E$304,MATCH($B153,الموظفات!$B$5:$B$304,0))&amp;"",""))</f>
        <v/>
      </c>
      <c r="O153" s="21">
        <f>IF(C153="","",IFERROR(INDEX(الإعدادات!$D$7:$D$35,MATCH(C153,الإعدادات!$A$7:$A$35,0))&amp;"",""))</f>
        <v/>
      </c>
      <c r="P153" s="20">
        <f>IF(A153="","",INDEX(الإعدادات!$H$7:$H$18,MONTH(A153)))</f>
        <v/>
      </c>
      <c r="Q153" s="20">
        <f>IF(A153="","",INDEX(الإعدادات!$I$7:$I$18,MONTH(A153)))</f>
        <v/>
      </c>
      <c r="R153" s="20">
        <f>IF(A153="","",IF(MONTH(A153)&gt;=8,YEAR(A153)&amp;"-"&amp;(YEAR(A153)+1),(YEAR(A153)-1)&amp;"-"&amp;YEAR(A153)))</f>
        <v/>
      </c>
      <c r="S153" s="20">
        <f>IF(OR(A153="",B153=""),0,IF(AND(R153=التقارير!$C$4,OR(التقارير!$C$5="سنوي",AND(التقارير!$C$5="شهري",P153=التقارير!$C$6),AND(التقارير!$C$5="فصلي",Q153=التقارير!$C$7))),1,0))</f>
        <v/>
      </c>
      <c r="T153" s="20">
        <f>IF(S153=1,COUNTIF($S$5:S153,1),"")</f>
        <v/>
      </c>
      <c r="U153">
        <f>IF(AND($A153&lt;&gt;"",$B153&lt;&gt;"",$R153='تقرير الفصل الأول'!$C$4,$Q153='تقرير الفصل الأول'!$C$7),COUNT(U$4:U152)+1,"")</f>
        <v/>
      </c>
      <c r="V153">
        <f>IF(AND($A153&lt;&gt;"",$B153&lt;&gt;"",$R153='تقرير الفصل الثاني'!$C$4,$Q153='تقرير الفصل الثاني'!$C$7),COUNT(V$4:V152)+1,"")</f>
        <v/>
      </c>
      <c r="W153">
        <f>IF(AND($A153&lt;&gt;"",$B153&lt;&gt;"",$R153='تقرير سبتمبر'!$C$4,$P153='تقرير سبتمبر'!$C$6),COUNT(W$4:W152)+1,"")</f>
        <v/>
      </c>
      <c r="X153">
        <f>IF(AND($A153&lt;&gt;"",$B153&lt;&gt;"",$R153='تقرير أكتوبر'!$C$4,$P153='تقرير أكتوبر'!$C$6),COUNT(X$4:X152)+1,"")</f>
        <v/>
      </c>
      <c r="Y153">
        <f>IF(AND($A153&lt;&gt;"",$B153&lt;&gt;"",$R153='تقرير نوفمبر'!$C$4,$P153='تقرير نوفمبر'!$C$6),COUNT(Y$4:Y152)+1,"")</f>
        <v/>
      </c>
      <c r="Z153">
        <f>IF(AND($A153&lt;&gt;"",$B153&lt;&gt;"",$R153='تقرير ديسمبر'!$C$4,$P153='تقرير ديسمبر'!$C$6),COUNT(Z$4:Z152)+1,"")</f>
        <v/>
      </c>
      <c r="AA153">
        <f>IF(AND($A153&lt;&gt;"",$B153&lt;&gt;"",$R153='تقرير يناير'!$C$4,$P153='تقرير يناير'!$C$6),COUNT(AA$4:AA152)+1,"")</f>
        <v/>
      </c>
      <c r="AB153">
        <f>IF(AND($A153&lt;&gt;"",$B153&lt;&gt;"",$R153='تقرير فبراير'!$C$4,$P153='تقرير فبراير'!$C$6),COUNT(AB$4:AB152)+1,"")</f>
        <v/>
      </c>
      <c r="AC153">
        <f>IF(AND($A153&lt;&gt;"",$B153&lt;&gt;"",$R153='تقرير مارس'!$C$4,$P153='تقرير مارس'!$C$6),COUNT(AC$4:AC152)+1,"")</f>
        <v/>
      </c>
      <c r="AD153">
        <f>IF(AND($A153&lt;&gt;"",$B153&lt;&gt;"",$R153='تقرير أبريل'!$C$4,$P153='تقرير أبريل'!$C$6),COUNT(AD$4:AD152)+1,"")</f>
        <v/>
      </c>
      <c r="AE153">
        <f>IF(AND($A153&lt;&gt;"",$B153&lt;&gt;"",$R153='تقرير مايو'!$C$4,$P153='تقرير مايو'!$C$6),COUNT(AE$4:AE152)+1,"")</f>
        <v/>
      </c>
    </row>
    <row r="154">
      <c r="A154" s="16" t="n"/>
      <c r="B154" s="17" t="n"/>
      <c r="C154" s="17" t="n"/>
      <c r="D154" s="18" t="n"/>
      <c r="E154" s="17" t="n"/>
      <c r="F154" s="17" t="n"/>
      <c r="G154" s="19" t="n"/>
      <c r="H154" s="17" t="n"/>
      <c r="I154" s="17" t="n"/>
      <c r="J154" s="17" t="n"/>
      <c r="K154" s="20">
        <f>IF($B154="","",IFERROR(INDEX(الموظفات!$A$5:$A$304,MATCH($B154,الموظفات!$B$5:$B$304,0))&amp;"",""))</f>
        <v/>
      </c>
      <c r="L154" s="21">
        <f>IF($B154="","",IFERROR(INDEX(الموظفات!$C$5:$C$304,MATCH($B154,الموظفات!$B$5:$B$304,0))&amp;"",""))</f>
        <v/>
      </c>
      <c r="M154" s="20">
        <f>IF($B154="","",IFERROR(INDEX(الموظفات!$D$5:$D$304,MATCH($B154,الموظفات!$B$5:$B$304,0))&amp;"",""))</f>
        <v/>
      </c>
      <c r="N154" s="20">
        <f>IF($B154="","",IFERROR(INDEX(الموظفات!$E$5:$E$304,MATCH($B154,الموظفات!$B$5:$B$304,0))&amp;"",""))</f>
        <v/>
      </c>
      <c r="O154" s="21">
        <f>IF(C154="","",IFERROR(INDEX(الإعدادات!$D$7:$D$35,MATCH(C154,الإعدادات!$A$7:$A$35,0))&amp;"",""))</f>
        <v/>
      </c>
      <c r="P154" s="20">
        <f>IF(A154="","",INDEX(الإعدادات!$H$7:$H$18,MONTH(A154)))</f>
        <v/>
      </c>
      <c r="Q154" s="20">
        <f>IF(A154="","",INDEX(الإعدادات!$I$7:$I$18,MONTH(A154)))</f>
        <v/>
      </c>
      <c r="R154" s="20">
        <f>IF(A154="","",IF(MONTH(A154)&gt;=8,YEAR(A154)&amp;"-"&amp;(YEAR(A154)+1),(YEAR(A154)-1)&amp;"-"&amp;YEAR(A154)))</f>
        <v/>
      </c>
      <c r="S154" s="20">
        <f>IF(OR(A154="",B154=""),0,IF(AND(R154=التقارير!$C$4,OR(التقارير!$C$5="سنوي",AND(التقارير!$C$5="شهري",P154=التقارير!$C$6),AND(التقارير!$C$5="فصلي",Q154=التقارير!$C$7))),1,0))</f>
        <v/>
      </c>
      <c r="T154" s="20">
        <f>IF(S154=1,COUNTIF($S$5:S154,1),"")</f>
        <v/>
      </c>
      <c r="U154">
        <f>IF(AND($A154&lt;&gt;"",$B154&lt;&gt;"",$R154='تقرير الفصل الأول'!$C$4,$Q154='تقرير الفصل الأول'!$C$7),COUNT(U$4:U153)+1,"")</f>
        <v/>
      </c>
      <c r="V154">
        <f>IF(AND($A154&lt;&gt;"",$B154&lt;&gt;"",$R154='تقرير الفصل الثاني'!$C$4,$Q154='تقرير الفصل الثاني'!$C$7),COUNT(V$4:V153)+1,"")</f>
        <v/>
      </c>
      <c r="W154">
        <f>IF(AND($A154&lt;&gt;"",$B154&lt;&gt;"",$R154='تقرير سبتمبر'!$C$4,$P154='تقرير سبتمبر'!$C$6),COUNT(W$4:W153)+1,"")</f>
        <v/>
      </c>
      <c r="X154">
        <f>IF(AND($A154&lt;&gt;"",$B154&lt;&gt;"",$R154='تقرير أكتوبر'!$C$4,$P154='تقرير أكتوبر'!$C$6),COUNT(X$4:X153)+1,"")</f>
        <v/>
      </c>
      <c r="Y154">
        <f>IF(AND($A154&lt;&gt;"",$B154&lt;&gt;"",$R154='تقرير نوفمبر'!$C$4,$P154='تقرير نوفمبر'!$C$6),COUNT(Y$4:Y153)+1,"")</f>
        <v/>
      </c>
      <c r="Z154">
        <f>IF(AND($A154&lt;&gt;"",$B154&lt;&gt;"",$R154='تقرير ديسمبر'!$C$4,$P154='تقرير ديسمبر'!$C$6),COUNT(Z$4:Z153)+1,"")</f>
        <v/>
      </c>
      <c r="AA154">
        <f>IF(AND($A154&lt;&gt;"",$B154&lt;&gt;"",$R154='تقرير يناير'!$C$4,$P154='تقرير يناير'!$C$6),COUNT(AA$4:AA153)+1,"")</f>
        <v/>
      </c>
      <c r="AB154">
        <f>IF(AND($A154&lt;&gt;"",$B154&lt;&gt;"",$R154='تقرير فبراير'!$C$4,$P154='تقرير فبراير'!$C$6),COUNT(AB$4:AB153)+1,"")</f>
        <v/>
      </c>
      <c r="AC154">
        <f>IF(AND($A154&lt;&gt;"",$B154&lt;&gt;"",$R154='تقرير مارس'!$C$4,$P154='تقرير مارس'!$C$6),COUNT(AC$4:AC153)+1,"")</f>
        <v/>
      </c>
      <c r="AD154">
        <f>IF(AND($A154&lt;&gt;"",$B154&lt;&gt;"",$R154='تقرير أبريل'!$C$4,$P154='تقرير أبريل'!$C$6),COUNT(AD$4:AD153)+1,"")</f>
        <v/>
      </c>
      <c r="AE154">
        <f>IF(AND($A154&lt;&gt;"",$B154&lt;&gt;"",$R154='تقرير مايو'!$C$4,$P154='تقرير مايو'!$C$6),COUNT(AE$4:AE153)+1,"")</f>
        <v/>
      </c>
    </row>
    <row r="155">
      <c r="A155" s="16" t="n"/>
      <c r="B155" s="17" t="n"/>
      <c r="C155" s="17" t="n"/>
      <c r="D155" s="18" t="n"/>
      <c r="E155" s="17" t="n"/>
      <c r="F155" s="17" t="n"/>
      <c r="G155" s="19" t="n"/>
      <c r="H155" s="17" t="n"/>
      <c r="I155" s="17" t="n"/>
      <c r="J155" s="17" t="n"/>
      <c r="K155" s="20">
        <f>IF($B155="","",IFERROR(INDEX(الموظفات!$A$5:$A$304,MATCH($B155,الموظفات!$B$5:$B$304,0))&amp;"",""))</f>
        <v/>
      </c>
      <c r="L155" s="21">
        <f>IF($B155="","",IFERROR(INDEX(الموظفات!$C$5:$C$304,MATCH($B155,الموظفات!$B$5:$B$304,0))&amp;"",""))</f>
        <v/>
      </c>
      <c r="M155" s="20">
        <f>IF($B155="","",IFERROR(INDEX(الموظفات!$D$5:$D$304,MATCH($B155,الموظفات!$B$5:$B$304,0))&amp;"",""))</f>
        <v/>
      </c>
      <c r="N155" s="20">
        <f>IF($B155="","",IFERROR(INDEX(الموظفات!$E$5:$E$304,MATCH($B155,الموظفات!$B$5:$B$304,0))&amp;"",""))</f>
        <v/>
      </c>
      <c r="O155" s="21">
        <f>IF(C155="","",IFERROR(INDEX(الإعدادات!$D$7:$D$35,MATCH(C155,الإعدادات!$A$7:$A$35,0))&amp;"",""))</f>
        <v/>
      </c>
      <c r="P155" s="20">
        <f>IF(A155="","",INDEX(الإعدادات!$H$7:$H$18,MONTH(A155)))</f>
        <v/>
      </c>
      <c r="Q155" s="20">
        <f>IF(A155="","",INDEX(الإعدادات!$I$7:$I$18,MONTH(A155)))</f>
        <v/>
      </c>
      <c r="R155" s="20">
        <f>IF(A155="","",IF(MONTH(A155)&gt;=8,YEAR(A155)&amp;"-"&amp;(YEAR(A155)+1),(YEAR(A155)-1)&amp;"-"&amp;YEAR(A155)))</f>
        <v/>
      </c>
      <c r="S155" s="20">
        <f>IF(OR(A155="",B155=""),0,IF(AND(R155=التقارير!$C$4,OR(التقارير!$C$5="سنوي",AND(التقارير!$C$5="شهري",P155=التقارير!$C$6),AND(التقارير!$C$5="فصلي",Q155=التقارير!$C$7))),1,0))</f>
        <v/>
      </c>
      <c r="T155" s="20">
        <f>IF(S155=1,COUNTIF($S$5:S155,1),"")</f>
        <v/>
      </c>
      <c r="U155">
        <f>IF(AND($A155&lt;&gt;"",$B155&lt;&gt;"",$R155='تقرير الفصل الأول'!$C$4,$Q155='تقرير الفصل الأول'!$C$7),COUNT(U$4:U154)+1,"")</f>
        <v/>
      </c>
      <c r="V155">
        <f>IF(AND($A155&lt;&gt;"",$B155&lt;&gt;"",$R155='تقرير الفصل الثاني'!$C$4,$Q155='تقرير الفصل الثاني'!$C$7),COUNT(V$4:V154)+1,"")</f>
        <v/>
      </c>
      <c r="W155">
        <f>IF(AND($A155&lt;&gt;"",$B155&lt;&gt;"",$R155='تقرير سبتمبر'!$C$4,$P155='تقرير سبتمبر'!$C$6),COUNT(W$4:W154)+1,"")</f>
        <v/>
      </c>
      <c r="X155">
        <f>IF(AND($A155&lt;&gt;"",$B155&lt;&gt;"",$R155='تقرير أكتوبر'!$C$4,$P155='تقرير أكتوبر'!$C$6),COUNT(X$4:X154)+1,"")</f>
        <v/>
      </c>
      <c r="Y155">
        <f>IF(AND($A155&lt;&gt;"",$B155&lt;&gt;"",$R155='تقرير نوفمبر'!$C$4,$P155='تقرير نوفمبر'!$C$6),COUNT(Y$4:Y154)+1,"")</f>
        <v/>
      </c>
      <c r="Z155">
        <f>IF(AND($A155&lt;&gt;"",$B155&lt;&gt;"",$R155='تقرير ديسمبر'!$C$4,$P155='تقرير ديسمبر'!$C$6),COUNT(Z$4:Z154)+1,"")</f>
        <v/>
      </c>
      <c r="AA155">
        <f>IF(AND($A155&lt;&gt;"",$B155&lt;&gt;"",$R155='تقرير يناير'!$C$4,$P155='تقرير يناير'!$C$6),COUNT(AA$4:AA154)+1,"")</f>
        <v/>
      </c>
      <c r="AB155">
        <f>IF(AND($A155&lt;&gt;"",$B155&lt;&gt;"",$R155='تقرير فبراير'!$C$4,$P155='تقرير فبراير'!$C$6),COUNT(AB$4:AB154)+1,"")</f>
        <v/>
      </c>
      <c r="AC155">
        <f>IF(AND($A155&lt;&gt;"",$B155&lt;&gt;"",$R155='تقرير مارس'!$C$4,$P155='تقرير مارس'!$C$6),COUNT(AC$4:AC154)+1,"")</f>
        <v/>
      </c>
      <c r="AD155">
        <f>IF(AND($A155&lt;&gt;"",$B155&lt;&gt;"",$R155='تقرير أبريل'!$C$4,$P155='تقرير أبريل'!$C$6),COUNT(AD$4:AD154)+1,"")</f>
        <v/>
      </c>
      <c r="AE155">
        <f>IF(AND($A155&lt;&gt;"",$B155&lt;&gt;"",$R155='تقرير مايو'!$C$4,$P155='تقرير مايو'!$C$6),COUNT(AE$4:AE154)+1,"")</f>
        <v/>
      </c>
    </row>
    <row r="156">
      <c r="A156" s="16" t="n"/>
      <c r="B156" s="17" t="n"/>
      <c r="C156" s="17" t="n"/>
      <c r="D156" s="18" t="n"/>
      <c r="E156" s="17" t="n"/>
      <c r="F156" s="17" t="n"/>
      <c r="G156" s="19" t="n"/>
      <c r="H156" s="17" t="n"/>
      <c r="I156" s="17" t="n"/>
      <c r="J156" s="17" t="n"/>
      <c r="K156" s="20">
        <f>IF($B156="","",IFERROR(INDEX(الموظفات!$A$5:$A$304,MATCH($B156,الموظفات!$B$5:$B$304,0))&amp;"",""))</f>
        <v/>
      </c>
      <c r="L156" s="21">
        <f>IF($B156="","",IFERROR(INDEX(الموظفات!$C$5:$C$304,MATCH($B156,الموظفات!$B$5:$B$304,0))&amp;"",""))</f>
        <v/>
      </c>
      <c r="M156" s="20">
        <f>IF($B156="","",IFERROR(INDEX(الموظفات!$D$5:$D$304,MATCH($B156,الموظفات!$B$5:$B$304,0))&amp;"",""))</f>
        <v/>
      </c>
      <c r="N156" s="20">
        <f>IF($B156="","",IFERROR(INDEX(الموظفات!$E$5:$E$304,MATCH($B156,الموظفات!$B$5:$B$304,0))&amp;"",""))</f>
        <v/>
      </c>
      <c r="O156" s="21">
        <f>IF(C156="","",IFERROR(INDEX(الإعدادات!$D$7:$D$35,MATCH(C156,الإعدادات!$A$7:$A$35,0))&amp;"",""))</f>
        <v/>
      </c>
      <c r="P156" s="20">
        <f>IF(A156="","",INDEX(الإعدادات!$H$7:$H$18,MONTH(A156)))</f>
        <v/>
      </c>
      <c r="Q156" s="20">
        <f>IF(A156="","",INDEX(الإعدادات!$I$7:$I$18,MONTH(A156)))</f>
        <v/>
      </c>
      <c r="R156" s="20">
        <f>IF(A156="","",IF(MONTH(A156)&gt;=8,YEAR(A156)&amp;"-"&amp;(YEAR(A156)+1),(YEAR(A156)-1)&amp;"-"&amp;YEAR(A156)))</f>
        <v/>
      </c>
      <c r="S156" s="20">
        <f>IF(OR(A156="",B156=""),0,IF(AND(R156=التقارير!$C$4,OR(التقارير!$C$5="سنوي",AND(التقارير!$C$5="شهري",P156=التقارير!$C$6),AND(التقارير!$C$5="فصلي",Q156=التقارير!$C$7))),1,0))</f>
        <v/>
      </c>
      <c r="T156" s="20">
        <f>IF(S156=1,COUNTIF($S$5:S156,1),"")</f>
        <v/>
      </c>
      <c r="U156">
        <f>IF(AND($A156&lt;&gt;"",$B156&lt;&gt;"",$R156='تقرير الفصل الأول'!$C$4,$Q156='تقرير الفصل الأول'!$C$7),COUNT(U$4:U155)+1,"")</f>
        <v/>
      </c>
      <c r="V156">
        <f>IF(AND($A156&lt;&gt;"",$B156&lt;&gt;"",$R156='تقرير الفصل الثاني'!$C$4,$Q156='تقرير الفصل الثاني'!$C$7),COUNT(V$4:V155)+1,"")</f>
        <v/>
      </c>
      <c r="W156">
        <f>IF(AND($A156&lt;&gt;"",$B156&lt;&gt;"",$R156='تقرير سبتمبر'!$C$4,$P156='تقرير سبتمبر'!$C$6),COUNT(W$4:W155)+1,"")</f>
        <v/>
      </c>
      <c r="X156">
        <f>IF(AND($A156&lt;&gt;"",$B156&lt;&gt;"",$R156='تقرير أكتوبر'!$C$4,$P156='تقرير أكتوبر'!$C$6),COUNT(X$4:X155)+1,"")</f>
        <v/>
      </c>
      <c r="Y156">
        <f>IF(AND($A156&lt;&gt;"",$B156&lt;&gt;"",$R156='تقرير نوفمبر'!$C$4,$P156='تقرير نوفمبر'!$C$6),COUNT(Y$4:Y155)+1,"")</f>
        <v/>
      </c>
      <c r="Z156">
        <f>IF(AND($A156&lt;&gt;"",$B156&lt;&gt;"",$R156='تقرير ديسمبر'!$C$4,$P156='تقرير ديسمبر'!$C$6),COUNT(Z$4:Z155)+1,"")</f>
        <v/>
      </c>
      <c r="AA156">
        <f>IF(AND($A156&lt;&gt;"",$B156&lt;&gt;"",$R156='تقرير يناير'!$C$4,$P156='تقرير يناير'!$C$6),COUNT(AA$4:AA155)+1,"")</f>
        <v/>
      </c>
      <c r="AB156">
        <f>IF(AND($A156&lt;&gt;"",$B156&lt;&gt;"",$R156='تقرير فبراير'!$C$4,$P156='تقرير فبراير'!$C$6),COUNT(AB$4:AB155)+1,"")</f>
        <v/>
      </c>
      <c r="AC156">
        <f>IF(AND($A156&lt;&gt;"",$B156&lt;&gt;"",$R156='تقرير مارس'!$C$4,$P156='تقرير مارس'!$C$6),COUNT(AC$4:AC155)+1,"")</f>
        <v/>
      </c>
      <c r="AD156">
        <f>IF(AND($A156&lt;&gt;"",$B156&lt;&gt;"",$R156='تقرير أبريل'!$C$4,$P156='تقرير أبريل'!$C$6),COUNT(AD$4:AD155)+1,"")</f>
        <v/>
      </c>
      <c r="AE156">
        <f>IF(AND($A156&lt;&gt;"",$B156&lt;&gt;"",$R156='تقرير مايو'!$C$4,$P156='تقرير مايو'!$C$6),COUNT(AE$4:AE155)+1,"")</f>
        <v/>
      </c>
    </row>
    <row r="157">
      <c r="A157" s="16" t="n"/>
      <c r="B157" s="17" t="n"/>
      <c r="C157" s="17" t="n"/>
      <c r="D157" s="18" t="n"/>
      <c r="E157" s="17" t="n"/>
      <c r="F157" s="17" t="n"/>
      <c r="G157" s="19" t="n"/>
      <c r="H157" s="17" t="n"/>
      <c r="I157" s="17" t="n"/>
      <c r="J157" s="17" t="n"/>
      <c r="K157" s="20">
        <f>IF($B157="","",IFERROR(INDEX(الموظفات!$A$5:$A$304,MATCH($B157,الموظفات!$B$5:$B$304,0))&amp;"",""))</f>
        <v/>
      </c>
      <c r="L157" s="21">
        <f>IF($B157="","",IFERROR(INDEX(الموظفات!$C$5:$C$304,MATCH($B157,الموظفات!$B$5:$B$304,0))&amp;"",""))</f>
        <v/>
      </c>
      <c r="M157" s="20">
        <f>IF($B157="","",IFERROR(INDEX(الموظفات!$D$5:$D$304,MATCH($B157,الموظفات!$B$5:$B$304,0))&amp;"",""))</f>
        <v/>
      </c>
      <c r="N157" s="20">
        <f>IF($B157="","",IFERROR(INDEX(الموظفات!$E$5:$E$304,MATCH($B157,الموظفات!$B$5:$B$304,0))&amp;"",""))</f>
        <v/>
      </c>
      <c r="O157" s="21">
        <f>IF(C157="","",IFERROR(INDEX(الإعدادات!$D$7:$D$35,MATCH(C157,الإعدادات!$A$7:$A$35,0))&amp;"",""))</f>
        <v/>
      </c>
      <c r="P157" s="20">
        <f>IF(A157="","",INDEX(الإعدادات!$H$7:$H$18,MONTH(A157)))</f>
        <v/>
      </c>
      <c r="Q157" s="20">
        <f>IF(A157="","",INDEX(الإعدادات!$I$7:$I$18,MONTH(A157)))</f>
        <v/>
      </c>
      <c r="R157" s="20">
        <f>IF(A157="","",IF(MONTH(A157)&gt;=8,YEAR(A157)&amp;"-"&amp;(YEAR(A157)+1),(YEAR(A157)-1)&amp;"-"&amp;YEAR(A157)))</f>
        <v/>
      </c>
      <c r="S157" s="20">
        <f>IF(OR(A157="",B157=""),0,IF(AND(R157=التقارير!$C$4,OR(التقارير!$C$5="سنوي",AND(التقارير!$C$5="شهري",P157=التقارير!$C$6),AND(التقارير!$C$5="فصلي",Q157=التقارير!$C$7))),1,0))</f>
        <v/>
      </c>
      <c r="T157" s="20">
        <f>IF(S157=1,COUNTIF($S$5:S157,1),"")</f>
        <v/>
      </c>
      <c r="U157">
        <f>IF(AND($A157&lt;&gt;"",$B157&lt;&gt;"",$R157='تقرير الفصل الأول'!$C$4,$Q157='تقرير الفصل الأول'!$C$7),COUNT(U$4:U156)+1,"")</f>
        <v/>
      </c>
      <c r="V157">
        <f>IF(AND($A157&lt;&gt;"",$B157&lt;&gt;"",$R157='تقرير الفصل الثاني'!$C$4,$Q157='تقرير الفصل الثاني'!$C$7),COUNT(V$4:V156)+1,"")</f>
        <v/>
      </c>
      <c r="W157">
        <f>IF(AND($A157&lt;&gt;"",$B157&lt;&gt;"",$R157='تقرير سبتمبر'!$C$4,$P157='تقرير سبتمبر'!$C$6),COUNT(W$4:W156)+1,"")</f>
        <v/>
      </c>
      <c r="X157">
        <f>IF(AND($A157&lt;&gt;"",$B157&lt;&gt;"",$R157='تقرير أكتوبر'!$C$4,$P157='تقرير أكتوبر'!$C$6),COUNT(X$4:X156)+1,"")</f>
        <v/>
      </c>
      <c r="Y157">
        <f>IF(AND($A157&lt;&gt;"",$B157&lt;&gt;"",$R157='تقرير نوفمبر'!$C$4,$P157='تقرير نوفمبر'!$C$6),COUNT(Y$4:Y156)+1,"")</f>
        <v/>
      </c>
      <c r="Z157">
        <f>IF(AND($A157&lt;&gt;"",$B157&lt;&gt;"",$R157='تقرير ديسمبر'!$C$4,$P157='تقرير ديسمبر'!$C$6),COUNT(Z$4:Z156)+1,"")</f>
        <v/>
      </c>
      <c r="AA157">
        <f>IF(AND($A157&lt;&gt;"",$B157&lt;&gt;"",$R157='تقرير يناير'!$C$4,$P157='تقرير يناير'!$C$6),COUNT(AA$4:AA156)+1,"")</f>
        <v/>
      </c>
      <c r="AB157">
        <f>IF(AND($A157&lt;&gt;"",$B157&lt;&gt;"",$R157='تقرير فبراير'!$C$4,$P157='تقرير فبراير'!$C$6),COUNT(AB$4:AB156)+1,"")</f>
        <v/>
      </c>
      <c r="AC157">
        <f>IF(AND($A157&lt;&gt;"",$B157&lt;&gt;"",$R157='تقرير مارس'!$C$4,$P157='تقرير مارس'!$C$6),COUNT(AC$4:AC156)+1,"")</f>
        <v/>
      </c>
      <c r="AD157">
        <f>IF(AND($A157&lt;&gt;"",$B157&lt;&gt;"",$R157='تقرير أبريل'!$C$4,$P157='تقرير أبريل'!$C$6),COUNT(AD$4:AD156)+1,"")</f>
        <v/>
      </c>
      <c r="AE157">
        <f>IF(AND($A157&lt;&gt;"",$B157&lt;&gt;"",$R157='تقرير مايو'!$C$4,$P157='تقرير مايو'!$C$6),COUNT(AE$4:AE156)+1,"")</f>
        <v/>
      </c>
    </row>
    <row r="158">
      <c r="A158" s="16" t="n"/>
      <c r="B158" s="17" t="n"/>
      <c r="C158" s="17" t="n"/>
      <c r="D158" s="18" t="n"/>
      <c r="E158" s="17" t="n"/>
      <c r="F158" s="17" t="n"/>
      <c r="G158" s="19" t="n"/>
      <c r="H158" s="17" t="n"/>
      <c r="I158" s="17" t="n"/>
      <c r="J158" s="17" t="n"/>
      <c r="K158" s="20">
        <f>IF($B158="","",IFERROR(INDEX(الموظفات!$A$5:$A$304,MATCH($B158,الموظفات!$B$5:$B$304,0))&amp;"",""))</f>
        <v/>
      </c>
      <c r="L158" s="21">
        <f>IF($B158="","",IFERROR(INDEX(الموظفات!$C$5:$C$304,MATCH($B158,الموظفات!$B$5:$B$304,0))&amp;"",""))</f>
        <v/>
      </c>
      <c r="M158" s="20">
        <f>IF($B158="","",IFERROR(INDEX(الموظفات!$D$5:$D$304,MATCH($B158,الموظفات!$B$5:$B$304,0))&amp;"",""))</f>
        <v/>
      </c>
      <c r="N158" s="20">
        <f>IF($B158="","",IFERROR(INDEX(الموظفات!$E$5:$E$304,MATCH($B158,الموظفات!$B$5:$B$304,0))&amp;"",""))</f>
        <v/>
      </c>
      <c r="O158" s="21">
        <f>IF(C158="","",IFERROR(INDEX(الإعدادات!$D$7:$D$35,MATCH(C158,الإعدادات!$A$7:$A$35,0))&amp;"",""))</f>
        <v/>
      </c>
      <c r="P158" s="20">
        <f>IF(A158="","",INDEX(الإعدادات!$H$7:$H$18,MONTH(A158)))</f>
        <v/>
      </c>
      <c r="Q158" s="20">
        <f>IF(A158="","",INDEX(الإعدادات!$I$7:$I$18,MONTH(A158)))</f>
        <v/>
      </c>
      <c r="R158" s="20">
        <f>IF(A158="","",IF(MONTH(A158)&gt;=8,YEAR(A158)&amp;"-"&amp;(YEAR(A158)+1),(YEAR(A158)-1)&amp;"-"&amp;YEAR(A158)))</f>
        <v/>
      </c>
      <c r="S158" s="20">
        <f>IF(OR(A158="",B158=""),0,IF(AND(R158=التقارير!$C$4,OR(التقارير!$C$5="سنوي",AND(التقارير!$C$5="شهري",P158=التقارير!$C$6),AND(التقارير!$C$5="فصلي",Q158=التقارير!$C$7))),1,0))</f>
        <v/>
      </c>
      <c r="T158" s="20">
        <f>IF(S158=1,COUNTIF($S$5:S158,1),"")</f>
        <v/>
      </c>
      <c r="U158">
        <f>IF(AND($A158&lt;&gt;"",$B158&lt;&gt;"",$R158='تقرير الفصل الأول'!$C$4,$Q158='تقرير الفصل الأول'!$C$7),COUNT(U$4:U157)+1,"")</f>
        <v/>
      </c>
      <c r="V158">
        <f>IF(AND($A158&lt;&gt;"",$B158&lt;&gt;"",$R158='تقرير الفصل الثاني'!$C$4,$Q158='تقرير الفصل الثاني'!$C$7),COUNT(V$4:V157)+1,"")</f>
        <v/>
      </c>
      <c r="W158">
        <f>IF(AND($A158&lt;&gt;"",$B158&lt;&gt;"",$R158='تقرير سبتمبر'!$C$4,$P158='تقرير سبتمبر'!$C$6),COUNT(W$4:W157)+1,"")</f>
        <v/>
      </c>
      <c r="X158">
        <f>IF(AND($A158&lt;&gt;"",$B158&lt;&gt;"",$R158='تقرير أكتوبر'!$C$4,$P158='تقرير أكتوبر'!$C$6),COUNT(X$4:X157)+1,"")</f>
        <v/>
      </c>
      <c r="Y158">
        <f>IF(AND($A158&lt;&gt;"",$B158&lt;&gt;"",$R158='تقرير نوفمبر'!$C$4,$P158='تقرير نوفمبر'!$C$6),COUNT(Y$4:Y157)+1,"")</f>
        <v/>
      </c>
      <c r="Z158">
        <f>IF(AND($A158&lt;&gt;"",$B158&lt;&gt;"",$R158='تقرير ديسمبر'!$C$4,$P158='تقرير ديسمبر'!$C$6),COUNT(Z$4:Z157)+1,"")</f>
        <v/>
      </c>
      <c r="AA158">
        <f>IF(AND($A158&lt;&gt;"",$B158&lt;&gt;"",$R158='تقرير يناير'!$C$4,$P158='تقرير يناير'!$C$6),COUNT(AA$4:AA157)+1,"")</f>
        <v/>
      </c>
      <c r="AB158">
        <f>IF(AND($A158&lt;&gt;"",$B158&lt;&gt;"",$R158='تقرير فبراير'!$C$4,$P158='تقرير فبراير'!$C$6),COUNT(AB$4:AB157)+1,"")</f>
        <v/>
      </c>
      <c r="AC158">
        <f>IF(AND($A158&lt;&gt;"",$B158&lt;&gt;"",$R158='تقرير مارس'!$C$4,$P158='تقرير مارس'!$C$6),COUNT(AC$4:AC157)+1,"")</f>
        <v/>
      </c>
      <c r="AD158">
        <f>IF(AND($A158&lt;&gt;"",$B158&lt;&gt;"",$R158='تقرير أبريل'!$C$4,$P158='تقرير أبريل'!$C$6),COUNT(AD$4:AD157)+1,"")</f>
        <v/>
      </c>
      <c r="AE158">
        <f>IF(AND($A158&lt;&gt;"",$B158&lt;&gt;"",$R158='تقرير مايو'!$C$4,$P158='تقرير مايو'!$C$6),COUNT(AE$4:AE157)+1,"")</f>
        <v/>
      </c>
    </row>
    <row r="159">
      <c r="A159" s="16" t="n"/>
      <c r="B159" s="17" t="n"/>
      <c r="C159" s="17" t="n"/>
      <c r="D159" s="18" t="n"/>
      <c r="E159" s="17" t="n"/>
      <c r="F159" s="17" t="n"/>
      <c r="G159" s="19" t="n"/>
      <c r="H159" s="17" t="n"/>
      <c r="I159" s="17" t="n"/>
      <c r="J159" s="17" t="n"/>
      <c r="K159" s="20">
        <f>IF($B159="","",IFERROR(INDEX(الموظفات!$A$5:$A$304,MATCH($B159,الموظفات!$B$5:$B$304,0))&amp;"",""))</f>
        <v/>
      </c>
      <c r="L159" s="21">
        <f>IF($B159="","",IFERROR(INDEX(الموظفات!$C$5:$C$304,MATCH($B159,الموظفات!$B$5:$B$304,0))&amp;"",""))</f>
        <v/>
      </c>
      <c r="M159" s="20">
        <f>IF($B159="","",IFERROR(INDEX(الموظفات!$D$5:$D$304,MATCH($B159,الموظفات!$B$5:$B$304,0))&amp;"",""))</f>
        <v/>
      </c>
      <c r="N159" s="20">
        <f>IF($B159="","",IFERROR(INDEX(الموظفات!$E$5:$E$304,MATCH($B159,الموظفات!$B$5:$B$304,0))&amp;"",""))</f>
        <v/>
      </c>
      <c r="O159" s="21">
        <f>IF(C159="","",IFERROR(INDEX(الإعدادات!$D$7:$D$35,MATCH(C159,الإعدادات!$A$7:$A$35,0))&amp;"",""))</f>
        <v/>
      </c>
      <c r="P159" s="20">
        <f>IF(A159="","",INDEX(الإعدادات!$H$7:$H$18,MONTH(A159)))</f>
        <v/>
      </c>
      <c r="Q159" s="20">
        <f>IF(A159="","",INDEX(الإعدادات!$I$7:$I$18,MONTH(A159)))</f>
        <v/>
      </c>
      <c r="R159" s="20">
        <f>IF(A159="","",IF(MONTH(A159)&gt;=8,YEAR(A159)&amp;"-"&amp;(YEAR(A159)+1),(YEAR(A159)-1)&amp;"-"&amp;YEAR(A159)))</f>
        <v/>
      </c>
      <c r="S159" s="20">
        <f>IF(OR(A159="",B159=""),0,IF(AND(R159=التقارير!$C$4,OR(التقارير!$C$5="سنوي",AND(التقارير!$C$5="شهري",P159=التقارير!$C$6),AND(التقارير!$C$5="فصلي",Q159=التقارير!$C$7))),1,0))</f>
        <v/>
      </c>
      <c r="T159" s="20">
        <f>IF(S159=1,COUNTIF($S$5:S159,1),"")</f>
        <v/>
      </c>
      <c r="U159">
        <f>IF(AND($A159&lt;&gt;"",$B159&lt;&gt;"",$R159='تقرير الفصل الأول'!$C$4,$Q159='تقرير الفصل الأول'!$C$7),COUNT(U$4:U158)+1,"")</f>
        <v/>
      </c>
      <c r="V159">
        <f>IF(AND($A159&lt;&gt;"",$B159&lt;&gt;"",$R159='تقرير الفصل الثاني'!$C$4,$Q159='تقرير الفصل الثاني'!$C$7),COUNT(V$4:V158)+1,"")</f>
        <v/>
      </c>
      <c r="W159">
        <f>IF(AND($A159&lt;&gt;"",$B159&lt;&gt;"",$R159='تقرير سبتمبر'!$C$4,$P159='تقرير سبتمبر'!$C$6),COUNT(W$4:W158)+1,"")</f>
        <v/>
      </c>
      <c r="X159">
        <f>IF(AND($A159&lt;&gt;"",$B159&lt;&gt;"",$R159='تقرير أكتوبر'!$C$4,$P159='تقرير أكتوبر'!$C$6),COUNT(X$4:X158)+1,"")</f>
        <v/>
      </c>
      <c r="Y159">
        <f>IF(AND($A159&lt;&gt;"",$B159&lt;&gt;"",$R159='تقرير نوفمبر'!$C$4,$P159='تقرير نوفمبر'!$C$6),COUNT(Y$4:Y158)+1,"")</f>
        <v/>
      </c>
      <c r="Z159">
        <f>IF(AND($A159&lt;&gt;"",$B159&lt;&gt;"",$R159='تقرير ديسمبر'!$C$4,$P159='تقرير ديسمبر'!$C$6),COUNT(Z$4:Z158)+1,"")</f>
        <v/>
      </c>
      <c r="AA159">
        <f>IF(AND($A159&lt;&gt;"",$B159&lt;&gt;"",$R159='تقرير يناير'!$C$4,$P159='تقرير يناير'!$C$6),COUNT(AA$4:AA158)+1,"")</f>
        <v/>
      </c>
      <c r="AB159">
        <f>IF(AND($A159&lt;&gt;"",$B159&lt;&gt;"",$R159='تقرير فبراير'!$C$4,$P159='تقرير فبراير'!$C$6),COUNT(AB$4:AB158)+1,"")</f>
        <v/>
      </c>
      <c r="AC159">
        <f>IF(AND($A159&lt;&gt;"",$B159&lt;&gt;"",$R159='تقرير مارس'!$C$4,$P159='تقرير مارس'!$C$6),COUNT(AC$4:AC158)+1,"")</f>
        <v/>
      </c>
      <c r="AD159">
        <f>IF(AND($A159&lt;&gt;"",$B159&lt;&gt;"",$R159='تقرير أبريل'!$C$4,$P159='تقرير أبريل'!$C$6),COUNT(AD$4:AD158)+1,"")</f>
        <v/>
      </c>
      <c r="AE159">
        <f>IF(AND($A159&lt;&gt;"",$B159&lt;&gt;"",$R159='تقرير مايو'!$C$4,$P159='تقرير مايو'!$C$6),COUNT(AE$4:AE158)+1,"")</f>
        <v/>
      </c>
    </row>
    <row r="160">
      <c r="A160" s="16" t="n"/>
      <c r="B160" s="17" t="n"/>
      <c r="C160" s="17" t="n"/>
      <c r="D160" s="18" t="n"/>
      <c r="E160" s="17" t="n"/>
      <c r="F160" s="17" t="n"/>
      <c r="G160" s="19" t="n"/>
      <c r="H160" s="17" t="n"/>
      <c r="I160" s="17" t="n"/>
      <c r="J160" s="17" t="n"/>
      <c r="K160" s="20">
        <f>IF($B160="","",IFERROR(INDEX(الموظفات!$A$5:$A$304,MATCH($B160,الموظفات!$B$5:$B$304,0))&amp;"",""))</f>
        <v/>
      </c>
      <c r="L160" s="21">
        <f>IF($B160="","",IFERROR(INDEX(الموظفات!$C$5:$C$304,MATCH($B160,الموظفات!$B$5:$B$304,0))&amp;"",""))</f>
        <v/>
      </c>
      <c r="M160" s="20">
        <f>IF($B160="","",IFERROR(INDEX(الموظفات!$D$5:$D$304,MATCH($B160,الموظفات!$B$5:$B$304,0))&amp;"",""))</f>
        <v/>
      </c>
      <c r="N160" s="20">
        <f>IF($B160="","",IFERROR(INDEX(الموظفات!$E$5:$E$304,MATCH($B160,الموظفات!$B$5:$B$304,0))&amp;"",""))</f>
        <v/>
      </c>
      <c r="O160" s="21">
        <f>IF(C160="","",IFERROR(INDEX(الإعدادات!$D$7:$D$35,MATCH(C160,الإعدادات!$A$7:$A$35,0))&amp;"",""))</f>
        <v/>
      </c>
      <c r="P160" s="20">
        <f>IF(A160="","",INDEX(الإعدادات!$H$7:$H$18,MONTH(A160)))</f>
        <v/>
      </c>
      <c r="Q160" s="20">
        <f>IF(A160="","",INDEX(الإعدادات!$I$7:$I$18,MONTH(A160)))</f>
        <v/>
      </c>
      <c r="R160" s="20">
        <f>IF(A160="","",IF(MONTH(A160)&gt;=8,YEAR(A160)&amp;"-"&amp;(YEAR(A160)+1),(YEAR(A160)-1)&amp;"-"&amp;YEAR(A160)))</f>
        <v/>
      </c>
      <c r="S160" s="20">
        <f>IF(OR(A160="",B160=""),0,IF(AND(R160=التقارير!$C$4,OR(التقارير!$C$5="سنوي",AND(التقارير!$C$5="شهري",P160=التقارير!$C$6),AND(التقارير!$C$5="فصلي",Q160=التقارير!$C$7))),1,0))</f>
        <v/>
      </c>
      <c r="T160" s="20">
        <f>IF(S160=1,COUNTIF($S$5:S160,1),"")</f>
        <v/>
      </c>
      <c r="U160">
        <f>IF(AND($A160&lt;&gt;"",$B160&lt;&gt;"",$R160='تقرير الفصل الأول'!$C$4,$Q160='تقرير الفصل الأول'!$C$7),COUNT(U$4:U159)+1,"")</f>
        <v/>
      </c>
      <c r="V160">
        <f>IF(AND($A160&lt;&gt;"",$B160&lt;&gt;"",$R160='تقرير الفصل الثاني'!$C$4,$Q160='تقرير الفصل الثاني'!$C$7),COUNT(V$4:V159)+1,"")</f>
        <v/>
      </c>
      <c r="W160">
        <f>IF(AND($A160&lt;&gt;"",$B160&lt;&gt;"",$R160='تقرير سبتمبر'!$C$4,$P160='تقرير سبتمبر'!$C$6),COUNT(W$4:W159)+1,"")</f>
        <v/>
      </c>
      <c r="X160">
        <f>IF(AND($A160&lt;&gt;"",$B160&lt;&gt;"",$R160='تقرير أكتوبر'!$C$4,$P160='تقرير أكتوبر'!$C$6),COUNT(X$4:X159)+1,"")</f>
        <v/>
      </c>
      <c r="Y160">
        <f>IF(AND($A160&lt;&gt;"",$B160&lt;&gt;"",$R160='تقرير نوفمبر'!$C$4,$P160='تقرير نوفمبر'!$C$6),COUNT(Y$4:Y159)+1,"")</f>
        <v/>
      </c>
      <c r="Z160">
        <f>IF(AND($A160&lt;&gt;"",$B160&lt;&gt;"",$R160='تقرير ديسمبر'!$C$4,$P160='تقرير ديسمبر'!$C$6),COUNT(Z$4:Z159)+1,"")</f>
        <v/>
      </c>
      <c r="AA160">
        <f>IF(AND($A160&lt;&gt;"",$B160&lt;&gt;"",$R160='تقرير يناير'!$C$4,$P160='تقرير يناير'!$C$6),COUNT(AA$4:AA159)+1,"")</f>
        <v/>
      </c>
      <c r="AB160">
        <f>IF(AND($A160&lt;&gt;"",$B160&lt;&gt;"",$R160='تقرير فبراير'!$C$4,$P160='تقرير فبراير'!$C$6),COUNT(AB$4:AB159)+1,"")</f>
        <v/>
      </c>
      <c r="AC160">
        <f>IF(AND($A160&lt;&gt;"",$B160&lt;&gt;"",$R160='تقرير مارس'!$C$4,$P160='تقرير مارس'!$C$6),COUNT(AC$4:AC159)+1,"")</f>
        <v/>
      </c>
      <c r="AD160">
        <f>IF(AND($A160&lt;&gt;"",$B160&lt;&gt;"",$R160='تقرير أبريل'!$C$4,$P160='تقرير أبريل'!$C$6),COUNT(AD$4:AD159)+1,"")</f>
        <v/>
      </c>
      <c r="AE160">
        <f>IF(AND($A160&lt;&gt;"",$B160&lt;&gt;"",$R160='تقرير مايو'!$C$4,$P160='تقرير مايو'!$C$6),COUNT(AE$4:AE159)+1,"")</f>
        <v/>
      </c>
    </row>
    <row r="161">
      <c r="A161" s="16" t="n"/>
      <c r="B161" s="17" t="n"/>
      <c r="C161" s="17" t="n"/>
      <c r="D161" s="18" t="n"/>
      <c r="E161" s="17" t="n"/>
      <c r="F161" s="17" t="n"/>
      <c r="G161" s="19" t="n"/>
      <c r="H161" s="17" t="n"/>
      <c r="I161" s="17" t="n"/>
      <c r="J161" s="17" t="n"/>
      <c r="K161" s="20">
        <f>IF($B161="","",IFERROR(INDEX(الموظفات!$A$5:$A$304,MATCH($B161,الموظفات!$B$5:$B$304,0))&amp;"",""))</f>
        <v/>
      </c>
      <c r="L161" s="21">
        <f>IF($B161="","",IFERROR(INDEX(الموظفات!$C$5:$C$304,MATCH($B161,الموظفات!$B$5:$B$304,0))&amp;"",""))</f>
        <v/>
      </c>
      <c r="M161" s="20">
        <f>IF($B161="","",IFERROR(INDEX(الموظفات!$D$5:$D$304,MATCH($B161,الموظفات!$B$5:$B$304,0))&amp;"",""))</f>
        <v/>
      </c>
      <c r="N161" s="20">
        <f>IF($B161="","",IFERROR(INDEX(الموظفات!$E$5:$E$304,MATCH($B161,الموظفات!$B$5:$B$304,0))&amp;"",""))</f>
        <v/>
      </c>
      <c r="O161" s="21">
        <f>IF(C161="","",IFERROR(INDEX(الإعدادات!$D$7:$D$35,MATCH(C161,الإعدادات!$A$7:$A$35,0))&amp;"",""))</f>
        <v/>
      </c>
      <c r="P161" s="20">
        <f>IF(A161="","",INDEX(الإعدادات!$H$7:$H$18,MONTH(A161)))</f>
        <v/>
      </c>
      <c r="Q161" s="20">
        <f>IF(A161="","",INDEX(الإعدادات!$I$7:$I$18,MONTH(A161)))</f>
        <v/>
      </c>
      <c r="R161" s="20">
        <f>IF(A161="","",IF(MONTH(A161)&gt;=8,YEAR(A161)&amp;"-"&amp;(YEAR(A161)+1),(YEAR(A161)-1)&amp;"-"&amp;YEAR(A161)))</f>
        <v/>
      </c>
      <c r="S161" s="20">
        <f>IF(OR(A161="",B161=""),0,IF(AND(R161=التقارير!$C$4,OR(التقارير!$C$5="سنوي",AND(التقارير!$C$5="شهري",P161=التقارير!$C$6),AND(التقارير!$C$5="فصلي",Q161=التقارير!$C$7))),1,0))</f>
        <v/>
      </c>
      <c r="T161" s="20">
        <f>IF(S161=1,COUNTIF($S$5:S161,1),"")</f>
        <v/>
      </c>
      <c r="U161">
        <f>IF(AND($A161&lt;&gt;"",$B161&lt;&gt;"",$R161='تقرير الفصل الأول'!$C$4,$Q161='تقرير الفصل الأول'!$C$7),COUNT(U$4:U160)+1,"")</f>
        <v/>
      </c>
      <c r="V161">
        <f>IF(AND($A161&lt;&gt;"",$B161&lt;&gt;"",$R161='تقرير الفصل الثاني'!$C$4,$Q161='تقرير الفصل الثاني'!$C$7),COUNT(V$4:V160)+1,"")</f>
        <v/>
      </c>
      <c r="W161">
        <f>IF(AND($A161&lt;&gt;"",$B161&lt;&gt;"",$R161='تقرير سبتمبر'!$C$4,$P161='تقرير سبتمبر'!$C$6),COUNT(W$4:W160)+1,"")</f>
        <v/>
      </c>
      <c r="X161">
        <f>IF(AND($A161&lt;&gt;"",$B161&lt;&gt;"",$R161='تقرير أكتوبر'!$C$4,$P161='تقرير أكتوبر'!$C$6),COUNT(X$4:X160)+1,"")</f>
        <v/>
      </c>
      <c r="Y161">
        <f>IF(AND($A161&lt;&gt;"",$B161&lt;&gt;"",$R161='تقرير نوفمبر'!$C$4,$P161='تقرير نوفمبر'!$C$6),COUNT(Y$4:Y160)+1,"")</f>
        <v/>
      </c>
      <c r="Z161">
        <f>IF(AND($A161&lt;&gt;"",$B161&lt;&gt;"",$R161='تقرير ديسمبر'!$C$4,$P161='تقرير ديسمبر'!$C$6),COUNT(Z$4:Z160)+1,"")</f>
        <v/>
      </c>
      <c r="AA161">
        <f>IF(AND($A161&lt;&gt;"",$B161&lt;&gt;"",$R161='تقرير يناير'!$C$4,$P161='تقرير يناير'!$C$6),COUNT(AA$4:AA160)+1,"")</f>
        <v/>
      </c>
      <c r="AB161">
        <f>IF(AND($A161&lt;&gt;"",$B161&lt;&gt;"",$R161='تقرير فبراير'!$C$4,$P161='تقرير فبراير'!$C$6),COUNT(AB$4:AB160)+1,"")</f>
        <v/>
      </c>
      <c r="AC161">
        <f>IF(AND($A161&lt;&gt;"",$B161&lt;&gt;"",$R161='تقرير مارس'!$C$4,$P161='تقرير مارس'!$C$6),COUNT(AC$4:AC160)+1,"")</f>
        <v/>
      </c>
      <c r="AD161">
        <f>IF(AND($A161&lt;&gt;"",$B161&lt;&gt;"",$R161='تقرير أبريل'!$C$4,$P161='تقرير أبريل'!$C$6),COUNT(AD$4:AD160)+1,"")</f>
        <v/>
      </c>
      <c r="AE161">
        <f>IF(AND($A161&lt;&gt;"",$B161&lt;&gt;"",$R161='تقرير مايو'!$C$4,$P161='تقرير مايو'!$C$6),COUNT(AE$4:AE160)+1,"")</f>
        <v/>
      </c>
    </row>
    <row r="162">
      <c r="A162" s="16" t="n"/>
      <c r="B162" s="17" t="n"/>
      <c r="C162" s="17" t="n"/>
      <c r="D162" s="18" t="n"/>
      <c r="E162" s="17" t="n"/>
      <c r="F162" s="17" t="n"/>
      <c r="G162" s="19" t="n"/>
      <c r="H162" s="17" t="n"/>
      <c r="I162" s="17" t="n"/>
      <c r="J162" s="17" t="n"/>
      <c r="K162" s="20">
        <f>IF($B162="","",IFERROR(INDEX(الموظفات!$A$5:$A$304,MATCH($B162,الموظفات!$B$5:$B$304,0))&amp;"",""))</f>
        <v/>
      </c>
      <c r="L162" s="21">
        <f>IF($B162="","",IFERROR(INDEX(الموظفات!$C$5:$C$304,MATCH($B162,الموظفات!$B$5:$B$304,0))&amp;"",""))</f>
        <v/>
      </c>
      <c r="M162" s="20">
        <f>IF($B162="","",IFERROR(INDEX(الموظفات!$D$5:$D$304,MATCH($B162,الموظفات!$B$5:$B$304,0))&amp;"",""))</f>
        <v/>
      </c>
      <c r="N162" s="20">
        <f>IF($B162="","",IFERROR(INDEX(الموظفات!$E$5:$E$304,MATCH($B162,الموظفات!$B$5:$B$304,0))&amp;"",""))</f>
        <v/>
      </c>
      <c r="O162" s="21">
        <f>IF(C162="","",IFERROR(INDEX(الإعدادات!$D$7:$D$35,MATCH(C162,الإعدادات!$A$7:$A$35,0))&amp;"",""))</f>
        <v/>
      </c>
      <c r="P162" s="20">
        <f>IF(A162="","",INDEX(الإعدادات!$H$7:$H$18,MONTH(A162)))</f>
        <v/>
      </c>
      <c r="Q162" s="20">
        <f>IF(A162="","",INDEX(الإعدادات!$I$7:$I$18,MONTH(A162)))</f>
        <v/>
      </c>
      <c r="R162" s="20">
        <f>IF(A162="","",IF(MONTH(A162)&gt;=8,YEAR(A162)&amp;"-"&amp;(YEAR(A162)+1),(YEAR(A162)-1)&amp;"-"&amp;YEAR(A162)))</f>
        <v/>
      </c>
      <c r="S162" s="20">
        <f>IF(OR(A162="",B162=""),0,IF(AND(R162=التقارير!$C$4,OR(التقارير!$C$5="سنوي",AND(التقارير!$C$5="شهري",P162=التقارير!$C$6),AND(التقارير!$C$5="فصلي",Q162=التقارير!$C$7))),1,0))</f>
        <v/>
      </c>
      <c r="T162" s="20">
        <f>IF(S162=1,COUNTIF($S$5:S162,1),"")</f>
        <v/>
      </c>
      <c r="U162">
        <f>IF(AND($A162&lt;&gt;"",$B162&lt;&gt;"",$R162='تقرير الفصل الأول'!$C$4,$Q162='تقرير الفصل الأول'!$C$7),COUNT(U$4:U161)+1,"")</f>
        <v/>
      </c>
      <c r="V162">
        <f>IF(AND($A162&lt;&gt;"",$B162&lt;&gt;"",$R162='تقرير الفصل الثاني'!$C$4,$Q162='تقرير الفصل الثاني'!$C$7),COUNT(V$4:V161)+1,"")</f>
        <v/>
      </c>
      <c r="W162">
        <f>IF(AND($A162&lt;&gt;"",$B162&lt;&gt;"",$R162='تقرير سبتمبر'!$C$4,$P162='تقرير سبتمبر'!$C$6),COUNT(W$4:W161)+1,"")</f>
        <v/>
      </c>
      <c r="X162">
        <f>IF(AND($A162&lt;&gt;"",$B162&lt;&gt;"",$R162='تقرير أكتوبر'!$C$4,$P162='تقرير أكتوبر'!$C$6),COUNT(X$4:X161)+1,"")</f>
        <v/>
      </c>
      <c r="Y162">
        <f>IF(AND($A162&lt;&gt;"",$B162&lt;&gt;"",$R162='تقرير نوفمبر'!$C$4,$P162='تقرير نوفمبر'!$C$6),COUNT(Y$4:Y161)+1,"")</f>
        <v/>
      </c>
      <c r="Z162">
        <f>IF(AND($A162&lt;&gt;"",$B162&lt;&gt;"",$R162='تقرير ديسمبر'!$C$4,$P162='تقرير ديسمبر'!$C$6),COUNT(Z$4:Z161)+1,"")</f>
        <v/>
      </c>
      <c r="AA162">
        <f>IF(AND($A162&lt;&gt;"",$B162&lt;&gt;"",$R162='تقرير يناير'!$C$4,$P162='تقرير يناير'!$C$6),COUNT(AA$4:AA161)+1,"")</f>
        <v/>
      </c>
      <c r="AB162">
        <f>IF(AND($A162&lt;&gt;"",$B162&lt;&gt;"",$R162='تقرير فبراير'!$C$4,$P162='تقرير فبراير'!$C$6),COUNT(AB$4:AB161)+1,"")</f>
        <v/>
      </c>
      <c r="AC162">
        <f>IF(AND($A162&lt;&gt;"",$B162&lt;&gt;"",$R162='تقرير مارس'!$C$4,$P162='تقرير مارس'!$C$6),COUNT(AC$4:AC161)+1,"")</f>
        <v/>
      </c>
      <c r="AD162">
        <f>IF(AND($A162&lt;&gt;"",$B162&lt;&gt;"",$R162='تقرير أبريل'!$C$4,$P162='تقرير أبريل'!$C$6),COUNT(AD$4:AD161)+1,"")</f>
        <v/>
      </c>
      <c r="AE162">
        <f>IF(AND($A162&lt;&gt;"",$B162&lt;&gt;"",$R162='تقرير مايو'!$C$4,$P162='تقرير مايو'!$C$6),COUNT(AE$4:AE161)+1,"")</f>
        <v/>
      </c>
    </row>
    <row r="163">
      <c r="A163" s="16" t="n"/>
      <c r="B163" s="17" t="n"/>
      <c r="C163" s="17" t="n"/>
      <c r="D163" s="18" t="n"/>
      <c r="E163" s="17" t="n"/>
      <c r="F163" s="17" t="n"/>
      <c r="G163" s="19" t="n"/>
      <c r="H163" s="17" t="n"/>
      <c r="I163" s="17" t="n"/>
      <c r="J163" s="17" t="n"/>
      <c r="K163" s="20">
        <f>IF($B163="","",IFERROR(INDEX(الموظفات!$A$5:$A$304,MATCH($B163,الموظفات!$B$5:$B$304,0))&amp;"",""))</f>
        <v/>
      </c>
      <c r="L163" s="21">
        <f>IF($B163="","",IFERROR(INDEX(الموظفات!$C$5:$C$304,MATCH($B163,الموظفات!$B$5:$B$304,0))&amp;"",""))</f>
        <v/>
      </c>
      <c r="M163" s="20">
        <f>IF($B163="","",IFERROR(INDEX(الموظفات!$D$5:$D$304,MATCH($B163,الموظفات!$B$5:$B$304,0))&amp;"",""))</f>
        <v/>
      </c>
      <c r="N163" s="20">
        <f>IF($B163="","",IFERROR(INDEX(الموظفات!$E$5:$E$304,MATCH($B163,الموظفات!$B$5:$B$304,0))&amp;"",""))</f>
        <v/>
      </c>
      <c r="O163" s="21">
        <f>IF(C163="","",IFERROR(INDEX(الإعدادات!$D$7:$D$35,MATCH(C163,الإعدادات!$A$7:$A$35,0))&amp;"",""))</f>
        <v/>
      </c>
      <c r="P163" s="20">
        <f>IF(A163="","",INDEX(الإعدادات!$H$7:$H$18,MONTH(A163)))</f>
        <v/>
      </c>
      <c r="Q163" s="20">
        <f>IF(A163="","",INDEX(الإعدادات!$I$7:$I$18,MONTH(A163)))</f>
        <v/>
      </c>
      <c r="R163" s="20">
        <f>IF(A163="","",IF(MONTH(A163)&gt;=8,YEAR(A163)&amp;"-"&amp;(YEAR(A163)+1),(YEAR(A163)-1)&amp;"-"&amp;YEAR(A163)))</f>
        <v/>
      </c>
      <c r="S163" s="20">
        <f>IF(OR(A163="",B163=""),0,IF(AND(R163=التقارير!$C$4,OR(التقارير!$C$5="سنوي",AND(التقارير!$C$5="شهري",P163=التقارير!$C$6),AND(التقارير!$C$5="فصلي",Q163=التقارير!$C$7))),1,0))</f>
        <v/>
      </c>
      <c r="T163" s="20">
        <f>IF(S163=1,COUNTIF($S$5:S163,1),"")</f>
        <v/>
      </c>
      <c r="U163">
        <f>IF(AND($A163&lt;&gt;"",$B163&lt;&gt;"",$R163='تقرير الفصل الأول'!$C$4,$Q163='تقرير الفصل الأول'!$C$7),COUNT(U$4:U162)+1,"")</f>
        <v/>
      </c>
      <c r="V163">
        <f>IF(AND($A163&lt;&gt;"",$B163&lt;&gt;"",$R163='تقرير الفصل الثاني'!$C$4,$Q163='تقرير الفصل الثاني'!$C$7),COUNT(V$4:V162)+1,"")</f>
        <v/>
      </c>
      <c r="W163">
        <f>IF(AND($A163&lt;&gt;"",$B163&lt;&gt;"",$R163='تقرير سبتمبر'!$C$4,$P163='تقرير سبتمبر'!$C$6),COUNT(W$4:W162)+1,"")</f>
        <v/>
      </c>
      <c r="X163">
        <f>IF(AND($A163&lt;&gt;"",$B163&lt;&gt;"",$R163='تقرير أكتوبر'!$C$4,$P163='تقرير أكتوبر'!$C$6),COUNT(X$4:X162)+1,"")</f>
        <v/>
      </c>
      <c r="Y163">
        <f>IF(AND($A163&lt;&gt;"",$B163&lt;&gt;"",$R163='تقرير نوفمبر'!$C$4,$P163='تقرير نوفمبر'!$C$6),COUNT(Y$4:Y162)+1,"")</f>
        <v/>
      </c>
      <c r="Z163">
        <f>IF(AND($A163&lt;&gt;"",$B163&lt;&gt;"",$R163='تقرير ديسمبر'!$C$4,$P163='تقرير ديسمبر'!$C$6),COUNT(Z$4:Z162)+1,"")</f>
        <v/>
      </c>
      <c r="AA163">
        <f>IF(AND($A163&lt;&gt;"",$B163&lt;&gt;"",$R163='تقرير يناير'!$C$4,$P163='تقرير يناير'!$C$6),COUNT(AA$4:AA162)+1,"")</f>
        <v/>
      </c>
      <c r="AB163">
        <f>IF(AND($A163&lt;&gt;"",$B163&lt;&gt;"",$R163='تقرير فبراير'!$C$4,$P163='تقرير فبراير'!$C$6),COUNT(AB$4:AB162)+1,"")</f>
        <v/>
      </c>
      <c r="AC163">
        <f>IF(AND($A163&lt;&gt;"",$B163&lt;&gt;"",$R163='تقرير مارس'!$C$4,$P163='تقرير مارس'!$C$6),COUNT(AC$4:AC162)+1,"")</f>
        <v/>
      </c>
      <c r="AD163">
        <f>IF(AND($A163&lt;&gt;"",$B163&lt;&gt;"",$R163='تقرير أبريل'!$C$4,$P163='تقرير أبريل'!$C$6),COUNT(AD$4:AD162)+1,"")</f>
        <v/>
      </c>
      <c r="AE163">
        <f>IF(AND($A163&lt;&gt;"",$B163&lt;&gt;"",$R163='تقرير مايو'!$C$4,$P163='تقرير مايو'!$C$6),COUNT(AE$4:AE162)+1,"")</f>
        <v/>
      </c>
    </row>
    <row r="164">
      <c r="A164" s="16" t="n"/>
      <c r="B164" s="17" t="n"/>
      <c r="C164" s="17" t="n"/>
      <c r="D164" s="18" t="n"/>
      <c r="E164" s="17" t="n"/>
      <c r="F164" s="17" t="n"/>
      <c r="G164" s="19" t="n"/>
      <c r="H164" s="17" t="n"/>
      <c r="I164" s="17" t="n"/>
      <c r="J164" s="17" t="n"/>
      <c r="K164" s="20">
        <f>IF($B164="","",IFERROR(INDEX(الموظفات!$A$5:$A$304,MATCH($B164,الموظفات!$B$5:$B$304,0))&amp;"",""))</f>
        <v/>
      </c>
      <c r="L164" s="21">
        <f>IF($B164="","",IFERROR(INDEX(الموظفات!$C$5:$C$304,MATCH($B164,الموظفات!$B$5:$B$304,0))&amp;"",""))</f>
        <v/>
      </c>
      <c r="M164" s="20">
        <f>IF($B164="","",IFERROR(INDEX(الموظفات!$D$5:$D$304,MATCH($B164,الموظفات!$B$5:$B$304,0))&amp;"",""))</f>
        <v/>
      </c>
      <c r="N164" s="20">
        <f>IF($B164="","",IFERROR(INDEX(الموظفات!$E$5:$E$304,MATCH($B164,الموظفات!$B$5:$B$304,0))&amp;"",""))</f>
        <v/>
      </c>
      <c r="O164" s="21">
        <f>IF(C164="","",IFERROR(INDEX(الإعدادات!$D$7:$D$35,MATCH(C164,الإعدادات!$A$7:$A$35,0))&amp;"",""))</f>
        <v/>
      </c>
      <c r="P164" s="20">
        <f>IF(A164="","",INDEX(الإعدادات!$H$7:$H$18,MONTH(A164)))</f>
        <v/>
      </c>
      <c r="Q164" s="20">
        <f>IF(A164="","",INDEX(الإعدادات!$I$7:$I$18,MONTH(A164)))</f>
        <v/>
      </c>
      <c r="R164" s="20">
        <f>IF(A164="","",IF(MONTH(A164)&gt;=8,YEAR(A164)&amp;"-"&amp;(YEAR(A164)+1),(YEAR(A164)-1)&amp;"-"&amp;YEAR(A164)))</f>
        <v/>
      </c>
      <c r="S164" s="20">
        <f>IF(OR(A164="",B164=""),0,IF(AND(R164=التقارير!$C$4,OR(التقارير!$C$5="سنوي",AND(التقارير!$C$5="شهري",P164=التقارير!$C$6),AND(التقارير!$C$5="فصلي",Q164=التقارير!$C$7))),1,0))</f>
        <v/>
      </c>
      <c r="T164" s="20">
        <f>IF(S164=1,COUNTIF($S$5:S164,1),"")</f>
        <v/>
      </c>
      <c r="U164">
        <f>IF(AND($A164&lt;&gt;"",$B164&lt;&gt;"",$R164='تقرير الفصل الأول'!$C$4,$Q164='تقرير الفصل الأول'!$C$7),COUNT(U$4:U163)+1,"")</f>
        <v/>
      </c>
      <c r="V164">
        <f>IF(AND($A164&lt;&gt;"",$B164&lt;&gt;"",$R164='تقرير الفصل الثاني'!$C$4,$Q164='تقرير الفصل الثاني'!$C$7),COUNT(V$4:V163)+1,"")</f>
        <v/>
      </c>
      <c r="W164">
        <f>IF(AND($A164&lt;&gt;"",$B164&lt;&gt;"",$R164='تقرير سبتمبر'!$C$4,$P164='تقرير سبتمبر'!$C$6),COUNT(W$4:W163)+1,"")</f>
        <v/>
      </c>
      <c r="X164">
        <f>IF(AND($A164&lt;&gt;"",$B164&lt;&gt;"",$R164='تقرير أكتوبر'!$C$4,$P164='تقرير أكتوبر'!$C$6),COUNT(X$4:X163)+1,"")</f>
        <v/>
      </c>
      <c r="Y164">
        <f>IF(AND($A164&lt;&gt;"",$B164&lt;&gt;"",$R164='تقرير نوفمبر'!$C$4,$P164='تقرير نوفمبر'!$C$6),COUNT(Y$4:Y163)+1,"")</f>
        <v/>
      </c>
      <c r="Z164">
        <f>IF(AND($A164&lt;&gt;"",$B164&lt;&gt;"",$R164='تقرير ديسمبر'!$C$4,$P164='تقرير ديسمبر'!$C$6),COUNT(Z$4:Z163)+1,"")</f>
        <v/>
      </c>
      <c r="AA164">
        <f>IF(AND($A164&lt;&gt;"",$B164&lt;&gt;"",$R164='تقرير يناير'!$C$4,$P164='تقرير يناير'!$C$6),COUNT(AA$4:AA163)+1,"")</f>
        <v/>
      </c>
      <c r="AB164">
        <f>IF(AND($A164&lt;&gt;"",$B164&lt;&gt;"",$R164='تقرير فبراير'!$C$4,$P164='تقرير فبراير'!$C$6),COUNT(AB$4:AB163)+1,"")</f>
        <v/>
      </c>
      <c r="AC164">
        <f>IF(AND($A164&lt;&gt;"",$B164&lt;&gt;"",$R164='تقرير مارس'!$C$4,$P164='تقرير مارس'!$C$6),COUNT(AC$4:AC163)+1,"")</f>
        <v/>
      </c>
      <c r="AD164">
        <f>IF(AND($A164&lt;&gt;"",$B164&lt;&gt;"",$R164='تقرير أبريل'!$C$4,$P164='تقرير أبريل'!$C$6),COUNT(AD$4:AD163)+1,"")</f>
        <v/>
      </c>
      <c r="AE164">
        <f>IF(AND($A164&lt;&gt;"",$B164&lt;&gt;"",$R164='تقرير مايو'!$C$4,$P164='تقرير مايو'!$C$6),COUNT(AE$4:AE163)+1,"")</f>
        <v/>
      </c>
    </row>
    <row r="165">
      <c r="A165" s="16" t="n"/>
      <c r="B165" s="17" t="n"/>
      <c r="C165" s="17" t="n"/>
      <c r="D165" s="18" t="n"/>
      <c r="E165" s="17" t="n"/>
      <c r="F165" s="17" t="n"/>
      <c r="G165" s="19" t="n"/>
      <c r="H165" s="17" t="n"/>
      <c r="I165" s="17" t="n"/>
      <c r="J165" s="17" t="n"/>
      <c r="K165" s="20">
        <f>IF($B165="","",IFERROR(INDEX(الموظفات!$A$5:$A$304,MATCH($B165,الموظفات!$B$5:$B$304,0))&amp;"",""))</f>
        <v/>
      </c>
      <c r="L165" s="21">
        <f>IF($B165="","",IFERROR(INDEX(الموظفات!$C$5:$C$304,MATCH($B165,الموظفات!$B$5:$B$304,0))&amp;"",""))</f>
        <v/>
      </c>
      <c r="M165" s="20">
        <f>IF($B165="","",IFERROR(INDEX(الموظفات!$D$5:$D$304,MATCH($B165,الموظفات!$B$5:$B$304,0))&amp;"",""))</f>
        <v/>
      </c>
      <c r="N165" s="20">
        <f>IF($B165="","",IFERROR(INDEX(الموظفات!$E$5:$E$304,MATCH($B165,الموظفات!$B$5:$B$304,0))&amp;"",""))</f>
        <v/>
      </c>
      <c r="O165" s="21">
        <f>IF(C165="","",IFERROR(INDEX(الإعدادات!$D$7:$D$35,MATCH(C165,الإعدادات!$A$7:$A$35,0))&amp;"",""))</f>
        <v/>
      </c>
      <c r="P165" s="20">
        <f>IF(A165="","",INDEX(الإعدادات!$H$7:$H$18,MONTH(A165)))</f>
        <v/>
      </c>
      <c r="Q165" s="20">
        <f>IF(A165="","",INDEX(الإعدادات!$I$7:$I$18,MONTH(A165)))</f>
        <v/>
      </c>
      <c r="R165" s="20">
        <f>IF(A165="","",IF(MONTH(A165)&gt;=8,YEAR(A165)&amp;"-"&amp;(YEAR(A165)+1),(YEAR(A165)-1)&amp;"-"&amp;YEAR(A165)))</f>
        <v/>
      </c>
      <c r="S165" s="20">
        <f>IF(OR(A165="",B165=""),0,IF(AND(R165=التقارير!$C$4,OR(التقارير!$C$5="سنوي",AND(التقارير!$C$5="شهري",P165=التقارير!$C$6),AND(التقارير!$C$5="فصلي",Q165=التقارير!$C$7))),1,0))</f>
        <v/>
      </c>
      <c r="T165" s="20">
        <f>IF(S165=1,COUNTIF($S$5:S165,1),"")</f>
        <v/>
      </c>
      <c r="U165">
        <f>IF(AND($A165&lt;&gt;"",$B165&lt;&gt;"",$R165='تقرير الفصل الأول'!$C$4,$Q165='تقرير الفصل الأول'!$C$7),COUNT(U$4:U164)+1,"")</f>
        <v/>
      </c>
      <c r="V165">
        <f>IF(AND($A165&lt;&gt;"",$B165&lt;&gt;"",$R165='تقرير الفصل الثاني'!$C$4,$Q165='تقرير الفصل الثاني'!$C$7),COUNT(V$4:V164)+1,"")</f>
        <v/>
      </c>
      <c r="W165">
        <f>IF(AND($A165&lt;&gt;"",$B165&lt;&gt;"",$R165='تقرير سبتمبر'!$C$4,$P165='تقرير سبتمبر'!$C$6),COUNT(W$4:W164)+1,"")</f>
        <v/>
      </c>
      <c r="X165">
        <f>IF(AND($A165&lt;&gt;"",$B165&lt;&gt;"",$R165='تقرير أكتوبر'!$C$4,$P165='تقرير أكتوبر'!$C$6),COUNT(X$4:X164)+1,"")</f>
        <v/>
      </c>
      <c r="Y165">
        <f>IF(AND($A165&lt;&gt;"",$B165&lt;&gt;"",$R165='تقرير نوفمبر'!$C$4,$P165='تقرير نوفمبر'!$C$6),COUNT(Y$4:Y164)+1,"")</f>
        <v/>
      </c>
      <c r="Z165">
        <f>IF(AND($A165&lt;&gt;"",$B165&lt;&gt;"",$R165='تقرير ديسمبر'!$C$4,$P165='تقرير ديسمبر'!$C$6),COUNT(Z$4:Z164)+1,"")</f>
        <v/>
      </c>
      <c r="AA165">
        <f>IF(AND($A165&lt;&gt;"",$B165&lt;&gt;"",$R165='تقرير يناير'!$C$4,$P165='تقرير يناير'!$C$6),COUNT(AA$4:AA164)+1,"")</f>
        <v/>
      </c>
      <c r="AB165">
        <f>IF(AND($A165&lt;&gt;"",$B165&lt;&gt;"",$R165='تقرير فبراير'!$C$4,$P165='تقرير فبراير'!$C$6),COUNT(AB$4:AB164)+1,"")</f>
        <v/>
      </c>
      <c r="AC165">
        <f>IF(AND($A165&lt;&gt;"",$B165&lt;&gt;"",$R165='تقرير مارس'!$C$4,$P165='تقرير مارس'!$C$6),COUNT(AC$4:AC164)+1,"")</f>
        <v/>
      </c>
      <c r="AD165">
        <f>IF(AND($A165&lt;&gt;"",$B165&lt;&gt;"",$R165='تقرير أبريل'!$C$4,$P165='تقرير أبريل'!$C$6),COUNT(AD$4:AD164)+1,"")</f>
        <v/>
      </c>
      <c r="AE165">
        <f>IF(AND($A165&lt;&gt;"",$B165&lt;&gt;"",$R165='تقرير مايو'!$C$4,$P165='تقرير مايو'!$C$6),COUNT(AE$4:AE164)+1,"")</f>
        <v/>
      </c>
    </row>
    <row r="166">
      <c r="A166" s="16" t="n"/>
      <c r="B166" s="17" t="n"/>
      <c r="C166" s="17" t="n"/>
      <c r="D166" s="18" t="n"/>
      <c r="E166" s="17" t="n"/>
      <c r="F166" s="17" t="n"/>
      <c r="G166" s="19" t="n"/>
      <c r="H166" s="17" t="n"/>
      <c r="I166" s="17" t="n"/>
      <c r="J166" s="17" t="n"/>
      <c r="K166" s="20">
        <f>IF($B166="","",IFERROR(INDEX(الموظفات!$A$5:$A$304,MATCH($B166,الموظفات!$B$5:$B$304,0))&amp;"",""))</f>
        <v/>
      </c>
      <c r="L166" s="21">
        <f>IF($B166="","",IFERROR(INDEX(الموظفات!$C$5:$C$304,MATCH($B166,الموظفات!$B$5:$B$304,0))&amp;"",""))</f>
        <v/>
      </c>
      <c r="M166" s="20">
        <f>IF($B166="","",IFERROR(INDEX(الموظفات!$D$5:$D$304,MATCH($B166,الموظفات!$B$5:$B$304,0))&amp;"",""))</f>
        <v/>
      </c>
      <c r="N166" s="20">
        <f>IF($B166="","",IFERROR(INDEX(الموظفات!$E$5:$E$304,MATCH($B166,الموظفات!$B$5:$B$304,0))&amp;"",""))</f>
        <v/>
      </c>
      <c r="O166" s="21">
        <f>IF(C166="","",IFERROR(INDEX(الإعدادات!$D$7:$D$35,MATCH(C166,الإعدادات!$A$7:$A$35,0))&amp;"",""))</f>
        <v/>
      </c>
      <c r="P166" s="20">
        <f>IF(A166="","",INDEX(الإعدادات!$H$7:$H$18,MONTH(A166)))</f>
        <v/>
      </c>
      <c r="Q166" s="20">
        <f>IF(A166="","",INDEX(الإعدادات!$I$7:$I$18,MONTH(A166)))</f>
        <v/>
      </c>
      <c r="R166" s="20">
        <f>IF(A166="","",IF(MONTH(A166)&gt;=8,YEAR(A166)&amp;"-"&amp;(YEAR(A166)+1),(YEAR(A166)-1)&amp;"-"&amp;YEAR(A166)))</f>
        <v/>
      </c>
      <c r="S166" s="20">
        <f>IF(OR(A166="",B166=""),0,IF(AND(R166=التقارير!$C$4,OR(التقارير!$C$5="سنوي",AND(التقارير!$C$5="شهري",P166=التقارير!$C$6),AND(التقارير!$C$5="فصلي",Q166=التقارير!$C$7))),1,0))</f>
        <v/>
      </c>
      <c r="T166" s="20">
        <f>IF(S166=1,COUNTIF($S$5:S166,1),"")</f>
        <v/>
      </c>
      <c r="U166">
        <f>IF(AND($A166&lt;&gt;"",$B166&lt;&gt;"",$R166='تقرير الفصل الأول'!$C$4,$Q166='تقرير الفصل الأول'!$C$7),COUNT(U$4:U165)+1,"")</f>
        <v/>
      </c>
      <c r="V166">
        <f>IF(AND($A166&lt;&gt;"",$B166&lt;&gt;"",$R166='تقرير الفصل الثاني'!$C$4,$Q166='تقرير الفصل الثاني'!$C$7),COUNT(V$4:V165)+1,"")</f>
        <v/>
      </c>
      <c r="W166">
        <f>IF(AND($A166&lt;&gt;"",$B166&lt;&gt;"",$R166='تقرير سبتمبر'!$C$4,$P166='تقرير سبتمبر'!$C$6),COUNT(W$4:W165)+1,"")</f>
        <v/>
      </c>
      <c r="X166">
        <f>IF(AND($A166&lt;&gt;"",$B166&lt;&gt;"",$R166='تقرير أكتوبر'!$C$4,$P166='تقرير أكتوبر'!$C$6),COUNT(X$4:X165)+1,"")</f>
        <v/>
      </c>
      <c r="Y166">
        <f>IF(AND($A166&lt;&gt;"",$B166&lt;&gt;"",$R166='تقرير نوفمبر'!$C$4,$P166='تقرير نوفمبر'!$C$6),COUNT(Y$4:Y165)+1,"")</f>
        <v/>
      </c>
      <c r="Z166">
        <f>IF(AND($A166&lt;&gt;"",$B166&lt;&gt;"",$R166='تقرير ديسمبر'!$C$4,$P166='تقرير ديسمبر'!$C$6),COUNT(Z$4:Z165)+1,"")</f>
        <v/>
      </c>
      <c r="AA166">
        <f>IF(AND($A166&lt;&gt;"",$B166&lt;&gt;"",$R166='تقرير يناير'!$C$4,$P166='تقرير يناير'!$C$6),COUNT(AA$4:AA165)+1,"")</f>
        <v/>
      </c>
      <c r="AB166">
        <f>IF(AND($A166&lt;&gt;"",$B166&lt;&gt;"",$R166='تقرير فبراير'!$C$4,$P166='تقرير فبراير'!$C$6),COUNT(AB$4:AB165)+1,"")</f>
        <v/>
      </c>
      <c r="AC166">
        <f>IF(AND($A166&lt;&gt;"",$B166&lt;&gt;"",$R166='تقرير مارس'!$C$4,$P166='تقرير مارس'!$C$6),COUNT(AC$4:AC165)+1,"")</f>
        <v/>
      </c>
      <c r="AD166">
        <f>IF(AND($A166&lt;&gt;"",$B166&lt;&gt;"",$R166='تقرير أبريل'!$C$4,$P166='تقرير أبريل'!$C$6),COUNT(AD$4:AD165)+1,"")</f>
        <v/>
      </c>
      <c r="AE166">
        <f>IF(AND($A166&lt;&gt;"",$B166&lt;&gt;"",$R166='تقرير مايو'!$C$4,$P166='تقرير مايو'!$C$6),COUNT(AE$4:AE165)+1,"")</f>
        <v/>
      </c>
    </row>
    <row r="167">
      <c r="A167" s="16" t="n"/>
      <c r="B167" s="17" t="n"/>
      <c r="C167" s="17" t="n"/>
      <c r="D167" s="18" t="n"/>
      <c r="E167" s="17" t="n"/>
      <c r="F167" s="17" t="n"/>
      <c r="G167" s="19" t="n"/>
      <c r="H167" s="17" t="n"/>
      <c r="I167" s="17" t="n"/>
      <c r="J167" s="17" t="n"/>
      <c r="K167" s="20">
        <f>IF($B167="","",IFERROR(INDEX(الموظفات!$A$5:$A$304,MATCH($B167,الموظفات!$B$5:$B$304,0))&amp;"",""))</f>
        <v/>
      </c>
      <c r="L167" s="21">
        <f>IF($B167="","",IFERROR(INDEX(الموظفات!$C$5:$C$304,MATCH($B167,الموظفات!$B$5:$B$304,0))&amp;"",""))</f>
        <v/>
      </c>
      <c r="M167" s="20">
        <f>IF($B167="","",IFERROR(INDEX(الموظفات!$D$5:$D$304,MATCH($B167,الموظفات!$B$5:$B$304,0))&amp;"",""))</f>
        <v/>
      </c>
      <c r="N167" s="20">
        <f>IF($B167="","",IFERROR(INDEX(الموظفات!$E$5:$E$304,MATCH($B167,الموظفات!$B$5:$B$304,0))&amp;"",""))</f>
        <v/>
      </c>
      <c r="O167" s="21">
        <f>IF(C167="","",IFERROR(INDEX(الإعدادات!$D$7:$D$35,MATCH(C167,الإعدادات!$A$7:$A$35,0))&amp;"",""))</f>
        <v/>
      </c>
      <c r="P167" s="20">
        <f>IF(A167="","",INDEX(الإعدادات!$H$7:$H$18,MONTH(A167)))</f>
        <v/>
      </c>
      <c r="Q167" s="20">
        <f>IF(A167="","",INDEX(الإعدادات!$I$7:$I$18,MONTH(A167)))</f>
        <v/>
      </c>
      <c r="R167" s="20">
        <f>IF(A167="","",IF(MONTH(A167)&gt;=8,YEAR(A167)&amp;"-"&amp;(YEAR(A167)+1),(YEAR(A167)-1)&amp;"-"&amp;YEAR(A167)))</f>
        <v/>
      </c>
      <c r="S167" s="20">
        <f>IF(OR(A167="",B167=""),0,IF(AND(R167=التقارير!$C$4,OR(التقارير!$C$5="سنوي",AND(التقارير!$C$5="شهري",P167=التقارير!$C$6),AND(التقارير!$C$5="فصلي",Q167=التقارير!$C$7))),1,0))</f>
        <v/>
      </c>
      <c r="T167" s="20">
        <f>IF(S167=1,COUNTIF($S$5:S167,1),"")</f>
        <v/>
      </c>
      <c r="U167">
        <f>IF(AND($A167&lt;&gt;"",$B167&lt;&gt;"",$R167='تقرير الفصل الأول'!$C$4,$Q167='تقرير الفصل الأول'!$C$7),COUNT(U$4:U166)+1,"")</f>
        <v/>
      </c>
      <c r="V167">
        <f>IF(AND($A167&lt;&gt;"",$B167&lt;&gt;"",$R167='تقرير الفصل الثاني'!$C$4,$Q167='تقرير الفصل الثاني'!$C$7),COUNT(V$4:V166)+1,"")</f>
        <v/>
      </c>
      <c r="W167">
        <f>IF(AND($A167&lt;&gt;"",$B167&lt;&gt;"",$R167='تقرير سبتمبر'!$C$4,$P167='تقرير سبتمبر'!$C$6),COUNT(W$4:W166)+1,"")</f>
        <v/>
      </c>
      <c r="X167">
        <f>IF(AND($A167&lt;&gt;"",$B167&lt;&gt;"",$R167='تقرير أكتوبر'!$C$4,$P167='تقرير أكتوبر'!$C$6),COUNT(X$4:X166)+1,"")</f>
        <v/>
      </c>
      <c r="Y167">
        <f>IF(AND($A167&lt;&gt;"",$B167&lt;&gt;"",$R167='تقرير نوفمبر'!$C$4,$P167='تقرير نوفمبر'!$C$6),COUNT(Y$4:Y166)+1,"")</f>
        <v/>
      </c>
      <c r="Z167">
        <f>IF(AND($A167&lt;&gt;"",$B167&lt;&gt;"",$R167='تقرير ديسمبر'!$C$4,$P167='تقرير ديسمبر'!$C$6),COUNT(Z$4:Z166)+1,"")</f>
        <v/>
      </c>
      <c r="AA167">
        <f>IF(AND($A167&lt;&gt;"",$B167&lt;&gt;"",$R167='تقرير يناير'!$C$4,$P167='تقرير يناير'!$C$6),COUNT(AA$4:AA166)+1,"")</f>
        <v/>
      </c>
      <c r="AB167">
        <f>IF(AND($A167&lt;&gt;"",$B167&lt;&gt;"",$R167='تقرير فبراير'!$C$4,$P167='تقرير فبراير'!$C$6),COUNT(AB$4:AB166)+1,"")</f>
        <v/>
      </c>
      <c r="AC167">
        <f>IF(AND($A167&lt;&gt;"",$B167&lt;&gt;"",$R167='تقرير مارس'!$C$4,$P167='تقرير مارس'!$C$6),COUNT(AC$4:AC166)+1,"")</f>
        <v/>
      </c>
      <c r="AD167">
        <f>IF(AND($A167&lt;&gt;"",$B167&lt;&gt;"",$R167='تقرير أبريل'!$C$4,$P167='تقرير أبريل'!$C$6),COUNT(AD$4:AD166)+1,"")</f>
        <v/>
      </c>
      <c r="AE167">
        <f>IF(AND($A167&lt;&gt;"",$B167&lt;&gt;"",$R167='تقرير مايو'!$C$4,$P167='تقرير مايو'!$C$6),COUNT(AE$4:AE166)+1,"")</f>
        <v/>
      </c>
    </row>
    <row r="168">
      <c r="A168" s="16" t="n"/>
      <c r="B168" s="17" t="n"/>
      <c r="C168" s="17" t="n"/>
      <c r="D168" s="18" t="n"/>
      <c r="E168" s="17" t="n"/>
      <c r="F168" s="17" t="n"/>
      <c r="G168" s="19" t="n"/>
      <c r="H168" s="17" t="n"/>
      <c r="I168" s="17" t="n"/>
      <c r="J168" s="17" t="n"/>
      <c r="K168" s="20">
        <f>IF($B168="","",IFERROR(INDEX(الموظفات!$A$5:$A$304,MATCH($B168,الموظفات!$B$5:$B$304,0))&amp;"",""))</f>
        <v/>
      </c>
      <c r="L168" s="21">
        <f>IF($B168="","",IFERROR(INDEX(الموظفات!$C$5:$C$304,MATCH($B168,الموظفات!$B$5:$B$304,0))&amp;"",""))</f>
        <v/>
      </c>
      <c r="M168" s="20">
        <f>IF($B168="","",IFERROR(INDEX(الموظفات!$D$5:$D$304,MATCH($B168,الموظفات!$B$5:$B$304,0))&amp;"",""))</f>
        <v/>
      </c>
      <c r="N168" s="20">
        <f>IF($B168="","",IFERROR(INDEX(الموظفات!$E$5:$E$304,MATCH($B168,الموظفات!$B$5:$B$304,0))&amp;"",""))</f>
        <v/>
      </c>
      <c r="O168" s="21">
        <f>IF(C168="","",IFERROR(INDEX(الإعدادات!$D$7:$D$35,MATCH(C168,الإعدادات!$A$7:$A$35,0))&amp;"",""))</f>
        <v/>
      </c>
      <c r="P168" s="20">
        <f>IF(A168="","",INDEX(الإعدادات!$H$7:$H$18,MONTH(A168)))</f>
        <v/>
      </c>
      <c r="Q168" s="20">
        <f>IF(A168="","",INDEX(الإعدادات!$I$7:$I$18,MONTH(A168)))</f>
        <v/>
      </c>
      <c r="R168" s="20">
        <f>IF(A168="","",IF(MONTH(A168)&gt;=8,YEAR(A168)&amp;"-"&amp;(YEAR(A168)+1),(YEAR(A168)-1)&amp;"-"&amp;YEAR(A168)))</f>
        <v/>
      </c>
      <c r="S168" s="20">
        <f>IF(OR(A168="",B168=""),0,IF(AND(R168=التقارير!$C$4,OR(التقارير!$C$5="سنوي",AND(التقارير!$C$5="شهري",P168=التقارير!$C$6),AND(التقارير!$C$5="فصلي",Q168=التقارير!$C$7))),1,0))</f>
        <v/>
      </c>
      <c r="T168" s="20">
        <f>IF(S168=1,COUNTIF($S$5:S168,1),"")</f>
        <v/>
      </c>
      <c r="U168">
        <f>IF(AND($A168&lt;&gt;"",$B168&lt;&gt;"",$R168='تقرير الفصل الأول'!$C$4,$Q168='تقرير الفصل الأول'!$C$7),COUNT(U$4:U167)+1,"")</f>
        <v/>
      </c>
      <c r="V168">
        <f>IF(AND($A168&lt;&gt;"",$B168&lt;&gt;"",$R168='تقرير الفصل الثاني'!$C$4,$Q168='تقرير الفصل الثاني'!$C$7),COUNT(V$4:V167)+1,"")</f>
        <v/>
      </c>
      <c r="W168">
        <f>IF(AND($A168&lt;&gt;"",$B168&lt;&gt;"",$R168='تقرير سبتمبر'!$C$4,$P168='تقرير سبتمبر'!$C$6),COUNT(W$4:W167)+1,"")</f>
        <v/>
      </c>
      <c r="X168">
        <f>IF(AND($A168&lt;&gt;"",$B168&lt;&gt;"",$R168='تقرير أكتوبر'!$C$4,$P168='تقرير أكتوبر'!$C$6),COUNT(X$4:X167)+1,"")</f>
        <v/>
      </c>
      <c r="Y168">
        <f>IF(AND($A168&lt;&gt;"",$B168&lt;&gt;"",$R168='تقرير نوفمبر'!$C$4,$P168='تقرير نوفمبر'!$C$6),COUNT(Y$4:Y167)+1,"")</f>
        <v/>
      </c>
      <c r="Z168">
        <f>IF(AND($A168&lt;&gt;"",$B168&lt;&gt;"",$R168='تقرير ديسمبر'!$C$4,$P168='تقرير ديسمبر'!$C$6),COUNT(Z$4:Z167)+1,"")</f>
        <v/>
      </c>
      <c r="AA168">
        <f>IF(AND($A168&lt;&gt;"",$B168&lt;&gt;"",$R168='تقرير يناير'!$C$4,$P168='تقرير يناير'!$C$6),COUNT(AA$4:AA167)+1,"")</f>
        <v/>
      </c>
      <c r="AB168">
        <f>IF(AND($A168&lt;&gt;"",$B168&lt;&gt;"",$R168='تقرير فبراير'!$C$4,$P168='تقرير فبراير'!$C$6),COUNT(AB$4:AB167)+1,"")</f>
        <v/>
      </c>
      <c r="AC168">
        <f>IF(AND($A168&lt;&gt;"",$B168&lt;&gt;"",$R168='تقرير مارس'!$C$4,$P168='تقرير مارس'!$C$6),COUNT(AC$4:AC167)+1,"")</f>
        <v/>
      </c>
      <c r="AD168">
        <f>IF(AND($A168&lt;&gt;"",$B168&lt;&gt;"",$R168='تقرير أبريل'!$C$4,$P168='تقرير أبريل'!$C$6),COUNT(AD$4:AD167)+1,"")</f>
        <v/>
      </c>
      <c r="AE168">
        <f>IF(AND($A168&lt;&gt;"",$B168&lt;&gt;"",$R168='تقرير مايو'!$C$4,$P168='تقرير مايو'!$C$6),COUNT(AE$4:AE167)+1,"")</f>
        <v/>
      </c>
    </row>
    <row r="169">
      <c r="A169" s="16" t="n"/>
      <c r="B169" s="17" t="n"/>
      <c r="C169" s="17" t="n"/>
      <c r="D169" s="18" t="n"/>
      <c r="E169" s="17" t="n"/>
      <c r="F169" s="17" t="n"/>
      <c r="G169" s="19" t="n"/>
      <c r="H169" s="17" t="n"/>
      <c r="I169" s="17" t="n"/>
      <c r="J169" s="17" t="n"/>
      <c r="K169" s="20">
        <f>IF($B169="","",IFERROR(INDEX(الموظفات!$A$5:$A$304,MATCH($B169,الموظفات!$B$5:$B$304,0))&amp;"",""))</f>
        <v/>
      </c>
      <c r="L169" s="21">
        <f>IF($B169="","",IFERROR(INDEX(الموظفات!$C$5:$C$304,MATCH($B169,الموظفات!$B$5:$B$304,0))&amp;"",""))</f>
        <v/>
      </c>
      <c r="M169" s="20">
        <f>IF($B169="","",IFERROR(INDEX(الموظفات!$D$5:$D$304,MATCH($B169,الموظفات!$B$5:$B$304,0))&amp;"",""))</f>
        <v/>
      </c>
      <c r="N169" s="20">
        <f>IF($B169="","",IFERROR(INDEX(الموظفات!$E$5:$E$304,MATCH($B169,الموظفات!$B$5:$B$304,0))&amp;"",""))</f>
        <v/>
      </c>
      <c r="O169" s="21">
        <f>IF(C169="","",IFERROR(INDEX(الإعدادات!$D$7:$D$35,MATCH(C169,الإعدادات!$A$7:$A$35,0))&amp;"",""))</f>
        <v/>
      </c>
      <c r="P169" s="20">
        <f>IF(A169="","",INDEX(الإعدادات!$H$7:$H$18,MONTH(A169)))</f>
        <v/>
      </c>
      <c r="Q169" s="20">
        <f>IF(A169="","",INDEX(الإعدادات!$I$7:$I$18,MONTH(A169)))</f>
        <v/>
      </c>
      <c r="R169" s="20">
        <f>IF(A169="","",IF(MONTH(A169)&gt;=8,YEAR(A169)&amp;"-"&amp;(YEAR(A169)+1),(YEAR(A169)-1)&amp;"-"&amp;YEAR(A169)))</f>
        <v/>
      </c>
      <c r="S169" s="20">
        <f>IF(OR(A169="",B169=""),0,IF(AND(R169=التقارير!$C$4,OR(التقارير!$C$5="سنوي",AND(التقارير!$C$5="شهري",P169=التقارير!$C$6),AND(التقارير!$C$5="فصلي",Q169=التقارير!$C$7))),1,0))</f>
        <v/>
      </c>
      <c r="T169" s="20">
        <f>IF(S169=1,COUNTIF($S$5:S169,1),"")</f>
        <v/>
      </c>
      <c r="U169">
        <f>IF(AND($A169&lt;&gt;"",$B169&lt;&gt;"",$R169='تقرير الفصل الأول'!$C$4,$Q169='تقرير الفصل الأول'!$C$7),COUNT(U$4:U168)+1,"")</f>
        <v/>
      </c>
      <c r="V169">
        <f>IF(AND($A169&lt;&gt;"",$B169&lt;&gt;"",$R169='تقرير الفصل الثاني'!$C$4,$Q169='تقرير الفصل الثاني'!$C$7),COUNT(V$4:V168)+1,"")</f>
        <v/>
      </c>
      <c r="W169">
        <f>IF(AND($A169&lt;&gt;"",$B169&lt;&gt;"",$R169='تقرير سبتمبر'!$C$4,$P169='تقرير سبتمبر'!$C$6),COUNT(W$4:W168)+1,"")</f>
        <v/>
      </c>
      <c r="X169">
        <f>IF(AND($A169&lt;&gt;"",$B169&lt;&gt;"",$R169='تقرير أكتوبر'!$C$4,$P169='تقرير أكتوبر'!$C$6),COUNT(X$4:X168)+1,"")</f>
        <v/>
      </c>
      <c r="Y169">
        <f>IF(AND($A169&lt;&gt;"",$B169&lt;&gt;"",$R169='تقرير نوفمبر'!$C$4,$P169='تقرير نوفمبر'!$C$6),COUNT(Y$4:Y168)+1,"")</f>
        <v/>
      </c>
      <c r="Z169">
        <f>IF(AND($A169&lt;&gt;"",$B169&lt;&gt;"",$R169='تقرير ديسمبر'!$C$4,$P169='تقرير ديسمبر'!$C$6),COUNT(Z$4:Z168)+1,"")</f>
        <v/>
      </c>
      <c r="AA169">
        <f>IF(AND($A169&lt;&gt;"",$B169&lt;&gt;"",$R169='تقرير يناير'!$C$4,$P169='تقرير يناير'!$C$6),COUNT(AA$4:AA168)+1,"")</f>
        <v/>
      </c>
      <c r="AB169">
        <f>IF(AND($A169&lt;&gt;"",$B169&lt;&gt;"",$R169='تقرير فبراير'!$C$4,$P169='تقرير فبراير'!$C$6),COUNT(AB$4:AB168)+1,"")</f>
        <v/>
      </c>
      <c r="AC169">
        <f>IF(AND($A169&lt;&gt;"",$B169&lt;&gt;"",$R169='تقرير مارس'!$C$4,$P169='تقرير مارس'!$C$6),COUNT(AC$4:AC168)+1,"")</f>
        <v/>
      </c>
      <c r="AD169">
        <f>IF(AND($A169&lt;&gt;"",$B169&lt;&gt;"",$R169='تقرير أبريل'!$C$4,$P169='تقرير أبريل'!$C$6),COUNT(AD$4:AD168)+1,"")</f>
        <v/>
      </c>
      <c r="AE169">
        <f>IF(AND($A169&lt;&gt;"",$B169&lt;&gt;"",$R169='تقرير مايو'!$C$4,$P169='تقرير مايو'!$C$6),COUNT(AE$4:AE168)+1,"")</f>
        <v/>
      </c>
    </row>
    <row r="170">
      <c r="A170" s="16" t="n"/>
      <c r="B170" s="17" t="n"/>
      <c r="C170" s="17" t="n"/>
      <c r="D170" s="18" t="n"/>
      <c r="E170" s="17" t="n"/>
      <c r="F170" s="17" t="n"/>
      <c r="G170" s="19" t="n"/>
      <c r="H170" s="17" t="n"/>
      <c r="I170" s="17" t="n"/>
      <c r="J170" s="17" t="n"/>
      <c r="K170" s="20">
        <f>IF($B170="","",IFERROR(INDEX(الموظفات!$A$5:$A$304,MATCH($B170,الموظفات!$B$5:$B$304,0))&amp;"",""))</f>
        <v/>
      </c>
      <c r="L170" s="21">
        <f>IF($B170="","",IFERROR(INDEX(الموظفات!$C$5:$C$304,MATCH($B170,الموظفات!$B$5:$B$304,0))&amp;"",""))</f>
        <v/>
      </c>
      <c r="M170" s="20">
        <f>IF($B170="","",IFERROR(INDEX(الموظفات!$D$5:$D$304,MATCH($B170,الموظفات!$B$5:$B$304,0))&amp;"",""))</f>
        <v/>
      </c>
      <c r="N170" s="20">
        <f>IF($B170="","",IFERROR(INDEX(الموظفات!$E$5:$E$304,MATCH($B170,الموظفات!$B$5:$B$304,0))&amp;"",""))</f>
        <v/>
      </c>
      <c r="O170" s="21">
        <f>IF(C170="","",IFERROR(INDEX(الإعدادات!$D$7:$D$35,MATCH(C170,الإعدادات!$A$7:$A$35,0))&amp;"",""))</f>
        <v/>
      </c>
      <c r="P170" s="20">
        <f>IF(A170="","",INDEX(الإعدادات!$H$7:$H$18,MONTH(A170)))</f>
        <v/>
      </c>
      <c r="Q170" s="20">
        <f>IF(A170="","",INDEX(الإعدادات!$I$7:$I$18,MONTH(A170)))</f>
        <v/>
      </c>
      <c r="R170" s="20">
        <f>IF(A170="","",IF(MONTH(A170)&gt;=8,YEAR(A170)&amp;"-"&amp;(YEAR(A170)+1),(YEAR(A170)-1)&amp;"-"&amp;YEAR(A170)))</f>
        <v/>
      </c>
      <c r="S170" s="20">
        <f>IF(OR(A170="",B170=""),0,IF(AND(R170=التقارير!$C$4,OR(التقارير!$C$5="سنوي",AND(التقارير!$C$5="شهري",P170=التقارير!$C$6),AND(التقارير!$C$5="فصلي",Q170=التقارير!$C$7))),1,0))</f>
        <v/>
      </c>
      <c r="T170" s="20">
        <f>IF(S170=1,COUNTIF($S$5:S170,1),"")</f>
        <v/>
      </c>
      <c r="U170">
        <f>IF(AND($A170&lt;&gt;"",$B170&lt;&gt;"",$R170='تقرير الفصل الأول'!$C$4,$Q170='تقرير الفصل الأول'!$C$7),COUNT(U$4:U169)+1,"")</f>
        <v/>
      </c>
      <c r="V170">
        <f>IF(AND($A170&lt;&gt;"",$B170&lt;&gt;"",$R170='تقرير الفصل الثاني'!$C$4,$Q170='تقرير الفصل الثاني'!$C$7),COUNT(V$4:V169)+1,"")</f>
        <v/>
      </c>
      <c r="W170">
        <f>IF(AND($A170&lt;&gt;"",$B170&lt;&gt;"",$R170='تقرير سبتمبر'!$C$4,$P170='تقرير سبتمبر'!$C$6),COUNT(W$4:W169)+1,"")</f>
        <v/>
      </c>
      <c r="X170">
        <f>IF(AND($A170&lt;&gt;"",$B170&lt;&gt;"",$R170='تقرير أكتوبر'!$C$4,$P170='تقرير أكتوبر'!$C$6),COUNT(X$4:X169)+1,"")</f>
        <v/>
      </c>
      <c r="Y170">
        <f>IF(AND($A170&lt;&gt;"",$B170&lt;&gt;"",$R170='تقرير نوفمبر'!$C$4,$P170='تقرير نوفمبر'!$C$6),COUNT(Y$4:Y169)+1,"")</f>
        <v/>
      </c>
      <c r="Z170">
        <f>IF(AND($A170&lt;&gt;"",$B170&lt;&gt;"",$R170='تقرير ديسمبر'!$C$4,$P170='تقرير ديسمبر'!$C$6),COUNT(Z$4:Z169)+1,"")</f>
        <v/>
      </c>
      <c r="AA170">
        <f>IF(AND($A170&lt;&gt;"",$B170&lt;&gt;"",$R170='تقرير يناير'!$C$4,$P170='تقرير يناير'!$C$6),COUNT(AA$4:AA169)+1,"")</f>
        <v/>
      </c>
      <c r="AB170">
        <f>IF(AND($A170&lt;&gt;"",$B170&lt;&gt;"",$R170='تقرير فبراير'!$C$4,$P170='تقرير فبراير'!$C$6),COUNT(AB$4:AB169)+1,"")</f>
        <v/>
      </c>
      <c r="AC170">
        <f>IF(AND($A170&lt;&gt;"",$B170&lt;&gt;"",$R170='تقرير مارس'!$C$4,$P170='تقرير مارس'!$C$6),COUNT(AC$4:AC169)+1,"")</f>
        <v/>
      </c>
      <c r="AD170">
        <f>IF(AND($A170&lt;&gt;"",$B170&lt;&gt;"",$R170='تقرير أبريل'!$C$4,$P170='تقرير أبريل'!$C$6),COUNT(AD$4:AD169)+1,"")</f>
        <v/>
      </c>
      <c r="AE170">
        <f>IF(AND($A170&lt;&gt;"",$B170&lt;&gt;"",$R170='تقرير مايو'!$C$4,$P170='تقرير مايو'!$C$6),COUNT(AE$4:AE169)+1,"")</f>
        <v/>
      </c>
    </row>
    <row r="171">
      <c r="A171" s="16" t="n"/>
      <c r="B171" s="17" t="n"/>
      <c r="C171" s="17" t="n"/>
      <c r="D171" s="18" t="n"/>
      <c r="E171" s="17" t="n"/>
      <c r="F171" s="17" t="n"/>
      <c r="G171" s="19" t="n"/>
      <c r="H171" s="17" t="n"/>
      <c r="I171" s="17" t="n"/>
      <c r="J171" s="17" t="n"/>
      <c r="K171" s="20">
        <f>IF($B171="","",IFERROR(INDEX(الموظفات!$A$5:$A$304,MATCH($B171,الموظفات!$B$5:$B$304,0))&amp;"",""))</f>
        <v/>
      </c>
      <c r="L171" s="21">
        <f>IF($B171="","",IFERROR(INDEX(الموظفات!$C$5:$C$304,MATCH($B171,الموظفات!$B$5:$B$304,0))&amp;"",""))</f>
        <v/>
      </c>
      <c r="M171" s="20">
        <f>IF($B171="","",IFERROR(INDEX(الموظفات!$D$5:$D$304,MATCH($B171,الموظفات!$B$5:$B$304,0))&amp;"",""))</f>
        <v/>
      </c>
      <c r="N171" s="20">
        <f>IF($B171="","",IFERROR(INDEX(الموظفات!$E$5:$E$304,MATCH($B171,الموظفات!$B$5:$B$304,0))&amp;"",""))</f>
        <v/>
      </c>
      <c r="O171" s="21">
        <f>IF(C171="","",IFERROR(INDEX(الإعدادات!$D$7:$D$35,MATCH(C171,الإعدادات!$A$7:$A$35,0))&amp;"",""))</f>
        <v/>
      </c>
      <c r="P171" s="20">
        <f>IF(A171="","",INDEX(الإعدادات!$H$7:$H$18,MONTH(A171)))</f>
        <v/>
      </c>
      <c r="Q171" s="20">
        <f>IF(A171="","",INDEX(الإعدادات!$I$7:$I$18,MONTH(A171)))</f>
        <v/>
      </c>
      <c r="R171" s="20">
        <f>IF(A171="","",IF(MONTH(A171)&gt;=8,YEAR(A171)&amp;"-"&amp;(YEAR(A171)+1),(YEAR(A171)-1)&amp;"-"&amp;YEAR(A171)))</f>
        <v/>
      </c>
      <c r="S171" s="20">
        <f>IF(OR(A171="",B171=""),0,IF(AND(R171=التقارير!$C$4,OR(التقارير!$C$5="سنوي",AND(التقارير!$C$5="شهري",P171=التقارير!$C$6),AND(التقارير!$C$5="فصلي",Q171=التقارير!$C$7))),1,0))</f>
        <v/>
      </c>
      <c r="T171" s="20">
        <f>IF(S171=1,COUNTIF($S$5:S171,1),"")</f>
        <v/>
      </c>
      <c r="U171">
        <f>IF(AND($A171&lt;&gt;"",$B171&lt;&gt;"",$R171='تقرير الفصل الأول'!$C$4,$Q171='تقرير الفصل الأول'!$C$7),COUNT(U$4:U170)+1,"")</f>
        <v/>
      </c>
      <c r="V171">
        <f>IF(AND($A171&lt;&gt;"",$B171&lt;&gt;"",$R171='تقرير الفصل الثاني'!$C$4,$Q171='تقرير الفصل الثاني'!$C$7),COUNT(V$4:V170)+1,"")</f>
        <v/>
      </c>
      <c r="W171">
        <f>IF(AND($A171&lt;&gt;"",$B171&lt;&gt;"",$R171='تقرير سبتمبر'!$C$4,$P171='تقرير سبتمبر'!$C$6),COUNT(W$4:W170)+1,"")</f>
        <v/>
      </c>
      <c r="X171">
        <f>IF(AND($A171&lt;&gt;"",$B171&lt;&gt;"",$R171='تقرير أكتوبر'!$C$4,$P171='تقرير أكتوبر'!$C$6),COUNT(X$4:X170)+1,"")</f>
        <v/>
      </c>
      <c r="Y171">
        <f>IF(AND($A171&lt;&gt;"",$B171&lt;&gt;"",$R171='تقرير نوفمبر'!$C$4,$P171='تقرير نوفمبر'!$C$6),COUNT(Y$4:Y170)+1,"")</f>
        <v/>
      </c>
      <c r="Z171">
        <f>IF(AND($A171&lt;&gt;"",$B171&lt;&gt;"",$R171='تقرير ديسمبر'!$C$4,$P171='تقرير ديسمبر'!$C$6),COUNT(Z$4:Z170)+1,"")</f>
        <v/>
      </c>
      <c r="AA171">
        <f>IF(AND($A171&lt;&gt;"",$B171&lt;&gt;"",$R171='تقرير يناير'!$C$4,$P171='تقرير يناير'!$C$6),COUNT(AA$4:AA170)+1,"")</f>
        <v/>
      </c>
      <c r="AB171">
        <f>IF(AND($A171&lt;&gt;"",$B171&lt;&gt;"",$R171='تقرير فبراير'!$C$4,$P171='تقرير فبراير'!$C$6),COUNT(AB$4:AB170)+1,"")</f>
        <v/>
      </c>
      <c r="AC171">
        <f>IF(AND($A171&lt;&gt;"",$B171&lt;&gt;"",$R171='تقرير مارس'!$C$4,$P171='تقرير مارس'!$C$6),COUNT(AC$4:AC170)+1,"")</f>
        <v/>
      </c>
      <c r="AD171">
        <f>IF(AND($A171&lt;&gt;"",$B171&lt;&gt;"",$R171='تقرير أبريل'!$C$4,$P171='تقرير أبريل'!$C$6),COUNT(AD$4:AD170)+1,"")</f>
        <v/>
      </c>
      <c r="AE171">
        <f>IF(AND($A171&lt;&gt;"",$B171&lt;&gt;"",$R171='تقرير مايو'!$C$4,$P171='تقرير مايو'!$C$6),COUNT(AE$4:AE170)+1,"")</f>
        <v/>
      </c>
    </row>
    <row r="172">
      <c r="A172" s="16" t="n"/>
      <c r="B172" s="17" t="n"/>
      <c r="C172" s="17" t="n"/>
      <c r="D172" s="18" t="n"/>
      <c r="E172" s="17" t="n"/>
      <c r="F172" s="17" t="n"/>
      <c r="G172" s="19" t="n"/>
      <c r="H172" s="17" t="n"/>
      <c r="I172" s="17" t="n"/>
      <c r="J172" s="17" t="n"/>
      <c r="K172" s="20">
        <f>IF($B172="","",IFERROR(INDEX(الموظفات!$A$5:$A$304,MATCH($B172,الموظفات!$B$5:$B$304,0))&amp;"",""))</f>
        <v/>
      </c>
      <c r="L172" s="21">
        <f>IF($B172="","",IFERROR(INDEX(الموظفات!$C$5:$C$304,MATCH($B172,الموظفات!$B$5:$B$304,0))&amp;"",""))</f>
        <v/>
      </c>
      <c r="M172" s="20">
        <f>IF($B172="","",IFERROR(INDEX(الموظفات!$D$5:$D$304,MATCH($B172,الموظفات!$B$5:$B$304,0))&amp;"",""))</f>
        <v/>
      </c>
      <c r="N172" s="20">
        <f>IF($B172="","",IFERROR(INDEX(الموظفات!$E$5:$E$304,MATCH($B172,الموظفات!$B$5:$B$304,0))&amp;"",""))</f>
        <v/>
      </c>
      <c r="O172" s="21">
        <f>IF(C172="","",IFERROR(INDEX(الإعدادات!$D$7:$D$35,MATCH(C172,الإعدادات!$A$7:$A$35,0))&amp;"",""))</f>
        <v/>
      </c>
      <c r="P172" s="20">
        <f>IF(A172="","",INDEX(الإعدادات!$H$7:$H$18,MONTH(A172)))</f>
        <v/>
      </c>
      <c r="Q172" s="20">
        <f>IF(A172="","",INDEX(الإعدادات!$I$7:$I$18,MONTH(A172)))</f>
        <v/>
      </c>
      <c r="R172" s="20">
        <f>IF(A172="","",IF(MONTH(A172)&gt;=8,YEAR(A172)&amp;"-"&amp;(YEAR(A172)+1),(YEAR(A172)-1)&amp;"-"&amp;YEAR(A172)))</f>
        <v/>
      </c>
      <c r="S172" s="20">
        <f>IF(OR(A172="",B172=""),0,IF(AND(R172=التقارير!$C$4,OR(التقارير!$C$5="سنوي",AND(التقارير!$C$5="شهري",P172=التقارير!$C$6),AND(التقارير!$C$5="فصلي",Q172=التقارير!$C$7))),1,0))</f>
        <v/>
      </c>
      <c r="T172" s="20">
        <f>IF(S172=1,COUNTIF($S$5:S172,1),"")</f>
        <v/>
      </c>
      <c r="U172">
        <f>IF(AND($A172&lt;&gt;"",$B172&lt;&gt;"",$R172='تقرير الفصل الأول'!$C$4,$Q172='تقرير الفصل الأول'!$C$7),COUNT(U$4:U171)+1,"")</f>
        <v/>
      </c>
      <c r="V172">
        <f>IF(AND($A172&lt;&gt;"",$B172&lt;&gt;"",$R172='تقرير الفصل الثاني'!$C$4,$Q172='تقرير الفصل الثاني'!$C$7),COUNT(V$4:V171)+1,"")</f>
        <v/>
      </c>
      <c r="W172">
        <f>IF(AND($A172&lt;&gt;"",$B172&lt;&gt;"",$R172='تقرير سبتمبر'!$C$4,$P172='تقرير سبتمبر'!$C$6),COUNT(W$4:W171)+1,"")</f>
        <v/>
      </c>
      <c r="X172">
        <f>IF(AND($A172&lt;&gt;"",$B172&lt;&gt;"",$R172='تقرير أكتوبر'!$C$4,$P172='تقرير أكتوبر'!$C$6),COUNT(X$4:X171)+1,"")</f>
        <v/>
      </c>
      <c r="Y172">
        <f>IF(AND($A172&lt;&gt;"",$B172&lt;&gt;"",$R172='تقرير نوفمبر'!$C$4,$P172='تقرير نوفمبر'!$C$6),COUNT(Y$4:Y171)+1,"")</f>
        <v/>
      </c>
      <c r="Z172">
        <f>IF(AND($A172&lt;&gt;"",$B172&lt;&gt;"",$R172='تقرير ديسمبر'!$C$4,$P172='تقرير ديسمبر'!$C$6),COUNT(Z$4:Z171)+1,"")</f>
        <v/>
      </c>
      <c r="AA172">
        <f>IF(AND($A172&lt;&gt;"",$B172&lt;&gt;"",$R172='تقرير يناير'!$C$4,$P172='تقرير يناير'!$C$6),COUNT(AA$4:AA171)+1,"")</f>
        <v/>
      </c>
      <c r="AB172">
        <f>IF(AND($A172&lt;&gt;"",$B172&lt;&gt;"",$R172='تقرير فبراير'!$C$4,$P172='تقرير فبراير'!$C$6),COUNT(AB$4:AB171)+1,"")</f>
        <v/>
      </c>
      <c r="AC172">
        <f>IF(AND($A172&lt;&gt;"",$B172&lt;&gt;"",$R172='تقرير مارس'!$C$4,$P172='تقرير مارس'!$C$6),COUNT(AC$4:AC171)+1,"")</f>
        <v/>
      </c>
      <c r="AD172">
        <f>IF(AND($A172&lt;&gt;"",$B172&lt;&gt;"",$R172='تقرير أبريل'!$C$4,$P172='تقرير أبريل'!$C$6),COUNT(AD$4:AD171)+1,"")</f>
        <v/>
      </c>
      <c r="AE172">
        <f>IF(AND($A172&lt;&gt;"",$B172&lt;&gt;"",$R172='تقرير مايو'!$C$4,$P172='تقرير مايو'!$C$6),COUNT(AE$4:AE171)+1,"")</f>
        <v/>
      </c>
    </row>
    <row r="173">
      <c r="A173" s="16" t="n"/>
      <c r="B173" s="17" t="n"/>
      <c r="C173" s="17" t="n"/>
      <c r="D173" s="18" t="n"/>
      <c r="E173" s="17" t="n"/>
      <c r="F173" s="17" t="n"/>
      <c r="G173" s="19" t="n"/>
      <c r="H173" s="17" t="n"/>
      <c r="I173" s="17" t="n"/>
      <c r="J173" s="17" t="n"/>
      <c r="K173" s="20">
        <f>IF($B173="","",IFERROR(INDEX(الموظفات!$A$5:$A$304,MATCH($B173,الموظفات!$B$5:$B$304,0))&amp;"",""))</f>
        <v/>
      </c>
      <c r="L173" s="21">
        <f>IF($B173="","",IFERROR(INDEX(الموظفات!$C$5:$C$304,MATCH($B173,الموظفات!$B$5:$B$304,0))&amp;"",""))</f>
        <v/>
      </c>
      <c r="M173" s="20">
        <f>IF($B173="","",IFERROR(INDEX(الموظفات!$D$5:$D$304,MATCH($B173,الموظفات!$B$5:$B$304,0))&amp;"",""))</f>
        <v/>
      </c>
      <c r="N173" s="20">
        <f>IF($B173="","",IFERROR(INDEX(الموظفات!$E$5:$E$304,MATCH($B173,الموظفات!$B$5:$B$304,0))&amp;"",""))</f>
        <v/>
      </c>
      <c r="O173" s="21">
        <f>IF(C173="","",IFERROR(INDEX(الإعدادات!$D$7:$D$35,MATCH(C173,الإعدادات!$A$7:$A$35,0))&amp;"",""))</f>
        <v/>
      </c>
      <c r="P173" s="20">
        <f>IF(A173="","",INDEX(الإعدادات!$H$7:$H$18,MONTH(A173)))</f>
        <v/>
      </c>
      <c r="Q173" s="20">
        <f>IF(A173="","",INDEX(الإعدادات!$I$7:$I$18,MONTH(A173)))</f>
        <v/>
      </c>
      <c r="R173" s="20">
        <f>IF(A173="","",IF(MONTH(A173)&gt;=8,YEAR(A173)&amp;"-"&amp;(YEAR(A173)+1),(YEAR(A173)-1)&amp;"-"&amp;YEAR(A173)))</f>
        <v/>
      </c>
      <c r="S173" s="20">
        <f>IF(OR(A173="",B173=""),0,IF(AND(R173=التقارير!$C$4,OR(التقارير!$C$5="سنوي",AND(التقارير!$C$5="شهري",P173=التقارير!$C$6),AND(التقارير!$C$5="فصلي",Q173=التقارير!$C$7))),1,0))</f>
        <v/>
      </c>
      <c r="T173" s="20">
        <f>IF(S173=1,COUNTIF($S$5:S173,1),"")</f>
        <v/>
      </c>
      <c r="U173">
        <f>IF(AND($A173&lt;&gt;"",$B173&lt;&gt;"",$R173='تقرير الفصل الأول'!$C$4,$Q173='تقرير الفصل الأول'!$C$7),COUNT(U$4:U172)+1,"")</f>
        <v/>
      </c>
      <c r="V173">
        <f>IF(AND($A173&lt;&gt;"",$B173&lt;&gt;"",$R173='تقرير الفصل الثاني'!$C$4,$Q173='تقرير الفصل الثاني'!$C$7),COUNT(V$4:V172)+1,"")</f>
        <v/>
      </c>
      <c r="W173">
        <f>IF(AND($A173&lt;&gt;"",$B173&lt;&gt;"",$R173='تقرير سبتمبر'!$C$4,$P173='تقرير سبتمبر'!$C$6),COUNT(W$4:W172)+1,"")</f>
        <v/>
      </c>
      <c r="X173">
        <f>IF(AND($A173&lt;&gt;"",$B173&lt;&gt;"",$R173='تقرير أكتوبر'!$C$4,$P173='تقرير أكتوبر'!$C$6),COUNT(X$4:X172)+1,"")</f>
        <v/>
      </c>
      <c r="Y173">
        <f>IF(AND($A173&lt;&gt;"",$B173&lt;&gt;"",$R173='تقرير نوفمبر'!$C$4,$P173='تقرير نوفمبر'!$C$6),COUNT(Y$4:Y172)+1,"")</f>
        <v/>
      </c>
      <c r="Z173">
        <f>IF(AND($A173&lt;&gt;"",$B173&lt;&gt;"",$R173='تقرير ديسمبر'!$C$4,$P173='تقرير ديسمبر'!$C$6),COUNT(Z$4:Z172)+1,"")</f>
        <v/>
      </c>
      <c r="AA173">
        <f>IF(AND($A173&lt;&gt;"",$B173&lt;&gt;"",$R173='تقرير يناير'!$C$4,$P173='تقرير يناير'!$C$6),COUNT(AA$4:AA172)+1,"")</f>
        <v/>
      </c>
      <c r="AB173">
        <f>IF(AND($A173&lt;&gt;"",$B173&lt;&gt;"",$R173='تقرير فبراير'!$C$4,$P173='تقرير فبراير'!$C$6),COUNT(AB$4:AB172)+1,"")</f>
        <v/>
      </c>
      <c r="AC173">
        <f>IF(AND($A173&lt;&gt;"",$B173&lt;&gt;"",$R173='تقرير مارس'!$C$4,$P173='تقرير مارس'!$C$6),COUNT(AC$4:AC172)+1,"")</f>
        <v/>
      </c>
      <c r="AD173">
        <f>IF(AND($A173&lt;&gt;"",$B173&lt;&gt;"",$R173='تقرير أبريل'!$C$4,$P173='تقرير أبريل'!$C$6),COUNT(AD$4:AD172)+1,"")</f>
        <v/>
      </c>
      <c r="AE173">
        <f>IF(AND($A173&lt;&gt;"",$B173&lt;&gt;"",$R173='تقرير مايو'!$C$4,$P173='تقرير مايو'!$C$6),COUNT(AE$4:AE172)+1,"")</f>
        <v/>
      </c>
    </row>
    <row r="174">
      <c r="A174" s="16" t="n"/>
      <c r="B174" s="17" t="n"/>
      <c r="C174" s="17" t="n"/>
      <c r="D174" s="18" t="n"/>
      <c r="E174" s="17" t="n"/>
      <c r="F174" s="17" t="n"/>
      <c r="G174" s="19" t="n"/>
      <c r="H174" s="17" t="n"/>
      <c r="I174" s="17" t="n"/>
      <c r="J174" s="17" t="n"/>
      <c r="K174" s="20">
        <f>IF($B174="","",IFERROR(INDEX(الموظفات!$A$5:$A$304,MATCH($B174,الموظفات!$B$5:$B$304,0))&amp;"",""))</f>
        <v/>
      </c>
      <c r="L174" s="21">
        <f>IF($B174="","",IFERROR(INDEX(الموظفات!$C$5:$C$304,MATCH($B174,الموظفات!$B$5:$B$304,0))&amp;"",""))</f>
        <v/>
      </c>
      <c r="M174" s="20">
        <f>IF($B174="","",IFERROR(INDEX(الموظفات!$D$5:$D$304,MATCH($B174,الموظفات!$B$5:$B$304,0))&amp;"",""))</f>
        <v/>
      </c>
      <c r="N174" s="20">
        <f>IF($B174="","",IFERROR(INDEX(الموظفات!$E$5:$E$304,MATCH($B174,الموظفات!$B$5:$B$304,0))&amp;"",""))</f>
        <v/>
      </c>
      <c r="O174" s="21">
        <f>IF(C174="","",IFERROR(INDEX(الإعدادات!$D$7:$D$35,MATCH(C174,الإعدادات!$A$7:$A$35,0))&amp;"",""))</f>
        <v/>
      </c>
      <c r="P174" s="20">
        <f>IF(A174="","",INDEX(الإعدادات!$H$7:$H$18,MONTH(A174)))</f>
        <v/>
      </c>
      <c r="Q174" s="20">
        <f>IF(A174="","",INDEX(الإعدادات!$I$7:$I$18,MONTH(A174)))</f>
        <v/>
      </c>
      <c r="R174" s="20">
        <f>IF(A174="","",IF(MONTH(A174)&gt;=8,YEAR(A174)&amp;"-"&amp;(YEAR(A174)+1),(YEAR(A174)-1)&amp;"-"&amp;YEAR(A174)))</f>
        <v/>
      </c>
      <c r="S174" s="20">
        <f>IF(OR(A174="",B174=""),0,IF(AND(R174=التقارير!$C$4,OR(التقارير!$C$5="سنوي",AND(التقارير!$C$5="شهري",P174=التقارير!$C$6),AND(التقارير!$C$5="فصلي",Q174=التقارير!$C$7))),1,0))</f>
        <v/>
      </c>
      <c r="T174" s="20">
        <f>IF(S174=1,COUNTIF($S$5:S174,1),"")</f>
        <v/>
      </c>
      <c r="U174">
        <f>IF(AND($A174&lt;&gt;"",$B174&lt;&gt;"",$R174='تقرير الفصل الأول'!$C$4,$Q174='تقرير الفصل الأول'!$C$7),COUNT(U$4:U173)+1,"")</f>
        <v/>
      </c>
      <c r="V174">
        <f>IF(AND($A174&lt;&gt;"",$B174&lt;&gt;"",$R174='تقرير الفصل الثاني'!$C$4,$Q174='تقرير الفصل الثاني'!$C$7),COUNT(V$4:V173)+1,"")</f>
        <v/>
      </c>
      <c r="W174">
        <f>IF(AND($A174&lt;&gt;"",$B174&lt;&gt;"",$R174='تقرير سبتمبر'!$C$4,$P174='تقرير سبتمبر'!$C$6),COUNT(W$4:W173)+1,"")</f>
        <v/>
      </c>
      <c r="X174">
        <f>IF(AND($A174&lt;&gt;"",$B174&lt;&gt;"",$R174='تقرير أكتوبر'!$C$4,$P174='تقرير أكتوبر'!$C$6),COUNT(X$4:X173)+1,"")</f>
        <v/>
      </c>
      <c r="Y174">
        <f>IF(AND($A174&lt;&gt;"",$B174&lt;&gt;"",$R174='تقرير نوفمبر'!$C$4,$P174='تقرير نوفمبر'!$C$6),COUNT(Y$4:Y173)+1,"")</f>
        <v/>
      </c>
      <c r="Z174">
        <f>IF(AND($A174&lt;&gt;"",$B174&lt;&gt;"",$R174='تقرير ديسمبر'!$C$4,$P174='تقرير ديسمبر'!$C$6),COUNT(Z$4:Z173)+1,"")</f>
        <v/>
      </c>
      <c r="AA174">
        <f>IF(AND($A174&lt;&gt;"",$B174&lt;&gt;"",$R174='تقرير يناير'!$C$4,$P174='تقرير يناير'!$C$6),COUNT(AA$4:AA173)+1,"")</f>
        <v/>
      </c>
      <c r="AB174">
        <f>IF(AND($A174&lt;&gt;"",$B174&lt;&gt;"",$R174='تقرير فبراير'!$C$4,$P174='تقرير فبراير'!$C$6),COUNT(AB$4:AB173)+1,"")</f>
        <v/>
      </c>
      <c r="AC174">
        <f>IF(AND($A174&lt;&gt;"",$B174&lt;&gt;"",$R174='تقرير مارس'!$C$4,$P174='تقرير مارس'!$C$6),COUNT(AC$4:AC173)+1,"")</f>
        <v/>
      </c>
      <c r="AD174">
        <f>IF(AND($A174&lt;&gt;"",$B174&lt;&gt;"",$R174='تقرير أبريل'!$C$4,$P174='تقرير أبريل'!$C$6),COUNT(AD$4:AD173)+1,"")</f>
        <v/>
      </c>
      <c r="AE174">
        <f>IF(AND($A174&lt;&gt;"",$B174&lt;&gt;"",$R174='تقرير مايو'!$C$4,$P174='تقرير مايو'!$C$6),COUNT(AE$4:AE173)+1,"")</f>
        <v/>
      </c>
    </row>
    <row r="175">
      <c r="A175" s="16" t="n"/>
      <c r="B175" s="17" t="n"/>
      <c r="C175" s="17" t="n"/>
      <c r="D175" s="18" t="n"/>
      <c r="E175" s="17" t="n"/>
      <c r="F175" s="17" t="n"/>
      <c r="G175" s="19" t="n"/>
      <c r="H175" s="17" t="n"/>
      <c r="I175" s="17" t="n"/>
      <c r="J175" s="17" t="n"/>
      <c r="K175" s="20">
        <f>IF($B175="","",IFERROR(INDEX(الموظفات!$A$5:$A$304,MATCH($B175,الموظفات!$B$5:$B$304,0))&amp;"",""))</f>
        <v/>
      </c>
      <c r="L175" s="21">
        <f>IF($B175="","",IFERROR(INDEX(الموظفات!$C$5:$C$304,MATCH($B175,الموظفات!$B$5:$B$304,0))&amp;"",""))</f>
        <v/>
      </c>
      <c r="M175" s="20">
        <f>IF($B175="","",IFERROR(INDEX(الموظفات!$D$5:$D$304,MATCH($B175,الموظفات!$B$5:$B$304,0))&amp;"",""))</f>
        <v/>
      </c>
      <c r="N175" s="20">
        <f>IF($B175="","",IFERROR(INDEX(الموظفات!$E$5:$E$304,MATCH($B175,الموظفات!$B$5:$B$304,0))&amp;"",""))</f>
        <v/>
      </c>
      <c r="O175" s="21">
        <f>IF(C175="","",IFERROR(INDEX(الإعدادات!$D$7:$D$35,MATCH(C175,الإعدادات!$A$7:$A$35,0))&amp;"",""))</f>
        <v/>
      </c>
      <c r="P175" s="20">
        <f>IF(A175="","",INDEX(الإعدادات!$H$7:$H$18,MONTH(A175)))</f>
        <v/>
      </c>
      <c r="Q175" s="20">
        <f>IF(A175="","",INDEX(الإعدادات!$I$7:$I$18,MONTH(A175)))</f>
        <v/>
      </c>
      <c r="R175" s="20">
        <f>IF(A175="","",IF(MONTH(A175)&gt;=8,YEAR(A175)&amp;"-"&amp;(YEAR(A175)+1),(YEAR(A175)-1)&amp;"-"&amp;YEAR(A175)))</f>
        <v/>
      </c>
      <c r="S175" s="20">
        <f>IF(OR(A175="",B175=""),0,IF(AND(R175=التقارير!$C$4,OR(التقارير!$C$5="سنوي",AND(التقارير!$C$5="شهري",P175=التقارير!$C$6),AND(التقارير!$C$5="فصلي",Q175=التقارير!$C$7))),1,0))</f>
        <v/>
      </c>
      <c r="T175" s="20">
        <f>IF(S175=1,COUNTIF($S$5:S175,1),"")</f>
        <v/>
      </c>
      <c r="U175">
        <f>IF(AND($A175&lt;&gt;"",$B175&lt;&gt;"",$R175='تقرير الفصل الأول'!$C$4,$Q175='تقرير الفصل الأول'!$C$7),COUNT(U$4:U174)+1,"")</f>
        <v/>
      </c>
      <c r="V175">
        <f>IF(AND($A175&lt;&gt;"",$B175&lt;&gt;"",$R175='تقرير الفصل الثاني'!$C$4,$Q175='تقرير الفصل الثاني'!$C$7),COUNT(V$4:V174)+1,"")</f>
        <v/>
      </c>
      <c r="W175">
        <f>IF(AND($A175&lt;&gt;"",$B175&lt;&gt;"",$R175='تقرير سبتمبر'!$C$4,$P175='تقرير سبتمبر'!$C$6),COUNT(W$4:W174)+1,"")</f>
        <v/>
      </c>
      <c r="X175">
        <f>IF(AND($A175&lt;&gt;"",$B175&lt;&gt;"",$R175='تقرير أكتوبر'!$C$4,$P175='تقرير أكتوبر'!$C$6),COUNT(X$4:X174)+1,"")</f>
        <v/>
      </c>
      <c r="Y175">
        <f>IF(AND($A175&lt;&gt;"",$B175&lt;&gt;"",$R175='تقرير نوفمبر'!$C$4,$P175='تقرير نوفمبر'!$C$6),COUNT(Y$4:Y174)+1,"")</f>
        <v/>
      </c>
      <c r="Z175">
        <f>IF(AND($A175&lt;&gt;"",$B175&lt;&gt;"",$R175='تقرير ديسمبر'!$C$4,$P175='تقرير ديسمبر'!$C$6),COUNT(Z$4:Z174)+1,"")</f>
        <v/>
      </c>
      <c r="AA175">
        <f>IF(AND($A175&lt;&gt;"",$B175&lt;&gt;"",$R175='تقرير يناير'!$C$4,$P175='تقرير يناير'!$C$6),COUNT(AA$4:AA174)+1,"")</f>
        <v/>
      </c>
      <c r="AB175">
        <f>IF(AND($A175&lt;&gt;"",$B175&lt;&gt;"",$R175='تقرير فبراير'!$C$4,$P175='تقرير فبراير'!$C$6),COUNT(AB$4:AB174)+1,"")</f>
        <v/>
      </c>
      <c r="AC175">
        <f>IF(AND($A175&lt;&gt;"",$B175&lt;&gt;"",$R175='تقرير مارس'!$C$4,$P175='تقرير مارس'!$C$6),COUNT(AC$4:AC174)+1,"")</f>
        <v/>
      </c>
      <c r="AD175">
        <f>IF(AND($A175&lt;&gt;"",$B175&lt;&gt;"",$R175='تقرير أبريل'!$C$4,$P175='تقرير أبريل'!$C$6),COUNT(AD$4:AD174)+1,"")</f>
        <v/>
      </c>
      <c r="AE175">
        <f>IF(AND($A175&lt;&gt;"",$B175&lt;&gt;"",$R175='تقرير مايو'!$C$4,$P175='تقرير مايو'!$C$6),COUNT(AE$4:AE174)+1,"")</f>
        <v/>
      </c>
    </row>
    <row r="176">
      <c r="A176" s="16" t="n"/>
      <c r="B176" s="17" t="n"/>
      <c r="C176" s="17" t="n"/>
      <c r="D176" s="18" t="n"/>
      <c r="E176" s="17" t="n"/>
      <c r="F176" s="17" t="n"/>
      <c r="G176" s="19" t="n"/>
      <c r="H176" s="17" t="n"/>
      <c r="I176" s="17" t="n"/>
      <c r="J176" s="17" t="n"/>
      <c r="K176" s="20">
        <f>IF($B176="","",IFERROR(INDEX(الموظفات!$A$5:$A$304,MATCH($B176,الموظفات!$B$5:$B$304,0))&amp;"",""))</f>
        <v/>
      </c>
      <c r="L176" s="21">
        <f>IF($B176="","",IFERROR(INDEX(الموظفات!$C$5:$C$304,MATCH($B176,الموظفات!$B$5:$B$304,0))&amp;"",""))</f>
        <v/>
      </c>
      <c r="M176" s="20">
        <f>IF($B176="","",IFERROR(INDEX(الموظفات!$D$5:$D$304,MATCH($B176,الموظفات!$B$5:$B$304,0))&amp;"",""))</f>
        <v/>
      </c>
      <c r="N176" s="20">
        <f>IF($B176="","",IFERROR(INDEX(الموظفات!$E$5:$E$304,MATCH($B176,الموظفات!$B$5:$B$304,0))&amp;"",""))</f>
        <v/>
      </c>
      <c r="O176" s="21">
        <f>IF(C176="","",IFERROR(INDEX(الإعدادات!$D$7:$D$35,MATCH(C176,الإعدادات!$A$7:$A$35,0))&amp;"",""))</f>
        <v/>
      </c>
      <c r="P176" s="20">
        <f>IF(A176="","",INDEX(الإعدادات!$H$7:$H$18,MONTH(A176)))</f>
        <v/>
      </c>
      <c r="Q176" s="20">
        <f>IF(A176="","",INDEX(الإعدادات!$I$7:$I$18,MONTH(A176)))</f>
        <v/>
      </c>
      <c r="R176" s="20">
        <f>IF(A176="","",IF(MONTH(A176)&gt;=8,YEAR(A176)&amp;"-"&amp;(YEAR(A176)+1),(YEAR(A176)-1)&amp;"-"&amp;YEAR(A176)))</f>
        <v/>
      </c>
      <c r="S176" s="20">
        <f>IF(OR(A176="",B176=""),0,IF(AND(R176=التقارير!$C$4,OR(التقارير!$C$5="سنوي",AND(التقارير!$C$5="شهري",P176=التقارير!$C$6),AND(التقارير!$C$5="فصلي",Q176=التقارير!$C$7))),1,0))</f>
        <v/>
      </c>
      <c r="T176" s="20">
        <f>IF(S176=1,COUNTIF($S$5:S176,1),"")</f>
        <v/>
      </c>
      <c r="U176">
        <f>IF(AND($A176&lt;&gt;"",$B176&lt;&gt;"",$R176='تقرير الفصل الأول'!$C$4,$Q176='تقرير الفصل الأول'!$C$7),COUNT(U$4:U175)+1,"")</f>
        <v/>
      </c>
      <c r="V176">
        <f>IF(AND($A176&lt;&gt;"",$B176&lt;&gt;"",$R176='تقرير الفصل الثاني'!$C$4,$Q176='تقرير الفصل الثاني'!$C$7),COUNT(V$4:V175)+1,"")</f>
        <v/>
      </c>
      <c r="W176">
        <f>IF(AND($A176&lt;&gt;"",$B176&lt;&gt;"",$R176='تقرير سبتمبر'!$C$4,$P176='تقرير سبتمبر'!$C$6),COUNT(W$4:W175)+1,"")</f>
        <v/>
      </c>
      <c r="X176">
        <f>IF(AND($A176&lt;&gt;"",$B176&lt;&gt;"",$R176='تقرير أكتوبر'!$C$4,$P176='تقرير أكتوبر'!$C$6),COUNT(X$4:X175)+1,"")</f>
        <v/>
      </c>
      <c r="Y176">
        <f>IF(AND($A176&lt;&gt;"",$B176&lt;&gt;"",$R176='تقرير نوفمبر'!$C$4,$P176='تقرير نوفمبر'!$C$6),COUNT(Y$4:Y175)+1,"")</f>
        <v/>
      </c>
      <c r="Z176">
        <f>IF(AND($A176&lt;&gt;"",$B176&lt;&gt;"",$R176='تقرير ديسمبر'!$C$4,$P176='تقرير ديسمبر'!$C$6),COUNT(Z$4:Z175)+1,"")</f>
        <v/>
      </c>
      <c r="AA176">
        <f>IF(AND($A176&lt;&gt;"",$B176&lt;&gt;"",$R176='تقرير يناير'!$C$4,$P176='تقرير يناير'!$C$6),COUNT(AA$4:AA175)+1,"")</f>
        <v/>
      </c>
      <c r="AB176">
        <f>IF(AND($A176&lt;&gt;"",$B176&lt;&gt;"",$R176='تقرير فبراير'!$C$4,$P176='تقرير فبراير'!$C$6),COUNT(AB$4:AB175)+1,"")</f>
        <v/>
      </c>
      <c r="AC176">
        <f>IF(AND($A176&lt;&gt;"",$B176&lt;&gt;"",$R176='تقرير مارس'!$C$4,$P176='تقرير مارس'!$C$6),COUNT(AC$4:AC175)+1,"")</f>
        <v/>
      </c>
      <c r="AD176">
        <f>IF(AND($A176&lt;&gt;"",$B176&lt;&gt;"",$R176='تقرير أبريل'!$C$4,$P176='تقرير أبريل'!$C$6),COUNT(AD$4:AD175)+1,"")</f>
        <v/>
      </c>
      <c r="AE176">
        <f>IF(AND($A176&lt;&gt;"",$B176&lt;&gt;"",$R176='تقرير مايو'!$C$4,$P176='تقرير مايو'!$C$6),COUNT(AE$4:AE175)+1,"")</f>
        <v/>
      </c>
    </row>
    <row r="177">
      <c r="A177" s="16" t="n"/>
      <c r="B177" s="17" t="n"/>
      <c r="C177" s="17" t="n"/>
      <c r="D177" s="18" t="n"/>
      <c r="E177" s="17" t="n"/>
      <c r="F177" s="17" t="n"/>
      <c r="G177" s="19" t="n"/>
      <c r="H177" s="17" t="n"/>
      <c r="I177" s="17" t="n"/>
      <c r="J177" s="17" t="n"/>
      <c r="K177" s="20">
        <f>IF($B177="","",IFERROR(INDEX(الموظفات!$A$5:$A$304,MATCH($B177,الموظفات!$B$5:$B$304,0))&amp;"",""))</f>
        <v/>
      </c>
      <c r="L177" s="21">
        <f>IF($B177="","",IFERROR(INDEX(الموظفات!$C$5:$C$304,MATCH($B177,الموظفات!$B$5:$B$304,0))&amp;"",""))</f>
        <v/>
      </c>
      <c r="M177" s="20">
        <f>IF($B177="","",IFERROR(INDEX(الموظفات!$D$5:$D$304,MATCH($B177,الموظفات!$B$5:$B$304,0))&amp;"",""))</f>
        <v/>
      </c>
      <c r="N177" s="20">
        <f>IF($B177="","",IFERROR(INDEX(الموظفات!$E$5:$E$304,MATCH($B177,الموظفات!$B$5:$B$304,0))&amp;"",""))</f>
        <v/>
      </c>
      <c r="O177" s="21">
        <f>IF(C177="","",IFERROR(INDEX(الإعدادات!$D$7:$D$35,MATCH(C177,الإعدادات!$A$7:$A$35,0))&amp;"",""))</f>
        <v/>
      </c>
      <c r="P177" s="20">
        <f>IF(A177="","",INDEX(الإعدادات!$H$7:$H$18,MONTH(A177)))</f>
        <v/>
      </c>
      <c r="Q177" s="20">
        <f>IF(A177="","",INDEX(الإعدادات!$I$7:$I$18,MONTH(A177)))</f>
        <v/>
      </c>
      <c r="R177" s="20">
        <f>IF(A177="","",IF(MONTH(A177)&gt;=8,YEAR(A177)&amp;"-"&amp;(YEAR(A177)+1),(YEAR(A177)-1)&amp;"-"&amp;YEAR(A177)))</f>
        <v/>
      </c>
      <c r="S177" s="20">
        <f>IF(OR(A177="",B177=""),0,IF(AND(R177=التقارير!$C$4,OR(التقارير!$C$5="سنوي",AND(التقارير!$C$5="شهري",P177=التقارير!$C$6),AND(التقارير!$C$5="فصلي",Q177=التقارير!$C$7))),1,0))</f>
        <v/>
      </c>
      <c r="T177" s="20">
        <f>IF(S177=1,COUNTIF($S$5:S177,1),"")</f>
        <v/>
      </c>
      <c r="U177">
        <f>IF(AND($A177&lt;&gt;"",$B177&lt;&gt;"",$R177='تقرير الفصل الأول'!$C$4,$Q177='تقرير الفصل الأول'!$C$7),COUNT(U$4:U176)+1,"")</f>
        <v/>
      </c>
      <c r="V177">
        <f>IF(AND($A177&lt;&gt;"",$B177&lt;&gt;"",$R177='تقرير الفصل الثاني'!$C$4,$Q177='تقرير الفصل الثاني'!$C$7),COUNT(V$4:V176)+1,"")</f>
        <v/>
      </c>
      <c r="W177">
        <f>IF(AND($A177&lt;&gt;"",$B177&lt;&gt;"",$R177='تقرير سبتمبر'!$C$4,$P177='تقرير سبتمبر'!$C$6),COUNT(W$4:W176)+1,"")</f>
        <v/>
      </c>
      <c r="X177">
        <f>IF(AND($A177&lt;&gt;"",$B177&lt;&gt;"",$R177='تقرير أكتوبر'!$C$4,$P177='تقرير أكتوبر'!$C$6),COUNT(X$4:X176)+1,"")</f>
        <v/>
      </c>
      <c r="Y177">
        <f>IF(AND($A177&lt;&gt;"",$B177&lt;&gt;"",$R177='تقرير نوفمبر'!$C$4,$P177='تقرير نوفمبر'!$C$6),COUNT(Y$4:Y176)+1,"")</f>
        <v/>
      </c>
      <c r="Z177">
        <f>IF(AND($A177&lt;&gt;"",$B177&lt;&gt;"",$R177='تقرير ديسمبر'!$C$4,$P177='تقرير ديسمبر'!$C$6),COUNT(Z$4:Z176)+1,"")</f>
        <v/>
      </c>
      <c r="AA177">
        <f>IF(AND($A177&lt;&gt;"",$B177&lt;&gt;"",$R177='تقرير يناير'!$C$4,$P177='تقرير يناير'!$C$6),COUNT(AA$4:AA176)+1,"")</f>
        <v/>
      </c>
      <c r="AB177">
        <f>IF(AND($A177&lt;&gt;"",$B177&lt;&gt;"",$R177='تقرير فبراير'!$C$4,$P177='تقرير فبراير'!$C$6),COUNT(AB$4:AB176)+1,"")</f>
        <v/>
      </c>
      <c r="AC177">
        <f>IF(AND($A177&lt;&gt;"",$B177&lt;&gt;"",$R177='تقرير مارس'!$C$4,$P177='تقرير مارس'!$C$6),COUNT(AC$4:AC176)+1,"")</f>
        <v/>
      </c>
      <c r="AD177">
        <f>IF(AND($A177&lt;&gt;"",$B177&lt;&gt;"",$R177='تقرير أبريل'!$C$4,$P177='تقرير أبريل'!$C$6),COUNT(AD$4:AD176)+1,"")</f>
        <v/>
      </c>
      <c r="AE177">
        <f>IF(AND($A177&lt;&gt;"",$B177&lt;&gt;"",$R177='تقرير مايو'!$C$4,$P177='تقرير مايو'!$C$6),COUNT(AE$4:AE176)+1,"")</f>
        <v/>
      </c>
    </row>
    <row r="178">
      <c r="A178" s="16" t="n"/>
      <c r="B178" s="17" t="n"/>
      <c r="C178" s="17" t="n"/>
      <c r="D178" s="18" t="n"/>
      <c r="E178" s="17" t="n"/>
      <c r="F178" s="17" t="n"/>
      <c r="G178" s="19" t="n"/>
      <c r="H178" s="17" t="n"/>
      <c r="I178" s="17" t="n"/>
      <c r="J178" s="17" t="n"/>
      <c r="K178" s="20">
        <f>IF($B178="","",IFERROR(INDEX(الموظفات!$A$5:$A$304,MATCH($B178,الموظفات!$B$5:$B$304,0))&amp;"",""))</f>
        <v/>
      </c>
      <c r="L178" s="21">
        <f>IF($B178="","",IFERROR(INDEX(الموظفات!$C$5:$C$304,MATCH($B178,الموظفات!$B$5:$B$304,0))&amp;"",""))</f>
        <v/>
      </c>
      <c r="M178" s="20">
        <f>IF($B178="","",IFERROR(INDEX(الموظفات!$D$5:$D$304,MATCH($B178,الموظفات!$B$5:$B$304,0))&amp;"",""))</f>
        <v/>
      </c>
      <c r="N178" s="20">
        <f>IF($B178="","",IFERROR(INDEX(الموظفات!$E$5:$E$304,MATCH($B178,الموظفات!$B$5:$B$304,0))&amp;"",""))</f>
        <v/>
      </c>
      <c r="O178" s="21">
        <f>IF(C178="","",IFERROR(INDEX(الإعدادات!$D$7:$D$35,MATCH(C178,الإعدادات!$A$7:$A$35,0))&amp;"",""))</f>
        <v/>
      </c>
      <c r="P178" s="20">
        <f>IF(A178="","",INDEX(الإعدادات!$H$7:$H$18,MONTH(A178)))</f>
        <v/>
      </c>
      <c r="Q178" s="20">
        <f>IF(A178="","",INDEX(الإعدادات!$I$7:$I$18,MONTH(A178)))</f>
        <v/>
      </c>
      <c r="R178" s="20">
        <f>IF(A178="","",IF(MONTH(A178)&gt;=8,YEAR(A178)&amp;"-"&amp;(YEAR(A178)+1),(YEAR(A178)-1)&amp;"-"&amp;YEAR(A178)))</f>
        <v/>
      </c>
      <c r="S178" s="20">
        <f>IF(OR(A178="",B178=""),0,IF(AND(R178=التقارير!$C$4,OR(التقارير!$C$5="سنوي",AND(التقارير!$C$5="شهري",P178=التقارير!$C$6),AND(التقارير!$C$5="فصلي",Q178=التقارير!$C$7))),1,0))</f>
        <v/>
      </c>
      <c r="T178" s="20">
        <f>IF(S178=1,COUNTIF($S$5:S178,1),"")</f>
        <v/>
      </c>
      <c r="U178">
        <f>IF(AND($A178&lt;&gt;"",$B178&lt;&gt;"",$R178='تقرير الفصل الأول'!$C$4,$Q178='تقرير الفصل الأول'!$C$7),COUNT(U$4:U177)+1,"")</f>
        <v/>
      </c>
      <c r="V178">
        <f>IF(AND($A178&lt;&gt;"",$B178&lt;&gt;"",$R178='تقرير الفصل الثاني'!$C$4,$Q178='تقرير الفصل الثاني'!$C$7),COUNT(V$4:V177)+1,"")</f>
        <v/>
      </c>
      <c r="W178">
        <f>IF(AND($A178&lt;&gt;"",$B178&lt;&gt;"",$R178='تقرير سبتمبر'!$C$4,$P178='تقرير سبتمبر'!$C$6),COUNT(W$4:W177)+1,"")</f>
        <v/>
      </c>
      <c r="X178">
        <f>IF(AND($A178&lt;&gt;"",$B178&lt;&gt;"",$R178='تقرير أكتوبر'!$C$4,$P178='تقرير أكتوبر'!$C$6),COUNT(X$4:X177)+1,"")</f>
        <v/>
      </c>
      <c r="Y178">
        <f>IF(AND($A178&lt;&gt;"",$B178&lt;&gt;"",$R178='تقرير نوفمبر'!$C$4,$P178='تقرير نوفمبر'!$C$6),COUNT(Y$4:Y177)+1,"")</f>
        <v/>
      </c>
      <c r="Z178">
        <f>IF(AND($A178&lt;&gt;"",$B178&lt;&gt;"",$R178='تقرير ديسمبر'!$C$4,$P178='تقرير ديسمبر'!$C$6),COUNT(Z$4:Z177)+1,"")</f>
        <v/>
      </c>
      <c r="AA178">
        <f>IF(AND($A178&lt;&gt;"",$B178&lt;&gt;"",$R178='تقرير يناير'!$C$4,$P178='تقرير يناير'!$C$6),COUNT(AA$4:AA177)+1,"")</f>
        <v/>
      </c>
      <c r="AB178">
        <f>IF(AND($A178&lt;&gt;"",$B178&lt;&gt;"",$R178='تقرير فبراير'!$C$4,$P178='تقرير فبراير'!$C$6),COUNT(AB$4:AB177)+1,"")</f>
        <v/>
      </c>
      <c r="AC178">
        <f>IF(AND($A178&lt;&gt;"",$B178&lt;&gt;"",$R178='تقرير مارس'!$C$4,$P178='تقرير مارس'!$C$6),COUNT(AC$4:AC177)+1,"")</f>
        <v/>
      </c>
      <c r="AD178">
        <f>IF(AND($A178&lt;&gt;"",$B178&lt;&gt;"",$R178='تقرير أبريل'!$C$4,$P178='تقرير أبريل'!$C$6),COUNT(AD$4:AD177)+1,"")</f>
        <v/>
      </c>
      <c r="AE178">
        <f>IF(AND($A178&lt;&gt;"",$B178&lt;&gt;"",$R178='تقرير مايو'!$C$4,$P178='تقرير مايو'!$C$6),COUNT(AE$4:AE177)+1,"")</f>
        <v/>
      </c>
    </row>
    <row r="179">
      <c r="A179" s="16" t="n"/>
      <c r="B179" s="17" t="n"/>
      <c r="C179" s="17" t="n"/>
      <c r="D179" s="18" t="n"/>
      <c r="E179" s="17" t="n"/>
      <c r="F179" s="17" t="n"/>
      <c r="G179" s="19" t="n"/>
      <c r="H179" s="17" t="n"/>
      <c r="I179" s="17" t="n"/>
      <c r="J179" s="17" t="n"/>
      <c r="K179" s="20">
        <f>IF($B179="","",IFERROR(INDEX(الموظفات!$A$5:$A$304,MATCH($B179,الموظفات!$B$5:$B$304,0))&amp;"",""))</f>
        <v/>
      </c>
      <c r="L179" s="21">
        <f>IF($B179="","",IFERROR(INDEX(الموظفات!$C$5:$C$304,MATCH($B179,الموظفات!$B$5:$B$304,0))&amp;"",""))</f>
        <v/>
      </c>
      <c r="M179" s="20">
        <f>IF($B179="","",IFERROR(INDEX(الموظفات!$D$5:$D$304,MATCH($B179,الموظفات!$B$5:$B$304,0))&amp;"",""))</f>
        <v/>
      </c>
      <c r="N179" s="20">
        <f>IF($B179="","",IFERROR(INDEX(الموظفات!$E$5:$E$304,MATCH($B179,الموظفات!$B$5:$B$304,0))&amp;"",""))</f>
        <v/>
      </c>
      <c r="O179" s="21">
        <f>IF(C179="","",IFERROR(INDEX(الإعدادات!$D$7:$D$35,MATCH(C179,الإعدادات!$A$7:$A$35,0))&amp;"",""))</f>
        <v/>
      </c>
      <c r="P179" s="20">
        <f>IF(A179="","",INDEX(الإعدادات!$H$7:$H$18,MONTH(A179)))</f>
        <v/>
      </c>
      <c r="Q179" s="20">
        <f>IF(A179="","",INDEX(الإعدادات!$I$7:$I$18,MONTH(A179)))</f>
        <v/>
      </c>
      <c r="R179" s="20">
        <f>IF(A179="","",IF(MONTH(A179)&gt;=8,YEAR(A179)&amp;"-"&amp;(YEAR(A179)+1),(YEAR(A179)-1)&amp;"-"&amp;YEAR(A179)))</f>
        <v/>
      </c>
      <c r="S179" s="20">
        <f>IF(OR(A179="",B179=""),0,IF(AND(R179=التقارير!$C$4,OR(التقارير!$C$5="سنوي",AND(التقارير!$C$5="شهري",P179=التقارير!$C$6),AND(التقارير!$C$5="فصلي",Q179=التقارير!$C$7))),1,0))</f>
        <v/>
      </c>
      <c r="T179" s="20">
        <f>IF(S179=1,COUNTIF($S$5:S179,1),"")</f>
        <v/>
      </c>
      <c r="U179">
        <f>IF(AND($A179&lt;&gt;"",$B179&lt;&gt;"",$R179='تقرير الفصل الأول'!$C$4,$Q179='تقرير الفصل الأول'!$C$7),COUNT(U$4:U178)+1,"")</f>
        <v/>
      </c>
      <c r="V179">
        <f>IF(AND($A179&lt;&gt;"",$B179&lt;&gt;"",$R179='تقرير الفصل الثاني'!$C$4,$Q179='تقرير الفصل الثاني'!$C$7),COUNT(V$4:V178)+1,"")</f>
        <v/>
      </c>
      <c r="W179">
        <f>IF(AND($A179&lt;&gt;"",$B179&lt;&gt;"",$R179='تقرير سبتمبر'!$C$4,$P179='تقرير سبتمبر'!$C$6),COUNT(W$4:W178)+1,"")</f>
        <v/>
      </c>
      <c r="X179">
        <f>IF(AND($A179&lt;&gt;"",$B179&lt;&gt;"",$R179='تقرير أكتوبر'!$C$4,$P179='تقرير أكتوبر'!$C$6),COUNT(X$4:X178)+1,"")</f>
        <v/>
      </c>
      <c r="Y179">
        <f>IF(AND($A179&lt;&gt;"",$B179&lt;&gt;"",$R179='تقرير نوفمبر'!$C$4,$P179='تقرير نوفمبر'!$C$6),COUNT(Y$4:Y178)+1,"")</f>
        <v/>
      </c>
      <c r="Z179">
        <f>IF(AND($A179&lt;&gt;"",$B179&lt;&gt;"",$R179='تقرير ديسمبر'!$C$4,$P179='تقرير ديسمبر'!$C$6),COUNT(Z$4:Z178)+1,"")</f>
        <v/>
      </c>
      <c r="AA179">
        <f>IF(AND($A179&lt;&gt;"",$B179&lt;&gt;"",$R179='تقرير يناير'!$C$4,$P179='تقرير يناير'!$C$6),COUNT(AA$4:AA178)+1,"")</f>
        <v/>
      </c>
      <c r="AB179">
        <f>IF(AND($A179&lt;&gt;"",$B179&lt;&gt;"",$R179='تقرير فبراير'!$C$4,$P179='تقرير فبراير'!$C$6),COUNT(AB$4:AB178)+1,"")</f>
        <v/>
      </c>
      <c r="AC179">
        <f>IF(AND($A179&lt;&gt;"",$B179&lt;&gt;"",$R179='تقرير مارس'!$C$4,$P179='تقرير مارس'!$C$6),COUNT(AC$4:AC178)+1,"")</f>
        <v/>
      </c>
      <c r="AD179">
        <f>IF(AND($A179&lt;&gt;"",$B179&lt;&gt;"",$R179='تقرير أبريل'!$C$4,$P179='تقرير أبريل'!$C$6),COUNT(AD$4:AD178)+1,"")</f>
        <v/>
      </c>
      <c r="AE179">
        <f>IF(AND($A179&lt;&gt;"",$B179&lt;&gt;"",$R179='تقرير مايو'!$C$4,$P179='تقرير مايو'!$C$6),COUNT(AE$4:AE178)+1,"")</f>
        <v/>
      </c>
    </row>
    <row r="180">
      <c r="A180" s="16" t="n"/>
      <c r="B180" s="17" t="n"/>
      <c r="C180" s="17" t="n"/>
      <c r="D180" s="18" t="n"/>
      <c r="E180" s="17" t="n"/>
      <c r="F180" s="17" t="n"/>
      <c r="G180" s="19" t="n"/>
      <c r="H180" s="17" t="n"/>
      <c r="I180" s="17" t="n"/>
      <c r="J180" s="17" t="n"/>
      <c r="K180" s="20">
        <f>IF($B180="","",IFERROR(INDEX(الموظفات!$A$5:$A$304,MATCH($B180,الموظفات!$B$5:$B$304,0))&amp;"",""))</f>
        <v/>
      </c>
      <c r="L180" s="21">
        <f>IF($B180="","",IFERROR(INDEX(الموظفات!$C$5:$C$304,MATCH($B180,الموظفات!$B$5:$B$304,0))&amp;"",""))</f>
        <v/>
      </c>
      <c r="M180" s="20">
        <f>IF($B180="","",IFERROR(INDEX(الموظفات!$D$5:$D$304,MATCH($B180,الموظفات!$B$5:$B$304,0))&amp;"",""))</f>
        <v/>
      </c>
      <c r="N180" s="20">
        <f>IF($B180="","",IFERROR(INDEX(الموظفات!$E$5:$E$304,MATCH($B180,الموظفات!$B$5:$B$304,0))&amp;"",""))</f>
        <v/>
      </c>
      <c r="O180" s="21">
        <f>IF(C180="","",IFERROR(INDEX(الإعدادات!$D$7:$D$35,MATCH(C180,الإعدادات!$A$7:$A$35,0))&amp;"",""))</f>
        <v/>
      </c>
      <c r="P180" s="20">
        <f>IF(A180="","",INDEX(الإعدادات!$H$7:$H$18,MONTH(A180)))</f>
        <v/>
      </c>
      <c r="Q180" s="20">
        <f>IF(A180="","",INDEX(الإعدادات!$I$7:$I$18,MONTH(A180)))</f>
        <v/>
      </c>
      <c r="R180" s="20">
        <f>IF(A180="","",IF(MONTH(A180)&gt;=8,YEAR(A180)&amp;"-"&amp;(YEAR(A180)+1),(YEAR(A180)-1)&amp;"-"&amp;YEAR(A180)))</f>
        <v/>
      </c>
      <c r="S180" s="20">
        <f>IF(OR(A180="",B180=""),0,IF(AND(R180=التقارير!$C$4,OR(التقارير!$C$5="سنوي",AND(التقارير!$C$5="شهري",P180=التقارير!$C$6),AND(التقارير!$C$5="فصلي",Q180=التقارير!$C$7))),1,0))</f>
        <v/>
      </c>
      <c r="T180" s="20">
        <f>IF(S180=1,COUNTIF($S$5:S180,1),"")</f>
        <v/>
      </c>
      <c r="U180">
        <f>IF(AND($A180&lt;&gt;"",$B180&lt;&gt;"",$R180='تقرير الفصل الأول'!$C$4,$Q180='تقرير الفصل الأول'!$C$7),COUNT(U$4:U179)+1,"")</f>
        <v/>
      </c>
      <c r="V180">
        <f>IF(AND($A180&lt;&gt;"",$B180&lt;&gt;"",$R180='تقرير الفصل الثاني'!$C$4,$Q180='تقرير الفصل الثاني'!$C$7),COUNT(V$4:V179)+1,"")</f>
        <v/>
      </c>
      <c r="W180">
        <f>IF(AND($A180&lt;&gt;"",$B180&lt;&gt;"",$R180='تقرير سبتمبر'!$C$4,$P180='تقرير سبتمبر'!$C$6),COUNT(W$4:W179)+1,"")</f>
        <v/>
      </c>
      <c r="X180">
        <f>IF(AND($A180&lt;&gt;"",$B180&lt;&gt;"",$R180='تقرير أكتوبر'!$C$4,$P180='تقرير أكتوبر'!$C$6),COUNT(X$4:X179)+1,"")</f>
        <v/>
      </c>
      <c r="Y180">
        <f>IF(AND($A180&lt;&gt;"",$B180&lt;&gt;"",$R180='تقرير نوفمبر'!$C$4,$P180='تقرير نوفمبر'!$C$6),COUNT(Y$4:Y179)+1,"")</f>
        <v/>
      </c>
      <c r="Z180">
        <f>IF(AND($A180&lt;&gt;"",$B180&lt;&gt;"",$R180='تقرير ديسمبر'!$C$4,$P180='تقرير ديسمبر'!$C$6),COUNT(Z$4:Z179)+1,"")</f>
        <v/>
      </c>
      <c r="AA180">
        <f>IF(AND($A180&lt;&gt;"",$B180&lt;&gt;"",$R180='تقرير يناير'!$C$4,$P180='تقرير يناير'!$C$6),COUNT(AA$4:AA179)+1,"")</f>
        <v/>
      </c>
      <c r="AB180">
        <f>IF(AND($A180&lt;&gt;"",$B180&lt;&gt;"",$R180='تقرير فبراير'!$C$4,$P180='تقرير فبراير'!$C$6),COUNT(AB$4:AB179)+1,"")</f>
        <v/>
      </c>
      <c r="AC180">
        <f>IF(AND($A180&lt;&gt;"",$B180&lt;&gt;"",$R180='تقرير مارس'!$C$4,$P180='تقرير مارس'!$C$6),COUNT(AC$4:AC179)+1,"")</f>
        <v/>
      </c>
      <c r="AD180">
        <f>IF(AND($A180&lt;&gt;"",$B180&lt;&gt;"",$R180='تقرير أبريل'!$C$4,$P180='تقرير أبريل'!$C$6),COUNT(AD$4:AD179)+1,"")</f>
        <v/>
      </c>
      <c r="AE180">
        <f>IF(AND($A180&lt;&gt;"",$B180&lt;&gt;"",$R180='تقرير مايو'!$C$4,$P180='تقرير مايو'!$C$6),COUNT(AE$4:AE179)+1,"")</f>
        <v/>
      </c>
    </row>
    <row r="181">
      <c r="A181" s="16" t="n"/>
      <c r="B181" s="17" t="n"/>
      <c r="C181" s="17" t="n"/>
      <c r="D181" s="18" t="n"/>
      <c r="E181" s="17" t="n"/>
      <c r="F181" s="17" t="n"/>
      <c r="G181" s="19" t="n"/>
      <c r="H181" s="17" t="n"/>
      <c r="I181" s="17" t="n"/>
      <c r="J181" s="17" t="n"/>
      <c r="K181" s="20">
        <f>IF($B181="","",IFERROR(INDEX(الموظفات!$A$5:$A$304,MATCH($B181,الموظفات!$B$5:$B$304,0))&amp;"",""))</f>
        <v/>
      </c>
      <c r="L181" s="21">
        <f>IF($B181="","",IFERROR(INDEX(الموظفات!$C$5:$C$304,MATCH($B181,الموظفات!$B$5:$B$304,0))&amp;"",""))</f>
        <v/>
      </c>
      <c r="M181" s="20">
        <f>IF($B181="","",IFERROR(INDEX(الموظفات!$D$5:$D$304,MATCH($B181,الموظفات!$B$5:$B$304,0))&amp;"",""))</f>
        <v/>
      </c>
      <c r="N181" s="20">
        <f>IF($B181="","",IFERROR(INDEX(الموظفات!$E$5:$E$304,MATCH($B181,الموظفات!$B$5:$B$304,0))&amp;"",""))</f>
        <v/>
      </c>
      <c r="O181" s="21">
        <f>IF(C181="","",IFERROR(INDEX(الإعدادات!$D$7:$D$35,MATCH(C181,الإعدادات!$A$7:$A$35,0))&amp;"",""))</f>
        <v/>
      </c>
      <c r="P181" s="20">
        <f>IF(A181="","",INDEX(الإعدادات!$H$7:$H$18,MONTH(A181)))</f>
        <v/>
      </c>
      <c r="Q181" s="20">
        <f>IF(A181="","",INDEX(الإعدادات!$I$7:$I$18,MONTH(A181)))</f>
        <v/>
      </c>
      <c r="R181" s="20">
        <f>IF(A181="","",IF(MONTH(A181)&gt;=8,YEAR(A181)&amp;"-"&amp;(YEAR(A181)+1),(YEAR(A181)-1)&amp;"-"&amp;YEAR(A181)))</f>
        <v/>
      </c>
      <c r="S181" s="20">
        <f>IF(OR(A181="",B181=""),0,IF(AND(R181=التقارير!$C$4,OR(التقارير!$C$5="سنوي",AND(التقارير!$C$5="شهري",P181=التقارير!$C$6),AND(التقارير!$C$5="فصلي",Q181=التقارير!$C$7))),1,0))</f>
        <v/>
      </c>
      <c r="T181" s="20">
        <f>IF(S181=1,COUNTIF($S$5:S181,1),"")</f>
        <v/>
      </c>
      <c r="U181">
        <f>IF(AND($A181&lt;&gt;"",$B181&lt;&gt;"",$R181='تقرير الفصل الأول'!$C$4,$Q181='تقرير الفصل الأول'!$C$7),COUNT(U$4:U180)+1,"")</f>
        <v/>
      </c>
      <c r="V181">
        <f>IF(AND($A181&lt;&gt;"",$B181&lt;&gt;"",$R181='تقرير الفصل الثاني'!$C$4,$Q181='تقرير الفصل الثاني'!$C$7),COUNT(V$4:V180)+1,"")</f>
        <v/>
      </c>
      <c r="W181">
        <f>IF(AND($A181&lt;&gt;"",$B181&lt;&gt;"",$R181='تقرير سبتمبر'!$C$4,$P181='تقرير سبتمبر'!$C$6),COUNT(W$4:W180)+1,"")</f>
        <v/>
      </c>
      <c r="X181">
        <f>IF(AND($A181&lt;&gt;"",$B181&lt;&gt;"",$R181='تقرير أكتوبر'!$C$4,$P181='تقرير أكتوبر'!$C$6),COUNT(X$4:X180)+1,"")</f>
        <v/>
      </c>
      <c r="Y181">
        <f>IF(AND($A181&lt;&gt;"",$B181&lt;&gt;"",$R181='تقرير نوفمبر'!$C$4,$P181='تقرير نوفمبر'!$C$6),COUNT(Y$4:Y180)+1,"")</f>
        <v/>
      </c>
      <c r="Z181">
        <f>IF(AND($A181&lt;&gt;"",$B181&lt;&gt;"",$R181='تقرير ديسمبر'!$C$4,$P181='تقرير ديسمبر'!$C$6),COUNT(Z$4:Z180)+1,"")</f>
        <v/>
      </c>
      <c r="AA181">
        <f>IF(AND($A181&lt;&gt;"",$B181&lt;&gt;"",$R181='تقرير يناير'!$C$4,$P181='تقرير يناير'!$C$6),COUNT(AA$4:AA180)+1,"")</f>
        <v/>
      </c>
      <c r="AB181">
        <f>IF(AND($A181&lt;&gt;"",$B181&lt;&gt;"",$R181='تقرير فبراير'!$C$4,$P181='تقرير فبراير'!$C$6),COUNT(AB$4:AB180)+1,"")</f>
        <v/>
      </c>
      <c r="AC181">
        <f>IF(AND($A181&lt;&gt;"",$B181&lt;&gt;"",$R181='تقرير مارس'!$C$4,$P181='تقرير مارس'!$C$6),COUNT(AC$4:AC180)+1,"")</f>
        <v/>
      </c>
      <c r="AD181">
        <f>IF(AND($A181&lt;&gt;"",$B181&lt;&gt;"",$R181='تقرير أبريل'!$C$4,$P181='تقرير أبريل'!$C$6),COUNT(AD$4:AD180)+1,"")</f>
        <v/>
      </c>
      <c r="AE181">
        <f>IF(AND($A181&lt;&gt;"",$B181&lt;&gt;"",$R181='تقرير مايو'!$C$4,$P181='تقرير مايو'!$C$6),COUNT(AE$4:AE180)+1,"")</f>
        <v/>
      </c>
    </row>
    <row r="182">
      <c r="A182" s="16" t="n"/>
      <c r="B182" s="17" t="n"/>
      <c r="C182" s="17" t="n"/>
      <c r="D182" s="18" t="n"/>
      <c r="E182" s="17" t="n"/>
      <c r="F182" s="17" t="n"/>
      <c r="G182" s="19" t="n"/>
      <c r="H182" s="17" t="n"/>
      <c r="I182" s="17" t="n"/>
      <c r="J182" s="17" t="n"/>
      <c r="K182" s="20">
        <f>IF($B182="","",IFERROR(INDEX(الموظفات!$A$5:$A$304,MATCH($B182,الموظفات!$B$5:$B$304,0))&amp;"",""))</f>
        <v/>
      </c>
      <c r="L182" s="21">
        <f>IF($B182="","",IFERROR(INDEX(الموظفات!$C$5:$C$304,MATCH($B182,الموظفات!$B$5:$B$304,0))&amp;"",""))</f>
        <v/>
      </c>
      <c r="M182" s="20">
        <f>IF($B182="","",IFERROR(INDEX(الموظفات!$D$5:$D$304,MATCH($B182,الموظفات!$B$5:$B$304,0))&amp;"",""))</f>
        <v/>
      </c>
      <c r="N182" s="20">
        <f>IF($B182="","",IFERROR(INDEX(الموظفات!$E$5:$E$304,MATCH($B182,الموظفات!$B$5:$B$304,0))&amp;"",""))</f>
        <v/>
      </c>
      <c r="O182" s="21">
        <f>IF(C182="","",IFERROR(INDEX(الإعدادات!$D$7:$D$35,MATCH(C182,الإعدادات!$A$7:$A$35,0))&amp;"",""))</f>
        <v/>
      </c>
      <c r="P182" s="20">
        <f>IF(A182="","",INDEX(الإعدادات!$H$7:$H$18,MONTH(A182)))</f>
        <v/>
      </c>
      <c r="Q182" s="20">
        <f>IF(A182="","",INDEX(الإعدادات!$I$7:$I$18,MONTH(A182)))</f>
        <v/>
      </c>
      <c r="R182" s="20">
        <f>IF(A182="","",IF(MONTH(A182)&gt;=8,YEAR(A182)&amp;"-"&amp;(YEAR(A182)+1),(YEAR(A182)-1)&amp;"-"&amp;YEAR(A182)))</f>
        <v/>
      </c>
      <c r="S182" s="20">
        <f>IF(OR(A182="",B182=""),0,IF(AND(R182=التقارير!$C$4,OR(التقارير!$C$5="سنوي",AND(التقارير!$C$5="شهري",P182=التقارير!$C$6),AND(التقارير!$C$5="فصلي",Q182=التقارير!$C$7))),1,0))</f>
        <v/>
      </c>
      <c r="T182" s="20">
        <f>IF(S182=1,COUNTIF($S$5:S182,1),"")</f>
        <v/>
      </c>
      <c r="U182">
        <f>IF(AND($A182&lt;&gt;"",$B182&lt;&gt;"",$R182='تقرير الفصل الأول'!$C$4,$Q182='تقرير الفصل الأول'!$C$7),COUNT(U$4:U181)+1,"")</f>
        <v/>
      </c>
      <c r="V182">
        <f>IF(AND($A182&lt;&gt;"",$B182&lt;&gt;"",$R182='تقرير الفصل الثاني'!$C$4,$Q182='تقرير الفصل الثاني'!$C$7),COUNT(V$4:V181)+1,"")</f>
        <v/>
      </c>
      <c r="W182">
        <f>IF(AND($A182&lt;&gt;"",$B182&lt;&gt;"",$R182='تقرير سبتمبر'!$C$4,$P182='تقرير سبتمبر'!$C$6),COUNT(W$4:W181)+1,"")</f>
        <v/>
      </c>
      <c r="X182">
        <f>IF(AND($A182&lt;&gt;"",$B182&lt;&gt;"",$R182='تقرير أكتوبر'!$C$4,$P182='تقرير أكتوبر'!$C$6),COUNT(X$4:X181)+1,"")</f>
        <v/>
      </c>
      <c r="Y182">
        <f>IF(AND($A182&lt;&gt;"",$B182&lt;&gt;"",$R182='تقرير نوفمبر'!$C$4,$P182='تقرير نوفمبر'!$C$6),COUNT(Y$4:Y181)+1,"")</f>
        <v/>
      </c>
      <c r="Z182">
        <f>IF(AND($A182&lt;&gt;"",$B182&lt;&gt;"",$R182='تقرير ديسمبر'!$C$4,$P182='تقرير ديسمبر'!$C$6),COUNT(Z$4:Z181)+1,"")</f>
        <v/>
      </c>
      <c r="AA182">
        <f>IF(AND($A182&lt;&gt;"",$B182&lt;&gt;"",$R182='تقرير يناير'!$C$4,$P182='تقرير يناير'!$C$6),COUNT(AA$4:AA181)+1,"")</f>
        <v/>
      </c>
      <c r="AB182">
        <f>IF(AND($A182&lt;&gt;"",$B182&lt;&gt;"",$R182='تقرير فبراير'!$C$4,$P182='تقرير فبراير'!$C$6),COUNT(AB$4:AB181)+1,"")</f>
        <v/>
      </c>
      <c r="AC182">
        <f>IF(AND($A182&lt;&gt;"",$B182&lt;&gt;"",$R182='تقرير مارس'!$C$4,$P182='تقرير مارس'!$C$6),COUNT(AC$4:AC181)+1,"")</f>
        <v/>
      </c>
      <c r="AD182">
        <f>IF(AND($A182&lt;&gt;"",$B182&lt;&gt;"",$R182='تقرير أبريل'!$C$4,$P182='تقرير أبريل'!$C$6),COUNT(AD$4:AD181)+1,"")</f>
        <v/>
      </c>
      <c r="AE182">
        <f>IF(AND($A182&lt;&gt;"",$B182&lt;&gt;"",$R182='تقرير مايو'!$C$4,$P182='تقرير مايو'!$C$6),COUNT(AE$4:AE181)+1,"")</f>
        <v/>
      </c>
    </row>
    <row r="183">
      <c r="A183" s="16" t="n"/>
      <c r="B183" s="17" t="n"/>
      <c r="C183" s="17" t="n"/>
      <c r="D183" s="18" t="n"/>
      <c r="E183" s="17" t="n"/>
      <c r="F183" s="17" t="n"/>
      <c r="G183" s="19" t="n"/>
      <c r="H183" s="17" t="n"/>
      <c r="I183" s="17" t="n"/>
      <c r="J183" s="17" t="n"/>
      <c r="K183" s="20">
        <f>IF($B183="","",IFERROR(INDEX(الموظفات!$A$5:$A$304,MATCH($B183,الموظفات!$B$5:$B$304,0))&amp;"",""))</f>
        <v/>
      </c>
      <c r="L183" s="21">
        <f>IF($B183="","",IFERROR(INDEX(الموظفات!$C$5:$C$304,MATCH($B183,الموظفات!$B$5:$B$304,0))&amp;"",""))</f>
        <v/>
      </c>
      <c r="M183" s="20">
        <f>IF($B183="","",IFERROR(INDEX(الموظفات!$D$5:$D$304,MATCH($B183,الموظفات!$B$5:$B$304,0))&amp;"",""))</f>
        <v/>
      </c>
      <c r="N183" s="20">
        <f>IF($B183="","",IFERROR(INDEX(الموظفات!$E$5:$E$304,MATCH($B183,الموظفات!$B$5:$B$304,0))&amp;"",""))</f>
        <v/>
      </c>
      <c r="O183" s="21">
        <f>IF(C183="","",IFERROR(INDEX(الإعدادات!$D$7:$D$35,MATCH(C183,الإعدادات!$A$7:$A$35,0))&amp;"",""))</f>
        <v/>
      </c>
      <c r="P183" s="20">
        <f>IF(A183="","",INDEX(الإعدادات!$H$7:$H$18,MONTH(A183)))</f>
        <v/>
      </c>
      <c r="Q183" s="20">
        <f>IF(A183="","",INDEX(الإعدادات!$I$7:$I$18,MONTH(A183)))</f>
        <v/>
      </c>
      <c r="R183" s="20">
        <f>IF(A183="","",IF(MONTH(A183)&gt;=8,YEAR(A183)&amp;"-"&amp;(YEAR(A183)+1),(YEAR(A183)-1)&amp;"-"&amp;YEAR(A183)))</f>
        <v/>
      </c>
      <c r="S183" s="20">
        <f>IF(OR(A183="",B183=""),0,IF(AND(R183=التقارير!$C$4,OR(التقارير!$C$5="سنوي",AND(التقارير!$C$5="شهري",P183=التقارير!$C$6),AND(التقارير!$C$5="فصلي",Q183=التقارير!$C$7))),1,0))</f>
        <v/>
      </c>
      <c r="T183" s="20">
        <f>IF(S183=1,COUNTIF($S$5:S183,1),"")</f>
        <v/>
      </c>
      <c r="U183">
        <f>IF(AND($A183&lt;&gt;"",$B183&lt;&gt;"",$R183='تقرير الفصل الأول'!$C$4,$Q183='تقرير الفصل الأول'!$C$7),COUNT(U$4:U182)+1,"")</f>
        <v/>
      </c>
      <c r="V183">
        <f>IF(AND($A183&lt;&gt;"",$B183&lt;&gt;"",$R183='تقرير الفصل الثاني'!$C$4,$Q183='تقرير الفصل الثاني'!$C$7),COUNT(V$4:V182)+1,"")</f>
        <v/>
      </c>
      <c r="W183">
        <f>IF(AND($A183&lt;&gt;"",$B183&lt;&gt;"",$R183='تقرير سبتمبر'!$C$4,$P183='تقرير سبتمبر'!$C$6),COUNT(W$4:W182)+1,"")</f>
        <v/>
      </c>
      <c r="X183">
        <f>IF(AND($A183&lt;&gt;"",$B183&lt;&gt;"",$R183='تقرير أكتوبر'!$C$4,$P183='تقرير أكتوبر'!$C$6),COUNT(X$4:X182)+1,"")</f>
        <v/>
      </c>
      <c r="Y183">
        <f>IF(AND($A183&lt;&gt;"",$B183&lt;&gt;"",$R183='تقرير نوفمبر'!$C$4,$P183='تقرير نوفمبر'!$C$6),COUNT(Y$4:Y182)+1,"")</f>
        <v/>
      </c>
      <c r="Z183">
        <f>IF(AND($A183&lt;&gt;"",$B183&lt;&gt;"",$R183='تقرير ديسمبر'!$C$4,$P183='تقرير ديسمبر'!$C$6),COUNT(Z$4:Z182)+1,"")</f>
        <v/>
      </c>
      <c r="AA183">
        <f>IF(AND($A183&lt;&gt;"",$B183&lt;&gt;"",$R183='تقرير يناير'!$C$4,$P183='تقرير يناير'!$C$6),COUNT(AA$4:AA182)+1,"")</f>
        <v/>
      </c>
      <c r="AB183">
        <f>IF(AND($A183&lt;&gt;"",$B183&lt;&gt;"",$R183='تقرير فبراير'!$C$4,$P183='تقرير فبراير'!$C$6),COUNT(AB$4:AB182)+1,"")</f>
        <v/>
      </c>
      <c r="AC183">
        <f>IF(AND($A183&lt;&gt;"",$B183&lt;&gt;"",$R183='تقرير مارس'!$C$4,$P183='تقرير مارس'!$C$6),COUNT(AC$4:AC182)+1,"")</f>
        <v/>
      </c>
      <c r="AD183">
        <f>IF(AND($A183&lt;&gt;"",$B183&lt;&gt;"",$R183='تقرير أبريل'!$C$4,$P183='تقرير أبريل'!$C$6),COUNT(AD$4:AD182)+1,"")</f>
        <v/>
      </c>
      <c r="AE183">
        <f>IF(AND($A183&lt;&gt;"",$B183&lt;&gt;"",$R183='تقرير مايو'!$C$4,$P183='تقرير مايو'!$C$6),COUNT(AE$4:AE182)+1,"")</f>
        <v/>
      </c>
    </row>
    <row r="184">
      <c r="A184" s="16" t="n"/>
      <c r="B184" s="17" t="n"/>
      <c r="C184" s="17" t="n"/>
      <c r="D184" s="18" t="n"/>
      <c r="E184" s="17" t="n"/>
      <c r="F184" s="17" t="n"/>
      <c r="G184" s="19" t="n"/>
      <c r="H184" s="17" t="n"/>
      <c r="I184" s="17" t="n"/>
      <c r="J184" s="17" t="n"/>
      <c r="K184" s="20">
        <f>IF($B184="","",IFERROR(INDEX(الموظفات!$A$5:$A$304,MATCH($B184,الموظفات!$B$5:$B$304,0))&amp;"",""))</f>
        <v/>
      </c>
      <c r="L184" s="21">
        <f>IF($B184="","",IFERROR(INDEX(الموظفات!$C$5:$C$304,MATCH($B184,الموظفات!$B$5:$B$304,0))&amp;"",""))</f>
        <v/>
      </c>
      <c r="M184" s="20">
        <f>IF($B184="","",IFERROR(INDEX(الموظفات!$D$5:$D$304,MATCH($B184,الموظفات!$B$5:$B$304,0))&amp;"",""))</f>
        <v/>
      </c>
      <c r="N184" s="20">
        <f>IF($B184="","",IFERROR(INDEX(الموظفات!$E$5:$E$304,MATCH($B184,الموظفات!$B$5:$B$304,0))&amp;"",""))</f>
        <v/>
      </c>
      <c r="O184" s="21">
        <f>IF(C184="","",IFERROR(INDEX(الإعدادات!$D$7:$D$35,MATCH(C184,الإعدادات!$A$7:$A$35,0))&amp;"",""))</f>
        <v/>
      </c>
      <c r="P184" s="20">
        <f>IF(A184="","",INDEX(الإعدادات!$H$7:$H$18,MONTH(A184)))</f>
        <v/>
      </c>
      <c r="Q184" s="20">
        <f>IF(A184="","",INDEX(الإعدادات!$I$7:$I$18,MONTH(A184)))</f>
        <v/>
      </c>
      <c r="R184" s="20">
        <f>IF(A184="","",IF(MONTH(A184)&gt;=8,YEAR(A184)&amp;"-"&amp;(YEAR(A184)+1),(YEAR(A184)-1)&amp;"-"&amp;YEAR(A184)))</f>
        <v/>
      </c>
      <c r="S184" s="20">
        <f>IF(OR(A184="",B184=""),0,IF(AND(R184=التقارير!$C$4,OR(التقارير!$C$5="سنوي",AND(التقارير!$C$5="شهري",P184=التقارير!$C$6),AND(التقارير!$C$5="فصلي",Q184=التقارير!$C$7))),1,0))</f>
        <v/>
      </c>
      <c r="T184" s="20">
        <f>IF(S184=1,COUNTIF($S$5:S184,1),"")</f>
        <v/>
      </c>
      <c r="U184">
        <f>IF(AND($A184&lt;&gt;"",$B184&lt;&gt;"",$R184='تقرير الفصل الأول'!$C$4,$Q184='تقرير الفصل الأول'!$C$7),COUNT(U$4:U183)+1,"")</f>
        <v/>
      </c>
      <c r="V184">
        <f>IF(AND($A184&lt;&gt;"",$B184&lt;&gt;"",$R184='تقرير الفصل الثاني'!$C$4,$Q184='تقرير الفصل الثاني'!$C$7),COUNT(V$4:V183)+1,"")</f>
        <v/>
      </c>
      <c r="W184">
        <f>IF(AND($A184&lt;&gt;"",$B184&lt;&gt;"",$R184='تقرير سبتمبر'!$C$4,$P184='تقرير سبتمبر'!$C$6),COUNT(W$4:W183)+1,"")</f>
        <v/>
      </c>
      <c r="X184">
        <f>IF(AND($A184&lt;&gt;"",$B184&lt;&gt;"",$R184='تقرير أكتوبر'!$C$4,$P184='تقرير أكتوبر'!$C$6),COUNT(X$4:X183)+1,"")</f>
        <v/>
      </c>
      <c r="Y184">
        <f>IF(AND($A184&lt;&gt;"",$B184&lt;&gt;"",$R184='تقرير نوفمبر'!$C$4,$P184='تقرير نوفمبر'!$C$6),COUNT(Y$4:Y183)+1,"")</f>
        <v/>
      </c>
      <c r="Z184">
        <f>IF(AND($A184&lt;&gt;"",$B184&lt;&gt;"",$R184='تقرير ديسمبر'!$C$4,$P184='تقرير ديسمبر'!$C$6),COUNT(Z$4:Z183)+1,"")</f>
        <v/>
      </c>
      <c r="AA184">
        <f>IF(AND($A184&lt;&gt;"",$B184&lt;&gt;"",$R184='تقرير يناير'!$C$4,$P184='تقرير يناير'!$C$6),COUNT(AA$4:AA183)+1,"")</f>
        <v/>
      </c>
      <c r="AB184">
        <f>IF(AND($A184&lt;&gt;"",$B184&lt;&gt;"",$R184='تقرير فبراير'!$C$4,$P184='تقرير فبراير'!$C$6),COUNT(AB$4:AB183)+1,"")</f>
        <v/>
      </c>
      <c r="AC184">
        <f>IF(AND($A184&lt;&gt;"",$B184&lt;&gt;"",$R184='تقرير مارس'!$C$4,$P184='تقرير مارس'!$C$6),COUNT(AC$4:AC183)+1,"")</f>
        <v/>
      </c>
      <c r="AD184">
        <f>IF(AND($A184&lt;&gt;"",$B184&lt;&gt;"",$R184='تقرير أبريل'!$C$4,$P184='تقرير أبريل'!$C$6),COUNT(AD$4:AD183)+1,"")</f>
        <v/>
      </c>
      <c r="AE184">
        <f>IF(AND($A184&lt;&gt;"",$B184&lt;&gt;"",$R184='تقرير مايو'!$C$4,$P184='تقرير مايو'!$C$6),COUNT(AE$4:AE183)+1,"")</f>
        <v/>
      </c>
    </row>
    <row r="185">
      <c r="A185" s="16" t="n"/>
      <c r="B185" s="17" t="n"/>
      <c r="C185" s="17" t="n"/>
      <c r="D185" s="18" t="n"/>
      <c r="E185" s="17" t="n"/>
      <c r="F185" s="17" t="n"/>
      <c r="G185" s="19" t="n"/>
      <c r="H185" s="17" t="n"/>
      <c r="I185" s="17" t="n"/>
      <c r="J185" s="17" t="n"/>
      <c r="K185" s="20">
        <f>IF($B185="","",IFERROR(INDEX(الموظفات!$A$5:$A$304,MATCH($B185,الموظفات!$B$5:$B$304,0))&amp;"",""))</f>
        <v/>
      </c>
      <c r="L185" s="21">
        <f>IF($B185="","",IFERROR(INDEX(الموظفات!$C$5:$C$304,MATCH($B185,الموظفات!$B$5:$B$304,0))&amp;"",""))</f>
        <v/>
      </c>
      <c r="M185" s="20">
        <f>IF($B185="","",IFERROR(INDEX(الموظفات!$D$5:$D$304,MATCH($B185,الموظفات!$B$5:$B$304,0))&amp;"",""))</f>
        <v/>
      </c>
      <c r="N185" s="20">
        <f>IF($B185="","",IFERROR(INDEX(الموظفات!$E$5:$E$304,MATCH($B185,الموظفات!$B$5:$B$304,0))&amp;"",""))</f>
        <v/>
      </c>
      <c r="O185" s="21">
        <f>IF(C185="","",IFERROR(INDEX(الإعدادات!$D$7:$D$35,MATCH(C185,الإعدادات!$A$7:$A$35,0))&amp;"",""))</f>
        <v/>
      </c>
      <c r="P185" s="20">
        <f>IF(A185="","",INDEX(الإعدادات!$H$7:$H$18,MONTH(A185)))</f>
        <v/>
      </c>
      <c r="Q185" s="20">
        <f>IF(A185="","",INDEX(الإعدادات!$I$7:$I$18,MONTH(A185)))</f>
        <v/>
      </c>
      <c r="R185" s="20">
        <f>IF(A185="","",IF(MONTH(A185)&gt;=8,YEAR(A185)&amp;"-"&amp;(YEAR(A185)+1),(YEAR(A185)-1)&amp;"-"&amp;YEAR(A185)))</f>
        <v/>
      </c>
      <c r="S185" s="20">
        <f>IF(OR(A185="",B185=""),0,IF(AND(R185=التقارير!$C$4,OR(التقارير!$C$5="سنوي",AND(التقارير!$C$5="شهري",P185=التقارير!$C$6),AND(التقارير!$C$5="فصلي",Q185=التقارير!$C$7))),1,0))</f>
        <v/>
      </c>
      <c r="T185" s="20">
        <f>IF(S185=1,COUNTIF($S$5:S185,1),"")</f>
        <v/>
      </c>
      <c r="U185">
        <f>IF(AND($A185&lt;&gt;"",$B185&lt;&gt;"",$R185='تقرير الفصل الأول'!$C$4,$Q185='تقرير الفصل الأول'!$C$7),COUNT(U$4:U184)+1,"")</f>
        <v/>
      </c>
      <c r="V185">
        <f>IF(AND($A185&lt;&gt;"",$B185&lt;&gt;"",$R185='تقرير الفصل الثاني'!$C$4,$Q185='تقرير الفصل الثاني'!$C$7),COUNT(V$4:V184)+1,"")</f>
        <v/>
      </c>
      <c r="W185">
        <f>IF(AND($A185&lt;&gt;"",$B185&lt;&gt;"",$R185='تقرير سبتمبر'!$C$4,$P185='تقرير سبتمبر'!$C$6),COUNT(W$4:W184)+1,"")</f>
        <v/>
      </c>
      <c r="X185">
        <f>IF(AND($A185&lt;&gt;"",$B185&lt;&gt;"",$R185='تقرير أكتوبر'!$C$4,$P185='تقرير أكتوبر'!$C$6),COUNT(X$4:X184)+1,"")</f>
        <v/>
      </c>
      <c r="Y185">
        <f>IF(AND($A185&lt;&gt;"",$B185&lt;&gt;"",$R185='تقرير نوفمبر'!$C$4,$P185='تقرير نوفمبر'!$C$6),COUNT(Y$4:Y184)+1,"")</f>
        <v/>
      </c>
      <c r="Z185">
        <f>IF(AND($A185&lt;&gt;"",$B185&lt;&gt;"",$R185='تقرير ديسمبر'!$C$4,$P185='تقرير ديسمبر'!$C$6),COUNT(Z$4:Z184)+1,"")</f>
        <v/>
      </c>
      <c r="AA185">
        <f>IF(AND($A185&lt;&gt;"",$B185&lt;&gt;"",$R185='تقرير يناير'!$C$4,$P185='تقرير يناير'!$C$6),COUNT(AA$4:AA184)+1,"")</f>
        <v/>
      </c>
      <c r="AB185">
        <f>IF(AND($A185&lt;&gt;"",$B185&lt;&gt;"",$R185='تقرير فبراير'!$C$4,$P185='تقرير فبراير'!$C$6),COUNT(AB$4:AB184)+1,"")</f>
        <v/>
      </c>
      <c r="AC185">
        <f>IF(AND($A185&lt;&gt;"",$B185&lt;&gt;"",$R185='تقرير مارس'!$C$4,$P185='تقرير مارس'!$C$6),COUNT(AC$4:AC184)+1,"")</f>
        <v/>
      </c>
      <c r="AD185">
        <f>IF(AND($A185&lt;&gt;"",$B185&lt;&gt;"",$R185='تقرير أبريل'!$C$4,$P185='تقرير أبريل'!$C$6),COUNT(AD$4:AD184)+1,"")</f>
        <v/>
      </c>
      <c r="AE185">
        <f>IF(AND($A185&lt;&gt;"",$B185&lt;&gt;"",$R185='تقرير مايو'!$C$4,$P185='تقرير مايو'!$C$6),COUNT(AE$4:AE184)+1,"")</f>
        <v/>
      </c>
    </row>
    <row r="186">
      <c r="A186" s="16" t="n"/>
      <c r="B186" s="17" t="n"/>
      <c r="C186" s="17" t="n"/>
      <c r="D186" s="18" t="n"/>
      <c r="E186" s="17" t="n"/>
      <c r="F186" s="17" t="n"/>
      <c r="G186" s="19" t="n"/>
      <c r="H186" s="17" t="n"/>
      <c r="I186" s="17" t="n"/>
      <c r="J186" s="17" t="n"/>
      <c r="K186" s="20">
        <f>IF($B186="","",IFERROR(INDEX(الموظفات!$A$5:$A$304,MATCH($B186,الموظفات!$B$5:$B$304,0))&amp;"",""))</f>
        <v/>
      </c>
      <c r="L186" s="21">
        <f>IF($B186="","",IFERROR(INDEX(الموظفات!$C$5:$C$304,MATCH($B186,الموظفات!$B$5:$B$304,0))&amp;"",""))</f>
        <v/>
      </c>
      <c r="M186" s="20">
        <f>IF($B186="","",IFERROR(INDEX(الموظفات!$D$5:$D$304,MATCH($B186,الموظفات!$B$5:$B$304,0))&amp;"",""))</f>
        <v/>
      </c>
      <c r="N186" s="20">
        <f>IF($B186="","",IFERROR(INDEX(الموظفات!$E$5:$E$304,MATCH($B186,الموظفات!$B$5:$B$304,0))&amp;"",""))</f>
        <v/>
      </c>
      <c r="O186" s="21">
        <f>IF(C186="","",IFERROR(INDEX(الإعدادات!$D$7:$D$35,MATCH(C186,الإعدادات!$A$7:$A$35,0))&amp;"",""))</f>
        <v/>
      </c>
      <c r="P186" s="20">
        <f>IF(A186="","",INDEX(الإعدادات!$H$7:$H$18,MONTH(A186)))</f>
        <v/>
      </c>
      <c r="Q186" s="20">
        <f>IF(A186="","",INDEX(الإعدادات!$I$7:$I$18,MONTH(A186)))</f>
        <v/>
      </c>
      <c r="R186" s="20">
        <f>IF(A186="","",IF(MONTH(A186)&gt;=8,YEAR(A186)&amp;"-"&amp;(YEAR(A186)+1),(YEAR(A186)-1)&amp;"-"&amp;YEAR(A186)))</f>
        <v/>
      </c>
      <c r="S186" s="20">
        <f>IF(OR(A186="",B186=""),0,IF(AND(R186=التقارير!$C$4,OR(التقارير!$C$5="سنوي",AND(التقارير!$C$5="شهري",P186=التقارير!$C$6),AND(التقارير!$C$5="فصلي",Q186=التقارير!$C$7))),1,0))</f>
        <v/>
      </c>
      <c r="T186" s="20">
        <f>IF(S186=1,COUNTIF($S$5:S186,1),"")</f>
        <v/>
      </c>
      <c r="U186">
        <f>IF(AND($A186&lt;&gt;"",$B186&lt;&gt;"",$R186='تقرير الفصل الأول'!$C$4,$Q186='تقرير الفصل الأول'!$C$7),COUNT(U$4:U185)+1,"")</f>
        <v/>
      </c>
      <c r="V186">
        <f>IF(AND($A186&lt;&gt;"",$B186&lt;&gt;"",$R186='تقرير الفصل الثاني'!$C$4,$Q186='تقرير الفصل الثاني'!$C$7),COUNT(V$4:V185)+1,"")</f>
        <v/>
      </c>
      <c r="W186">
        <f>IF(AND($A186&lt;&gt;"",$B186&lt;&gt;"",$R186='تقرير سبتمبر'!$C$4,$P186='تقرير سبتمبر'!$C$6),COUNT(W$4:W185)+1,"")</f>
        <v/>
      </c>
      <c r="X186">
        <f>IF(AND($A186&lt;&gt;"",$B186&lt;&gt;"",$R186='تقرير أكتوبر'!$C$4,$P186='تقرير أكتوبر'!$C$6),COUNT(X$4:X185)+1,"")</f>
        <v/>
      </c>
      <c r="Y186">
        <f>IF(AND($A186&lt;&gt;"",$B186&lt;&gt;"",$R186='تقرير نوفمبر'!$C$4,$P186='تقرير نوفمبر'!$C$6),COUNT(Y$4:Y185)+1,"")</f>
        <v/>
      </c>
      <c r="Z186">
        <f>IF(AND($A186&lt;&gt;"",$B186&lt;&gt;"",$R186='تقرير ديسمبر'!$C$4,$P186='تقرير ديسمبر'!$C$6),COUNT(Z$4:Z185)+1,"")</f>
        <v/>
      </c>
      <c r="AA186">
        <f>IF(AND($A186&lt;&gt;"",$B186&lt;&gt;"",$R186='تقرير يناير'!$C$4,$P186='تقرير يناير'!$C$6),COUNT(AA$4:AA185)+1,"")</f>
        <v/>
      </c>
      <c r="AB186">
        <f>IF(AND($A186&lt;&gt;"",$B186&lt;&gt;"",$R186='تقرير فبراير'!$C$4,$P186='تقرير فبراير'!$C$6),COUNT(AB$4:AB185)+1,"")</f>
        <v/>
      </c>
      <c r="AC186">
        <f>IF(AND($A186&lt;&gt;"",$B186&lt;&gt;"",$R186='تقرير مارس'!$C$4,$P186='تقرير مارس'!$C$6),COUNT(AC$4:AC185)+1,"")</f>
        <v/>
      </c>
      <c r="AD186">
        <f>IF(AND($A186&lt;&gt;"",$B186&lt;&gt;"",$R186='تقرير أبريل'!$C$4,$P186='تقرير أبريل'!$C$6),COUNT(AD$4:AD185)+1,"")</f>
        <v/>
      </c>
      <c r="AE186">
        <f>IF(AND($A186&lt;&gt;"",$B186&lt;&gt;"",$R186='تقرير مايو'!$C$4,$P186='تقرير مايو'!$C$6),COUNT(AE$4:AE185)+1,"")</f>
        <v/>
      </c>
    </row>
    <row r="187">
      <c r="A187" s="16" t="n"/>
      <c r="B187" s="17" t="n"/>
      <c r="C187" s="17" t="n"/>
      <c r="D187" s="18" t="n"/>
      <c r="E187" s="17" t="n"/>
      <c r="F187" s="17" t="n"/>
      <c r="G187" s="19" t="n"/>
      <c r="H187" s="17" t="n"/>
      <c r="I187" s="17" t="n"/>
      <c r="J187" s="17" t="n"/>
      <c r="K187" s="20">
        <f>IF($B187="","",IFERROR(INDEX(الموظفات!$A$5:$A$304,MATCH($B187,الموظفات!$B$5:$B$304,0))&amp;"",""))</f>
        <v/>
      </c>
      <c r="L187" s="21">
        <f>IF($B187="","",IFERROR(INDEX(الموظفات!$C$5:$C$304,MATCH($B187,الموظفات!$B$5:$B$304,0))&amp;"",""))</f>
        <v/>
      </c>
      <c r="M187" s="20">
        <f>IF($B187="","",IFERROR(INDEX(الموظفات!$D$5:$D$304,MATCH($B187,الموظفات!$B$5:$B$304,0))&amp;"",""))</f>
        <v/>
      </c>
      <c r="N187" s="20">
        <f>IF($B187="","",IFERROR(INDEX(الموظفات!$E$5:$E$304,MATCH($B187,الموظفات!$B$5:$B$304,0))&amp;"",""))</f>
        <v/>
      </c>
      <c r="O187" s="21">
        <f>IF(C187="","",IFERROR(INDEX(الإعدادات!$D$7:$D$35,MATCH(C187,الإعدادات!$A$7:$A$35,0))&amp;"",""))</f>
        <v/>
      </c>
      <c r="P187" s="20">
        <f>IF(A187="","",INDEX(الإعدادات!$H$7:$H$18,MONTH(A187)))</f>
        <v/>
      </c>
      <c r="Q187" s="20">
        <f>IF(A187="","",INDEX(الإعدادات!$I$7:$I$18,MONTH(A187)))</f>
        <v/>
      </c>
      <c r="R187" s="20">
        <f>IF(A187="","",IF(MONTH(A187)&gt;=8,YEAR(A187)&amp;"-"&amp;(YEAR(A187)+1),(YEAR(A187)-1)&amp;"-"&amp;YEAR(A187)))</f>
        <v/>
      </c>
      <c r="S187" s="20">
        <f>IF(OR(A187="",B187=""),0,IF(AND(R187=التقارير!$C$4,OR(التقارير!$C$5="سنوي",AND(التقارير!$C$5="شهري",P187=التقارير!$C$6),AND(التقارير!$C$5="فصلي",Q187=التقارير!$C$7))),1,0))</f>
        <v/>
      </c>
      <c r="T187" s="20">
        <f>IF(S187=1,COUNTIF($S$5:S187,1),"")</f>
        <v/>
      </c>
      <c r="U187">
        <f>IF(AND($A187&lt;&gt;"",$B187&lt;&gt;"",$R187='تقرير الفصل الأول'!$C$4,$Q187='تقرير الفصل الأول'!$C$7),COUNT(U$4:U186)+1,"")</f>
        <v/>
      </c>
      <c r="V187">
        <f>IF(AND($A187&lt;&gt;"",$B187&lt;&gt;"",$R187='تقرير الفصل الثاني'!$C$4,$Q187='تقرير الفصل الثاني'!$C$7),COUNT(V$4:V186)+1,"")</f>
        <v/>
      </c>
      <c r="W187">
        <f>IF(AND($A187&lt;&gt;"",$B187&lt;&gt;"",$R187='تقرير سبتمبر'!$C$4,$P187='تقرير سبتمبر'!$C$6),COUNT(W$4:W186)+1,"")</f>
        <v/>
      </c>
      <c r="X187">
        <f>IF(AND($A187&lt;&gt;"",$B187&lt;&gt;"",$R187='تقرير أكتوبر'!$C$4,$P187='تقرير أكتوبر'!$C$6),COUNT(X$4:X186)+1,"")</f>
        <v/>
      </c>
      <c r="Y187">
        <f>IF(AND($A187&lt;&gt;"",$B187&lt;&gt;"",$R187='تقرير نوفمبر'!$C$4,$P187='تقرير نوفمبر'!$C$6),COUNT(Y$4:Y186)+1,"")</f>
        <v/>
      </c>
      <c r="Z187">
        <f>IF(AND($A187&lt;&gt;"",$B187&lt;&gt;"",$R187='تقرير ديسمبر'!$C$4,$P187='تقرير ديسمبر'!$C$6),COUNT(Z$4:Z186)+1,"")</f>
        <v/>
      </c>
      <c r="AA187">
        <f>IF(AND($A187&lt;&gt;"",$B187&lt;&gt;"",$R187='تقرير يناير'!$C$4,$P187='تقرير يناير'!$C$6),COUNT(AA$4:AA186)+1,"")</f>
        <v/>
      </c>
      <c r="AB187">
        <f>IF(AND($A187&lt;&gt;"",$B187&lt;&gt;"",$R187='تقرير فبراير'!$C$4,$P187='تقرير فبراير'!$C$6),COUNT(AB$4:AB186)+1,"")</f>
        <v/>
      </c>
      <c r="AC187">
        <f>IF(AND($A187&lt;&gt;"",$B187&lt;&gt;"",$R187='تقرير مارس'!$C$4,$P187='تقرير مارس'!$C$6),COUNT(AC$4:AC186)+1,"")</f>
        <v/>
      </c>
      <c r="AD187">
        <f>IF(AND($A187&lt;&gt;"",$B187&lt;&gt;"",$R187='تقرير أبريل'!$C$4,$P187='تقرير أبريل'!$C$6),COUNT(AD$4:AD186)+1,"")</f>
        <v/>
      </c>
      <c r="AE187">
        <f>IF(AND($A187&lt;&gt;"",$B187&lt;&gt;"",$R187='تقرير مايو'!$C$4,$P187='تقرير مايو'!$C$6),COUNT(AE$4:AE186)+1,"")</f>
        <v/>
      </c>
    </row>
    <row r="188">
      <c r="A188" s="16" t="n"/>
      <c r="B188" s="17" t="n"/>
      <c r="C188" s="17" t="n"/>
      <c r="D188" s="18" t="n"/>
      <c r="E188" s="17" t="n"/>
      <c r="F188" s="17" t="n"/>
      <c r="G188" s="19" t="n"/>
      <c r="H188" s="17" t="n"/>
      <c r="I188" s="17" t="n"/>
      <c r="J188" s="17" t="n"/>
      <c r="K188" s="20">
        <f>IF($B188="","",IFERROR(INDEX(الموظفات!$A$5:$A$304,MATCH($B188,الموظفات!$B$5:$B$304,0))&amp;"",""))</f>
        <v/>
      </c>
      <c r="L188" s="21">
        <f>IF($B188="","",IFERROR(INDEX(الموظفات!$C$5:$C$304,MATCH($B188,الموظفات!$B$5:$B$304,0))&amp;"",""))</f>
        <v/>
      </c>
      <c r="M188" s="20">
        <f>IF($B188="","",IFERROR(INDEX(الموظفات!$D$5:$D$304,MATCH($B188,الموظفات!$B$5:$B$304,0))&amp;"",""))</f>
        <v/>
      </c>
      <c r="N188" s="20">
        <f>IF($B188="","",IFERROR(INDEX(الموظفات!$E$5:$E$304,MATCH($B188,الموظفات!$B$5:$B$304,0))&amp;"",""))</f>
        <v/>
      </c>
      <c r="O188" s="21">
        <f>IF(C188="","",IFERROR(INDEX(الإعدادات!$D$7:$D$35,MATCH(C188,الإعدادات!$A$7:$A$35,0))&amp;"",""))</f>
        <v/>
      </c>
      <c r="P188" s="20">
        <f>IF(A188="","",INDEX(الإعدادات!$H$7:$H$18,MONTH(A188)))</f>
        <v/>
      </c>
      <c r="Q188" s="20">
        <f>IF(A188="","",INDEX(الإعدادات!$I$7:$I$18,MONTH(A188)))</f>
        <v/>
      </c>
      <c r="R188" s="20">
        <f>IF(A188="","",IF(MONTH(A188)&gt;=8,YEAR(A188)&amp;"-"&amp;(YEAR(A188)+1),(YEAR(A188)-1)&amp;"-"&amp;YEAR(A188)))</f>
        <v/>
      </c>
      <c r="S188" s="20">
        <f>IF(OR(A188="",B188=""),0,IF(AND(R188=التقارير!$C$4,OR(التقارير!$C$5="سنوي",AND(التقارير!$C$5="شهري",P188=التقارير!$C$6),AND(التقارير!$C$5="فصلي",Q188=التقارير!$C$7))),1,0))</f>
        <v/>
      </c>
      <c r="T188" s="20">
        <f>IF(S188=1,COUNTIF($S$5:S188,1),"")</f>
        <v/>
      </c>
      <c r="U188">
        <f>IF(AND($A188&lt;&gt;"",$B188&lt;&gt;"",$R188='تقرير الفصل الأول'!$C$4,$Q188='تقرير الفصل الأول'!$C$7),COUNT(U$4:U187)+1,"")</f>
        <v/>
      </c>
      <c r="V188">
        <f>IF(AND($A188&lt;&gt;"",$B188&lt;&gt;"",$R188='تقرير الفصل الثاني'!$C$4,$Q188='تقرير الفصل الثاني'!$C$7),COUNT(V$4:V187)+1,"")</f>
        <v/>
      </c>
      <c r="W188">
        <f>IF(AND($A188&lt;&gt;"",$B188&lt;&gt;"",$R188='تقرير سبتمبر'!$C$4,$P188='تقرير سبتمبر'!$C$6),COUNT(W$4:W187)+1,"")</f>
        <v/>
      </c>
      <c r="X188">
        <f>IF(AND($A188&lt;&gt;"",$B188&lt;&gt;"",$R188='تقرير أكتوبر'!$C$4,$P188='تقرير أكتوبر'!$C$6),COUNT(X$4:X187)+1,"")</f>
        <v/>
      </c>
      <c r="Y188">
        <f>IF(AND($A188&lt;&gt;"",$B188&lt;&gt;"",$R188='تقرير نوفمبر'!$C$4,$P188='تقرير نوفمبر'!$C$6),COUNT(Y$4:Y187)+1,"")</f>
        <v/>
      </c>
      <c r="Z188">
        <f>IF(AND($A188&lt;&gt;"",$B188&lt;&gt;"",$R188='تقرير ديسمبر'!$C$4,$P188='تقرير ديسمبر'!$C$6),COUNT(Z$4:Z187)+1,"")</f>
        <v/>
      </c>
      <c r="AA188">
        <f>IF(AND($A188&lt;&gt;"",$B188&lt;&gt;"",$R188='تقرير يناير'!$C$4,$P188='تقرير يناير'!$C$6),COUNT(AA$4:AA187)+1,"")</f>
        <v/>
      </c>
      <c r="AB188">
        <f>IF(AND($A188&lt;&gt;"",$B188&lt;&gt;"",$R188='تقرير فبراير'!$C$4,$P188='تقرير فبراير'!$C$6),COUNT(AB$4:AB187)+1,"")</f>
        <v/>
      </c>
      <c r="AC188">
        <f>IF(AND($A188&lt;&gt;"",$B188&lt;&gt;"",$R188='تقرير مارس'!$C$4,$P188='تقرير مارس'!$C$6),COUNT(AC$4:AC187)+1,"")</f>
        <v/>
      </c>
      <c r="AD188">
        <f>IF(AND($A188&lt;&gt;"",$B188&lt;&gt;"",$R188='تقرير أبريل'!$C$4,$P188='تقرير أبريل'!$C$6),COUNT(AD$4:AD187)+1,"")</f>
        <v/>
      </c>
      <c r="AE188">
        <f>IF(AND($A188&lt;&gt;"",$B188&lt;&gt;"",$R188='تقرير مايو'!$C$4,$P188='تقرير مايو'!$C$6),COUNT(AE$4:AE187)+1,"")</f>
        <v/>
      </c>
    </row>
    <row r="189">
      <c r="A189" s="16" t="n"/>
      <c r="B189" s="17" t="n"/>
      <c r="C189" s="17" t="n"/>
      <c r="D189" s="18" t="n"/>
      <c r="E189" s="17" t="n"/>
      <c r="F189" s="17" t="n"/>
      <c r="G189" s="19" t="n"/>
      <c r="H189" s="17" t="n"/>
      <c r="I189" s="17" t="n"/>
      <c r="J189" s="17" t="n"/>
      <c r="K189" s="20">
        <f>IF($B189="","",IFERROR(INDEX(الموظفات!$A$5:$A$304,MATCH($B189,الموظفات!$B$5:$B$304,0))&amp;"",""))</f>
        <v/>
      </c>
      <c r="L189" s="21">
        <f>IF($B189="","",IFERROR(INDEX(الموظفات!$C$5:$C$304,MATCH($B189,الموظفات!$B$5:$B$304,0))&amp;"",""))</f>
        <v/>
      </c>
      <c r="M189" s="20">
        <f>IF($B189="","",IFERROR(INDEX(الموظفات!$D$5:$D$304,MATCH($B189,الموظفات!$B$5:$B$304,0))&amp;"",""))</f>
        <v/>
      </c>
      <c r="N189" s="20">
        <f>IF($B189="","",IFERROR(INDEX(الموظفات!$E$5:$E$304,MATCH($B189,الموظفات!$B$5:$B$304,0))&amp;"",""))</f>
        <v/>
      </c>
      <c r="O189" s="21">
        <f>IF(C189="","",IFERROR(INDEX(الإعدادات!$D$7:$D$35,MATCH(C189,الإعدادات!$A$7:$A$35,0))&amp;"",""))</f>
        <v/>
      </c>
      <c r="P189" s="20">
        <f>IF(A189="","",INDEX(الإعدادات!$H$7:$H$18,MONTH(A189)))</f>
        <v/>
      </c>
      <c r="Q189" s="20">
        <f>IF(A189="","",INDEX(الإعدادات!$I$7:$I$18,MONTH(A189)))</f>
        <v/>
      </c>
      <c r="R189" s="20">
        <f>IF(A189="","",IF(MONTH(A189)&gt;=8,YEAR(A189)&amp;"-"&amp;(YEAR(A189)+1),(YEAR(A189)-1)&amp;"-"&amp;YEAR(A189)))</f>
        <v/>
      </c>
      <c r="S189" s="20">
        <f>IF(OR(A189="",B189=""),0,IF(AND(R189=التقارير!$C$4,OR(التقارير!$C$5="سنوي",AND(التقارير!$C$5="شهري",P189=التقارير!$C$6),AND(التقارير!$C$5="فصلي",Q189=التقارير!$C$7))),1,0))</f>
        <v/>
      </c>
      <c r="T189" s="20">
        <f>IF(S189=1,COUNTIF($S$5:S189,1),"")</f>
        <v/>
      </c>
      <c r="U189">
        <f>IF(AND($A189&lt;&gt;"",$B189&lt;&gt;"",$R189='تقرير الفصل الأول'!$C$4,$Q189='تقرير الفصل الأول'!$C$7),COUNT(U$4:U188)+1,"")</f>
        <v/>
      </c>
      <c r="V189">
        <f>IF(AND($A189&lt;&gt;"",$B189&lt;&gt;"",$R189='تقرير الفصل الثاني'!$C$4,$Q189='تقرير الفصل الثاني'!$C$7),COUNT(V$4:V188)+1,"")</f>
        <v/>
      </c>
      <c r="W189">
        <f>IF(AND($A189&lt;&gt;"",$B189&lt;&gt;"",$R189='تقرير سبتمبر'!$C$4,$P189='تقرير سبتمبر'!$C$6),COUNT(W$4:W188)+1,"")</f>
        <v/>
      </c>
      <c r="X189">
        <f>IF(AND($A189&lt;&gt;"",$B189&lt;&gt;"",$R189='تقرير أكتوبر'!$C$4,$P189='تقرير أكتوبر'!$C$6),COUNT(X$4:X188)+1,"")</f>
        <v/>
      </c>
      <c r="Y189">
        <f>IF(AND($A189&lt;&gt;"",$B189&lt;&gt;"",$R189='تقرير نوفمبر'!$C$4,$P189='تقرير نوفمبر'!$C$6),COUNT(Y$4:Y188)+1,"")</f>
        <v/>
      </c>
      <c r="Z189">
        <f>IF(AND($A189&lt;&gt;"",$B189&lt;&gt;"",$R189='تقرير ديسمبر'!$C$4,$P189='تقرير ديسمبر'!$C$6),COUNT(Z$4:Z188)+1,"")</f>
        <v/>
      </c>
      <c r="AA189">
        <f>IF(AND($A189&lt;&gt;"",$B189&lt;&gt;"",$R189='تقرير يناير'!$C$4,$P189='تقرير يناير'!$C$6),COUNT(AA$4:AA188)+1,"")</f>
        <v/>
      </c>
      <c r="AB189">
        <f>IF(AND($A189&lt;&gt;"",$B189&lt;&gt;"",$R189='تقرير فبراير'!$C$4,$P189='تقرير فبراير'!$C$6),COUNT(AB$4:AB188)+1,"")</f>
        <v/>
      </c>
      <c r="AC189">
        <f>IF(AND($A189&lt;&gt;"",$B189&lt;&gt;"",$R189='تقرير مارس'!$C$4,$P189='تقرير مارس'!$C$6),COUNT(AC$4:AC188)+1,"")</f>
        <v/>
      </c>
      <c r="AD189">
        <f>IF(AND($A189&lt;&gt;"",$B189&lt;&gt;"",$R189='تقرير أبريل'!$C$4,$P189='تقرير أبريل'!$C$6),COUNT(AD$4:AD188)+1,"")</f>
        <v/>
      </c>
      <c r="AE189">
        <f>IF(AND($A189&lt;&gt;"",$B189&lt;&gt;"",$R189='تقرير مايو'!$C$4,$P189='تقرير مايو'!$C$6),COUNT(AE$4:AE188)+1,"")</f>
        <v/>
      </c>
    </row>
    <row r="190">
      <c r="A190" s="16" t="n"/>
      <c r="B190" s="17" t="n"/>
      <c r="C190" s="17" t="n"/>
      <c r="D190" s="18" t="n"/>
      <c r="E190" s="17" t="n"/>
      <c r="F190" s="17" t="n"/>
      <c r="G190" s="19" t="n"/>
      <c r="H190" s="17" t="n"/>
      <c r="I190" s="17" t="n"/>
      <c r="J190" s="17" t="n"/>
      <c r="K190" s="20">
        <f>IF($B190="","",IFERROR(INDEX(الموظفات!$A$5:$A$304,MATCH($B190,الموظفات!$B$5:$B$304,0))&amp;"",""))</f>
        <v/>
      </c>
      <c r="L190" s="21">
        <f>IF($B190="","",IFERROR(INDEX(الموظفات!$C$5:$C$304,MATCH($B190,الموظفات!$B$5:$B$304,0))&amp;"",""))</f>
        <v/>
      </c>
      <c r="M190" s="20">
        <f>IF($B190="","",IFERROR(INDEX(الموظفات!$D$5:$D$304,MATCH($B190,الموظفات!$B$5:$B$304,0))&amp;"",""))</f>
        <v/>
      </c>
      <c r="N190" s="20">
        <f>IF($B190="","",IFERROR(INDEX(الموظفات!$E$5:$E$304,MATCH($B190,الموظفات!$B$5:$B$304,0))&amp;"",""))</f>
        <v/>
      </c>
      <c r="O190" s="21">
        <f>IF(C190="","",IFERROR(INDEX(الإعدادات!$D$7:$D$35,MATCH(C190,الإعدادات!$A$7:$A$35,0))&amp;"",""))</f>
        <v/>
      </c>
      <c r="P190" s="20">
        <f>IF(A190="","",INDEX(الإعدادات!$H$7:$H$18,MONTH(A190)))</f>
        <v/>
      </c>
      <c r="Q190" s="20">
        <f>IF(A190="","",INDEX(الإعدادات!$I$7:$I$18,MONTH(A190)))</f>
        <v/>
      </c>
      <c r="R190" s="20">
        <f>IF(A190="","",IF(MONTH(A190)&gt;=8,YEAR(A190)&amp;"-"&amp;(YEAR(A190)+1),(YEAR(A190)-1)&amp;"-"&amp;YEAR(A190)))</f>
        <v/>
      </c>
      <c r="S190" s="20">
        <f>IF(OR(A190="",B190=""),0,IF(AND(R190=التقارير!$C$4,OR(التقارير!$C$5="سنوي",AND(التقارير!$C$5="شهري",P190=التقارير!$C$6),AND(التقارير!$C$5="فصلي",Q190=التقارير!$C$7))),1,0))</f>
        <v/>
      </c>
      <c r="T190" s="20">
        <f>IF(S190=1,COUNTIF($S$5:S190,1),"")</f>
        <v/>
      </c>
      <c r="U190">
        <f>IF(AND($A190&lt;&gt;"",$B190&lt;&gt;"",$R190='تقرير الفصل الأول'!$C$4,$Q190='تقرير الفصل الأول'!$C$7),COUNT(U$4:U189)+1,"")</f>
        <v/>
      </c>
      <c r="V190">
        <f>IF(AND($A190&lt;&gt;"",$B190&lt;&gt;"",$R190='تقرير الفصل الثاني'!$C$4,$Q190='تقرير الفصل الثاني'!$C$7),COUNT(V$4:V189)+1,"")</f>
        <v/>
      </c>
      <c r="W190">
        <f>IF(AND($A190&lt;&gt;"",$B190&lt;&gt;"",$R190='تقرير سبتمبر'!$C$4,$P190='تقرير سبتمبر'!$C$6),COUNT(W$4:W189)+1,"")</f>
        <v/>
      </c>
      <c r="X190">
        <f>IF(AND($A190&lt;&gt;"",$B190&lt;&gt;"",$R190='تقرير أكتوبر'!$C$4,$P190='تقرير أكتوبر'!$C$6),COUNT(X$4:X189)+1,"")</f>
        <v/>
      </c>
      <c r="Y190">
        <f>IF(AND($A190&lt;&gt;"",$B190&lt;&gt;"",$R190='تقرير نوفمبر'!$C$4,$P190='تقرير نوفمبر'!$C$6),COUNT(Y$4:Y189)+1,"")</f>
        <v/>
      </c>
      <c r="Z190">
        <f>IF(AND($A190&lt;&gt;"",$B190&lt;&gt;"",$R190='تقرير ديسمبر'!$C$4,$P190='تقرير ديسمبر'!$C$6),COUNT(Z$4:Z189)+1,"")</f>
        <v/>
      </c>
      <c r="AA190">
        <f>IF(AND($A190&lt;&gt;"",$B190&lt;&gt;"",$R190='تقرير يناير'!$C$4,$P190='تقرير يناير'!$C$6),COUNT(AA$4:AA189)+1,"")</f>
        <v/>
      </c>
      <c r="AB190">
        <f>IF(AND($A190&lt;&gt;"",$B190&lt;&gt;"",$R190='تقرير فبراير'!$C$4,$P190='تقرير فبراير'!$C$6),COUNT(AB$4:AB189)+1,"")</f>
        <v/>
      </c>
      <c r="AC190">
        <f>IF(AND($A190&lt;&gt;"",$B190&lt;&gt;"",$R190='تقرير مارس'!$C$4,$P190='تقرير مارس'!$C$6),COUNT(AC$4:AC189)+1,"")</f>
        <v/>
      </c>
      <c r="AD190">
        <f>IF(AND($A190&lt;&gt;"",$B190&lt;&gt;"",$R190='تقرير أبريل'!$C$4,$P190='تقرير أبريل'!$C$6),COUNT(AD$4:AD189)+1,"")</f>
        <v/>
      </c>
      <c r="AE190">
        <f>IF(AND($A190&lt;&gt;"",$B190&lt;&gt;"",$R190='تقرير مايو'!$C$4,$P190='تقرير مايو'!$C$6),COUNT(AE$4:AE189)+1,"")</f>
        <v/>
      </c>
    </row>
    <row r="191">
      <c r="A191" s="16" t="n"/>
      <c r="B191" s="17" t="n"/>
      <c r="C191" s="17" t="n"/>
      <c r="D191" s="18" t="n"/>
      <c r="E191" s="17" t="n"/>
      <c r="F191" s="17" t="n"/>
      <c r="G191" s="19" t="n"/>
      <c r="H191" s="17" t="n"/>
      <c r="I191" s="17" t="n"/>
      <c r="J191" s="17" t="n"/>
      <c r="K191" s="20">
        <f>IF($B191="","",IFERROR(INDEX(الموظفات!$A$5:$A$304,MATCH($B191,الموظفات!$B$5:$B$304,0))&amp;"",""))</f>
        <v/>
      </c>
      <c r="L191" s="21">
        <f>IF($B191="","",IFERROR(INDEX(الموظفات!$C$5:$C$304,MATCH($B191,الموظفات!$B$5:$B$304,0))&amp;"",""))</f>
        <v/>
      </c>
      <c r="M191" s="20">
        <f>IF($B191="","",IFERROR(INDEX(الموظفات!$D$5:$D$304,MATCH($B191,الموظفات!$B$5:$B$304,0))&amp;"",""))</f>
        <v/>
      </c>
      <c r="N191" s="20">
        <f>IF($B191="","",IFERROR(INDEX(الموظفات!$E$5:$E$304,MATCH($B191,الموظفات!$B$5:$B$304,0))&amp;"",""))</f>
        <v/>
      </c>
      <c r="O191" s="21">
        <f>IF(C191="","",IFERROR(INDEX(الإعدادات!$D$7:$D$35,MATCH(C191,الإعدادات!$A$7:$A$35,0))&amp;"",""))</f>
        <v/>
      </c>
      <c r="P191" s="20">
        <f>IF(A191="","",INDEX(الإعدادات!$H$7:$H$18,MONTH(A191)))</f>
        <v/>
      </c>
      <c r="Q191" s="20">
        <f>IF(A191="","",INDEX(الإعدادات!$I$7:$I$18,MONTH(A191)))</f>
        <v/>
      </c>
      <c r="R191" s="20">
        <f>IF(A191="","",IF(MONTH(A191)&gt;=8,YEAR(A191)&amp;"-"&amp;(YEAR(A191)+1),(YEAR(A191)-1)&amp;"-"&amp;YEAR(A191)))</f>
        <v/>
      </c>
      <c r="S191" s="20">
        <f>IF(OR(A191="",B191=""),0,IF(AND(R191=التقارير!$C$4,OR(التقارير!$C$5="سنوي",AND(التقارير!$C$5="شهري",P191=التقارير!$C$6),AND(التقارير!$C$5="فصلي",Q191=التقارير!$C$7))),1,0))</f>
        <v/>
      </c>
      <c r="T191" s="20">
        <f>IF(S191=1,COUNTIF($S$5:S191,1),"")</f>
        <v/>
      </c>
      <c r="U191">
        <f>IF(AND($A191&lt;&gt;"",$B191&lt;&gt;"",$R191='تقرير الفصل الأول'!$C$4,$Q191='تقرير الفصل الأول'!$C$7),COUNT(U$4:U190)+1,"")</f>
        <v/>
      </c>
      <c r="V191">
        <f>IF(AND($A191&lt;&gt;"",$B191&lt;&gt;"",$R191='تقرير الفصل الثاني'!$C$4,$Q191='تقرير الفصل الثاني'!$C$7),COUNT(V$4:V190)+1,"")</f>
        <v/>
      </c>
      <c r="W191">
        <f>IF(AND($A191&lt;&gt;"",$B191&lt;&gt;"",$R191='تقرير سبتمبر'!$C$4,$P191='تقرير سبتمبر'!$C$6),COUNT(W$4:W190)+1,"")</f>
        <v/>
      </c>
      <c r="X191">
        <f>IF(AND($A191&lt;&gt;"",$B191&lt;&gt;"",$R191='تقرير أكتوبر'!$C$4,$P191='تقرير أكتوبر'!$C$6),COUNT(X$4:X190)+1,"")</f>
        <v/>
      </c>
      <c r="Y191">
        <f>IF(AND($A191&lt;&gt;"",$B191&lt;&gt;"",$R191='تقرير نوفمبر'!$C$4,$P191='تقرير نوفمبر'!$C$6),COUNT(Y$4:Y190)+1,"")</f>
        <v/>
      </c>
      <c r="Z191">
        <f>IF(AND($A191&lt;&gt;"",$B191&lt;&gt;"",$R191='تقرير ديسمبر'!$C$4,$P191='تقرير ديسمبر'!$C$6),COUNT(Z$4:Z190)+1,"")</f>
        <v/>
      </c>
      <c r="AA191">
        <f>IF(AND($A191&lt;&gt;"",$B191&lt;&gt;"",$R191='تقرير يناير'!$C$4,$P191='تقرير يناير'!$C$6),COUNT(AA$4:AA190)+1,"")</f>
        <v/>
      </c>
      <c r="AB191">
        <f>IF(AND($A191&lt;&gt;"",$B191&lt;&gt;"",$R191='تقرير فبراير'!$C$4,$P191='تقرير فبراير'!$C$6),COUNT(AB$4:AB190)+1,"")</f>
        <v/>
      </c>
      <c r="AC191">
        <f>IF(AND($A191&lt;&gt;"",$B191&lt;&gt;"",$R191='تقرير مارس'!$C$4,$P191='تقرير مارس'!$C$6),COUNT(AC$4:AC190)+1,"")</f>
        <v/>
      </c>
      <c r="AD191">
        <f>IF(AND($A191&lt;&gt;"",$B191&lt;&gt;"",$R191='تقرير أبريل'!$C$4,$P191='تقرير أبريل'!$C$6),COUNT(AD$4:AD190)+1,"")</f>
        <v/>
      </c>
      <c r="AE191">
        <f>IF(AND($A191&lt;&gt;"",$B191&lt;&gt;"",$R191='تقرير مايو'!$C$4,$P191='تقرير مايو'!$C$6),COUNT(AE$4:AE190)+1,"")</f>
        <v/>
      </c>
    </row>
    <row r="192">
      <c r="A192" s="16" t="n"/>
      <c r="B192" s="17" t="n"/>
      <c r="C192" s="17" t="n"/>
      <c r="D192" s="18" t="n"/>
      <c r="E192" s="17" t="n"/>
      <c r="F192" s="17" t="n"/>
      <c r="G192" s="19" t="n"/>
      <c r="H192" s="17" t="n"/>
      <c r="I192" s="17" t="n"/>
      <c r="J192" s="17" t="n"/>
      <c r="K192" s="20">
        <f>IF($B192="","",IFERROR(INDEX(الموظفات!$A$5:$A$304,MATCH($B192,الموظفات!$B$5:$B$304,0))&amp;"",""))</f>
        <v/>
      </c>
      <c r="L192" s="21">
        <f>IF($B192="","",IFERROR(INDEX(الموظفات!$C$5:$C$304,MATCH($B192,الموظفات!$B$5:$B$304,0))&amp;"",""))</f>
        <v/>
      </c>
      <c r="M192" s="20">
        <f>IF($B192="","",IFERROR(INDEX(الموظفات!$D$5:$D$304,MATCH($B192,الموظفات!$B$5:$B$304,0))&amp;"",""))</f>
        <v/>
      </c>
      <c r="N192" s="20">
        <f>IF($B192="","",IFERROR(INDEX(الموظفات!$E$5:$E$304,MATCH($B192,الموظفات!$B$5:$B$304,0))&amp;"",""))</f>
        <v/>
      </c>
      <c r="O192" s="21">
        <f>IF(C192="","",IFERROR(INDEX(الإعدادات!$D$7:$D$35,MATCH(C192,الإعدادات!$A$7:$A$35,0))&amp;"",""))</f>
        <v/>
      </c>
      <c r="P192" s="20">
        <f>IF(A192="","",INDEX(الإعدادات!$H$7:$H$18,MONTH(A192)))</f>
        <v/>
      </c>
      <c r="Q192" s="20">
        <f>IF(A192="","",INDEX(الإعدادات!$I$7:$I$18,MONTH(A192)))</f>
        <v/>
      </c>
      <c r="R192" s="20">
        <f>IF(A192="","",IF(MONTH(A192)&gt;=8,YEAR(A192)&amp;"-"&amp;(YEAR(A192)+1),(YEAR(A192)-1)&amp;"-"&amp;YEAR(A192)))</f>
        <v/>
      </c>
      <c r="S192" s="20">
        <f>IF(OR(A192="",B192=""),0,IF(AND(R192=التقارير!$C$4,OR(التقارير!$C$5="سنوي",AND(التقارير!$C$5="شهري",P192=التقارير!$C$6),AND(التقارير!$C$5="فصلي",Q192=التقارير!$C$7))),1,0))</f>
        <v/>
      </c>
      <c r="T192" s="20">
        <f>IF(S192=1,COUNTIF($S$5:S192,1),"")</f>
        <v/>
      </c>
      <c r="U192">
        <f>IF(AND($A192&lt;&gt;"",$B192&lt;&gt;"",$R192='تقرير الفصل الأول'!$C$4,$Q192='تقرير الفصل الأول'!$C$7),COUNT(U$4:U191)+1,"")</f>
        <v/>
      </c>
      <c r="V192">
        <f>IF(AND($A192&lt;&gt;"",$B192&lt;&gt;"",$R192='تقرير الفصل الثاني'!$C$4,$Q192='تقرير الفصل الثاني'!$C$7),COUNT(V$4:V191)+1,"")</f>
        <v/>
      </c>
      <c r="W192">
        <f>IF(AND($A192&lt;&gt;"",$B192&lt;&gt;"",$R192='تقرير سبتمبر'!$C$4,$P192='تقرير سبتمبر'!$C$6),COUNT(W$4:W191)+1,"")</f>
        <v/>
      </c>
      <c r="X192">
        <f>IF(AND($A192&lt;&gt;"",$B192&lt;&gt;"",$R192='تقرير أكتوبر'!$C$4,$P192='تقرير أكتوبر'!$C$6),COUNT(X$4:X191)+1,"")</f>
        <v/>
      </c>
      <c r="Y192">
        <f>IF(AND($A192&lt;&gt;"",$B192&lt;&gt;"",$R192='تقرير نوفمبر'!$C$4,$P192='تقرير نوفمبر'!$C$6),COUNT(Y$4:Y191)+1,"")</f>
        <v/>
      </c>
      <c r="Z192">
        <f>IF(AND($A192&lt;&gt;"",$B192&lt;&gt;"",$R192='تقرير ديسمبر'!$C$4,$P192='تقرير ديسمبر'!$C$6),COUNT(Z$4:Z191)+1,"")</f>
        <v/>
      </c>
      <c r="AA192">
        <f>IF(AND($A192&lt;&gt;"",$B192&lt;&gt;"",$R192='تقرير يناير'!$C$4,$P192='تقرير يناير'!$C$6),COUNT(AA$4:AA191)+1,"")</f>
        <v/>
      </c>
      <c r="AB192">
        <f>IF(AND($A192&lt;&gt;"",$B192&lt;&gt;"",$R192='تقرير فبراير'!$C$4,$P192='تقرير فبراير'!$C$6),COUNT(AB$4:AB191)+1,"")</f>
        <v/>
      </c>
      <c r="AC192">
        <f>IF(AND($A192&lt;&gt;"",$B192&lt;&gt;"",$R192='تقرير مارس'!$C$4,$P192='تقرير مارس'!$C$6),COUNT(AC$4:AC191)+1,"")</f>
        <v/>
      </c>
      <c r="AD192">
        <f>IF(AND($A192&lt;&gt;"",$B192&lt;&gt;"",$R192='تقرير أبريل'!$C$4,$P192='تقرير أبريل'!$C$6),COUNT(AD$4:AD191)+1,"")</f>
        <v/>
      </c>
      <c r="AE192">
        <f>IF(AND($A192&lt;&gt;"",$B192&lt;&gt;"",$R192='تقرير مايو'!$C$4,$P192='تقرير مايو'!$C$6),COUNT(AE$4:AE191)+1,"")</f>
        <v/>
      </c>
    </row>
    <row r="193">
      <c r="A193" s="16" t="n"/>
      <c r="B193" s="17" t="n"/>
      <c r="C193" s="17" t="n"/>
      <c r="D193" s="18" t="n"/>
      <c r="E193" s="17" t="n"/>
      <c r="F193" s="17" t="n"/>
      <c r="G193" s="19" t="n"/>
      <c r="H193" s="17" t="n"/>
      <c r="I193" s="17" t="n"/>
      <c r="J193" s="17" t="n"/>
      <c r="K193" s="20">
        <f>IF($B193="","",IFERROR(INDEX(الموظفات!$A$5:$A$304,MATCH($B193,الموظفات!$B$5:$B$304,0))&amp;"",""))</f>
        <v/>
      </c>
      <c r="L193" s="21">
        <f>IF($B193="","",IFERROR(INDEX(الموظفات!$C$5:$C$304,MATCH($B193,الموظفات!$B$5:$B$304,0))&amp;"",""))</f>
        <v/>
      </c>
      <c r="M193" s="20">
        <f>IF($B193="","",IFERROR(INDEX(الموظفات!$D$5:$D$304,MATCH($B193,الموظفات!$B$5:$B$304,0))&amp;"",""))</f>
        <v/>
      </c>
      <c r="N193" s="20">
        <f>IF($B193="","",IFERROR(INDEX(الموظفات!$E$5:$E$304,MATCH($B193,الموظفات!$B$5:$B$304,0))&amp;"",""))</f>
        <v/>
      </c>
      <c r="O193" s="21">
        <f>IF(C193="","",IFERROR(INDEX(الإعدادات!$D$7:$D$35,MATCH(C193,الإعدادات!$A$7:$A$35,0))&amp;"",""))</f>
        <v/>
      </c>
      <c r="P193" s="20">
        <f>IF(A193="","",INDEX(الإعدادات!$H$7:$H$18,MONTH(A193)))</f>
        <v/>
      </c>
      <c r="Q193" s="20">
        <f>IF(A193="","",INDEX(الإعدادات!$I$7:$I$18,MONTH(A193)))</f>
        <v/>
      </c>
      <c r="R193" s="20">
        <f>IF(A193="","",IF(MONTH(A193)&gt;=8,YEAR(A193)&amp;"-"&amp;(YEAR(A193)+1),(YEAR(A193)-1)&amp;"-"&amp;YEAR(A193)))</f>
        <v/>
      </c>
      <c r="S193" s="20">
        <f>IF(OR(A193="",B193=""),0,IF(AND(R193=التقارير!$C$4,OR(التقارير!$C$5="سنوي",AND(التقارير!$C$5="شهري",P193=التقارير!$C$6),AND(التقارير!$C$5="فصلي",Q193=التقارير!$C$7))),1,0))</f>
        <v/>
      </c>
      <c r="T193" s="20">
        <f>IF(S193=1,COUNTIF($S$5:S193,1),"")</f>
        <v/>
      </c>
      <c r="U193">
        <f>IF(AND($A193&lt;&gt;"",$B193&lt;&gt;"",$R193='تقرير الفصل الأول'!$C$4,$Q193='تقرير الفصل الأول'!$C$7),COUNT(U$4:U192)+1,"")</f>
        <v/>
      </c>
      <c r="V193">
        <f>IF(AND($A193&lt;&gt;"",$B193&lt;&gt;"",$R193='تقرير الفصل الثاني'!$C$4,$Q193='تقرير الفصل الثاني'!$C$7),COUNT(V$4:V192)+1,"")</f>
        <v/>
      </c>
      <c r="W193">
        <f>IF(AND($A193&lt;&gt;"",$B193&lt;&gt;"",$R193='تقرير سبتمبر'!$C$4,$P193='تقرير سبتمبر'!$C$6),COUNT(W$4:W192)+1,"")</f>
        <v/>
      </c>
      <c r="X193">
        <f>IF(AND($A193&lt;&gt;"",$B193&lt;&gt;"",$R193='تقرير أكتوبر'!$C$4,$P193='تقرير أكتوبر'!$C$6),COUNT(X$4:X192)+1,"")</f>
        <v/>
      </c>
      <c r="Y193">
        <f>IF(AND($A193&lt;&gt;"",$B193&lt;&gt;"",$R193='تقرير نوفمبر'!$C$4,$P193='تقرير نوفمبر'!$C$6),COUNT(Y$4:Y192)+1,"")</f>
        <v/>
      </c>
      <c r="Z193">
        <f>IF(AND($A193&lt;&gt;"",$B193&lt;&gt;"",$R193='تقرير ديسمبر'!$C$4,$P193='تقرير ديسمبر'!$C$6),COUNT(Z$4:Z192)+1,"")</f>
        <v/>
      </c>
      <c r="AA193">
        <f>IF(AND($A193&lt;&gt;"",$B193&lt;&gt;"",$R193='تقرير يناير'!$C$4,$P193='تقرير يناير'!$C$6),COUNT(AA$4:AA192)+1,"")</f>
        <v/>
      </c>
      <c r="AB193">
        <f>IF(AND($A193&lt;&gt;"",$B193&lt;&gt;"",$R193='تقرير فبراير'!$C$4,$P193='تقرير فبراير'!$C$6),COUNT(AB$4:AB192)+1,"")</f>
        <v/>
      </c>
      <c r="AC193">
        <f>IF(AND($A193&lt;&gt;"",$B193&lt;&gt;"",$R193='تقرير مارس'!$C$4,$P193='تقرير مارس'!$C$6),COUNT(AC$4:AC192)+1,"")</f>
        <v/>
      </c>
      <c r="AD193">
        <f>IF(AND($A193&lt;&gt;"",$B193&lt;&gt;"",$R193='تقرير أبريل'!$C$4,$P193='تقرير أبريل'!$C$6),COUNT(AD$4:AD192)+1,"")</f>
        <v/>
      </c>
      <c r="AE193">
        <f>IF(AND($A193&lt;&gt;"",$B193&lt;&gt;"",$R193='تقرير مايو'!$C$4,$P193='تقرير مايو'!$C$6),COUNT(AE$4:AE192)+1,"")</f>
        <v/>
      </c>
    </row>
    <row r="194">
      <c r="A194" s="16" t="n"/>
      <c r="B194" s="17" t="n"/>
      <c r="C194" s="17" t="n"/>
      <c r="D194" s="18" t="n"/>
      <c r="E194" s="17" t="n"/>
      <c r="F194" s="17" t="n"/>
      <c r="G194" s="19" t="n"/>
      <c r="H194" s="17" t="n"/>
      <c r="I194" s="17" t="n"/>
      <c r="J194" s="17" t="n"/>
      <c r="K194" s="20">
        <f>IF($B194="","",IFERROR(INDEX(الموظفات!$A$5:$A$304,MATCH($B194,الموظفات!$B$5:$B$304,0))&amp;"",""))</f>
        <v/>
      </c>
      <c r="L194" s="21">
        <f>IF($B194="","",IFERROR(INDEX(الموظفات!$C$5:$C$304,MATCH($B194,الموظفات!$B$5:$B$304,0))&amp;"",""))</f>
        <v/>
      </c>
      <c r="M194" s="20">
        <f>IF($B194="","",IFERROR(INDEX(الموظفات!$D$5:$D$304,MATCH($B194,الموظفات!$B$5:$B$304,0))&amp;"",""))</f>
        <v/>
      </c>
      <c r="N194" s="20">
        <f>IF($B194="","",IFERROR(INDEX(الموظفات!$E$5:$E$304,MATCH($B194,الموظفات!$B$5:$B$304,0))&amp;"",""))</f>
        <v/>
      </c>
      <c r="O194" s="21">
        <f>IF(C194="","",IFERROR(INDEX(الإعدادات!$D$7:$D$35,MATCH(C194,الإعدادات!$A$7:$A$35,0))&amp;"",""))</f>
        <v/>
      </c>
      <c r="P194" s="20">
        <f>IF(A194="","",INDEX(الإعدادات!$H$7:$H$18,MONTH(A194)))</f>
        <v/>
      </c>
      <c r="Q194" s="20">
        <f>IF(A194="","",INDEX(الإعدادات!$I$7:$I$18,MONTH(A194)))</f>
        <v/>
      </c>
      <c r="R194" s="20">
        <f>IF(A194="","",IF(MONTH(A194)&gt;=8,YEAR(A194)&amp;"-"&amp;(YEAR(A194)+1),(YEAR(A194)-1)&amp;"-"&amp;YEAR(A194)))</f>
        <v/>
      </c>
      <c r="S194" s="20">
        <f>IF(OR(A194="",B194=""),0,IF(AND(R194=التقارير!$C$4,OR(التقارير!$C$5="سنوي",AND(التقارير!$C$5="شهري",P194=التقارير!$C$6),AND(التقارير!$C$5="فصلي",Q194=التقارير!$C$7))),1,0))</f>
        <v/>
      </c>
      <c r="T194" s="20">
        <f>IF(S194=1,COUNTIF($S$5:S194,1),"")</f>
        <v/>
      </c>
      <c r="U194">
        <f>IF(AND($A194&lt;&gt;"",$B194&lt;&gt;"",$R194='تقرير الفصل الأول'!$C$4,$Q194='تقرير الفصل الأول'!$C$7),COUNT(U$4:U193)+1,"")</f>
        <v/>
      </c>
      <c r="V194">
        <f>IF(AND($A194&lt;&gt;"",$B194&lt;&gt;"",$R194='تقرير الفصل الثاني'!$C$4,$Q194='تقرير الفصل الثاني'!$C$7),COUNT(V$4:V193)+1,"")</f>
        <v/>
      </c>
      <c r="W194">
        <f>IF(AND($A194&lt;&gt;"",$B194&lt;&gt;"",$R194='تقرير سبتمبر'!$C$4,$P194='تقرير سبتمبر'!$C$6),COUNT(W$4:W193)+1,"")</f>
        <v/>
      </c>
      <c r="X194">
        <f>IF(AND($A194&lt;&gt;"",$B194&lt;&gt;"",$R194='تقرير أكتوبر'!$C$4,$P194='تقرير أكتوبر'!$C$6),COUNT(X$4:X193)+1,"")</f>
        <v/>
      </c>
      <c r="Y194">
        <f>IF(AND($A194&lt;&gt;"",$B194&lt;&gt;"",$R194='تقرير نوفمبر'!$C$4,$P194='تقرير نوفمبر'!$C$6),COUNT(Y$4:Y193)+1,"")</f>
        <v/>
      </c>
      <c r="Z194">
        <f>IF(AND($A194&lt;&gt;"",$B194&lt;&gt;"",$R194='تقرير ديسمبر'!$C$4,$P194='تقرير ديسمبر'!$C$6),COUNT(Z$4:Z193)+1,"")</f>
        <v/>
      </c>
      <c r="AA194">
        <f>IF(AND($A194&lt;&gt;"",$B194&lt;&gt;"",$R194='تقرير يناير'!$C$4,$P194='تقرير يناير'!$C$6),COUNT(AA$4:AA193)+1,"")</f>
        <v/>
      </c>
      <c r="AB194">
        <f>IF(AND($A194&lt;&gt;"",$B194&lt;&gt;"",$R194='تقرير فبراير'!$C$4,$P194='تقرير فبراير'!$C$6),COUNT(AB$4:AB193)+1,"")</f>
        <v/>
      </c>
      <c r="AC194">
        <f>IF(AND($A194&lt;&gt;"",$B194&lt;&gt;"",$R194='تقرير مارس'!$C$4,$P194='تقرير مارس'!$C$6),COUNT(AC$4:AC193)+1,"")</f>
        <v/>
      </c>
      <c r="AD194">
        <f>IF(AND($A194&lt;&gt;"",$B194&lt;&gt;"",$R194='تقرير أبريل'!$C$4,$P194='تقرير أبريل'!$C$6),COUNT(AD$4:AD193)+1,"")</f>
        <v/>
      </c>
      <c r="AE194">
        <f>IF(AND($A194&lt;&gt;"",$B194&lt;&gt;"",$R194='تقرير مايو'!$C$4,$P194='تقرير مايو'!$C$6),COUNT(AE$4:AE193)+1,"")</f>
        <v/>
      </c>
    </row>
    <row r="195">
      <c r="A195" s="16" t="n"/>
      <c r="B195" s="17" t="n"/>
      <c r="C195" s="17" t="n"/>
      <c r="D195" s="18" t="n"/>
      <c r="E195" s="17" t="n"/>
      <c r="F195" s="17" t="n"/>
      <c r="G195" s="19" t="n"/>
      <c r="H195" s="17" t="n"/>
      <c r="I195" s="17" t="n"/>
      <c r="J195" s="17" t="n"/>
      <c r="K195" s="20">
        <f>IF($B195="","",IFERROR(INDEX(الموظفات!$A$5:$A$304,MATCH($B195,الموظفات!$B$5:$B$304,0))&amp;"",""))</f>
        <v/>
      </c>
      <c r="L195" s="21">
        <f>IF($B195="","",IFERROR(INDEX(الموظفات!$C$5:$C$304,MATCH($B195,الموظفات!$B$5:$B$304,0))&amp;"",""))</f>
        <v/>
      </c>
      <c r="M195" s="20">
        <f>IF($B195="","",IFERROR(INDEX(الموظفات!$D$5:$D$304,MATCH($B195,الموظفات!$B$5:$B$304,0))&amp;"",""))</f>
        <v/>
      </c>
      <c r="N195" s="20">
        <f>IF($B195="","",IFERROR(INDEX(الموظفات!$E$5:$E$304,MATCH($B195,الموظفات!$B$5:$B$304,0))&amp;"",""))</f>
        <v/>
      </c>
      <c r="O195" s="21">
        <f>IF(C195="","",IFERROR(INDEX(الإعدادات!$D$7:$D$35,MATCH(C195,الإعدادات!$A$7:$A$35,0))&amp;"",""))</f>
        <v/>
      </c>
      <c r="P195" s="20">
        <f>IF(A195="","",INDEX(الإعدادات!$H$7:$H$18,MONTH(A195)))</f>
        <v/>
      </c>
      <c r="Q195" s="20">
        <f>IF(A195="","",INDEX(الإعدادات!$I$7:$I$18,MONTH(A195)))</f>
        <v/>
      </c>
      <c r="R195" s="20">
        <f>IF(A195="","",IF(MONTH(A195)&gt;=8,YEAR(A195)&amp;"-"&amp;(YEAR(A195)+1),(YEAR(A195)-1)&amp;"-"&amp;YEAR(A195)))</f>
        <v/>
      </c>
      <c r="S195" s="20">
        <f>IF(OR(A195="",B195=""),0,IF(AND(R195=التقارير!$C$4,OR(التقارير!$C$5="سنوي",AND(التقارير!$C$5="شهري",P195=التقارير!$C$6),AND(التقارير!$C$5="فصلي",Q195=التقارير!$C$7))),1,0))</f>
        <v/>
      </c>
      <c r="T195" s="20">
        <f>IF(S195=1,COUNTIF($S$5:S195,1),"")</f>
        <v/>
      </c>
      <c r="U195">
        <f>IF(AND($A195&lt;&gt;"",$B195&lt;&gt;"",$R195='تقرير الفصل الأول'!$C$4,$Q195='تقرير الفصل الأول'!$C$7),COUNT(U$4:U194)+1,"")</f>
        <v/>
      </c>
      <c r="V195">
        <f>IF(AND($A195&lt;&gt;"",$B195&lt;&gt;"",$R195='تقرير الفصل الثاني'!$C$4,$Q195='تقرير الفصل الثاني'!$C$7),COUNT(V$4:V194)+1,"")</f>
        <v/>
      </c>
      <c r="W195">
        <f>IF(AND($A195&lt;&gt;"",$B195&lt;&gt;"",$R195='تقرير سبتمبر'!$C$4,$P195='تقرير سبتمبر'!$C$6),COUNT(W$4:W194)+1,"")</f>
        <v/>
      </c>
      <c r="X195">
        <f>IF(AND($A195&lt;&gt;"",$B195&lt;&gt;"",$R195='تقرير أكتوبر'!$C$4,$P195='تقرير أكتوبر'!$C$6),COUNT(X$4:X194)+1,"")</f>
        <v/>
      </c>
      <c r="Y195">
        <f>IF(AND($A195&lt;&gt;"",$B195&lt;&gt;"",$R195='تقرير نوفمبر'!$C$4,$P195='تقرير نوفمبر'!$C$6),COUNT(Y$4:Y194)+1,"")</f>
        <v/>
      </c>
      <c r="Z195">
        <f>IF(AND($A195&lt;&gt;"",$B195&lt;&gt;"",$R195='تقرير ديسمبر'!$C$4,$P195='تقرير ديسمبر'!$C$6),COUNT(Z$4:Z194)+1,"")</f>
        <v/>
      </c>
      <c r="AA195">
        <f>IF(AND($A195&lt;&gt;"",$B195&lt;&gt;"",$R195='تقرير يناير'!$C$4,$P195='تقرير يناير'!$C$6),COUNT(AA$4:AA194)+1,"")</f>
        <v/>
      </c>
      <c r="AB195">
        <f>IF(AND($A195&lt;&gt;"",$B195&lt;&gt;"",$R195='تقرير فبراير'!$C$4,$P195='تقرير فبراير'!$C$6),COUNT(AB$4:AB194)+1,"")</f>
        <v/>
      </c>
      <c r="AC195">
        <f>IF(AND($A195&lt;&gt;"",$B195&lt;&gt;"",$R195='تقرير مارس'!$C$4,$P195='تقرير مارس'!$C$6),COUNT(AC$4:AC194)+1,"")</f>
        <v/>
      </c>
      <c r="AD195">
        <f>IF(AND($A195&lt;&gt;"",$B195&lt;&gt;"",$R195='تقرير أبريل'!$C$4,$P195='تقرير أبريل'!$C$6),COUNT(AD$4:AD194)+1,"")</f>
        <v/>
      </c>
      <c r="AE195">
        <f>IF(AND($A195&lt;&gt;"",$B195&lt;&gt;"",$R195='تقرير مايو'!$C$4,$P195='تقرير مايو'!$C$6),COUNT(AE$4:AE194)+1,"")</f>
        <v/>
      </c>
    </row>
    <row r="196">
      <c r="A196" s="16" t="n"/>
      <c r="B196" s="17" t="n"/>
      <c r="C196" s="17" t="n"/>
      <c r="D196" s="18" t="n"/>
      <c r="E196" s="17" t="n"/>
      <c r="F196" s="17" t="n"/>
      <c r="G196" s="19" t="n"/>
      <c r="H196" s="17" t="n"/>
      <c r="I196" s="17" t="n"/>
      <c r="J196" s="17" t="n"/>
      <c r="K196" s="20">
        <f>IF($B196="","",IFERROR(INDEX(الموظفات!$A$5:$A$304,MATCH($B196,الموظفات!$B$5:$B$304,0))&amp;"",""))</f>
        <v/>
      </c>
      <c r="L196" s="21">
        <f>IF($B196="","",IFERROR(INDEX(الموظفات!$C$5:$C$304,MATCH($B196,الموظفات!$B$5:$B$304,0))&amp;"",""))</f>
        <v/>
      </c>
      <c r="M196" s="20">
        <f>IF($B196="","",IFERROR(INDEX(الموظفات!$D$5:$D$304,MATCH($B196,الموظفات!$B$5:$B$304,0))&amp;"",""))</f>
        <v/>
      </c>
      <c r="N196" s="20">
        <f>IF($B196="","",IFERROR(INDEX(الموظفات!$E$5:$E$304,MATCH($B196,الموظفات!$B$5:$B$304,0))&amp;"",""))</f>
        <v/>
      </c>
      <c r="O196" s="21">
        <f>IF(C196="","",IFERROR(INDEX(الإعدادات!$D$7:$D$35,MATCH(C196,الإعدادات!$A$7:$A$35,0))&amp;"",""))</f>
        <v/>
      </c>
      <c r="P196" s="20">
        <f>IF(A196="","",INDEX(الإعدادات!$H$7:$H$18,MONTH(A196)))</f>
        <v/>
      </c>
      <c r="Q196" s="20">
        <f>IF(A196="","",INDEX(الإعدادات!$I$7:$I$18,MONTH(A196)))</f>
        <v/>
      </c>
      <c r="R196" s="20">
        <f>IF(A196="","",IF(MONTH(A196)&gt;=8,YEAR(A196)&amp;"-"&amp;(YEAR(A196)+1),(YEAR(A196)-1)&amp;"-"&amp;YEAR(A196)))</f>
        <v/>
      </c>
      <c r="S196" s="20">
        <f>IF(OR(A196="",B196=""),0,IF(AND(R196=التقارير!$C$4,OR(التقارير!$C$5="سنوي",AND(التقارير!$C$5="شهري",P196=التقارير!$C$6),AND(التقارير!$C$5="فصلي",Q196=التقارير!$C$7))),1,0))</f>
        <v/>
      </c>
      <c r="T196" s="20">
        <f>IF(S196=1,COUNTIF($S$5:S196,1),"")</f>
        <v/>
      </c>
      <c r="U196">
        <f>IF(AND($A196&lt;&gt;"",$B196&lt;&gt;"",$R196='تقرير الفصل الأول'!$C$4,$Q196='تقرير الفصل الأول'!$C$7),COUNT(U$4:U195)+1,"")</f>
        <v/>
      </c>
      <c r="V196">
        <f>IF(AND($A196&lt;&gt;"",$B196&lt;&gt;"",$R196='تقرير الفصل الثاني'!$C$4,$Q196='تقرير الفصل الثاني'!$C$7),COUNT(V$4:V195)+1,"")</f>
        <v/>
      </c>
      <c r="W196">
        <f>IF(AND($A196&lt;&gt;"",$B196&lt;&gt;"",$R196='تقرير سبتمبر'!$C$4,$P196='تقرير سبتمبر'!$C$6),COUNT(W$4:W195)+1,"")</f>
        <v/>
      </c>
      <c r="X196">
        <f>IF(AND($A196&lt;&gt;"",$B196&lt;&gt;"",$R196='تقرير أكتوبر'!$C$4,$P196='تقرير أكتوبر'!$C$6),COUNT(X$4:X195)+1,"")</f>
        <v/>
      </c>
      <c r="Y196">
        <f>IF(AND($A196&lt;&gt;"",$B196&lt;&gt;"",$R196='تقرير نوفمبر'!$C$4,$P196='تقرير نوفمبر'!$C$6),COUNT(Y$4:Y195)+1,"")</f>
        <v/>
      </c>
      <c r="Z196">
        <f>IF(AND($A196&lt;&gt;"",$B196&lt;&gt;"",$R196='تقرير ديسمبر'!$C$4,$P196='تقرير ديسمبر'!$C$6),COUNT(Z$4:Z195)+1,"")</f>
        <v/>
      </c>
      <c r="AA196">
        <f>IF(AND($A196&lt;&gt;"",$B196&lt;&gt;"",$R196='تقرير يناير'!$C$4,$P196='تقرير يناير'!$C$6),COUNT(AA$4:AA195)+1,"")</f>
        <v/>
      </c>
      <c r="AB196">
        <f>IF(AND($A196&lt;&gt;"",$B196&lt;&gt;"",$R196='تقرير فبراير'!$C$4,$P196='تقرير فبراير'!$C$6),COUNT(AB$4:AB195)+1,"")</f>
        <v/>
      </c>
      <c r="AC196">
        <f>IF(AND($A196&lt;&gt;"",$B196&lt;&gt;"",$R196='تقرير مارس'!$C$4,$P196='تقرير مارس'!$C$6),COUNT(AC$4:AC195)+1,"")</f>
        <v/>
      </c>
      <c r="AD196">
        <f>IF(AND($A196&lt;&gt;"",$B196&lt;&gt;"",$R196='تقرير أبريل'!$C$4,$P196='تقرير أبريل'!$C$6),COUNT(AD$4:AD195)+1,"")</f>
        <v/>
      </c>
      <c r="AE196">
        <f>IF(AND($A196&lt;&gt;"",$B196&lt;&gt;"",$R196='تقرير مايو'!$C$4,$P196='تقرير مايو'!$C$6),COUNT(AE$4:AE195)+1,"")</f>
        <v/>
      </c>
    </row>
    <row r="197">
      <c r="A197" s="16" t="n"/>
      <c r="B197" s="17" t="n"/>
      <c r="C197" s="17" t="n"/>
      <c r="D197" s="18" t="n"/>
      <c r="E197" s="17" t="n"/>
      <c r="F197" s="17" t="n"/>
      <c r="G197" s="19" t="n"/>
      <c r="H197" s="17" t="n"/>
      <c r="I197" s="17" t="n"/>
      <c r="J197" s="17" t="n"/>
      <c r="K197" s="20">
        <f>IF($B197="","",IFERROR(INDEX(الموظفات!$A$5:$A$304,MATCH($B197,الموظفات!$B$5:$B$304,0))&amp;"",""))</f>
        <v/>
      </c>
      <c r="L197" s="21">
        <f>IF($B197="","",IFERROR(INDEX(الموظفات!$C$5:$C$304,MATCH($B197,الموظفات!$B$5:$B$304,0))&amp;"",""))</f>
        <v/>
      </c>
      <c r="M197" s="20">
        <f>IF($B197="","",IFERROR(INDEX(الموظفات!$D$5:$D$304,MATCH($B197,الموظفات!$B$5:$B$304,0))&amp;"",""))</f>
        <v/>
      </c>
      <c r="N197" s="20">
        <f>IF($B197="","",IFERROR(INDEX(الموظفات!$E$5:$E$304,MATCH($B197,الموظفات!$B$5:$B$304,0))&amp;"",""))</f>
        <v/>
      </c>
      <c r="O197" s="21">
        <f>IF(C197="","",IFERROR(INDEX(الإعدادات!$D$7:$D$35,MATCH(C197,الإعدادات!$A$7:$A$35,0))&amp;"",""))</f>
        <v/>
      </c>
      <c r="P197" s="20">
        <f>IF(A197="","",INDEX(الإعدادات!$H$7:$H$18,MONTH(A197)))</f>
        <v/>
      </c>
      <c r="Q197" s="20">
        <f>IF(A197="","",INDEX(الإعدادات!$I$7:$I$18,MONTH(A197)))</f>
        <v/>
      </c>
      <c r="R197" s="20">
        <f>IF(A197="","",IF(MONTH(A197)&gt;=8,YEAR(A197)&amp;"-"&amp;(YEAR(A197)+1),(YEAR(A197)-1)&amp;"-"&amp;YEAR(A197)))</f>
        <v/>
      </c>
      <c r="S197" s="20">
        <f>IF(OR(A197="",B197=""),0,IF(AND(R197=التقارير!$C$4,OR(التقارير!$C$5="سنوي",AND(التقارير!$C$5="شهري",P197=التقارير!$C$6),AND(التقارير!$C$5="فصلي",Q197=التقارير!$C$7))),1,0))</f>
        <v/>
      </c>
      <c r="T197" s="20">
        <f>IF(S197=1,COUNTIF($S$5:S197,1),"")</f>
        <v/>
      </c>
      <c r="U197">
        <f>IF(AND($A197&lt;&gt;"",$B197&lt;&gt;"",$R197='تقرير الفصل الأول'!$C$4,$Q197='تقرير الفصل الأول'!$C$7),COUNT(U$4:U196)+1,"")</f>
        <v/>
      </c>
      <c r="V197">
        <f>IF(AND($A197&lt;&gt;"",$B197&lt;&gt;"",$R197='تقرير الفصل الثاني'!$C$4,$Q197='تقرير الفصل الثاني'!$C$7),COUNT(V$4:V196)+1,"")</f>
        <v/>
      </c>
      <c r="W197">
        <f>IF(AND($A197&lt;&gt;"",$B197&lt;&gt;"",$R197='تقرير سبتمبر'!$C$4,$P197='تقرير سبتمبر'!$C$6),COUNT(W$4:W196)+1,"")</f>
        <v/>
      </c>
      <c r="X197">
        <f>IF(AND($A197&lt;&gt;"",$B197&lt;&gt;"",$R197='تقرير أكتوبر'!$C$4,$P197='تقرير أكتوبر'!$C$6),COUNT(X$4:X196)+1,"")</f>
        <v/>
      </c>
      <c r="Y197">
        <f>IF(AND($A197&lt;&gt;"",$B197&lt;&gt;"",$R197='تقرير نوفمبر'!$C$4,$P197='تقرير نوفمبر'!$C$6),COUNT(Y$4:Y196)+1,"")</f>
        <v/>
      </c>
      <c r="Z197">
        <f>IF(AND($A197&lt;&gt;"",$B197&lt;&gt;"",$R197='تقرير ديسمبر'!$C$4,$P197='تقرير ديسمبر'!$C$6),COUNT(Z$4:Z196)+1,"")</f>
        <v/>
      </c>
      <c r="AA197">
        <f>IF(AND($A197&lt;&gt;"",$B197&lt;&gt;"",$R197='تقرير يناير'!$C$4,$P197='تقرير يناير'!$C$6),COUNT(AA$4:AA196)+1,"")</f>
        <v/>
      </c>
      <c r="AB197">
        <f>IF(AND($A197&lt;&gt;"",$B197&lt;&gt;"",$R197='تقرير فبراير'!$C$4,$P197='تقرير فبراير'!$C$6),COUNT(AB$4:AB196)+1,"")</f>
        <v/>
      </c>
      <c r="AC197">
        <f>IF(AND($A197&lt;&gt;"",$B197&lt;&gt;"",$R197='تقرير مارس'!$C$4,$P197='تقرير مارس'!$C$6),COUNT(AC$4:AC196)+1,"")</f>
        <v/>
      </c>
      <c r="AD197">
        <f>IF(AND($A197&lt;&gt;"",$B197&lt;&gt;"",$R197='تقرير أبريل'!$C$4,$P197='تقرير أبريل'!$C$6),COUNT(AD$4:AD196)+1,"")</f>
        <v/>
      </c>
      <c r="AE197">
        <f>IF(AND($A197&lt;&gt;"",$B197&lt;&gt;"",$R197='تقرير مايو'!$C$4,$P197='تقرير مايو'!$C$6),COUNT(AE$4:AE196)+1,"")</f>
        <v/>
      </c>
    </row>
    <row r="198">
      <c r="A198" s="16" t="n"/>
      <c r="B198" s="17" t="n"/>
      <c r="C198" s="17" t="n"/>
      <c r="D198" s="18" t="n"/>
      <c r="E198" s="17" t="n"/>
      <c r="F198" s="17" t="n"/>
      <c r="G198" s="19" t="n"/>
      <c r="H198" s="17" t="n"/>
      <c r="I198" s="17" t="n"/>
      <c r="J198" s="17" t="n"/>
      <c r="K198" s="20">
        <f>IF($B198="","",IFERROR(INDEX(الموظفات!$A$5:$A$304,MATCH($B198,الموظفات!$B$5:$B$304,0))&amp;"",""))</f>
        <v/>
      </c>
      <c r="L198" s="21">
        <f>IF($B198="","",IFERROR(INDEX(الموظفات!$C$5:$C$304,MATCH($B198,الموظفات!$B$5:$B$304,0))&amp;"",""))</f>
        <v/>
      </c>
      <c r="M198" s="20">
        <f>IF($B198="","",IFERROR(INDEX(الموظفات!$D$5:$D$304,MATCH($B198,الموظفات!$B$5:$B$304,0))&amp;"",""))</f>
        <v/>
      </c>
      <c r="N198" s="20">
        <f>IF($B198="","",IFERROR(INDEX(الموظفات!$E$5:$E$304,MATCH($B198,الموظفات!$B$5:$B$304,0))&amp;"",""))</f>
        <v/>
      </c>
      <c r="O198" s="21">
        <f>IF(C198="","",IFERROR(INDEX(الإعدادات!$D$7:$D$35,MATCH(C198,الإعدادات!$A$7:$A$35,0))&amp;"",""))</f>
        <v/>
      </c>
      <c r="P198" s="20">
        <f>IF(A198="","",INDEX(الإعدادات!$H$7:$H$18,MONTH(A198)))</f>
        <v/>
      </c>
      <c r="Q198" s="20">
        <f>IF(A198="","",INDEX(الإعدادات!$I$7:$I$18,MONTH(A198)))</f>
        <v/>
      </c>
      <c r="R198" s="20">
        <f>IF(A198="","",IF(MONTH(A198)&gt;=8,YEAR(A198)&amp;"-"&amp;(YEAR(A198)+1),(YEAR(A198)-1)&amp;"-"&amp;YEAR(A198)))</f>
        <v/>
      </c>
      <c r="S198" s="20">
        <f>IF(OR(A198="",B198=""),0,IF(AND(R198=التقارير!$C$4,OR(التقارير!$C$5="سنوي",AND(التقارير!$C$5="شهري",P198=التقارير!$C$6),AND(التقارير!$C$5="فصلي",Q198=التقارير!$C$7))),1,0))</f>
        <v/>
      </c>
      <c r="T198" s="20">
        <f>IF(S198=1,COUNTIF($S$5:S198,1),"")</f>
        <v/>
      </c>
      <c r="U198">
        <f>IF(AND($A198&lt;&gt;"",$B198&lt;&gt;"",$R198='تقرير الفصل الأول'!$C$4,$Q198='تقرير الفصل الأول'!$C$7),COUNT(U$4:U197)+1,"")</f>
        <v/>
      </c>
      <c r="V198">
        <f>IF(AND($A198&lt;&gt;"",$B198&lt;&gt;"",$R198='تقرير الفصل الثاني'!$C$4,$Q198='تقرير الفصل الثاني'!$C$7),COUNT(V$4:V197)+1,"")</f>
        <v/>
      </c>
      <c r="W198">
        <f>IF(AND($A198&lt;&gt;"",$B198&lt;&gt;"",$R198='تقرير سبتمبر'!$C$4,$P198='تقرير سبتمبر'!$C$6),COUNT(W$4:W197)+1,"")</f>
        <v/>
      </c>
      <c r="X198">
        <f>IF(AND($A198&lt;&gt;"",$B198&lt;&gt;"",$R198='تقرير أكتوبر'!$C$4,$P198='تقرير أكتوبر'!$C$6),COUNT(X$4:X197)+1,"")</f>
        <v/>
      </c>
      <c r="Y198">
        <f>IF(AND($A198&lt;&gt;"",$B198&lt;&gt;"",$R198='تقرير نوفمبر'!$C$4,$P198='تقرير نوفمبر'!$C$6),COUNT(Y$4:Y197)+1,"")</f>
        <v/>
      </c>
      <c r="Z198">
        <f>IF(AND($A198&lt;&gt;"",$B198&lt;&gt;"",$R198='تقرير ديسمبر'!$C$4,$P198='تقرير ديسمبر'!$C$6),COUNT(Z$4:Z197)+1,"")</f>
        <v/>
      </c>
      <c r="AA198">
        <f>IF(AND($A198&lt;&gt;"",$B198&lt;&gt;"",$R198='تقرير يناير'!$C$4,$P198='تقرير يناير'!$C$6),COUNT(AA$4:AA197)+1,"")</f>
        <v/>
      </c>
      <c r="AB198">
        <f>IF(AND($A198&lt;&gt;"",$B198&lt;&gt;"",$R198='تقرير فبراير'!$C$4,$P198='تقرير فبراير'!$C$6),COUNT(AB$4:AB197)+1,"")</f>
        <v/>
      </c>
      <c r="AC198">
        <f>IF(AND($A198&lt;&gt;"",$B198&lt;&gt;"",$R198='تقرير مارس'!$C$4,$P198='تقرير مارس'!$C$6),COUNT(AC$4:AC197)+1,"")</f>
        <v/>
      </c>
      <c r="AD198">
        <f>IF(AND($A198&lt;&gt;"",$B198&lt;&gt;"",$R198='تقرير أبريل'!$C$4,$P198='تقرير أبريل'!$C$6),COUNT(AD$4:AD197)+1,"")</f>
        <v/>
      </c>
      <c r="AE198">
        <f>IF(AND($A198&lt;&gt;"",$B198&lt;&gt;"",$R198='تقرير مايو'!$C$4,$P198='تقرير مايو'!$C$6),COUNT(AE$4:AE197)+1,"")</f>
        <v/>
      </c>
    </row>
    <row r="199">
      <c r="A199" s="16" t="n"/>
      <c r="B199" s="17" t="n"/>
      <c r="C199" s="17" t="n"/>
      <c r="D199" s="18" t="n"/>
      <c r="E199" s="17" t="n"/>
      <c r="F199" s="17" t="n"/>
      <c r="G199" s="19" t="n"/>
      <c r="H199" s="17" t="n"/>
      <c r="I199" s="17" t="n"/>
      <c r="J199" s="17" t="n"/>
      <c r="K199" s="20">
        <f>IF($B199="","",IFERROR(INDEX(الموظفات!$A$5:$A$304,MATCH($B199,الموظفات!$B$5:$B$304,0))&amp;"",""))</f>
        <v/>
      </c>
      <c r="L199" s="21">
        <f>IF($B199="","",IFERROR(INDEX(الموظفات!$C$5:$C$304,MATCH($B199,الموظفات!$B$5:$B$304,0))&amp;"",""))</f>
        <v/>
      </c>
      <c r="M199" s="20">
        <f>IF($B199="","",IFERROR(INDEX(الموظفات!$D$5:$D$304,MATCH($B199,الموظفات!$B$5:$B$304,0))&amp;"",""))</f>
        <v/>
      </c>
      <c r="N199" s="20">
        <f>IF($B199="","",IFERROR(INDEX(الموظفات!$E$5:$E$304,MATCH($B199,الموظفات!$B$5:$B$304,0))&amp;"",""))</f>
        <v/>
      </c>
      <c r="O199" s="21">
        <f>IF(C199="","",IFERROR(INDEX(الإعدادات!$D$7:$D$35,MATCH(C199,الإعدادات!$A$7:$A$35,0))&amp;"",""))</f>
        <v/>
      </c>
      <c r="P199" s="20">
        <f>IF(A199="","",INDEX(الإعدادات!$H$7:$H$18,MONTH(A199)))</f>
        <v/>
      </c>
      <c r="Q199" s="20">
        <f>IF(A199="","",INDEX(الإعدادات!$I$7:$I$18,MONTH(A199)))</f>
        <v/>
      </c>
      <c r="R199" s="20">
        <f>IF(A199="","",IF(MONTH(A199)&gt;=8,YEAR(A199)&amp;"-"&amp;(YEAR(A199)+1),(YEAR(A199)-1)&amp;"-"&amp;YEAR(A199)))</f>
        <v/>
      </c>
      <c r="S199" s="20">
        <f>IF(OR(A199="",B199=""),0,IF(AND(R199=التقارير!$C$4,OR(التقارير!$C$5="سنوي",AND(التقارير!$C$5="شهري",P199=التقارير!$C$6),AND(التقارير!$C$5="فصلي",Q199=التقارير!$C$7))),1,0))</f>
        <v/>
      </c>
      <c r="T199" s="20">
        <f>IF(S199=1,COUNTIF($S$5:S199,1),"")</f>
        <v/>
      </c>
      <c r="U199">
        <f>IF(AND($A199&lt;&gt;"",$B199&lt;&gt;"",$R199='تقرير الفصل الأول'!$C$4,$Q199='تقرير الفصل الأول'!$C$7),COUNT(U$4:U198)+1,"")</f>
        <v/>
      </c>
      <c r="V199">
        <f>IF(AND($A199&lt;&gt;"",$B199&lt;&gt;"",$R199='تقرير الفصل الثاني'!$C$4,$Q199='تقرير الفصل الثاني'!$C$7),COUNT(V$4:V198)+1,"")</f>
        <v/>
      </c>
      <c r="W199">
        <f>IF(AND($A199&lt;&gt;"",$B199&lt;&gt;"",$R199='تقرير سبتمبر'!$C$4,$P199='تقرير سبتمبر'!$C$6),COUNT(W$4:W198)+1,"")</f>
        <v/>
      </c>
      <c r="X199">
        <f>IF(AND($A199&lt;&gt;"",$B199&lt;&gt;"",$R199='تقرير أكتوبر'!$C$4,$P199='تقرير أكتوبر'!$C$6),COUNT(X$4:X198)+1,"")</f>
        <v/>
      </c>
      <c r="Y199">
        <f>IF(AND($A199&lt;&gt;"",$B199&lt;&gt;"",$R199='تقرير نوفمبر'!$C$4,$P199='تقرير نوفمبر'!$C$6),COUNT(Y$4:Y198)+1,"")</f>
        <v/>
      </c>
      <c r="Z199">
        <f>IF(AND($A199&lt;&gt;"",$B199&lt;&gt;"",$R199='تقرير ديسمبر'!$C$4,$P199='تقرير ديسمبر'!$C$6),COUNT(Z$4:Z198)+1,"")</f>
        <v/>
      </c>
      <c r="AA199">
        <f>IF(AND($A199&lt;&gt;"",$B199&lt;&gt;"",$R199='تقرير يناير'!$C$4,$P199='تقرير يناير'!$C$6),COUNT(AA$4:AA198)+1,"")</f>
        <v/>
      </c>
      <c r="AB199">
        <f>IF(AND($A199&lt;&gt;"",$B199&lt;&gt;"",$R199='تقرير فبراير'!$C$4,$P199='تقرير فبراير'!$C$6),COUNT(AB$4:AB198)+1,"")</f>
        <v/>
      </c>
      <c r="AC199">
        <f>IF(AND($A199&lt;&gt;"",$B199&lt;&gt;"",$R199='تقرير مارس'!$C$4,$P199='تقرير مارس'!$C$6),COUNT(AC$4:AC198)+1,"")</f>
        <v/>
      </c>
      <c r="AD199">
        <f>IF(AND($A199&lt;&gt;"",$B199&lt;&gt;"",$R199='تقرير أبريل'!$C$4,$P199='تقرير أبريل'!$C$6),COUNT(AD$4:AD198)+1,"")</f>
        <v/>
      </c>
      <c r="AE199">
        <f>IF(AND($A199&lt;&gt;"",$B199&lt;&gt;"",$R199='تقرير مايو'!$C$4,$P199='تقرير مايو'!$C$6),COUNT(AE$4:AE198)+1,"")</f>
        <v/>
      </c>
    </row>
    <row r="200">
      <c r="A200" s="16" t="n"/>
      <c r="B200" s="17" t="n"/>
      <c r="C200" s="17" t="n"/>
      <c r="D200" s="18" t="n"/>
      <c r="E200" s="17" t="n"/>
      <c r="F200" s="17" t="n"/>
      <c r="G200" s="19" t="n"/>
      <c r="H200" s="17" t="n"/>
      <c r="I200" s="17" t="n"/>
      <c r="J200" s="17" t="n"/>
      <c r="K200" s="20">
        <f>IF($B200="","",IFERROR(INDEX(الموظفات!$A$5:$A$304,MATCH($B200,الموظفات!$B$5:$B$304,0))&amp;"",""))</f>
        <v/>
      </c>
      <c r="L200" s="21">
        <f>IF($B200="","",IFERROR(INDEX(الموظفات!$C$5:$C$304,MATCH($B200,الموظفات!$B$5:$B$304,0))&amp;"",""))</f>
        <v/>
      </c>
      <c r="M200" s="20">
        <f>IF($B200="","",IFERROR(INDEX(الموظفات!$D$5:$D$304,MATCH($B200,الموظفات!$B$5:$B$304,0))&amp;"",""))</f>
        <v/>
      </c>
      <c r="N200" s="20">
        <f>IF($B200="","",IFERROR(INDEX(الموظفات!$E$5:$E$304,MATCH($B200,الموظفات!$B$5:$B$304,0))&amp;"",""))</f>
        <v/>
      </c>
      <c r="O200" s="21">
        <f>IF(C200="","",IFERROR(INDEX(الإعدادات!$D$7:$D$35,MATCH(C200,الإعدادات!$A$7:$A$35,0))&amp;"",""))</f>
        <v/>
      </c>
      <c r="P200" s="20">
        <f>IF(A200="","",INDEX(الإعدادات!$H$7:$H$18,MONTH(A200)))</f>
        <v/>
      </c>
      <c r="Q200" s="20">
        <f>IF(A200="","",INDEX(الإعدادات!$I$7:$I$18,MONTH(A200)))</f>
        <v/>
      </c>
      <c r="R200" s="20">
        <f>IF(A200="","",IF(MONTH(A200)&gt;=8,YEAR(A200)&amp;"-"&amp;(YEAR(A200)+1),(YEAR(A200)-1)&amp;"-"&amp;YEAR(A200)))</f>
        <v/>
      </c>
      <c r="S200" s="20">
        <f>IF(OR(A200="",B200=""),0,IF(AND(R200=التقارير!$C$4,OR(التقارير!$C$5="سنوي",AND(التقارير!$C$5="شهري",P200=التقارير!$C$6),AND(التقارير!$C$5="فصلي",Q200=التقارير!$C$7))),1,0))</f>
        <v/>
      </c>
      <c r="T200" s="20">
        <f>IF(S200=1,COUNTIF($S$5:S200,1),"")</f>
        <v/>
      </c>
      <c r="U200">
        <f>IF(AND($A200&lt;&gt;"",$B200&lt;&gt;"",$R200='تقرير الفصل الأول'!$C$4,$Q200='تقرير الفصل الأول'!$C$7),COUNT(U$4:U199)+1,"")</f>
        <v/>
      </c>
      <c r="V200">
        <f>IF(AND($A200&lt;&gt;"",$B200&lt;&gt;"",$R200='تقرير الفصل الثاني'!$C$4,$Q200='تقرير الفصل الثاني'!$C$7),COUNT(V$4:V199)+1,"")</f>
        <v/>
      </c>
      <c r="W200">
        <f>IF(AND($A200&lt;&gt;"",$B200&lt;&gt;"",$R200='تقرير سبتمبر'!$C$4,$P200='تقرير سبتمبر'!$C$6),COUNT(W$4:W199)+1,"")</f>
        <v/>
      </c>
      <c r="X200">
        <f>IF(AND($A200&lt;&gt;"",$B200&lt;&gt;"",$R200='تقرير أكتوبر'!$C$4,$P200='تقرير أكتوبر'!$C$6),COUNT(X$4:X199)+1,"")</f>
        <v/>
      </c>
      <c r="Y200">
        <f>IF(AND($A200&lt;&gt;"",$B200&lt;&gt;"",$R200='تقرير نوفمبر'!$C$4,$P200='تقرير نوفمبر'!$C$6),COUNT(Y$4:Y199)+1,"")</f>
        <v/>
      </c>
      <c r="Z200">
        <f>IF(AND($A200&lt;&gt;"",$B200&lt;&gt;"",$R200='تقرير ديسمبر'!$C$4,$P200='تقرير ديسمبر'!$C$6),COUNT(Z$4:Z199)+1,"")</f>
        <v/>
      </c>
      <c r="AA200">
        <f>IF(AND($A200&lt;&gt;"",$B200&lt;&gt;"",$R200='تقرير يناير'!$C$4,$P200='تقرير يناير'!$C$6),COUNT(AA$4:AA199)+1,"")</f>
        <v/>
      </c>
      <c r="AB200">
        <f>IF(AND($A200&lt;&gt;"",$B200&lt;&gt;"",$R200='تقرير فبراير'!$C$4,$P200='تقرير فبراير'!$C$6),COUNT(AB$4:AB199)+1,"")</f>
        <v/>
      </c>
      <c r="AC200">
        <f>IF(AND($A200&lt;&gt;"",$B200&lt;&gt;"",$R200='تقرير مارس'!$C$4,$P200='تقرير مارس'!$C$6),COUNT(AC$4:AC199)+1,"")</f>
        <v/>
      </c>
      <c r="AD200">
        <f>IF(AND($A200&lt;&gt;"",$B200&lt;&gt;"",$R200='تقرير أبريل'!$C$4,$P200='تقرير أبريل'!$C$6),COUNT(AD$4:AD199)+1,"")</f>
        <v/>
      </c>
      <c r="AE200">
        <f>IF(AND($A200&lt;&gt;"",$B200&lt;&gt;"",$R200='تقرير مايو'!$C$4,$P200='تقرير مايو'!$C$6),COUNT(AE$4:AE199)+1,"")</f>
        <v/>
      </c>
    </row>
    <row r="201">
      <c r="A201" s="16" t="n"/>
      <c r="B201" s="17" t="n"/>
      <c r="C201" s="17" t="n"/>
      <c r="D201" s="18" t="n"/>
      <c r="E201" s="17" t="n"/>
      <c r="F201" s="17" t="n"/>
      <c r="G201" s="19" t="n"/>
      <c r="H201" s="17" t="n"/>
      <c r="I201" s="17" t="n"/>
      <c r="J201" s="17" t="n"/>
      <c r="K201" s="20">
        <f>IF($B201="","",IFERROR(INDEX(الموظفات!$A$5:$A$304,MATCH($B201,الموظفات!$B$5:$B$304,0))&amp;"",""))</f>
        <v/>
      </c>
      <c r="L201" s="21">
        <f>IF($B201="","",IFERROR(INDEX(الموظفات!$C$5:$C$304,MATCH($B201,الموظفات!$B$5:$B$304,0))&amp;"",""))</f>
        <v/>
      </c>
      <c r="M201" s="20">
        <f>IF($B201="","",IFERROR(INDEX(الموظفات!$D$5:$D$304,MATCH($B201,الموظفات!$B$5:$B$304,0))&amp;"",""))</f>
        <v/>
      </c>
      <c r="N201" s="20">
        <f>IF($B201="","",IFERROR(INDEX(الموظفات!$E$5:$E$304,MATCH($B201,الموظفات!$B$5:$B$304,0))&amp;"",""))</f>
        <v/>
      </c>
      <c r="O201" s="21">
        <f>IF(C201="","",IFERROR(INDEX(الإعدادات!$D$7:$D$35,MATCH(C201,الإعدادات!$A$7:$A$35,0))&amp;"",""))</f>
        <v/>
      </c>
      <c r="P201" s="20">
        <f>IF(A201="","",INDEX(الإعدادات!$H$7:$H$18,MONTH(A201)))</f>
        <v/>
      </c>
      <c r="Q201" s="20">
        <f>IF(A201="","",INDEX(الإعدادات!$I$7:$I$18,MONTH(A201)))</f>
        <v/>
      </c>
      <c r="R201" s="20">
        <f>IF(A201="","",IF(MONTH(A201)&gt;=8,YEAR(A201)&amp;"-"&amp;(YEAR(A201)+1),(YEAR(A201)-1)&amp;"-"&amp;YEAR(A201)))</f>
        <v/>
      </c>
      <c r="S201" s="20">
        <f>IF(OR(A201="",B201=""),0,IF(AND(R201=التقارير!$C$4,OR(التقارير!$C$5="سنوي",AND(التقارير!$C$5="شهري",P201=التقارير!$C$6),AND(التقارير!$C$5="فصلي",Q201=التقارير!$C$7))),1,0))</f>
        <v/>
      </c>
      <c r="T201" s="20">
        <f>IF(S201=1,COUNTIF($S$5:S201,1),"")</f>
        <v/>
      </c>
      <c r="U201">
        <f>IF(AND($A201&lt;&gt;"",$B201&lt;&gt;"",$R201='تقرير الفصل الأول'!$C$4,$Q201='تقرير الفصل الأول'!$C$7),COUNT(U$4:U200)+1,"")</f>
        <v/>
      </c>
      <c r="V201">
        <f>IF(AND($A201&lt;&gt;"",$B201&lt;&gt;"",$R201='تقرير الفصل الثاني'!$C$4,$Q201='تقرير الفصل الثاني'!$C$7),COUNT(V$4:V200)+1,"")</f>
        <v/>
      </c>
      <c r="W201">
        <f>IF(AND($A201&lt;&gt;"",$B201&lt;&gt;"",$R201='تقرير سبتمبر'!$C$4,$P201='تقرير سبتمبر'!$C$6),COUNT(W$4:W200)+1,"")</f>
        <v/>
      </c>
      <c r="X201">
        <f>IF(AND($A201&lt;&gt;"",$B201&lt;&gt;"",$R201='تقرير أكتوبر'!$C$4,$P201='تقرير أكتوبر'!$C$6),COUNT(X$4:X200)+1,"")</f>
        <v/>
      </c>
      <c r="Y201">
        <f>IF(AND($A201&lt;&gt;"",$B201&lt;&gt;"",$R201='تقرير نوفمبر'!$C$4,$P201='تقرير نوفمبر'!$C$6),COUNT(Y$4:Y200)+1,"")</f>
        <v/>
      </c>
      <c r="Z201">
        <f>IF(AND($A201&lt;&gt;"",$B201&lt;&gt;"",$R201='تقرير ديسمبر'!$C$4,$P201='تقرير ديسمبر'!$C$6),COUNT(Z$4:Z200)+1,"")</f>
        <v/>
      </c>
      <c r="AA201">
        <f>IF(AND($A201&lt;&gt;"",$B201&lt;&gt;"",$R201='تقرير يناير'!$C$4,$P201='تقرير يناير'!$C$6),COUNT(AA$4:AA200)+1,"")</f>
        <v/>
      </c>
      <c r="AB201">
        <f>IF(AND($A201&lt;&gt;"",$B201&lt;&gt;"",$R201='تقرير فبراير'!$C$4,$P201='تقرير فبراير'!$C$6),COUNT(AB$4:AB200)+1,"")</f>
        <v/>
      </c>
      <c r="AC201">
        <f>IF(AND($A201&lt;&gt;"",$B201&lt;&gt;"",$R201='تقرير مارس'!$C$4,$P201='تقرير مارس'!$C$6),COUNT(AC$4:AC200)+1,"")</f>
        <v/>
      </c>
      <c r="AD201">
        <f>IF(AND($A201&lt;&gt;"",$B201&lt;&gt;"",$R201='تقرير أبريل'!$C$4,$P201='تقرير أبريل'!$C$6),COUNT(AD$4:AD200)+1,"")</f>
        <v/>
      </c>
      <c r="AE201">
        <f>IF(AND($A201&lt;&gt;"",$B201&lt;&gt;"",$R201='تقرير مايو'!$C$4,$P201='تقرير مايو'!$C$6),COUNT(AE$4:AE200)+1,"")</f>
        <v/>
      </c>
    </row>
    <row r="202">
      <c r="A202" s="16" t="n"/>
      <c r="B202" s="17" t="n"/>
      <c r="C202" s="17" t="n"/>
      <c r="D202" s="18" t="n"/>
      <c r="E202" s="17" t="n"/>
      <c r="F202" s="17" t="n"/>
      <c r="G202" s="19" t="n"/>
      <c r="H202" s="17" t="n"/>
      <c r="I202" s="17" t="n"/>
      <c r="J202" s="17" t="n"/>
      <c r="K202" s="20">
        <f>IF($B202="","",IFERROR(INDEX(الموظفات!$A$5:$A$304,MATCH($B202,الموظفات!$B$5:$B$304,0))&amp;"",""))</f>
        <v/>
      </c>
      <c r="L202" s="21">
        <f>IF($B202="","",IFERROR(INDEX(الموظفات!$C$5:$C$304,MATCH($B202,الموظفات!$B$5:$B$304,0))&amp;"",""))</f>
        <v/>
      </c>
      <c r="M202" s="20">
        <f>IF($B202="","",IFERROR(INDEX(الموظفات!$D$5:$D$304,MATCH($B202,الموظفات!$B$5:$B$304,0))&amp;"",""))</f>
        <v/>
      </c>
      <c r="N202" s="20">
        <f>IF($B202="","",IFERROR(INDEX(الموظفات!$E$5:$E$304,MATCH($B202,الموظفات!$B$5:$B$304,0))&amp;"",""))</f>
        <v/>
      </c>
      <c r="O202" s="21">
        <f>IF(C202="","",IFERROR(INDEX(الإعدادات!$D$7:$D$35,MATCH(C202,الإعدادات!$A$7:$A$35,0))&amp;"",""))</f>
        <v/>
      </c>
      <c r="P202" s="20">
        <f>IF(A202="","",INDEX(الإعدادات!$H$7:$H$18,MONTH(A202)))</f>
        <v/>
      </c>
      <c r="Q202" s="20">
        <f>IF(A202="","",INDEX(الإعدادات!$I$7:$I$18,MONTH(A202)))</f>
        <v/>
      </c>
      <c r="R202" s="20">
        <f>IF(A202="","",IF(MONTH(A202)&gt;=8,YEAR(A202)&amp;"-"&amp;(YEAR(A202)+1),(YEAR(A202)-1)&amp;"-"&amp;YEAR(A202)))</f>
        <v/>
      </c>
      <c r="S202" s="20">
        <f>IF(OR(A202="",B202=""),0,IF(AND(R202=التقارير!$C$4,OR(التقارير!$C$5="سنوي",AND(التقارير!$C$5="شهري",P202=التقارير!$C$6),AND(التقارير!$C$5="فصلي",Q202=التقارير!$C$7))),1,0))</f>
        <v/>
      </c>
      <c r="T202" s="20">
        <f>IF(S202=1,COUNTIF($S$5:S202,1),"")</f>
        <v/>
      </c>
      <c r="U202">
        <f>IF(AND($A202&lt;&gt;"",$B202&lt;&gt;"",$R202='تقرير الفصل الأول'!$C$4,$Q202='تقرير الفصل الأول'!$C$7),COUNT(U$4:U201)+1,"")</f>
        <v/>
      </c>
      <c r="V202">
        <f>IF(AND($A202&lt;&gt;"",$B202&lt;&gt;"",$R202='تقرير الفصل الثاني'!$C$4,$Q202='تقرير الفصل الثاني'!$C$7),COUNT(V$4:V201)+1,"")</f>
        <v/>
      </c>
      <c r="W202">
        <f>IF(AND($A202&lt;&gt;"",$B202&lt;&gt;"",$R202='تقرير سبتمبر'!$C$4,$P202='تقرير سبتمبر'!$C$6),COUNT(W$4:W201)+1,"")</f>
        <v/>
      </c>
      <c r="X202">
        <f>IF(AND($A202&lt;&gt;"",$B202&lt;&gt;"",$R202='تقرير أكتوبر'!$C$4,$P202='تقرير أكتوبر'!$C$6),COUNT(X$4:X201)+1,"")</f>
        <v/>
      </c>
      <c r="Y202">
        <f>IF(AND($A202&lt;&gt;"",$B202&lt;&gt;"",$R202='تقرير نوفمبر'!$C$4,$P202='تقرير نوفمبر'!$C$6),COUNT(Y$4:Y201)+1,"")</f>
        <v/>
      </c>
      <c r="Z202">
        <f>IF(AND($A202&lt;&gt;"",$B202&lt;&gt;"",$R202='تقرير ديسمبر'!$C$4,$P202='تقرير ديسمبر'!$C$6),COUNT(Z$4:Z201)+1,"")</f>
        <v/>
      </c>
      <c r="AA202">
        <f>IF(AND($A202&lt;&gt;"",$B202&lt;&gt;"",$R202='تقرير يناير'!$C$4,$P202='تقرير يناير'!$C$6),COUNT(AA$4:AA201)+1,"")</f>
        <v/>
      </c>
      <c r="AB202">
        <f>IF(AND($A202&lt;&gt;"",$B202&lt;&gt;"",$R202='تقرير فبراير'!$C$4,$P202='تقرير فبراير'!$C$6),COUNT(AB$4:AB201)+1,"")</f>
        <v/>
      </c>
      <c r="AC202">
        <f>IF(AND($A202&lt;&gt;"",$B202&lt;&gt;"",$R202='تقرير مارس'!$C$4,$P202='تقرير مارس'!$C$6),COUNT(AC$4:AC201)+1,"")</f>
        <v/>
      </c>
      <c r="AD202">
        <f>IF(AND($A202&lt;&gt;"",$B202&lt;&gt;"",$R202='تقرير أبريل'!$C$4,$P202='تقرير أبريل'!$C$6),COUNT(AD$4:AD201)+1,"")</f>
        <v/>
      </c>
      <c r="AE202">
        <f>IF(AND($A202&lt;&gt;"",$B202&lt;&gt;"",$R202='تقرير مايو'!$C$4,$P202='تقرير مايو'!$C$6),COUNT(AE$4:AE201)+1,"")</f>
        <v/>
      </c>
    </row>
    <row r="203">
      <c r="A203" s="16" t="n"/>
      <c r="B203" s="17" t="n"/>
      <c r="C203" s="17" t="n"/>
      <c r="D203" s="18" t="n"/>
      <c r="E203" s="17" t="n"/>
      <c r="F203" s="17" t="n"/>
      <c r="G203" s="19" t="n"/>
      <c r="H203" s="17" t="n"/>
      <c r="I203" s="17" t="n"/>
      <c r="J203" s="17" t="n"/>
      <c r="K203" s="20">
        <f>IF($B203="","",IFERROR(INDEX(الموظفات!$A$5:$A$304,MATCH($B203,الموظفات!$B$5:$B$304,0))&amp;"",""))</f>
        <v/>
      </c>
      <c r="L203" s="21">
        <f>IF($B203="","",IFERROR(INDEX(الموظفات!$C$5:$C$304,MATCH($B203,الموظفات!$B$5:$B$304,0))&amp;"",""))</f>
        <v/>
      </c>
      <c r="M203" s="20">
        <f>IF($B203="","",IFERROR(INDEX(الموظفات!$D$5:$D$304,MATCH($B203,الموظفات!$B$5:$B$304,0))&amp;"",""))</f>
        <v/>
      </c>
      <c r="N203" s="20">
        <f>IF($B203="","",IFERROR(INDEX(الموظفات!$E$5:$E$304,MATCH($B203,الموظفات!$B$5:$B$304,0))&amp;"",""))</f>
        <v/>
      </c>
      <c r="O203" s="21">
        <f>IF(C203="","",IFERROR(INDEX(الإعدادات!$D$7:$D$35,MATCH(C203,الإعدادات!$A$7:$A$35,0))&amp;"",""))</f>
        <v/>
      </c>
      <c r="P203" s="20">
        <f>IF(A203="","",INDEX(الإعدادات!$H$7:$H$18,MONTH(A203)))</f>
        <v/>
      </c>
      <c r="Q203" s="20">
        <f>IF(A203="","",INDEX(الإعدادات!$I$7:$I$18,MONTH(A203)))</f>
        <v/>
      </c>
      <c r="R203" s="20">
        <f>IF(A203="","",IF(MONTH(A203)&gt;=8,YEAR(A203)&amp;"-"&amp;(YEAR(A203)+1),(YEAR(A203)-1)&amp;"-"&amp;YEAR(A203)))</f>
        <v/>
      </c>
      <c r="S203" s="20">
        <f>IF(OR(A203="",B203=""),0,IF(AND(R203=التقارير!$C$4,OR(التقارير!$C$5="سنوي",AND(التقارير!$C$5="شهري",P203=التقارير!$C$6),AND(التقارير!$C$5="فصلي",Q203=التقارير!$C$7))),1,0))</f>
        <v/>
      </c>
      <c r="T203" s="20">
        <f>IF(S203=1,COUNTIF($S$5:S203,1),"")</f>
        <v/>
      </c>
      <c r="U203">
        <f>IF(AND($A203&lt;&gt;"",$B203&lt;&gt;"",$R203='تقرير الفصل الأول'!$C$4,$Q203='تقرير الفصل الأول'!$C$7),COUNT(U$4:U202)+1,"")</f>
        <v/>
      </c>
      <c r="V203">
        <f>IF(AND($A203&lt;&gt;"",$B203&lt;&gt;"",$R203='تقرير الفصل الثاني'!$C$4,$Q203='تقرير الفصل الثاني'!$C$7),COUNT(V$4:V202)+1,"")</f>
        <v/>
      </c>
      <c r="W203">
        <f>IF(AND($A203&lt;&gt;"",$B203&lt;&gt;"",$R203='تقرير سبتمبر'!$C$4,$P203='تقرير سبتمبر'!$C$6),COUNT(W$4:W202)+1,"")</f>
        <v/>
      </c>
      <c r="X203">
        <f>IF(AND($A203&lt;&gt;"",$B203&lt;&gt;"",$R203='تقرير أكتوبر'!$C$4,$P203='تقرير أكتوبر'!$C$6),COUNT(X$4:X202)+1,"")</f>
        <v/>
      </c>
      <c r="Y203">
        <f>IF(AND($A203&lt;&gt;"",$B203&lt;&gt;"",$R203='تقرير نوفمبر'!$C$4,$P203='تقرير نوفمبر'!$C$6),COUNT(Y$4:Y202)+1,"")</f>
        <v/>
      </c>
      <c r="Z203">
        <f>IF(AND($A203&lt;&gt;"",$B203&lt;&gt;"",$R203='تقرير ديسمبر'!$C$4,$P203='تقرير ديسمبر'!$C$6),COUNT(Z$4:Z202)+1,"")</f>
        <v/>
      </c>
      <c r="AA203">
        <f>IF(AND($A203&lt;&gt;"",$B203&lt;&gt;"",$R203='تقرير يناير'!$C$4,$P203='تقرير يناير'!$C$6),COUNT(AA$4:AA202)+1,"")</f>
        <v/>
      </c>
      <c r="AB203">
        <f>IF(AND($A203&lt;&gt;"",$B203&lt;&gt;"",$R203='تقرير فبراير'!$C$4,$P203='تقرير فبراير'!$C$6),COUNT(AB$4:AB202)+1,"")</f>
        <v/>
      </c>
      <c r="AC203">
        <f>IF(AND($A203&lt;&gt;"",$B203&lt;&gt;"",$R203='تقرير مارس'!$C$4,$P203='تقرير مارس'!$C$6),COUNT(AC$4:AC202)+1,"")</f>
        <v/>
      </c>
      <c r="AD203">
        <f>IF(AND($A203&lt;&gt;"",$B203&lt;&gt;"",$R203='تقرير أبريل'!$C$4,$P203='تقرير أبريل'!$C$6),COUNT(AD$4:AD202)+1,"")</f>
        <v/>
      </c>
      <c r="AE203">
        <f>IF(AND($A203&lt;&gt;"",$B203&lt;&gt;"",$R203='تقرير مايو'!$C$4,$P203='تقرير مايو'!$C$6),COUNT(AE$4:AE202)+1,"")</f>
        <v/>
      </c>
    </row>
    <row r="204">
      <c r="A204" s="16" t="n"/>
      <c r="B204" s="17" t="n"/>
      <c r="C204" s="17" t="n"/>
      <c r="D204" s="18" t="n"/>
      <c r="E204" s="17" t="n"/>
      <c r="F204" s="17" t="n"/>
      <c r="G204" s="19" t="n"/>
      <c r="H204" s="17" t="n"/>
      <c r="I204" s="17" t="n"/>
      <c r="J204" s="17" t="n"/>
      <c r="K204" s="20">
        <f>IF($B204="","",IFERROR(INDEX(الموظفات!$A$5:$A$304,MATCH($B204,الموظفات!$B$5:$B$304,0))&amp;"",""))</f>
        <v/>
      </c>
      <c r="L204" s="21">
        <f>IF($B204="","",IFERROR(INDEX(الموظفات!$C$5:$C$304,MATCH($B204,الموظفات!$B$5:$B$304,0))&amp;"",""))</f>
        <v/>
      </c>
      <c r="M204" s="20">
        <f>IF($B204="","",IFERROR(INDEX(الموظفات!$D$5:$D$304,MATCH($B204,الموظفات!$B$5:$B$304,0))&amp;"",""))</f>
        <v/>
      </c>
      <c r="N204" s="20">
        <f>IF($B204="","",IFERROR(INDEX(الموظفات!$E$5:$E$304,MATCH($B204,الموظفات!$B$5:$B$304,0))&amp;"",""))</f>
        <v/>
      </c>
      <c r="O204" s="21">
        <f>IF(C204="","",IFERROR(INDEX(الإعدادات!$D$7:$D$35,MATCH(C204,الإعدادات!$A$7:$A$35,0))&amp;"",""))</f>
        <v/>
      </c>
      <c r="P204" s="20">
        <f>IF(A204="","",INDEX(الإعدادات!$H$7:$H$18,MONTH(A204)))</f>
        <v/>
      </c>
      <c r="Q204" s="20">
        <f>IF(A204="","",INDEX(الإعدادات!$I$7:$I$18,MONTH(A204)))</f>
        <v/>
      </c>
      <c r="R204" s="20">
        <f>IF(A204="","",IF(MONTH(A204)&gt;=8,YEAR(A204)&amp;"-"&amp;(YEAR(A204)+1),(YEAR(A204)-1)&amp;"-"&amp;YEAR(A204)))</f>
        <v/>
      </c>
      <c r="S204" s="20">
        <f>IF(OR(A204="",B204=""),0,IF(AND(R204=التقارير!$C$4,OR(التقارير!$C$5="سنوي",AND(التقارير!$C$5="شهري",P204=التقارير!$C$6),AND(التقارير!$C$5="فصلي",Q204=التقارير!$C$7))),1,0))</f>
        <v/>
      </c>
      <c r="T204" s="20">
        <f>IF(S204=1,COUNTIF($S$5:S204,1),"")</f>
        <v/>
      </c>
      <c r="U204">
        <f>IF(AND($A204&lt;&gt;"",$B204&lt;&gt;"",$R204='تقرير الفصل الأول'!$C$4,$Q204='تقرير الفصل الأول'!$C$7),COUNT(U$4:U203)+1,"")</f>
        <v/>
      </c>
      <c r="V204">
        <f>IF(AND($A204&lt;&gt;"",$B204&lt;&gt;"",$R204='تقرير الفصل الثاني'!$C$4,$Q204='تقرير الفصل الثاني'!$C$7),COUNT(V$4:V203)+1,"")</f>
        <v/>
      </c>
      <c r="W204">
        <f>IF(AND($A204&lt;&gt;"",$B204&lt;&gt;"",$R204='تقرير سبتمبر'!$C$4,$P204='تقرير سبتمبر'!$C$6),COUNT(W$4:W203)+1,"")</f>
        <v/>
      </c>
      <c r="X204">
        <f>IF(AND($A204&lt;&gt;"",$B204&lt;&gt;"",$R204='تقرير أكتوبر'!$C$4,$P204='تقرير أكتوبر'!$C$6),COUNT(X$4:X203)+1,"")</f>
        <v/>
      </c>
      <c r="Y204">
        <f>IF(AND($A204&lt;&gt;"",$B204&lt;&gt;"",$R204='تقرير نوفمبر'!$C$4,$P204='تقرير نوفمبر'!$C$6),COUNT(Y$4:Y203)+1,"")</f>
        <v/>
      </c>
      <c r="Z204">
        <f>IF(AND($A204&lt;&gt;"",$B204&lt;&gt;"",$R204='تقرير ديسمبر'!$C$4,$P204='تقرير ديسمبر'!$C$6),COUNT(Z$4:Z203)+1,"")</f>
        <v/>
      </c>
      <c r="AA204">
        <f>IF(AND($A204&lt;&gt;"",$B204&lt;&gt;"",$R204='تقرير يناير'!$C$4,$P204='تقرير يناير'!$C$6),COUNT(AA$4:AA203)+1,"")</f>
        <v/>
      </c>
      <c r="AB204">
        <f>IF(AND($A204&lt;&gt;"",$B204&lt;&gt;"",$R204='تقرير فبراير'!$C$4,$P204='تقرير فبراير'!$C$6),COUNT(AB$4:AB203)+1,"")</f>
        <v/>
      </c>
      <c r="AC204">
        <f>IF(AND($A204&lt;&gt;"",$B204&lt;&gt;"",$R204='تقرير مارس'!$C$4,$P204='تقرير مارس'!$C$6),COUNT(AC$4:AC203)+1,"")</f>
        <v/>
      </c>
      <c r="AD204">
        <f>IF(AND($A204&lt;&gt;"",$B204&lt;&gt;"",$R204='تقرير أبريل'!$C$4,$P204='تقرير أبريل'!$C$6),COUNT(AD$4:AD203)+1,"")</f>
        <v/>
      </c>
      <c r="AE204">
        <f>IF(AND($A204&lt;&gt;"",$B204&lt;&gt;"",$R204='تقرير مايو'!$C$4,$P204='تقرير مايو'!$C$6),COUNT(AE$4:AE203)+1,"")</f>
        <v/>
      </c>
    </row>
    <row r="205">
      <c r="A205" s="16" t="n"/>
      <c r="B205" s="17" t="n"/>
      <c r="C205" s="17" t="n"/>
      <c r="D205" s="18" t="n"/>
      <c r="E205" s="17" t="n"/>
      <c r="F205" s="17" t="n"/>
      <c r="G205" s="19" t="n"/>
      <c r="H205" s="17" t="n"/>
      <c r="I205" s="17" t="n"/>
      <c r="J205" s="17" t="n"/>
      <c r="K205" s="20">
        <f>IF($B205="","",IFERROR(INDEX(الموظفات!$A$5:$A$304,MATCH($B205,الموظفات!$B$5:$B$304,0))&amp;"",""))</f>
        <v/>
      </c>
      <c r="L205" s="21">
        <f>IF($B205="","",IFERROR(INDEX(الموظفات!$C$5:$C$304,MATCH($B205,الموظفات!$B$5:$B$304,0))&amp;"",""))</f>
        <v/>
      </c>
      <c r="M205" s="20">
        <f>IF($B205="","",IFERROR(INDEX(الموظفات!$D$5:$D$304,MATCH($B205,الموظفات!$B$5:$B$304,0))&amp;"",""))</f>
        <v/>
      </c>
      <c r="N205" s="20">
        <f>IF($B205="","",IFERROR(INDEX(الموظفات!$E$5:$E$304,MATCH($B205,الموظفات!$B$5:$B$304,0))&amp;"",""))</f>
        <v/>
      </c>
      <c r="O205" s="21">
        <f>IF(C205="","",IFERROR(INDEX(الإعدادات!$D$7:$D$35,MATCH(C205,الإعدادات!$A$7:$A$35,0))&amp;"",""))</f>
        <v/>
      </c>
      <c r="P205" s="20">
        <f>IF(A205="","",INDEX(الإعدادات!$H$7:$H$18,MONTH(A205)))</f>
        <v/>
      </c>
      <c r="Q205" s="20">
        <f>IF(A205="","",INDEX(الإعدادات!$I$7:$I$18,MONTH(A205)))</f>
        <v/>
      </c>
      <c r="R205" s="20">
        <f>IF(A205="","",IF(MONTH(A205)&gt;=8,YEAR(A205)&amp;"-"&amp;(YEAR(A205)+1),(YEAR(A205)-1)&amp;"-"&amp;YEAR(A205)))</f>
        <v/>
      </c>
      <c r="S205" s="20">
        <f>IF(OR(A205="",B205=""),0,IF(AND(R205=التقارير!$C$4,OR(التقارير!$C$5="سنوي",AND(التقارير!$C$5="شهري",P205=التقارير!$C$6),AND(التقارير!$C$5="فصلي",Q205=التقارير!$C$7))),1,0))</f>
        <v/>
      </c>
      <c r="T205" s="20">
        <f>IF(S205=1,COUNTIF($S$5:S205,1),"")</f>
        <v/>
      </c>
      <c r="U205">
        <f>IF(AND($A205&lt;&gt;"",$B205&lt;&gt;"",$R205='تقرير الفصل الأول'!$C$4,$Q205='تقرير الفصل الأول'!$C$7),COUNT(U$4:U204)+1,"")</f>
        <v/>
      </c>
      <c r="V205">
        <f>IF(AND($A205&lt;&gt;"",$B205&lt;&gt;"",$R205='تقرير الفصل الثاني'!$C$4,$Q205='تقرير الفصل الثاني'!$C$7),COUNT(V$4:V204)+1,"")</f>
        <v/>
      </c>
      <c r="W205">
        <f>IF(AND($A205&lt;&gt;"",$B205&lt;&gt;"",$R205='تقرير سبتمبر'!$C$4,$P205='تقرير سبتمبر'!$C$6),COUNT(W$4:W204)+1,"")</f>
        <v/>
      </c>
      <c r="X205">
        <f>IF(AND($A205&lt;&gt;"",$B205&lt;&gt;"",$R205='تقرير أكتوبر'!$C$4,$P205='تقرير أكتوبر'!$C$6),COUNT(X$4:X204)+1,"")</f>
        <v/>
      </c>
      <c r="Y205">
        <f>IF(AND($A205&lt;&gt;"",$B205&lt;&gt;"",$R205='تقرير نوفمبر'!$C$4,$P205='تقرير نوفمبر'!$C$6),COUNT(Y$4:Y204)+1,"")</f>
        <v/>
      </c>
      <c r="Z205">
        <f>IF(AND($A205&lt;&gt;"",$B205&lt;&gt;"",$R205='تقرير ديسمبر'!$C$4,$P205='تقرير ديسمبر'!$C$6),COUNT(Z$4:Z204)+1,"")</f>
        <v/>
      </c>
      <c r="AA205">
        <f>IF(AND($A205&lt;&gt;"",$B205&lt;&gt;"",$R205='تقرير يناير'!$C$4,$P205='تقرير يناير'!$C$6),COUNT(AA$4:AA204)+1,"")</f>
        <v/>
      </c>
      <c r="AB205">
        <f>IF(AND($A205&lt;&gt;"",$B205&lt;&gt;"",$R205='تقرير فبراير'!$C$4,$P205='تقرير فبراير'!$C$6),COUNT(AB$4:AB204)+1,"")</f>
        <v/>
      </c>
      <c r="AC205">
        <f>IF(AND($A205&lt;&gt;"",$B205&lt;&gt;"",$R205='تقرير مارس'!$C$4,$P205='تقرير مارس'!$C$6),COUNT(AC$4:AC204)+1,"")</f>
        <v/>
      </c>
      <c r="AD205">
        <f>IF(AND($A205&lt;&gt;"",$B205&lt;&gt;"",$R205='تقرير أبريل'!$C$4,$P205='تقرير أبريل'!$C$6),COUNT(AD$4:AD204)+1,"")</f>
        <v/>
      </c>
      <c r="AE205">
        <f>IF(AND($A205&lt;&gt;"",$B205&lt;&gt;"",$R205='تقرير مايو'!$C$4,$P205='تقرير مايو'!$C$6),COUNT(AE$4:AE204)+1,"")</f>
        <v/>
      </c>
    </row>
    <row r="206">
      <c r="A206" s="16" t="n"/>
      <c r="B206" s="17" t="n"/>
      <c r="C206" s="17" t="n"/>
      <c r="D206" s="18" t="n"/>
      <c r="E206" s="17" t="n"/>
      <c r="F206" s="17" t="n"/>
      <c r="G206" s="19" t="n"/>
      <c r="H206" s="17" t="n"/>
      <c r="I206" s="17" t="n"/>
      <c r="J206" s="17" t="n"/>
      <c r="K206" s="20">
        <f>IF($B206="","",IFERROR(INDEX(الموظفات!$A$5:$A$304,MATCH($B206,الموظفات!$B$5:$B$304,0))&amp;"",""))</f>
        <v/>
      </c>
      <c r="L206" s="21">
        <f>IF($B206="","",IFERROR(INDEX(الموظفات!$C$5:$C$304,MATCH($B206,الموظفات!$B$5:$B$304,0))&amp;"",""))</f>
        <v/>
      </c>
      <c r="M206" s="20">
        <f>IF($B206="","",IFERROR(INDEX(الموظفات!$D$5:$D$304,MATCH($B206,الموظفات!$B$5:$B$304,0))&amp;"",""))</f>
        <v/>
      </c>
      <c r="N206" s="20">
        <f>IF($B206="","",IFERROR(INDEX(الموظفات!$E$5:$E$304,MATCH($B206,الموظفات!$B$5:$B$304,0))&amp;"",""))</f>
        <v/>
      </c>
      <c r="O206" s="21">
        <f>IF(C206="","",IFERROR(INDEX(الإعدادات!$D$7:$D$35,MATCH(C206,الإعدادات!$A$7:$A$35,0))&amp;"",""))</f>
        <v/>
      </c>
      <c r="P206" s="20">
        <f>IF(A206="","",INDEX(الإعدادات!$H$7:$H$18,MONTH(A206)))</f>
        <v/>
      </c>
      <c r="Q206" s="20">
        <f>IF(A206="","",INDEX(الإعدادات!$I$7:$I$18,MONTH(A206)))</f>
        <v/>
      </c>
      <c r="R206" s="20">
        <f>IF(A206="","",IF(MONTH(A206)&gt;=8,YEAR(A206)&amp;"-"&amp;(YEAR(A206)+1),(YEAR(A206)-1)&amp;"-"&amp;YEAR(A206)))</f>
        <v/>
      </c>
      <c r="S206" s="20">
        <f>IF(OR(A206="",B206=""),0,IF(AND(R206=التقارير!$C$4,OR(التقارير!$C$5="سنوي",AND(التقارير!$C$5="شهري",P206=التقارير!$C$6),AND(التقارير!$C$5="فصلي",Q206=التقارير!$C$7))),1,0))</f>
        <v/>
      </c>
      <c r="T206" s="20">
        <f>IF(S206=1,COUNTIF($S$5:S206,1),"")</f>
        <v/>
      </c>
      <c r="U206">
        <f>IF(AND($A206&lt;&gt;"",$B206&lt;&gt;"",$R206='تقرير الفصل الأول'!$C$4,$Q206='تقرير الفصل الأول'!$C$7),COUNT(U$4:U205)+1,"")</f>
        <v/>
      </c>
      <c r="V206">
        <f>IF(AND($A206&lt;&gt;"",$B206&lt;&gt;"",$R206='تقرير الفصل الثاني'!$C$4,$Q206='تقرير الفصل الثاني'!$C$7),COUNT(V$4:V205)+1,"")</f>
        <v/>
      </c>
      <c r="W206">
        <f>IF(AND($A206&lt;&gt;"",$B206&lt;&gt;"",$R206='تقرير سبتمبر'!$C$4,$P206='تقرير سبتمبر'!$C$6),COUNT(W$4:W205)+1,"")</f>
        <v/>
      </c>
      <c r="X206">
        <f>IF(AND($A206&lt;&gt;"",$B206&lt;&gt;"",$R206='تقرير أكتوبر'!$C$4,$P206='تقرير أكتوبر'!$C$6),COUNT(X$4:X205)+1,"")</f>
        <v/>
      </c>
      <c r="Y206">
        <f>IF(AND($A206&lt;&gt;"",$B206&lt;&gt;"",$R206='تقرير نوفمبر'!$C$4,$P206='تقرير نوفمبر'!$C$6),COUNT(Y$4:Y205)+1,"")</f>
        <v/>
      </c>
      <c r="Z206">
        <f>IF(AND($A206&lt;&gt;"",$B206&lt;&gt;"",$R206='تقرير ديسمبر'!$C$4,$P206='تقرير ديسمبر'!$C$6),COUNT(Z$4:Z205)+1,"")</f>
        <v/>
      </c>
      <c r="AA206">
        <f>IF(AND($A206&lt;&gt;"",$B206&lt;&gt;"",$R206='تقرير يناير'!$C$4,$P206='تقرير يناير'!$C$6),COUNT(AA$4:AA205)+1,"")</f>
        <v/>
      </c>
      <c r="AB206">
        <f>IF(AND($A206&lt;&gt;"",$B206&lt;&gt;"",$R206='تقرير فبراير'!$C$4,$P206='تقرير فبراير'!$C$6),COUNT(AB$4:AB205)+1,"")</f>
        <v/>
      </c>
      <c r="AC206">
        <f>IF(AND($A206&lt;&gt;"",$B206&lt;&gt;"",$R206='تقرير مارس'!$C$4,$P206='تقرير مارس'!$C$6),COUNT(AC$4:AC205)+1,"")</f>
        <v/>
      </c>
      <c r="AD206">
        <f>IF(AND($A206&lt;&gt;"",$B206&lt;&gt;"",$R206='تقرير أبريل'!$C$4,$P206='تقرير أبريل'!$C$6),COUNT(AD$4:AD205)+1,"")</f>
        <v/>
      </c>
      <c r="AE206">
        <f>IF(AND($A206&lt;&gt;"",$B206&lt;&gt;"",$R206='تقرير مايو'!$C$4,$P206='تقرير مايو'!$C$6),COUNT(AE$4:AE205)+1,"")</f>
        <v/>
      </c>
    </row>
    <row r="207">
      <c r="A207" s="16" t="n"/>
      <c r="B207" s="17" t="n"/>
      <c r="C207" s="17" t="n"/>
      <c r="D207" s="18" t="n"/>
      <c r="E207" s="17" t="n"/>
      <c r="F207" s="17" t="n"/>
      <c r="G207" s="19" t="n"/>
      <c r="H207" s="17" t="n"/>
      <c r="I207" s="17" t="n"/>
      <c r="J207" s="17" t="n"/>
      <c r="K207" s="20">
        <f>IF($B207="","",IFERROR(INDEX(الموظفات!$A$5:$A$304,MATCH($B207,الموظفات!$B$5:$B$304,0))&amp;"",""))</f>
        <v/>
      </c>
      <c r="L207" s="21">
        <f>IF($B207="","",IFERROR(INDEX(الموظفات!$C$5:$C$304,MATCH($B207,الموظفات!$B$5:$B$304,0))&amp;"",""))</f>
        <v/>
      </c>
      <c r="M207" s="20">
        <f>IF($B207="","",IFERROR(INDEX(الموظفات!$D$5:$D$304,MATCH($B207,الموظفات!$B$5:$B$304,0))&amp;"",""))</f>
        <v/>
      </c>
      <c r="N207" s="20">
        <f>IF($B207="","",IFERROR(INDEX(الموظفات!$E$5:$E$304,MATCH($B207,الموظفات!$B$5:$B$304,0))&amp;"",""))</f>
        <v/>
      </c>
      <c r="O207" s="21">
        <f>IF(C207="","",IFERROR(INDEX(الإعدادات!$D$7:$D$35,MATCH(C207,الإعدادات!$A$7:$A$35,0))&amp;"",""))</f>
        <v/>
      </c>
      <c r="P207" s="20">
        <f>IF(A207="","",INDEX(الإعدادات!$H$7:$H$18,MONTH(A207)))</f>
        <v/>
      </c>
      <c r="Q207" s="20">
        <f>IF(A207="","",INDEX(الإعدادات!$I$7:$I$18,MONTH(A207)))</f>
        <v/>
      </c>
      <c r="R207" s="20">
        <f>IF(A207="","",IF(MONTH(A207)&gt;=8,YEAR(A207)&amp;"-"&amp;(YEAR(A207)+1),(YEAR(A207)-1)&amp;"-"&amp;YEAR(A207)))</f>
        <v/>
      </c>
      <c r="S207" s="20">
        <f>IF(OR(A207="",B207=""),0,IF(AND(R207=التقارير!$C$4,OR(التقارير!$C$5="سنوي",AND(التقارير!$C$5="شهري",P207=التقارير!$C$6),AND(التقارير!$C$5="فصلي",Q207=التقارير!$C$7))),1,0))</f>
        <v/>
      </c>
      <c r="T207" s="20">
        <f>IF(S207=1,COUNTIF($S$5:S207,1),"")</f>
        <v/>
      </c>
      <c r="U207">
        <f>IF(AND($A207&lt;&gt;"",$B207&lt;&gt;"",$R207='تقرير الفصل الأول'!$C$4,$Q207='تقرير الفصل الأول'!$C$7),COUNT(U$4:U206)+1,"")</f>
        <v/>
      </c>
      <c r="V207">
        <f>IF(AND($A207&lt;&gt;"",$B207&lt;&gt;"",$R207='تقرير الفصل الثاني'!$C$4,$Q207='تقرير الفصل الثاني'!$C$7),COUNT(V$4:V206)+1,"")</f>
        <v/>
      </c>
      <c r="W207">
        <f>IF(AND($A207&lt;&gt;"",$B207&lt;&gt;"",$R207='تقرير سبتمبر'!$C$4,$P207='تقرير سبتمبر'!$C$6),COUNT(W$4:W206)+1,"")</f>
        <v/>
      </c>
      <c r="X207">
        <f>IF(AND($A207&lt;&gt;"",$B207&lt;&gt;"",$R207='تقرير أكتوبر'!$C$4,$P207='تقرير أكتوبر'!$C$6),COUNT(X$4:X206)+1,"")</f>
        <v/>
      </c>
      <c r="Y207">
        <f>IF(AND($A207&lt;&gt;"",$B207&lt;&gt;"",$R207='تقرير نوفمبر'!$C$4,$P207='تقرير نوفمبر'!$C$6),COUNT(Y$4:Y206)+1,"")</f>
        <v/>
      </c>
      <c r="Z207">
        <f>IF(AND($A207&lt;&gt;"",$B207&lt;&gt;"",$R207='تقرير ديسمبر'!$C$4,$P207='تقرير ديسمبر'!$C$6),COUNT(Z$4:Z206)+1,"")</f>
        <v/>
      </c>
      <c r="AA207">
        <f>IF(AND($A207&lt;&gt;"",$B207&lt;&gt;"",$R207='تقرير يناير'!$C$4,$P207='تقرير يناير'!$C$6),COUNT(AA$4:AA206)+1,"")</f>
        <v/>
      </c>
      <c r="AB207">
        <f>IF(AND($A207&lt;&gt;"",$B207&lt;&gt;"",$R207='تقرير فبراير'!$C$4,$P207='تقرير فبراير'!$C$6),COUNT(AB$4:AB206)+1,"")</f>
        <v/>
      </c>
      <c r="AC207">
        <f>IF(AND($A207&lt;&gt;"",$B207&lt;&gt;"",$R207='تقرير مارس'!$C$4,$P207='تقرير مارس'!$C$6),COUNT(AC$4:AC206)+1,"")</f>
        <v/>
      </c>
      <c r="AD207">
        <f>IF(AND($A207&lt;&gt;"",$B207&lt;&gt;"",$R207='تقرير أبريل'!$C$4,$P207='تقرير أبريل'!$C$6),COUNT(AD$4:AD206)+1,"")</f>
        <v/>
      </c>
      <c r="AE207">
        <f>IF(AND($A207&lt;&gt;"",$B207&lt;&gt;"",$R207='تقرير مايو'!$C$4,$P207='تقرير مايو'!$C$6),COUNT(AE$4:AE206)+1,"")</f>
        <v/>
      </c>
    </row>
    <row r="208">
      <c r="A208" s="16" t="n"/>
      <c r="B208" s="17" t="n"/>
      <c r="C208" s="17" t="n"/>
      <c r="D208" s="18" t="n"/>
      <c r="E208" s="17" t="n"/>
      <c r="F208" s="17" t="n"/>
      <c r="G208" s="19" t="n"/>
      <c r="H208" s="17" t="n"/>
      <c r="I208" s="17" t="n"/>
      <c r="J208" s="17" t="n"/>
      <c r="K208" s="20">
        <f>IF($B208="","",IFERROR(INDEX(الموظفات!$A$5:$A$304,MATCH($B208,الموظفات!$B$5:$B$304,0))&amp;"",""))</f>
        <v/>
      </c>
      <c r="L208" s="21">
        <f>IF($B208="","",IFERROR(INDEX(الموظفات!$C$5:$C$304,MATCH($B208,الموظفات!$B$5:$B$304,0))&amp;"",""))</f>
        <v/>
      </c>
      <c r="M208" s="20">
        <f>IF($B208="","",IFERROR(INDEX(الموظفات!$D$5:$D$304,MATCH($B208,الموظفات!$B$5:$B$304,0))&amp;"",""))</f>
        <v/>
      </c>
      <c r="N208" s="20">
        <f>IF($B208="","",IFERROR(INDEX(الموظفات!$E$5:$E$304,MATCH($B208,الموظفات!$B$5:$B$304,0))&amp;"",""))</f>
        <v/>
      </c>
      <c r="O208" s="21">
        <f>IF(C208="","",IFERROR(INDEX(الإعدادات!$D$7:$D$35,MATCH(C208,الإعدادات!$A$7:$A$35,0))&amp;"",""))</f>
        <v/>
      </c>
      <c r="P208" s="20">
        <f>IF(A208="","",INDEX(الإعدادات!$H$7:$H$18,MONTH(A208)))</f>
        <v/>
      </c>
      <c r="Q208" s="20">
        <f>IF(A208="","",INDEX(الإعدادات!$I$7:$I$18,MONTH(A208)))</f>
        <v/>
      </c>
      <c r="R208" s="20">
        <f>IF(A208="","",IF(MONTH(A208)&gt;=8,YEAR(A208)&amp;"-"&amp;(YEAR(A208)+1),(YEAR(A208)-1)&amp;"-"&amp;YEAR(A208)))</f>
        <v/>
      </c>
      <c r="S208" s="20">
        <f>IF(OR(A208="",B208=""),0,IF(AND(R208=التقارير!$C$4,OR(التقارير!$C$5="سنوي",AND(التقارير!$C$5="شهري",P208=التقارير!$C$6),AND(التقارير!$C$5="فصلي",Q208=التقارير!$C$7))),1,0))</f>
        <v/>
      </c>
      <c r="T208" s="20">
        <f>IF(S208=1,COUNTIF($S$5:S208,1),"")</f>
        <v/>
      </c>
      <c r="U208">
        <f>IF(AND($A208&lt;&gt;"",$B208&lt;&gt;"",$R208='تقرير الفصل الأول'!$C$4,$Q208='تقرير الفصل الأول'!$C$7),COUNT(U$4:U207)+1,"")</f>
        <v/>
      </c>
      <c r="V208">
        <f>IF(AND($A208&lt;&gt;"",$B208&lt;&gt;"",$R208='تقرير الفصل الثاني'!$C$4,$Q208='تقرير الفصل الثاني'!$C$7),COUNT(V$4:V207)+1,"")</f>
        <v/>
      </c>
      <c r="W208">
        <f>IF(AND($A208&lt;&gt;"",$B208&lt;&gt;"",$R208='تقرير سبتمبر'!$C$4,$P208='تقرير سبتمبر'!$C$6),COUNT(W$4:W207)+1,"")</f>
        <v/>
      </c>
      <c r="X208">
        <f>IF(AND($A208&lt;&gt;"",$B208&lt;&gt;"",$R208='تقرير أكتوبر'!$C$4,$P208='تقرير أكتوبر'!$C$6),COUNT(X$4:X207)+1,"")</f>
        <v/>
      </c>
      <c r="Y208">
        <f>IF(AND($A208&lt;&gt;"",$B208&lt;&gt;"",$R208='تقرير نوفمبر'!$C$4,$P208='تقرير نوفمبر'!$C$6),COUNT(Y$4:Y207)+1,"")</f>
        <v/>
      </c>
      <c r="Z208">
        <f>IF(AND($A208&lt;&gt;"",$B208&lt;&gt;"",$R208='تقرير ديسمبر'!$C$4,$P208='تقرير ديسمبر'!$C$6),COUNT(Z$4:Z207)+1,"")</f>
        <v/>
      </c>
      <c r="AA208">
        <f>IF(AND($A208&lt;&gt;"",$B208&lt;&gt;"",$R208='تقرير يناير'!$C$4,$P208='تقرير يناير'!$C$6),COUNT(AA$4:AA207)+1,"")</f>
        <v/>
      </c>
      <c r="AB208">
        <f>IF(AND($A208&lt;&gt;"",$B208&lt;&gt;"",$R208='تقرير فبراير'!$C$4,$P208='تقرير فبراير'!$C$6),COUNT(AB$4:AB207)+1,"")</f>
        <v/>
      </c>
      <c r="AC208">
        <f>IF(AND($A208&lt;&gt;"",$B208&lt;&gt;"",$R208='تقرير مارس'!$C$4,$P208='تقرير مارس'!$C$6),COUNT(AC$4:AC207)+1,"")</f>
        <v/>
      </c>
      <c r="AD208">
        <f>IF(AND($A208&lt;&gt;"",$B208&lt;&gt;"",$R208='تقرير أبريل'!$C$4,$P208='تقرير أبريل'!$C$6),COUNT(AD$4:AD207)+1,"")</f>
        <v/>
      </c>
      <c r="AE208">
        <f>IF(AND($A208&lt;&gt;"",$B208&lt;&gt;"",$R208='تقرير مايو'!$C$4,$P208='تقرير مايو'!$C$6),COUNT(AE$4:AE207)+1,"")</f>
        <v/>
      </c>
    </row>
    <row r="209">
      <c r="A209" s="16" t="n"/>
      <c r="B209" s="17" t="n"/>
      <c r="C209" s="17" t="n"/>
      <c r="D209" s="18" t="n"/>
      <c r="E209" s="17" t="n"/>
      <c r="F209" s="17" t="n"/>
      <c r="G209" s="19" t="n"/>
      <c r="H209" s="17" t="n"/>
      <c r="I209" s="17" t="n"/>
      <c r="J209" s="17" t="n"/>
      <c r="K209" s="20">
        <f>IF($B209="","",IFERROR(INDEX(الموظفات!$A$5:$A$304,MATCH($B209,الموظفات!$B$5:$B$304,0))&amp;"",""))</f>
        <v/>
      </c>
      <c r="L209" s="21">
        <f>IF($B209="","",IFERROR(INDEX(الموظفات!$C$5:$C$304,MATCH($B209,الموظفات!$B$5:$B$304,0))&amp;"",""))</f>
        <v/>
      </c>
      <c r="M209" s="20">
        <f>IF($B209="","",IFERROR(INDEX(الموظفات!$D$5:$D$304,MATCH($B209,الموظفات!$B$5:$B$304,0))&amp;"",""))</f>
        <v/>
      </c>
      <c r="N209" s="20">
        <f>IF($B209="","",IFERROR(INDEX(الموظفات!$E$5:$E$304,MATCH($B209,الموظفات!$B$5:$B$304,0))&amp;"",""))</f>
        <v/>
      </c>
      <c r="O209" s="21">
        <f>IF(C209="","",IFERROR(INDEX(الإعدادات!$D$7:$D$35,MATCH(C209,الإعدادات!$A$7:$A$35,0))&amp;"",""))</f>
        <v/>
      </c>
      <c r="P209" s="20">
        <f>IF(A209="","",INDEX(الإعدادات!$H$7:$H$18,MONTH(A209)))</f>
        <v/>
      </c>
      <c r="Q209" s="20">
        <f>IF(A209="","",INDEX(الإعدادات!$I$7:$I$18,MONTH(A209)))</f>
        <v/>
      </c>
      <c r="R209" s="20">
        <f>IF(A209="","",IF(MONTH(A209)&gt;=8,YEAR(A209)&amp;"-"&amp;(YEAR(A209)+1),(YEAR(A209)-1)&amp;"-"&amp;YEAR(A209)))</f>
        <v/>
      </c>
      <c r="S209" s="20">
        <f>IF(OR(A209="",B209=""),0,IF(AND(R209=التقارير!$C$4,OR(التقارير!$C$5="سنوي",AND(التقارير!$C$5="شهري",P209=التقارير!$C$6),AND(التقارير!$C$5="فصلي",Q209=التقارير!$C$7))),1,0))</f>
        <v/>
      </c>
      <c r="T209" s="20">
        <f>IF(S209=1,COUNTIF($S$5:S209,1),"")</f>
        <v/>
      </c>
      <c r="U209">
        <f>IF(AND($A209&lt;&gt;"",$B209&lt;&gt;"",$R209='تقرير الفصل الأول'!$C$4,$Q209='تقرير الفصل الأول'!$C$7),COUNT(U$4:U208)+1,"")</f>
        <v/>
      </c>
      <c r="V209">
        <f>IF(AND($A209&lt;&gt;"",$B209&lt;&gt;"",$R209='تقرير الفصل الثاني'!$C$4,$Q209='تقرير الفصل الثاني'!$C$7),COUNT(V$4:V208)+1,"")</f>
        <v/>
      </c>
      <c r="W209">
        <f>IF(AND($A209&lt;&gt;"",$B209&lt;&gt;"",$R209='تقرير سبتمبر'!$C$4,$P209='تقرير سبتمبر'!$C$6),COUNT(W$4:W208)+1,"")</f>
        <v/>
      </c>
      <c r="X209">
        <f>IF(AND($A209&lt;&gt;"",$B209&lt;&gt;"",$R209='تقرير أكتوبر'!$C$4,$P209='تقرير أكتوبر'!$C$6),COUNT(X$4:X208)+1,"")</f>
        <v/>
      </c>
      <c r="Y209">
        <f>IF(AND($A209&lt;&gt;"",$B209&lt;&gt;"",$R209='تقرير نوفمبر'!$C$4,$P209='تقرير نوفمبر'!$C$6),COUNT(Y$4:Y208)+1,"")</f>
        <v/>
      </c>
      <c r="Z209">
        <f>IF(AND($A209&lt;&gt;"",$B209&lt;&gt;"",$R209='تقرير ديسمبر'!$C$4,$P209='تقرير ديسمبر'!$C$6),COUNT(Z$4:Z208)+1,"")</f>
        <v/>
      </c>
      <c r="AA209">
        <f>IF(AND($A209&lt;&gt;"",$B209&lt;&gt;"",$R209='تقرير يناير'!$C$4,$P209='تقرير يناير'!$C$6),COUNT(AA$4:AA208)+1,"")</f>
        <v/>
      </c>
      <c r="AB209">
        <f>IF(AND($A209&lt;&gt;"",$B209&lt;&gt;"",$R209='تقرير فبراير'!$C$4,$P209='تقرير فبراير'!$C$6),COUNT(AB$4:AB208)+1,"")</f>
        <v/>
      </c>
      <c r="AC209">
        <f>IF(AND($A209&lt;&gt;"",$B209&lt;&gt;"",$R209='تقرير مارس'!$C$4,$P209='تقرير مارس'!$C$6),COUNT(AC$4:AC208)+1,"")</f>
        <v/>
      </c>
      <c r="AD209">
        <f>IF(AND($A209&lt;&gt;"",$B209&lt;&gt;"",$R209='تقرير أبريل'!$C$4,$P209='تقرير أبريل'!$C$6),COUNT(AD$4:AD208)+1,"")</f>
        <v/>
      </c>
      <c r="AE209">
        <f>IF(AND($A209&lt;&gt;"",$B209&lt;&gt;"",$R209='تقرير مايو'!$C$4,$P209='تقرير مايو'!$C$6),COUNT(AE$4:AE208)+1,"")</f>
        <v/>
      </c>
    </row>
    <row r="210">
      <c r="A210" s="16" t="n"/>
      <c r="B210" s="17" t="n"/>
      <c r="C210" s="17" t="n"/>
      <c r="D210" s="18" t="n"/>
      <c r="E210" s="17" t="n"/>
      <c r="F210" s="17" t="n"/>
      <c r="G210" s="19" t="n"/>
      <c r="H210" s="17" t="n"/>
      <c r="I210" s="17" t="n"/>
      <c r="J210" s="17" t="n"/>
      <c r="K210" s="20">
        <f>IF($B210="","",IFERROR(INDEX(الموظفات!$A$5:$A$304,MATCH($B210,الموظفات!$B$5:$B$304,0))&amp;"",""))</f>
        <v/>
      </c>
      <c r="L210" s="21">
        <f>IF($B210="","",IFERROR(INDEX(الموظفات!$C$5:$C$304,MATCH($B210,الموظفات!$B$5:$B$304,0))&amp;"",""))</f>
        <v/>
      </c>
      <c r="M210" s="20">
        <f>IF($B210="","",IFERROR(INDEX(الموظفات!$D$5:$D$304,MATCH($B210,الموظفات!$B$5:$B$304,0))&amp;"",""))</f>
        <v/>
      </c>
      <c r="N210" s="20">
        <f>IF($B210="","",IFERROR(INDEX(الموظفات!$E$5:$E$304,MATCH($B210,الموظفات!$B$5:$B$304,0))&amp;"",""))</f>
        <v/>
      </c>
      <c r="O210" s="21">
        <f>IF(C210="","",IFERROR(INDEX(الإعدادات!$D$7:$D$35,MATCH(C210,الإعدادات!$A$7:$A$35,0))&amp;"",""))</f>
        <v/>
      </c>
      <c r="P210" s="20">
        <f>IF(A210="","",INDEX(الإعدادات!$H$7:$H$18,MONTH(A210)))</f>
        <v/>
      </c>
      <c r="Q210" s="20">
        <f>IF(A210="","",INDEX(الإعدادات!$I$7:$I$18,MONTH(A210)))</f>
        <v/>
      </c>
      <c r="R210" s="20">
        <f>IF(A210="","",IF(MONTH(A210)&gt;=8,YEAR(A210)&amp;"-"&amp;(YEAR(A210)+1),(YEAR(A210)-1)&amp;"-"&amp;YEAR(A210)))</f>
        <v/>
      </c>
      <c r="S210" s="20">
        <f>IF(OR(A210="",B210=""),0,IF(AND(R210=التقارير!$C$4,OR(التقارير!$C$5="سنوي",AND(التقارير!$C$5="شهري",P210=التقارير!$C$6),AND(التقارير!$C$5="فصلي",Q210=التقارير!$C$7))),1,0))</f>
        <v/>
      </c>
      <c r="T210" s="20">
        <f>IF(S210=1,COUNTIF($S$5:S210,1),"")</f>
        <v/>
      </c>
      <c r="U210">
        <f>IF(AND($A210&lt;&gt;"",$B210&lt;&gt;"",$R210='تقرير الفصل الأول'!$C$4,$Q210='تقرير الفصل الأول'!$C$7),COUNT(U$4:U209)+1,"")</f>
        <v/>
      </c>
      <c r="V210">
        <f>IF(AND($A210&lt;&gt;"",$B210&lt;&gt;"",$R210='تقرير الفصل الثاني'!$C$4,$Q210='تقرير الفصل الثاني'!$C$7),COUNT(V$4:V209)+1,"")</f>
        <v/>
      </c>
      <c r="W210">
        <f>IF(AND($A210&lt;&gt;"",$B210&lt;&gt;"",$R210='تقرير سبتمبر'!$C$4,$P210='تقرير سبتمبر'!$C$6),COUNT(W$4:W209)+1,"")</f>
        <v/>
      </c>
      <c r="X210">
        <f>IF(AND($A210&lt;&gt;"",$B210&lt;&gt;"",$R210='تقرير أكتوبر'!$C$4,$P210='تقرير أكتوبر'!$C$6),COUNT(X$4:X209)+1,"")</f>
        <v/>
      </c>
      <c r="Y210">
        <f>IF(AND($A210&lt;&gt;"",$B210&lt;&gt;"",$R210='تقرير نوفمبر'!$C$4,$P210='تقرير نوفمبر'!$C$6),COUNT(Y$4:Y209)+1,"")</f>
        <v/>
      </c>
      <c r="Z210">
        <f>IF(AND($A210&lt;&gt;"",$B210&lt;&gt;"",$R210='تقرير ديسمبر'!$C$4,$P210='تقرير ديسمبر'!$C$6),COUNT(Z$4:Z209)+1,"")</f>
        <v/>
      </c>
      <c r="AA210">
        <f>IF(AND($A210&lt;&gt;"",$B210&lt;&gt;"",$R210='تقرير يناير'!$C$4,$P210='تقرير يناير'!$C$6),COUNT(AA$4:AA209)+1,"")</f>
        <v/>
      </c>
      <c r="AB210">
        <f>IF(AND($A210&lt;&gt;"",$B210&lt;&gt;"",$R210='تقرير فبراير'!$C$4,$P210='تقرير فبراير'!$C$6),COUNT(AB$4:AB209)+1,"")</f>
        <v/>
      </c>
      <c r="AC210">
        <f>IF(AND($A210&lt;&gt;"",$B210&lt;&gt;"",$R210='تقرير مارس'!$C$4,$P210='تقرير مارس'!$C$6),COUNT(AC$4:AC209)+1,"")</f>
        <v/>
      </c>
      <c r="AD210">
        <f>IF(AND($A210&lt;&gt;"",$B210&lt;&gt;"",$R210='تقرير أبريل'!$C$4,$P210='تقرير أبريل'!$C$6),COUNT(AD$4:AD209)+1,"")</f>
        <v/>
      </c>
      <c r="AE210">
        <f>IF(AND($A210&lt;&gt;"",$B210&lt;&gt;"",$R210='تقرير مايو'!$C$4,$P210='تقرير مايو'!$C$6),COUNT(AE$4:AE209)+1,"")</f>
        <v/>
      </c>
    </row>
    <row r="211">
      <c r="A211" s="16" t="n"/>
      <c r="B211" s="17" t="n"/>
      <c r="C211" s="17" t="n"/>
      <c r="D211" s="18" t="n"/>
      <c r="E211" s="17" t="n"/>
      <c r="F211" s="17" t="n"/>
      <c r="G211" s="19" t="n"/>
      <c r="H211" s="17" t="n"/>
      <c r="I211" s="17" t="n"/>
      <c r="J211" s="17" t="n"/>
      <c r="K211" s="20">
        <f>IF($B211="","",IFERROR(INDEX(الموظفات!$A$5:$A$304,MATCH($B211,الموظفات!$B$5:$B$304,0))&amp;"",""))</f>
        <v/>
      </c>
      <c r="L211" s="21">
        <f>IF($B211="","",IFERROR(INDEX(الموظفات!$C$5:$C$304,MATCH($B211,الموظفات!$B$5:$B$304,0))&amp;"",""))</f>
        <v/>
      </c>
      <c r="M211" s="20">
        <f>IF($B211="","",IFERROR(INDEX(الموظفات!$D$5:$D$304,MATCH($B211,الموظفات!$B$5:$B$304,0))&amp;"",""))</f>
        <v/>
      </c>
      <c r="N211" s="20">
        <f>IF($B211="","",IFERROR(INDEX(الموظفات!$E$5:$E$304,MATCH($B211,الموظفات!$B$5:$B$304,0))&amp;"",""))</f>
        <v/>
      </c>
      <c r="O211" s="21">
        <f>IF(C211="","",IFERROR(INDEX(الإعدادات!$D$7:$D$35,MATCH(C211,الإعدادات!$A$7:$A$35,0))&amp;"",""))</f>
        <v/>
      </c>
      <c r="P211" s="20">
        <f>IF(A211="","",INDEX(الإعدادات!$H$7:$H$18,MONTH(A211)))</f>
        <v/>
      </c>
      <c r="Q211" s="20">
        <f>IF(A211="","",INDEX(الإعدادات!$I$7:$I$18,MONTH(A211)))</f>
        <v/>
      </c>
      <c r="R211" s="20">
        <f>IF(A211="","",IF(MONTH(A211)&gt;=8,YEAR(A211)&amp;"-"&amp;(YEAR(A211)+1),(YEAR(A211)-1)&amp;"-"&amp;YEAR(A211)))</f>
        <v/>
      </c>
      <c r="S211" s="20">
        <f>IF(OR(A211="",B211=""),0,IF(AND(R211=التقارير!$C$4,OR(التقارير!$C$5="سنوي",AND(التقارير!$C$5="شهري",P211=التقارير!$C$6),AND(التقارير!$C$5="فصلي",Q211=التقارير!$C$7))),1,0))</f>
        <v/>
      </c>
      <c r="T211" s="20">
        <f>IF(S211=1,COUNTIF($S$5:S211,1),"")</f>
        <v/>
      </c>
      <c r="U211">
        <f>IF(AND($A211&lt;&gt;"",$B211&lt;&gt;"",$R211='تقرير الفصل الأول'!$C$4,$Q211='تقرير الفصل الأول'!$C$7),COUNT(U$4:U210)+1,"")</f>
        <v/>
      </c>
      <c r="V211">
        <f>IF(AND($A211&lt;&gt;"",$B211&lt;&gt;"",$R211='تقرير الفصل الثاني'!$C$4,$Q211='تقرير الفصل الثاني'!$C$7),COUNT(V$4:V210)+1,"")</f>
        <v/>
      </c>
      <c r="W211">
        <f>IF(AND($A211&lt;&gt;"",$B211&lt;&gt;"",$R211='تقرير سبتمبر'!$C$4,$P211='تقرير سبتمبر'!$C$6),COUNT(W$4:W210)+1,"")</f>
        <v/>
      </c>
      <c r="X211">
        <f>IF(AND($A211&lt;&gt;"",$B211&lt;&gt;"",$R211='تقرير أكتوبر'!$C$4,$P211='تقرير أكتوبر'!$C$6),COUNT(X$4:X210)+1,"")</f>
        <v/>
      </c>
      <c r="Y211">
        <f>IF(AND($A211&lt;&gt;"",$B211&lt;&gt;"",$R211='تقرير نوفمبر'!$C$4,$P211='تقرير نوفمبر'!$C$6),COUNT(Y$4:Y210)+1,"")</f>
        <v/>
      </c>
      <c r="Z211">
        <f>IF(AND($A211&lt;&gt;"",$B211&lt;&gt;"",$R211='تقرير ديسمبر'!$C$4,$P211='تقرير ديسمبر'!$C$6),COUNT(Z$4:Z210)+1,"")</f>
        <v/>
      </c>
      <c r="AA211">
        <f>IF(AND($A211&lt;&gt;"",$B211&lt;&gt;"",$R211='تقرير يناير'!$C$4,$P211='تقرير يناير'!$C$6),COUNT(AA$4:AA210)+1,"")</f>
        <v/>
      </c>
      <c r="AB211">
        <f>IF(AND($A211&lt;&gt;"",$B211&lt;&gt;"",$R211='تقرير فبراير'!$C$4,$P211='تقرير فبراير'!$C$6),COUNT(AB$4:AB210)+1,"")</f>
        <v/>
      </c>
      <c r="AC211">
        <f>IF(AND($A211&lt;&gt;"",$B211&lt;&gt;"",$R211='تقرير مارس'!$C$4,$P211='تقرير مارس'!$C$6),COUNT(AC$4:AC210)+1,"")</f>
        <v/>
      </c>
      <c r="AD211">
        <f>IF(AND($A211&lt;&gt;"",$B211&lt;&gt;"",$R211='تقرير أبريل'!$C$4,$P211='تقرير أبريل'!$C$6),COUNT(AD$4:AD210)+1,"")</f>
        <v/>
      </c>
      <c r="AE211">
        <f>IF(AND($A211&lt;&gt;"",$B211&lt;&gt;"",$R211='تقرير مايو'!$C$4,$P211='تقرير مايو'!$C$6),COUNT(AE$4:AE210)+1,"")</f>
        <v/>
      </c>
    </row>
    <row r="212">
      <c r="A212" s="16" t="n"/>
      <c r="B212" s="17" t="n"/>
      <c r="C212" s="17" t="n"/>
      <c r="D212" s="18" t="n"/>
      <c r="E212" s="17" t="n"/>
      <c r="F212" s="17" t="n"/>
      <c r="G212" s="19" t="n"/>
      <c r="H212" s="17" t="n"/>
      <c r="I212" s="17" t="n"/>
      <c r="J212" s="17" t="n"/>
      <c r="K212" s="20">
        <f>IF($B212="","",IFERROR(INDEX(الموظفات!$A$5:$A$304,MATCH($B212,الموظفات!$B$5:$B$304,0))&amp;"",""))</f>
        <v/>
      </c>
      <c r="L212" s="21">
        <f>IF($B212="","",IFERROR(INDEX(الموظفات!$C$5:$C$304,MATCH($B212,الموظفات!$B$5:$B$304,0))&amp;"",""))</f>
        <v/>
      </c>
      <c r="M212" s="20">
        <f>IF($B212="","",IFERROR(INDEX(الموظفات!$D$5:$D$304,MATCH($B212,الموظفات!$B$5:$B$304,0))&amp;"",""))</f>
        <v/>
      </c>
      <c r="N212" s="20">
        <f>IF($B212="","",IFERROR(INDEX(الموظفات!$E$5:$E$304,MATCH($B212,الموظفات!$B$5:$B$304,0))&amp;"",""))</f>
        <v/>
      </c>
      <c r="O212" s="21">
        <f>IF(C212="","",IFERROR(INDEX(الإعدادات!$D$7:$D$35,MATCH(C212,الإعدادات!$A$7:$A$35,0))&amp;"",""))</f>
        <v/>
      </c>
      <c r="P212" s="20">
        <f>IF(A212="","",INDEX(الإعدادات!$H$7:$H$18,MONTH(A212)))</f>
        <v/>
      </c>
      <c r="Q212" s="20">
        <f>IF(A212="","",INDEX(الإعدادات!$I$7:$I$18,MONTH(A212)))</f>
        <v/>
      </c>
      <c r="R212" s="20">
        <f>IF(A212="","",IF(MONTH(A212)&gt;=8,YEAR(A212)&amp;"-"&amp;(YEAR(A212)+1),(YEAR(A212)-1)&amp;"-"&amp;YEAR(A212)))</f>
        <v/>
      </c>
      <c r="S212" s="20">
        <f>IF(OR(A212="",B212=""),0,IF(AND(R212=التقارير!$C$4,OR(التقارير!$C$5="سنوي",AND(التقارير!$C$5="شهري",P212=التقارير!$C$6),AND(التقارير!$C$5="فصلي",Q212=التقارير!$C$7))),1,0))</f>
        <v/>
      </c>
      <c r="T212" s="20">
        <f>IF(S212=1,COUNTIF($S$5:S212,1),"")</f>
        <v/>
      </c>
      <c r="U212">
        <f>IF(AND($A212&lt;&gt;"",$B212&lt;&gt;"",$R212='تقرير الفصل الأول'!$C$4,$Q212='تقرير الفصل الأول'!$C$7),COUNT(U$4:U211)+1,"")</f>
        <v/>
      </c>
      <c r="V212">
        <f>IF(AND($A212&lt;&gt;"",$B212&lt;&gt;"",$R212='تقرير الفصل الثاني'!$C$4,$Q212='تقرير الفصل الثاني'!$C$7),COUNT(V$4:V211)+1,"")</f>
        <v/>
      </c>
      <c r="W212">
        <f>IF(AND($A212&lt;&gt;"",$B212&lt;&gt;"",$R212='تقرير سبتمبر'!$C$4,$P212='تقرير سبتمبر'!$C$6),COUNT(W$4:W211)+1,"")</f>
        <v/>
      </c>
      <c r="X212">
        <f>IF(AND($A212&lt;&gt;"",$B212&lt;&gt;"",$R212='تقرير أكتوبر'!$C$4,$P212='تقرير أكتوبر'!$C$6),COUNT(X$4:X211)+1,"")</f>
        <v/>
      </c>
      <c r="Y212">
        <f>IF(AND($A212&lt;&gt;"",$B212&lt;&gt;"",$R212='تقرير نوفمبر'!$C$4,$P212='تقرير نوفمبر'!$C$6),COUNT(Y$4:Y211)+1,"")</f>
        <v/>
      </c>
      <c r="Z212">
        <f>IF(AND($A212&lt;&gt;"",$B212&lt;&gt;"",$R212='تقرير ديسمبر'!$C$4,$P212='تقرير ديسمبر'!$C$6),COUNT(Z$4:Z211)+1,"")</f>
        <v/>
      </c>
      <c r="AA212">
        <f>IF(AND($A212&lt;&gt;"",$B212&lt;&gt;"",$R212='تقرير يناير'!$C$4,$P212='تقرير يناير'!$C$6),COUNT(AA$4:AA211)+1,"")</f>
        <v/>
      </c>
      <c r="AB212">
        <f>IF(AND($A212&lt;&gt;"",$B212&lt;&gt;"",$R212='تقرير فبراير'!$C$4,$P212='تقرير فبراير'!$C$6),COUNT(AB$4:AB211)+1,"")</f>
        <v/>
      </c>
      <c r="AC212">
        <f>IF(AND($A212&lt;&gt;"",$B212&lt;&gt;"",$R212='تقرير مارس'!$C$4,$P212='تقرير مارس'!$C$6),COUNT(AC$4:AC211)+1,"")</f>
        <v/>
      </c>
      <c r="AD212">
        <f>IF(AND($A212&lt;&gt;"",$B212&lt;&gt;"",$R212='تقرير أبريل'!$C$4,$P212='تقرير أبريل'!$C$6),COUNT(AD$4:AD211)+1,"")</f>
        <v/>
      </c>
      <c r="AE212">
        <f>IF(AND($A212&lt;&gt;"",$B212&lt;&gt;"",$R212='تقرير مايو'!$C$4,$P212='تقرير مايو'!$C$6),COUNT(AE$4:AE211)+1,"")</f>
        <v/>
      </c>
    </row>
    <row r="213">
      <c r="A213" s="16" t="n"/>
      <c r="B213" s="17" t="n"/>
      <c r="C213" s="17" t="n"/>
      <c r="D213" s="18" t="n"/>
      <c r="E213" s="17" t="n"/>
      <c r="F213" s="17" t="n"/>
      <c r="G213" s="19" t="n"/>
      <c r="H213" s="17" t="n"/>
      <c r="I213" s="17" t="n"/>
      <c r="J213" s="17" t="n"/>
      <c r="K213" s="20">
        <f>IF($B213="","",IFERROR(INDEX(الموظفات!$A$5:$A$304,MATCH($B213,الموظفات!$B$5:$B$304,0))&amp;"",""))</f>
        <v/>
      </c>
      <c r="L213" s="21">
        <f>IF($B213="","",IFERROR(INDEX(الموظفات!$C$5:$C$304,MATCH($B213,الموظفات!$B$5:$B$304,0))&amp;"",""))</f>
        <v/>
      </c>
      <c r="M213" s="20">
        <f>IF($B213="","",IFERROR(INDEX(الموظفات!$D$5:$D$304,MATCH($B213,الموظفات!$B$5:$B$304,0))&amp;"",""))</f>
        <v/>
      </c>
      <c r="N213" s="20">
        <f>IF($B213="","",IFERROR(INDEX(الموظفات!$E$5:$E$304,MATCH($B213,الموظفات!$B$5:$B$304,0))&amp;"",""))</f>
        <v/>
      </c>
      <c r="O213" s="21">
        <f>IF(C213="","",IFERROR(INDEX(الإعدادات!$D$7:$D$35,MATCH(C213,الإعدادات!$A$7:$A$35,0))&amp;"",""))</f>
        <v/>
      </c>
      <c r="P213" s="20">
        <f>IF(A213="","",INDEX(الإعدادات!$H$7:$H$18,MONTH(A213)))</f>
        <v/>
      </c>
      <c r="Q213" s="20">
        <f>IF(A213="","",INDEX(الإعدادات!$I$7:$I$18,MONTH(A213)))</f>
        <v/>
      </c>
      <c r="R213" s="20">
        <f>IF(A213="","",IF(MONTH(A213)&gt;=8,YEAR(A213)&amp;"-"&amp;(YEAR(A213)+1),(YEAR(A213)-1)&amp;"-"&amp;YEAR(A213)))</f>
        <v/>
      </c>
      <c r="S213" s="20">
        <f>IF(OR(A213="",B213=""),0,IF(AND(R213=التقارير!$C$4,OR(التقارير!$C$5="سنوي",AND(التقارير!$C$5="شهري",P213=التقارير!$C$6),AND(التقارير!$C$5="فصلي",Q213=التقارير!$C$7))),1,0))</f>
        <v/>
      </c>
      <c r="T213" s="20">
        <f>IF(S213=1,COUNTIF($S$5:S213,1),"")</f>
        <v/>
      </c>
      <c r="U213">
        <f>IF(AND($A213&lt;&gt;"",$B213&lt;&gt;"",$R213='تقرير الفصل الأول'!$C$4,$Q213='تقرير الفصل الأول'!$C$7),COUNT(U$4:U212)+1,"")</f>
        <v/>
      </c>
      <c r="V213">
        <f>IF(AND($A213&lt;&gt;"",$B213&lt;&gt;"",$R213='تقرير الفصل الثاني'!$C$4,$Q213='تقرير الفصل الثاني'!$C$7),COUNT(V$4:V212)+1,"")</f>
        <v/>
      </c>
      <c r="W213">
        <f>IF(AND($A213&lt;&gt;"",$B213&lt;&gt;"",$R213='تقرير سبتمبر'!$C$4,$P213='تقرير سبتمبر'!$C$6),COUNT(W$4:W212)+1,"")</f>
        <v/>
      </c>
      <c r="X213">
        <f>IF(AND($A213&lt;&gt;"",$B213&lt;&gt;"",$R213='تقرير أكتوبر'!$C$4,$P213='تقرير أكتوبر'!$C$6),COUNT(X$4:X212)+1,"")</f>
        <v/>
      </c>
      <c r="Y213">
        <f>IF(AND($A213&lt;&gt;"",$B213&lt;&gt;"",$R213='تقرير نوفمبر'!$C$4,$P213='تقرير نوفمبر'!$C$6),COUNT(Y$4:Y212)+1,"")</f>
        <v/>
      </c>
      <c r="Z213">
        <f>IF(AND($A213&lt;&gt;"",$B213&lt;&gt;"",$R213='تقرير ديسمبر'!$C$4,$P213='تقرير ديسمبر'!$C$6),COUNT(Z$4:Z212)+1,"")</f>
        <v/>
      </c>
      <c r="AA213">
        <f>IF(AND($A213&lt;&gt;"",$B213&lt;&gt;"",$R213='تقرير يناير'!$C$4,$P213='تقرير يناير'!$C$6),COUNT(AA$4:AA212)+1,"")</f>
        <v/>
      </c>
      <c r="AB213">
        <f>IF(AND($A213&lt;&gt;"",$B213&lt;&gt;"",$R213='تقرير فبراير'!$C$4,$P213='تقرير فبراير'!$C$6),COUNT(AB$4:AB212)+1,"")</f>
        <v/>
      </c>
      <c r="AC213">
        <f>IF(AND($A213&lt;&gt;"",$B213&lt;&gt;"",$R213='تقرير مارس'!$C$4,$P213='تقرير مارس'!$C$6),COUNT(AC$4:AC212)+1,"")</f>
        <v/>
      </c>
      <c r="AD213">
        <f>IF(AND($A213&lt;&gt;"",$B213&lt;&gt;"",$R213='تقرير أبريل'!$C$4,$P213='تقرير أبريل'!$C$6),COUNT(AD$4:AD212)+1,"")</f>
        <v/>
      </c>
      <c r="AE213">
        <f>IF(AND($A213&lt;&gt;"",$B213&lt;&gt;"",$R213='تقرير مايو'!$C$4,$P213='تقرير مايو'!$C$6),COUNT(AE$4:AE212)+1,"")</f>
        <v/>
      </c>
    </row>
    <row r="214">
      <c r="A214" s="16" t="n"/>
      <c r="B214" s="17" t="n"/>
      <c r="C214" s="17" t="n"/>
      <c r="D214" s="18" t="n"/>
      <c r="E214" s="17" t="n"/>
      <c r="F214" s="17" t="n"/>
      <c r="G214" s="19" t="n"/>
      <c r="H214" s="17" t="n"/>
      <c r="I214" s="17" t="n"/>
      <c r="J214" s="17" t="n"/>
      <c r="K214" s="20">
        <f>IF($B214="","",IFERROR(INDEX(الموظفات!$A$5:$A$304,MATCH($B214,الموظفات!$B$5:$B$304,0))&amp;"",""))</f>
        <v/>
      </c>
      <c r="L214" s="21">
        <f>IF($B214="","",IFERROR(INDEX(الموظفات!$C$5:$C$304,MATCH($B214,الموظفات!$B$5:$B$304,0))&amp;"",""))</f>
        <v/>
      </c>
      <c r="M214" s="20">
        <f>IF($B214="","",IFERROR(INDEX(الموظفات!$D$5:$D$304,MATCH($B214,الموظفات!$B$5:$B$304,0))&amp;"",""))</f>
        <v/>
      </c>
      <c r="N214" s="20">
        <f>IF($B214="","",IFERROR(INDEX(الموظفات!$E$5:$E$304,MATCH($B214,الموظفات!$B$5:$B$304,0))&amp;"",""))</f>
        <v/>
      </c>
      <c r="O214" s="21">
        <f>IF(C214="","",IFERROR(INDEX(الإعدادات!$D$7:$D$35,MATCH(C214,الإعدادات!$A$7:$A$35,0))&amp;"",""))</f>
        <v/>
      </c>
      <c r="P214" s="20">
        <f>IF(A214="","",INDEX(الإعدادات!$H$7:$H$18,MONTH(A214)))</f>
        <v/>
      </c>
      <c r="Q214" s="20">
        <f>IF(A214="","",INDEX(الإعدادات!$I$7:$I$18,MONTH(A214)))</f>
        <v/>
      </c>
      <c r="R214" s="20">
        <f>IF(A214="","",IF(MONTH(A214)&gt;=8,YEAR(A214)&amp;"-"&amp;(YEAR(A214)+1),(YEAR(A214)-1)&amp;"-"&amp;YEAR(A214)))</f>
        <v/>
      </c>
      <c r="S214" s="20">
        <f>IF(OR(A214="",B214=""),0,IF(AND(R214=التقارير!$C$4,OR(التقارير!$C$5="سنوي",AND(التقارير!$C$5="شهري",P214=التقارير!$C$6),AND(التقارير!$C$5="فصلي",Q214=التقارير!$C$7))),1,0))</f>
        <v/>
      </c>
      <c r="T214" s="20">
        <f>IF(S214=1,COUNTIF($S$5:S214,1),"")</f>
        <v/>
      </c>
      <c r="U214">
        <f>IF(AND($A214&lt;&gt;"",$B214&lt;&gt;"",$R214='تقرير الفصل الأول'!$C$4,$Q214='تقرير الفصل الأول'!$C$7),COUNT(U$4:U213)+1,"")</f>
        <v/>
      </c>
      <c r="V214">
        <f>IF(AND($A214&lt;&gt;"",$B214&lt;&gt;"",$R214='تقرير الفصل الثاني'!$C$4,$Q214='تقرير الفصل الثاني'!$C$7),COUNT(V$4:V213)+1,"")</f>
        <v/>
      </c>
      <c r="W214">
        <f>IF(AND($A214&lt;&gt;"",$B214&lt;&gt;"",$R214='تقرير سبتمبر'!$C$4,$P214='تقرير سبتمبر'!$C$6),COUNT(W$4:W213)+1,"")</f>
        <v/>
      </c>
      <c r="X214">
        <f>IF(AND($A214&lt;&gt;"",$B214&lt;&gt;"",$R214='تقرير أكتوبر'!$C$4,$P214='تقرير أكتوبر'!$C$6),COUNT(X$4:X213)+1,"")</f>
        <v/>
      </c>
      <c r="Y214">
        <f>IF(AND($A214&lt;&gt;"",$B214&lt;&gt;"",$R214='تقرير نوفمبر'!$C$4,$P214='تقرير نوفمبر'!$C$6),COUNT(Y$4:Y213)+1,"")</f>
        <v/>
      </c>
      <c r="Z214">
        <f>IF(AND($A214&lt;&gt;"",$B214&lt;&gt;"",$R214='تقرير ديسمبر'!$C$4,$P214='تقرير ديسمبر'!$C$6),COUNT(Z$4:Z213)+1,"")</f>
        <v/>
      </c>
      <c r="AA214">
        <f>IF(AND($A214&lt;&gt;"",$B214&lt;&gt;"",$R214='تقرير يناير'!$C$4,$P214='تقرير يناير'!$C$6),COUNT(AA$4:AA213)+1,"")</f>
        <v/>
      </c>
      <c r="AB214">
        <f>IF(AND($A214&lt;&gt;"",$B214&lt;&gt;"",$R214='تقرير فبراير'!$C$4,$P214='تقرير فبراير'!$C$6),COUNT(AB$4:AB213)+1,"")</f>
        <v/>
      </c>
      <c r="AC214">
        <f>IF(AND($A214&lt;&gt;"",$B214&lt;&gt;"",$R214='تقرير مارس'!$C$4,$P214='تقرير مارس'!$C$6),COUNT(AC$4:AC213)+1,"")</f>
        <v/>
      </c>
      <c r="AD214">
        <f>IF(AND($A214&lt;&gt;"",$B214&lt;&gt;"",$R214='تقرير أبريل'!$C$4,$P214='تقرير أبريل'!$C$6),COUNT(AD$4:AD213)+1,"")</f>
        <v/>
      </c>
      <c r="AE214">
        <f>IF(AND($A214&lt;&gt;"",$B214&lt;&gt;"",$R214='تقرير مايو'!$C$4,$P214='تقرير مايو'!$C$6),COUNT(AE$4:AE213)+1,"")</f>
        <v/>
      </c>
    </row>
    <row r="215">
      <c r="A215" s="16" t="n"/>
      <c r="B215" s="17" t="n"/>
      <c r="C215" s="17" t="n"/>
      <c r="D215" s="18" t="n"/>
      <c r="E215" s="17" t="n"/>
      <c r="F215" s="17" t="n"/>
      <c r="G215" s="19" t="n"/>
      <c r="H215" s="17" t="n"/>
      <c r="I215" s="17" t="n"/>
      <c r="J215" s="17" t="n"/>
      <c r="K215" s="20">
        <f>IF($B215="","",IFERROR(INDEX(الموظفات!$A$5:$A$304,MATCH($B215,الموظفات!$B$5:$B$304,0))&amp;"",""))</f>
        <v/>
      </c>
      <c r="L215" s="21">
        <f>IF($B215="","",IFERROR(INDEX(الموظفات!$C$5:$C$304,MATCH($B215,الموظفات!$B$5:$B$304,0))&amp;"",""))</f>
        <v/>
      </c>
      <c r="M215" s="20">
        <f>IF($B215="","",IFERROR(INDEX(الموظفات!$D$5:$D$304,MATCH($B215,الموظفات!$B$5:$B$304,0))&amp;"",""))</f>
        <v/>
      </c>
      <c r="N215" s="20">
        <f>IF($B215="","",IFERROR(INDEX(الموظفات!$E$5:$E$304,MATCH($B215,الموظفات!$B$5:$B$304,0))&amp;"",""))</f>
        <v/>
      </c>
      <c r="O215" s="21">
        <f>IF(C215="","",IFERROR(INDEX(الإعدادات!$D$7:$D$35,MATCH(C215,الإعدادات!$A$7:$A$35,0))&amp;"",""))</f>
        <v/>
      </c>
      <c r="P215" s="20">
        <f>IF(A215="","",INDEX(الإعدادات!$H$7:$H$18,MONTH(A215)))</f>
        <v/>
      </c>
      <c r="Q215" s="20">
        <f>IF(A215="","",INDEX(الإعدادات!$I$7:$I$18,MONTH(A215)))</f>
        <v/>
      </c>
      <c r="R215" s="20">
        <f>IF(A215="","",IF(MONTH(A215)&gt;=8,YEAR(A215)&amp;"-"&amp;(YEAR(A215)+1),(YEAR(A215)-1)&amp;"-"&amp;YEAR(A215)))</f>
        <v/>
      </c>
      <c r="S215" s="20">
        <f>IF(OR(A215="",B215=""),0,IF(AND(R215=التقارير!$C$4,OR(التقارير!$C$5="سنوي",AND(التقارير!$C$5="شهري",P215=التقارير!$C$6),AND(التقارير!$C$5="فصلي",Q215=التقارير!$C$7))),1,0))</f>
        <v/>
      </c>
      <c r="T215" s="20">
        <f>IF(S215=1,COUNTIF($S$5:S215,1),"")</f>
        <v/>
      </c>
      <c r="U215">
        <f>IF(AND($A215&lt;&gt;"",$B215&lt;&gt;"",$R215='تقرير الفصل الأول'!$C$4,$Q215='تقرير الفصل الأول'!$C$7),COUNT(U$4:U214)+1,"")</f>
        <v/>
      </c>
      <c r="V215">
        <f>IF(AND($A215&lt;&gt;"",$B215&lt;&gt;"",$R215='تقرير الفصل الثاني'!$C$4,$Q215='تقرير الفصل الثاني'!$C$7),COUNT(V$4:V214)+1,"")</f>
        <v/>
      </c>
      <c r="W215">
        <f>IF(AND($A215&lt;&gt;"",$B215&lt;&gt;"",$R215='تقرير سبتمبر'!$C$4,$P215='تقرير سبتمبر'!$C$6),COUNT(W$4:W214)+1,"")</f>
        <v/>
      </c>
      <c r="X215">
        <f>IF(AND($A215&lt;&gt;"",$B215&lt;&gt;"",$R215='تقرير أكتوبر'!$C$4,$P215='تقرير أكتوبر'!$C$6),COUNT(X$4:X214)+1,"")</f>
        <v/>
      </c>
      <c r="Y215">
        <f>IF(AND($A215&lt;&gt;"",$B215&lt;&gt;"",$R215='تقرير نوفمبر'!$C$4,$P215='تقرير نوفمبر'!$C$6),COUNT(Y$4:Y214)+1,"")</f>
        <v/>
      </c>
      <c r="Z215">
        <f>IF(AND($A215&lt;&gt;"",$B215&lt;&gt;"",$R215='تقرير ديسمبر'!$C$4,$P215='تقرير ديسمبر'!$C$6),COUNT(Z$4:Z214)+1,"")</f>
        <v/>
      </c>
      <c r="AA215">
        <f>IF(AND($A215&lt;&gt;"",$B215&lt;&gt;"",$R215='تقرير يناير'!$C$4,$P215='تقرير يناير'!$C$6),COUNT(AA$4:AA214)+1,"")</f>
        <v/>
      </c>
      <c r="AB215">
        <f>IF(AND($A215&lt;&gt;"",$B215&lt;&gt;"",$R215='تقرير فبراير'!$C$4,$P215='تقرير فبراير'!$C$6),COUNT(AB$4:AB214)+1,"")</f>
        <v/>
      </c>
      <c r="AC215">
        <f>IF(AND($A215&lt;&gt;"",$B215&lt;&gt;"",$R215='تقرير مارس'!$C$4,$P215='تقرير مارس'!$C$6),COUNT(AC$4:AC214)+1,"")</f>
        <v/>
      </c>
      <c r="AD215">
        <f>IF(AND($A215&lt;&gt;"",$B215&lt;&gt;"",$R215='تقرير أبريل'!$C$4,$P215='تقرير أبريل'!$C$6),COUNT(AD$4:AD214)+1,"")</f>
        <v/>
      </c>
      <c r="AE215">
        <f>IF(AND($A215&lt;&gt;"",$B215&lt;&gt;"",$R215='تقرير مايو'!$C$4,$P215='تقرير مايو'!$C$6),COUNT(AE$4:AE214)+1,"")</f>
        <v/>
      </c>
    </row>
    <row r="216">
      <c r="A216" s="16" t="n"/>
      <c r="B216" s="17" t="n"/>
      <c r="C216" s="17" t="n"/>
      <c r="D216" s="18" t="n"/>
      <c r="E216" s="17" t="n"/>
      <c r="F216" s="17" t="n"/>
      <c r="G216" s="19" t="n"/>
      <c r="H216" s="17" t="n"/>
      <c r="I216" s="17" t="n"/>
      <c r="J216" s="17" t="n"/>
      <c r="K216" s="20">
        <f>IF($B216="","",IFERROR(INDEX(الموظفات!$A$5:$A$304,MATCH($B216,الموظفات!$B$5:$B$304,0))&amp;"",""))</f>
        <v/>
      </c>
      <c r="L216" s="21">
        <f>IF($B216="","",IFERROR(INDEX(الموظفات!$C$5:$C$304,MATCH($B216,الموظفات!$B$5:$B$304,0))&amp;"",""))</f>
        <v/>
      </c>
      <c r="M216" s="20">
        <f>IF($B216="","",IFERROR(INDEX(الموظفات!$D$5:$D$304,MATCH($B216,الموظفات!$B$5:$B$304,0))&amp;"",""))</f>
        <v/>
      </c>
      <c r="N216" s="20">
        <f>IF($B216="","",IFERROR(INDEX(الموظفات!$E$5:$E$304,MATCH($B216,الموظفات!$B$5:$B$304,0))&amp;"",""))</f>
        <v/>
      </c>
      <c r="O216" s="21">
        <f>IF(C216="","",IFERROR(INDEX(الإعدادات!$D$7:$D$35,MATCH(C216,الإعدادات!$A$7:$A$35,0))&amp;"",""))</f>
        <v/>
      </c>
      <c r="P216" s="20">
        <f>IF(A216="","",INDEX(الإعدادات!$H$7:$H$18,MONTH(A216)))</f>
        <v/>
      </c>
      <c r="Q216" s="20">
        <f>IF(A216="","",INDEX(الإعدادات!$I$7:$I$18,MONTH(A216)))</f>
        <v/>
      </c>
      <c r="R216" s="20">
        <f>IF(A216="","",IF(MONTH(A216)&gt;=8,YEAR(A216)&amp;"-"&amp;(YEAR(A216)+1),(YEAR(A216)-1)&amp;"-"&amp;YEAR(A216)))</f>
        <v/>
      </c>
      <c r="S216" s="20">
        <f>IF(OR(A216="",B216=""),0,IF(AND(R216=التقارير!$C$4,OR(التقارير!$C$5="سنوي",AND(التقارير!$C$5="شهري",P216=التقارير!$C$6),AND(التقارير!$C$5="فصلي",Q216=التقارير!$C$7))),1,0))</f>
        <v/>
      </c>
      <c r="T216" s="20">
        <f>IF(S216=1,COUNTIF($S$5:S216,1),"")</f>
        <v/>
      </c>
      <c r="U216">
        <f>IF(AND($A216&lt;&gt;"",$B216&lt;&gt;"",$R216='تقرير الفصل الأول'!$C$4,$Q216='تقرير الفصل الأول'!$C$7),COUNT(U$4:U215)+1,"")</f>
        <v/>
      </c>
      <c r="V216">
        <f>IF(AND($A216&lt;&gt;"",$B216&lt;&gt;"",$R216='تقرير الفصل الثاني'!$C$4,$Q216='تقرير الفصل الثاني'!$C$7),COUNT(V$4:V215)+1,"")</f>
        <v/>
      </c>
      <c r="W216">
        <f>IF(AND($A216&lt;&gt;"",$B216&lt;&gt;"",$R216='تقرير سبتمبر'!$C$4,$P216='تقرير سبتمبر'!$C$6),COUNT(W$4:W215)+1,"")</f>
        <v/>
      </c>
      <c r="X216">
        <f>IF(AND($A216&lt;&gt;"",$B216&lt;&gt;"",$R216='تقرير أكتوبر'!$C$4,$P216='تقرير أكتوبر'!$C$6),COUNT(X$4:X215)+1,"")</f>
        <v/>
      </c>
      <c r="Y216">
        <f>IF(AND($A216&lt;&gt;"",$B216&lt;&gt;"",$R216='تقرير نوفمبر'!$C$4,$P216='تقرير نوفمبر'!$C$6),COUNT(Y$4:Y215)+1,"")</f>
        <v/>
      </c>
      <c r="Z216">
        <f>IF(AND($A216&lt;&gt;"",$B216&lt;&gt;"",$R216='تقرير ديسمبر'!$C$4,$P216='تقرير ديسمبر'!$C$6),COUNT(Z$4:Z215)+1,"")</f>
        <v/>
      </c>
      <c r="AA216">
        <f>IF(AND($A216&lt;&gt;"",$B216&lt;&gt;"",$R216='تقرير يناير'!$C$4,$P216='تقرير يناير'!$C$6),COUNT(AA$4:AA215)+1,"")</f>
        <v/>
      </c>
      <c r="AB216">
        <f>IF(AND($A216&lt;&gt;"",$B216&lt;&gt;"",$R216='تقرير فبراير'!$C$4,$P216='تقرير فبراير'!$C$6),COUNT(AB$4:AB215)+1,"")</f>
        <v/>
      </c>
      <c r="AC216">
        <f>IF(AND($A216&lt;&gt;"",$B216&lt;&gt;"",$R216='تقرير مارس'!$C$4,$P216='تقرير مارس'!$C$6),COUNT(AC$4:AC215)+1,"")</f>
        <v/>
      </c>
      <c r="AD216">
        <f>IF(AND($A216&lt;&gt;"",$B216&lt;&gt;"",$R216='تقرير أبريل'!$C$4,$P216='تقرير أبريل'!$C$6),COUNT(AD$4:AD215)+1,"")</f>
        <v/>
      </c>
      <c r="AE216">
        <f>IF(AND($A216&lt;&gt;"",$B216&lt;&gt;"",$R216='تقرير مايو'!$C$4,$P216='تقرير مايو'!$C$6),COUNT(AE$4:AE215)+1,"")</f>
        <v/>
      </c>
    </row>
    <row r="217">
      <c r="A217" s="16" t="n"/>
      <c r="B217" s="17" t="n"/>
      <c r="C217" s="17" t="n"/>
      <c r="D217" s="18" t="n"/>
      <c r="E217" s="17" t="n"/>
      <c r="F217" s="17" t="n"/>
      <c r="G217" s="19" t="n"/>
      <c r="H217" s="17" t="n"/>
      <c r="I217" s="17" t="n"/>
      <c r="J217" s="17" t="n"/>
      <c r="K217" s="20">
        <f>IF($B217="","",IFERROR(INDEX(الموظفات!$A$5:$A$304,MATCH($B217,الموظفات!$B$5:$B$304,0))&amp;"",""))</f>
        <v/>
      </c>
      <c r="L217" s="21">
        <f>IF($B217="","",IFERROR(INDEX(الموظفات!$C$5:$C$304,MATCH($B217,الموظفات!$B$5:$B$304,0))&amp;"",""))</f>
        <v/>
      </c>
      <c r="M217" s="20">
        <f>IF($B217="","",IFERROR(INDEX(الموظفات!$D$5:$D$304,MATCH($B217,الموظفات!$B$5:$B$304,0))&amp;"",""))</f>
        <v/>
      </c>
      <c r="N217" s="20">
        <f>IF($B217="","",IFERROR(INDEX(الموظفات!$E$5:$E$304,MATCH($B217,الموظفات!$B$5:$B$304,0))&amp;"",""))</f>
        <v/>
      </c>
      <c r="O217" s="21">
        <f>IF(C217="","",IFERROR(INDEX(الإعدادات!$D$7:$D$35,MATCH(C217,الإعدادات!$A$7:$A$35,0))&amp;"",""))</f>
        <v/>
      </c>
      <c r="P217" s="20">
        <f>IF(A217="","",INDEX(الإعدادات!$H$7:$H$18,MONTH(A217)))</f>
        <v/>
      </c>
      <c r="Q217" s="20">
        <f>IF(A217="","",INDEX(الإعدادات!$I$7:$I$18,MONTH(A217)))</f>
        <v/>
      </c>
      <c r="R217" s="20">
        <f>IF(A217="","",IF(MONTH(A217)&gt;=8,YEAR(A217)&amp;"-"&amp;(YEAR(A217)+1),(YEAR(A217)-1)&amp;"-"&amp;YEAR(A217)))</f>
        <v/>
      </c>
      <c r="S217" s="20">
        <f>IF(OR(A217="",B217=""),0,IF(AND(R217=التقارير!$C$4,OR(التقارير!$C$5="سنوي",AND(التقارير!$C$5="شهري",P217=التقارير!$C$6),AND(التقارير!$C$5="فصلي",Q217=التقارير!$C$7))),1,0))</f>
        <v/>
      </c>
      <c r="T217" s="20">
        <f>IF(S217=1,COUNTIF($S$5:S217,1),"")</f>
        <v/>
      </c>
      <c r="U217">
        <f>IF(AND($A217&lt;&gt;"",$B217&lt;&gt;"",$R217='تقرير الفصل الأول'!$C$4,$Q217='تقرير الفصل الأول'!$C$7),COUNT(U$4:U216)+1,"")</f>
        <v/>
      </c>
      <c r="V217">
        <f>IF(AND($A217&lt;&gt;"",$B217&lt;&gt;"",$R217='تقرير الفصل الثاني'!$C$4,$Q217='تقرير الفصل الثاني'!$C$7),COUNT(V$4:V216)+1,"")</f>
        <v/>
      </c>
      <c r="W217">
        <f>IF(AND($A217&lt;&gt;"",$B217&lt;&gt;"",$R217='تقرير سبتمبر'!$C$4,$P217='تقرير سبتمبر'!$C$6),COUNT(W$4:W216)+1,"")</f>
        <v/>
      </c>
      <c r="X217">
        <f>IF(AND($A217&lt;&gt;"",$B217&lt;&gt;"",$R217='تقرير أكتوبر'!$C$4,$P217='تقرير أكتوبر'!$C$6),COUNT(X$4:X216)+1,"")</f>
        <v/>
      </c>
      <c r="Y217">
        <f>IF(AND($A217&lt;&gt;"",$B217&lt;&gt;"",$R217='تقرير نوفمبر'!$C$4,$P217='تقرير نوفمبر'!$C$6),COUNT(Y$4:Y216)+1,"")</f>
        <v/>
      </c>
      <c r="Z217">
        <f>IF(AND($A217&lt;&gt;"",$B217&lt;&gt;"",$R217='تقرير ديسمبر'!$C$4,$P217='تقرير ديسمبر'!$C$6),COUNT(Z$4:Z216)+1,"")</f>
        <v/>
      </c>
      <c r="AA217">
        <f>IF(AND($A217&lt;&gt;"",$B217&lt;&gt;"",$R217='تقرير يناير'!$C$4,$P217='تقرير يناير'!$C$6),COUNT(AA$4:AA216)+1,"")</f>
        <v/>
      </c>
      <c r="AB217">
        <f>IF(AND($A217&lt;&gt;"",$B217&lt;&gt;"",$R217='تقرير فبراير'!$C$4,$P217='تقرير فبراير'!$C$6),COUNT(AB$4:AB216)+1,"")</f>
        <v/>
      </c>
      <c r="AC217">
        <f>IF(AND($A217&lt;&gt;"",$B217&lt;&gt;"",$R217='تقرير مارس'!$C$4,$P217='تقرير مارس'!$C$6),COUNT(AC$4:AC216)+1,"")</f>
        <v/>
      </c>
      <c r="AD217">
        <f>IF(AND($A217&lt;&gt;"",$B217&lt;&gt;"",$R217='تقرير أبريل'!$C$4,$P217='تقرير أبريل'!$C$6),COUNT(AD$4:AD216)+1,"")</f>
        <v/>
      </c>
      <c r="AE217">
        <f>IF(AND($A217&lt;&gt;"",$B217&lt;&gt;"",$R217='تقرير مايو'!$C$4,$P217='تقرير مايو'!$C$6),COUNT(AE$4:AE216)+1,"")</f>
        <v/>
      </c>
    </row>
    <row r="218">
      <c r="A218" s="16" t="n"/>
      <c r="B218" s="17" t="n"/>
      <c r="C218" s="17" t="n"/>
      <c r="D218" s="18" t="n"/>
      <c r="E218" s="17" t="n"/>
      <c r="F218" s="17" t="n"/>
      <c r="G218" s="19" t="n"/>
      <c r="H218" s="17" t="n"/>
      <c r="I218" s="17" t="n"/>
      <c r="J218" s="17" t="n"/>
      <c r="K218" s="20">
        <f>IF($B218="","",IFERROR(INDEX(الموظفات!$A$5:$A$304,MATCH($B218,الموظفات!$B$5:$B$304,0))&amp;"",""))</f>
        <v/>
      </c>
      <c r="L218" s="21">
        <f>IF($B218="","",IFERROR(INDEX(الموظفات!$C$5:$C$304,MATCH($B218,الموظفات!$B$5:$B$304,0))&amp;"",""))</f>
        <v/>
      </c>
      <c r="M218" s="20">
        <f>IF($B218="","",IFERROR(INDEX(الموظفات!$D$5:$D$304,MATCH($B218,الموظفات!$B$5:$B$304,0))&amp;"",""))</f>
        <v/>
      </c>
      <c r="N218" s="20">
        <f>IF($B218="","",IFERROR(INDEX(الموظفات!$E$5:$E$304,MATCH($B218,الموظفات!$B$5:$B$304,0))&amp;"",""))</f>
        <v/>
      </c>
      <c r="O218" s="21">
        <f>IF(C218="","",IFERROR(INDEX(الإعدادات!$D$7:$D$35,MATCH(C218,الإعدادات!$A$7:$A$35,0))&amp;"",""))</f>
        <v/>
      </c>
      <c r="P218" s="20">
        <f>IF(A218="","",INDEX(الإعدادات!$H$7:$H$18,MONTH(A218)))</f>
        <v/>
      </c>
      <c r="Q218" s="20">
        <f>IF(A218="","",INDEX(الإعدادات!$I$7:$I$18,MONTH(A218)))</f>
        <v/>
      </c>
      <c r="R218" s="20">
        <f>IF(A218="","",IF(MONTH(A218)&gt;=8,YEAR(A218)&amp;"-"&amp;(YEAR(A218)+1),(YEAR(A218)-1)&amp;"-"&amp;YEAR(A218)))</f>
        <v/>
      </c>
      <c r="S218" s="20">
        <f>IF(OR(A218="",B218=""),0,IF(AND(R218=التقارير!$C$4,OR(التقارير!$C$5="سنوي",AND(التقارير!$C$5="شهري",P218=التقارير!$C$6),AND(التقارير!$C$5="فصلي",Q218=التقارير!$C$7))),1,0))</f>
        <v/>
      </c>
      <c r="T218" s="20">
        <f>IF(S218=1,COUNTIF($S$5:S218,1),"")</f>
        <v/>
      </c>
      <c r="U218">
        <f>IF(AND($A218&lt;&gt;"",$B218&lt;&gt;"",$R218='تقرير الفصل الأول'!$C$4,$Q218='تقرير الفصل الأول'!$C$7),COUNT(U$4:U217)+1,"")</f>
        <v/>
      </c>
      <c r="V218">
        <f>IF(AND($A218&lt;&gt;"",$B218&lt;&gt;"",$R218='تقرير الفصل الثاني'!$C$4,$Q218='تقرير الفصل الثاني'!$C$7),COUNT(V$4:V217)+1,"")</f>
        <v/>
      </c>
      <c r="W218">
        <f>IF(AND($A218&lt;&gt;"",$B218&lt;&gt;"",$R218='تقرير سبتمبر'!$C$4,$P218='تقرير سبتمبر'!$C$6),COUNT(W$4:W217)+1,"")</f>
        <v/>
      </c>
      <c r="X218">
        <f>IF(AND($A218&lt;&gt;"",$B218&lt;&gt;"",$R218='تقرير أكتوبر'!$C$4,$P218='تقرير أكتوبر'!$C$6),COUNT(X$4:X217)+1,"")</f>
        <v/>
      </c>
      <c r="Y218">
        <f>IF(AND($A218&lt;&gt;"",$B218&lt;&gt;"",$R218='تقرير نوفمبر'!$C$4,$P218='تقرير نوفمبر'!$C$6),COUNT(Y$4:Y217)+1,"")</f>
        <v/>
      </c>
      <c r="Z218">
        <f>IF(AND($A218&lt;&gt;"",$B218&lt;&gt;"",$R218='تقرير ديسمبر'!$C$4,$P218='تقرير ديسمبر'!$C$6),COUNT(Z$4:Z217)+1,"")</f>
        <v/>
      </c>
      <c r="AA218">
        <f>IF(AND($A218&lt;&gt;"",$B218&lt;&gt;"",$R218='تقرير يناير'!$C$4,$P218='تقرير يناير'!$C$6),COUNT(AA$4:AA217)+1,"")</f>
        <v/>
      </c>
      <c r="AB218">
        <f>IF(AND($A218&lt;&gt;"",$B218&lt;&gt;"",$R218='تقرير فبراير'!$C$4,$P218='تقرير فبراير'!$C$6),COUNT(AB$4:AB217)+1,"")</f>
        <v/>
      </c>
      <c r="AC218">
        <f>IF(AND($A218&lt;&gt;"",$B218&lt;&gt;"",$R218='تقرير مارس'!$C$4,$P218='تقرير مارس'!$C$6),COUNT(AC$4:AC217)+1,"")</f>
        <v/>
      </c>
      <c r="AD218">
        <f>IF(AND($A218&lt;&gt;"",$B218&lt;&gt;"",$R218='تقرير أبريل'!$C$4,$P218='تقرير أبريل'!$C$6),COUNT(AD$4:AD217)+1,"")</f>
        <v/>
      </c>
      <c r="AE218">
        <f>IF(AND($A218&lt;&gt;"",$B218&lt;&gt;"",$R218='تقرير مايو'!$C$4,$P218='تقرير مايو'!$C$6),COUNT(AE$4:AE217)+1,"")</f>
        <v/>
      </c>
    </row>
    <row r="219">
      <c r="A219" s="16" t="n"/>
      <c r="B219" s="17" t="n"/>
      <c r="C219" s="17" t="n"/>
      <c r="D219" s="18" t="n"/>
      <c r="E219" s="17" t="n"/>
      <c r="F219" s="17" t="n"/>
      <c r="G219" s="19" t="n"/>
      <c r="H219" s="17" t="n"/>
      <c r="I219" s="17" t="n"/>
      <c r="J219" s="17" t="n"/>
      <c r="K219" s="20">
        <f>IF($B219="","",IFERROR(INDEX(الموظفات!$A$5:$A$304,MATCH($B219,الموظفات!$B$5:$B$304,0))&amp;"",""))</f>
        <v/>
      </c>
      <c r="L219" s="21">
        <f>IF($B219="","",IFERROR(INDEX(الموظفات!$C$5:$C$304,MATCH($B219,الموظفات!$B$5:$B$304,0))&amp;"",""))</f>
        <v/>
      </c>
      <c r="M219" s="20">
        <f>IF($B219="","",IFERROR(INDEX(الموظفات!$D$5:$D$304,MATCH($B219,الموظفات!$B$5:$B$304,0))&amp;"",""))</f>
        <v/>
      </c>
      <c r="N219" s="20">
        <f>IF($B219="","",IFERROR(INDEX(الموظفات!$E$5:$E$304,MATCH($B219,الموظفات!$B$5:$B$304,0))&amp;"",""))</f>
        <v/>
      </c>
      <c r="O219" s="21">
        <f>IF(C219="","",IFERROR(INDEX(الإعدادات!$D$7:$D$35,MATCH(C219,الإعدادات!$A$7:$A$35,0))&amp;"",""))</f>
        <v/>
      </c>
      <c r="P219" s="20">
        <f>IF(A219="","",INDEX(الإعدادات!$H$7:$H$18,MONTH(A219)))</f>
        <v/>
      </c>
      <c r="Q219" s="20">
        <f>IF(A219="","",INDEX(الإعدادات!$I$7:$I$18,MONTH(A219)))</f>
        <v/>
      </c>
      <c r="R219" s="20">
        <f>IF(A219="","",IF(MONTH(A219)&gt;=8,YEAR(A219)&amp;"-"&amp;(YEAR(A219)+1),(YEAR(A219)-1)&amp;"-"&amp;YEAR(A219)))</f>
        <v/>
      </c>
      <c r="S219" s="20">
        <f>IF(OR(A219="",B219=""),0,IF(AND(R219=التقارير!$C$4,OR(التقارير!$C$5="سنوي",AND(التقارير!$C$5="شهري",P219=التقارير!$C$6),AND(التقارير!$C$5="فصلي",Q219=التقارير!$C$7))),1,0))</f>
        <v/>
      </c>
      <c r="T219" s="20">
        <f>IF(S219=1,COUNTIF($S$5:S219,1),"")</f>
        <v/>
      </c>
      <c r="U219">
        <f>IF(AND($A219&lt;&gt;"",$B219&lt;&gt;"",$R219='تقرير الفصل الأول'!$C$4,$Q219='تقرير الفصل الأول'!$C$7),COUNT(U$4:U218)+1,"")</f>
        <v/>
      </c>
      <c r="V219">
        <f>IF(AND($A219&lt;&gt;"",$B219&lt;&gt;"",$R219='تقرير الفصل الثاني'!$C$4,$Q219='تقرير الفصل الثاني'!$C$7),COUNT(V$4:V218)+1,"")</f>
        <v/>
      </c>
      <c r="W219">
        <f>IF(AND($A219&lt;&gt;"",$B219&lt;&gt;"",$R219='تقرير سبتمبر'!$C$4,$P219='تقرير سبتمبر'!$C$6),COUNT(W$4:W218)+1,"")</f>
        <v/>
      </c>
      <c r="X219">
        <f>IF(AND($A219&lt;&gt;"",$B219&lt;&gt;"",$R219='تقرير أكتوبر'!$C$4,$P219='تقرير أكتوبر'!$C$6),COUNT(X$4:X218)+1,"")</f>
        <v/>
      </c>
      <c r="Y219">
        <f>IF(AND($A219&lt;&gt;"",$B219&lt;&gt;"",$R219='تقرير نوفمبر'!$C$4,$P219='تقرير نوفمبر'!$C$6),COUNT(Y$4:Y218)+1,"")</f>
        <v/>
      </c>
      <c r="Z219">
        <f>IF(AND($A219&lt;&gt;"",$B219&lt;&gt;"",$R219='تقرير ديسمبر'!$C$4,$P219='تقرير ديسمبر'!$C$6),COUNT(Z$4:Z218)+1,"")</f>
        <v/>
      </c>
      <c r="AA219">
        <f>IF(AND($A219&lt;&gt;"",$B219&lt;&gt;"",$R219='تقرير يناير'!$C$4,$P219='تقرير يناير'!$C$6),COUNT(AA$4:AA218)+1,"")</f>
        <v/>
      </c>
      <c r="AB219">
        <f>IF(AND($A219&lt;&gt;"",$B219&lt;&gt;"",$R219='تقرير فبراير'!$C$4,$P219='تقرير فبراير'!$C$6),COUNT(AB$4:AB218)+1,"")</f>
        <v/>
      </c>
      <c r="AC219">
        <f>IF(AND($A219&lt;&gt;"",$B219&lt;&gt;"",$R219='تقرير مارس'!$C$4,$P219='تقرير مارس'!$C$6),COUNT(AC$4:AC218)+1,"")</f>
        <v/>
      </c>
      <c r="AD219">
        <f>IF(AND($A219&lt;&gt;"",$B219&lt;&gt;"",$R219='تقرير أبريل'!$C$4,$P219='تقرير أبريل'!$C$6),COUNT(AD$4:AD218)+1,"")</f>
        <v/>
      </c>
      <c r="AE219">
        <f>IF(AND($A219&lt;&gt;"",$B219&lt;&gt;"",$R219='تقرير مايو'!$C$4,$P219='تقرير مايو'!$C$6),COUNT(AE$4:AE218)+1,"")</f>
        <v/>
      </c>
    </row>
    <row r="220">
      <c r="A220" s="16" t="n"/>
      <c r="B220" s="17" t="n"/>
      <c r="C220" s="17" t="n"/>
      <c r="D220" s="18" t="n"/>
      <c r="E220" s="17" t="n"/>
      <c r="F220" s="17" t="n"/>
      <c r="G220" s="19" t="n"/>
      <c r="H220" s="17" t="n"/>
      <c r="I220" s="17" t="n"/>
      <c r="J220" s="17" t="n"/>
      <c r="K220" s="20">
        <f>IF($B220="","",IFERROR(INDEX(الموظفات!$A$5:$A$304,MATCH($B220,الموظفات!$B$5:$B$304,0))&amp;"",""))</f>
        <v/>
      </c>
      <c r="L220" s="21">
        <f>IF($B220="","",IFERROR(INDEX(الموظفات!$C$5:$C$304,MATCH($B220,الموظفات!$B$5:$B$304,0))&amp;"",""))</f>
        <v/>
      </c>
      <c r="M220" s="20">
        <f>IF($B220="","",IFERROR(INDEX(الموظفات!$D$5:$D$304,MATCH($B220,الموظفات!$B$5:$B$304,0))&amp;"",""))</f>
        <v/>
      </c>
      <c r="N220" s="20">
        <f>IF($B220="","",IFERROR(INDEX(الموظفات!$E$5:$E$304,MATCH($B220,الموظفات!$B$5:$B$304,0))&amp;"",""))</f>
        <v/>
      </c>
      <c r="O220" s="21">
        <f>IF(C220="","",IFERROR(INDEX(الإعدادات!$D$7:$D$35,MATCH(C220,الإعدادات!$A$7:$A$35,0))&amp;"",""))</f>
        <v/>
      </c>
      <c r="P220" s="20">
        <f>IF(A220="","",INDEX(الإعدادات!$H$7:$H$18,MONTH(A220)))</f>
        <v/>
      </c>
      <c r="Q220" s="20">
        <f>IF(A220="","",INDEX(الإعدادات!$I$7:$I$18,MONTH(A220)))</f>
        <v/>
      </c>
      <c r="R220" s="20">
        <f>IF(A220="","",IF(MONTH(A220)&gt;=8,YEAR(A220)&amp;"-"&amp;(YEAR(A220)+1),(YEAR(A220)-1)&amp;"-"&amp;YEAR(A220)))</f>
        <v/>
      </c>
      <c r="S220" s="20">
        <f>IF(OR(A220="",B220=""),0,IF(AND(R220=التقارير!$C$4,OR(التقارير!$C$5="سنوي",AND(التقارير!$C$5="شهري",P220=التقارير!$C$6),AND(التقارير!$C$5="فصلي",Q220=التقارير!$C$7))),1,0))</f>
        <v/>
      </c>
      <c r="T220" s="20">
        <f>IF(S220=1,COUNTIF($S$5:S220,1),"")</f>
        <v/>
      </c>
      <c r="U220">
        <f>IF(AND($A220&lt;&gt;"",$B220&lt;&gt;"",$R220='تقرير الفصل الأول'!$C$4,$Q220='تقرير الفصل الأول'!$C$7),COUNT(U$4:U219)+1,"")</f>
        <v/>
      </c>
      <c r="V220">
        <f>IF(AND($A220&lt;&gt;"",$B220&lt;&gt;"",$R220='تقرير الفصل الثاني'!$C$4,$Q220='تقرير الفصل الثاني'!$C$7),COUNT(V$4:V219)+1,"")</f>
        <v/>
      </c>
      <c r="W220">
        <f>IF(AND($A220&lt;&gt;"",$B220&lt;&gt;"",$R220='تقرير سبتمبر'!$C$4,$P220='تقرير سبتمبر'!$C$6),COUNT(W$4:W219)+1,"")</f>
        <v/>
      </c>
      <c r="X220">
        <f>IF(AND($A220&lt;&gt;"",$B220&lt;&gt;"",$R220='تقرير أكتوبر'!$C$4,$P220='تقرير أكتوبر'!$C$6),COUNT(X$4:X219)+1,"")</f>
        <v/>
      </c>
      <c r="Y220">
        <f>IF(AND($A220&lt;&gt;"",$B220&lt;&gt;"",$R220='تقرير نوفمبر'!$C$4,$P220='تقرير نوفمبر'!$C$6),COUNT(Y$4:Y219)+1,"")</f>
        <v/>
      </c>
      <c r="Z220">
        <f>IF(AND($A220&lt;&gt;"",$B220&lt;&gt;"",$R220='تقرير ديسمبر'!$C$4,$P220='تقرير ديسمبر'!$C$6),COUNT(Z$4:Z219)+1,"")</f>
        <v/>
      </c>
      <c r="AA220">
        <f>IF(AND($A220&lt;&gt;"",$B220&lt;&gt;"",$R220='تقرير يناير'!$C$4,$P220='تقرير يناير'!$C$6),COUNT(AA$4:AA219)+1,"")</f>
        <v/>
      </c>
      <c r="AB220">
        <f>IF(AND($A220&lt;&gt;"",$B220&lt;&gt;"",$R220='تقرير فبراير'!$C$4,$P220='تقرير فبراير'!$C$6),COUNT(AB$4:AB219)+1,"")</f>
        <v/>
      </c>
      <c r="AC220">
        <f>IF(AND($A220&lt;&gt;"",$B220&lt;&gt;"",$R220='تقرير مارس'!$C$4,$P220='تقرير مارس'!$C$6),COUNT(AC$4:AC219)+1,"")</f>
        <v/>
      </c>
      <c r="AD220">
        <f>IF(AND($A220&lt;&gt;"",$B220&lt;&gt;"",$R220='تقرير أبريل'!$C$4,$P220='تقرير أبريل'!$C$6),COUNT(AD$4:AD219)+1,"")</f>
        <v/>
      </c>
      <c r="AE220">
        <f>IF(AND($A220&lt;&gt;"",$B220&lt;&gt;"",$R220='تقرير مايو'!$C$4,$P220='تقرير مايو'!$C$6),COUNT(AE$4:AE219)+1,"")</f>
        <v/>
      </c>
    </row>
    <row r="221">
      <c r="A221" s="16" t="n"/>
      <c r="B221" s="17" t="n"/>
      <c r="C221" s="17" t="n"/>
      <c r="D221" s="18" t="n"/>
      <c r="E221" s="17" t="n"/>
      <c r="F221" s="17" t="n"/>
      <c r="G221" s="19" t="n"/>
      <c r="H221" s="17" t="n"/>
      <c r="I221" s="17" t="n"/>
      <c r="J221" s="17" t="n"/>
      <c r="K221" s="20">
        <f>IF($B221="","",IFERROR(INDEX(الموظفات!$A$5:$A$304,MATCH($B221,الموظفات!$B$5:$B$304,0))&amp;"",""))</f>
        <v/>
      </c>
      <c r="L221" s="21">
        <f>IF($B221="","",IFERROR(INDEX(الموظفات!$C$5:$C$304,MATCH($B221,الموظفات!$B$5:$B$304,0))&amp;"",""))</f>
        <v/>
      </c>
      <c r="M221" s="20">
        <f>IF($B221="","",IFERROR(INDEX(الموظفات!$D$5:$D$304,MATCH($B221,الموظفات!$B$5:$B$304,0))&amp;"",""))</f>
        <v/>
      </c>
      <c r="N221" s="20">
        <f>IF($B221="","",IFERROR(INDEX(الموظفات!$E$5:$E$304,MATCH($B221,الموظفات!$B$5:$B$304,0))&amp;"",""))</f>
        <v/>
      </c>
      <c r="O221" s="21">
        <f>IF(C221="","",IFERROR(INDEX(الإعدادات!$D$7:$D$35,MATCH(C221,الإعدادات!$A$7:$A$35,0))&amp;"",""))</f>
        <v/>
      </c>
      <c r="P221" s="20">
        <f>IF(A221="","",INDEX(الإعدادات!$H$7:$H$18,MONTH(A221)))</f>
        <v/>
      </c>
      <c r="Q221" s="20">
        <f>IF(A221="","",INDEX(الإعدادات!$I$7:$I$18,MONTH(A221)))</f>
        <v/>
      </c>
      <c r="R221" s="20">
        <f>IF(A221="","",IF(MONTH(A221)&gt;=8,YEAR(A221)&amp;"-"&amp;(YEAR(A221)+1),(YEAR(A221)-1)&amp;"-"&amp;YEAR(A221)))</f>
        <v/>
      </c>
      <c r="S221" s="20">
        <f>IF(OR(A221="",B221=""),0,IF(AND(R221=التقارير!$C$4,OR(التقارير!$C$5="سنوي",AND(التقارير!$C$5="شهري",P221=التقارير!$C$6),AND(التقارير!$C$5="فصلي",Q221=التقارير!$C$7))),1,0))</f>
        <v/>
      </c>
      <c r="T221" s="20">
        <f>IF(S221=1,COUNTIF($S$5:S221,1),"")</f>
        <v/>
      </c>
      <c r="U221">
        <f>IF(AND($A221&lt;&gt;"",$B221&lt;&gt;"",$R221='تقرير الفصل الأول'!$C$4,$Q221='تقرير الفصل الأول'!$C$7),COUNT(U$4:U220)+1,"")</f>
        <v/>
      </c>
      <c r="V221">
        <f>IF(AND($A221&lt;&gt;"",$B221&lt;&gt;"",$R221='تقرير الفصل الثاني'!$C$4,$Q221='تقرير الفصل الثاني'!$C$7),COUNT(V$4:V220)+1,"")</f>
        <v/>
      </c>
      <c r="W221">
        <f>IF(AND($A221&lt;&gt;"",$B221&lt;&gt;"",$R221='تقرير سبتمبر'!$C$4,$P221='تقرير سبتمبر'!$C$6),COUNT(W$4:W220)+1,"")</f>
        <v/>
      </c>
      <c r="X221">
        <f>IF(AND($A221&lt;&gt;"",$B221&lt;&gt;"",$R221='تقرير أكتوبر'!$C$4,$P221='تقرير أكتوبر'!$C$6),COUNT(X$4:X220)+1,"")</f>
        <v/>
      </c>
      <c r="Y221">
        <f>IF(AND($A221&lt;&gt;"",$B221&lt;&gt;"",$R221='تقرير نوفمبر'!$C$4,$P221='تقرير نوفمبر'!$C$6),COUNT(Y$4:Y220)+1,"")</f>
        <v/>
      </c>
      <c r="Z221">
        <f>IF(AND($A221&lt;&gt;"",$B221&lt;&gt;"",$R221='تقرير ديسمبر'!$C$4,$P221='تقرير ديسمبر'!$C$6),COUNT(Z$4:Z220)+1,"")</f>
        <v/>
      </c>
      <c r="AA221">
        <f>IF(AND($A221&lt;&gt;"",$B221&lt;&gt;"",$R221='تقرير يناير'!$C$4,$P221='تقرير يناير'!$C$6),COUNT(AA$4:AA220)+1,"")</f>
        <v/>
      </c>
      <c r="AB221">
        <f>IF(AND($A221&lt;&gt;"",$B221&lt;&gt;"",$R221='تقرير فبراير'!$C$4,$P221='تقرير فبراير'!$C$6),COUNT(AB$4:AB220)+1,"")</f>
        <v/>
      </c>
      <c r="AC221">
        <f>IF(AND($A221&lt;&gt;"",$B221&lt;&gt;"",$R221='تقرير مارس'!$C$4,$P221='تقرير مارس'!$C$6),COUNT(AC$4:AC220)+1,"")</f>
        <v/>
      </c>
      <c r="AD221">
        <f>IF(AND($A221&lt;&gt;"",$B221&lt;&gt;"",$R221='تقرير أبريل'!$C$4,$P221='تقرير أبريل'!$C$6),COUNT(AD$4:AD220)+1,"")</f>
        <v/>
      </c>
      <c r="AE221">
        <f>IF(AND($A221&lt;&gt;"",$B221&lt;&gt;"",$R221='تقرير مايو'!$C$4,$P221='تقرير مايو'!$C$6),COUNT(AE$4:AE220)+1,"")</f>
        <v/>
      </c>
    </row>
    <row r="222">
      <c r="A222" s="16" t="n"/>
      <c r="B222" s="17" t="n"/>
      <c r="C222" s="17" t="n"/>
      <c r="D222" s="18" t="n"/>
      <c r="E222" s="17" t="n"/>
      <c r="F222" s="17" t="n"/>
      <c r="G222" s="19" t="n"/>
      <c r="H222" s="17" t="n"/>
      <c r="I222" s="17" t="n"/>
      <c r="J222" s="17" t="n"/>
      <c r="K222" s="20">
        <f>IF($B222="","",IFERROR(INDEX(الموظفات!$A$5:$A$304,MATCH($B222,الموظفات!$B$5:$B$304,0))&amp;"",""))</f>
        <v/>
      </c>
      <c r="L222" s="21">
        <f>IF($B222="","",IFERROR(INDEX(الموظفات!$C$5:$C$304,MATCH($B222,الموظفات!$B$5:$B$304,0))&amp;"",""))</f>
        <v/>
      </c>
      <c r="M222" s="20">
        <f>IF($B222="","",IFERROR(INDEX(الموظفات!$D$5:$D$304,MATCH($B222,الموظفات!$B$5:$B$304,0))&amp;"",""))</f>
        <v/>
      </c>
      <c r="N222" s="20">
        <f>IF($B222="","",IFERROR(INDEX(الموظفات!$E$5:$E$304,MATCH($B222,الموظفات!$B$5:$B$304,0))&amp;"",""))</f>
        <v/>
      </c>
      <c r="O222" s="21">
        <f>IF(C222="","",IFERROR(INDEX(الإعدادات!$D$7:$D$35,MATCH(C222,الإعدادات!$A$7:$A$35,0))&amp;"",""))</f>
        <v/>
      </c>
      <c r="P222" s="20">
        <f>IF(A222="","",INDEX(الإعدادات!$H$7:$H$18,MONTH(A222)))</f>
        <v/>
      </c>
      <c r="Q222" s="20">
        <f>IF(A222="","",INDEX(الإعدادات!$I$7:$I$18,MONTH(A222)))</f>
        <v/>
      </c>
      <c r="R222" s="20">
        <f>IF(A222="","",IF(MONTH(A222)&gt;=8,YEAR(A222)&amp;"-"&amp;(YEAR(A222)+1),(YEAR(A222)-1)&amp;"-"&amp;YEAR(A222)))</f>
        <v/>
      </c>
      <c r="S222" s="20">
        <f>IF(OR(A222="",B222=""),0,IF(AND(R222=التقارير!$C$4,OR(التقارير!$C$5="سنوي",AND(التقارير!$C$5="شهري",P222=التقارير!$C$6),AND(التقارير!$C$5="فصلي",Q222=التقارير!$C$7))),1,0))</f>
        <v/>
      </c>
      <c r="T222" s="20">
        <f>IF(S222=1,COUNTIF($S$5:S222,1),"")</f>
        <v/>
      </c>
      <c r="U222">
        <f>IF(AND($A222&lt;&gt;"",$B222&lt;&gt;"",$R222='تقرير الفصل الأول'!$C$4,$Q222='تقرير الفصل الأول'!$C$7),COUNT(U$4:U221)+1,"")</f>
        <v/>
      </c>
      <c r="V222">
        <f>IF(AND($A222&lt;&gt;"",$B222&lt;&gt;"",$R222='تقرير الفصل الثاني'!$C$4,$Q222='تقرير الفصل الثاني'!$C$7),COUNT(V$4:V221)+1,"")</f>
        <v/>
      </c>
      <c r="W222">
        <f>IF(AND($A222&lt;&gt;"",$B222&lt;&gt;"",$R222='تقرير سبتمبر'!$C$4,$P222='تقرير سبتمبر'!$C$6),COUNT(W$4:W221)+1,"")</f>
        <v/>
      </c>
      <c r="X222">
        <f>IF(AND($A222&lt;&gt;"",$B222&lt;&gt;"",$R222='تقرير أكتوبر'!$C$4,$P222='تقرير أكتوبر'!$C$6),COUNT(X$4:X221)+1,"")</f>
        <v/>
      </c>
      <c r="Y222">
        <f>IF(AND($A222&lt;&gt;"",$B222&lt;&gt;"",$R222='تقرير نوفمبر'!$C$4,$P222='تقرير نوفمبر'!$C$6),COUNT(Y$4:Y221)+1,"")</f>
        <v/>
      </c>
      <c r="Z222">
        <f>IF(AND($A222&lt;&gt;"",$B222&lt;&gt;"",$R222='تقرير ديسمبر'!$C$4,$P222='تقرير ديسمبر'!$C$6),COUNT(Z$4:Z221)+1,"")</f>
        <v/>
      </c>
      <c r="AA222">
        <f>IF(AND($A222&lt;&gt;"",$B222&lt;&gt;"",$R222='تقرير يناير'!$C$4,$P222='تقرير يناير'!$C$6),COUNT(AA$4:AA221)+1,"")</f>
        <v/>
      </c>
      <c r="AB222">
        <f>IF(AND($A222&lt;&gt;"",$B222&lt;&gt;"",$R222='تقرير فبراير'!$C$4,$P222='تقرير فبراير'!$C$6),COUNT(AB$4:AB221)+1,"")</f>
        <v/>
      </c>
      <c r="AC222">
        <f>IF(AND($A222&lt;&gt;"",$B222&lt;&gt;"",$R222='تقرير مارس'!$C$4,$P222='تقرير مارس'!$C$6),COUNT(AC$4:AC221)+1,"")</f>
        <v/>
      </c>
      <c r="AD222">
        <f>IF(AND($A222&lt;&gt;"",$B222&lt;&gt;"",$R222='تقرير أبريل'!$C$4,$P222='تقرير أبريل'!$C$6),COUNT(AD$4:AD221)+1,"")</f>
        <v/>
      </c>
      <c r="AE222">
        <f>IF(AND($A222&lt;&gt;"",$B222&lt;&gt;"",$R222='تقرير مايو'!$C$4,$P222='تقرير مايو'!$C$6),COUNT(AE$4:AE221)+1,"")</f>
        <v/>
      </c>
    </row>
    <row r="223">
      <c r="A223" s="16" t="n"/>
      <c r="B223" s="17" t="n"/>
      <c r="C223" s="17" t="n"/>
      <c r="D223" s="18" t="n"/>
      <c r="E223" s="17" t="n"/>
      <c r="F223" s="17" t="n"/>
      <c r="G223" s="19" t="n"/>
      <c r="H223" s="17" t="n"/>
      <c r="I223" s="17" t="n"/>
      <c r="J223" s="17" t="n"/>
      <c r="K223" s="20">
        <f>IF($B223="","",IFERROR(INDEX(الموظفات!$A$5:$A$304,MATCH($B223,الموظفات!$B$5:$B$304,0))&amp;"",""))</f>
        <v/>
      </c>
      <c r="L223" s="21">
        <f>IF($B223="","",IFERROR(INDEX(الموظفات!$C$5:$C$304,MATCH($B223,الموظفات!$B$5:$B$304,0))&amp;"",""))</f>
        <v/>
      </c>
      <c r="M223" s="20">
        <f>IF($B223="","",IFERROR(INDEX(الموظفات!$D$5:$D$304,MATCH($B223,الموظفات!$B$5:$B$304,0))&amp;"",""))</f>
        <v/>
      </c>
      <c r="N223" s="20">
        <f>IF($B223="","",IFERROR(INDEX(الموظفات!$E$5:$E$304,MATCH($B223,الموظفات!$B$5:$B$304,0))&amp;"",""))</f>
        <v/>
      </c>
      <c r="O223" s="21">
        <f>IF(C223="","",IFERROR(INDEX(الإعدادات!$D$7:$D$35,MATCH(C223,الإعدادات!$A$7:$A$35,0))&amp;"",""))</f>
        <v/>
      </c>
      <c r="P223" s="20">
        <f>IF(A223="","",INDEX(الإعدادات!$H$7:$H$18,MONTH(A223)))</f>
        <v/>
      </c>
      <c r="Q223" s="20">
        <f>IF(A223="","",INDEX(الإعدادات!$I$7:$I$18,MONTH(A223)))</f>
        <v/>
      </c>
      <c r="R223" s="20">
        <f>IF(A223="","",IF(MONTH(A223)&gt;=8,YEAR(A223)&amp;"-"&amp;(YEAR(A223)+1),(YEAR(A223)-1)&amp;"-"&amp;YEAR(A223)))</f>
        <v/>
      </c>
      <c r="S223" s="20">
        <f>IF(OR(A223="",B223=""),0,IF(AND(R223=التقارير!$C$4,OR(التقارير!$C$5="سنوي",AND(التقارير!$C$5="شهري",P223=التقارير!$C$6),AND(التقارير!$C$5="فصلي",Q223=التقارير!$C$7))),1,0))</f>
        <v/>
      </c>
      <c r="T223" s="20">
        <f>IF(S223=1,COUNTIF($S$5:S223,1),"")</f>
        <v/>
      </c>
      <c r="U223">
        <f>IF(AND($A223&lt;&gt;"",$B223&lt;&gt;"",$R223='تقرير الفصل الأول'!$C$4,$Q223='تقرير الفصل الأول'!$C$7),COUNT(U$4:U222)+1,"")</f>
        <v/>
      </c>
      <c r="V223">
        <f>IF(AND($A223&lt;&gt;"",$B223&lt;&gt;"",$R223='تقرير الفصل الثاني'!$C$4,$Q223='تقرير الفصل الثاني'!$C$7),COUNT(V$4:V222)+1,"")</f>
        <v/>
      </c>
      <c r="W223">
        <f>IF(AND($A223&lt;&gt;"",$B223&lt;&gt;"",$R223='تقرير سبتمبر'!$C$4,$P223='تقرير سبتمبر'!$C$6),COUNT(W$4:W222)+1,"")</f>
        <v/>
      </c>
      <c r="X223">
        <f>IF(AND($A223&lt;&gt;"",$B223&lt;&gt;"",$R223='تقرير أكتوبر'!$C$4,$P223='تقرير أكتوبر'!$C$6),COUNT(X$4:X222)+1,"")</f>
        <v/>
      </c>
      <c r="Y223">
        <f>IF(AND($A223&lt;&gt;"",$B223&lt;&gt;"",$R223='تقرير نوفمبر'!$C$4,$P223='تقرير نوفمبر'!$C$6),COUNT(Y$4:Y222)+1,"")</f>
        <v/>
      </c>
      <c r="Z223">
        <f>IF(AND($A223&lt;&gt;"",$B223&lt;&gt;"",$R223='تقرير ديسمبر'!$C$4,$P223='تقرير ديسمبر'!$C$6),COUNT(Z$4:Z222)+1,"")</f>
        <v/>
      </c>
      <c r="AA223">
        <f>IF(AND($A223&lt;&gt;"",$B223&lt;&gt;"",$R223='تقرير يناير'!$C$4,$P223='تقرير يناير'!$C$6),COUNT(AA$4:AA222)+1,"")</f>
        <v/>
      </c>
      <c r="AB223">
        <f>IF(AND($A223&lt;&gt;"",$B223&lt;&gt;"",$R223='تقرير فبراير'!$C$4,$P223='تقرير فبراير'!$C$6),COUNT(AB$4:AB222)+1,"")</f>
        <v/>
      </c>
      <c r="AC223">
        <f>IF(AND($A223&lt;&gt;"",$B223&lt;&gt;"",$R223='تقرير مارس'!$C$4,$P223='تقرير مارس'!$C$6),COUNT(AC$4:AC222)+1,"")</f>
        <v/>
      </c>
      <c r="AD223">
        <f>IF(AND($A223&lt;&gt;"",$B223&lt;&gt;"",$R223='تقرير أبريل'!$C$4,$P223='تقرير أبريل'!$C$6),COUNT(AD$4:AD222)+1,"")</f>
        <v/>
      </c>
      <c r="AE223">
        <f>IF(AND($A223&lt;&gt;"",$B223&lt;&gt;"",$R223='تقرير مايو'!$C$4,$P223='تقرير مايو'!$C$6),COUNT(AE$4:AE222)+1,"")</f>
        <v/>
      </c>
    </row>
    <row r="224">
      <c r="A224" s="16" t="n"/>
      <c r="B224" s="17" t="n"/>
      <c r="C224" s="17" t="n"/>
      <c r="D224" s="18" t="n"/>
      <c r="E224" s="17" t="n"/>
      <c r="F224" s="17" t="n"/>
      <c r="G224" s="19" t="n"/>
      <c r="H224" s="17" t="n"/>
      <c r="I224" s="17" t="n"/>
      <c r="J224" s="17" t="n"/>
      <c r="K224" s="20">
        <f>IF($B224="","",IFERROR(INDEX(الموظفات!$A$5:$A$304,MATCH($B224,الموظفات!$B$5:$B$304,0))&amp;"",""))</f>
        <v/>
      </c>
      <c r="L224" s="21">
        <f>IF($B224="","",IFERROR(INDEX(الموظفات!$C$5:$C$304,MATCH($B224,الموظفات!$B$5:$B$304,0))&amp;"",""))</f>
        <v/>
      </c>
      <c r="M224" s="20">
        <f>IF($B224="","",IFERROR(INDEX(الموظفات!$D$5:$D$304,MATCH($B224,الموظفات!$B$5:$B$304,0))&amp;"",""))</f>
        <v/>
      </c>
      <c r="N224" s="20">
        <f>IF($B224="","",IFERROR(INDEX(الموظفات!$E$5:$E$304,MATCH($B224,الموظفات!$B$5:$B$304,0))&amp;"",""))</f>
        <v/>
      </c>
      <c r="O224" s="21">
        <f>IF(C224="","",IFERROR(INDEX(الإعدادات!$D$7:$D$35,MATCH(C224,الإعدادات!$A$7:$A$35,0))&amp;"",""))</f>
        <v/>
      </c>
      <c r="P224" s="20">
        <f>IF(A224="","",INDEX(الإعدادات!$H$7:$H$18,MONTH(A224)))</f>
        <v/>
      </c>
      <c r="Q224" s="20">
        <f>IF(A224="","",INDEX(الإعدادات!$I$7:$I$18,MONTH(A224)))</f>
        <v/>
      </c>
      <c r="R224" s="20">
        <f>IF(A224="","",IF(MONTH(A224)&gt;=8,YEAR(A224)&amp;"-"&amp;(YEAR(A224)+1),(YEAR(A224)-1)&amp;"-"&amp;YEAR(A224)))</f>
        <v/>
      </c>
      <c r="S224" s="20">
        <f>IF(OR(A224="",B224=""),0,IF(AND(R224=التقارير!$C$4,OR(التقارير!$C$5="سنوي",AND(التقارير!$C$5="شهري",P224=التقارير!$C$6),AND(التقارير!$C$5="فصلي",Q224=التقارير!$C$7))),1,0))</f>
        <v/>
      </c>
      <c r="T224" s="20">
        <f>IF(S224=1,COUNTIF($S$5:S224,1),"")</f>
        <v/>
      </c>
      <c r="U224">
        <f>IF(AND($A224&lt;&gt;"",$B224&lt;&gt;"",$R224='تقرير الفصل الأول'!$C$4,$Q224='تقرير الفصل الأول'!$C$7),COUNT(U$4:U223)+1,"")</f>
        <v/>
      </c>
      <c r="V224">
        <f>IF(AND($A224&lt;&gt;"",$B224&lt;&gt;"",$R224='تقرير الفصل الثاني'!$C$4,$Q224='تقرير الفصل الثاني'!$C$7),COUNT(V$4:V223)+1,"")</f>
        <v/>
      </c>
      <c r="W224">
        <f>IF(AND($A224&lt;&gt;"",$B224&lt;&gt;"",$R224='تقرير سبتمبر'!$C$4,$P224='تقرير سبتمبر'!$C$6),COUNT(W$4:W223)+1,"")</f>
        <v/>
      </c>
      <c r="X224">
        <f>IF(AND($A224&lt;&gt;"",$B224&lt;&gt;"",$R224='تقرير أكتوبر'!$C$4,$P224='تقرير أكتوبر'!$C$6),COUNT(X$4:X223)+1,"")</f>
        <v/>
      </c>
      <c r="Y224">
        <f>IF(AND($A224&lt;&gt;"",$B224&lt;&gt;"",$R224='تقرير نوفمبر'!$C$4,$P224='تقرير نوفمبر'!$C$6),COUNT(Y$4:Y223)+1,"")</f>
        <v/>
      </c>
      <c r="Z224">
        <f>IF(AND($A224&lt;&gt;"",$B224&lt;&gt;"",$R224='تقرير ديسمبر'!$C$4,$P224='تقرير ديسمبر'!$C$6),COUNT(Z$4:Z223)+1,"")</f>
        <v/>
      </c>
      <c r="AA224">
        <f>IF(AND($A224&lt;&gt;"",$B224&lt;&gt;"",$R224='تقرير يناير'!$C$4,$P224='تقرير يناير'!$C$6),COUNT(AA$4:AA223)+1,"")</f>
        <v/>
      </c>
      <c r="AB224">
        <f>IF(AND($A224&lt;&gt;"",$B224&lt;&gt;"",$R224='تقرير فبراير'!$C$4,$P224='تقرير فبراير'!$C$6),COUNT(AB$4:AB223)+1,"")</f>
        <v/>
      </c>
      <c r="AC224">
        <f>IF(AND($A224&lt;&gt;"",$B224&lt;&gt;"",$R224='تقرير مارس'!$C$4,$P224='تقرير مارس'!$C$6),COUNT(AC$4:AC223)+1,"")</f>
        <v/>
      </c>
      <c r="AD224">
        <f>IF(AND($A224&lt;&gt;"",$B224&lt;&gt;"",$R224='تقرير أبريل'!$C$4,$P224='تقرير أبريل'!$C$6),COUNT(AD$4:AD223)+1,"")</f>
        <v/>
      </c>
      <c r="AE224">
        <f>IF(AND($A224&lt;&gt;"",$B224&lt;&gt;"",$R224='تقرير مايو'!$C$4,$P224='تقرير مايو'!$C$6),COUNT(AE$4:AE223)+1,"")</f>
        <v/>
      </c>
    </row>
    <row r="225">
      <c r="A225" s="16" t="n"/>
      <c r="B225" s="17" t="n"/>
      <c r="C225" s="17" t="n"/>
      <c r="D225" s="18" t="n"/>
      <c r="E225" s="17" t="n"/>
      <c r="F225" s="17" t="n"/>
      <c r="G225" s="19" t="n"/>
      <c r="H225" s="17" t="n"/>
      <c r="I225" s="17" t="n"/>
      <c r="J225" s="17" t="n"/>
      <c r="K225" s="20">
        <f>IF($B225="","",IFERROR(INDEX(الموظفات!$A$5:$A$304,MATCH($B225,الموظفات!$B$5:$B$304,0))&amp;"",""))</f>
        <v/>
      </c>
      <c r="L225" s="21">
        <f>IF($B225="","",IFERROR(INDEX(الموظفات!$C$5:$C$304,MATCH($B225,الموظفات!$B$5:$B$304,0))&amp;"",""))</f>
        <v/>
      </c>
      <c r="M225" s="20">
        <f>IF($B225="","",IFERROR(INDEX(الموظفات!$D$5:$D$304,MATCH($B225,الموظفات!$B$5:$B$304,0))&amp;"",""))</f>
        <v/>
      </c>
      <c r="N225" s="20">
        <f>IF($B225="","",IFERROR(INDEX(الموظفات!$E$5:$E$304,MATCH($B225,الموظفات!$B$5:$B$304,0))&amp;"",""))</f>
        <v/>
      </c>
      <c r="O225" s="21">
        <f>IF(C225="","",IFERROR(INDEX(الإعدادات!$D$7:$D$35,MATCH(C225,الإعدادات!$A$7:$A$35,0))&amp;"",""))</f>
        <v/>
      </c>
      <c r="P225" s="20">
        <f>IF(A225="","",INDEX(الإعدادات!$H$7:$H$18,MONTH(A225)))</f>
        <v/>
      </c>
      <c r="Q225" s="20">
        <f>IF(A225="","",INDEX(الإعدادات!$I$7:$I$18,MONTH(A225)))</f>
        <v/>
      </c>
      <c r="R225" s="20">
        <f>IF(A225="","",IF(MONTH(A225)&gt;=8,YEAR(A225)&amp;"-"&amp;(YEAR(A225)+1),(YEAR(A225)-1)&amp;"-"&amp;YEAR(A225)))</f>
        <v/>
      </c>
      <c r="S225" s="20">
        <f>IF(OR(A225="",B225=""),0,IF(AND(R225=التقارير!$C$4,OR(التقارير!$C$5="سنوي",AND(التقارير!$C$5="شهري",P225=التقارير!$C$6),AND(التقارير!$C$5="فصلي",Q225=التقارير!$C$7))),1,0))</f>
        <v/>
      </c>
      <c r="T225" s="20">
        <f>IF(S225=1,COUNTIF($S$5:S225,1),"")</f>
        <v/>
      </c>
      <c r="U225">
        <f>IF(AND($A225&lt;&gt;"",$B225&lt;&gt;"",$R225='تقرير الفصل الأول'!$C$4,$Q225='تقرير الفصل الأول'!$C$7),COUNT(U$4:U224)+1,"")</f>
        <v/>
      </c>
      <c r="V225">
        <f>IF(AND($A225&lt;&gt;"",$B225&lt;&gt;"",$R225='تقرير الفصل الثاني'!$C$4,$Q225='تقرير الفصل الثاني'!$C$7),COUNT(V$4:V224)+1,"")</f>
        <v/>
      </c>
      <c r="W225">
        <f>IF(AND($A225&lt;&gt;"",$B225&lt;&gt;"",$R225='تقرير سبتمبر'!$C$4,$P225='تقرير سبتمبر'!$C$6),COUNT(W$4:W224)+1,"")</f>
        <v/>
      </c>
      <c r="X225">
        <f>IF(AND($A225&lt;&gt;"",$B225&lt;&gt;"",$R225='تقرير أكتوبر'!$C$4,$P225='تقرير أكتوبر'!$C$6),COUNT(X$4:X224)+1,"")</f>
        <v/>
      </c>
      <c r="Y225">
        <f>IF(AND($A225&lt;&gt;"",$B225&lt;&gt;"",$R225='تقرير نوفمبر'!$C$4,$P225='تقرير نوفمبر'!$C$6),COUNT(Y$4:Y224)+1,"")</f>
        <v/>
      </c>
      <c r="Z225">
        <f>IF(AND($A225&lt;&gt;"",$B225&lt;&gt;"",$R225='تقرير ديسمبر'!$C$4,$P225='تقرير ديسمبر'!$C$6),COUNT(Z$4:Z224)+1,"")</f>
        <v/>
      </c>
      <c r="AA225">
        <f>IF(AND($A225&lt;&gt;"",$B225&lt;&gt;"",$R225='تقرير يناير'!$C$4,$P225='تقرير يناير'!$C$6),COUNT(AA$4:AA224)+1,"")</f>
        <v/>
      </c>
      <c r="AB225">
        <f>IF(AND($A225&lt;&gt;"",$B225&lt;&gt;"",$R225='تقرير فبراير'!$C$4,$P225='تقرير فبراير'!$C$6),COUNT(AB$4:AB224)+1,"")</f>
        <v/>
      </c>
      <c r="AC225">
        <f>IF(AND($A225&lt;&gt;"",$B225&lt;&gt;"",$R225='تقرير مارس'!$C$4,$P225='تقرير مارس'!$C$6),COUNT(AC$4:AC224)+1,"")</f>
        <v/>
      </c>
      <c r="AD225">
        <f>IF(AND($A225&lt;&gt;"",$B225&lt;&gt;"",$R225='تقرير أبريل'!$C$4,$P225='تقرير أبريل'!$C$6),COUNT(AD$4:AD224)+1,"")</f>
        <v/>
      </c>
      <c r="AE225">
        <f>IF(AND($A225&lt;&gt;"",$B225&lt;&gt;"",$R225='تقرير مايو'!$C$4,$P225='تقرير مايو'!$C$6),COUNT(AE$4:AE224)+1,"")</f>
        <v/>
      </c>
    </row>
    <row r="226">
      <c r="A226" s="16" t="n"/>
      <c r="B226" s="17" t="n"/>
      <c r="C226" s="17" t="n"/>
      <c r="D226" s="18" t="n"/>
      <c r="E226" s="17" t="n"/>
      <c r="F226" s="17" t="n"/>
      <c r="G226" s="19" t="n"/>
      <c r="H226" s="17" t="n"/>
      <c r="I226" s="17" t="n"/>
      <c r="J226" s="17" t="n"/>
      <c r="K226" s="20">
        <f>IF($B226="","",IFERROR(INDEX(الموظفات!$A$5:$A$304,MATCH($B226,الموظفات!$B$5:$B$304,0))&amp;"",""))</f>
        <v/>
      </c>
      <c r="L226" s="21">
        <f>IF($B226="","",IFERROR(INDEX(الموظفات!$C$5:$C$304,MATCH($B226,الموظفات!$B$5:$B$304,0))&amp;"",""))</f>
        <v/>
      </c>
      <c r="M226" s="20">
        <f>IF($B226="","",IFERROR(INDEX(الموظفات!$D$5:$D$304,MATCH($B226,الموظفات!$B$5:$B$304,0))&amp;"",""))</f>
        <v/>
      </c>
      <c r="N226" s="20">
        <f>IF($B226="","",IFERROR(INDEX(الموظفات!$E$5:$E$304,MATCH($B226,الموظفات!$B$5:$B$304,0))&amp;"",""))</f>
        <v/>
      </c>
      <c r="O226" s="21">
        <f>IF(C226="","",IFERROR(INDEX(الإعدادات!$D$7:$D$35,MATCH(C226,الإعدادات!$A$7:$A$35,0))&amp;"",""))</f>
        <v/>
      </c>
      <c r="P226" s="20">
        <f>IF(A226="","",INDEX(الإعدادات!$H$7:$H$18,MONTH(A226)))</f>
        <v/>
      </c>
      <c r="Q226" s="20">
        <f>IF(A226="","",INDEX(الإعدادات!$I$7:$I$18,MONTH(A226)))</f>
        <v/>
      </c>
      <c r="R226" s="20">
        <f>IF(A226="","",IF(MONTH(A226)&gt;=8,YEAR(A226)&amp;"-"&amp;(YEAR(A226)+1),(YEAR(A226)-1)&amp;"-"&amp;YEAR(A226)))</f>
        <v/>
      </c>
      <c r="S226" s="20">
        <f>IF(OR(A226="",B226=""),0,IF(AND(R226=التقارير!$C$4,OR(التقارير!$C$5="سنوي",AND(التقارير!$C$5="شهري",P226=التقارير!$C$6),AND(التقارير!$C$5="فصلي",Q226=التقارير!$C$7))),1,0))</f>
        <v/>
      </c>
      <c r="T226" s="20">
        <f>IF(S226=1,COUNTIF($S$5:S226,1),"")</f>
        <v/>
      </c>
      <c r="U226">
        <f>IF(AND($A226&lt;&gt;"",$B226&lt;&gt;"",$R226='تقرير الفصل الأول'!$C$4,$Q226='تقرير الفصل الأول'!$C$7),COUNT(U$4:U225)+1,"")</f>
        <v/>
      </c>
      <c r="V226">
        <f>IF(AND($A226&lt;&gt;"",$B226&lt;&gt;"",$R226='تقرير الفصل الثاني'!$C$4,$Q226='تقرير الفصل الثاني'!$C$7),COUNT(V$4:V225)+1,"")</f>
        <v/>
      </c>
      <c r="W226">
        <f>IF(AND($A226&lt;&gt;"",$B226&lt;&gt;"",$R226='تقرير سبتمبر'!$C$4,$P226='تقرير سبتمبر'!$C$6),COUNT(W$4:W225)+1,"")</f>
        <v/>
      </c>
      <c r="X226">
        <f>IF(AND($A226&lt;&gt;"",$B226&lt;&gt;"",$R226='تقرير أكتوبر'!$C$4,$P226='تقرير أكتوبر'!$C$6),COUNT(X$4:X225)+1,"")</f>
        <v/>
      </c>
      <c r="Y226">
        <f>IF(AND($A226&lt;&gt;"",$B226&lt;&gt;"",$R226='تقرير نوفمبر'!$C$4,$P226='تقرير نوفمبر'!$C$6),COUNT(Y$4:Y225)+1,"")</f>
        <v/>
      </c>
      <c r="Z226">
        <f>IF(AND($A226&lt;&gt;"",$B226&lt;&gt;"",$R226='تقرير ديسمبر'!$C$4,$P226='تقرير ديسمبر'!$C$6),COUNT(Z$4:Z225)+1,"")</f>
        <v/>
      </c>
      <c r="AA226">
        <f>IF(AND($A226&lt;&gt;"",$B226&lt;&gt;"",$R226='تقرير يناير'!$C$4,$P226='تقرير يناير'!$C$6),COUNT(AA$4:AA225)+1,"")</f>
        <v/>
      </c>
      <c r="AB226">
        <f>IF(AND($A226&lt;&gt;"",$B226&lt;&gt;"",$R226='تقرير فبراير'!$C$4,$P226='تقرير فبراير'!$C$6),COUNT(AB$4:AB225)+1,"")</f>
        <v/>
      </c>
      <c r="AC226">
        <f>IF(AND($A226&lt;&gt;"",$B226&lt;&gt;"",$R226='تقرير مارس'!$C$4,$P226='تقرير مارس'!$C$6),COUNT(AC$4:AC225)+1,"")</f>
        <v/>
      </c>
      <c r="AD226">
        <f>IF(AND($A226&lt;&gt;"",$B226&lt;&gt;"",$R226='تقرير أبريل'!$C$4,$P226='تقرير أبريل'!$C$6),COUNT(AD$4:AD225)+1,"")</f>
        <v/>
      </c>
      <c r="AE226">
        <f>IF(AND($A226&lt;&gt;"",$B226&lt;&gt;"",$R226='تقرير مايو'!$C$4,$P226='تقرير مايو'!$C$6),COUNT(AE$4:AE225)+1,"")</f>
        <v/>
      </c>
    </row>
    <row r="227">
      <c r="A227" s="16" t="n"/>
      <c r="B227" s="17" t="n"/>
      <c r="C227" s="17" t="n"/>
      <c r="D227" s="18" t="n"/>
      <c r="E227" s="17" t="n"/>
      <c r="F227" s="17" t="n"/>
      <c r="G227" s="19" t="n"/>
      <c r="H227" s="17" t="n"/>
      <c r="I227" s="17" t="n"/>
      <c r="J227" s="17" t="n"/>
      <c r="K227" s="20">
        <f>IF($B227="","",IFERROR(INDEX(الموظفات!$A$5:$A$304,MATCH($B227,الموظفات!$B$5:$B$304,0))&amp;"",""))</f>
        <v/>
      </c>
      <c r="L227" s="21">
        <f>IF($B227="","",IFERROR(INDEX(الموظفات!$C$5:$C$304,MATCH($B227,الموظفات!$B$5:$B$304,0))&amp;"",""))</f>
        <v/>
      </c>
      <c r="M227" s="20">
        <f>IF($B227="","",IFERROR(INDEX(الموظفات!$D$5:$D$304,MATCH($B227,الموظفات!$B$5:$B$304,0))&amp;"",""))</f>
        <v/>
      </c>
      <c r="N227" s="20">
        <f>IF($B227="","",IFERROR(INDEX(الموظفات!$E$5:$E$304,MATCH($B227,الموظفات!$B$5:$B$304,0))&amp;"",""))</f>
        <v/>
      </c>
      <c r="O227" s="21">
        <f>IF(C227="","",IFERROR(INDEX(الإعدادات!$D$7:$D$35,MATCH(C227,الإعدادات!$A$7:$A$35,0))&amp;"",""))</f>
        <v/>
      </c>
      <c r="P227" s="20">
        <f>IF(A227="","",INDEX(الإعدادات!$H$7:$H$18,MONTH(A227)))</f>
        <v/>
      </c>
      <c r="Q227" s="20">
        <f>IF(A227="","",INDEX(الإعدادات!$I$7:$I$18,MONTH(A227)))</f>
        <v/>
      </c>
      <c r="R227" s="20">
        <f>IF(A227="","",IF(MONTH(A227)&gt;=8,YEAR(A227)&amp;"-"&amp;(YEAR(A227)+1),(YEAR(A227)-1)&amp;"-"&amp;YEAR(A227)))</f>
        <v/>
      </c>
      <c r="S227" s="20">
        <f>IF(OR(A227="",B227=""),0,IF(AND(R227=التقارير!$C$4,OR(التقارير!$C$5="سنوي",AND(التقارير!$C$5="شهري",P227=التقارير!$C$6),AND(التقارير!$C$5="فصلي",Q227=التقارير!$C$7))),1,0))</f>
        <v/>
      </c>
      <c r="T227" s="20">
        <f>IF(S227=1,COUNTIF($S$5:S227,1),"")</f>
        <v/>
      </c>
      <c r="U227">
        <f>IF(AND($A227&lt;&gt;"",$B227&lt;&gt;"",$R227='تقرير الفصل الأول'!$C$4,$Q227='تقرير الفصل الأول'!$C$7),COUNT(U$4:U226)+1,"")</f>
        <v/>
      </c>
      <c r="V227">
        <f>IF(AND($A227&lt;&gt;"",$B227&lt;&gt;"",$R227='تقرير الفصل الثاني'!$C$4,$Q227='تقرير الفصل الثاني'!$C$7),COUNT(V$4:V226)+1,"")</f>
        <v/>
      </c>
      <c r="W227">
        <f>IF(AND($A227&lt;&gt;"",$B227&lt;&gt;"",$R227='تقرير سبتمبر'!$C$4,$P227='تقرير سبتمبر'!$C$6),COUNT(W$4:W226)+1,"")</f>
        <v/>
      </c>
      <c r="X227">
        <f>IF(AND($A227&lt;&gt;"",$B227&lt;&gt;"",$R227='تقرير أكتوبر'!$C$4,$P227='تقرير أكتوبر'!$C$6),COUNT(X$4:X226)+1,"")</f>
        <v/>
      </c>
      <c r="Y227">
        <f>IF(AND($A227&lt;&gt;"",$B227&lt;&gt;"",$R227='تقرير نوفمبر'!$C$4,$P227='تقرير نوفمبر'!$C$6),COUNT(Y$4:Y226)+1,"")</f>
        <v/>
      </c>
      <c r="Z227">
        <f>IF(AND($A227&lt;&gt;"",$B227&lt;&gt;"",$R227='تقرير ديسمبر'!$C$4,$P227='تقرير ديسمبر'!$C$6),COUNT(Z$4:Z226)+1,"")</f>
        <v/>
      </c>
      <c r="AA227">
        <f>IF(AND($A227&lt;&gt;"",$B227&lt;&gt;"",$R227='تقرير يناير'!$C$4,$P227='تقرير يناير'!$C$6),COUNT(AA$4:AA226)+1,"")</f>
        <v/>
      </c>
      <c r="AB227">
        <f>IF(AND($A227&lt;&gt;"",$B227&lt;&gt;"",$R227='تقرير فبراير'!$C$4,$P227='تقرير فبراير'!$C$6),COUNT(AB$4:AB226)+1,"")</f>
        <v/>
      </c>
      <c r="AC227">
        <f>IF(AND($A227&lt;&gt;"",$B227&lt;&gt;"",$R227='تقرير مارس'!$C$4,$P227='تقرير مارس'!$C$6),COUNT(AC$4:AC226)+1,"")</f>
        <v/>
      </c>
      <c r="AD227">
        <f>IF(AND($A227&lt;&gt;"",$B227&lt;&gt;"",$R227='تقرير أبريل'!$C$4,$P227='تقرير أبريل'!$C$6),COUNT(AD$4:AD226)+1,"")</f>
        <v/>
      </c>
      <c r="AE227">
        <f>IF(AND($A227&lt;&gt;"",$B227&lt;&gt;"",$R227='تقرير مايو'!$C$4,$P227='تقرير مايو'!$C$6),COUNT(AE$4:AE226)+1,"")</f>
        <v/>
      </c>
    </row>
    <row r="228">
      <c r="A228" s="16" t="n"/>
      <c r="B228" s="17" t="n"/>
      <c r="C228" s="17" t="n"/>
      <c r="D228" s="18" t="n"/>
      <c r="E228" s="17" t="n"/>
      <c r="F228" s="17" t="n"/>
      <c r="G228" s="19" t="n"/>
      <c r="H228" s="17" t="n"/>
      <c r="I228" s="17" t="n"/>
      <c r="J228" s="17" t="n"/>
      <c r="K228" s="20">
        <f>IF($B228="","",IFERROR(INDEX(الموظفات!$A$5:$A$304,MATCH($B228,الموظفات!$B$5:$B$304,0))&amp;"",""))</f>
        <v/>
      </c>
      <c r="L228" s="21">
        <f>IF($B228="","",IFERROR(INDEX(الموظفات!$C$5:$C$304,MATCH($B228,الموظفات!$B$5:$B$304,0))&amp;"",""))</f>
        <v/>
      </c>
      <c r="M228" s="20">
        <f>IF($B228="","",IFERROR(INDEX(الموظفات!$D$5:$D$304,MATCH($B228,الموظفات!$B$5:$B$304,0))&amp;"",""))</f>
        <v/>
      </c>
      <c r="N228" s="20">
        <f>IF($B228="","",IFERROR(INDEX(الموظفات!$E$5:$E$304,MATCH($B228,الموظفات!$B$5:$B$304,0))&amp;"",""))</f>
        <v/>
      </c>
      <c r="O228" s="21">
        <f>IF(C228="","",IFERROR(INDEX(الإعدادات!$D$7:$D$35,MATCH(C228,الإعدادات!$A$7:$A$35,0))&amp;"",""))</f>
        <v/>
      </c>
      <c r="P228" s="20">
        <f>IF(A228="","",INDEX(الإعدادات!$H$7:$H$18,MONTH(A228)))</f>
        <v/>
      </c>
      <c r="Q228" s="20">
        <f>IF(A228="","",INDEX(الإعدادات!$I$7:$I$18,MONTH(A228)))</f>
        <v/>
      </c>
      <c r="R228" s="20">
        <f>IF(A228="","",IF(MONTH(A228)&gt;=8,YEAR(A228)&amp;"-"&amp;(YEAR(A228)+1),(YEAR(A228)-1)&amp;"-"&amp;YEAR(A228)))</f>
        <v/>
      </c>
      <c r="S228" s="20">
        <f>IF(OR(A228="",B228=""),0,IF(AND(R228=التقارير!$C$4,OR(التقارير!$C$5="سنوي",AND(التقارير!$C$5="شهري",P228=التقارير!$C$6),AND(التقارير!$C$5="فصلي",Q228=التقارير!$C$7))),1,0))</f>
        <v/>
      </c>
      <c r="T228" s="20">
        <f>IF(S228=1,COUNTIF($S$5:S228,1),"")</f>
        <v/>
      </c>
      <c r="U228">
        <f>IF(AND($A228&lt;&gt;"",$B228&lt;&gt;"",$R228='تقرير الفصل الأول'!$C$4,$Q228='تقرير الفصل الأول'!$C$7),COUNT(U$4:U227)+1,"")</f>
        <v/>
      </c>
      <c r="V228">
        <f>IF(AND($A228&lt;&gt;"",$B228&lt;&gt;"",$R228='تقرير الفصل الثاني'!$C$4,$Q228='تقرير الفصل الثاني'!$C$7),COUNT(V$4:V227)+1,"")</f>
        <v/>
      </c>
      <c r="W228">
        <f>IF(AND($A228&lt;&gt;"",$B228&lt;&gt;"",$R228='تقرير سبتمبر'!$C$4,$P228='تقرير سبتمبر'!$C$6),COUNT(W$4:W227)+1,"")</f>
        <v/>
      </c>
      <c r="X228">
        <f>IF(AND($A228&lt;&gt;"",$B228&lt;&gt;"",$R228='تقرير أكتوبر'!$C$4,$P228='تقرير أكتوبر'!$C$6),COUNT(X$4:X227)+1,"")</f>
        <v/>
      </c>
      <c r="Y228">
        <f>IF(AND($A228&lt;&gt;"",$B228&lt;&gt;"",$R228='تقرير نوفمبر'!$C$4,$P228='تقرير نوفمبر'!$C$6),COUNT(Y$4:Y227)+1,"")</f>
        <v/>
      </c>
      <c r="Z228">
        <f>IF(AND($A228&lt;&gt;"",$B228&lt;&gt;"",$R228='تقرير ديسمبر'!$C$4,$P228='تقرير ديسمبر'!$C$6),COUNT(Z$4:Z227)+1,"")</f>
        <v/>
      </c>
      <c r="AA228">
        <f>IF(AND($A228&lt;&gt;"",$B228&lt;&gt;"",$R228='تقرير يناير'!$C$4,$P228='تقرير يناير'!$C$6),COUNT(AA$4:AA227)+1,"")</f>
        <v/>
      </c>
      <c r="AB228">
        <f>IF(AND($A228&lt;&gt;"",$B228&lt;&gt;"",$R228='تقرير فبراير'!$C$4,$P228='تقرير فبراير'!$C$6),COUNT(AB$4:AB227)+1,"")</f>
        <v/>
      </c>
      <c r="AC228">
        <f>IF(AND($A228&lt;&gt;"",$B228&lt;&gt;"",$R228='تقرير مارس'!$C$4,$P228='تقرير مارس'!$C$6),COUNT(AC$4:AC227)+1,"")</f>
        <v/>
      </c>
      <c r="AD228">
        <f>IF(AND($A228&lt;&gt;"",$B228&lt;&gt;"",$R228='تقرير أبريل'!$C$4,$P228='تقرير أبريل'!$C$6),COUNT(AD$4:AD227)+1,"")</f>
        <v/>
      </c>
      <c r="AE228">
        <f>IF(AND($A228&lt;&gt;"",$B228&lt;&gt;"",$R228='تقرير مايو'!$C$4,$P228='تقرير مايو'!$C$6),COUNT(AE$4:AE227)+1,"")</f>
        <v/>
      </c>
    </row>
    <row r="229">
      <c r="A229" s="16" t="n"/>
      <c r="B229" s="17" t="n"/>
      <c r="C229" s="17" t="n"/>
      <c r="D229" s="18" t="n"/>
      <c r="E229" s="17" t="n"/>
      <c r="F229" s="17" t="n"/>
      <c r="G229" s="19" t="n"/>
      <c r="H229" s="17" t="n"/>
      <c r="I229" s="17" t="n"/>
      <c r="J229" s="17" t="n"/>
      <c r="K229" s="20">
        <f>IF($B229="","",IFERROR(INDEX(الموظفات!$A$5:$A$304,MATCH($B229,الموظفات!$B$5:$B$304,0))&amp;"",""))</f>
        <v/>
      </c>
      <c r="L229" s="21">
        <f>IF($B229="","",IFERROR(INDEX(الموظفات!$C$5:$C$304,MATCH($B229,الموظفات!$B$5:$B$304,0))&amp;"",""))</f>
        <v/>
      </c>
      <c r="M229" s="20">
        <f>IF($B229="","",IFERROR(INDEX(الموظفات!$D$5:$D$304,MATCH($B229,الموظفات!$B$5:$B$304,0))&amp;"",""))</f>
        <v/>
      </c>
      <c r="N229" s="20">
        <f>IF($B229="","",IFERROR(INDEX(الموظفات!$E$5:$E$304,MATCH($B229,الموظفات!$B$5:$B$304,0))&amp;"",""))</f>
        <v/>
      </c>
      <c r="O229" s="21">
        <f>IF(C229="","",IFERROR(INDEX(الإعدادات!$D$7:$D$35,MATCH(C229,الإعدادات!$A$7:$A$35,0))&amp;"",""))</f>
        <v/>
      </c>
      <c r="P229" s="20">
        <f>IF(A229="","",INDEX(الإعدادات!$H$7:$H$18,MONTH(A229)))</f>
        <v/>
      </c>
      <c r="Q229" s="20">
        <f>IF(A229="","",INDEX(الإعدادات!$I$7:$I$18,MONTH(A229)))</f>
        <v/>
      </c>
      <c r="R229" s="20">
        <f>IF(A229="","",IF(MONTH(A229)&gt;=8,YEAR(A229)&amp;"-"&amp;(YEAR(A229)+1),(YEAR(A229)-1)&amp;"-"&amp;YEAR(A229)))</f>
        <v/>
      </c>
      <c r="S229" s="20">
        <f>IF(OR(A229="",B229=""),0,IF(AND(R229=التقارير!$C$4,OR(التقارير!$C$5="سنوي",AND(التقارير!$C$5="شهري",P229=التقارير!$C$6),AND(التقارير!$C$5="فصلي",Q229=التقارير!$C$7))),1,0))</f>
        <v/>
      </c>
      <c r="T229" s="20">
        <f>IF(S229=1,COUNTIF($S$5:S229,1),"")</f>
        <v/>
      </c>
      <c r="U229">
        <f>IF(AND($A229&lt;&gt;"",$B229&lt;&gt;"",$R229='تقرير الفصل الأول'!$C$4,$Q229='تقرير الفصل الأول'!$C$7),COUNT(U$4:U228)+1,"")</f>
        <v/>
      </c>
      <c r="V229">
        <f>IF(AND($A229&lt;&gt;"",$B229&lt;&gt;"",$R229='تقرير الفصل الثاني'!$C$4,$Q229='تقرير الفصل الثاني'!$C$7),COUNT(V$4:V228)+1,"")</f>
        <v/>
      </c>
      <c r="W229">
        <f>IF(AND($A229&lt;&gt;"",$B229&lt;&gt;"",$R229='تقرير سبتمبر'!$C$4,$P229='تقرير سبتمبر'!$C$6),COUNT(W$4:W228)+1,"")</f>
        <v/>
      </c>
      <c r="X229">
        <f>IF(AND($A229&lt;&gt;"",$B229&lt;&gt;"",$R229='تقرير أكتوبر'!$C$4,$P229='تقرير أكتوبر'!$C$6),COUNT(X$4:X228)+1,"")</f>
        <v/>
      </c>
      <c r="Y229">
        <f>IF(AND($A229&lt;&gt;"",$B229&lt;&gt;"",$R229='تقرير نوفمبر'!$C$4,$P229='تقرير نوفمبر'!$C$6),COUNT(Y$4:Y228)+1,"")</f>
        <v/>
      </c>
      <c r="Z229">
        <f>IF(AND($A229&lt;&gt;"",$B229&lt;&gt;"",$R229='تقرير ديسمبر'!$C$4,$P229='تقرير ديسمبر'!$C$6),COUNT(Z$4:Z228)+1,"")</f>
        <v/>
      </c>
      <c r="AA229">
        <f>IF(AND($A229&lt;&gt;"",$B229&lt;&gt;"",$R229='تقرير يناير'!$C$4,$P229='تقرير يناير'!$C$6),COUNT(AA$4:AA228)+1,"")</f>
        <v/>
      </c>
      <c r="AB229">
        <f>IF(AND($A229&lt;&gt;"",$B229&lt;&gt;"",$R229='تقرير فبراير'!$C$4,$P229='تقرير فبراير'!$C$6),COUNT(AB$4:AB228)+1,"")</f>
        <v/>
      </c>
      <c r="AC229">
        <f>IF(AND($A229&lt;&gt;"",$B229&lt;&gt;"",$R229='تقرير مارس'!$C$4,$P229='تقرير مارس'!$C$6),COUNT(AC$4:AC228)+1,"")</f>
        <v/>
      </c>
      <c r="AD229">
        <f>IF(AND($A229&lt;&gt;"",$B229&lt;&gt;"",$R229='تقرير أبريل'!$C$4,$P229='تقرير أبريل'!$C$6),COUNT(AD$4:AD228)+1,"")</f>
        <v/>
      </c>
      <c r="AE229">
        <f>IF(AND($A229&lt;&gt;"",$B229&lt;&gt;"",$R229='تقرير مايو'!$C$4,$P229='تقرير مايو'!$C$6),COUNT(AE$4:AE228)+1,"")</f>
        <v/>
      </c>
    </row>
    <row r="230">
      <c r="A230" s="16" t="n"/>
      <c r="B230" s="17" t="n"/>
      <c r="C230" s="17" t="n"/>
      <c r="D230" s="18" t="n"/>
      <c r="E230" s="17" t="n"/>
      <c r="F230" s="17" t="n"/>
      <c r="G230" s="19" t="n"/>
      <c r="H230" s="17" t="n"/>
      <c r="I230" s="17" t="n"/>
      <c r="J230" s="17" t="n"/>
      <c r="K230" s="20">
        <f>IF($B230="","",IFERROR(INDEX(الموظفات!$A$5:$A$304,MATCH($B230,الموظفات!$B$5:$B$304,0))&amp;"",""))</f>
        <v/>
      </c>
      <c r="L230" s="21">
        <f>IF($B230="","",IFERROR(INDEX(الموظفات!$C$5:$C$304,MATCH($B230,الموظفات!$B$5:$B$304,0))&amp;"",""))</f>
        <v/>
      </c>
      <c r="M230" s="20">
        <f>IF($B230="","",IFERROR(INDEX(الموظفات!$D$5:$D$304,MATCH($B230,الموظفات!$B$5:$B$304,0))&amp;"",""))</f>
        <v/>
      </c>
      <c r="N230" s="20">
        <f>IF($B230="","",IFERROR(INDEX(الموظفات!$E$5:$E$304,MATCH($B230,الموظفات!$B$5:$B$304,0))&amp;"",""))</f>
        <v/>
      </c>
      <c r="O230" s="21">
        <f>IF(C230="","",IFERROR(INDEX(الإعدادات!$D$7:$D$35,MATCH(C230,الإعدادات!$A$7:$A$35,0))&amp;"",""))</f>
        <v/>
      </c>
      <c r="P230" s="20">
        <f>IF(A230="","",INDEX(الإعدادات!$H$7:$H$18,MONTH(A230)))</f>
        <v/>
      </c>
      <c r="Q230" s="20">
        <f>IF(A230="","",INDEX(الإعدادات!$I$7:$I$18,MONTH(A230)))</f>
        <v/>
      </c>
      <c r="R230" s="20">
        <f>IF(A230="","",IF(MONTH(A230)&gt;=8,YEAR(A230)&amp;"-"&amp;(YEAR(A230)+1),(YEAR(A230)-1)&amp;"-"&amp;YEAR(A230)))</f>
        <v/>
      </c>
      <c r="S230" s="20">
        <f>IF(OR(A230="",B230=""),0,IF(AND(R230=التقارير!$C$4,OR(التقارير!$C$5="سنوي",AND(التقارير!$C$5="شهري",P230=التقارير!$C$6),AND(التقارير!$C$5="فصلي",Q230=التقارير!$C$7))),1,0))</f>
        <v/>
      </c>
      <c r="T230" s="20">
        <f>IF(S230=1,COUNTIF($S$5:S230,1),"")</f>
        <v/>
      </c>
      <c r="U230">
        <f>IF(AND($A230&lt;&gt;"",$B230&lt;&gt;"",$R230='تقرير الفصل الأول'!$C$4,$Q230='تقرير الفصل الأول'!$C$7),COUNT(U$4:U229)+1,"")</f>
        <v/>
      </c>
      <c r="V230">
        <f>IF(AND($A230&lt;&gt;"",$B230&lt;&gt;"",$R230='تقرير الفصل الثاني'!$C$4,$Q230='تقرير الفصل الثاني'!$C$7),COUNT(V$4:V229)+1,"")</f>
        <v/>
      </c>
      <c r="W230">
        <f>IF(AND($A230&lt;&gt;"",$B230&lt;&gt;"",$R230='تقرير سبتمبر'!$C$4,$P230='تقرير سبتمبر'!$C$6),COUNT(W$4:W229)+1,"")</f>
        <v/>
      </c>
      <c r="X230">
        <f>IF(AND($A230&lt;&gt;"",$B230&lt;&gt;"",$R230='تقرير أكتوبر'!$C$4,$P230='تقرير أكتوبر'!$C$6),COUNT(X$4:X229)+1,"")</f>
        <v/>
      </c>
      <c r="Y230">
        <f>IF(AND($A230&lt;&gt;"",$B230&lt;&gt;"",$R230='تقرير نوفمبر'!$C$4,$P230='تقرير نوفمبر'!$C$6),COUNT(Y$4:Y229)+1,"")</f>
        <v/>
      </c>
      <c r="Z230">
        <f>IF(AND($A230&lt;&gt;"",$B230&lt;&gt;"",$R230='تقرير ديسمبر'!$C$4,$P230='تقرير ديسمبر'!$C$6),COUNT(Z$4:Z229)+1,"")</f>
        <v/>
      </c>
      <c r="AA230">
        <f>IF(AND($A230&lt;&gt;"",$B230&lt;&gt;"",$R230='تقرير يناير'!$C$4,$P230='تقرير يناير'!$C$6),COUNT(AA$4:AA229)+1,"")</f>
        <v/>
      </c>
      <c r="AB230">
        <f>IF(AND($A230&lt;&gt;"",$B230&lt;&gt;"",$R230='تقرير فبراير'!$C$4,$P230='تقرير فبراير'!$C$6),COUNT(AB$4:AB229)+1,"")</f>
        <v/>
      </c>
      <c r="AC230">
        <f>IF(AND($A230&lt;&gt;"",$B230&lt;&gt;"",$R230='تقرير مارس'!$C$4,$P230='تقرير مارس'!$C$6),COUNT(AC$4:AC229)+1,"")</f>
        <v/>
      </c>
      <c r="AD230">
        <f>IF(AND($A230&lt;&gt;"",$B230&lt;&gt;"",$R230='تقرير أبريل'!$C$4,$P230='تقرير أبريل'!$C$6),COUNT(AD$4:AD229)+1,"")</f>
        <v/>
      </c>
      <c r="AE230">
        <f>IF(AND($A230&lt;&gt;"",$B230&lt;&gt;"",$R230='تقرير مايو'!$C$4,$P230='تقرير مايو'!$C$6),COUNT(AE$4:AE229)+1,"")</f>
        <v/>
      </c>
    </row>
    <row r="231">
      <c r="A231" s="16" t="n"/>
      <c r="B231" s="17" t="n"/>
      <c r="C231" s="17" t="n"/>
      <c r="D231" s="18" t="n"/>
      <c r="E231" s="17" t="n"/>
      <c r="F231" s="17" t="n"/>
      <c r="G231" s="19" t="n"/>
      <c r="H231" s="17" t="n"/>
      <c r="I231" s="17" t="n"/>
      <c r="J231" s="17" t="n"/>
      <c r="K231" s="20">
        <f>IF($B231="","",IFERROR(INDEX(الموظفات!$A$5:$A$304,MATCH($B231,الموظفات!$B$5:$B$304,0))&amp;"",""))</f>
        <v/>
      </c>
      <c r="L231" s="21">
        <f>IF($B231="","",IFERROR(INDEX(الموظفات!$C$5:$C$304,MATCH($B231,الموظفات!$B$5:$B$304,0))&amp;"",""))</f>
        <v/>
      </c>
      <c r="M231" s="20">
        <f>IF($B231="","",IFERROR(INDEX(الموظفات!$D$5:$D$304,MATCH($B231,الموظفات!$B$5:$B$304,0))&amp;"",""))</f>
        <v/>
      </c>
      <c r="N231" s="20">
        <f>IF($B231="","",IFERROR(INDEX(الموظفات!$E$5:$E$304,MATCH($B231,الموظفات!$B$5:$B$304,0))&amp;"",""))</f>
        <v/>
      </c>
      <c r="O231" s="21">
        <f>IF(C231="","",IFERROR(INDEX(الإعدادات!$D$7:$D$35,MATCH(C231,الإعدادات!$A$7:$A$35,0))&amp;"",""))</f>
        <v/>
      </c>
      <c r="P231" s="20">
        <f>IF(A231="","",INDEX(الإعدادات!$H$7:$H$18,MONTH(A231)))</f>
        <v/>
      </c>
      <c r="Q231" s="20">
        <f>IF(A231="","",INDEX(الإعدادات!$I$7:$I$18,MONTH(A231)))</f>
        <v/>
      </c>
      <c r="R231" s="20">
        <f>IF(A231="","",IF(MONTH(A231)&gt;=8,YEAR(A231)&amp;"-"&amp;(YEAR(A231)+1),(YEAR(A231)-1)&amp;"-"&amp;YEAR(A231)))</f>
        <v/>
      </c>
      <c r="S231" s="20">
        <f>IF(OR(A231="",B231=""),0,IF(AND(R231=التقارير!$C$4,OR(التقارير!$C$5="سنوي",AND(التقارير!$C$5="شهري",P231=التقارير!$C$6),AND(التقارير!$C$5="فصلي",Q231=التقارير!$C$7))),1,0))</f>
        <v/>
      </c>
      <c r="T231" s="20">
        <f>IF(S231=1,COUNTIF($S$5:S231,1),"")</f>
        <v/>
      </c>
      <c r="U231">
        <f>IF(AND($A231&lt;&gt;"",$B231&lt;&gt;"",$R231='تقرير الفصل الأول'!$C$4,$Q231='تقرير الفصل الأول'!$C$7),COUNT(U$4:U230)+1,"")</f>
        <v/>
      </c>
      <c r="V231">
        <f>IF(AND($A231&lt;&gt;"",$B231&lt;&gt;"",$R231='تقرير الفصل الثاني'!$C$4,$Q231='تقرير الفصل الثاني'!$C$7),COUNT(V$4:V230)+1,"")</f>
        <v/>
      </c>
      <c r="W231">
        <f>IF(AND($A231&lt;&gt;"",$B231&lt;&gt;"",$R231='تقرير سبتمبر'!$C$4,$P231='تقرير سبتمبر'!$C$6),COUNT(W$4:W230)+1,"")</f>
        <v/>
      </c>
      <c r="X231">
        <f>IF(AND($A231&lt;&gt;"",$B231&lt;&gt;"",$R231='تقرير أكتوبر'!$C$4,$P231='تقرير أكتوبر'!$C$6),COUNT(X$4:X230)+1,"")</f>
        <v/>
      </c>
      <c r="Y231">
        <f>IF(AND($A231&lt;&gt;"",$B231&lt;&gt;"",$R231='تقرير نوفمبر'!$C$4,$P231='تقرير نوفمبر'!$C$6),COUNT(Y$4:Y230)+1,"")</f>
        <v/>
      </c>
      <c r="Z231">
        <f>IF(AND($A231&lt;&gt;"",$B231&lt;&gt;"",$R231='تقرير ديسمبر'!$C$4,$P231='تقرير ديسمبر'!$C$6),COUNT(Z$4:Z230)+1,"")</f>
        <v/>
      </c>
      <c r="AA231">
        <f>IF(AND($A231&lt;&gt;"",$B231&lt;&gt;"",$R231='تقرير يناير'!$C$4,$P231='تقرير يناير'!$C$6),COUNT(AA$4:AA230)+1,"")</f>
        <v/>
      </c>
      <c r="AB231">
        <f>IF(AND($A231&lt;&gt;"",$B231&lt;&gt;"",$R231='تقرير فبراير'!$C$4,$P231='تقرير فبراير'!$C$6),COUNT(AB$4:AB230)+1,"")</f>
        <v/>
      </c>
      <c r="AC231">
        <f>IF(AND($A231&lt;&gt;"",$B231&lt;&gt;"",$R231='تقرير مارس'!$C$4,$P231='تقرير مارس'!$C$6),COUNT(AC$4:AC230)+1,"")</f>
        <v/>
      </c>
      <c r="AD231">
        <f>IF(AND($A231&lt;&gt;"",$B231&lt;&gt;"",$R231='تقرير أبريل'!$C$4,$P231='تقرير أبريل'!$C$6),COUNT(AD$4:AD230)+1,"")</f>
        <v/>
      </c>
      <c r="AE231">
        <f>IF(AND($A231&lt;&gt;"",$B231&lt;&gt;"",$R231='تقرير مايو'!$C$4,$P231='تقرير مايو'!$C$6),COUNT(AE$4:AE230)+1,"")</f>
        <v/>
      </c>
    </row>
    <row r="232">
      <c r="A232" s="16" t="n"/>
      <c r="B232" s="17" t="n"/>
      <c r="C232" s="17" t="n"/>
      <c r="D232" s="18" t="n"/>
      <c r="E232" s="17" t="n"/>
      <c r="F232" s="17" t="n"/>
      <c r="G232" s="19" t="n"/>
      <c r="H232" s="17" t="n"/>
      <c r="I232" s="17" t="n"/>
      <c r="J232" s="17" t="n"/>
      <c r="K232" s="20">
        <f>IF($B232="","",IFERROR(INDEX(الموظفات!$A$5:$A$304,MATCH($B232,الموظفات!$B$5:$B$304,0))&amp;"",""))</f>
        <v/>
      </c>
      <c r="L232" s="21">
        <f>IF($B232="","",IFERROR(INDEX(الموظفات!$C$5:$C$304,MATCH($B232,الموظفات!$B$5:$B$304,0))&amp;"",""))</f>
        <v/>
      </c>
      <c r="M232" s="20">
        <f>IF($B232="","",IFERROR(INDEX(الموظفات!$D$5:$D$304,MATCH($B232,الموظفات!$B$5:$B$304,0))&amp;"",""))</f>
        <v/>
      </c>
      <c r="N232" s="20">
        <f>IF($B232="","",IFERROR(INDEX(الموظفات!$E$5:$E$304,MATCH($B232,الموظفات!$B$5:$B$304,0))&amp;"",""))</f>
        <v/>
      </c>
      <c r="O232" s="21">
        <f>IF(C232="","",IFERROR(INDEX(الإعدادات!$D$7:$D$35,MATCH(C232,الإعدادات!$A$7:$A$35,0))&amp;"",""))</f>
        <v/>
      </c>
      <c r="P232" s="20">
        <f>IF(A232="","",INDEX(الإعدادات!$H$7:$H$18,MONTH(A232)))</f>
        <v/>
      </c>
      <c r="Q232" s="20">
        <f>IF(A232="","",INDEX(الإعدادات!$I$7:$I$18,MONTH(A232)))</f>
        <v/>
      </c>
      <c r="R232" s="20">
        <f>IF(A232="","",IF(MONTH(A232)&gt;=8,YEAR(A232)&amp;"-"&amp;(YEAR(A232)+1),(YEAR(A232)-1)&amp;"-"&amp;YEAR(A232)))</f>
        <v/>
      </c>
      <c r="S232" s="20">
        <f>IF(OR(A232="",B232=""),0,IF(AND(R232=التقارير!$C$4,OR(التقارير!$C$5="سنوي",AND(التقارير!$C$5="شهري",P232=التقارير!$C$6),AND(التقارير!$C$5="فصلي",Q232=التقارير!$C$7))),1,0))</f>
        <v/>
      </c>
      <c r="T232" s="20">
        <f>IF(S232=1,COUNTIF($S$5:S232,1),"")</f>
        <v/>
      </c>
      <c r="U232">
        <f>IF(AND($A232&lt;&gt;"",$B232&lt;&gt;"",$R232='تقرير الفصل الأول'!$C$4,$Q232='تقرير الفصل الأول'!$C$7),COUNT(U$4:U231)+1,"")</f>
        <v/>
      </c>
      <c r="V232">
        <f>IF(AND($A232&lt;&gt;"",$B232&lt;&gt;"",$R232='تقرير الفصل الثاني'!$C$4,$Q232='تقرير الفصل الثاني'!$C$7),COUNT(V$4:V231)+1,"")</f>
        <v/>
      </c>
      <c r="W232">
        <f>IF(AND($A232&lt;&gt;"",$B232&lt;&gt;"",$R232='تقرير سبتمبر'!$C$4,$P232='تقرير سبتمبر'!$C$6),COUNT(W$4:W231)+1,"")</f>
        <v/>
      </c>
      <c r="X232">
        <f>IF(AND($A232&lt;&gt;"",$B232&lt;&gt;"",$R232='تقرير أكتوبر'!$C$4,$P232='تقرير أكتوبر'!$C$6),COUNT(X$4:X231)+1,"")</f>
        <v/>
      </c>
      <c r="Y232">
        <f>IF(AND($A232&lt;&gt;"",$B232&lt;&gt;"",$R232='تقرير نوفمبر'!$C$4,$P232='تقرير نوفمبر'!$C$6),COUNT(Y$4:Y231)+1,"")</f>
        <v/>
      </c>
      <c r="Z232">
        <f>IF(AND($A232&lt;&gt;"",$B232&lt;&gt;"",$R232='تقرير ديسمبر'!$C$4,$P232='تقرير ديسمبر'!$C$6),COUNT(Z$4:Z231)+1,"")</f>
        <v/>
      </c>
      <c r="AA232">
        <f>IF(AND($A232&lt;&gt;"",$B232&lt;&gt;"",$R232='تقرير يناير'!$C$4,$P232='تقرير يناير'!$C$6),COUNT(AA$4:AA231)+1,"")</f>
        <v/>
      </c>
      <c r="AB232">
        <f>IF(AND($A232&lt;&gt;"",$B232&lt;&gt;"",$R232='تقرير فبراير'!$C$4,$P232='تقرير فبراير'!$C$6),COUNT(AB$4:AB231)+1,"")</f>
        <v/>
      </c>
      <c r="AC232">
        <f>IF(AND($A232&lt;&gt;"",$B232&lt;&gt;"",$R232='تقرير مارس'!$C$4,$P232='تقرير مارس'!$C$6),COUNT(AC$4:AC231)+1,"")</f>
        <v/>
      </c>
      <c r="AD232">
        <f>IF(AND($A232&lt;&gt;"",$B232&lt;&gt;"",$R232='تقرير أبريل'!$C$4,$P232='تقرير أبريل'!$C$6),COUNT(AD$4:AD231)+1,"")</f>
        <v/>
      </c>
      <c r="AE232">
        <f>IF(AND($A232&lt;&gt;"",$B232&lt;&gt;"",$R232='تقرير مايو'!$C$4,$P232='تقرير مايو'!$C$6),COUNT(AE$4:AE231)+1,"")</f>
        <v/>
      </c>
    </row>
    <row r="233">
      <c r="A233" s="16" t="n"/>
      <c r="B233" s="17" t="n"/>
      <c r="C233" s="17" t="n"/>
      <c r="D233" s="18" t="n"/>
      <c r="E233" s="17" t="n"/>
      <c r="F233" s="17" t="n"/>
      <c r="G233" s="19" t="n"/>
      <c r="H233" s="17" t="n"/>
      <c r="I233" s="17" t="n"/>
      <c r="J233" s="17" t="n"/>
      <c r="K233" s="20">
        <f>IF($B233="","",IFERROR(INDEX(الموظفات!$A$5:$A$304,MATCH($B233,الموظفات!$B$5:$B$304,0))&amp;"",""))</f>
        <v/>
      </c>
      <c r="L233" s="21">
        <f>IF($B233="","",IFERROR(INDEX(الموظفات!$C$5:$C$304,MATCH($B233,الموظفات!$B$5:$B$304,0))&amp;"",""))</f>
        <v/>
      </c>
      <c r="M233" s="20">
        <f>IF($B233="","",IFERROR(INDEX(الموظفات!$D$5:$D$304,MATCH($B233,الموظفات!$B$5:$B$304,0))&amp;"",""))</f>
        <v/>
      </c>
      <c r="N233" s="20">
        <f>IF($B233="","",IFERROR(INDEX(الموظفات!$E$5:$E$304,MATCH($B233,الموظفات!$B$5:$B$304,0))&amp;"",""))</f>
        <v/>
      </c>
      <c r="O233" s="21">
        <f>IF(C233="","",IFERROR(INDEX(الإعدادات!$D$7:$D$35,MATCH(C233,الإعدادات!$A$7:$A$35,0))&amp;"",""))</f>
        <v/>
      </c>
      <c r="P233" s="20">
        <f>IF(A233="","",INDEX(الإعدادات!$H$7:$H$18,MONTH(A233)))</f>
        <v/>
      </c>
      <c r="Q233" s="20">
        <f>IF(A233="","",INDEX(الإعدادات!$I$7:$I$18,MONTH(A233)))</f>
        <v/>
      </c>
      <c r="R233" s="20">
        <f>IF(A233="","",IF(MONTH(A233)&gt;=8,YEAR(A233)&amp;"-"&amp;(YEAR(A233)+1),(YEAR(A233)-1)&amp;"-"&amp;YEAR(A233)))</f>
        <v/>
      </c>
      <c r="S233" s="20">
        <f>IF(OR(A233="",B233=""),0,IF(AND(R233=التقارير!$C$4,OR(التقارير!$C$5="سنوي",AND(التقارير!$C$5="شهري",P233=التقارير!$C$6),AND(التقارير!$C$5="فصلي",Q233=التقارير!$C$7))),1,0))</f>
        <v/>
      </c>
      <c r="T233" s="20">
        <f>IF(S233=1,COUNTIF($S$5:S233,1),"")</f>
        <v/>
      </c>
      <c r="U233">
        <f>IF(AND($A233&lt;&gt;"",$B233&lt;&gt;"",$R233='تقرير الفصل الأول'!$C$4,$Q233='تقرير الفصل الأول'!$C$7),COUNT(U$4:U232)+1,"")</f>
        <v/>
      </c>
      <c r="V233">
        <f>IF(AND($A233&lt;&gt;"",$B233&lt;&gt;"",$R233='تقرير الفصل الثاني'!$C$4,$Q233='تقرير الفصل الثاني'!$C$7),COUNT(V$4:V232)+1,"")</f>
        <v/>
      </c>
      <c r="W233">
        <f>IF(AND($A233&lt;&gt;"",$B233&lt;&gt;"",$R233='تقرير سبتمبر'!$C$4,$P233='تقرير سبتمبر'!$C$6),COUNT(W$4:W232)+1,"")</f>
        <v/>
      </c>
      <c r="X233">
        <f>IF(AND($A233&lt;&gt;"",$B233&lt;&gt;"",$R233='تقرير أكتوبر'!$C$4,$P233='تقرير أكتوبر'!$C$6),COUNT(X$4:X232)+1,"")</f>
        <v/>
      </c>
      <c r="Y233">
        <f>IF(AND($A233&lt;&gt;"",$B233&lt;&gt;"",$R233='تقرير نوفمبر'!$C$4,$P233='تقرير نوفمبر'!$C$6),COUNT(Y$4:Y232)+1,"")</f>
        <v/>
      </c>
      <c r="Z233">
        <f>IF(AND($A233&lt;&gt;"",$B233&lt;&gt;"",$R233='تقرير ديسمبر'!$C$4,$P233='تقرير ديسمبر'!$C$6),COUNT(Z$4:Z232)+1,"")</f>
        <v/>
      </c>
      <c r="AA233">
        <f>IF(AND($A233&lt;&gt;"",$B233&lt;&gt;"",$R233='تقرير يناير'!$C$4,$P233='تقرير يناير'!$C$6),COUNT(AA$4:AA232)+1,"")</f>
        <v/>
      </c>
      <c r="AB233">
        <f>IF(AND($A233&lt;&gt;"",$B233&lt;&gt;"",$R233='تقرير فبراير'!$C$4,$P233='تقرير فبراير'!$C$6),COUNT(AB$4:AB232)+1,"")</f>
        <v/>
      </c>
      <c r="AC233">
        <f>IF(AND($A233&lt;&gt;"",$B233&lt;&gt;"",$R233='تقرير مارس'!$C$4,$P233='تقرير مارس'!$C$6),COUNT(AC$4:AC232)+1,"")</f>
        <v/>
      </c>
      <c r="AD233">
        <f>IF(AND($A233&lt;&gt;"",$B233&lt;&gt;"",$R233='تقرير أبريل'!$C$4,$P233='تقرير أبريل'!$C$6),COUNT(AD$4:AD232)+1,"")</f>
        <v/>
      </c>
      <c r="AE233">
        <f>IF(AND($A233&lt;&gt;"",$B233&lt;&gt;"",$R233='تقرير مايو'!$C$4,$P233='تقرير مايو'!$C$6),COUNT(AE$4:AE232)+1,"")</f>
        <v/>
      </c>
    </row>
    <row r="234">
      <c r="A234" s="16" t="n"/>
      <c r="B234" s="17" t="n"/>
      <c r="C234" s="17" t="n"/>
      <c r="D234" s="18" t="n"/>
      <c r="E234" s="17" t="n"/>
      <c r="F234" s="17" t="n"/>
      <c r="G234" s="19" t="n"/>
      <c r="H234" s="17" t="n"/>
      <c r="I234" s="17" t="n"/>
      <c r="J234" s="17" t="n"/>
      <c r="K234" s="20">
        <f>IF($B234="","",IFERROR(INDEX(الموظفات!$A$5:$A$304,MATCH($B234,الموظفات!$B$5:$B$304,0))&amp;"",""))</f>
        <v/>
      </c>
      <c r="L234" s="21">
        <f>IF($B234="","",IFERROR(INDEX(الموظفات!$C$5:$C$304,MATCH($B234,الموظفات!$B$5:$B$304,0))&amp;"",""))</f>
        <v/>
      </c>
      <c r="M234" s="20">
        <f>IF($B234="","",IFERROR(INDEX(الموظفات!$D$5:$D$304,MATCH($B234,الموظفات!$B$5:$B$304,0))&amp;"",""))</f>
        <v/>
      </c>
      <c r="N234" s="20">
        <f>IF($B234="","",IFERROR(INDEX(الموظفات!$E$5:$E$304,MATCH($B234,الموظفات!$B$5:$B$304,0))&amp;"",""))</f>
        <v/>
      </c>
      <c r="O234" s="21">
        <f>IF(C234="","",IFERROR(INDEX(الإعدادات!$D$7:$D$35,MATCH(C234,الإعدادات!$A$7:$A$35,0))&amp;"",""))</f>
        <v/>
      </c>
      <c r="P234" s="20">
        <f>IF(A234="","",INDEX(الإعدادات!$H$7:$H$18,MONTH(A234)))</f>
        <v/>
      </c>
      <c r="Q234" s="20">
        <f>IF(A234="","",INDEX(الإعدادات!$I$7:$I$18,MONTH(A234)))</f>
        <v/>
      </c>
      <c r="R234" s="20">
        <f>IF(A234="","",IF(MONTH(A234)&gt;=8,YEAR(A234)&amp;"-"&amp;(YEAR(A234)+1),(YEAR(A234)-1)&amp;"-"&amp;YEAR(A234)))</f>
        <v/>
      </c>
      <c r="S234" s="20">
        <f>IF(OR(A234="",B234=""),0,IF(AND(R234=التقارير!$C$4,OR(التقارير!$C$5="سنوي",AND(التقارير!$C$5="شهري",P234=التقارير!$C$6),AND(التقارير!$C$5="فصلي",Q234=التقارير!$C$7))),1,0))</f>
        <v/>
      </c>
      <c r="T234" s="20">
        <f>IF(S234=1,COUNTIF($S$5:S234,1),"")</f>
        <v/>
      </c>
      <c r="U234">
        <f>IF(AND($A234&lt;&gt;"",$B234&lt;&gt;"",$R234='تقرير الفصل الأول'!$C$4,$Q234='تقرير الفصل الأول'!$C$7),COUNT(U$4:U233)+1,"")</f>
        <v/>
      </c>
      <c r="V234">
        <f>IF(AND($A234&lt;&gt;"",$B234&lt;&gt;"",$R234='تقرير الفصل الثاني'!$C$4,$Q234='تقرير الفصل الثاني'!$C$7),COUNT(V$4:V233)+1,"")</f>
        <v/>
      </c>
      <c r="W234">
        <f>IF(AND($A234&lt;&gt;"",$B234&lt;&gt;"",$R234='تقرير سبتمبر'!$C$4,$P234='تقرير سبتمبر'!$C$6),COUNT(W$4:W233)+1,"")</f>
        <v/>
      </c>
      <c r="X234">
        <f>IF(AND($A234&lt;&gt;"",$B234&lt;&gt;"",$R234='تقرير أكتوبر'!$C$4,$P234='تقرير أكتوبر'!$C$6),COUNT(X$4:X233)+1,"")</f>
        <v/>
      </c>
      <c r="Y234">
        <f>IF(AND($A234&lt;&gt;"",$B234&lt;&gt;"",$R234='تقرير نوفمبر'!$C$4,$P234='تقرير نوفمبر'!$C$6),COUNT(Y$4:Y233)+1,"")</f>
        <v/>
      </c>
      <c r="Z234">
        <f>IF(AND($A234&lt;&gt;"",$B234&lt;&gt;"",$R234='تقرير ديسمبر'!$C$4,$P234='تقرير ديسمبر'!$C$6),COUNT(Z$4:Z233)+1,"")</f>
        <v/>
      </c>
      <c r="AA234">
        <f>IF(AND($A234&lt;&gt;"",$B234&lt;&gt;"",$R234='تقرير يناير'!$C$4,$P234='تقرير يناير'!$C$6),COUNT(AA$4:AA233)+1,"")</f>
        <v/>
      </c>
      <c r="AB234">
        <f>IF(AND($A234&lt;&gt;"",$B234&lt;&gt;"",$R234='تقرير فبراير'!$C$4,$P234='تقرير فبراير'!$C$6),COUNT(AB$4:AB233)+1,"")</f>
        <v/>
      </c>
      <c r="AC234">
        <f>IF(AND($A234&lt;&gt;"",$B234&lt;&gt;"",$R234='تقرير مارس'!$C$4,$P234='تقرير مارس'!$C$6),COUNT(AC$4:AC233)+1,"")</f>
        <v/>
      </c>
      <c r="AD234">
        <f>IF(AND($A234&lt;&gt;"",$B234&lt;&gt;"",$R234='تقرير أبريل'!$C$4,$P234='تقرير أبريل'!$C$6),COUNT(AD$4:AD233)+1,"")</f>
        <v/>
      </c>
      <c r="AE234">
        <f>IF(AND($A234&lt;&gt;"",$B234&lt;&gt;"",$R234='تقرير مايو'!$C$4,$P234='تقرير مايو'!$C$6),COUNT(AE$4:AE233)+1,"")</f>
        <v/>
      </c>
    </row>
    <row r="235">
      <c r="A235" s="16" t="n"/>
      <c r="B235" s="17" t="n"/>
      <c r="C235" s="17" t="n"/>
      <c r="D235" s="18" t="n"/>
      <c r="E235" s="17" t="n"/>
      <c r="F235" s="17" t="n"/>
      <c r="G235" s="19" t="n"/>
      <c r="H235" s="17" t="n"/>
      <c r="I235" s="17" t="n"/>
      <c r="J235" s="17" t="n"/>
      <c r="K235" s="20">
        <f>IF($B235="","",IFERROR(INDEX(الموظفات!$A$5:$A$304,MATCH($B235,الموظفات!$B$5:$B$304,0))&amp;"",""))</f>
        <v/>
      </c>
      <c r="L235" s="21">
        <f>IF($B235="","",IFERROR(INDEX(الموظفات!$C$5:$C$304,MATCH($B235,الموظفات!$B$5:$B$304,0))&amp;"",""))</f>
        <v/>
      </c>
      <c r="M235" s="20">
        <f>IF($B235="","",IFERROR(INDEX(الموظفات!$D$5:$D$304,MATCH($B235,الموظفات!$B$5:$B$304,0))&amp;"",""))</f>
        <v/>
      </c>
      <c r="N235" s="20">
        <f>IF($B235="","",IFERROR(INDEX(الموظفات!$E$5:$E$304,MATCH($B235,الموظفات!$B$5:$B$304,0))&amp;"",""))</f>
        <v/>
      </c>
      <c r="O235" s="21">
        <f>IF(C235="","",IFERROR(INDEX(الإعدادات!$D$7:$D$35,MATCH(C235,الإعدادات!$A$7:$A$35,0))&amp;"",""))</f>
        <v/>
      </c>
      <c r="P235" s="20">
        <f>IF(A235="","",INDEX(الإعدادات!$H$7:$H$18,MONTH(A235)))</f>
        <v/>
      </c>
      <c r="Q235" s="20">
        <f>IF(A235="","",INDEX(الإعدادات!$I$7:$I$18,MONTH(A235)))</f>
        <v/>
      </c>
      <c r="R235" s="20">
        <f>IF(A235="","",IF(MONTH(A235)&gt;=8,YEAR(A235)&amp;"-"&amp;(YEAR(A235)+1),(YEAR(A235)-1)&amp;"-"&amp;YEAR(A235)))</f>
        <v/>
      </c>
      <c r="S235" s="20">
        <f>IF(OR(A235="",B235=""),0,IF(AND(R235=التقارير!$C$4,OR(التقارير!$C$5="سنوي",AND(التقارير!$C$5="شهري",P235=التقارير!$C$6),AND(التقارير!$C$5="فصلي",Q235=التقارير!$C$7))),1,0))</f>
        <v/>
      </c>
      <c r="T235" s="20">
        <f>IF(S235=1,COUNTIF($S$5:S235,1),"")</f>
        <v/>
      </c>
      <c r="U235">
        <f>IF(AND($A235&lt;&gt;"",$B235&lt;&gt;"",$R235='تقرير الفصل الأول'!$C$4,$Q235='تقرير الفصل الأول'!$C$7),COUNT(U$4:U234)+1,"")</f>
        <v/>
      </c>
      <c r="V235">
        <f>IF(AND($A235&lt;&gt;"",$B235&lt;&gt;"",$R235='تقرير الفصل الثاني'!$C$4,$Q235='تقرير الفصل الثاني'!$C$7),COUNT(V$4:V234)+1,"")</f>
        <v/>
      </c>
      <c r="W235">
        <f>IF(AND($A235&lt;&gt;"",$B235&lt;&gt;"",$R235='تقرير سبتمبر'!$C$4,$P235='تقرير سبتمبر'!$C$6),COUNT(W$4:W234)+1,"")</f>
        <v/>
      </c>
      <c r="X235">
        <f>IF(AND($A235&lt;&gt;"",$B235&lt;&gt;"",$R235='تقرير أكتوبر'!$C$4,$P235='تقرير أكتوبر'!$C$6),COUNT(X$4:X234)+1,"")</f>
        <v/>
      </c>
      <c r="Y235">
        <f>IF(AND($A235&lt;&gt;"",$B235&lt;&gt;"",$R235='تقرير نوفمبر'!$C$4,$P235='تقرير نوفمبر'!$C$6),COUNT(Y$4:Y234)+1,"")</f>
        <v/>
      </c>
      <c r="Z235">
        <f>IF(AND($A235&lt;&gt;"",$B235&lt;&gt;"",$R235='تقرير ديسمبر'!$C$4,$P235='تقرير ديسمبر'!$C$6),COUNT(Z$4:Z234)+1,"")</f>
        <v/>
      </c>
      <c r="AA235">
        <f>IF(AND($A235&lt;&gt;"",$B235&lt;&gt;"",$R235='تقرير يناير'!$C$4,$P235='تقرير يناير'!$C$6),COUNT(AA$4:AA234)+1,"")</f>
        <v/>
      </c>
      <c r="AB235">
        <f>IF(AND($A235&lt;&gt;"",$B235&lt;&gt;"",$R235='تقرير فبراير'!$C$4,$P235='تقرير فبراير'!$C$6),COUNT(AB$4:AB234)+1,"")</f>
        <v/>
      </c>
      <c r="AC235">
        <f>IF(AND($A235&lt;&gt;"",$B235&lt;&gt;"",$R235='تقرير مارس'!$C$4,$P235='تقرير مارس'!$C$6),COUNT(AC$4:AC234)+1,"")</f>
        <v/>
      </c>
      <c r="AD235">
        <f>IF(AND($A235&lt;&gt;"",$B235&lt;&gt;"",$R235='تقرير أبريل'!$C$4,$P235='تقرير أبريل'!$C$6),COUNT(AD$4:AD234)+1,"")</f>
        <v/>
      </c>
      <c r="AE235">
        <f>IF(AND($A235&lt;&gt;"",$B235&lt;&gt;"",$R235='تقرير مايو'!$C$4,$P235='تقرير مايو'!$C$6),COUNT(AE$4:AE234)+1,"")</f>
        <v/>
      </c>
    </row>
    <row r="236">
      <c r="A236" s="16" t="n"/>
      <c r="B236" s="17" t="n"/>
      <c r="C236" s="17" t="n"/>
      <c r="D236" s="18" t="n"/>
      <c r="E236" s="17" t="n"/>
      <c r="F236" s="17" t="n"/>
      <c r="G236" s="19" t="n"/>
      <c r="H236" s="17" t="n"/>
      <c r="I236" s="17" t="n"/>
      <c r="J236" s="17" t="n"/>
      <c r="K236" s="20">
        <f>IF($B236="","",IFERROR(INDEX(الموظفات!$A$5:$A$304,MATCH($B236,الموظفات!$B$5:$B$304,0))&amp;"",""))</f>
        <v/>
      </c>
      <c r="L236" s="21">
        <f>IF($B236="","",IFERROR(INDEX(الموظفات!$C$5:$C$304,MATCH($B236,الموظفات!$B$5:$B$304,0))&amp;"",""))</f>
        <v/>
      </c>
      <c r="M236" s="20">
        <f>IF($B236="","",IFERROR(INDEX(الموظفات!$D$5:$D$304,MATCH($B236,الموظفات!$B$5:$B$304,0))&amp;"",""))</f>
        <v/>
      </c>
      <c r="N236" s="20">
        <f>IF($B236="","",IFERROR(INDEX(الموظفات!$E$5:$E$304,MATCH($B236,الموظفات!$B$5:$B$304,0))&amp;"",""))</f>
        <v/>
      </c>
      <c r="O236" s="21">
        <f>IF(C236="","",IFERROR(INDEX(الإعدادات!$D$7:$D$35,MATCH(C236,الإعدادات!$A$7:$A$35,0))&amp;"",""))</f>
        <v/>
      </c>
      <c r="P236" s="20">
        <f>IF(A236="","",INDEX(الإعدادات!$H$7:$H$18,MONTH(A236)))</f>
        <v/>
      </c>
      <c r="Q236" s="20">
        <f>IF(A236="","",INDEX(الإعدادات!$I$7:$I$18,MONTH(A236)))</f>
        <v/>
      </c>
      <c r="R236" s="20">
        <f>IF(A236="","",IF(MONTH(A236)&gt;=8,YEAR(A236)&amp;"-"&amp;(YEAR(A236)+1),(YEAR(A236)-1)&amp;"-"&amp;YEAR(A236)))</f>
        <v/>
      </c>
      <c r="S236" s="20">
        <f>IF(OR(A236="",B236=""),0,IF(AND(R236=التقارير!$C$4,OR(التقارير!$C$5="سنوي",AND(التقارير!$C$5="شهري",P236=التقارير!$C$6),AND(التقارير!$C$5="فصلي",Q236=التقارير!$C$7))),1,0))</f>
        <v/>
      </c>
      <c r="T236" s="20">
        <f>IF(S236=1,COUNTIF($S$5:S236,1),"")</f>
        <v/>
      </c>
      <c r="U236">
        <f>IF(AND($A236&lt;&gt;"",$B236&lt;&gt;"",$R236='تقرير الفصل الأول'!$C$4,$Q236='تقرير الفصل الأول'!$C$7),COUNT(U$4:U235)+1,"")</f>
        <v/>
      </c>
      <c r="V236">
        <f>IF(AND($A236&lt;&gt;"",$B236&lt;&gt;"",$R236='تقرير الفصل الثاني'!$C$4,$Q236='تقرير الفصل الثاني'!$C$7),COUNT(V$4:V235)+1,"")</f>
        <v/>
      </c>
      <c r="W236">
        <f>IF(AND($A236&lt;&gt;"",$B236&lt;&gt;"",$R236='تقرير سبتمبر'!$C$4,$P236='تقرير سبتمبر'!$C$6),COUNT(W$4:W235)+1,"")</f>
        <v/>
      </c>
      <c r="X236">
        <f>IF(AND($A236&lt;&gt;"",$B236&lt;&gt;"",$R236='تقرير أكتوبر'!$C$4,$P236='تقرير أكتوبر'!$C$6),COUNT(X$4:X235)+1,"")</f>
        <v/>
      </c>
      <c r="Y236">
        <f>IF(AND($A236&lt;&gt;"",$B236&lt;&gt;"",$R236='تقرير نوفمبر'!$C$4,$P236='تقرير نوفمبر'!$C$6),COUNT(Y$4:Y235)+1,"")</f>
        <v/>
      </c>
      <c r="Z236">
        <f>IF(AND($A236&lt;&gt;"",$B236&lt;&gt;"",$R236='تقرير ديسمبر'!$C$4,$P236='تقرير ديسمبر'!$C$6),COUNT(Z$4:Z235)+1,"")</f>
        <v/>
      </c>
      <c r="AA236">
        <f>IF(AND($A236&lt;&gt;"",$B236&lt;&gt;"",$R236='تقرير يناير'!$C$4,$P236='تقرير يناير'!$C$6),COUNT(AA$4:AA235)+1,"")</f>
        <v/>
      </c>
      <c r="AB236">
        <f>IF(AND($A236&lt;&gt;"",$B236&lt;&gt;"",$R236='تقرير فبراير'!$C$4,$P236='تقرير فبراير'!$C$6),COUNT(AB$4:AB235)+1,"")</f>
        <v/>
      </c>
      <c r="AC236">
        <f>IF(AND($A236&lt;&gt;"",$B236&lt;&gt;"",$R236='تقرير مارس'!$C$4,$P236='تقرير مارس'!$C$6),COUNT(AC$4:AC235)+1,"")</f>
        <v/>
      </c>
      <c r="AD236">
        <f>IF(AND($A236&lt;&gt;"",$B236&lt;&gt;"",$R236='تقرير أبريل'!$C$4,$P236='تقرير أبريل'!$C$6),COUNT(AD$4:AD235)+1,"")</f>
        <v/>
      </c>
      <c r="AE236">
        <f>IF(AND($A236&lt;&gt;"",$B236&lt;&gt;"",$R236='تقرير مايو'!$C$4,$P236='تقرير مايو'!$C$6),COUNT(AE$4:AE235)+1,"")</f>
        <v/>
      </c>
    </row>
    <row r="237">
      <c r="A237" s="16" t="n"/>
      <c r="B237" s="17" t="n"/>
      <c r="C237" s="17" t="n"/>
      <c r="D237" s="18" t="n"/>
      <c r="E237" s="17" t="n"/>
      <c r="F237" s="17" t="n"/>
      <c r="G237" s="19" t="n"/>
      <c r="H237" s="17" t="n"/>
      <c r="I237" s="17" t="n"/>
      <c r="J237" s="17" t="n"/>
      <c r="K237" s="20">
        <f>IF($B237="","",IFERROR(INDEX(الموظفات!$A$5:$A$304,MATCH($B237,الموظفات!$B$5:$B$304,0))&amp;"",""))</f>
        <v/>
      </c>
      <c r="L237" s="21">
        <f>IF($B237="","",IFERROR(INDEX(الموظفات!$C$5:$C$304,MATCH($B237,الموظفات!$B$5:$B$304,0))&amp;"",""))</f>
        <v/>
      </c>
      <c r="M237" s="20">
        <f>IF($B237="","",IFERROR(INDEX(الموظفات!$D$5:$D$304,MATCH($B237,الموظفات!$B$5:$B$304,0))&amp;"",""))</f>
        <v/>
      </c>
      <c r="N237" s="20">
        <f>IF($B237="","",IFERROR(INDEX(الموظفات!$E$5:$E$304,MATCH($B237,الموظفات!$B$5:$B$304,0))&amp;"",""))</f>
        <v/>
      </c>
      <c r="O237" s="21">
        <f>IF(C237="","",IFERROR(INDEX(الإعدادات!$D$7:$D$35,MATCH(C237,الإعدادات!$A$7:$A$35,0))&amp;"",""))</f>
        <v/>
      </c>
      <c r="P237" s="20">
        <f>IF(A237="","",INDEX(الإعدادات!$H$7:$H$18,MONTH(A237)))</f>
        <v/>
      </c>
      <c r="Q237" s="20">
        <f>IF(A237="","",INDEX(الإعدادات!$I$7:$I$18,MONTH(A237)))</f>
        <v/>
      </c>
      <c r="R237" s="20">
        <f>IF(A237="","",IF(MONTH(A237)&gt;=8,YEAR(A237)&amp;"-"&amp;(YEAR(A237)+1),(YEAR(A237)-1)&amp;"-"&amp;YEAR(A237)))</f>
        <v/>
      </c>
      <c r="S237" s="20">
        <f>IF(OR(A237="",B237=""),0,IF(AND(R237=التقارير!$C$4,OR(التقارير!$C$5="سنوي",AND(التقارير!$C$5="شهري",P237=التقارير!$C$6),AND(التقارير!$C$5="فصلي",Q237=التقارير!$C$7))),1,0))</f>
        <v/>
      </c>
      <c r="T237" s="20">
        <f>IF(S237=1,COUNTIF($S$5:S237,1),"")</f>
        <v/>
      </c>
      <c r="U237">
        <f>IF(AND($A237&lt;&gt;"",$B237&lt;&gt;"",$R237='تقرير الفصل الأول'!$C$4,$Q237='تقرير الفصل الأول'!$C$7),COUNT(U$4:U236)+1,"")</f>
        <v/>
      </c>
      <c r="V237">
        <f>IF(AND($A237&lt;&gt;"",$B237&lt;&gt;"",$R237='تقرير الفصل الثاني'!$C$4,$Q237='تقرير الفصل الثاني'!$C$7),COUNT(V$4:V236)+1,"")</f>
        <v/>
      </c>
      <c r="W237">
        <f>IF(AND($A237&lt;&gt;"",$B237&lt;&gt;"",$R237='تقرير سبتمبر'!$C$4,$P237='تقرير سبتمبر'!$C$6),COUNT(W$4:W236)+1,"")</f>
        <v/>
      </c>
      <c r="X237">
        <f>IF(AND($A237&lt;&gt;"",$B237&lt;&gt;"",$R237='تقرير أكتوبر'!$C$4,$P237='تقرير أكتوبر'!$C$6),COUNT(X$4:X236)+1,"")</f>
        <v/>
      </c>
      <c r="Y237">
        <f>IF(AND($A237&lt;&gt;"",$B237&lt;&gt;"",$R237='تقرير نوفمبر'!$C$4,$P237='تقرير نوفمبر'!$C$6),COUNT(Y$4:Y236)+1,"")</f>
        <v/>
      </c>
      <c r="Z237">
        <f>IF(AND($A237&lt;&gt;"",$B237&lt;&gt;"",$R237='تقرير ديسمبر'!$C$4,$P237='تقرير ديسمبر'!$C$6),COUNT(Z$4:Z236)+1,"")</f>
        <v/>
      </c>
      <c r="AA237">
        <f>IF(AND($A237&lt;&gt;"",$B237&lt;&gt;"",$R237='تقرير يناير'!$C$4,$P237='تقرير يناير'!$C$6),COUNT(AA$4:AA236)+1,"")</f>
        <v/>
      </c>
      <c r="AB237">
        <f>IF(AND($A237&lt;&gt;"",$B237&lt;&gt;"",$R237='تقرير فبراير'!$C$4,$P237='تقرير فبراير'!$C$6),COUNT(AB$4:AB236)+1,"")</f>
        <v/>
      </c>
      <c r="AC237">
        <f>IF(AND($A237&lt;&gt;"",$B237&lt;&gt;"",$R237='تقرير مارس'!$C$4,$P237='تقرير مارس'!$C$6),COUNT(AC$4:AC236)+1,"")</f>
        <v/>
      </c>
      <c r="AD237">
        <f>IF(AND($A237&lt;&gt;"",$B237&lt;&gt;"",$R237='تقرير أبريل'!$C$4,$P237='تقرير أبريل'!$C$6),COUNT(AD$4:AD236)+1,"")</f>
        <v/>
      </c>
      <c r="AE237">
        <f>IF(AND($A237&lt;&gt;"",$B237&lt;&gt;"",$R237='تقرير مايو'!$C$4,$P237='تقرير مايو'!$C$6),COUNT(AE$4:AE236)+1,"")</f>
        <v/>
      </c>
    </row>
    <row r="238">
      <c r="A238" s="16" t="n"/>
      <c r="B238" s="17" t="n"/>
      <c r="C238" s="17" t="n"/>
      <c r="D238" s="18" t="n"/>
      <c r="E238" s="17" t="n"/>
      <c r="F238" s="17" t="n"/>
      <c r="G238" s="19" t="n"/>
      <c r="H238" s="17" t="n"/>
      <c r="I238" s="17" t="n"/>
      <c r="J238" s="17" t="n"/>
      <c r="K238" s="20">
        <f>IF($B238="","",IFERROR(INDEX(الموظفات!$A$5:$A$304,MATCH($B238,الموظفات!$B$5:$B$304,0))&amp;"",""))</f>
        <v/>
      </c>
      <c r="L238" s="21">
        <f>IF($B238="","",IFERROR(INDEX(الموظفات!$C$5:$C$304,MATCH($B238,الموظفات!$B$5:$B$304,0))&amp;"",""))</f>
        <v/>
      </c>
      <c r="M238" s="20">
        <f>IF($B238="","",IFERROR(INDEX(الموظفات!$D$5:$D$304,MATCH($B238,الموظفات!$B$5:$B$304,0))&amp;"",""))</f>
        <v/>
      </c>
      <c r="N238" s="20">
        <f>IF($B238="","",IFERROR(INDEX(الموظفات!$E$5:$E$304,MATCH($B238,الموظفات!$B$5:$B$304,0))&amp;"",""))</f>
        <v/>
      </c>
      <c r="O238" s="21">
        <f>IF(C238="","",IFERROR(INDEX(الإعدادات!$D$7:$D$35,MATCH(C238,الإعدادات!$A$7:$A$35,0))&amp;"",""))</f>
        <v/>
      </c>
      <c r="P238" s="20">
        <f>IF(A238="","",INDEX(الإعدادات!$H$7:$H$18,MONTH(A238)))</f>
        <v/>
      </c>
      <c r="Q238" s="20">
        <f>IF(A238="","",INDEX(الإعدادات!$I$7:$I$18,MONTH(A238)))</f>
        <v/>
      </c>
      <c r="R238" s="20">
        <f>IF(A238="","",IF(MONTH(A238)&gt;=8,YEAR(A238)&amp;"-"&amp;(YEAR(A238)+1),(YEAR(A238)-1)&amp;"-"&amp;YEAR(A238)))</f>
        <v/>
      </c>
      <c r="S238" s="20">
        <f>IF(OR(A238="",B238=""),0,IF(AND(R238=التقارير!$C$4,OR(التقارير!$C$5="سنوي",AND(التقارير!$C$5="شهري",P238=التقارير!$C$6),AND(التقارير!$C$5="فصلي",Q238=التقارير!$C$7))),1,0))</f>
        <v/>
      </c>
      <c r="T238" s="20">
        <f>IF(S238=1,COUNTIF($S$5:S238,1),"")</f>
        <v/>
      </c>
      <c r="U238">
        <f>IF(AND($A238&lt;&gt;"",$B238&lt;&gt;"",$R238='تقرير الفصل الأول'!$C$4,$Q238='تقرير الفصل الأول'!$C$7),COUNT(U$4:U237)+1,"")</f>
        <v/>
      </c>
      <c r="V238">
        <f>IF(AND($A238&lt;&gt;"",$B238&lt;&gt;"",$R238='تقرير الفصل الثاني'!$C$4,$Q238='تقرير الفصل الثاني'!$C$7),COUNT(V$4:V237)+1,"")</f>
        <v/>
      </c>
      <c r="W238">
        <f>IF(AND($A238&lt;&gt;"",$B238&lt;&gt;"",$R238='تقرير سبتمبر'!$C$4,$P238='تقرير سبتمبر'!$C$6),COUNT(W$4:W237)+1,"")</f>
        <v/>
      </c>
      <c r="X238">
        <f>IF(AND($A238&lt;&gt;"",$B238&lt;&gt;"",$R238='تقرير أكتوبر'!$C$4,$P238='تقرير أكتوبر'!$C$6),COUNT(X$4:X237)+1,"")</f>
        <v/>
      </c>
      <c r="Y238">
        <f>IF(AND($A238&lt;&gt;"",$B238&lt;&gt;"",$R238='تقرير نوفمبر'!$C$4,$P238='تقرير نوفمبر'!$C$6),COUNT(Y$4:Y237)+1,"")</f>
        <v/>
      </c>
      <c r="Z238">
        <f>IF(AND($A238&lt;&gt;"",$B238&lt;&gt;"",$R238='تقرير ديسمبر'!$C$4,$P238='تقرير ديسمبر'!$C$6),COUNT(Z$4:Z237)+1,"")</f>
        <v/>
      </c>
      <c r="AA238">
        <f>IF(AND($A238&lt;&gt;"",$B238&lt;&gt;"",$R238='تقرير يناير'!$C$4,$P238='تقرير يناير'!$C$6),COUNT(AA$4:AA237)+1,"")</f>
        <v/>
      </c>
      <c r="AB238">
        <f>IF(AND($A238&lt;&gt;"",$B238&lt;&gt;"",$R238='تقرير فبراير'!$C$4,$P238='تقرير فبراير'!$C$6),COUNT(AB$4:AB237)+1,"")</f>
        <v/>
      </c>
      <c r="AC238">
        <f>IF(AND($A238&lt;&gt;"",$B238&lt;&gt;"",$R238='تقرير مارس'!$C$4,$P238='تقرير مارس'!$C$6),COUNT(AC$4:AC237)+1,"")</f>
        <v/>
      </c>
      <c r="AD238">
        <f>IF(AND($A238&lt;&gt;"",$B238&lt;&gt;"",$R238='تقرير أبريل'!$C$4,$P238='تقرير أبريل'!$C$6),COUNT(AD$4:AD237)+1,"")</f>
        <v/>
      </c>
      <c r="AE238">
        <f>IF(AND($A238&lt;&gt;"",$B238&lt;&gt;"",$R238='تقرير مايو'!$C$4,$P238='تقرير مايو'!$C$6),COUNT(AE$4:AE237)+1,"")</f>
        <v/>
      </c>
    </row>
    <row r="239">
      <c r="A239" s="16" t="n"/>
      <c r="B239" s="17" t="n"/>
      <c r="C239" s="17" t="n"/>
      <c r="D239" s="18" t="n"/>
      <c r="E239" s="17" t="n"/>
      <c r="F239" s="17" t="n"/>
      <c r="G239" s="19" t="n"/>
      <c r="H239" s="17" t="n"/>
      <c r="I239" s="17" t="n"/>
      <c r="J239" s="17" t="n"/>
      <c r="K239" s="20">
        <f>IF($B239="","",IFERROR(INDEX(الموظفات!$A$5:$A$304,MATCH($B239,الموظفات!$B$5:$B$304,0))&amp;"",""))</f>
        <v/>
      </c>
      <c r="L239" s="21">
        <f>IF($B239="","",IFERROR(INDEX(الموظفات!$C$5:$C$304,MATCH($B239,الموظفات!$B$5:$B$304,0))&amp;"",""))</f>
        <v/>
      </c>
      <c r="M239" s="20">
        <f>IF($B239="","",IFERROR(INDEX(الموظفات!$D$5:$D$304,MATCH($B239,الموظفات!$B$5:$B$304,0))&amp;"",""))</f>
        <v/>
      </c>
      <c r="N239" s="20">
        <f>IF($B239="","",IFERROR(INDEX(الموظفات!$E$5:$E$304,MATCH($B239,الموظفات!$B$5:$B$304,0))&amp;"",""))</f>
        <v/>
      </c>
      <c r="O239" s="21">
        <f>IF(C239="","",IFERROR(INDEX(الإعدادات!$D$7:$D$35,MATCH(C239,الإعدادات!$A$7:$A$35,0))&amp;"",""))</f>
        <v/>
      </c>
      <c r="P239" s="20">
        <f>IF(A239="","",INDEX(الإعدادات!$H$7:$H$18,MONTH(A239)))</f>
        <v/>
      </c>
      <c r="Q239" s="20">
        <f>IF(A239="","",INDEX(الإعدادات!$I$7:$I$18,MONTH(A239)))</f>
        <v/>
      </c>
      <c r="R239" s="20">
        <f>IF(A239="","",IF(MONTH(A239)&gt;=8,YEAR(A239)&amp;"-"&amp;(YEAR(A239)+1),(YEAR(A239)-1)&amp;"-"&amp;YEAR(A239)))</f>
        <v/>
      </c>
      <c r="S239" s="20">
        <f>IF(OR(A239="",B239=""),0,IF(AND(R239=التقارير!$C$4,OR(التقارير!$C$5="سنوي",AND(التقارير!$C$5="شهري",P239=التقارير!$C$6),AND(التقارير!$C$5="فصلي",Q239=التقارير!$C$7))),1,0))</f>
        <v/>
      </c>
      <c r="T239" s="20">
        <f>IF(S239=1,COUNTIF($S$5:S239,1),"")</f>
        <v/>
      </c>
      <c r="U239">
        <f>IF(AND($A239&lt;&gt;"",$B239&lt;&gt;"",$R239='تقرير الفصل الأول'!$C$4,$Q239='تقرير الفصل الأول'!$C$7),COUNT(U$4:U238)+1,"")</f>
        <v/>
      </c>
      <c r="V239">
        <f>IF(AND($A239&lt;&gt;"",$B239&lt;&gt;"",$R239='تقرير الفصل الثاني'!$C$4,$Q239='تقرير الفصل الثاني'!$C$7),COUNT(V$4:V238)+1,"")</f>
        <v/>
      </c>
      <c r="W239">
        <f>IF(AND($A239&lt;&gt;"",$B239&lt;&gt;"",$R239='تقرير سبتمبر'!$C$4,$P239='تقرير سبتمبر'!$C$6),COUNT(W$4:W238)+1,"")</f>
        <v/>
      </c>
      <c r="X239">
        <f>IF(AND($A239&lt;&gt;"",$B239&lt;&gt;"",$R239='تقرير أكتوبر'!$C$4,$P239='تقرير أكتوبر'!$C$6),COUNT(X$4:X238)+1,"")</f>
        <v/>
      </c>
      <c r="Y239">
        <f>IF(AND($A239&lt;&gt;"",$B239&lt;&gt;"",$R239='تقرير نوفمبر'!$C$4,$P239='تقرير نوفمبر'!$C$6),COUNT(Y$4:Y238)+1,"")</f>
        <v/>
      </c>
      <c r="Z239">
        <f>IF(AND($A239&lt;&gt;"",$B239&lt;&gt;"",$R239='تقرير ديسمبر'!$C$4,$P239='تقرير ديسمبر'!$C$6),COUNT(Z$4:Z238)+1,"")</f>
        <v/>
      </c>
      <c r="AA239">
        <f>IF(AND($A239&lt;&gt;"",$B239&lt;&gt;"",$R239='تقرير يناير'!$C$4,$P239='تقرير يناير'!$C$6),COUNT(AA$4:AA238)+1,"")</f>
        <v/>
      </c>
      <c r="AB239">
        <f>IF(AND($A239&lt;&gt;"",$B239&lt;&gt;"",$R239='تقرير فبراير'!$C$4,$P239='تقرير فبراير'!$C$6),COUNT(AB$4:AB238)+1,"")</f>
        <v/>
      </c>
      <c r="AC239">
        <f>IF(AND($A239&lt;&gt;"",$B239&lt;&gt;"",$R239='تقرير مارس'!$C$4,$P239='تقرير مارس'!$C$6),COUNT(AC$4:AC238)+1,"")</f>
        <v/>
      </c>
      <c r="AD239">
        <f>IF(AND($A239&lt;&gt;"",$B239&lt;&gt;"",$R239='تقرير أبريل'!$C$4,$P239='تقرير أبريل'!$C$6),COUNT(AD$4:AD238)+1,"")</f>
        <v/>
      </c>
      <c r="AE239">
        <f>IF(AND($A239&lt;&gt;"",$B239&lt;&gt;"",$R239='تقرير مايو'!$C$4,$P239='تقرير مايو'!$C$6),COUNT(AE$4:AE238)+1,"")</f>
        <v/>
      </c>
    </row>
    <row r="240">
      <c r="A240" s="16" t="n"/>
      <c r="B240" s="17" t="n"/>
      <c r="C240" s="17" t="n"/>
      <c r="D240" s="18" t="n"/>
      <c r="E240" s="17" t="n"/>
      <c r="F240" s="17" t="n"/>
      <c r="G240" s="19" t="n"/>
      <c r="H240" s="17" t="n"/>
      <c r="I240" s="17" t="n"/>
      <c r="J240" s="17" t="n"/>
      <c r="K240" s="20">
        <f>IF($B240="","",IFERROR(INDEX(الموظفات!$A$5:$A$304,MATCH($B240,الموظفات!$B$5:$B$304,0))&amp;"",""))</f>
        <v/>
      </c>
      <c r="L240" s="21">
        <f>IF($B240="","",IFERROR(INDEX(الموظفات!$C$5:$C$304,MATCH($B240,الموظفات!$B$5:$B$304,0))&amp;"",""))</f>
        <v/>
      </c>
      <c r="M240" s="20">
        <f>IF($B240="","",IFERROR(INDEX(الموظفات!$D$5:$D$304,MATCH($B240,الموظفات!$B$5:$B$304,0))&amp;"",""))</f>
        <v/>
      </c>
      <c r="N240" s="20">
        <f>IF($B240="","",IFERROR(INDEX(الموظفات!$E$5:$E$304,MATCH($B240,الموظفات!$B$5:$B$304,0))&amp;"",""))</f>
        <v/>
      </c>
      <c r="O240" s="21">
        <f>IF(C240="","",IFERROR(INDEX(الإعدادات!$D$7:$D$35,MATCH(C240,الإعدادات!$A$7:$A$35,0))&amp;"",""))</f>
        <v/>
      </c>
      <c r="P240" s="20">
        <f>IF(A240="","",INDEX(الإعدادات!$H$7:$H$18,MONTH(A240)))</f>
        <v/>
      </c>
      <c r="Q240" s="20">
        <f>IF(A240="","",INDEX(الإعدادات!$I$7:$I$18,MONTH(A240)))</f>
        <v/>
      </c>
      <c r="R240" s="20">
        <f>IF(A240="","",IF(MONTH(A240)&gt;=8,YEAR(A240)&amp;"-"&amp;(YEAR(A240)+1),(YEAR(A240)-1)&amp;"-"&amp;YEAR(A240)))</f>
        <v/>
      </c>
      <c r="S240" s="20">
        <f>IF(OR(A240="",B240=""),0,IF(AND(R240=التقارير!$C$4,OR(التقارير!$C$5="سنوي",AND(التقارير!$C$5="شهري",P240=التقارير!$C$6),AND(التقارير!$C$5="فصلي",Q240=التقارير!$C$7))),1,0))</f>
        <v/>
      </c>
      <c r="T240" s="20">
        <f>IF(S240=1,COUNTIF($S$5:S240,1),"")</f>
        <v/>
      </c>
      <c r="U240">
        <f>IF(AND($A240&lt;&gt;"",$B240&lt;&gt;"",$R240='تقرير الفصل الأول'!$C$4,$Q240='تقرير الفصل الأول'!$C$7),COUNT(U$4:U239)+1,"")</f>
        <v/>
      </c>
      <c r="V240">
        <f>IF(AND($A240&lt;&gt;"",$B240&lt;&gt;"",$R240='تقرير الفصل الثاني'!$C$4,$Q240='تقرير الفصل الثاني'!$C$7),COUNT(V$4:V239)+1,"")</f>
        <v/>
      </c>
      <c r="W240">
        <f>IF(AND($A240&lt;&gt;"",$B240&lt;&gt;"",$R240='تقرير سبتمبر'!$C$4,$P240='تقرير سبتمبر'!$C$6),COUNT(W$4:W239)+1,"")</f>
        <v/>
      </c>
      <c r="X240">
        <f>IF(AND($A240&lt;&gt;"",$B240&lt;&gt;"",$R240='تقرير أكتوبر'!$C$4,$P240='تقرير أكتوبر'!$C$6),COUNT(X$4:X239)+1,"")</f>
        <v/>
      </c>
      <c r="Y240">
        <f>IF(AND($A240&lt;&gt;"",$B240&lt;&gt;"",$R240='تقرير نوفمبر'!$C$4,$P240='تقرير نوفمبر'!$C$6),COUNT(Y$4:Y239)+1,"")</f>
        <v/>
      </c>
      <c r="Z240">
        <f>IF(AND($A240&lt;&gt;"",$B240&lt;&gt;"",$R240='تقرير ديسمبر'!$C$4,$P240='تقرير ديسمبر'!$C$6),COUNT(Z$4:Z239)+1,"")</f>
        <v/>
      </c>
      <c r="AA240">
        <f>IF(AND($A240&lt;&gt;"",$B240&lt;&gt;"",$R240='تقرير يناير'!$C$4,$P240='تقرير يناير'!$C$6),COUNT(AA$4:AA239)+1,"")</f>
        <v/>
      </c>
      <c r="AB240">
        <f>IF(AND($A240&lt;&gt;"",$B240&lt;&gt;"",$R240='تقرير فبراير'!$C$4,$P240='تقرير فبراير'!$C$6),COUNT(AB$4:AB239)+1,"")</f>
        <v/>
      </c>
      <c r="AC240">
        <f>IF(AND($A240&lt;&gt;"",$B240&lt;&gt;"",$R240='تقرير مارس'!$C$4,$P240='تقرير مارس'!$C$6),COUNT(AC$4:AC239)+1,"")</f>
        <v/>
      </c>
      <c r="AD240">
        <f>IF(AND($A240&lt;&gt;"",$B240&lt;&gt;"",$R240='تقرير أبريل'!$C$4,$P240='تقرير أبريل'!$C$6),COUNT(AD$4:AD239)+1,"")</f>
        <v/>
      </c>
      <c r="AE240">
        <f>IF(AND($A240&lt;&gt;"",$B240&lt;&gt;"",$R240='تقرير مايو'!$C$4,$P240='تقرير مايو'!$C$6),COUNT(AE$4:AE239)+1,"")</f>
        <v/>
      </c>
    </row>
    <row r="241">
      <c r="A241" s="16" t="n"/>
      <c r="B241" s="17" t="n"/>
      <c r="C241" s="17" t="n"/>
      <c r="D241" s="18" t="n"/>
      <c r="E241" s="17" t="n"/>
      <c r="F241" s="17" t="n"/>
      <c r="G241" s="19" t="n"/>
      <c r="H241" s="17" t="n"/>
      <c r="I241" s="17" t="n"/>
      <c r="J241" s="17" t="n"/>
      <c r="K241" s="20">
        <f>IF($B241="","",IFERROR(INDEX(الموظفات!$A$5:$A$304,MATCH($B241,الموظفات!$B$5:$B$304,0))&amp;"",""))</f>
        <v/>
      </c>
      <c r="L241" s="21">
        <f>IF($B241="","",IFERROR(INDEX(الموظفات!$C$5:$C$304,MATCH($B241,الموظفات!$B$5:$B$304,0))&amp;"",""))</f>
        <v/>
      </c>
      <c r="M241" s="20">
        <f>IF($B241="","",IFERROR(INDEX(الموظفات!$D$5:$D$304,MATCH($B241,الموظفات!$B$5:$B$304,0))&amp;"",""))</f>
        <v/>
      </c>
      <c r="N241" s="20">
        <f>IF($B241="","",IFERROR(INDEX(الموظفات!$E$5:$E$304,MATCH($B241,الموظفات!$B$5:$B$304,0))&amp;"",""))</f>
        <v/>
      </c>
      <c r="O241" s="21">
        <f>IF(C241="","",IFERROR(INDEX(الإعدادات!$D$7:$D$35,MATCH(C241,الإعدادات!$A$7:$A$35,0))&amp;"",""))</f>
        <v/>
      </c>
      <c r="P241" s="20">
        <f>IF(A241="","",INDEX(الإعدادات!$H$7:$H$18,MONTH(A241)))</f>
        <v/>
      </c>
      <c r="Q241" s="20">
        <f>IF(A241="","",INDEX(الإعدادات!$I$7:$I$18,MONTH(A241)))</f>
        <v/>
      </c>
      <c r="R241" s="20">
        <f>IF(A241="","",IF(MONTH(A241)&gt;=8,YEAR(A241)&amp;"-"&amp;(YEAR(A241)+1),(YEAR(A241)-1)&amp;"-"&amp;YEAR(A241)))</f>
        <v/>
      </c>
      <c r="S241" s="20">
        <f>IF(OR(A241="",B241=""),0,IF(AND(R241=التقارير!$C$4,OR(التقارير!$C$5="سنوي",AND(التقارير!$C$5="شهري",P241=التقارير!$C$6),AND(التقارير!$C$5="فصلي",Q241=التقارير!$C$7))),1,0))</f>
        <v/>
      </c>
      <c r="T241" s="20">
        <f>IF(S241=1,COUNTIF($S$5:S241,1),"")</f>
        <v/>
      </c>
      <c r="U241">
        <f>IF(AND($A241&lt;&gt;"",$B241&lt;&gt;"",$R241='تقرير الفصل الأول'!$C$4,$Q241='تقرير الفصل الأول'!$C$7),COUNT(U$4:U240)+1,"")</f>
        <v/>
      </c>
      <c r="V241">
        <f>IF(AND($A241&lt;&gt;"",$B241&lt;&gt;"",$R241='تقرير الفصل الثاني'!$C$4,$Q241='تقرير الفصل الثاني'!$C$7),COUNT(V$4:V240)+1,"")</f>
        <v/>
      </c>
      <c r="W241">
        <f>IF(AND($A241&lt;&gt;"",$B241&lt;&gt;"",$R241='تقرير سبتمبر'!$C$4,$P241='تقرير سبتمبر'!$C$6),COUNT(W$4:W240)+1,"")</f>
        <v/>
      </c>
      <c r="X241">
        <f>IF(AND($A241&lt;&gt;"",$B241&lt;&gt;"",$R241='تقرير أكتوبر'!$C$4,$P241='تقرير أكتوبر'!$C$6),COUNT(X$4:X240)+1,"")</f>
        <v/>
      </c>
      <c r="Y241">
        <f>IF(AND($A241&lt;&gt;"",$B241&lt;&gt;"",$R241='تقرير نوفمبر'!$C$4,$P241='تقرير نوفمبر'!$C$6),COUNT(Y$4:Y240)+1,"")</f>
        <v/>
      </c>
      <c r="Z241">
        <f>IF(AND($A241&lt;&gt;"",$B241&lt;&gt;"",$R241='تقرير ديسمبر'!$C$4,$P241='تقرير ديسمبر'!$C$6),COUNT(Z$4:Z240)+1,"")</f>
        <v/>
      </c>
      <c r="AA241">
        <f>IF(AND($A241&lt;&gt;"",$B241&lt;&gt;"",$R241='تقرير يناير'!$C$4,$P241='تقرير يناير'!$C$6),COUNT(AA$4:AA240)+1,"")</f>
        <v/>
      </c>
      <c r="AB241">
        <f>IF(AND($A241&lt;&gt;"",$B241&lt;&gt;"",$R241='تقرير فبراير'!$C$4,$P241='تقرير فبراير'!$C$6),COUNT(AB$4:AB240)+1,"")</f>
        <v/>
      </c>
      <c r="AC241">
        <f>IF(AND($A241&lt;&gt;"",$B241&lt;&gt;"",$R241='تقرير مارس'!$C$4,$P241='تقرير مارس'!$C$6),COUNT(AC$4:AC240)+1,"")</f>
        <v/>
      </c>
      <c r="AD241">
        <f>IF(AND($A241&lt;&gt;"",$B241&lt;&gt;"",$R241='تقرير أبريل'!$C$4,$P241='تقرير أبريل'!$C$6),COUNT(AD$4:AD240)+1,"")</f>
        <v/>
      </c>
      <c r="AE241">
        <f>IF(AND($A241&lt;&gt;"",$B241&lt;&gt;"",$R241='تقرير مايو'!$C$4,$P241='تقرير مايو'!$C$6),COUNT(AE$4:AE240)+1,"")</f>
        <v/>
      </c>
    </row>
    <row r="242">
      <c r="A242" s="16" t="n"/>
      <c r="B242" s="17" t="n"/>
      <c r="C242" s="17" t="n"/>
      <c r="D242" s="18" t="n"/>
      <c r="E242" s="17" t="n"/>
      <c r="F242" s="17" t="n"/>
      <c r="G242" s="19" t="n"/>
      <c r="H242" s="17" t="n"/>
      <c r="I242" s="17" t="n"/>
      <c r="J242" s="17" t="n"/>
      <c r="K242" s="20">
        <f>IF($B242="","",IFERROR(INDEX(الموظفات!$A$5:$A$304,MATCH($B242,الموظفات!$B$5:$B$304,0))&amp;"",""))</f>
        <v/>
      </c>
      <c r="L242" s="21">
        <f>IF($B242="","",IFERROR(INDEX(الموظفات!$C$5:$C$304,MATCH($B242,الموظفات!$B$5:$B$304,0))&amp;"",""))</f>
        <v/>
      </c>
      <c r="M242" s="20">
        <f>IF($B242="","",IFERROR(INDEX(الموظفات!$D$5:$D$304,MATCH($B242,الموظفات!$B$5:$B$304,0))&amp;"",""))</f>
        <v/>
      </c>
      <c r="N242" s="20">
        <f>IF($B242="","",IFERROR(INDEX(الموظفات!$E$5:$E$304,MATCH($B242,الموظفات!$B$5:$B$304,0))&amp;"",""))</f>
        <v/>
      </c>
      <c r="O242" s="21">
        <f>IF(C242="","",IFERROR(INDEX(الإعدادات!$D$7:$D$35,MATCH(C242,الإعدادات!$A$7:$A$35,0))&amp;"",""))</f>
        <v/>
      </c>
      <c r="P242" s="20">
        <f>IF(A242="","",INDEX(الإعدادات!$H$7:$H$18,MONTH(A242)))</f>
        <v/>
      </c>
      <c r="Q242" s="20">
        <f>IF(A242="","",INDEX(الإعدادات!$I$7:$I$18,MONTH(A242)))</f>
        <v/>
      </c>
      <c r="R242" s="20">
        <f>IF(A242="","",IF(MONTH(A242)&gt;=8,YEAR(A242)&amp;"-"&amp;(YEAR(A242)+1),(YEAR(A242)-1)&amp;"-"&amp;YEAR(A242)))</f>
        <v/>
      </c>
      <c r="S242" s="20">
        <f>IF(OR(A242="",B242=""),0,IF(AND(R242=التقارير!$C$4,OR(التقارير!$C$5="سنوي",AND(التقارير!$C$5="شهري",P242=التقارير!$C$6),AND(التقارير!$C$5="فصلي",Q242=التقارير!$C$7))),1,0))</f>
        <v/>
      </c>
      <c r="T242" s="20">
        <f>IF(S242=1,COUNTIF($S$5:S242,1),"")</f>
        <v/>
      </c>
      <c r="U242">
        <f>IF(AND($A242&lt;&gt;"",$B242&lt;&gt;"",$R242='تقرير الفصل الأول'!$C$4,$Q242='تقرير الفصل الأول'!$C$7),COUNT(U$4:U241)+1,"")</f>
        <v/>
      </c>
      <c r="V242">
        <f>IF(AND($A242&lt;&gt;"",$B242&lt;&gt;"",$R242='تقرير الفصل الثاني'!$C$4,$Q242='تقرير الفصل الثاني'!$C$7),COUNT(V$4:V241)+1,"")</f>
        <v/>
      </c>
      <c r="W242">
        <f>IF(AND($A242&lt;&gt;"",$B242&lt;&gt;"",$R242='تقرير سبتمبر'!$C$4,$P242='تقرير سبتمبر'!$C$6),COUNT(W$4:W241)+1,"")</f>
        <v/>
      </c>
      <c r="X242">
        <f>IF(AND($A242&lt;&gt;"",$B242&lt;&gt;"",$R242='تقرير أكتوبر'!$C$4,$P242='تقرير أكتوبر'!$C$6),COUNT(X$4:X241)+1,"")</f>
        <v/>
      </c>
      <c r="Y242">
        <f>IF(AND($A242&lt;&gt;"",$B242&lt;&gt;"",$R242='تقرير نوفمبر'!$C$4,$P242='تقرير نوفمبر'!$C$6),COUNT(Y$4:Y241)+1,"")</f>
        <v/>
      </c>
      <c r="Z242">
        <f>IF(AND($A242&lt;&gt;"",$B242&lt;&gt;"",$R242='تقرير ديسمبر'!$C$4,$P242='تقرير ديسمبر'!$C$6),COUNT(Z$4:Z241)+1,"")</f>
        <v/>
      </c>
      <c r="AA242">
        <f>IF(AND($A242&lt;&gt;"",$B242&lt;&gt;"",$R242='تقرير يناير'!$C$4,$P242='تقرير يناير'!$C$6),COUNT(AA$4:AA241)+1,"")</f>
        <v/>
      </c>
      <c r="AB242">
        <f>IF(AND($A242&lt;&gt;"",$B242&lt;&gt;"",$R242='تقرير فبراير'!$C$4,$P242='تقرير فبراير'!$C$6),COUNT(AB$4:AB241)+1,"")</f>
        <v/>
      </c>
      <c r="AC242">
        <f>IF(AND($A242&lt;&gt;"",$B242&lt;&gt;"",$R242='تقرير مارس'!$C$4,$P242='تقرير مارس'!$C$6),COUNT(AC$4:AC241)+1,"")</f>
        <v/>
      </c>
      <c r="AD242">
        <f>IF(AND($A242&lt;&gt;"",$B242&lt;&gt;"",$R242='تقرير أبريل'!$C$4,$P242='تقرير أبريل'!$C$6),COUNT(AD$4:AD241)+1,"")</f>
        <v/>
      </c>
      <c r="AE242">
        <f>IF(AND($A242&lt;&gt;"",$B242&lt;&gt;"",$R242='تقرير مايو'!$C$4,$P242='تقرير مايو'!$C$6),COUNT(AE$4:AE241)+1,"")</f>
        <v/>
      </c>
    </row>
    <row r="243">
      <c r="A243" s="16" t="n"/>
      <c r="B243" s="17" t="n"/>
      <c r="C243" s="17" t="n"/>
      <c r="D243" s="18" t="n"/>
      <c r="E243" s="17" t="n"/>
      <c r="F243" s="17" t="n"/>
      <c r="G243" s="19" t="n"/>
      <c r="H243" s="17" t="n"/>
      <c r="I243" s="17" t="n"/>
      <c r="J243" s="17" t="n"/>
      <c r="K243" s="20">
        <f>IF($B243="","",IFERROR(INDEX(الموظفات!$A$5:$A$304,MATCH($B243,الموظفات!$B$5:$B$304,0))&amp;"",""))</f>
        <v/>
      </c>
      <c r="L243" s="21">
        <f>IF($B243="","",IFERROR(INDEX(الموظفات!$C$5:$C$304,MATCH($B243,الموظفات!$B$5:$B$304,0))&amp;"",""))</f>
        <v/>
      </c>
      <c r="M243" s="20">
        <f>IF($B243="","",IFERROR(INDEX(الموظفات!$D$5:$D$304,MATCH($B243,الموظفات!$B$5:$B$304,0))&amp;"",""))</f>
        <v/>
      </c>
      <c r="N243" s="20">
        <f>IF($B243="","",IFERROR(INDEX(الموظفات!$E$5:$E$304,MATCH($B243,الموظفات!$B$5:$B$304,0))&amp;"",""))</f>
        <v/>
      </c>
      <c r="O243" s="21">
        <f>IF(C243="","",IFERROR(INDEX(الإعدادات!$D$7:$D$35,MATCH(C243,الإعدادات!$A$7:$A$35,0))&amp;"",""))</f>
        <v/>
      </c>
      <c r="P243" s="20">
        <f>IF(A243="","",INDEX(الإعدادات!$H$7:$H$18,MONTH(A243)))</f>
        <v/>
      </c>
      <c r="Q243" s="20">
        <f>IF(A243="","",INDEX(الإعدادات!$I$7:$I$18,MONTH(A243)))</f>
        <v/>
      </c>
      <c r="R243" s="20">
        <f>IF(A243="","",IF(MONTH(A243)&gt;=8,YEAR(A243)&amp;"-"&amp;(YEAR(A243)+1),(YEAR(A243)-1)&amp;"-"&amp;YEAR(A243)))</f>
        <v/>
      </c>
      <c r="S243" s="20">
        <f>IF(OR(A243="",B243=""),0,IF(AND(R243=التقارير!$C$4,OR(التقارير!$C$5="سنوي",AND(التقارير!$C$5="شهري",P243=التقارير!$C$6),AND(التقارير!$C$5="فصلي",Q243=التقارير!$C$7))),1,0))</f>
        <v/>
      </c>
      <c r="T243" s="20">
        <f>IF(S243=1,COUNTIF($S$5:S243,1),"")</f>
        <v/>
      </c>
      <c r="U243">
        <f>IF(AND($A243&lt;&gt;"",$B243&lt;&gt;"",$R243='تقرير الفصل الأول'!$C$4,$Q243='تقرير الفصل الأول'!$C$7),COUNT(U$4:U242)+1,"")</f>
        <v/>
      </c>
      <c r="V243">
        <f>IF(AND($A243&lt;&gt;"",$B243&lt;&gt;"",$R243='تقرير الفصل الثاني'!$C$4,$Q243='تقرير الفصل الثاني'!$C$7),COUNT(V$4:V242)+1,"")</f>
        <v/>
      </c>
      <c r="W243">
        <f>IF(AND($A243&lt;&gt;"",$B243&lt;&gt;"",$R243='تقرير سبتمبر'!$C$4,$P243='تقرير سبتمبر'!$C$6),COUNT(W$4:W242)+1,"")</f>
        <v/>
      </c>
      <c r="X243">
        <f>IF(AND($A243&lt;&gt;"",$B243&lt;&gt;"",$R243='تقرير أكتوبر'!$C$4,$P243='تقرير أكتوبر'!$C$6),COUNT(X$4:X242)+1,"")</f>
        <v/>
      </c>
      <c r="Y243">
        <f>IF(AND($A243&lt;&gt;"",$B243&lt;&gt;"",$R243='تقرير نوفمبر'!$C$4,$P243='تقرير نوفمبر'!$C$6),COUNT(Y$4:Y242)+1,"")</f>
        <v/>
      </c>
      <c r="Z243">
        <f>IF(AND($A243&lt;&gt;"",$B243&lt;&gt;"",$R243='تقرير ديسمبر'!$C$4,$P243='تقرير ديسمبر'!$C$6),COUNT(Z$4:Z242)+1,"")</f>
        <v/>
      </c>
      <c r="AA243">
        <f>IF(AND($A243&lt;&gt;"",$B243&lt;&gt;"",$R243='تقرير يناير'!$C$4,$P243='تقرير يناير'!$C$6),COUNT(AA$4:AA242)+1,"")</f>
        <v/>
      </c>
      <c r="AB243">
        <f>IF(AND($A243&lt;&gt;"",$B243&lt;&gt;"",$R243='تقرير فبراير'!$C$4,$P243='تقرير فبراير'!$C$6),COUNT(AB$4:AB242)+1,"")</f>
        <v/>
      </c>
      <c r="AC243">
        <f>IF(AND($A243&lt;&gt;"",$B243&lt;&gt;"",$R243='تقرير مارس'!$C$4,$P243='تقرير مارس'!$C$6),COUNT(AC$4:AC242)+1,"")</f>
        <v/>
      </c>
      <c r="AD243">
        <f>IF(AND($A243&lt;&gt;"",$B243&lt;&gt;"",$R243='تقرير أبريل'!$C$4,$P243='تقرير أبريل'!$C$6),COUNT(AD$4:AD242)+1,"")</f>
        <v/>
      </c>
      <c r="AE243">
        <f>IF(AND($A243&lt;&gt;"",$B243&lt;&gt;"",$R243='تقرير مايو'!$C$4,$P243='تقرير مايو'!$C$6),COUNT(AE$4:AE242)+1,"")</f>
        <v/>
      </c>
    </row>
    <row r="244">
      <c r="A244" s="16" t="n"/>
      <c r="B244" s="17" t="n"/>
      <c r="C244" s="17" t="n"/>
      <c r="D244" s="18" t="n"/>
      <c r="E244" s="17" t="n"/>
      <c r="F244" s="17" t="n"/>
      <c r="G244" s="19" t="n"/>
      <c r="H244" s="17" t="n"/>
      <c r="I244" s="17" t="n"/>
      <c r="J244" s="17" t="n"/>
      <c r="K244" s="20">
        <f>IF($B244="","",IFERROR(INDEX(الموظفات!$A$5:$A$304,MATCH($B244,الموظفات!$B$5:$B$304,0))&amp;"",""))</f>
        <v/>
      </c>
      <c r="L244" s="21">
        <f>IF($B244="","",IFERROR(INDEX(الموظفات!$C$5:$C$304,MATCH($B244,الموظفات!$B$5:$B$304,0))&amp;"",""))</f>
        <v/>
      </c>
      <c r="M244" s="20">
        <f>IF($B244="","",IFERROR(INDEX(الموظفات!$D$5:$D$304,MATCH($B244,الموظفات!$B$5:$B$304,0))&amp;"",""))</f>
        <v/>
      </c>
      <c r="N244" s="20">
        <f>IF($B244="","",IFERROR(INDEX(الموظفات!$E$5:$E$304,MATCH($B244,الموظفات!$B$5:$B$304,0))&amp;"",""))</f>
        <v/>
      </c>
      <c r="O244" s="21">
        <f>IF(C244="","",IFERROR(INDEX(الإعدادات!$D$7:$D$35,MATCH(C244,الإعدادات!$A$7:$A$35,0))&amp;"",""))</f>
        <v/>
      </c>
      <c r="P244" s="20">
        <f>IF(A244="","",INDEX(الإعدادات!$H$7:$H$18,MONTH(A244)))</f>
        <v/>
      </c>
      <c r="Q244" s="20">
        <f>IF(A244="","",INDEX(الإعدادات!$I$7:$I$18,MONTH(A244)))</f>
        <v/>
      </c>
      <c r="R244" s="20">
        <f>IF(A244="","",IF(MONTH(A244)&gt;=8,YEAR(A244)&amp;"-"&amp;(YEAR(A244)+1),(YEAR(A244)-1)&amp;"-"&amp;YEAR(A244)))</f>
        <v/>
      </c>
      <c r="S244" s="20">
        <f>IF(OR(A244="",B244=""),0,IF(AND(R244=التقارير!$C$4,OR(التقارير!$C$5="سنوي",AND(التقارير!$C$5="شهري",P244=التقارير!$C$6),AND(التقارير!$C$5="فصلي",Q244=التقارير!$C$7))),1,0))</f>
        <v/>
      </c>
      <c r="T244" s="20">
        <f>IF(S244=1,COUNTIF($S$5:S244,1),"")</f>
        <v/>
      </c>
      <c r="U244">
        <f>IF(AND($A244&lt;&gt;"",$B244&lt;&gt;"",$R244='تقرير الفصل الأول'!$C$4,$Q244='تقرير الفصل الأول'!$C$7),COUNT(U$4:U243)+1,"")</f>
        <v/>
      </c>
      <c r="V244">
        <f>IF(AND($A244&lt;&gt;"",$B244&lt;&gt;"",$R244='تقرير الفصل الثاني'!$C$4,$Q244='تقرير الفصل الثاني'!$C$7),COUNT(V$4:V243)+1,"")</f>
        <v/>
      </c>
      <c r="W244">
        <f>IF(AND($A244&lt;&gt;"",$B244&lt;&gt;"",$R244='تقرير سبتمبر'!$C$4,$P244='تقرير سبتمبر'!$C$6),COUNT(W$4:W243)+1,"")</f>
        <v/>
      </c>
      <c r="X244">
        <f>IF(AND($A244&lt;&gt;"",$B244&lt;&gt;"",$R244='تقرير أكتوبر'!$C$4,$P244='تقرير أكتوبر'!$C$6),COUNT(X$4:X243)+1,"")</f>
        <v/>
      </c>
      <c r="Y244">
        <f>IF(AND($A244&lt;&gt;"",$B244&lt;&gt;"",$R244='تقرير نوفمبر'!$C$4,$P244='تقرير نوفمبر'!$C$6),COUNT(Y$4:Y243)+1,"")</f>
        <v/>
      </c>
      <c r="Z244">
        <f>IF(AND($A244&lt;&gt;"",$B244&lt;&gt;"",$R244='تقرير ديسمبر'!$C$4,$P244='تقرير ديسمبر'!$C$6),COUNT(Z$4:Z243)+1,"")</f>
        <v/>
      </c>
      <c r="AA244">
        <f>IF(AND($A244&lt;&gt;"",$B244&lt;&gt;"",$R244='تقرير يناير'!$C$4,$P244='تقرير يناير'!$C$6),COUNT(AA$4:AA243)+1,"")</f>
        <v/>
      </c>
      <c r="AB244">
        <f>IF(AND($A244&lt;&gt;"",$B244&lt;&gt;"",$R244='تقرير فبراير'!$C$4,$P244='تقرير فبراير'!$C$6),COUNT(AB$4:AB243)+1,"")</f>
        <v/>
      </c>
      <c r="AC244">
        <f>IF(AND($A244&lt;&gt;"",$B244&lt;&gt;"",$R244='تقرير مارس'!$C$4,$P244='تقرير مارس'!$C$6),COUNT(AC$4:AC243)+1,"")</f>
        <v/>
      </c>
      <c r="AD244">
        <f>IF(AND($A244&lt;&gt;"",$B244&lt;&gt;"",$R244='تقرير أبريل'!$C$4,$P244='تقرير أبريل'!$C$6),COUNT(AD$4:AD243)+1,"")</f>
        <v/>
      </c>
      <c r="AE244">
        <f>IF(AND($A244&lt;&gt;"",$B244&lt;&gt;"",$R244='تقرير مايو'!$C$4,$P244='تقرير مايو'!$C$6),COUNT(AE$4:AE243)+1,"")</f>
        <v/>
      </c>
    </row>
    <row r="245">
      <c r="A245" s="16" t="n"/>
      <c r="B245" s="17" t="n"/>
      <c r="C245" s="17" t="n"/>
      <c r="D245" s="18" t="n"/>
      <c r="E245" s="17" t="n"/>
      <c r="F245" s="17" t="n"/>
      <c r="G245" s="19" t="n"/>
      <c r="H245" s="17" t="n"/>
      <c r="I245" s="17" t="n"/>
      <c r="J245" s="17" t="n"/>
      <c r="K245" s="20">
        <f>IF($B245="","",IFERROR(INDEX(الموظفات!$A$5:$A$304,MATCH($B245,الموظفات!$B$5:$B$304,0))&amp;"",""))</f>
        <v/>
      </c>
      <c r="L245" s="21">
        <f>IF($B245="","",IFERROR(INDEX(الموظفات!$C$5:$C$304,MATCH($B245,الموظفات!$B$5:$B$304,0))&amp;"",""))</f>
        <v/>
      </c>
      <c r="M245" s="20">
        <f>IF($B245="","",IFERROR(INDEX(الموظفات!$D$5:$D$304,MATCH($B245,الموظفات!$B$5:$B$304,0))&amp;"",""))</f>
        <v/>
      </c>
      <c r="N245" s="20">
        <f>IF($B245="","",IFERROR(INDEX(الموظفات!$E$5:$E$304,MATCH($B245,الموظفات!$B$5:$B$304,0))&amp;"",""))</f>
        <v/>
      </c>
      <c r="O245" s="21">
        <f>IF(C245="","",IFERROR(INDEX(الإعدادات!$D$7:$D$35,MATCH(C245,الإعدادات!$A$7:$A$35,0))&amp;"",""))</f>
        <v/>
      </c>
      <c r="P245" s="20">
        <f>IF(A245="","",INDEX(الإعدادات!$H$7:$H$18,MONTH(A245)))</f>
        <v/>
      </c>
      <c r="Q245" s="20">
        <f>IF(A245="","",INDEX(الإعدادات!$I$7:$I$18,MONTH(A245)))</f>
        <v/>
      </c>
      <c r="R245" s="20">
        <f>IF(A245="","",IF(MONTH(A245)&gt;=8,YEAR(A245)&amp;"-"&amp;(YEAR(A245)+1),(YEAR(A245)-1)&amp;"-"&amp;YEAR(A245)))</f>
        <v/>
      </c>
      <c r="S245" s="20">
        <f>IF(OR(A245="",B245=""),0,IF(AND(R245=التقارير!$C$4,OR(التقارير!$C$5="سنوي",AND(التقارير!$C$5="شهري",P245=التقارير!$C$6),AND(التقارير!$C$5="فصلي",Q245=التقارير!$C$7))),1,0))</f>
        <v/>
      </c>
      <c r="T245" s="20">
        <f>IF(S245=1,COUNTIF($S$5:S245,1),"")</f>
        <v/>
      </c>
      <c r="U245">
        <f>IF(AND($A245&lt;&gt;"",$B245&lt;&gt;"",$R245='تقرير الفصل الأول'!$C$4,$Q245='تقرير الفصل الأول'!$C$7),COUNT(U$4:U244)+1,"")</f>
        <v/>
      </c>
      <c r="V245">
        <f>IF(AND($A245&lt;&gt;"",$B245&lt;&gt;"",$R245='تقرير الفصل الثاني'!$C$4,$Q245='تقرير الفصل الثاني'!$C$7),COUNT(V$4:V244)+1,"")</f>
        <v/>
      </c>
      <c r="W245">
        <f>IF(AND($A245&lt;&gt;"",$B245&lt;&gt;"",$R245='تقرير سبتمبر'!$C$4,$P245='تقرير سبتمبر'!$C$6),COUNT(W$4:W244)+1,"")</f>
        <v/>
      </c>
      <c r="X245">
        <f>IF(AND($A245&lt;&gt;"",$B245&lt;&gt;"",$R245='تقرير أكتوبر'!$C$4,$P245='تقرير أكتوبر'!$C$6),COUNT(X$4:X244)+1,"")</f>
        <v/>
      </c>
      <c r="Y245">
        <f>IF(AND($A245&lt;&gt;"",$B245&lt;&gt;"",$R245='تقرير نوفمبر'!$C$4,$P245='تقرير نوفمبر'!$C$6),COUNT(Y$4:Y244)+1,"")</f>
        <v/>
      </c>
      <c r="Z245">
        <f>IF(AND($A245&lt;&gt;"",$B245&lt;&gt;"",$R245='تقرير ديسمبر'!$C$4,$P245='تقرير ديسمبر'!$C$6),COUNT(Z$4:Z244)+1,"")</f>
        <v/>
      </c>
      <c r="AA245">
        <f>IF(AND($A245&lt;&gt;"",$B245&lt;&gt;"",$R245='تقرير يناير'!$C$4,$P245='تقرير يناير'!$C$6),COUNT(AA$4:AA244)+1,"")</f>
        <v/>
      </c>
      <c r="AB245">
        <f>IF(AND($A245&lt;&gt;"",$B245&lt;&gt;"",$R245='تقرير فبراير'!$C$4,$P245='تقرير فبراير'!$C$6),COUNT(AB$4:AB244)+1,"")</f>
        <v/>
      </c>
      <c r="AC245">
        <f>IF(AND($A245&lt;&gt;"",$B245&lt;&gt;"",$R245='تقرير مارس'!$C$4,$P245='تقرير مارس'!$C$6),COUNT(AC$4:AC244)+1,"")</f>
        <v/>
      </c>
      <c r="AD245">
        <f>IF(AND($A245&lt;&gt;"",$B245&lt;&gt;"",$R245='تقرير أبريل'!$C$4,$P245='تقرير أبريل'!$C$6),COUNT(AD$4:AD244)+1,"")</f>
        <v/>
      </c>
      <c r="AE245">
        <f>IF(AND($A245&lt;&gt;"",$B245&lt;&gt;"",$R245='تقرير مايو'!$C$4,$P245='تقرير مايو'!$C$6),COUNT(AE$4:AE244)+1,"")</f>
        <v/>
      </c>
    </row>
    <row r="246">
      <c r="A246" s="16" t="n"/>
      <c r="B246" s="17" t="n"/>
      <c r="C246" s="17" t="n"/>
      <c r="D246" s="18" t="n"/>
      <c r="E246" s="17" t="n"/>
      <c r="F246" s="17" t="n"/>
      <c r="G246" s="19" t="n"/>
      <c r="H246" s="17" t="n"/>
      <c r="I246" s="17" t="n"/>
      <c r="J246" s="17" t="n"/>
      <c r="K246" s="20">
        <f>IF($B246="","",IFERROR(INDEX(الموظفات!$A$5:$A$304,MATCH($B246,الموظفات!$B$5:$B$304,0))&amp;"",""))</f>
        <v/>
      </c>
      <c r="L246" s="21">
        <f>IF($B246="","",IFERROR(INDEX(الموظفات!$C$5:$C$304,MATCH($B246,الموظفات!$B$5:$B$304,0))&amp;"",""))</f>
        <v/>
      </c>
      <c r="M246" s="20">
        <f>IF($B246="","",IFERROR(INDEX(الموظفات!$D$5:$D$304,MATCH($B246,الموظفات!$B$5:$B$304,0))&amp;"",""))</f>
        <v/>
      </c>
      <c r="N246" s="20">
        <f>IF($B246="","",IFERROR(INDEX(الموظفات!$E$5:$E$304,MATCH($B246,الموظفات!$B$5:$B$304,0))&amp;"",""))</f>
        <v/>
      </c>
      <c r="O246" s="21">
        <f>IF(C246="","",IFERROR(INDEX(الإعدادات!$D$7:$D$35,MATCH(C246,الإعدادات!$A$7:$A$35,0))&amp;"",""))</f>
        <v/>
      </c>
      <c r="P246" s="20">
        <f>IF(A246="","",INDEX(الإعدادات!$H$7:$H$18,MONTH(A246)))</f>
        <v/>
      </c>
      <c r="Q246" s="20">
        <f>IF(A246="","",INDEX(الإعدادات!$I$7:$I$18,MONTH(A246)))</f>
        <v/>
      </c>
      <c r="R246" s="20">
        <f>IF(A246="","",IF(MONTH(A246)&gt;=8,YEAR(A246)&amp;"-"&amp;(YEAR(A246)+1),(YEAR(A246)-1)&amp;"-"&amp;YEAR(A246)))</f>
        <v/>
      </c>
      <c r="S246" s="20">
        <f>IF(OR(A246="",B246=""),0,IF(AND(R246=التقارير!$C$4,OR(التقارير!$C$5="سنوي",AND(التقارير!$C$5="شهري",P246=التقارير!$C$6),AND(التقارير!$C$5="فصلي",Q246=التقارير!$C$7))),1,0))</f>
        <v/>
      </c>
      <c r="T246" s="20">
        <f>IF(S246=1,COUNTIF($S$5:S246,1),"")</f>
        <v/>
      </c>
      <c r="U246">
        <f>IF(AND($A246&lt;&gt;"",$B246&lt;&gt;"",$R246='تقرير الفصل الأول'!$C$4,$Q246='تقرير الفصل الأول'!$C$7),COUNT(U$4:U245)+1,"")</f>
        <v/>
      </c>
      <c r="V246">
        <f>IF(AND($A246&lt;&gt;"",$B246&lt;&gt;"",$R246='تقرير الفصل الثاني'!$C$4,$Q246='تقرير الفصل الثاني'!$C$7),COUNT(V$4:V245)+1,"")</f>
        <v/>
      </c>
      <c r="W246">
        <f>IF(AND($A246&lt;&gt;"",$B246&lt;&gt;"",$R246='تقرير سبتمبر'!$C$4,$P246='تقرير سبتمبر'!$C$6),COUNT(W$4:W245)+1,"")</f>
        <v/>
      </c>
      <c r="X246">
        <f>IF(AND($A246&lt;&gt;"",$B246&lt;&gt;"",$R246='تقرير أكتوبر'!$C$4,$P246='تقرير أكتوبر'!$C$6),COUNT(X$4:X245)+1,"")</f>
        <v/>
      </c>
      <c r="Y246">
        <f>IF(AND($A246&lt;&gt;"",$B246&lt;&gt;"",$R246='تقرير نوفمبر'!$C$4,$P246='تقرير نوفمبر'!$C$6),COUNT(Y$4:Y245)+1,"")</f>
        <v/>
      </c>
      <c r="Z246">
        <f>IF(AND($A246&lt;&gt;"",$B246&lt;&gt;"",$R246='تقرير ديسمبر'!$C$4,$P246='تقرير ديسمبر'!$C$6),COUNT(Z$4:Z245)+1,"")</f>
        <v/>
      </c>
      <c r="AA246">
        <f>IF(AND($A246&lt;&gt;"",$B246&lt;&gt;"",$R246='تقرير يناير'!$C$4,$P246='تقرير يناير'!$C$6),COUNT(AA$4:AA245)+1,"")</f>
        <v/>
      </c>
      <c r="AB246">
        <f>IF(AND($A246&lt;&gt;"",$B246&lt;&gt;"",$R246='تقرير فبراير'!$C$4,$P246='تقرير فبراير'!$C$6),COUNT(AB$4:AB245)+1,"")</f>
        <v/>
      </c>
      <c r="AC246">
        <f>IF(AND($A246&lt;&gt;"",$B246&lt;&gt;"",$R246='تقرير مارس'!$C$4,$P246='تقرير مارس'!$C$6),COUNT(AC$4:AC245)+1,"")</f>
        <v/>
      </c>
      <c r="AD246">
        <f>IF(AND($A246&lt;&gt;"",$B246&lt;&gt;"",$R246='تقرير أبريل'!$C$4,$P246='تقرير أبريل'!$C$6),COUNT(AD$4:AD245)+1,"")</f>
        <v/>
      </c>
      <c r="AE246">
        <f>IF(AND($A246&lt;&gt;"",$B246&lt;&gt;"",$R246='تقرير مايو'!$C$4,$P246='تقرير مايو'!$C$6),COUNT(AE$4:AE245)+1,"")</f>
        <v/>
      </c>
    </row>
    <row r="247">
      <c r="A247" s="16" t="n"/>
      <c r="B247" s="17" t="n"/>
      <c r="C247" s="17" t="n"/>
      <c r="D247" s="18" t="n"/>
      <c r="E247" s="17" t="n"/>
      <c r="F247" s="17" t="n"/>
      <c r="G247" s="19" t="n"/>
      <c r="H247" s="17" t="n"/>
      <c r="I247" s="17" t="n"/>
      <c r="J247" s="17" t="n"/>
      <c r="K247" s="20">
        <f>IF($B247="","",IFERROR(INDEX(الموظفات!$A$5:$A$304,MATCH($B247,الموظفات!$B$5:$B$304,0))&amp;"",""))</f>
        <v/>
      </c>
      <c r="L247" s="21">
        <f>IF($B247="","",IFERROR(INDEX(الموظفات!$C$5:$C$304,MATCH($B247,الموظفات!$B$5:$B$304,0))&amp;"",""))</f>
        <v/>
      </c>
      <c r="M247" s="20">
        <f>IF($B247="","",IFERROR(INDEX(الموظفات!$D$5:$D$304,MATCH($B247,الموظفات!$B$5:$B$304,0))&amp;"",""))</f>
        <v/>
      </c>
      <c r="N247" s="20">
        <f>IF($B247="","",IFERROR(INDEX(الموظفات!$E$5:$E$304,MATCH($B247,الموظفات!$B$5:$B$304,0))&amp;"",""))</f>
        <v/>
      </c>
      <c r="O247" s="21">
        <f>IF(C247="","",IFERROR(INDEX(الإعدادات!$D$7:$D$35,MATCH(C247,الإعدادات!$A$7:$A$35,0))&amp;"",""))</f>
        <v/>
      </c>
      <c r="P247" s="20">
        <f>IF(A247="","",INDEX(الإعدادات!$H$7:$H$18,MONTH(A247)))</f>
        <v/>
      </c>
      <c r="Q247" s="20">
        <f>IF(A247="","",INDEX(الإعدادات!$I$7:$I$18,MONTH(A247)))</f>
        <v/>
      </c>
      <c r="R247" s="20">
        <f>IF(A247="","",IF(MONTH(A247)&gt;=8,YEAR(A247)&amp;"-"&amp;(YEAR(A247)+1),(YEAR(A247)-1)&amp;"-"&amp;YEAR(A247)))</f>
        <v/>
      </c>
      <c r="S247" s="20">
        <f>IF(OR(A247="",B247=""),0,IF(AND(R247=التقارير!$C$4,OR(التقارير!$C$5="سنوي",AND(التقارير!$C$5="شهري",P247=التقارير!$C$6),AND(التقارير!$C$5="فصلي",Q247=التقارير!$C$7))),1,0))</f>
        <v/>
      </c>
      <c r="T247" s="20">
        <f>IF(S247=1,COUNTIF($S$5:S247,1),"")</f>
        <v/>
      </c>
      <c r="U247">
        <f>IF(AND($A247&lt;&gt;"",$B247&lt;&gt;"",$R247='تقرير الفصل الأول'!$C$4,$Q247='تقرير الفصل الأول'!$C$7),COUNT(U$4:U246)+1,"")</f>
        <v/>
      </c>
      <c r="V247">
        <f>IF(AND($A247&lt;&gt;"",$B247&lt;&gt;"",$R247='تقرير الفصل الثاني'!$C$4,$Q247='تقرير الفصل الثاني'!$C$7),COUNT(V$4:V246)+1,"")</f>
        <v/>
      </c>
      <c r="W247">
        <f>IF(AND($A247&lt;&gt;"",$B247&lt;&gt;"",$R247='تقرير سبتمبر'!$C$4,$P247='تقرير سبتمبر'!$C$6),COUNT(W$4:W246)+1,"")</f>
        <v/>
      </c>
      <c r="X247">
        <f>IF(AND($A247&lt;&gt;"",$B247&lt;&gt;"",$R247='تقرير أكتوبر'!$C$4,$P247='تقرير أكتوبر'!$C$6),COUNT(X$4:X246)+1,"")</f>
        <v/>
      </c>
      <c r="Y247">
        <f>IF(AND($A247&lt;&gt;"",$B247&lt;&gt;"",$R247='تقرير نوفمبر'!$C$4,$P247='تقرير نوفمبر'!$C$6),COUNT(Y$4:Y246)+1,"")</f>
        <v/>
      </c>
      <c r="Z247">
        <f>IF(AND($A247&lt;&gt;"",$B247&lt;&gt;"",$R247='تقرير ديسمبر'!$C$4,$P247='تقرير ديسمبر'!$C$6),COUNT(Z$4:Z246)+1,"")</f>
        <v/>
      </c>
      <c r="AA247">
        <f>IF(AND($A247&lt;&gt;"",$B247&lt;&gt;"",$R247='تقرير يناير'!$C$4,$P247='تقرير يناير'!$C$6),COUNT(AA$4:AA246)+1,"")</f>
        <v/>
      </c>
      <c r="AB247">
        <f>IF(AND($A247&lt;&gt;"",$B247&lt;&gt;"",$R247='تقرير فبراير'!$C$4,$P247='تقرير فبراير'!$C$6),COUNT(AB$4:AB246)+1,"")</f>
        <v/>
      </c>
      <c r="AC247">
        <f>IF(AND($A247&lt;&gt;"",$B247&lt;&gt;"",$R247='تقرير مارس'!$C$4,$P247='تقرير مارس'!$C$6),COUNT(AC$4:AC246)+1,"")</f>
        <v/>
      </c>
      <c r="AD247">
        <f>IF(AND($A247&lt;&gt;"",$B247&lt;&gt;"",$R247='تقرير أبريل'!$C$4,$P247='تقرير أبريل'!$C$6),COUNT(AD$4:AD246)+1,"")</f>
        <v/>
      </c>
      <c r="AE247">
        <f>IF(AND($A247&lt;&gt;"",$B247&lt;&gt;"",$R247='تقرير مايو'!$C$4,$P247='تقرير مايو'!$C$6),COUNT(AE$4:AE246)+1,"")</f>
        <v/>
      </c>
    </row>
    <row r="248">
      <c r="A248" s="16" t="n"/>
      <c r="B248" s="17" t="n"/>
      <c r="C248" s="17" t="n"/>
      <c r="D248" s="18" t="n"/>
      <c r="E248" s="17" t="n"/>
      <c r="F248" s="17" t="n"/>
      <c r="G248" s="19" t="n"/>
      <c r="H248" s="17" t="n"/>
      <c r="I248" s="17" t="n"/>
      <c r="J248" s="17" t="n"/>
      <c r="K248" s="20">
        <f>IF($B248="","",IFERROR(INDEX(الموظفات!$A$5:$A$304,MATCH($B248,الموظفات!$B$5:$B$304,0))&amp;"",""))</f>
        <v/>
      </c>
      <c r="L248" s="21">
        <f>IF($B248="","",IFERROR(INDEX(الموظفات!$C$5:$C$304,MATCH($B248,الموظفات!$B$5:$B$304,0))&amp;"",""))</f>
        <v/>
      </c>
      <c r="M248" s="20">
        <f>IF($B248="","",IFERROR(INDEX(الموظفات!$D$5:$D$304,MATCH($B248,الموظفات!$B$5:$B$304,0))&amp;"",""))</f>
        <v/>
      </c>
      <c r="N248" s="20">
        <f>IF($B248="","",IFERROR(INDEX(الموظفات!$E$5:$E$304,MATCH($B248,الموظفات!$B$5:$B$304,0))&amp;"",""))</f>
        <v/>
      </c>
      <c r="O248" s="21">
        <f>IF(C248="","",IFERROR(INDEX(الإعدادات!$D$7:$D$35,MATCH(C248,الإعدادات!$A$7:$A$35,0))&amp;"",""))</f>
        <v/>
      </c>
      <c r="P248" s="20">
        <f>IF(A248="","",INDEX(الإعدادات!$H$7:$H$18,MONTH(A248)))</f>
        <v/>
      </c>
      <c r="Q248" s="20">
        <f>IF(A248="","",INDEX(الإعدادات!$I$7:$I$18,MONTH(A248)))</f>
        <v/>
      </c>
      <c r="R248" s="20">
        <f>IF(A248="","",IF(MONTH(A248)&gt;=8,YEAR(A248)&amp;"-"&amp;(YEAR(A248)+1),(YEAR(A248)-1)&amp;"-"&amp;YEAR(A248)))</f>
        <v/>
      </c>
      <c r="S248" s="20">
        <f>IF(OR(A248="",B248=""),0,IF(AND(R248=التقارير!$C$4,OR(التقارير!$C$5="سنوي",AND(التقارير!$C$5="شهري",P248=التقارير!$C$6),AND(التقارير!$C$5="فصلي",Q248=التقارير!$C$7))),1,0))</f>
        <v/>
      </c>
      <c r="T248" s="20">
        <f>IF(S248=1,COUNTIF($S$5:S248,1),"")</f>
        <v/>
      </c>
      <c r="U248">
        <f>IF(AND($A248&lt;&gt;"",$B248&lt;&gt;"",$R248='تقرير الفصل الأول'!$C$4,$Q248='تقرير الفصل الأول'!$C$7),COUNT(U$4:U247)+1,"")</f>
        <v/>
      </c>
      <c r="V248">
        <f>IF(AND($A248&lt;&gt;"",$B248&lt;&gt;"",$R248='تقرير الفصل الثاني'!$C$4,$Q248='تقرير الفصل الثاني'!$C$7),COUNT(V$4:V247)+1,"")</f>
        <v/>
      </c>
      <c r="W248">
        <f>IF(AND($A248&lt;&gt;"",$B248&lt;&gt;"",$R248='تقرير سبتمبر'!$C$4,$P248='تقرير سبتمبر'!$C$6),COUNT(W$4:W247)+1,"")</f>
        <v/>
      </c>
      <c r="X248">
        <f>IF(AND($A248&lt;&gt;"",$B248&lt;&gt;"",$R248='تقرير أكتوبر'!$C$4,$P248='تقرير أكتوبر'!$C$6),COUNT(X$4:X247)+1,"")</f>
        <v/>
      </c>
      <c r="Y248">
        <f>IF(AND($A248&lt;&gt;"",$B248&lt;&gt;"",$R248='تقرير نوفمبر'!$C$4,$P248='تقرير نوفمبر'!$C$6),COUNT(Y$4:Y247)+1,"")</f>
        <v/>
      </c>
      <c r="Z248">
        <f>IF(AND($A248&lt;&gt;"",$B248&lt;&gt;"",$R248='تقرير ديسمبر'!$C$4,$P248='تقرير ديسمبر'!$C$6),COUNT(Z$4:Z247)+1,"")</f>
        <v/>
      </c>
      <c r="AA248">
        <f>IF(AND($A248&lt;&gt;"",$B248&lt;&gt;"",$R248='تقرير يناير'!$C$4,$P248='تقرير يناير'!$C$6),COUNT(AA$4:AA247)+1,"")</f>
        <v/>
      </c>
      <c r="AB248">
        <f>IF(AND($A248&lt;&gt;"",$B248&lt;&gt;"",$R248='تقرير فبراير'!$C$4,$P248='تقرير فبراير'!$C$6),COUNT(AB$4:AB247)+1,"")</f>
        <v/>
      </c>
      <c r="AC248">
        <f>IF(AND($A248&lt;&gt;"",$B248&lt;&gt;"",$R248='تقرير مارس'!$C$4,$P248='تقرير مارس'!$C$6),COUNT(AC$4:AC247)+1,"")</f>
        <v/>
      </c>
      <c r="AD248">
        <f>IF(AND($A248&lt;&gt;"",$B248&lt;&gt;"",$R248='تقرير أبريل'!$C$4,$P248='تقرير أبريل'!$C$6),COUNT(AD$4:AD247)+1,"")</f>
        <v/>
      </c>
      <c r="AE248">
        <f>IF(AND($A248&lt;&gt;"",$B248&lt;&gt;"",$R248='تقرير مايو'!$C$4,$P248='تقرير مايو'!$C$6),COUNT(AE$4:AE247)+1,"")</f>
        <v/>
      </c>
    </row>
    <row r="249">
      <c r="A249" s="16" t="n"/>
      <c r="B249" s="17" t="n"/>
      <c r="C249" s="17" t="n"/>
      <c r="D249" s="18" t="n"/>
      <c r="E249" s="17" t="n"/>
      <c r="F249" s="17" t="n"/>
      <c r="G249" s="19" t="n"/>
      <c r="H249" s="17" t="n"/>
      <c r="I249" s="17" t="n"/>
      <c r="J249" s="17" t="n"/>
      <c r="K249" s="20">
        <f>IF($B249="","",IFERROR(INDEX(الموظفات!$A$5:$A$304,MATCH($B249,الموظفات!$B$5:$B$304,0))&amp;"",""))</f>
        <v/>
      </c>
      <c r="L249" s="21">
        <f>IF($B249="","",IFERROR(INDEX(الموظفات!$C$5:$C$304,MATCH($B249,الموظفات!$B$5:$B$304,0))&amp;"",""))</f>
        <v/>
      </c>
      <c r="M249" s="20">
        <f>IF($B249="","",IFERROR(INDEX(الموظفات!$D$5:$D$304,MATCH($B249,الموظفات!$B$5:$B$304,0))&amp;"",""))</f>
        <v/>
      </c>
      <c r="N249" s="20">
        <f>IF($B249="","",IFERROR(INDEX(الموظفات!$E$5:$E$304,MATCH($B249,الموظفات!$B$5:$B$304,0))&amp;"",""))</f>
        <v/>
      </c>
      <c r="O249" s="21">
        <f>IF(C249="","",IFERROR(INDEX(الإعدادات!$D$7:$D$35,MATCH(C249,الإعدادات!$A$7:$A$35,0))&amp;"",""))</f>
        <v/>
      </c>
      <c r="P249" s="20">
        <f>IF(A249="","",INDEX(الإعدادات!$H$7:$H$18,MONTH(A249)))</f>
        <v/>
      </c>
      <c r="Q249" s="20">
        <f>IF(A249="","",INDEX(الإعدادات!$I$7:$I$18,MONTH(A249)))</f>
        <v/>
      </c>
      <c r="R249" s="20">
        <f>IF(A249="","",IF(MONTH(A249)&gt;=8,YEAR(A249)&amp;"-"&amp;(YEAR(A249)+1),(YEAR(A249)-1)&amp;"-"&amp;YEAR(A249)))</f>
        <v/>
      </c>
      <c r="S249" s="20">
        <f>IF(OR(A249="",B249=""),0,IF(AND(R249=التقارير!$C$4,OR(التقارير!$C$5="سنوي",AND(التقارير!$C$5="شهري",P249=التقارير!$C$6),AND(التقارير!$C$5="فصلي",Q249=التقارير!$C$7))),1,0))</f>
        <v/>
      </c>
      <c r="T249" s="20">
        <f>IF(S249=1,COUNTIF($S$5:S249,1),"")</f>
        <v/>
      </c>
      <c r="U249">
        <f>IF(AND($A249&lt;&gt;"",$B249&lt;&gt;"",$R249='تقرير الفصل الأول'!$C$4,$Q249='تقرير الفصل الأول'!$C$7),COUNT(U$4:U248)+1,"")</f>
        <v/>
      </c>
      <c r="V249">
        <f>IF(AND($A249&lt;&gt;"",$B249&lt;&gt;"",$R249='تقرير الفصل الثاني'!$C$4,$Q249='تقرير الفصل الثاني'!$C$7),COUNT(V$4:V248)+1,"")</f>
        <v/>
      </c>
      <c r="W249">
        <f>IF(AND($A249&lt;&gt;"",$B249&lt;&gt;"",$R249='تقرير سبتمبر'!$C$4,$P249='تقرير سبتمبر'!$C$6),COUNT(W$4:W248)+1,"")</f>
        <v/>
      </c>
      <c r="X249">
        <f>IF(AND($A249&lt;&gt;"",$B249&lt;&gt;"",$R249='تقرير أكتوبر'!$C$4,$P249='تقرير أكتوبر'!$C$6),COUNT(X$4:X248)+1,"")</f>
        <v/>
      </c>
      <c r="Y249">
        <f>IF(AND($A249&lt;&gt;"",$B249&lt;&gt;"",$R249='تقرير نوفمبر'!$C$4,$P249='تقرير نوفمبر'!$C$6),COUNT(Y$4:Y248)+1,"")</f>
        <v/>
      </c>
      <c r="Z249">
        <f>IF(AND($A249&lt;&gt;"",$B249&lt;&gt;"",$R249='تقرير ديسمبر'!$C$4,$P249='تقرير ديسمبر'!$C$6),COUNT(Z$4:Z248)+1,"")</f>
        <v/>
      </c>
      <c r="AA249">
        <f>IF(AND($A249&lt;&gt;"",$B249&lt;&gt;"",$R249='تقرير يناير'!$C$4,$P249='تقرير يناير'!$C$6),COUNT(AA$4:AA248)+1,"")</f>
        <v/>
      </c>
      <c r="AB249">
        <f>IF(AND($A249&lt;&gt;"",$B249&lt;&gt;"",$R249='تقرير فبراير'!$C$4,$P249='تقرير فبراير'!$C$6),COUNT(AB$4:AB248)+1,"")</f>
        <v/>
      </c>
      <c r="AC249">
        <f>IF(AND($A249&lt;&gt;"",$B249&lt;&gt;"",$R249='تقرير مارس'!$C$4,$P249='تقرير مارس'!$C$6),COUNT(AC$4:AC248)+1,"")</f>
        <v/>
      </c>
      <c r="AD249">
        <f>IF(AND($A249&lt;&gt;"",$B249&lt;&gt;"",$R249='تقرير أبريل'!$C$4,$P249='تقرير أبريل'!$C$6),COUNT(AD$4:AD248)+1,"")</f>
        <v/>
      </c>
      <c r="AE249">
        <f>IF(AND($A249&lt;&gt;"",$B249&lt;&gt;"",$R249='تقرير مايو'!$C$4,$P249='تقرير مايو'!$C$6),COUNT(AE$4:AE248)+1,"")</f>
        <v/>
      </c>
    </row>
    <row r="250">
      <c r="A250" s="16" t="n"/>
      <c r="B250" s="17" t="n"/>
      <c r="C250" s="17" t="n"/>
      <c r="D250" s="18" t="n"/>
      <c r="E250" s="17" t="n"/>
      <c r="F250" s="17" t="n"/>
      <c r="G250" s="19" t="n"/>
      <c r="H250" s="17" t="n"/>
      <c r="I250" s="17" t="n"/>
      <c r="J250" s="17" t="n"/>
      <c r="K250" s="20">
        <f>IF($B250="","",IFERROR(INDEX(الموظفات!$A$5:$A$304,MATCH($B250,الموظفات!$B$5:$B$304,0))&amp;"",""))</f>
        <v/>
      </c>
      <c r="L250" s="21">
        <f>IF($B250="","",IFERROR(INDEX(الموظفات!$C$5:$C$304,MATCH($B250,الموظفات!$B$5:$B$304,0))&amp;"",""))</f>
        <v/>
      </c>
      <c r="M250" s="20">
        <f>IF($B250="","",IFERROR(INDEX(الموظفات!$D$5:$D$304,MATCH($B250,الموظفات!$B$5:$B$304,0))&amp;"",""))</f>
        <v/>
      </c>
      <c r="N250" s="20">
        <f>IF($B250="","",IFERROR(INDEX(الموظفات!$E$5:$E$304,MATCH($B250,الموظفات!$B$5:$B$304,0))&amp;"",""))</f>
        <v/>
      </c>
      <c r="O250" s="21">
        <f>IF(C250="","",IFERROR(INDEX(الإعدادات!$D$7:$D$35,MATCH(C250,الإعدادات!$A$7:$A$35,0))&amp;"",""))</f>
        <v/>
      </c>
      <c r="P250" s="20">
        <f>IF(A250="","",INDEX(الإعدادات!$H$7:$H$18,MONTH(A250)))</f>
        <v/>
      </c>
      <c r="Q250" s="20">
        <f>IF(A250="","",INDEX(الإعدادات!$I$7:$I$18,MONTH(A250)))</f>
        <v/>
      </c>
      <c r="R250" s="20">
        <f>IF(A250="","",IF(MONTH(A250)&gt;=8,YEAR(A250)&amp;"-"&amp;(YEAR(A250)+1),(YEAR(A250)-1)&amp;"-"&amp;YEAR(A250)))</f>
        <v/>
      </c>
      <c r="S250" s="20">
        <f>IF(OR(A250="",B250=""),0,IF(AND(R250=التقارير!$C$4,OR(التقارير!$C$5="سنوي",AND(التقارير!$C$5="شهري",P250=التقارير!$C$6),AND(التقارير!$C$5="فصلي",Q250=التقارير!$C$7))),1,0))</f>
        <v/>
      </c>
      <c r="T250" s="20">
        <f>IF(S250=1,COUNTIF($S$5:S250,1),"")</f>
        <v/>
      </c>
      <c r="U250">
        <f>IF(AND($A250&lt;&gt;"",$B250&lt;&gt;"",$R250='تقرير الفصل الأول'!$C$4,$Q250='تقرير الفصل الأول'!$C$7),COUNT(U$4:U249)+1,"")</f>
        <v/>
      </c>
      <c r="V250">
        <f>IF(AND($A250&lt;&gt;"",$B250&lt;&gt;"",$R250='تقرير الفصل الثاني'!$C$4,$Q250='تقرير الفصل الثاني'!$C$7),COUNT(V$4:V249)+1,"")</f>
        <v/>
      </c>
      <c r="W250">
        <f>IF(AND($A250&lt;&gt;"",$B250&lt;&gt;"",$R250='تقرير سبتمبر'!$C$4,$P250='تقرير سبتمبر'!$C$6),COUNT(W$4:W249)+1,"")</f>
        <v/>
      </c>
      <c r="X250">
        <f>IF(AND($A250&lt;&gt;"",$B250&lt;&gt;"",$R250='تقرير أكتوبر'!$C$4,$P250='تقرير أكتوبر'!$C$6),COUNT(X$4:X249)+1,"")</f>
        <v/>
      </c>
      <c r="Y250">
        <f>IF(AND($A250&lt;&gt;"",$B250&lt;&gt;"",$R250='تقرير نوفمبر'!$C$4,$P250='تقرير نوفمبر'!$C$6),COUNT(Y$4:Y249)+1,"")</f>
        <v/>
      </c>
      <c r="Z250">
        <f>IF(AND($A250&lt;&gt;"",$B250&lt;&gt;"",$R250='تقرير ديسمبر'!$C$4,$P250='تقرير ديسمبر'!$C$6),COUNT(Z$4:Z249)+1,"")</f>
        <v/>
      </c>
      <c r="AA250">
        <f>IF(AND($A250&lt;&gt;"",$B250&lt;&gt;"",$R250='تقرير يناير'!$C$4,$P250='تقرير يناير'!$C$6),COUNT(AA$4:AA249)+1,"")</f>
        <v/>
      </c>
      <c r="AB250">
        <f>IF(AND($A250&lt;&gt;"",$B250&lt;&gt;"",$R250='تقرير فبراير'!$C$4,$P250='تقرير فبراير'!$C$6),COUNT(AB$4:AB249)+1,"")</f>
        <v/>
      </c>
      <c r="AC250">
        <f>IF(AND($A250&lt;&gt;"",$B250&lt;&gt;"",$R250='تقرير مارس'!$C$4,$P250='تقرير مارس'!$C$6),COUNT(AC$4:AC249)+1,"")</f>
        <v/>
      </c>
      <c r="AD250">
        <f>IF(AND($A250&lt;&gt;"",$B250&lt;&gt;"",$R250='تقرير أبريل'!$C$4,$P250='تقرير أبريل'!$C$6),COUNT(AD$4:AD249)+1,"")</f>
        <v/>
      </c>
      <c r="AE250">
        <f>IF(AND($A250&lt;&gt;"",$B250&lt;&gt;"",$R250='تقرير مايو'!$C$4,$P250='تقرير مايو'!$C$6),COUNT(AE$4:AE249)+1,"")</f>
        <v/>
      </c>
    </row>
    <row r="251">
      <c r="A251" s="16" t="n"/>
      <c r="B251" s="17" t="n"/>
      <c r="C251" s="17" t="n"/>
      <c r="D251" s="18" t="n"/>
      <c r="E251" s="17" t="n"/>
      <c r="F251" s="17" t="n"/>
      <c r="G251" s="19" t="n"/>
      <c r="H251" s="17" t="n"/>
      <c r="I251" s="17" t="n"/>
      <c r="J251" s="17" t="n"/>
      <c r="K251" s="20">
        <f>IF($B251="","",IFERROR(INDEX(الموظفات!$A$5:$A$304,MATCH($B251,الموظفات!$B$5:$B$304,0))&amp;"",""))</f>
        <v/>
      </c>
      <c r="L251" s="21">
        <f>IF($B251="","",IFERROR(INDEX(الموظفات!$C$5:$C$304,MATCH($B251,الموظفات!$B$5:$B$304,0))&amp;"",""))</f>
        <v/>
      </c>
      <c r="M251" s="20">
        <f>IF($B251="","",IFERROR(INDEX(الموظفات!$D$5:$D$304,MATCH($B251,الموظفات!$B$5:$B$304,0))&amp;"",""))</f>
        <v/>
      </c>
      <c r="N251" s="20">
        <f>IF($B251="","",IFERROR(INDEX(الموظفات!$E$5:$E$304,MATCH($B251,الموظفات!$B$5:$B$304,0))&amp;"",""))</f>
        <v/>
      </c>
      <c r="O251" s="21">
        <f>IF(C251="","",IFERROR(INDEX(الإعدادات!$D$7:$D$35,MATCH(C251,الإعدادات!$A$7:$A$35,0))&amp;"",""))</f>
        <v/>
      </c>
      <c r="P251" s="20">
        <f>IF(A251="","",INDEX(الإعدادات!$H$7:$H$18,MONTH(A251)))</f>
        <v/>
      </c>
      <c r="Q251" s="20">
        <f>IF(A251="","",INDEX(الإعدادات!$I$7:$I$18,MONTH(A251)))</f>
        <v/>
      </c>
      <c r="R251" s="20">
        <f>IF(A251="","",IF(MONTH(A251)&gt;=8,YEAR(A251)&amp;"-"&amp;(YEAR(A251)+1),(YEAR(A251)-1)&amp;"-"&amp;YEAR(A251)))</f>
        <v/>
      </c>
      <c r="S251" s="20">
        <f>IF(OR(A251="",B251=""),0,IF(AND(R251=التقارير!$C$4,OR(التقارير!$C$5="سنوي",AND(التقارير!$C$5="شهري",P251=التقارير!$C$6),AND(التقارير!$C$5="فصلي",Q251=التقارير!$C$7))),1,0))</f>
        <v/>
      </c>
      <c r="T251" s="20">
        <f>IF(S251=1,COUNTIF($S$5:S251,1),"")</f>
        <v/>
      </c>
      <c r="U251">
        <f>IF(AND($A251&lt;&gt;"",$B251&lt;&gt;"",$R251='تقرير الفصل الأول'!$C$4,$Q251='تقرير الفصل الأول'!$C$7),COUNT(U$4:U250)+1,"")</f>
        <v/>
      </c>
      <c r="V251">
        <f>IF(AND($A251&lt;&gt;"",$B251&lt;&gt;"",$R251='تقرير الفصل الثاني'!$C$4,$Q251='تقرير الفصل الثاني'!$C$7),COUNT(V$4:V250)+1,"")</f>
        <v/>
      </c>
      <c r="W251">
        <f>IF(AND($A251&lt;&gt;"",$B251&lt;&gt;"",$R251='تقرير سبتمبر'!$C$4,$P251='تقرير سبتمبر'!$C$6),COUNT(W$4:W250)+1,"")</f>
        <v/>
      </c>
      <c r="X251">
        <f>IF(AND($A251&lt;&gt;"",$B251&lt;&gt;"",$R251='تقرير أكتوبر'!$C$4,$P251='تقرير أكتوبر'!$C$6),COUNT(X$4:X250)+1,"")</f>
        <v/>
      </c>
      <c r="Y251">
        <f>IF(AND($A251&lt;&gt;"",$B251&lt;&gt;"",$R251='تقرير نوفمبر'!$C$4,$P251='تقرير نوفمبر'!$C$6),COUNT(Y$4:Y250)+1,"")</f>
        <v/>
      </c>
      <c r="Z251">
        <f>IF(AND($A251&lt;&gt;"",$B251&lt;&gt;"",$R251='تقرير ديسمبر'!$C$4,$P251='تقرير ديسمبر'!$C$6),COUNT(Z$4:Z250)+1,"")</f>
        <v/>
      </c>
      <c r="AA251">
        <f>IF(AND($A251&lt;&gt;"",$B251&lt;&gt;"",$R251='تقرير يناير'!$C$4,$P251='تقرير يناير'!$C$6),COUNT(AA$4:AA250)+1,"")</f>
        <v/>
      </c>
      <c r="AB251">
        <f>IF(AND($A251&lt;&gt;"",$B251&lt;&gt;"",$R251='تقرير فبراير'!$C$4,$P251='تقرير فبراير'!$C$6),COUNT(AB$4:AB250)+1,"")</f>
        <v/>
      </c>
      <c r="AC251">
        <f>IF(AND($A251&lt;&gt;"",$B251&lt;&gt;"",$R251='تقرير مارس'!$C$4,$P251='تقرير مارس'!$C$6),COUNT(AC$4:AC250)+1,"")</f>
        <v/>
      </c>
      <c r="AD251">
        <f>IF(AND($A251&lt;&gt;"",$B251&lt;&gt;"",$R251='تقرير أبريل'!$C$4,$P251='تقرير أبريل'!$C$6),COUNT(AD$4:AD250)+1,"")</f>
        <v/>
      </c>
      <c r="AE251">
        <f>IF(AND($A251&lt;&gt;"",$B251&lt;&gt;"",$R251='تقرير مايو'!$C$4,$P251='تقرير مايو'!$C$6),COUNT(AE$4:AE250)+1,"")</f>
        <v/>
      </c>
    </row>
    <row r="252">
      <c r="A252" s="16" t="n"/>
      <c r="B252" s="17" t="n"/>
      <c r="C252" s="17" t="n"/>
      <c r="D252" s="18" t="n"/>
      <c r="E252" s="17" t="n"/>
      <c r="F252" s="17" t="n"/>
      <c r="G252" s="19" t="n"/>
      <c r="H252" s="17" t="n"/>
      <c r="I252" s="17" t="n"/>
      <c r="J252" s="17" t="n"/>
      <c r="K252" s="20">
        <f>IF($B252="","",IFERROR(INDEX(الموظفات!$A$5:$A$304,MATCH($B252,الموظفات!$B$5:$B$304,0))&amp;"",""))</f>
        <v/>
      </c>
      <c r="L252" s="21">
        <f>IF($B252="","",IFERROR(INDEX(الموظفات!$C$5:$C$304,MATCH($B252,الموظفات!$B$5:$B$304,0))&amp;"",""))</f>
        <v/>
      </c>
      <c r="M252" s="20">
        <f>IF($B252="","",IFERROR(INDEX(الموظفات!$D$5:$D$304,MATCH($B252,الموظفات!$B$5:$B$304,0))&amp;"",""))</f>
        <v/>
      </c>
      <c r="N252" s="20">
        <f>IF($B252="","",IFERROR(INDEX(الموظفات!$E$5:$E$304,MATCH($B252,الموظفات!$B$5:$B$304,0))&amp;"",""))</f>
        <v/>
      </c>
      <c r="O252" s="21">
        <f>IF(C252="","",IFERROR(INDEX(الإعدادات!$D$7:$D$35,MATCH(C252,الإعدادات!$A$7:$A$35,0))&amp;"",""))</f>
        <v/>
      </c>
      <c r="P252" s="20">
        <f>IF(A252="","",INDEX(الإعدادات!$H$7:$H$18,MONTH(A252)))</f>
        <v/>
      </c>
      <c r="Q252" s="20">
        <f>IF(A252="","",INDEX(الإعدادات!$I$7:$I$18,MONTH(A252)))</f>
        <v/>
      </c>
      <c r="R252" s="20">
        <f>IF(A252="","",IF(MONTH(A252)&gt;=8,YEAR(A252)&amp;"-"&amp;(YEAR(A252)+1),(YEAR(A252)-1)&amp;"-"&amp;YEAR(A252)))</f>
        <v/>
      </c>
      <c r="S252" s="20">
        <f>IF(OR(A252="",B252=""),0,IF(AND(R252=التقارير!$C$4,OR(التقارير!$C$5="سنوي",AND(التقارير!$C$5="شهري",P252=التقارير!$C$6),AND(التقارير!$C$5="فصلي",Q252=التقارير!$C$7))),1,0))</f>
        <v/>
      </c>
      <c r="T252" s="20">
        <f>IF(S252=1,COUNTIF($S$5:S252,1),"")</f>
        <v/>
      </c>
      <c r="U252">
        <f>IF(AND($A252&lt;&gt;"",$B252&lt;&gt;"",$R252='تقرير الفصل الأول'!$C$4,$Q252='تقرير الفصل الأول'!$C$7),COUNT(U$4:U251)+1,"")</f>
        <v/>
      </c>
      <c r="V252">
        <f>IF(AND($A252&lt;&gt;"",$B252&lt;&gt;"",$R252='تقرير الفصل الثاني'!$C$4,$Q252='تقرير الفصل الثاني'!$C$7),COUNT(V$4:V251)+1,"")</f>
        <v/>
      </c>
      <c r="W252">
        <f>IF(AND($A252&lt;&gt;"",$B252&lt;&gt;"",$R252='تقرير سبتمبر'!$C$4,$P252='تقرير سبتمبر'!$C$6),COUNT(W$4:W251)+1,"")</f>
        <v/>
      </c>
      <c r="X252">
        <f>IF(AND($A252&lt;&gt;"",$B252&lt;&gt;"",$R252='تقرير أكتوبر'!$C$4,$P252='تقرير أكتوبر'!$C$6),COUNT(X$4:X251)+1,"")</f>
        <v/>
      </c>
      <c r="Y252">
        <f>IF(AND($A252&lt;&gt;"",$B252&lt;&gt;"",$R252='تقرير نوفمبر'!$C$4,$P252='تقرير نوفمبر'!$C$6),COUNT(Y$4:Y251)+1,"")</f>
        <v/>
      </c>
      <c r="Z252">
        <f>IF(AND($A252&lt;&gt;"",$B252&lt;&gt;"",$R252='تقرير ديسمبر'!$C$4,$P252='تقرير ديسمبر'!$C$6),COUNT(Z$4:Z251)+1,"")</f>
        <v/>
      </c>
      <c r="AA252">
        <f>IF(AND($A252&lt;&gt;"",$B252&lt;&gt;"",$R252='تقرير يناير'!$C$4,$P252='تقرير يناير'!$C$6),COUNT(AA$4:AA251)+1,"")</f>
        <v/>
      </c>
      <c r="AB252">
        <f>IF(AND($A252&lt;&gt;"",$B252&lt;&gt;"",$R252='تقرير فبراير'!$C$4,$P252='تقرير فبراير'!$C$6),COUNT(AB$4:AB251)+1,"")</f>
        <v/>
      </c>
      <c r="AC252">
        <f>IF(AND($A252&lt;&gt;"",$B252&lt;&gt;"",$R252='تقرير مارس'!$C$4,$P252='تقرير مارس'!$C$6),COUNT(AC$4:AC251)+1,"")</f>
        <v/>
      </c>
      <c r="AD252">
        <f>IF(AND($A252&lt;&gt;"",$B252&lt;&gt;"",$R252='تقرير أبريل'!$C$4,$P252='تقرير أبريل'!$C$6),COUNT(AD$4:AD251)+1,"")</f>
        <v/>
      </c>
      <c r="AE252">
        <f>IF(AND($A252&lt;&gt;"",$B252&lt;&gt;"",$R252='تقرير مايو'!$C$4,$P252='تقرير مايو'!$C$6),COUNT(AE$4:AE251)+1,"")</f>
        <v/>
      </c>
    </row>
    <row r="253">
      <c r="A253" s="16" t="n"/>
      <c r="B253" s="17" t="n"/>
      <c r="C253" s="17" t="n"/>
      <c r="D253" s="18" t="n"/>
      <c r="E253" s="17" t="n"/>
      <c r="F253" s="17" t="n"/>
      <c r="G253" s="19" t="n"/>
      <c r="H253" s="17" t="n"/>
      <c r="I253" s="17" t="n"/>
      <c r="J253" s="17" t="n"/>
      <c r="K253" s="20">
        <f>IF($B253="","",IFERROR(INDEX(الموظفات!$A$5:$A$304,MATCH($B253,الموظفات!$B$5:$B$304,0))&amp;"",""))</f>
        <v/>
      </c>
      <c r="L253" s="21">
        <f>IF($B253="","",IFERROR(INDEX(الموظفات!$C$5:$C$304,MATCH($B253,الموظفات!$B$5:$B$304,0))&amp;"",""))</f>
        <v/>
      </c>
      <c r="M253" s="20">
        <f>IF($B253="","",IFERROR(INDEX(الموظفات!$D$5:$D$304,MATCH($B253,الموظفات!$B$5:$B$304,0))&amp;"",""))</f>
        <v/>
      </c>
      <c r="N253" s="20">
        <f>IF($B253="","",IFERROR(INDEX(الموظفات!$E$5:$E$304,MATCH($B253,الموظفات!$B$5:$B$304,0))&amp;"",""))</f>
        <v/>
      </c>
      <c r="O253" s="21">
        <f>IF(C253="","",IFERROR(INDEX(الإعدادات!$D$7:$D$35,MATCH(C253,الإعدادات!$A$7:$A$35,0))&amp;"",""))</f>
        <v/>
      </c>
      <c r="P253" s="20">
        <f>IF(A253="","",INDEX(الإعدادات!$H$7:$H$18,MONTH(A253)))</f>
        <v/>
      </c>
      <c r="Q253" s="20">
        <f>IF(A253="","",INDEX(الإعدادات!$I$7:$I$18,MONTH(A253)))</f>
        <v/>
      </c>
      <c r="R253" s="20">
        <f>IF(A253="","",IF(MONTH(A253)&gt;=8,YEAR(A253)&amp;"-"&amp;(YEAR(A253)+1),(YEAR(A253)-1)&amp;"-"&amp;YEAR(A253)))</f>
        <v/>
      </c>
      <c r="S253" s="20">
        <f>IF(OR(A253="",B253=""),0,IF(AND(R253=التقارير!$C$4,OR(التقارير!$C$5="سنوي",AND(التقارير!$C$5="شهري",P253=التقارير!$C$6),AND(التقارير!$C$5="فصلي",Q253=التقارير!$C$7))),1,0))</f>
        <v/>
      </c>
      <c r="T253" s="20">
        <f>IF(S253=1,COUNTIF($S$5:S253,1),"")</f>
        <v/>
      </c>
      <c r="U253">
        <f>IF(AND($A253&lt;&gt;"",$B253&lt;&gt;"",$R253='تقرير الفصل الأول'!$C$4,$Q253='تقرير الفصل الأول'!$C$7),COUNT(U$4:U252)+1,"")</f>
        <v/>
      </c>
      <c r="V253">
        <f>IF(AND($A253&lt;&gt;"",$B253&lt;&gt;"",$R253='تقرير الفصل الثاني'!$C$4,$Q253='تقرير الفصل الثاني'!$C$7),COUNT(V$4:V252)+1,"")</f>
        <v/>
      </c>
      <c r="W253">
        <f>IF(AND($A253&lt;&gt;"",$B253&lt;&gt;"",$R253='تقرير سبتمبر'!$C$4,$P253='تقرير سبتمبر'!$C$6),COUNT(W$4:W252)+1,"")</f>
        <v/>
      </c>
      <c r="X253">
        <f>IF(AND($A253&lt;&gt;"",$B253&lt;&gt;"",$R253='تقرير أكتوبر'!$C$4,$P253='تقرير أكتوبر'!$C$6),COUNT(X$4:X252)+1,"")</f>
        <v/>
      </c>
      <c r="Y253">
        <f>IF(AND($A253&lt;&gt;"",$B253&lt;&gt;"",$R253='تقرير نوفمبر'!$C$4,$P253='تقرير نوفمبر'!$C$6),COUNT(Y$4:Y252)+1,"")</f>
        <v/>
      </c>
      <c r="Z253">
        <f>IF(AND($A253&lt;&gt;"",$B253&lt;&gt;"",$R253='تقرير ديسمبر'!$C$4,$P253='تقرير ديسمبر'!$C$6),COUNT(Z$4:Z252)+1,"")</f>
        <v/>
      </c>
      <c r="AA253">
        <f>IF(AND($A253&lt;&gt;"",$B253&lt;&gt;"",$R253='تقرير يناير'!$C$4,$P253='تقرير يناير'!$C$6),COUNT(AA$4:AA252)+1,"")</f>
        <v/>
      </c>
      <c r="AB253">
        <f>IF(AND($A253&lt;&gt;"",$B253&lt;&gt;"",$R253='تقرير فبراير'!$C$4,$P253='تقرير فبراير'!$C$6),COUNT(AB$4:AB252)+1,"")</f>
        <v/>
      </c>
      <c r="AC253">
        <f>IF(AND($A253&lt;&gt;"",$B253&lt;&gt;"",$R253='تقرير مارس'!$C$4,$P253='تقرير مارس'!$C$6),COUNT(AC$4:AC252)+1,"")</f>
        <v/>
      </c>
      <c r="AD253">
        <f>IF(AND($A253&lt;&gt;"",$B253&lt;&gt;"",$R253='تقرير أبريل'!$C$4,$P253='تقرير أبريل'!$C$6),COUNT(AD$4:AD252)+1,"")</f>
        <v/>
      </c>
      <c r="AE253">
        <f>IF(AND($A253&lt;&gt;"",$B253&lt;&gt;"",$R253='تقرير مايو'!$C$4,$P253='تقرير مايو'!$C$6),COUNT(AE$4:AE252)+1,"")</f>
        <v/>
      </c>
    </row>
    <row r="254">
      <c r="A254" s="16" t="n"/>
      <c r="B254" s="17" t="n"/>
      <c r="C254" s="17" t="n"/>
      <c r="D254" s="18" t="n"/>
      <c r="E254" s="17" t="n"/>
      <c r="F254" s="17" t="n"/>
      <c r="G254" s="19" t="n"/>
      <c r="H254" s="17" t="n"/>
      <c r="I254" s="17" t="n"/>
      <c r="J254" s="17" t="n"/>
      <c r="K254" s="20">
        <f>IF($B254="","",IFERROR(INDEX(الموظفات!$A$5:$A$304,MATCH($B254,الموظفات!$B$5:$B$304,0))&amp;"",""))</f>
        <v/>
      </c>
      <c r="L254" s="21">
        <f>IF($B254="","",IFERROR(INDEX(الموظفات!$C$5:$C$304,MATCH($B254,الموظفات!$B$5:$B$304,0))&amp;"",""))</f>
        <v/>
      </c>
      <c r="M254" s="20">
        <f>IF($B254="","",IFERROR(INDEX(الموظفات!$D$5:$D$304,MATCH($B254,الموظفات!$B$5:$B$304,0))&amp;"",""))</f>
        <v/>
      </c>
      <c r="N254" s="20">
        <f>IF($B254="","",IFERROR(INDEX(الموظفات!$E$5:$E$304,MATCH($B254,الموظفات!$B$5:$B$304,0))&amp;"",""))</f>
        <v/>
      </c>
      <c r="O254" s="21">
        <f>IF(C254="","",IFERROR(INDEX(الإعدادات!$D$7:$D$35,MATCH(C254,الإعدادات!$A$7:$A$35,0))&amp;"",""))</f>
        <v/>
      </c>
      <c r="P254" s="20">
        <f>IF(A254="","",INDEX(الإعدادات!$H$7:$H$18,MONTH(A254)))</f>
        <v/>
      </c>
      <c r="Q254" s="20">
        <f>IF(A254="","",INDEX(الإعدادات!$I$7:$I$18,MONTH(A254)))</f>
        <v/>
      </c>
      <c r="R254" s="20">
        <f>IF(A254="","",IF(MONTH(A254)&gt;=8,YEAR(A254)&amp;"-"&amp;(YEAR(A254)+1),(YEAR(A254)-1)&amp;"-"&amp;YEAR(A254)))</f>
        <v/>
      </c>
      <c r="S254" s="20">
        <f>IF(OR(A254="",B254=""),0,IF(AND(R254=التقارير!$C$4,OR(التقارير!$C$5="سنوي",AND(التقارير!$C$5="شهري",P254=التقارير!$C$6),AND(التقارير!$C$5="فصلي",Q254=التقارير!$C$7))),1,0))</f>
        <v/>
      </c>
      <c r="T254" s="20">
        <f>IF(S254=1,COUNTIF($S$5:S254,1),"")</f>
        <v/>
      </c>
      <c r="U254">
        <f>IF(AND($A254&lt;&gt;"",$B254&lt;&gt;"",$R254='تقرير الفصل الأول'!$C$4,$Q254='تقرير الفصل الأول'!$C$7),COUNT(U$4:U253)+1,"")</f>
        <v/>
      </c>
      <c r="V254">
        <f>IF(AND($A254&lt;&gt;"",$B254&lt;&gt;"",$R254='تقرير الفصل الثاني'!$C$4,$Q254='تقرير الفصل الثاني'!$C$7),COUNT(V$4:V253)+1,"")</f>
        <v/>
      </c>
      <c r="W254">
        <f>IF(AND($A254&lt;&gt;"",$B254&lt;&gt;"",$R254='تقرير سبتمبر'!$C$4,$P254='تقرير سبتمبر'!$C$6),COUNT(W$4:W253)+1,"")</f>
        <v/>
      </c>
      <c r="X254">
        <f>IF(AND($A254&lt;&gt;"",$B254&lt;&gt;"",$R254='تقرير أكتوبر'!$C$4,$P254='تقرير أكتوبر'!$C$6),COUNT(X$4:X253)+1,"")</f>
        <v/>
      </c>
      <c r="Y254">
        <f>IF(AND($A254&lt;&gt;"",$B254&lt;&gt;"",$R254='تقرير نوفمبر'!$C$4,$P254='تقرير نوفمبر'!$C$6),COUNT(Y$4:Y253)+1,"")</f>
        <v/>
      </c>
      <c r="Z254">
        <f>IF(AND($A254&lt;&gt;"",$B254&lt;&gt;"",$R254='تقرير ديسمبر'!$C$4,$P254='تقرير ديسمبر'!$C$6),COUNT(Z$4:Z253)+1,"")</f>
        <v/>
      </c>
      <c r="AA254">
        <f>IF(AND($A254&lt;&gt;"",$B254&lt;&gt;"",$R254='تقرير يناير'!$C$4,$P254='تقرير يناير'!$C$6),COUNT(AA$4:AA253)+1,"")</f>
        <v/>
      </c>
      <c r="AB254">
        <f>IF(AND($A254&lt;&gt;"",$B254&lt;&gt;"",$R254='تقرير فبراير'!$C$4,$P254='تقرير فبراير'!$C$6),COUNT(AB$4:AB253)+1,"")</f>
        <v/>
      </c>
      <c r="AC254">
        <f>IF(AND($A254&lt;&gt;"",$B254&lt;&gt;"",$R254='تقرير مارس'!$C$4,$P254='تقرير مارس'!$C$6),COUNT(AC$4:AC253)+1,"")</f>
        <v/>
      </c>
      <c r="AD254">
        <f>IF(AND($A254&lt;&gt;"",$B254&lt;&gt;"",$R254='تقرير أبريل'!$C$4,$P254='تقرير أبريل'!$C$6),COUNT(AD$4:AD253)+1,"")</f>
        <v/>
      </c>
      <c r="AE254">
        <f>IF(AND($A254&lt;&gt;"",$B254&lt;&gt;"",$R254='تقرير مايو'!$C$4,$P254='تقرير مايو'!$C$6),COUNT(AE$4:AE253)+1,"")</f>
        <v/>
      </c>
    </row>
    <row r="255">
      <c r="A255" s="16" t="n"/>
      <c r="B255" s="17" t="n"/>
      <c r="C255" s="17" t="n"/>
      <c r="D255" s="18" t="n"/>
      <c r="E255" s="17" t="n"/>
      <c r="F255" s="17" t="n"/>
      <c r="G255" s="19" t="n"/>
      <c r="H255" s="17" t="n"/>
      <c r="I255" s="17" t="n"/>
      <c r="J255" s="17" t="n"/>
      <c r="K255" s="20">
        <f>IF($B255="","",IFERROR(INDEX(الموظفات!$A$5:$A$304,MATCH($B255,الموظفات!$B$5:$B$304,0))&amp;"",""))</f>
        <v/>
      </c>
      <c r="L255" s="21">
        <f>IF($B255="","",IFERROR(INDEX(الموظفات!$C$5:$C$304,MATCH($B255,الموظفات!$B$5:$B$304,0))&amp;"",""))</f>
        <v/>
      </c>
      <c r="M255" s="20">
        <f>IF($B255="","",IFERROR(INDEX(الموظفات!$D$5:$D$304,MATCH($B255,الموظفات!$B$5:$B$304,0))&amp;"",""))</f>
        <v/>
      </c>
      <c r="N255" s="20">
        <f>IF($B255="","",IFERROR(INDEX(الموظفات!$E$5:$E$304,MATCH($B255,الموظفات!$B$5:$B$304,0))&amp;"",""))</f>
        <v/>
      </c>
      <c r="O255" s="21">
        <f>IF(C255="","",IFERROR(INDEX(الإعدادات!$D$7:$D$35,MATCH(C255,الإعدادات!$A$7:$A$35,0))&amp;"",""))</f>
        <v/>
      </c>
      <c r="P255" s="20">
        <f>IF(A255="","",INDEX(الإعدادات!$H$7:$H$18,MONTH(A255)))</f>
        <v/>
      </c>
      <c r="Q255" s="20">
        <f>IF(A255="","",INDEX(الإعدادات!$I$7:$I$18,MONTH(A255)))</f>
        <v/>
      </c>
      <c r="R255" s="20">
        <f>IF(A255="","",IF(MONTH(A255)&gt;=8,YEAR(A255)&amp;"-"&amp;(YEAR(A255)+1),(YEAR(A255)-1)&amp;"-"&amp;YEAR(A255)))</f>
        <v/>
      </c>
      <c r="S255" s="20">
        <f>IF(OR(A255="",B255=""),0,IF(AND(R255=التقارير!$C$4,OR(التقارير!$C$5="سنوي",AND(التقارير!$C$5="شهري",P255=التقارير!$C$6),AND(التقارير!$C$5="فصلي",Q255=التقارير!$C$7))),1,0))</f>
        <v/>
      </c>
      <c r="T255" s="20">
        <f>IF(S255=1,COUNTIF($S$5:S255,1),"")</f>
        <v/>
      </c>
      <c r="U255">
        <f>IF(AND($A255&lt;&gt;"",$B255&lt;&gt;"",$R255='تقرير الفصل الأول'!$C$4,$Q255='تقرير الفصل الأول'!$C$7),COUNT(U$4:U254)+1,"")</f>
        <v/>
      </c>
      <c r="V255">
        <f>IF(AND($A255&lt;&gt;"",$B255&lt;&gt;"",$R255='تقرير الفصل الثاني'!$C$4,$Q255='تقرير الفصل الثاني'!$C$7),COUNT(V$4:V254)+1,"")</f>
        <v/>
      </c>
      <c r="W255">
        <f>IF(AND($A255&lt;&gt;"",$B255&lt;&gt;"",$R255='تقرير سبتمبر'!$C$4,$P255='تقرير سبتمبر'!$C$6),COUNT(W$4:W254)+1,"")</f>
        <v/>
      </c>
      <c r="X255">
        <f>IF(AND($A255&lt;&gt;"",$B255&lt;&gt;"",$R255='تقرير أكتوبر'!$C$4,$P255='تقرير أكتوبر'!$C$6),COUNT(X$4:X254)+1,"")</f>
        <v/>
      </c>
      <c r="Y255">
        <f>IF(AND($A255&lt;&gt;"",$B255&lt;&gt;"",$R255='تقرير نوفمبر'!$C$4,$P255='تقرير نوفمبر'!$C$6),COUNT(Y$4:Y254)+1,"")</f>
        <v/>
      </c>
      <c r="Z255">
        <f>IF(AND($A255&lt;&gt;"",$B255&lt;&gt;"",$R255='تقرير ديسمبر'!$C$4,$P255='تقرير ديسمبر'!$C$6),COUNT(Z$4:Z254)+1,"")</f>
        <v/>
      </c>
      <c r="AA255">
        <f>IF(AND($A255&lt;&gt;"",$B255&lt;&gt;"",$R255='تقرير يناير'!$C$4,$P255='تقرير يناير'!$C$6),COUNT(AA$4:AA254)+1,"")</f>
        <v/>
      </c>
      <c r="AB255">
        <f>IF(AND($A255&lt;&gt;"",$B255&lt;&gt;"",$R255='تقرير فبراير'!$C$4,$P255='تقرير فبراير'!$C$6),COUNT(AB$4:AB254)+1,"")</f>
        <v/>
      </c>
      <c r="AC255">
        <f>IF(AND($A255&lt;&gt;"",$B255&lt;&gt;"",$R255='تقرير مارس'!$C$4,$P255='تقرير مارس'!$C$6),COUNT(AC$4:AC254)+1,"")</f>
        <v/>
      </c>
      <c r="AD255">
        <f>IF(AND($A255&lt;&gt;"",$B255&lt;&gt;"",$R255='تقرير أبريل'!$C$4,$P255='تقرير أبريل'!$C$6),COUNT(AD$4:AD254)+1,"")</f>
        <v/>
      </c>
      <c r="AE255">
        <f>IF(AND($A255&lt;&gt;"",$B255&lt;&gt;"",$R255='تقرير مايو'!$C$4,$P255='تقرير مايو'!$C$6),COUNT(AE$4:AE254)+1,"")</f>
        <v/>
      </c>
    </row>
    <row r="256">
      <c r="A256" s="16" t="n"/>
      <c r="B256" s="17" t="n"/>
      <c r="C256" s="17" t="n"/>
      <c r="D256" s="18" t="n"/>
      <c r="E256" s="17" t="n"/>
      <c r="F256" s="17" t="n"/>
      <c r="G256" s="19" t="n"/>
      <c r="H256" s="17" t="n"/>
      <c r="I256" s="17" t="n"/>
      <c r="J256" s="17" t="n"/>
      <c r="K256" s="20">
        <f>IF($B256="","",IFERROR(INDEX(الموظفات!$A$5:$A$304,MATCH($B256,الموظفات!$B$5:$B$304,0))&amp;"",""))</f>
        <v/>
      </c>
      <c r="L256" s="21">
        <f>IF($B256="","",IFERROR(INDEX(الموظفات!$C$5:$C$304,MATCH($B256,الموظفات!$B$5:$B$304,0))&amp;"",""))</f>
        <v/>
      </c>
      <c r="M256" s="20">
        <f>IF($B256="","",IFERROR(INDEX(الموظفات!$D$5:$D$304,MATCH($B256,الموظفات!$B$5:$B$304,0))&amp;"",""))</f>
        <v/>
      </c>
      <c r="N256" s="20">
        <f>IF($B256="","",IFERROR(INDEX(الموظفات!$E$5:$E$304,MATCH($B256,الموظفات!$B$5:$B$304,0))&amp;"",""))</f>
        <v/>
      </c>
      <c r="O256" s="21">
        <f>IF(C256="","",IFERROR(INDEX(الإعدادات!$D$7:$D$35,MATCH(C256,الإعدادات!$A$7:$A$35,0))&amp;"",""))</f>
        <v/>
      </c>
      <c r="P256" s="20">
        <f>IF(A256="","",INDEX(الإعدادات!$H$7:$H$18,MONTH(A256)))</f>
        <v/>
      </c>
      <c r="Q256" s="20">
        <f>IF(A256="","",INDEX(الإعدادات!$I$7:$I$18,MONTH(A256)))</f>
        <v/>
      </c>
      <c r="R256" s="20">
        <f>IF(A256="","",IF(MONTH(A256)&gt;=8,YEAR(A256)&amp;"-"&amp;(YEAR(A256)+1),(YEAR(A256)-1)&amp;"-"&amp;YEAR(A256)))</f>
        <v/>
      </c>
      <c r="S256" s="20">
        <f>IF(OR(A256="",B256=""),0,IF(AND(R256=التقارير!$C$4,OR(التقارير!$C$5="سنوي",AND(التقارير!$C$5="شهري",P256=التقارير!$C$6),AND(التقارير!$C$5="فصلي",Q256=التقارير!$C$7))),1,0))</f>
        <v/>
      </c>
      <c r="T256" s="20">
        <f>IF(S256=1,COUNTIF($S$5:S256,1),"")</f>
        <v/>
      </c>
      <c r="U256">
        <f>IF(AND($A256&lt;&gt;"",$B256&lt;&gt;"",$R256='تقرير الفصل الأول'!$C$4,$Q256='تقرير الفصل الأول'!$C$7),COUNT(U$4:U255)+1,"")</f>
        <v/>
      </c>
      <c r="V256">
        <f>IF(AND($A256&lt;&gt;"",$B256&lt;&gt;"",$R256='تقرير الفصل الثاني'!$C$4,$Q256='تقرير الفصل الثاني'!$C$7),COUNT(V$4:V255)+1,"")</f>
        <v/>
      </c>
      <c r="W256">
        <f>IF(AND($A256&lt;&gt;"",$B256&lt;&gt;"",$R256='تقرير سبتمبر'!$C$4,$P256='تقرير سبتمبر'!$C$6),COUNT(W$4:W255)+1,"")</f>
        <v/>
      </c>
      <c r="X256">
        <f>IF(AND($A256&lt;&gt;"",$B256&lt;&gt;"",$R256='تقرير أكتوبر'!$C$4,$P256='تقرير أكتوبر'!$C$6),COUNT(X$4:X255)+1,"")</f>
        <v/>
      </c>
      <c r="Y256">
        <f>IF(AND($A256&lt;&gt;"",$B256&lt;&gt;"",$R256='تقرير نوفمبر'!$C$4,$P256='تقرير نوفمبر'!$C$6),COUNT(Y$4:Y255)+1,"")</f>
        <v/>
      </c>
      <c r="Z256">
        <f>IF(AND($A256&lt;&gt;"",$B256&lt;&gt;"",$R256='تقرير ديسمبر'!$C$4,$P256='تقرير ديسمبر'!$C$6),COUNT(Z$4:Z255)+1,"")</f>
        <v/>
      </c>
      <c r="AA256">
        <f>IF(AND($A256&lt;&gt;"",$B256&lt;&gt;"",$R256='تقرير يناير'!$C$4,$P256='تقرير يناير'!$C$6),COUNT(AA$4:AA255)+1,"")</f>
        <v/>
      </c>
      <c r="AB256">
        <f>IF(AND($A256&lt;&gt;"",$B256&lt;&gt;"",$R256='تقرير فبراير'!$C$4,$P256='تقرير فبراير'!$C$6),COUNT(AB$4:AB255)+1,"")</f>
        <v/>
      </c>
      <c r="AC256">
        <f>IF(AND($A256&lt;&gt;"",$B256&lt;&gt;"",$R256='تقرير مارس'!$C$4,$P256='تقرير مارس'!$C$6),COUNT(AC$4:AC255)+1,"")</f>
        <v/>
      </c>
      <c r="AD256">
        <f>IF(AND($A256&lt;&gt;"",$B256&lt;&gt;"",$R256='تقرير أبريل'!$C$4,$P256='تقرير أبريل'!$C$6),COUNT(AD$4:AD255)+1,"")</f>
        <v/>
      </c>
      <c r="AE256">
        <f>IF(AND($A256&lt;&gt;"",$B256&lt;&gt;"",$R256='تقرير مايو'!$C$4,$P256='تقرير مايو'!$C$6),COUNT(AE$4:AE255)+1,"")</f>
        <v/>
      </c>
    </row>
    <row r="257">
      <c r="A257" s="16" t="n"/>
      <c r="B257" s="17" t="n"/>
      <c r="C257" s="17" t="n"/>
      <c r="D257" s="18" t="n"/>
      <c r="E257" s="17" t="n"/>
      <c r="F257" s="17" t="n"/>
      <c r="G257" s="19" t="n"/>
      <c r="H257" s="17" t="n"/>
      <c r="I257" s="17" t="n"/>
      <c r="J257" s="17" t="n"/>
      <c r="K257" s="20">
        <f>IF($B257="","",IFERROR(INDEX(الموظفات!$A$5:$A$304,MATCH($B257,الموظفات!$B$5:$B$304,0))&amp;"",""))</f>
        <v/>
      </c>
      <c r="L257" s="21">
        <f>IF($B257="","",IFERROR(INDEX(الموظفات!$C$5:$C$304,MATCH($B257,الموظفات!$B$5:$B$304,0))&amp;"",""))</f>
        <v/>
      </c>
      <c r="M257" s="20">
        <f>IF($B257="","",IFERROR(INDEX(الموظفات!$D$5:$D$304,MATCH($B257,الموظفات!$B$5:$B$304,0))&amp;"",""))</f>
        <v/>
      </c>
      <c r="N257" s="20">
        <f>IF($B257="","",IFERROR(INDEX(الموظفات!$E$5:$E$304,MATCH($B257,الموظفات!$B$5:$B$304,0))&amp;"",""))</f>
        <v/>
      </c>
      <c r="O257" s="21">
        <f>IF(C257="","",IFERROR(INDEX(الإعدادات!$D$7:$D$35,MATCH(C257,الإعدادات!$A$7:$A$35,0))&amp;"",""))</f>
        <v/>
      </c>
      <c r="P257" s="20">
        <f>IF(A257="","",INDEX(الإعدادات!$H$7:$H$18,MONTH(A257)))</f>
        <v/>
      </c>
      <c r="Q257" s="20">
        <f>IF(A257="","",INDEX(الإعدادات!$I$7:$I$18,MONTH(A257)))</f>
        <v/>
      </c>
      <c r="R257" s="20">
        <f>IF(A257="","",IF(MONTH(A257)&gt;=8,YEAR(A257)&amp;"-"&amp;(YEAR(A257)+1),(YEAR(A257)-1)&amp;"-"&amp;YEAR(A257)))</f>
        <v/>
      </c>
      <c r="S257" s="20">
        <f>IF(OR(A257="",B257=""),0,IF(AND(R257=التقارير!$C$4,OR(التقارير!$C$5="سنوي",AND(التقارير!$C$5="شهري",P257=التقارير!$C$6),AND(التقارير!$C$5="فصلي",Q257=التقارير!$C$7))),1,0))</f>
        <v/>
      </c>
      <c r="T257" s="20">
        <f>IF(S257=1,COUNTIF($S$5:S257,1),"")</f>
        <v/>
      </c>
      <c r="U257">
        <f>IF(AND($A257&lt;&gt;"",$B257&lt;&gt;"",$R257='تقرير الفصل الأول'!$C$4,$Q257='تقرير الفصل الأول'!$C$7),COUNT(U$4:U256)+1,"")</f>
        <v/>
      </c>
      <c r="V257">
        <f>IF(AND($A257&lt;&gt;"",$B257&lt;&gt;"",$R257='تقرير الفصل الثاني'!$C$4,$Q257='تقرير الفصل الثاني'!$C$7),COUNT(V$4:V256)+1,"")</f>
        <v/>
      </c>
      <c r="W257">
        <f>IF(AND($A257&lt;&gt;"",$B257&lt;&gt;"",$R257='تقرير سبتمبر'!$C$4,$P257='تقرير سبتمبر'!$C$6),COUNT(W$4:W256)+1,"")</f>
        <v/>
      </c>
      <c r="X257">
        <f>IF(AND($A257&lt;&gt;"",$B257&lt;&gt;"",$R257='تقرير أكتوبر'!$C$4,$P257='تقرير أكتوبر'!$C$6),COUNT(X$4:X256)+1,"")</f>
        <v/>
      </c>
      <c r="Y257">
        <f>IF(AND($A257&lt;&gt;"",$B257&lt;&gt;"",$R257='تقرير نوفمبر'!$C$4,$P257='تقرير نوفمبر'!$C$6),COUNT(Y$4:Y256)+1,"")</f>
        <v/>
      </c>
      <c r="Z257">
        <f>IF(AND($A257&lt;&gt;"",$B257&lt;&gt;"",$R257='تقرير ديسمبر'!$C$4,$P257='تقرير ديسمبر'!$C$6),COUNT(Z$4:Z256)+1,"")</f>
        <v/>
      </c>
      <c r="AA257">
        <f>IF(AND($A257&lt;&gt;"",$B257&lt;&gt;"",$R257='تقرير يناير'!$C$4,$P257='تقرير يناير'!$C$6),COUNT(AA$4:AA256)+1,"")</f>
        <v/>
      </c>
      <c r="AB257">
        <f>IF(AND($A257&lt;&gt;"",$B257&lt;&gt;"",$R257='تقرير فبراير'!$C$4,$P257='تقرير فبراير'!$C$6),COUNT(AB$4:AB256)+1,"")</f>
        <v/>
      </c>
      <c r="AC257">
        <f>IF(AND($A257&lt;&gt;"",$B257&lt;&gt;"",$R257='تقرير مارس'!$C$4,$P257='تقرير مارس'!$C$6),COUNT(AC$4:AC256)+1,"")</f>
        <v/>
      </c>
      <c r="AD257">
        <f>IF(AND($A257&lt;&gt;"",$B257&lt;&gt;"",$R257='تقرير أبريل'!$C$4,$P257='تقرير أبريل'!$C$6),COUNT(AD$4:AD256)+1,"")</f>
        <v/>
      </c>
      <c r="AE257">
        <f>IF(AND($A257&lt;&gt;"",$B257&lt;&gt;"",$R257='تقرير مايو'!$C$4,$P257='تقرير مايو'!$C$6),COUNT(AE$4:AE256)+1,"")</f>
        <v/>
      </c>
    </row>
    <row r="258">
      <c r="A258" s="16" t="n"/>
      <c r="B258" s="17" t="n"/>
      <c r="C258" s="17" t="n"/>
      <c r="D258" s="18" t="n"/>
      <c r="E258" s="17" t="n"/>
      <c r="F258" s="17" t="n"/>
      <c r="G258" s="19" t="n"/>
      <c r="H258" s="17" t="n"/>
      <c r="I258" s="17" t="n"/>
      <c r="J258" s="17" t="n"/>
      <c r="K258" s="20">
        <f>IF($B258="","",IFERROR(INDEX(الموظفات!$A$5:$A$304,MATCH($B258,الموظفات!$B$5:$B$304,0))&amp;"",""))</f>
        <v/>
      </c>
      <c r="L258" s="21">
        <f>IF($B258="","",IFERROR(INDEX(الموظفات!$C$5:$C$304,MATCH($B258,الموظفات!$B$5:$B$304,0))&amp;"",""))</f>
        <v/>
      </c>
      <c r="M258" s="20">
        <f>IF($B258="","",IFERROR(INDEX(الموظفات!$D$5:$D$304,MATCH($B258,الموظفات!$B$5:$B$304,0))&amp;"",""))</f>
        <v/>
      </c>
      <c r="N258" s="20">
        <f>IF($B258="","",IFERROR(INDEX(الموظفات!$E$5:$E$304,MATCH($B258,الموظفات!$B$5:$B$304,0))&amp;"",""))</f>
        <v/>
      </c>
      <c r="O258" s="21">
        <f>IF(C258="","",IFERROR(INDEX(الإعدادات!$D$7:$D$35,MATCH(C258,الإعدادات!$A$7:$A$35,0))&amp;"",""))</f>
        <v/>
      </c>
      <c r="P258" s="20">
        <f>IF(A258="","",INDEX(الإعدادات!$H$7:$H$18,MONTH(A258)))</f>
        <v/>
      </c>
      <c r="Q258" s="20">
        <f>IF(A258="","",INDEX(الإعدادات!$I$7:$I$18,MONTH(A258)))</f>
        <v/>
      </c>
      <c r="R258" s="20">
        <f>IF(A258="","",IF(MONTH(A258)&gt;=8,YEAR(A258)&amp;"-"&amp;(YEAR(A258)+1),(YEAR(A258)-1)&amp;"-"&amp;YEAR(A258)))</f>
        <v/>
      </c>
      <c r="S258" s="20">
        <f>IF(OR(A258="",B258=""),0,IF(AND(R258=التقارير!$C$4,OR(التقارير!$C$5="سنوي",AND(التقارير!$C$5="شهري",P258=التقارير!$C$6),AND(التقارير!$C$5="فصلي",Q258=التقارير!$C$7))),1,0))</f>
        <v/>
      </c>
      <c r="T258" s="20">
        <f>IF(S258=1,COUNTIF($S$5:S258,1),"")</f>
        <v/>
      </c>
      <c r="U258">
        <f>IF(AND($A258&lt;&gt;"",$B258&lt;&gt;"",$R258='تقرير الفصل الأول'!$C$4,$Q258='تقرير الفصل الأول'!$C$7),COUNT(U$4:U257)+1,"")</f>
        <v/>
      </c>
      <c r="V258">
        <f>IF(AND($A258&lt;&gt;"",$B258&lt;&gt;"",$R258='تقرير الفصل الثاني'!$C$4,$Q258='تقرير الفصل الثاني'!$C$7),COUNT(V$4:V257)+1,"")</f>
        <v/>
      </c>
      <c r="W258">
        <f>IF(AND($A258&lt;&gt;"",$B258&lt;&gt;"",$R258='تقرير سبتمبر'!$C$4,$P258='تقرير سبتمبر'!$C$6),COUNT(W$4:W257)+1,"")</f>
        <v/>
      </c>
      <c r="X258">
        <f>IF(AND($A258&lt;&gt;"",$B258&lt;&gt;"",$R258='تقرير أكتوبر'!$C$4,$P258='تقرير أكتوبر'!$C$6),COUNT(X$4:X257)+1,"")</f>
        <v/>
      </c>
      <c r="Y258">
        <f>IF(AND($A258&lt;&gt;"",$B258&lt;&gt;"",$R258='تقرير نوفمبر'!$C$4,$P258='تقرير نوفمبر'!$C$6),COUNT(Y$4:Y257)+1,"")</f>
        <v/>
      </c>
      <c r="Z258">
        <f>IF(AND($A258&lt;&gt;"",$B258&lt;&gt;"",$R258='تقرير ديسمبر'!$C$4,$P258='تقرير ديسمبر'!$C$6),COUNT(Z$4:Z257)+1,"")</f>
        <v/>
      </c>
      <c r="AA258">
        <f>IF(AND($A258&lt;&gt;"",$B258&lt;&gt;"",$R258='تقرير يناير'!$C$4,$P258='تقرير يناير'!$C$6),COUNT(AA$4:AA257)+1,"")</f>
        <v/>
      </c>
      <c r="AB258">
        <f>IF(AND($A258&lt;&gt;"",$B258&lt;&gt;"",$R258='تقرير فبراير'!$C$4,$P258='تقرير فبراير'!$C$6),COUNT(AB$4:AB257)+1,"")</f>
        <v/>
      </c>
      <c r="AC258">
        <f>IF(AND($A258&lt;&gt;"",$B258&lt;&gt;"",$R258='تقرير مارس'!$C$4,$P258='تقرير مارس'!$C$6),COUNT(AC$4:AC257)+1,"")</f>
        <v/>
      </c>
      <c r="AD258">
        <f>IF(AND($A258&lt;&gt;"",$B258&lt;&gt;"",$R258='تقرير أبريل'!$C$4,$P258='تقرير أبريل'!$C$6),COUNT(AD$4:AD257)+1,"")</f>
        <v/>
      </c>
      <c r="AE258">
        <f>IF(AND($A258&lt;&gt;"",$B258&lt;&gt;"",$R258='تقرير مايو'!$C$4,$P258='تقرير مايو'!$C$6),COUNT(AE$4:AE257)+1,"")</f>
        <v/>
      </c>
    </row>
    <row r="259">
      <c r="A259" s="16" t="n"/>
      <c r="B259" s="17" t="n"/>
      <c r="C259" s="17" t="n"/>
      <c r="D259" s="18" t="n"/>
      <c r="E259" s="17" t="n"/>
      <c r="F259" s="17" t="n"/>
      <c r="G259" s="19" t="n"/>
      <c r="H259" s="17" t="n"/>
      <c r="I259" s="17" t="n"/>
      <c r="J259" s="17" t="n"/>
      <c r="K259" s="20">
        <f>IF($B259="","",IFERROR(INDEX(الموظفات!$A$5:$A$304,MATCH($B259,الموظفات!$B$5:$B$304,0))&amp;"",""))</f>
        <v/>
      </c>
      <c r="L259" s="21">
        <f>IF($B259="","",IFERROR(INDEX(الموظفات!$C$5:$C$304,MATCH($B259,الموظفات!$B$5:$B$304,0))&amp;"",""))</f>
        <v/>
      </c>
      <c r="M259" s="20">
        <f>IF($B259="","",IFERROR(INDEX(الموظفات!$D$5:$D$304,MATCH($B259,الموظفات!$B$5:$B$304,0))&amp;"",""))</f>
        <v/>
      </c>
      <c r="N259" s="20">
        <f>IF($B259="","",IFERROR(INDEX(الموظفات!$E$5:$E$304,MATCH($B259,الموظفات!$B$5:$B$304,0))&amp;"",""))</f>
        <v/>
      </c>
      <c r="O259" s="21">
        <f>IF(C259="","",IFERROR(INDEX(الإعدادات!$D$7:$D$35,MATCH(C259,الإعدادات!$A$7:$A$35,0))&amp;"",""))</f>
        <v/>
      </c>
      <c r="P259" s="20">
        <f>IF(A259="","",INDEX(الإعدادات!$H$7:$H$18,MONTH(A259)))</f>
        <v/>
      </c>
      <c r="Q259" s="20">
        <f>IF(A259="","",INDEX(الإعدادات!$I$7:$I$18,MONTH(A259)))</f>
        <v/>
      </c>
      <c r="R259" s="20">
        <f>IF(A259="","",IF(MONTH(A259)&gt;=8,YEAR(A259)&amp;"-"&amp;(YEAR(A259)+1),(YEAR(A259)-1)&amp;"-"&amp;YEAR(A259)))</f>
        <v/>
      </c>
      <c r="S259" s="20">
        <f>IF(OR(A259="",B259=""),0,IF(AND(R259=التقارير!$C$4,OR(التقارير!$C$5="سنوي",AND(التقارير!$C$5="شهري",P259=التقارير!$C$6),AND(التقارير!$C$5="فصلي",Q259=التقارير!$C$7))),1,0))</f>
        <v/>
      </c>
      <c r="T259" s="20">
        <f>IF(S259=1,COUNTIF($S$5:S259,1),"")</f>
        <v/>
      </c>
      <c r="U259">
        <f>IF(AND($A259&lt;&gt;"",$B259&lt;&gt;"",$R259='تقرير الفصل الأول'!$C$4,$Q259='تقرير الفصل الأول'!$C$7),COUNT(U$4:U258)+1,"")</f>
        <v/>
      </c>
      <c r="V259">
        <f>IF(AND($A259&lt;&gt;"",$B259&lt;&gt;"",$R259='تقرير الفصل الثاني'!$C$4,$Q259='تقرير الفصل الثاني'!$C$7),COUNT(V$4:V258)+1,"")</f>
        <v/>
      </c>
      <c r="W259">
        <f>IF(AND($A259&lt;&gt;"",$B259&lt;&gt;"",$R259='تقرير سبتمبر'!$C$4,$P259='تقرير سبتمبر'!$C$6),COUNT(W$4:W258)+1,"")</f>
        <v/>
      </c>
      <c r="X259">
        <f>IF(AND($A259&lt;&gt;"",$B259&lt;&gt;"",$R259='تقرير أكتوبر'!$C$4,$P259='تقرير أكتوبر'!$C$6),COUNT(X$4:X258)+1,"")</f>
        <v/>
      </c>
      <c r="Y259">
        <f>IF(AND($A259&lt;&gt;"",$B259&lt;&gt;"",$R259='تقرير نوفمبر'!$C$4,$P259='تقرير نوفمبر'!$C$6),COUNT(Y$4:Y258)+1,"")</f>
        <v/>
      </c>
      <c r="Z259">
        <f>IF(AND($A259&lt;&gt;"",$B259&lt;&gt;"",$R259='تقرير ديسمبر'!$C$4,$P259='تقرير ديسمبر'!$C$6),COUNT(Z$4:Z258)+1,"")</f>
        <v/>
      </c>
      <c r="AA259">
        <f>IF(AND($A259&lt;&gt;"",$B259&lt;&gt;"",$R259='تقرير يناير'!$C$4,$P259='تقرير يناير'!$C$6),COUNT(AA$4:AA258)+1,"")</f>
        <v/>
      </c>
      <c r="AB259">
        <f>IF(AND($A259&lt;&gt;"",$B259&lt;&gt;"",$R259='تقرير فبراير'!$C$4,$P259='تقرير فبراير'!$C$6),COUNT(AB$4:AB258)+1,"")</f>
        <v/>
      </c>
      <c r="AC259">
        <f>IF(AND($A259&lt;&gt;"",$B259&lt;&gt;"",$R259='تقرير مارس'!$C$4,$P259='تقرير مارس'!$C$6),COUNT(AC$4:AC258)+1,"")</f>
        <v/>
      </c>
      <c r="AD259">
        <f>IF(AND($A259&lt;&gt;"",$B259&lt;&gt;"",$R259='تقرير أبريل'!$C$4,$P259='تقرير أبريل'!$C$6),COUNT(AD$4:AD258)+1,"")</f>
        <v/>
      </c>
      <c r="AE259">
        <f>IF(AND($A259&lt;&gt;"",$B259&lt;&gt;"",$R259='تقرير مايو'!$C$4,$P259='تقرير مايو'!$C$6),COUNT(AE$4:AE258)+1,"")</f>
        <v/>
      </c>
    </row>
    <row r="260">
      <c r="A260" s="16" t="n"/>
      <c r="B260" s="17" t="n"/>
      <c r="C260" s="17" t="n"/>
      <c r="D260" s="18" t="n"/>
      <c r="E260" s="17" t="n"/>
      <c r="F260" s="17" t="n"/>
      <c r="G260" s="19" t="n"/>
      <c r="H260" s="17" t="n"/>
      <c r="I260" s="17" t="n"/>
      <c r="J260" s="17" t="n"/>
      <c r="K260" s="20">
        <f>IF($B260="","",IFERROR(INDEX(الموظفات!$A$5:$A$304,MATCH($B260,الموظفات!$B$5:$B$304,0))&amp;"",""))</f>
        <v/>
      </c>
      <c r="L260" s="21">
        <f>IF($B260="","",IFERROR(INDEX(الموظفات!$C$5:$C$304,MATCH($B260,الموظفات!$B$5:$B$304,0))&amp;"",""))</f>
        <v/>
      </c>
      <c r="M260" s="20">
        <f>IF($B260="","",IFERROR(INDEX(الموظفات!$D$5:$D$304,MATCH($B260,الموظفات!$B$5:$B$304,0))&amp;"",""))</f>
        <v/>
      </c>
      <c r="N260" s="20">
        <f>IF($B260="","",IFERROR(INDEX(الموظفات!$E$5:$E$304,MATCH($B260,الموظفات!$B$5:$B$304,0))&amp;"",""))</f>
        <v/>
      </c>
      <c r="O260" s="21">
        <f>IF(C260="","",IFERROR(INDEX(الإعدادات!$D$7:$D$35,MATCH(C260,الإعدادات!$A$7:$A$35,0))&amp;"",""))</f>
        <v/>
      </c>
      <c r="P260" s="20">
        <f>IF(A260="","",INDEX(الإعدادات!$H$7:$H$18,MONTH(A260)))</f>
        <v/>
      </c>
      <c r="Q260" s="20">
        <f>IF(A260="","",INDEX(الإعدادات!$I$7:$I$18,MONTH(A260)))</f>
        <v/>
      </c>
      <c r="R260" s="20">
        <f>IF(A260="","",IF(MONTH(A260)&gt;=8,YEAR(A260)&amp;"-"&amp;(YEAR(A260)+1),(YEAR(A260)-1)&amp;"-"&amp;YEAR(A260)))</f>
        <v/>
      </c>
      <c r="S260" s="20">
        <f>IF(OR(A260="",B260=""),0,IF(AND(R260=التقارير!$C$4,OR(التقارير!$C$5="سنوي",AND(التقارير!$C$5="شهري",P260=التقارير!$C$6),AND(التقارير!$C$5="فصلي",Q260=التقارير!$C$7))),1,0))</f>
        <v/>
      </c>
      <c r="T260" s="20">
        <f>IF(S260=1,COUNTIF($S$5:S260,1),"")</f>
        <v/>
      </c>
      <c r="U260">
        <f>IF(AND($A260&lt;&gt;"",$B260&lt;&gt;"",$R260='تقرير الفصل الأول'!$C$4,$Q260='تقرير الفصل الأول'!$C$7),COUNT(U$4:U259)+1,"")</f>
        <v/>
      </c>
      <c r="V260">
        <f>IF(AND($A260&lt;&gt;"",$B260&lt;&gt;"",$R260='تقرير الفصل الثاني'!$C$4,$Q260='تقرير الفصل الثاني'!$C$7),COUNT(V$4:V259)+1,"")</f>
        <v/>
      </c>
      <c r="W260">
        <f>IF(AND($A260&lt;&gt;"",$B260&lt;&gt;"",$R260='تقرير سبتمبر'!$C$4,$P260='تقرير سبتمبر'!$C$6),COUNT(W$4:W259)+1,"")</f>
        <v/>
      </c>
      <c r="X260">
        <f>IF(AND($A260&lt;&gt;"",$B260&lt;&gt;"",$R260='تقرير أكتوبر'!$C$4,$P260='تقرير أكتوبر'!$C$6),COUNT(X$4:X259)+1,"")</f>
        <v/>
      </c>
      <c r="Y260">
        <f>IF(AND($A260&lt;&gt;"",$B260&lt;&gt;"",$R260='تقرير نوفمبر'!$C$4,$P260='تقرير نوفمبر'!$C$6),COUNT(Y$4:Y259)+1,"")</f>
        <v/>
      </c>
      <c r="Z260">
        <f>IF(AND($A260&lt;&gt;"",$B260&lt;&gt;"",$R260='تقرير ديسمبر'!$C$4,$P260='تقرير ديسمبر'!$C$6),COUNT(Z$4:Z259)+1,"")</f>
        <v/>
      </c>
      <c r="AA260">
        <f>IF(AND($A260&lt;&gt;"",$B260&lt;&gt;"",$R260='تقرير يناير'!$C$4,$P260='تقرير يناير'!$C$6),COUNT(AA$4:AA259)+1,"")</f>
        <v/>
      </c>
      <c r="AB260">
        <f>IF(AND($A260&lt;&gt;"",$B260&lt;&gt;"",$R260='تقرير فبراير'!$C$4,$P260='تقرير فبراير'!$C$6),COUNT(AB$4:AB259)+1,"")</f>
        <v/>
      </c>
      <c r="AC260">
        <f>IF(AND($A260&lt;&gt;"",$B260&lt;&gt;"",$R260='تقرير مارس'!$C$4,$P260='تقرير مارس'!$C$6),COUNT(AC$4:AC259)+1,"")</f>
        <v/>
      </c>
      <c r="AD260">
        <f>IF(AND($A260&lt;&gt;"",$B260&lt;&gt;"",$R260='تقرير أبريل'!$C$4,$P260='تقرير أبريل'!$C$6),COUNT(AD$4:AD259)+1,"")</f>
        <v/>
      </c>
      <c r="AE260">
        <f>IF(AND($A260&lt;&gt;"",$B260&lt;&gt;"",$R260='تقرير مايو'!$C$4,$P260='تقرير مايو'!$C$6),COUNT(AE$4:AE259)+1,"")</f>
        <v/>
      </c>
    </row>
    <row r="261">
      <c r="A261" s="16" t="n"/>
      <c r="B261" s="17" t="n"/>
      <c r="C261" s="17" t="n"/>
      <c r="D261" s="18" t="n"/>
      <c r="E261" s="17" t="n"/>
      <c r="F261" s="17" t="n"/>
      <c r="G261" s="19" t="n"/>
      <c r="H261" s="17" t="n"/>
      <c r="I261" s="17" t="n"/>
      <c r="J261" s="17" t="n"/>
      <c r="K261" s="20">
        <f>IF($B261="","",IFERROR(INDEX(الموظفات!$A$5:$A$304,MATCH($B261,الموظفات!$B$5:$B$304,0))&amp;"",""))</f>
        <v/>
      </c>
      <c r="L261" s="21">
        <f>IF($B261="","",IFERROR(INDEX(الموظفات!$C$5:$C$304,MATCH($B261,الموظفات!$B$5:$B$304,0))&amp;"",""))</f>
        <v/>
      </c>
      <c r="M261" s="20">
        <f>IF($B261="","",IFERROR(INDEX(الموظفات!$D$5:$D$304,MATCH($B261,الموظفات!$B$5:$B$304,0))&amp;"",""))</f>
        <v/>
      </c>
      <c r="N261" s="20">
        <f>IF($B261="","",IFERROR(INDEX(الموظفات!$E$5:$E$304,MATCH($B261,الموظفات!$B$5:$B$304,0))&amp;"",""))</f>
        <v/>
      </c>
      <c r="O261" s="21">
        <f>IF(C261="","",IFERROR(INDEX(الإعدادات!$D$7:$D$35,MATCH(C261,الإعدادات!$A$7:$A$35,0))&amp;"",""))</f>
        <v/>
      </c>
      <c r="P261" s="20">
        <f>IF(A261="","",INDEX(الإعدادات!$H$7:$H$18,MONTH(A261)))</f>
        <v/>
      </c>
      <c r="Q261" s="20">
        <f>IF(A261="","",INDEX(الإعدادات!$I$7:$I$18,MONTH(A261)))</f>
        <v/>
      </c>
      <c r="R261" s="20">
        <f>IF(A261="","",IF(MONTH(A261)&gt;=8,YEAR(A261)&amp;"-"&amp;(YEAR(A261)+1),(YEAR(A261)-1)&amp;"-"&amp;YEAR(A261)))</f>
        <v/>
      </c>
      <c r="S261" s="20">
        <f>IF(OR(A261="",B261=""),0,IF(AND(R261=التقارير!$C$4,OR(التقارير!$C$5="سنوي",AND(التقارير!$C$5="شهري",P261=التقارير!$C$6),AND(التقارير!$C$5="فصلي",Q261=التقارير!$C$7))),1,0))</f>
        <v/>
      </c>
      <c r="T261" s="20">
        <f>IF(S261=1,COUNTIF($S$5:S261,1),"")</f>
        <v/>
      </c>
      <c r="U261">
        <f>IF(AND($A261&lt;&gt;"",$B261&lt;&gt;"",$R261='تقرير الفصل الأول'!$C$4,$Q261='تقرير الفصل الأول'!$C$7),COUNT(U$4:U260)+1,"")</f>
        <v/>
      </c>
      <c r="V261">
        <f>IF(AND($A261&lt;&gt;"",$B261&lt;&gt;"",$R261='تقرير الفصل الثاني'!$C$4,$Q261='تقرير الفصل الثاني'!$C$7),COUNT(V$4:V260)+1,"")</f>
        <v/>
      </c>
      <c r="W261">
        <f>IF(AND($A261&lt;&gt;"",$B261&lt;&gt;"",$R261='تقرير سبتمبر'!$C$4,$P261='تقرير سبتمبر'!$C$6),COUNT(W$4:W260)+1,"")</f>
        <v/>
      </c>
      <c r="X261">
        <f>IF(AND($A261&lt;&gt;"",$B261&lt;&gt;"",$R261='تقرير أكتوبر'!$C$4,$P261='تقرير أكتوبر'!$C$6),COUNT(X$4:X260)+1,"")</f>
        <v/>
      </c>
      <c r="Y261">
        <f>IF(AND($A261&lt;&gt;"",$B261&lt;&gt;"",$R261='تقرير نوفمبر'!$C$4,$P261='تقرير نوفمبر'!$C$6),COUNT(Y$4:Y260)+1,"")</f>
        <v/>
      </c>
      <c r="Z261">
        <f>IF(AND($A261&lt;&gt;"",$B261&lt;&gt;"",$R261='تقرير ديسمبر'!$C$4,$P261='تقرير ديسمبر'!$C$6),COUNT(Z$4:Z260)+1,"")</f>
        <v/>
      </c>
      <c r="AA261">
        <f>IF(AND($A261&lt;&gt;"",$B261&lt;&gt;"",$R261='تقرير يناير'!$C$4,$P261='تقرير يناير'!$C$6),COUNT(AA$4:AA260)+1,"")</f>
        <v/>
      </c>
      <c r="AB261">
        <f>IF(AND($A261&lt;&gt;"",$B261&lt;&gt;"",$R261='تقرير فبراير'!$C$4,$P261='تقرير فبراير'!$C$6),COUNT(AB$4:AB260)+1,"")</f>
        <v/>
      </c>
      <c r="AC261">
        <f>IF(AND($A261&lt;&gt;"",$B261&lt;&gt;"",$R261='تقرير مارس'!$C$4,$P261='تقرير مارس'!$C$6),COUNT(AC$4:AC260)+1,"")</f>
        <v/>
      </c>
      <c r="AD261">
        <f>IF(AND($A261&lt;&gt;"",$B261&lt;&gt;"",$R261='تقرير أبريل'!$C$4,$P261='تقرير أبريل'!$C$6),COUNT(AD$4:AD260)+1,"")</f>
        <v/>
      </c>
      <c r="AE261">
        <f>IF(AND($A261&lt;&gt;"",$B261&lt;&gt;"",$R261='تقرير مايو'!$C$4,$P261='تقرير مايو'!$C$6),COUNT(AE$4:AE260)+1,"")</f>
        <v/>
      </c>
    </row>
    <row r="262">
      <c r="A262" s="16" t="n"/>
      <c r="B262" s="17" t="n"/>
      <c r="C262" s="17" t="n"/>
      <c r="D262" s="18" t="n"/>
      <c r="E262" s="17" t="n"/>
      <c r="F262" s="17" t="n"/>
      <c r="G262" s="19" t="n"/>
      <c r="H262" s="17" t="n"/>
      <c r="I262" s="17" t="n"/>
      <c r="J262" s="17" t="n"/>
      <c r="K262" s="20">
        <f>IF($B262="","",IFERROR(INDEX(الموظفات!$A$5:$A$304,MATCH($B262,الموظفات!$B$5:$B$304,0))&amp;"",""))</f>
        <v/>
      </c>
      <c r="L262" s="21">
        <f>IF($B262="","",IFERROR(INDEX(الموظفات!$C$5:$C$304,MATCH($B262,الموظفات!$B$5:$B$304,0))&amp;"",""))</f>
        <v/>
      </c>
      <c r="M262" s="20">
        <f>IF($B262="","",IFERROR(INDEX(الموظفات!$D$5:$D$304,MATCH($B262,الموظفات!$B$5:$B$304,0))&amp;"",""))</f>
        <v/>
      </c>
      <c r="N262" s="20">
        <f>IF($B262="","",IFERROR(INDEX(الموظفات!$E$5:$E$304,MATCH($B262,الموظفات!$B$5:$B$304,0))&amp;"",""))</f>
        <v/>
      </c>
      <c r="O262" s="21">
        <f>IF(C262="","",IFERROR(INDEX(الإعدادات!$D$7:$D$35,MATCH(C262,الإعدادات!$A$7:$A$35,0))&amp;"",""))</f>
        <v/>
      </c>
      <c r="P262" s="20">
        <f>IF(A262="","",INDEX(الإعدادات!$H$7:$H$18,MONTH(A262)))</f>
        <v/>
      </c>
      <c r="Q262" s="20">
        <f>IF(A262="","",INDEX(الإعدادات!$I$7:$I$18,MONTH(A262)))</f>
        <v/>
      </c>
      <c r="R262" s="20">
        <f>IF(A262="","",IF(MONTH(A262)&gt;=8,YEAR(A262)&amp;"-"&amp;(YEAR(A262)+1),(YEAR(A262)-1)&amp;"-"&amp;YEAR(A262)))</f>
        <v/>
      </c>
      <c r="S262" s="20">
        <f>IF(OR(A262="",B262=""),0,IF(AND(R262=التقارير!$C$4,OR(التقارير!$C$5="سنوي",AND(التقارير!$C$5="شهري",P262=التقارير!$C$6),AND(التقارير!$C$5="فصلي",Q262=التقارير!$C$7))),1,0))</f>
        <v/>
      </c>
      <c r="T262" s="20">
        <f>IF(S262=1,COUNTIF($S$5:S262,1),"")</f>
        <v/>
      </c>
      <c r="U262">
        <f>IF(AND($A262&lt;&gt;"",$B262&lt;&gt;"",$R262='تقرير الفصل الأول'!$C$4,$Q262='تقرير الفصل الأول'!$C$7),COUNT(U$4:U261)+1,"")</f>
        <v/>
      </c>
      <c r="V262">
        <f>IF(AND($A262&lt;&gt;"",$B262&lt;&gt;"",$R262='تقرير الفصل الثاني'!$C$4,$Q262='تقرير الفصل الثاني'!$C$7),COUNT(V$4:V261)+1,"")</f>
        <v/>
      </c>
      <c r="W262">
        <f>IF(AND($A262&lt;&gt;"",$B262&lt;&gt;"",$R262='تقرير سبتمبر'!$C$4,$P262='تقرير سبتمبر'!$C$6),COUNT(W$4:W261)+1,"")</f>
        <v/>
      </c>
      <c r="X262">
        <f>IF(AND($A262&lt;&gt;"",$B262&lt;&gt;"",$R262='تقرير أكتوبر'!$C$4,$P262='تقرير أكتوبر'!$C$6),COUNT(X$4:X261)+1,"")</f>
        <v/>
      </c>
      <c r="Y262">
        <f>IF(AND($A262&lt;&gt;"",$B262&lt;&gt;"",$R262='تقرير نوفمبر'!$C$4,$P262='تقرير نوفمبر'!$C$6),COUNT(Y$4:Y261)+1,"")</f>
        <v/>
      </c>
      <c r="Z262">
        <f>IF(AND($A262&lt;&gt;"",$B262&lt;&gt;"",$R262='تقرير ديسمبر'!$C$4,$P262='تقرير ديسمبر'!$C$6),COUNT(Z$4:Z261)+1,"")</f>
        <v/>
      </c>
      <c r="AA262">
        <f>IF(AND($A262&lt;&gt;"",$B262&lt;&gt;"",$R262='تقرير يناير'!$C$4,$P262='تقرير يناير'!$C$6),COUNT(AA$4:AA261)+1,"")</f>
        <v/>
      </c>
      <c r="AB262">
        <f>IF(AND($A262&lt;&gt;"",$B262&lt;&gt;"",$R262='تقرير فبراير'!$C$4,$P262='تقرير فبراير'!$C$6),COUNT(AB$4:AB261)+1,"")</f>
        <v/>
      </c>
      <c r="AC262">
        <f>IF(AND($A262&lt;&gt;"",$B262&lt;&gt;"",$R262='تقرير مارس'!$C$4,$P262='تقرير مارس'!$C$6),COUNT(AC$4:AC261)+1,"")</f>
        <v/>
      </c>
      <c r="AD262">
        <f>IF(AND($A262&lt;&gt;"",$B262&lt;&gt;"",$R262='تقرير أبريل'!$C$4,$P262='تقرير أبريل'!$C$6),COUNT(AD$4:AD261)+1,"")</f>
        <v/>
      </c>
      <c r="AE262">
        <f>IF(AND($A262&lt;&gt;"",$B262&lt;&gt;"",$R262='تقرير مايو'!$C$4,$P262='تقرير مايو'!$C$6),COUNT(AE$4:AE261)+1,"")</f>
        <v/>
      </c>
    </row>
    <row r="263">
      <c r="A263" s="16" t="n"/>
      <c r="B263" s="17" t="n"/>
      <c r="C263" s="17" t="n"/>
      <c r="D263" s="18" t="n"/>
      <c r="E263" s="17" t="n"/>
      <c r="F263" s="17" t="n"/>
      <c r="G263" s="19" t="n"/>
      <c r="H263" s="17" t="n"/>
      <c r="I263" s="17" t="n"/>
      <c r="J263" s="17" t="n"/>
      <c r="K263" s="20">
        <f>IF($B263="","",IFERROR(INDEX(الموظفات!$A$5:$A$304,MATCH($B263,الموظفات!$B$5:$B$304,0))&amp;"",""))</f>
        <v/>
      </c>
      <c r="L263" s="21">
        <f>IF($B263="","",IFERROR(INDEX(الموظفات!$C$5:$C$304,MATCH($B263,الموظفات!$B$5:$B$304,0))&amp;"",""))</f>
        <v/>
      </c>
      <c r="M263" s="20">
        <f>IF($B263="","",IFERROR(INDEX(الموظفات!$D$5:$D$304,MATCH($B263,الموظفات!$B$5:$B$304,0))&amp;"",""))</f>
        <v/>
      </c>
      <c r="N263" s="20">
        <f>IF($B263="","",IFERROR(INDEX(الموظفات!$E$5:$E$304,MATCH($B263,الموظفات!$B$5:$B$304,0))&amp;"",""))</f>
        <v/>
      </c>
      <c r="O263" s="21">
        <f>IF(C263="","",IFERROR(INDEX(الإعدادات!$D$7:$D$35,MATCH(C263,الإعدادات!$A$7:$A$35,0))&amp;"",""))</f>
        <v/>
      </c>
      <c r="P263" s="20">
        <f>IF(A263="","",INDEX(الإعدادات!$H$7:$H$18,MONTH(A263)))</f>
        <v/>
      </c>
      <c r="Q263" s="20">
        <f>IF(A263="","",INDEX(الإعدادات!$I$7:$I$18,MONTH(A263)))</f>
        <v/>
      </c>
      <c r="R263" s="20">
        <f>IF(A263="","",IF(MONTH(A263)&gt;=8,YEAR(A263)&amp;"-"&amp;(YEAR(A263)+1),(YEAR(A263)-1)&amp;"-"&amp;YEAR(A263)))</f>
        <v/>
      </c>
      <c r="S263" s="20">
        <f>IF(OR(A263="",B263=""),0,IF(AND(R263=التقارير!$C$4,OR(التقارير!$C$5="سنوي",AND(التقارير!$C$5="شهري",P263=التقارير!$C$6),AND(التقارير!$C$5="فصلي",Q263=التقارير!$C$7))),1,0))</f>
        <v/>
      </c>
      <c r="T263" s="20">
        <f>IF(S263=1,COUNTIF($S$5:S263,1),"")</f>
        <v/>
      </c>
      <c r="U263">
        <f>IF(AND($A263&lt;&gt;"",$B263&lt;&gt;"",$R263='تقرير الفصل الأول'!$C$4,$Q263='تقرير الفصل الأول'!$C$7),COUNT(U$4:U262)+1,"")</f>
        <v/>
      </c>
      <c r="V263">
        <f>IF(AND($A263&lt;&gt;"",$B263&lt;&gt;"",$R263='تقرير الفصل الثاني'!$C$4,$Q263='تقرير الفصل الثاني'!$C$7),COUNT(V$4:V262)+1,"")</f>
        <v/>
      </c>
      <c r="W263">
        <f>IF(AND($A263&lt;&gt;"",$B263&lt;&gt;"",$R263='تقرير سبتمبر'!$C$4,$P263='تقرير سبتمبر'!$C$6),COUNT(W$4:W262)+1,"")</f>
        <v/>
      </c>
      <c r="X263">
        <f>IF(AND($A263&lt;&gt;"",$B263&lt;&gt;"",$R263='تقرير أكتوبر'!$C$4,$P263='تقرير أكتوبر'!$C$6),COUNT(X$4:X262)+1,"")</f>
        <v/>
      </c>
      <c r="Y263">
        <f>IF(AND($A263&lt;&gt;"",$B263&lt;&gt;"",$R263='تقرير نوفمبر'!$C$4,$P263='تقرير نوفمبر'!$C$6),COUNT(Y$4:Y262)+1,"")</f>
        <v/>
      </c>
      <c r="Z263">
        <f>IF(AND($A263&lt;&gt;"",$B263&lt;&gt;"",$R263='تقرير ديسمبر'!$C$4,$P263='تقرير ديسمبر'!$C$6),COUNT(Z$4:Z262)+1,"")</f>
        <v/>
      </c>
      <c r="AA263">
        <f>IF(AND($A263&lt;&gt;"",$B263&lt;&gt;"",$R263='تقرير يناير'!$C$4,$P263='تقرير يناير'!$C$6),COUNT(AA$4:AA262)+1,"")</f>
        <v/>
      </c>
      <c r="AB263">
        <f>IF(AND($A263&lt;&gt;"",$B263&lt;&gt;"",$R263='تقرير فبراير'!$C$4,$P263='تقرير فبراير'!$C$6),COUNT(AB$4:AB262)+1,"")</f>
        <v/>
      </c>
      <c r="AC263">
        <f>IF(AND($A263&lt;&gt;"",$B263&lt;&gt;"",$R263='تقرير مارس'!$C$4,$P263='تقرير مارس'!$C$6),COUNT(AC$4:AC262)+1,"")</f>
        <v/>
      </c>
      <c r="AD263">
        <f>IF(AND($A263&lt;&gt;"",$B263&lt;&gt;"",$R263='تقرير أبريل'!$C$4,$P263='تقرير أبريل'!$C$6),COUNT(AD$4:AD262)+1,"")</f>
        <v/>
      </c>
      <c r="AE263">
        <f>IF(AND($A263&lt;&gt;"",$B263&lt;&gt;"",$R263='تقرير مايو'!$C$4,$P263='تقرير مايو'!$C$6),COUNT(AE$4:AE262)+1,"")</f>
        <v/>
      </c>
    </row>
    <row r="264">
      <c r="A264" s="16" t="n"/>
      <c r="B264" s="17" t="n"/>
      <c r="C264" s="17" t="n"/>
      <c r="D264" s="18" t="n"/>
      <c r="E264" s="17" t="n"/>
      <c r="F264" s="17" t="n"/>
      <c r="G264" s="19" t="n"/>
      <c r="H264" s="17" t="n"/>
      <c r="I264" s="17" t="n"/>
      <c r="J264" s="17" t="n"/>
      <c r="K264" s="20">
        <f>IF($B264="","",IFERROR(INDEX(الموظفات!$A$5:$A$304,MATCH($B264,الموظفات!$B$5:$B$304,0))&amp;"",""))</f>
        <v/>
      </c>
      <c r="L264" s="21">
        <f>IF($B264="","",IFERROR(INDEX(الموظفات!$C$5:$C$304,MATCH($B264,الموظفات!$B$5:$B$304,0))&amp;"",""))</f>
        <v/>
      </c>
      <c r="M264" s="20">
        <f>IF($B264="","",IFERROR(INDEX(الموظفات!$D$5:$D$304,MATCH($B264,الموظفات!$B$5:$B$304,0))&amp;"",""))</f>
        <v/>
      </c>
      <c r="N264" s="20">
        <f>IF($B264="","",IFERROR(INDEX(الموظفات!$E$5:$E$304,MATCH($B264,الموظفات!$B$5:$B$304,0))&amp;"",""))</f>
        <v/>
      </c>
      <c r="O264" s="21">
        <f>IF(C264="","",IFERROR(INDEX(الإعدادات!$D$7:$D$35,MATCH(C264,الإعدادات!$A$7:$A$35,0))&amp;"",""))</f>
        <v/>
      </c>
      <c r="P264" s="20">
        <f>IF(A264="","",INDEX(الإعدادات!$H$7:$H$18,MONTH(A264)))</f>
        <v/>
      </c>
      <c r="Q264" s="20">
        <f>IF(A264="","",INDEX(الإعدادات!$I$7:$I$18,MONTH(A264)))</f>
        <v/>
      </c>
      <c r="R264" s="20">
        <f>IF(A264="","",IF(MONTH(A264)&gt;=8,YEAR(A264)&amp;"-"&amp;(YEAR(A264)+1),(YEAR(A264)-1)&amp;"-"&amp;YEAR(A264)))</f>
        <v/>
      </c>
      <c r="S264" s="20">
        <f>IF(OR(A264="",B264=""),0,IF(AND(R264=التقارير!$C$4,OR(التقارير!$C$5="سنوي",AND(التقارير!$C$5="شهري",P264=التقارير!$C$6),AND(التقارير!$C$5="فصلي",Q264=التقارير!$C$7))),1,0))</f>
        <v/>
      </c>
      <c r="T264" s="20">
        <f>IF(S264=1,COUNTIF($S$5:S264,1),"")</f>
        <v/>
      </c>
      <c r="U264">
        <f>IF(AND($A264&lt;&gt;"",$B264&lt;&gt;"",$R264='تقرير الفصل الأول'!$C$4,$Q264='تقرير الفصل الأول'!$C$7),COUNT(U$4:U263)+1,"")</f>
        <v/>
      </c>
      <c r="V264">
        <f>IF(AND($A264&lt;&gt;"",$B264&lt;&gt;"",$R264='تقرير الفصل الثاني'!$C$4,$Q264='تقرير الفصل الثاني'!$C$7),COUNT(V$4:V263)+1,"")</f>
        <v/>
      </c>
      <c r="W264">
        <f>IF(AND($A264&lt;&gt;"",$B264&lt;&gt;"",$R264='تقرير سبتمبر'!$C$4,$P264='تقرير سبتمبر'!$C$6),COUNT(W$4:W263)+1,"")</f>
        <v/>
      </c>
      <c r="X264">
        <f>IF(AND($A264&lt;&gt;"",$B264&lt;&gt;"",$R264='تقرير أكتوبر'!$C$4,$P264='تقرير أكتوبر'!$C$6),COUNT(X$4:X263)+1,"")</f>
        <v/>
      </c>
      <c r="Y264">
        <f>IF(AND($A264&lt;&gt;"",$B264&lt;&gt;"",$R264='تقرير نوفمبر'!$C$4,$P264='تقرير نوفمبر'!$C$6),COUNT(Y$4:Y263)+1,"")</f>
        <v/>
      </c>
      <c r="Z264">
        <f>IF(AND($A264&lt;&gt;"",$B264&lt;&gt;"",$R264='تقرير ديسمبر'!$C$4,$P264='تقرير ديسمبر'!$C$6),COUNT(Z$4:Z263)+1,"")</f>
        <v/>
      </c>
      <c r="AA264">
        <f>IF(AND($A264&lt;&gt;"",$B264&lt;&gt;"",$R264='تقرير يناير'!$C$4,$P264='تقرير يناير'!$C$6),COUNT(AA$4:AA263)+1,"")</f>
        <v/>
      </c>
      <c r="AB264">
        <f>IF(AND($A264&lt;&gt;"",$B264&lt;&gt;"",$R264='تقرير فبراير'!$C$4,$P264='تقرير فبراير'!$C$6),COUNT(AB$4:AB263)+1,"")</f>
        <v/>
      </c>
      <c r="AC264">
        <f>IF(AND($A264&lt;&gt;"",$B264&lt;&gt;"",$R264='تقرير مارس'!$C$4,$P264='تقرير مارس'!$C$6),COUNT(AC$4:AC263)+1,"")</f>
        <v/>
      </c>
      <c r="AD264">
        <f>IF(AND($A264&lt;&gt;"",$B264&lt;&gt;"",$R264='تقرير أبريل'!$C$4,$P264='تقرير أبريل'!$C$6),COUNT(AD$4:AD263)+1,"")</f>
        <v/>
      </c>
      <c r="AE264">
        <f>IF(AND($A264&lt;&gt;"",$B264&lt;&gt;"",$R264='تقرير مايو'!$C$4,$P264='تقرير مايو'!$C$6),COUNT(AE$4:AE263)+1,"")</f>
        <v/>
      </c>
    </row>
    <row r="265">
      <c r="A265" s="16" t="n"/>
      <c r="B265" s="17" t="n"/>
      <c r="C265" s="17" t="n"/>
      <c r="D265" s="18" t="n"/>
      <c r="E265" s="17" t="n"/>
      <c r="F265" s="17" t="n"/>
      <c r="G265" s="19" t="n"/>
      <c r="H265" s="17" t="n"/>
      <c r="I265" s="17" t="n"/>
      <c r="J265" s="17" t="n"/>
      <c r="K265" s="20">
        <f>IF($B265="","",IFERROR(INDEX(الموظفات!$A$5:$A$304,MATCH($B265,الموظفات!$B$5:$B$304,0))&amp;"",""))</f>
        <v/>
      </c>
      <c r="L265" s="21">
        <f>IF($B265="","",IFERROR(INDEX(الموظفات!$C$5:$C$304,MATCH($B265,الموظفات!$B$5:$B$304,0))&amp;"",""))</f>
        <v/>
      </c>
      <c r="M265" s="20">
        <f>IF($B265="","",IFERROR(INDEX(الموظفات!$D$5:$D$304,MATCH($B265,الموظفات!$B$5:$B$304,0))&amp;"",""))</f>
        <v/>
      </c>
      <c r="N265" s="20">
        <f>IF($B265="","",IFERROR(INDEX(الموظفات!$E$5:$E$304,MATCH($B265,الموظفات!$B$5:$B$304,0))&amp;"",""))</f>
        <v/>
      </c>
      <c r="O265" s="21">
        <f>IF(C265="","",IFERROR(INDEX(الإعدادات!$D$7:$D$35,MATCH(C265,الإعدادات!$A$7:$A$35,0))&amp;"",""))</f>
        <v/>
      </c>
      <c r="P265" s="20">
        <f>IF(A265="","",INDEX(الإعدادات!$H$7:$H$18,MONTH(A265)))</f>
        <v/>
      </c>
      <c r="Q265" s="20">
        <f>IF(A265="","",INDEX(الإعدادات!$I$7:$I$18,MONTH(A265)))</f>
        <v/>
      </c>
      <c r="R265" s="20">
        <f>IF(A265="","",IF(MONTH(A265)&gt;=8,YEAR(A265)&amp;"-"&amp;(YEAR(A265)+1),(YEAR(A265)-1)&amp;"-"&amp;YEAR(A265)))</f>
        <v/>
      </c>
      <c r="S265" s="20">
        <f>IF(OR(A265="",B265=""),0,IF(AND(R265=التقارير!$C$4,OR(التقارير!$C$5="سنوي",AND(التقارير!$C$5="شهري",P265=التقارير!$C$6),AND(التقارير!$C$5="فصلي",Q265=التقارير!$C$7))),1,0))</f>
        <v/>
      </c>
      <c r="T265" s="20">
        <f>IF(S265=1,COUNTIF($S$5:S265,1),"")</f>
        <v/>
      </c>
      <c r="U265">
        <f>IF(AND($A265&lt;&gt;"",$B265&lt;&gt;"",$R265='تقرير الفصل الأول'!$C$4,$Q265='تقرير الفصل الأول'!$C$7),COUNT(U$4:U264)+1,"")</f>
        <v/>
      </c>
      <c r="V265">
        <f>IF(AND($A265&lt;&gt;"",$B265&lt;&gt;"",$R265='تقرير الفصل الثاني'!$C$4,$Q265='تقرير الفصل الثاني'!$C$7),COUNT(V$4:V264)+1,"")</f>
        <v/>
      </c>
      <c r="W265">
        <f>IF(AND($A265&lt;&gt;"",$B265&lt;&gt;"",$R265='تقرير سبتمبر'!$C$4,$P265='تقرير سبتمبر'!$C$6),COUNT(W$4:W264)+1,"")</f>
        <v/>
      </c>
      <c r="X265">
        <f>IF(AND($A265&lt;&gt;"",$B265&lt;&gt;"",$R265='تقرير أكتوبر'!$C$4,$P265='تقرير أكتوبر'!$C$6),COUNT(X$4:X264)+1,"")</f>
        <v/>
      </c>
      <c r="Y265">
        <f>IF(AND($A265&lt;&gt;"",$B265&lt;&gt;"",$R265='تقرير نوفمبر'!$C$4,$P265='تقرير نوفمبر'!$C$6),COUNT(Y$4:Y264)+1,"")</f>
        <v/>
      </c>
      <c r="Z265">
        <f>IF(AND($A265&lt;&gt;"",$B265&lt;&gt;"",$R265='تقرير ديسمبر'!$C$4,$P265='تقرير ديسمبر'!$C$6),COUNT(Z$4:Z264)+1,"")</f>
        <v/>
      </c>
      <c r="AA265">
        <f>IF(AND($A265&lt;&gt;"",$B265&lt;&gt;"",$R265='تقرير يناير'!$C$4,$P265='تقرير يناير'!$C$6),COUNT(AA$4:AA264)+1,"")</f>
        <v/>
      </c>
      <c r="AB265">
        <f>IF(AND($A265&lt;&gt;"",$B265&lt;&gt;"",$R265='تقرير فبراير'!$C$4,$P265='تقرير فبراير'!$C$6),COUNT(AB$4:AB264)+1,"")</f>
        <v/>
      </c>
      <c r="AC265">
        <f>IF(AND($A265&lt;&gt;"",$B265&lt;&gt;"",$R265='تقرير مارس'!$C$4,$P265='تقرير مارس'!$C$6),COUNT(AC$4:AC264)+1,"")</f>
        <v/>
      </c>
      <c r="AD265">
        <f>IF(AND($A265&lt;&gt;"",$B265&lt;&gt;"",$R265='تقرير أبريل'!$C$4,$P265='تقرير أبريل'!$C$6),COUNT(AD$4:AD264)+1,"")</f>
        <v/>
      </c>
      <c r="AE265">
        <f>IF(AND($A265&lt;&gt;"",$B265&lt;&gt;"",$R265='تقرير مايو'!$C$4,$P265='تقرير مايو'!$C$6),COUNT(AE$4:AE264)+1,"")</f>
        <v/>
      </c>
    </row>
    <row r="266">
      <c r="A266" s="16" t="n"/>
      <c r="B266" s="17" t="n"/>
      <c r="C266" s="17" t="n"/>
      <c r="D266" s="18" t="n"/>
      <c r="E266" s="17" t="n"/>
      <c r="F266" s="17" t="n"/>
      <c r="G266" s="19" t="n"/>
      <c r="H266" s="17" t="n"/>
      <c r="I266" s="17" t="n"/>
      <c r="J266" s="17" t="n"/>
      <c r="K266" s="20">
        <f>IF($B266="","",IFERROR(INDEX(الموظفات!$A$5:$A$304,MATCH($B266,الموظفات!$B$5:$B$304,0))&amp;"",""))</f>
        <v/>
      </c>
      <c r="L266" s="21">
        <f>IF($B266="","",IFERROR(INDEX(الموظفات!$C$5:$C$304,MATCH($B266,الموظفات!$B$5:$B$304,0))&amp;"",""))</f>
        <v/>
      </c>
      <c r="M266" s="20">
        <f>IF($B266="","",IFERROR(INDEX(الموظفات!$D$5:$D$304,MATCH($B266,الموظفات!$B$5:$B$304,0))&amp;"",""))</f>
        <v/>
      </c>
      <c r="N266" s="20">
        <f>IF($B266="","",IFERROR(INDEX(الموظفات!$E$5:$E$304,MATCH($B266,الموظفات!$B$5:$B$304,0))&amp;"",""))</f>
        <v/>
      </c>
      <c r="O266" s="21">
        <f>IF(C266="","",IFERROR(INDEX(الإعدادات!$D$7:$D$35,MATCH(C266,الإعدادات!$A$7:$A$35,0))&amp;"",""))</f>
        <v/>
      </c>
      <c r="P266" s="20">
        <f>IF(A266="","",INDEX(الإعدادات!$H$7:$H$18,MONTH(A266)))</f>
        <v/>
      </c>
      <c r="Q266" s="20">
        <f>IF(A266="","",INDEX(الإعدادات!$I$7:$I$18,MONTH(A266)))</f>
        <v/>
      </c>
      <c r="R266" s="20">
        <f>IF(A266="","",IF(MONTH(A266)&gt;=8,YEAR(A266)&amp;"-"&amp;(YEAR(A266)+1),(YEAR(A266)-1)&amp;"-"&amp;YEAR(A266)))</f>
        <v/>
      </c>
      <c r="S266" s="20">
        <f>IF(OR(A266="",B266=""),0,IF(AND(R266=التقارير!$C$4,OR(التقارير!$C$5="سنوي",AND(التقارير!$C$5="شهري",P266=التقارير!$C$6),AND(التقارير!$C$5="فصلي",Q266=التقارير!$C$7))),1,0))</f>
        <v/>
      </c>
      <c r="T266" s="20">
        <f>IF(S266=1,COUNTIF($S$5:S266,1),"")</f>
        <v/>
      </c>
      <c r="U266">
        <f>IF(AND($A266&lt;&gt;"",$B266&lt;&gt;"",$R266='تقرير الفصل الأول'!$C$4,$Q266='تقرير الفصل الأول'!$C$7),COUNT(U$4:U265)+1,"")</f>
        <v/>
      </c>
      <c r="V266">
        <f>IF(AND($A266&lt;&gt;"",$B266&lt;&gt;"",$R266='تقرير الفصل الثاني'!$C$4,$Q266='تقرير الفصل الثاني'!$C$7),COUNT(V$4:V265)+1,"")</f>
        <v/>
      </c>
      <c r="W266">
        <f>IF(AND($A266&lt;&gt;"",$B266&lt;&gt;"",$R266='تقرير سبتمبر'!$C$4,$P266='تقرير سبتمبر'!$C$6),COUNT(W$4:W265)+1,"")</f>
        <v/>
      </c>
      <c r="X266">
        <f>IF(AND($A266&lt;&gt;"",$B266&lt;&gt;"",$R266='تقرير أكتوبر'!$C$4,$P266='تقرير أكتوبر'!$C$6),COUNT(X$4:X265)+1,"")</f>
        <v/>
      </c>
      <c r="Y266">
        <f>IF(AND($A266&lt;&gt;"",$B266&lt;&gt;"",$R266='تقرير نوفمبر'!$C$4,$P266='تقرير نوفمبر'!$C$6),COUNT(Y$4:Y265)+1,"")</f>
        <v/>
      </c>
      <c r="Z266">
        <f>IF(AND($A266&lt;&gt;"",$B266&lt;&gt;"",$R266='تقرير ديسمبر'!$C$4,$P266='تقرير ديسمبر'!$C$6),COUNT(Z$4:Z265)+1,"")</f>
        <v/>
      </c>
      <c r="AA266">
        <f>IF(AND($A266&lt;&gt;"",$B266&lt;&gt;"",$R266='تقرير يناير'!$C$4,$P266='تقرير يناير'!$C$6),COUNT(AA$4:AA265)+1,"")</f>
        <v/>
      </c>
      <c r="AB266">
        <f>IF(AND($A266&lt;&gt;"",$B266&lt;&gt;"",$R266='تقرير فبراير'!$C$4,$P266='تقرير فبراير'!$C$6),COUNT(AB$4:AB265)+1,"")</f>
        <v/>
      </c>
      <c r="AC266">
        <f>IF(AND($A266&lt;&gt;"",$B266&lt;&gt;"",$R266='تقرير مارس'!$C$4,$P266='تقرير مارس'!$C$6),COUNT(AC$4:AC265)+1,"")</f>
        <v/>
      </c>
      <c r="AD266">
        <f>IF(AND($A266&lt;&gt;"",$B266&lt;&gt;"",$R266='تقرير أبريل'!$C$4,$P266='تقرير أبريل'!$C$6),COUNT(AD$4:AD265)+1,"")</f>
        <v/>
      </c>
      <c r="AE266">
        <f>IF(AND($A266&lt;&gt;"",$B266&lt;&gt;"",$R266='تقرير مايو'!$C$4,$P266='تقرير مايو'!$C$6),COUNT(AE$4:AE265)+1,"")</f>
        <v/>
      </c>
    </row>
    <row r="267">
      <c r="A267" s="16" t="n"/>
      <c r="B267" s="17" t="n"/>
      <c r="C267" s="17" t="n"/>
      <c r="D267" s="18" t="n"/>
      <c r="E267" s="17" t="n"/>
      <c r="F267" s="17" t="n"/>
      <c r="G267" s="19" t="n"/>
      <c r="H267" s="17" t="n"/>
      <c r="I267" s="17" t="n"/>
      <c r="J267" s="17" t="n"/>
      <c r="K267" s="20">
        <f>IF($B267="","",IFERROR(INDEX(الموظفات!$A$5:$A$304,MATCH($B267,الموظفات!$B$5:$B$304,0))&amp;"",""))</f>
        <v/>
      </c>
      <c r="L267" s="21">
        <f>IF($B267="","",IFERROR(INDEX(الموظفات!$C$5:$C$304,MATCH($B267,الموظفات!$B$5:$B$304,0))&amp;"",""))</f>
        <v/>
      </c>
      <c r="M267" s="20">
        <f>IF($B267="","",IFERROR(INDEX(الموظفات!$D$5:$D$304,MATCH($B267,الموظفات!$B$5:$B$304,0))&amp;"",""))</f>
        <v/>
      </c>
      <c r="N267" s="20">
        <f>IF($B267="","",IFERROR(INDEX(الموظفات!$E$5:$E$304,MATCH($B267,الموظفات!$B$5:$B$304,0))&amp;"",""))</f>
        <v/>
      </c>
      <c r="O267" s="21">
        <f>IF(C267="","",IFERROR(INDEX(الإعدادات!$D$7:$D$35,MATCH(C267,الإعدادات!$A$7:$A$35,0))&amp;"",""))</f>
        <v/>
      </c>
      <c r="P267" s="20">
        <f>IF(A267="","",INDEX(الإعدادات!$H$7:$H$18,MONTH(A267)))</f>
        <v/>
      </c>
      <c r="Q267" s="20">
        <f>IF(A267="","",INDEX(الإعدادات!$I$7:$I$18,MONTH(A267)))</f>
        <v/>
      </c>
      <c r="R267" s="20">
        <f>IF(A267="","",IF(MONTH(A267)&gt;=8,YEAR(A267)&amp;"-"&amp;(YEAR(A267)+1),(YEAR(A267)-1)&amp;"-"&amp;YEAR(A267)))</f>
        <v/>
      </c>
      <c r="S267" s="20">
        <f>IF(OR(A267="",B267=""),0,IF(AND(R267=التقارير!$C$4,OR(التقارير!$C$5="سنوي",AND(التقارير!$C$5="شهري",P267=التقارير!$C$6),AND(التقارير!$C$5="فصلي",Q267=التقارير!$C$7))),1,0))</f>
        <v/>
      </c>
      <c r="T267" s="20">
        <f>IF(S267=1,COUNTIF($S$5:S267,1),"")</f>
        <v/>
      </c>
      <c r="U267">
        <f>IF(AND($A267&lt;&gt;"",$B267&lt;&gt;"",$R267='تقرير الفصل الأول'!$C$4,$Q267='تقرير الفصل الأول'!$C$7),COUNT(U$4:U266)+1,"")</f>
        <v/>
      </c>
      <c r="V267">
        <f>IF(AND($A267&lt;&gt;"",$B267&lt;&gt;"",$R267='تقرير الفصل الثاني'!$C$4,$Q267='تقرير الفصل الثاني'!$C$7),COUNT(V$4:V266)+1,"")</f>
        <v/>
      </c>
      <c r="W267">
        <f>IF(AND($A267&lt;&gt;"",$B267&lt;&gt;"",$R267='تقرير سبتمبر'!$C$4,$P267='تقرير سبتمبر'!$C$6),COUNT(W$4:W266)+1,"")</f>
        <v/>
      </c>
      <c r="X267">
        <f>IF(AND($A267&lt;&gt;"",$B267&lt;&gt;"",$R267='تقرير أكتوبر'!$C$4,$P267='تقرير أكتوبر'!$C$6),COUNT(X$4:X266)+1,"")</f>
        <v/>
      </c>
      <c r="Y267">
        <f>IF(AND($A267&lt;&gt;"",$B267&lt;&gt;"",$R267='تقرير نوفمبر'!$C$4,$P267='تقرير نوفمبر'!$C$6),COUNT(Y$4:Y266)+1,"")</f>
        <v/>
      </c>
      <c r="Z267">
        <f>IF(AND($A267&lt;&gt;"",$B267&lt;&gt;"",$R267='تقرير ديسمبر'!$C$4,$P267='تقرير ديسمبر'!$C$6),COUNT(Z$4:Z266)+1,"")</f>
        <v/>
      </c>
      <c r="AA267">
        <f>IF(AND($A267&lt;&gt;"",$B267&lt;&gt;"",$R267='تقرير يناير'!$C$4,$P267='تقرير يناير'!$C$6),COUNT(AA$4:AA266)+1,"")</f>
        <v/>
      </c>
      <c r="AB267">
        <f>IF(AND($A267&lt;&gt;"",$B267&lt;&gt;"",$R267='تقرير فبراير'!$C$4,$P267='تقرير فبراير'!$C$6),COUNT(AB$4:AB266)+1,"")</f>
        <v/>
      </c>
      <c r="AC267">
        <f>IF(AND($A267&lt;&gt;"",$B267&lt;&gt;"",$R267='تقرير مارس'!$C$4,$P267='تقرير مارس'!$C$6),COUNT(AC$4:AC266)+1,"")</f>
        <v/>
      </c>
      <c r="AD267">
        <f>IF(AND($A267&lt;&gt;"",$B267&lt;&gt;"",$R267='تقرير أبريل'!$C$4,$P267='تقرير أبريل'!$C$6),COUNT(AD$4:AD266)+1,"")</f>
        <v/>
      </c>
      <c r="AE267">
        <f>IF(AND($A267&lt;&gt;"",$B267&lt;&gt;"",$R267='تقرير مايو'!$C$4,$P267='تقرير مايو'!$C$6),COUNT(AE$4:AE266)+1,"")</f>
        <v/>
      </c>
    </row>
    <row r="268">
      <c r="A268" s="16" t="n"/>
      <c r="B268" s="17" t="n"/>
      <c r="C268" s="17" t="n"/>
      <c r="D268" s="18" t="n"/>
      <c r="E268" s="17" t="n"/>
      <c r="F268" s="17" t="n"/>
      <c r="G268" s="19" t="n"/>
      <c r="H268" s="17" t="n"/>
      <c r="I268" s="17" t="n"/>
      <c r="J268" s="17" t="n"/>
      <c r="K268" s="20">
        <f>IF($B268="","",IFERROR(INDEX(الموظفات!$A$5:$A$304,MATCH($B268,الموظفات!$B$5:$B$304,0))&amp;"",""))</f>
        <v/>
      </c>
      <c r="L268" s="21">
        <f>IF($B268="","",IFERROR(INDEX(الموظفات!$C$5:$C$304,MATCH($B268,الموظفات!$B$5:$B$304,0))&amp;"",""))</f>
        <v/>
      </c>
      <c r="M268" s="20">
        <f>IF($B268="","",IFERROR(INDEX(الموظفات!$D$5:$D$304,MATCH($B268,الموظفات!$B$5:$B$304,0))&amp;"",""))</f>
        <v/>
      </c>
      <c r="N268" s="20">
        <f>IF($B268="","",IFERROR(INDEX(الموظفات!$E$5:$E$304,MATCH($B268,الموظفات!$B$5:$B$304,0))&amp;"",""))</f>
        <v/>
      </c>
      <c r="O268" s="21">
        <f>IF(C268="","",IFERROR(INDEX(الإعدادات!$D$7:$D$35,MATCH(C268,الإعدادات!$A$7:$A$35,0))&amp;"",""))</f>
        <v/>
      </c>
      <c r="P268" s="20">
        <f>IF(A268="","",INDEX(الإعدادات!$H$7:$H$18,MONTH(A268)))</f>
        <v/>
      </c>
      <c r="Q268" s="20">
        <f>IF(A268="","",INDEX(الإعدادات!$I$7:$I$18,MONTH(A268)))</f>
        <v/>
      </c>
      <c r="R268" s="20">
        <f>IF(A268="","",IF(MONTH(A268)&gt;=8,YEAR(A268)&amp;"-"&amp;(YEAR(A268)+1),(YEAR(A268)-1)&amp;"-"&amp;YEAR(A268)))</f>
        <v/>
      </c>
      <c r="S268" s="20">
        <f>IF(OR(A268="",B268=""),0,IF(AND(R268=التقارير!$C$4,OR(التقارير!$C$5="سنوي",AND(التقارير!$C$5="شهري",P268=التقارير!$C$6),AND(التقارير!$C$5="فصلي",Q268=التقارير!$C$7))),1,0))</f>
        <v/>
      </c>
      <c r="T268" s="20">
        <f>IF(S268=1,COUNTIF($S$5:S268,1),"")</f>
        <v/>
      </c>
      <c r="U268">
        <f>IF(AND($A268&lt;&gt;"",$B268&lt;&gt;"",$R268='تقرير الفصل الأول'!$C$4,$Q268='تقرير الفصل الأول'!$C$7),COUNT(U$4:U267)+1,"")</f>
        <v/>
      </c>
      <c r="V268">
        <f>IF(AND($A268&lt;&gt;"",$B268&lt;&gt;"",$R268='تقرير الفصل الثاني'!$C$4,$Q268='تقرير الفصل الثاني'!$C$7),COUNT(V$4:V267)+1,"")</f>
        <v/>
      </c>
      <c r="W268">
        <f>IF(AND($A268&lt;&gt;"",$B268&lt;&gt;"",$R268='تقرير سبتمبر'!$C$4,$P268='تقرير سبتمبر'!$C$6),COUNT(W$4:W267)+1,"")</f>
        <v/>
      </c>
      <c r="X268">
        <f>IF(AND($A268&lt;&gt;"",$B268&lt;&gt;"",$R268='تقرير أكتوبر'!$C$4,$P268='تقرير أكتوبر'!$C$6),COUNT(X$4:X267)+1,"")</f>
        <v/>
      </c>
      <c r="Y268">
        <f>IF(AND($A268&lt;&gt;"",$B268&lt;&gt;"",$R268='تقرير نوفمبر'!$C$4,$P268='تقرير نوفمبر'!$C$6),COUNT(Y$4:Y267)+1,"")</f>
        <v/>
      </c>
      <c r="Z268">
        <f>IF(AND($A268&lt;&gt;"",$B268&lt;&gt;"",$R268='تقرير ديسمبر'!$C$4,$P268='تقرير ديسمبر'!$C$6),COUNT(Z$4:Z267)+1,"")</f>
        <v/>
      </c>
      <c r="AA268">
        <f>IF(AND($A268&lt;&gt;"",$B268&lt;&gt;"",$R268='تقرير يناير'!$C$4,$P268='تقرير يناير'!$C$6),COUNT(AA$4:AA267)+1,"")</f>
        <v/>
      </c>
      <c r="AB268">
        <f>IF(AND($A268&lt;&gt;"",$B268&lt;&gt;"",$R268='تقرير فبراير'!$C$4,$P268='تقرير فبراير'!$C$6),COUNT(AB$4:AB267)+1,"")</f>
        <v/>
      </c>
      <c r="AC268">
        <f>IF(AND($A268&lt;&gt;"",$B268&lt;&gt;"",$R268='تقرير مارس'!$C$4,$P268='تقرير مارس'!$C$6),COUNT(AC$4:AC267)+1,"")</f>
        <v/>
      </c>
      <c r="AD268">
        <f>IF(AND($A268&lt;&gt;"",$B268&lt;&gt;"",$R268='تقرير أبريل'!$C$4,$P268='تقرير أبريل'!$C$6),COUNT(AD$4:AD267)+1,"")</f>
        <v/>
      </c>
      <c r="AE268">
        <f>IF(AND($A268&lt;&gt;"",$B268&lt;&gt;"",$R268='تقرير مايو'!$C$4,$P268='تقرير مايو'!$C$6),COUNT(AE$4:AE267)+1,"")</f>
        <v/>
      </c>
    </row>
    <row r="269">
      <c r="A269" s="16" t="n"/>
      <c r="B269" s="17" t="n"/>
      <c r="C269" s="17" t="n"/>
      <c r="D269" s="18" t="n"/>
      <c r="E269" s="17" t="n"/>
      <c r="F269" s="17" t="n"/>
      <c r="G269" s="19" t="n"/>
      <c r="H269" s="17" t="n"/>
      <c r="I269" s="17" t="n"/>
      <c r="J269" s="17" t="n"/>
      <c r="K269" s="20">
        <f>IF($B269="","",IFERROR(INDEX(الموظفات!$A$5:$A$304,MATCH($B269,الموظفات!$B$5:$B$304,0))&amp;"",""))</f>
        <v/>
      </c>
      <c r="L269" s="21">
        <f>IF($B269="","",IFERROR(INDEX(الموظفات!$C$5:$C$304,MATCH($B269,الموظفات!$B$5:$B$304,0))&amp;"",""))</f>
        <v/>
      </c>
      <c r="M269" s="20">
        <f>IF($B269="","",IFERROR(INDEX(الموظفات!$D$5:$D$304,MATCH($B269,الموظفات!$B$5:$B$304,0))&amp;"",""))</f>
        <v/>
      </c>
      <c r="N269" s="20">
        <f>IF($B269="","",IFERROR(INDEX(الموظفات!$E$5:$E$304,MATCH($B269,الموظفات!$B$5:$B$304,0))&amp;"",""))</f>
        <v/>
      </c>
      <c r="O269" s="21">
        <f>IF(C269="","",IFERROR(INDEX(الإعدادات!$D$7:$D$35,MATCH(C269,الإعدادات!$A$7:$A$35,0))&amp;"",""))</f>
        <v/>
      </c>
      <c r="P269" s="20">
        <f>IF(A269="","",INDEX(الإعدادات!$H$7:$H$18,MONTH(A269)))</f>
        <v/>
      </c>
      <c r="Q269" s="20">
        <f>IF(A269="","",INDEX(الإعدادات!$I$7:$I$18,MONTH(A269)))</f>
        <v/>
      </c>
      <c r="R269" s="20">
        <f>IF(A269="","",IF(MONTH(A269)&gt;=8,YEAR(A269)&amp;"-"&amp;(YEAR(A269)+1),(YEAR(A269)-1)&amp;"-"&amp;YEAR(A269)))</f>
        <v/>
      </c>
      <c r="S269" s="20">
        <f>IF(OR(A269="",B269=""),0,IF(AND(R269=التقارير!$C$4,OR(التقارير!$C$5="سنوي",AND(التقارير!$C$5="شهري",P269=التقارير!$C$6),AND(التقارير!$C$5="فصلي",Q269=التقارير!$C$7))),1,0))</f>
        <v/>
      </c>
      <c r="T269" s="20">
        <f>IF(S269=1,COUNTIF($S$5:S269,1),"")</f>
        <v/>
      </c>
      <c r="U269">
        <f>IF(AND($A269&lt;&gt;"",$B269&lt;&gt;"",$R269='تقرير الفصل الأول'!$C$4,$Q269='تقرير الفصل الأول'!$C$7),COUNT(U$4:U268)+1,"")</f>
        <v/>
      </c>
      <c r="V269">
        <f>IF(AND($A269&lt;&gt;"",$B269&lt;&gt;"",$R269='تقرير الفصل الثاني'!$C$4,$Q269='تقرير الفصل الثاني'!$C$7),COUNT(V$4:V268)+1,"")</f>
        <v/>
      </c>
      <c r="W269">
        <f>IF(AND($A269&lt;&gt;"",$B269&lt;&gt;"",$R269='تقرير سبتمبر'!$C$4,$P269='تقرير سبتمبر'!$C$6),COUNT(W$4:W268)+1,"")</f>
        <v/>
      </c>
      <c r="X269">
        <f>IF(AND($A269&lt;&gt;"",$B269&lt;&gt;"",$R269='تقرير أكتوبر'!$C$4,$P269='تقرير أكتوبر'!$C$6),COUNT(X$4:X268)+1,"")</f>
        <v/>
      </c>
      <c r="Y269">
        <f>IF(AND($A269&lt;&gt;"",$B269&lt;&gt;"",$R269='تقرير نوفمبر'!$C$4,$P269='تقرير نوفمبر'!$C$6),COUNT(Y$4:Y268)+1,"")</f>
        <v/>
      </c>
      <c r="Z269">
        <f>IF(AND($A269&lt;&gt;"",$B269&lt;&gt;"",$R269='تقرير ديسمبر'!$C$4,$P269='تقرير ديسمبر'!$C$6),COUNT(Z$4:Z268)+1,"")</f>
        <v/>
      </c>
      <c r="AA269">
        <f>IF(AND($A269&lt;&gt;"",$B269&lt;&gt;"",$R269='تقرير يناير'!$C$4,$P269='تقرير يناير'!$C$6),COUNT(AA$4:AA268)+1,"")</f>
        <v/>
      </c>
      <c r="AB269">
        <f>IF(AND($A269&lt;&gt;"",$B269&lt;&gt;"",$R269='تقرير فبراير'!$C$4,$P269='تقرير فبراير'!$C$6),COUNT(AB$4:AB268)+1,"")</f>
        <v/>
      </c>
      <c r="AC269">
        <f>IF(AND($A269&lt;&gt;"",$B269&lt;&gt;"",$R269='تقرير مارس'!$C$4,$P269='تقرير مارس'!$C$6),COUNT(AC$4:AC268)+1,"")</f>
        <v/>
      </c>
      <c r="AD269">
        <f>IF(AND($A269&lt;&gt;"",$B269&lt;&gt;"",$R269='تقرير أبريل'!$C$4,$P269='تقرير أبريل'!$C$6),COUNT(AD$4:AD268)+1,"")</f>
        <v/>
      </c>
      <c r="AE269">
        <f>IF(AND($A269&lt;&gt;"",$B269&lt;&gt;"",$R269='تقرير مايو'!$C$4,$P269='تقرير مايو'!$C$6),COUNT(AE$4:AE268)+1,"")</f>
        <v/>
      </c>
    </row>
    <row r="270">
      <c r="A270" s="16" t="n"/>
      <c r="B270" s="17" t="n"/>
      <c r="C270" s="17" t="n"/>
      <c r="D270" s="18" t="n"/>
      <c r="E270" s="17" t="n"/>
      <c r="F270" s="17" t="n"/>
      <c r="G270" s="19" t="n"/>
      <c r="H270" s="17" t="n"/>
      <c r="I270" s="17" t="n"/>
      <c r="J270" s="17" t="n"/>
      <c r="K270" s="20">
        <f>IF($B270="","",IFERROR(INDEX(الموظفات!$A$5:$A$304,MATCH($B270,الموظفات!$B$5:$B$304,0))&amp;"",""))</f>
        <v/>
      </c>
      <c r="L270" s="21">
        <f>IF($B270="","",IFERROR(INDEX(الموظفات!$C$5:$C$304,MATCH($B270,الموظفات!$B$5:$B$304,0))&amp;"",""))</f>
        <v/>
      </c>
      <c r="M270" s="20">
        <f>IF($B270="","",IFERROR(INDEX(الموظفات!$D$5:$D$304,MATCH($B270,الموظفات!$B$5:$B$304,0))&amp;"",""))</f>
        <v/>
      </c>
      <c r="N270" s="20">
        <f>IF($B270="","",IFERROR(INDEX(الموظفات!$E$5:$E$304,MATCH($B270,الموظفات!$B$5:$B$304,0))&amp;"",""))</f>
        <v/>
      </c>
      <c r="O270" s="21">
        <f>IF(C270="","",IFERROR(INDEX(الإعدادات!$D$7:$D$35,MATCH(C270,الإعدادات!$A$7:$A$35,0))&amp;"",""))</f>
        <v/>
      </c>
      <c r="P270" s="20">
        <f>IF(A270="","",INDEX(الإعدادات!$H$7:$H$18,MONTH(A270)))</f>
        <v/>
      </c>
      <c r="Q270" s="20">
        <f>IF(A270="","",INDEX(الإعدادات!$I$7:$I$18,MONTH(A270)))</f>
        <v/>
      </c>
      <c r="R270" s="20">
        <f>IF(A270="","",IF(MONTH(A270)&gt;=8,YEAR(A270)&amp;"-"&amp;(YEAR(A270)+1),(YEAR(A270)-1)&amp;"-"&amp;YEAR(A270)))</f>
        <v/>
      </c>
      <c r="S270" s="20">
        <f>IF(OR(A270="",B270=""),0,IF(AND(R270=التقارير!$C$4,OR(التقارير!$C$5="سنوي",AND(التقارير!$C$5="شهري",P270=التقارير!$C$6),AND(التقارير!$C$5="فصلي",Q270=التقارير!$C$7))),1,0))</f>
        <v/>
      </c>
      <c r="T270" s="20">
        <f>IF(S270=1,COUNTIF($S$5:S270,1),"")</f>
        <v/>
      </c>
      <c r="U270">
        <f>IF(AND($A270&lt;&gt;"",$B270&lt;&gt;"",$R270='تقرير الفصل الأول'!$C$4,$Q270='تقرير الفصل الأول'!$C$7),COUNT(U$4:U269)+1,"")</f>
        <v/>
      </c>
      <c r="V270">
        <f>IF(AND($A270&lt;&gt;"",$B270&lt;&gt;"",$R270='تقرير الفصل الثاني'!$C$4,$Q270='تقرير الفصل الثاني'!$C$7),COUNT(V$4:V269)+1,"")</f>
        <v/>
      </c>
      <c r="W270">
        <f>IF(AND($A270&lt;&gt;"",$B270&lt;&gt;"",$R270='تقرير سبتمبر'!$C$4,$P270='تقرير سبتمبر'!$C$6),COUNT(W$4:W269)+1,"")</f>
        <v/>
      </c>
      <c r="X270">
        <f>IF(AND($A270&lt;&gt;"",$B270&lt;&gt;"",$R270='تقرير أكتوبر'!$C$4,$P270='تقرير أكتوبر'!$C$6),COUNT(X$4:X269)+1,"")</f>
        <v/>
      </c>
      <c r="Y270">
        <f>IF(AND($A270&lt;&gt;"",$B270&lt;&gt;"",$R270='تقرير نوفمبر'!$C$4,$P270='تقرير نوفمبر'!$C$6),COUNT(Y$4:Y269)+1,"")</f>
        <v/>
      </c>
      <c r="Z270">
        <f>IF(AND($A270&lt;&gt;"",$B270&lt;&gt;"",$R270='تقرير ديسمبر'!$C$4,$P270='تقرير ديسمبر'!$C$6),COUNT(Z$4:Z269)+1,"")</f>
        <v/>
      </c>
      <c r="AA270">
        <f>IF(AND($A270&lt;&gt;"",$B270&lt;&gt;"",$R270='تقرير يناير'!$C$4,$P270='تقرير يناير'!$C$6),COUNT(AA$4:AA269)+1,"")</f>
        <v/>
      </c>
      <c r="AB270">
        <f>IF(AND($A270&lt;&gt;"",$B270&lt;&gt;"",$R270='تقرير فبراير'!$C$4,$P270='تقرير فبراير'!$C$6),COUNT(AB$4:AB269)+1,"")</f>
        <v/>
      </c>
      <c r="AC270">
        <f>IF(AND($A270&lt;&gt;"",$B270&lt;&gt;"",$R270='تقرير مارس'!$C$4,$P270='تقرير مارس'!$C$6),COUNT(AC$4:AC269)+1,"")</f>
        <v/>
      </c>
      <c r="AD270">
        <f>IF(AND($A270&lt;&gt;"",$B270&lt;&gt;"",$R270='تقرير أبريل'!$C$4,$P270='تقرير أبريل'!$C$6),COUNT(AD$4:AD269)+1,"")</f>
        <v/>
      </c>
      <c r="AE270">
        <f>IF(AND($A270&lt;&gt;"",$B270&lt;&gt;"",$R270='تقرير مايو'!$C$4,$P270='تقرير مايو'!$C$6),COUNT(AE$4:AE269)+1,"")</f>
        <v/>
      </c>
    </row>
    <row r="271">
      <c r="A271" s="16" t="n"/>
      <c r="B271" s="17" t="n"/>
      <c r="C271" s="17" t="n"/>
      <c r="D271" s="18" t="n"/>
      <c r="E271" s="17" t="n"/>
      <c r="F271" s="17" t="n"/>
      <c r="G271" s="19" t="n"/>
      <c r="H271" s="17" t="n"/>
      <c r="I271" s="17" t="n"/>
      <c r="J271" s="17" t="n"/>
      <c r="K271" s="20">
        <f>IF($B271="","",IFERROR(INDEX(الموظفات!$A$5:$A$304,MATCH($B271,الموظفات!$B$5:$B$304,0))&amp;"",""))</f>
        <v/>
      </c>
      <c r="L271" s="21">
        <f>IF($B271="","",IFERROR(INDEX(الموظفات!$C$5:$C$304,MATCH($B271,الموظفات!$B$5:$B$304,0))&amp;"",""))</f>
        <v/>
      </c>
      <c r="M271" s="20">
        <f>IF($B271="","",IFERROR(INDEX(الموظفات!$D$5:$D$304,MATCH($B271,الموظفات!$B$5:$B$304,0))&amp;"",""))</f>
        <v/>
      </c>
      <c r="N271" s="20">
        <f>IF($B271="","",IFERROR(INDEX(الموظفات!$E$5:$E$304,MATCH($B271,الموظفات!$B$5:$B$304,0))&amp;"",""))</f>
        <v/>
      </c>
      <c r="O271" s="21">
        <f>IF(C271="","",IFERROR(INDEX(الإعدادات!$D$7:$D$35,MATCH(C271,الإعدادات!$A$7:$A$35,0))&amp;"",""))</f>
        <v/>
      </c>
      <c r="P271" s="20">
        <f>IF(A271="","",INDEX(الإعدادات!$H$7:$H$18,MONTH(A271)))</f>
        <v/>
      </c>
      <c r="Q271" s="20">
        <f>IF(A271="","",INDEX(الإعدادات!$I$7:$I$18,MONTH(A271)))</f>
        <v/>
      </c>
      <c r="R271" s="20">
        <f>IF(A271="","",IF(MONTH(A271)&gt;=8,YEAR(A271)&amp;"-"&amp;(YEAR(A271)+1),(YEAR(A271)-1)&amp;"-"&amp;YEAR(A271)))</f>
        <v/>
      </c>
      <c r="S271" s="20">
        <f>IF(OR(A271="",B271=""),0,IF(AND(R271=التقارير!$C$4,OR(التقارير!$C$5="سنوي",AND(التقارير!$C$5="شهري",P271=التقارير!$C$6),AND(التقارير!$C$5="فصلي",Q271=التقارير!$C$7))),1,0))</f>
        <v/>
      </c>
      <c r="T271" s="20">
        <f>IF(S271=1,COUNTIF($S$5:S271,1),"")</f>
        <v/>
      </c>
      <c r="U271">
        <f>IF(AND($A271&lt;&gt;"",$B271&lt;&gt;"",$R271='تقرير الفصل الأول'!$C$4,$Q271='تقرير الفصل الأول'!$C$7),COUNT(U$4:U270)+1,"")</f>
        <v/>
      </c>
      <c r="V271">
        <f>IF(AND($A271&lt;&gt;"",$B271&lt;&gt;"",$R271='تقرير الفصل الثاني'!$C$4,$Q271='تقرير الفصل الثاني'!$C$7),COUNT(V$4:V270)+1,"")</f>
        <v/>
      </c>
      <c r="W271">
        <f>IF(AND($A271&lt;&gt;"",$B271&lt;&gt;"",$R271='تقرير سبتمبر'!$C$4,$P271='تقرير سبتمبر'!$C$6),COUNT(W$4:W270)+1,"")</f>
        <v/>
      </c>
      <c r="X271">
        <f>IF(AND($A271&lt;&gt;"",$B271&lt;&gt;"",$R271='تقرير أكتوبر'!$C$4,$P271='تقرير أكتوبر'!$C$6),COUNT(X$4:X270)+1,"")</f>
        <v/>
      </c>
      <c r="Y271">
        <f>IF(AND($A271&lt;&gt;"",$B271&lt;&gt;"",$R271='تقرير نوفمبر'!$C$4,$P271='تقرير نوفمبر'!$C$6),COUNT(Y$4:Y270)+1,"")</f>
        <v/>
      </c>
      <c r="Z271">
        <f>IF(AND($A271&lt;&gt;"",$B271&lt;&gt;"",$R271='تقرير ديسمبر'!$C$4,$P271='تقرير ديسمبر'!$C$6),COUNT(Z$4:Z270)+1,"")</f>
        <v/>
      </c>
      <c r="AA271">
        <f>IF(AND($A271&lt;&gt;"",$B271&lt;&gt;"",$R271='تقرير يناير'!$C$4,$P271='تقرير يناير'!$C$6),COUNT(AA$4:AA270)+1,"")</f>
        <v/>
      </c>
      <c r="AB271">
        <f>IF(AND($A271&lt;&gt;"",$B271&lt;&gt;"",$R271='تقرير فبراير'!$C$4,$P271='تقرير فبراير'!$C$6),COUNT(AB$4:AB270)+1,"")</f>
        <v/>
      </c>
      <c r="AC271">
        <f>IF(AND($A271&lt;&gt;"",$B271&lt;&gt;"",$R271='تقرير مارس'!$C$4,$P271='تقرير مارس'!$C$6),COUNT(AC$4:AC270)+1,"")</f>
        <v/>
      </c>
      <c r="AD271">
        <f>IF(AND($A271&lt;&gt;"",$B271&lt;&gt;"",$R271='تقرير أبريل'!$C$4,$P271='تقرير أبريل'!$C$6),COUNT(AD$4:AD270)+1,"")</f>
        <v/>
      </c>
      <c r="AE271">
        <f>IF(AND($A271&lt;&gt;"",$B271&lt;&gt;"",$R271='تقرير مايو'!$C$4,$P271='تقرير مايو'!$C$6),COUNT(AE$4:AE270)+1,"")</f>
        <v/>
      </c>
    </row>
    <row r="272">
      <c r="A272" s="16" t="n"/>
      <c r="B272" s="17" t="n"/>
      <c r="C272" s="17" t="n"/>
      <c r="D272" s="18" t="n"/>
      <c r="E272" s="17" t="n"/>
      <c r="F272" s="17" t="n"/>
      <c r="G272" s="19" t="n"/>
      <c r="H272" s="17" t="n"/>
      <c r="I272" s="17" t="n"/>
      <c r="J272" s="17" t="n"/>
      <c r="K272" s="20">
        <f>IF($B272="","",IFERROR(INDEX(الموظفات!$A$5:$A$304,MATCH($B272,الموظفات!$B$5:$B$304,0))&amp;"",""))</f>
        <v/>
      </c>
      <c r="L272" s="21">
        <f>IF($B272="","",IFERROR(INDEX(الموظفات!$C$5:$C$304,MATCH($B272,الموظفات!$B$5:$B$304,0))&amp;"",""))</f>
        <v/>
      </c>
      <c r="M272" s="20">
        <f>IF($B272="","",IFERROR(INDEX(الموظفات!$D$5:$D$304,MATCH($B272,الموظفات!$B$5:$B$304,0))&amp;"",""))</f>
        <v/>
      </c>
      <c r="N272" s="20">
        <f>IF($B272="","",IFERROR(INDEX(الموظفات!$E$5:$E$304,MATCH($B272,الموظفات!$B$5:$B$304,0))&amp;"",""))</f>
        <v/>
      </c>
      <c r="O272" s="21">
        <f>IF(C272="","",IFERROR(INDEX(الإعدادات!$D$7:$D$35,MATCH(C272,الإعدادات!$A$7:$A$35,0))&amp;"",""))</f>
        <v/>
      </c>
      <c r="P272" s="20">
        <f>IF(A272="","",INDEX(الإعدادات!$H$7:$H$18,MONTH(A272)))</f>
        <v/>
      </c>
      <c r="Q272" s="20">
        <f>IF(A272="","",INDEX(الإعدادات!$I$7:$I$18,MONTH(A272)))</f>
        <v/>
      </c>
      <c r="R272" s="20">
        <f>IF(A272="","",IF(MONTH(A272)&gt;=8,YEAR(A272)&amp;"-"&amp;(YEAR(A272)+1),(YEAR(A272)-1)&amp;"-"&amp;YEAR(A272)))</f>
        <v/>
      </c>
      <c r="S272" s="20">
        <f>IF(OR(A272="",B272=""),0,IF(AND(R272=التقارير!$C$4,OR(التقارير!$C$5="سنوي",AND(التقارير!$C$5="شهري",P272=التقارير!$C$6),AND(التقارير!$C$5="فصلي",Q272=التقارير!$C$7))),1,0))</f>
        <v/>
      </c>
      <c r="T272" s="20">
        <f>IF(S272=1,COUNTIF($S$5:S272,1),"")</f>
        <v/>
      </c>
      <c r="U272">
        <f>IF(AND($A272&lt;&gt;"",$B272&lt;&gt;"",$R272='تقرير الفصل الأول'!$C$4,$Q272='تقرير الفصل الأول'!$C$7),COUNT(U$4:U271)+1,"")</f>
        <v/>
      </c>
      <c r="V272">
        <f>IF(AND($A272&lt;&gt;"",$B272&lt;&gt;"",$R272='تقرير الفصل الثاني'!$C$4,$Q272='تقرير الفصل الثاني'!$C$7),COUNT(V$4:V271)+1,"")</f>
        <v/>
      </c>
      <c r="W272">
        <f>IF(AND($A272&lt;&gt;"",$B272&lt;&gt;"",$R272='تقرير سبتمبر'!$C$4,$P272='تقرير سبتمبر'!$C$6),COUNT(W$4:W271)+1,"")</f>
        <v/>
      </c>
      <c r="X272">
        <f>IF(AND($A272&lt;&gt;"",$B272&lt;&gt;"",$R272='تقرير أكتوبر'!$C$4,$P272='تقرير أكتوبر'!$C$6),COUNT(X$4:X271)+1,"")</f>
        <v/>
      </c>
      <c r="Y272">
        <f>IF(AND($A272&lt;&gt;"",$B272&lt;&gt;"",$R272='تقرير نوفمبر'!$C$4,$P272='تقرير نوفمبر'!$C$6),COUNT(Y$4:Y271)+1,"")</f>
        <v/>
      </c>
      <c r="Z272">
        <f>IF(AND($A272&lt;&gt;"",$B272&lt;&gt;"",$R272='تقرير ديسمبر'!$C$4,$P272='تقرير ديسمبر'!$C$6),COUNT(Z$4:Z271)+1,"")</f>
        <v/>
      </c>
      <c r="AA272">
        <f>IF(AND($A272&lt;&gt;"",$B272&lt;&gt;"",$R272='تقرير يناير'!$C$4,$P272='تقرير يناير'!$C$6),COUNT(AA$4:AA271)+1,"")</f>
        <v/>
      </c>
      <c r="AB272">
        <f>IF(AND($A272&lt;&gt;"",$B272&lt;&gt;"",$R272='تقرير فبراير'!$C$4,$P272='تقرير فبراير'!$C$6),COUNT(AB$4:AB271)+1,"")</f>
        <v/>
      </c>
      <c r="AC272">
        <f>IF(AND($A272&lt;&gt;"",$B272&lt;&gt;"",$R272='تقرير مارس'!$C$4,$P272='تقرير مارس'!$C$6),COUNT(AC$4:AC271)+1,"")</f>
        <v/>
      </c>
      <c r="AD272">
        <f>IF(AND($A272&lt;&gt;"",$B272&lt;&gt;"",$R272='تقرير أبريل'!$C$4,$P272='تقرير أبريل'!$C$6),COUNT(AD$4:AD271)+1,"")</f>
        <v/>
      </c>
      <c r="AE272">
        <f>IF(AND($A272&lt;&gt;"",$B272&lt;&gt;"",$R272='تقرير مايو'!$C$4,$P272='تقرير مايو'!$C$6),COUNT(AE$4:AE271)+1,"")</f>
        <v/>
      </c>
    </row>
    <row r="273">
      <c r="A273" s="16" t="n"/>
      <c r="B273" s="17" t="n"/>
      <c r="C273" s="17" t="n"/>
      <c r="D273" s="18" t="n"/>
      <c r="E273" s="17" t="n"/>
      <c r="F273" s="17" t="n"/>
      <c r="G273" s="19" t="n"/>
      <c r="H273" s="17" t="n"/>
      <c r="I273" s="17" t="n"/>
      <c r="J273" s="17" t="n"/>
      <c r="K273" s="20">
        <f>IF($B273="","",IFERROR(INDEX(الموظفات!$A$5:$A$304,MATCH($B273,الموظفات!$B$5:$B$304,0))&amp;"",""))</f>
        <v/>
      </c>
      <c r="L273" s="21">
        <f>IF($B273="","",IFERROR(INDEX(الموظفات!$C$5:$C$304,MATCH($B273,الموظفات!$B$5:$B$304,0))&amp;"",""))</f>
        <v/>
      </c>
      <c r="M273" s="20">
        <f>IF($B273="","",IFERROR(INDEX(الموظفات!$D$5:$D$304,MATCH($B273,الموظفات!$B$5:$B$304,0))&amp;"",""))</f>
        <v/>
      </c>
      <c r="N273" s="20">
        <f>IF($B273="","",IFERROR(INDEX(الموظفات!$E$5:$E$304,MATCH($B273,الموظفات!$B$5:$B$304,0))&amp;"",""))</f>
        <v/>
      </c>
      <c r="O273" s="21">
        <f>IF(C273="","",IFERROR(INDEX(الإعدادات!$D$7:$D$35,MATCH(C273,الإعدادات!$A$7:$A$35,0))&amp;"",""))</f>
        <v/>
      </c>
      <c r="P273" s="20">
        <f>IF(A273="","",INDEX(الإعدادات!$H$7:$H$18,MONTH(A273)))</f>
        <v/>
      </c>
      <c r="Q273" s="20">
        <f>IF(A273="","",INDEX(الإعدادات!$I$7:$I$18,MONTH(A273)))</f>
        <v/>
      </c>
      <c r="R273" s="20">
        <f>IF(A273="","",IF(MONTH(A273)&gt;=8,YEAR(A273)&amp;"-"&amp;(YEAR(A273)+1),(YEAR(A273)-1)&amp;"-"&amp;YEAR(A273)))</f>
        <v/>
      </c>
      <c r="S273" s="20">
        <f>IF(OR(A273="",B273=""),0,IF(AND(R273=التقارير!$C$4,OR(التقارير!$C$5="سنوي",AND(التقارير!$C$5="شهري",P273=التقارير!$C$6),AND(التقارير!$C$5="فصلي",Q273=التقارير!$C$7))),1,0))</f>
        <v/>
      </c>
      <c r="T273" s="20">
        <f>IF(S273=1,COUNTIF($S$5:S273,1),"")</f>
        <v/>
      </c>
      <c r="U273">
        <f>IF(AND($A273&lt;&gt;"",$B273&lt;&gt;"",$R273='تقرير الفصل الأول'!$C$4,$Q273='تقرير الفصل الأول'!$C$7),COUNT(U$4:U272)+1,"")</f>
        <v/>
      </c>
      <c r="V273">
        <f>IF(AND($A273&lt;&gt;"",$B273&lt;&gt;"",$R273='تقرير الفصل الثاني'!$C$4,$Q273='تقرير الفصل الثاني'!$C$7),COUNT(V$4:V272)+1,"")</f>
        <v/>
      </c>
      <c r="W273">
        <f>IF(AND($A273&lt;&gt;"",$B273&lt;&gt;"",$R273='تقرير سبتمبر'!$C$4,$P273='تقرير سبتمبر'!$C$6),COUNT(W$4:W272)+1,"")</f>
        <v/>
      </c>
      <c r="X273">
        <f>IF(AND($A273&lt;&gt;"",$B273&lt;&gt;"",$R273='تقرير أكتوبر'!$C$4,$P273='تقرير أكتوبر'!$C$6),COUNT(X$4:X272)+1,"")</f>
        <v/>
      </c>
      <c r="Y273">
        <f>IF(AND($A273&lt;&gt;"",$B273&lt;&gt;"",$R273='تقرير نوفمبر'!$C$4,$P273='تقرير نوفمبر'!$C$6),COUNT(Y$4:Y272)+1,"")</f>
        <v/>
      </c>
      <c r="Z273">
        <f>IF(AND($A273&lt;&gt;"",$B273&lt;&gt;"",$R273='تقرير ديسمبر'!$C$4,$P273='تقرير ديسمبر'!$C$6),COUNT(Z$4:Z272)+1,"")</f>
        <v/>
      </c>
      <c r="AA273">
        <f>IF(AND($A273&lt;&gt;"",$B273&lt;&gt;"",$R273='تقرير يناير'!$C$4,$P273='تقرير يناير'!$C$6),COUNT(AA$4:AA272)+1,"")</f>
        <v/>
      </c>
      <c r="AB273">
        <f>IF(AND($A273&lt;&gt;"",$B273&lt;&gt;"",$R273='تقرير فبراير'!$C$4,$P273='تقرير فبراير'!$C$6),COUNT(AB$4:AB272)+1,"")</f>
        <v/>
      </c>
      <c r="AC273">
        <f>IF(AND($A273&lt;&gt;"",$B273&lt;&gt;"",$R273='تقرير مارس'!$C$4,$P273='تقرير مارس'!$C$6),COUNT(AC$4:AC272)+1,"")</f>
        <v/>
      </c>
      <c r="AD273">
        <f>IF(AND($A273&lt;&gt;"",$B273&lt;&gt;"",$R273='تقرير أبريل'!$C$4,$P273='تقرير أبريل'!$C$6),COUNT(AD$4:AD272)+1,"")</f>
        <v/>
      </c>
      <c r="AE273">
        <f>IF(AND($A273&lt;&gt;"",$B273&lt;&gt;"",$R273='تقرير مايو'!$C$4,$P273='تقرير مايو'!$C$6),COUNT(AE$4:AE272)+1,"")</f>
        <v/>
      </c>
    </row>
    <row r="274">
      <c r="A274" s="16" t="n"/>
      <c r="B274" s="17" t="n"/>
      <c r="C274" s="17" t="n"/>
      <c r="D274" s="18" t="n"/>
      <c r="E274" s="17" t="n"/>
      <c r="F274" s="17" t="n"/>
      <c r="G274" s="19" t="n"/>
      <c r="H274" s="17" t="n"/>
      <c r="I274" s="17" t="n"/>
      <c r="J274" s="17" t="n"/>
      <c r="K274" s="20">
        <f>IF($B274="","",IFERROR(INDEX(الموظفات!$A$5:$A$304,MATCH($B274,الموظفات!$B$5:$B$304,0))&amp;"",""))</f>
        <v/>
      </c>
      <c r="L274" s="21">
        <f>IF($B274="","",IFERROR(INDEX(الموظفات!$C$5:$C$304,MATCH($B274,الموظفات!$B$5:$B$304,0))&amp;"",""))</f>
        <v/>
      </c>
      <c r="M274" s="20">
        <f>IF($B274="","",IFERROR(INDEX(الموظفات!$D$5:$D$304,MATCH($B274,الموظفات!$B$5:$B$304,0))&amp;"",""))</f>
        <v/>
      </c>
      <c r="N274" s="20">
        <f>IF($B274="","",IFERROR(INDEX(الموظفات!$E$5:$E$304,MATCH($B274,الموظفات!$B$5:$B$304,0))&amp;"",""))</f>
        <v/>
      </c>
      <c r="O274" s="21">
        <f>IF(C274="","",IFERROR(INDEX(الإعدادات!$D$7:$D$35,MATCH(C274,الإعدادات!$A$7:$A$35,0))&amp;"",""))</f>
        <v/>
      </c>
      <c r="P274" s="20">
        <f>IF(A274="","",INDEX(الإعدادات!$H$7:$H$18,MONTH(A274)))</f>
        <v/>
      </c>
      <c r="Q274" s="20">
        <f>IF(A274="","",INDEX(الإعدادات!$I$7:$I$18,MONTH(A274)))</f>
        <v/>
      </c>
      <c r="R274" s="20">
        <f>IF(A274="","",IF(MONTH(A274)&gt;=8,YEAR(A274)&amp;"-"&amp;(YEAR(A274)+1),(YEAR(A274)-1)&amp;"-"&amp;YEAR(A274)))</f>
        <v/>
      </c>
      <c r="S274" s="20">
        <f>IF(OR(A274="",B274=""),0,IF(AND(R274=التقارير!$C$4,OR(التقارير!$C$5="سنوي",AND(التقارير!$C$5="شهري",P274=التقارير!$C$6),AND(التقارير!$C$5="فصلي",Q274=التقارير!$C$7))),1,0))</f>
        <v/>
      </c>
      <c r="T274" s="20">
        <f>IF(S274=1,COUNTIF($S$5:S274,1),"")</f>
        <v/>
      </c>
      <c r="U274">
        <f>IF(AND($A274&lt;&gt;"",$B274&lt;&gt;"",$R274='تقرير الفصل الأول'!$C$4,$Q274='تقرير الفصل الأول'!$C$7),COUNT(U$4:U273)+1,"")</f>
        <v/>
      </c>
      <c r="V274">
        <f>IF(AND($A274&lt;&gt;"",$B274&lt;&gt;"",$R274='تقرير الفصل الثاني'!$C$4,$Q274='تقرير الفصل الثاني'!$C$7),COUNT(V$4:V273)+1,"")</f>
        <v/>
      </c>
      <c r="W274">
        <f>IF(AND($A274&lt;&gt;"",$B274&lt;&gt;"",$R274='تقرير سبتمبر'!$C$4,$P274='تقرير سبتمبر'!$C$6),COUNT(W$4:W273)+1,"")</f>
        <v/>
      </c>
      <c r="X274">
        <f>IF(AND($A274&lt;&gt;"",$B274&lt;&gt;"",$R274='تقرير أكتوبر'!$C$4,$P274='تقرير أكتوبر'!$C$6),COUNT(X$4:X273)+1,"")</f>
        <v/>
      </c>
      <c r="Y274">
        <f>IF(AND($A274&lt;&gt;"",$B274&lt;&gt;"",$R274='تقرير نوفمبر'!$C$4,$P274='تقرير نوفمبر'!$C$6),COUNT(Y$4:Y273)+1,"")</f>
        <v/>
      </c>
      <c r="Z274">
        <f>IF(AND($A274&lt;&gt;"",$B274&lt;&gt;"",$R274='تقرير ديسمبر'!$C$4,$P274='تقرير ديسمبر'!$C$6),COUNT(Z$4:Z273)+1,"")</f>
        <v/>
      </c>
      <c r="AA274">
        <f>IF(AND($A274&lt;&gt;"",$B274&lt;&gt;"",$R274='تقرير يناير'!$C$4,$P274='تقرير يناير'!$C$6),COUNT(AA$4:AA273)+1,"")</f>
        <v/>
      </c>
      <c r="AB274">
        <f>IF(AND($A274&lt;&gt;"",$B274&lt;&gt;"",$R274='تقرير فبراير'!$C$4,$P274='تقرير فبراير'!$C$6),COUNT(AB$4:AB273)+1,"")</f>
        <v/>
      </c>
      <c r="AC274">
        <f>IF(AND($A274&lt;&gt;"",$B274&lt;&gt;"",$R274='تقرير مارس'!$C$4,$P274='تقرير مارس'!$C$6),COUNT(AC$4:AC273)+1,"")</f>
        <v/>
      </c>
      <c r="AD274">
        <f>IF(AND($A274&lt;&gt;"",$B274&lt;&gt;"",$R274='تقرير أبريل'!$C$4,$P274='تقرير أبريل'!$C$6),COUNT(AD$4:AD273)+1,"")</f>
        <v/>
      </c>
      <c r="AE274">
        <f>IF(AND($A274&lt;&gt;"",$B274&lt;&gt;"",$R274='تقرير مايو'!$C$4,$P274='تقرير مايو'!$C$6),COUNT(AE$4:AE273)+1,"")</f>
        <v/>
      </c>
    </row>
    <row r="275">
      <c r="A275" s="16" t="n"/>
      <c r="B275" s="17" t="n"/>
      <c r="C275" s="17" t="n"/>
      <c r="D275" s="18" t="n"/>
      <c r="E275" s="17" t="n"/>
      <c r="F275" s="17" t="n"/>
      <c r="G275" s="19" t="n"/>
      <c r="H275" s="17" t="n"/>
      <c r="I275" s="17" t="n"/>
      <c r="J275" s="17" t="n"/>
      <c r="K275" s="20">
        <f>IF($B275="","",IFERROR(INDEX(الموظفات!$A$5:$A$304,MATCH($B275,الموظفات!$B$5:$B$304,0))&amp;"",""))</f>
        <v/>
      </c>
      <c r="L275" s="21">
        <f>IF($B275="","",IFERROR(INDEX(الموظفات!$C$5:$C$304,MATCH($B275,الموظفات!$B$5:$B$304,0))&amp;"",""))</f>
        <v/>
      </c>
      <c r="M275" s="20">
        <f>IF($B275="","",IFERROR(INDEX(الموظفات!$D$5:$D$304,MATCH($B275,الموظفات!$B$5:$B$304,0))&amp;"",""))</f>
        <v/>
      </c>
      <c r="N275" s="20">
        <f>IF($B275="","",IFERROR(INDEX(الموظفات!$E$5:$E$304,MATCH($B275,الموظفات!$B$5:$B$304,0))&amp;"",""))</f>
        <v/>
      </c>
      <c r="O275" s="21">
        <f>IF(C275="","",IFERROR(INDEX(الإعدادات!$D$7:$D$35,MATCH(C275,الإعدادات!$A$7:$A$35,0))&amp;"",""))</f>
        <v/>
      </c>
      <c r="P275" s="20">
        <f>IF(A275="","",INDEX(الإعدادات!$H$7:$H$18,MONTH(A275)))</f>
        <v/>
      </c>
      <c r="Q275" s="20">
        <f>IF(A275="","",INDEX(الإعدادات!$I$7:$I$18,MONTH(A275)))</f>
        <v/>
      </c>
      <c r="R275" s="20">
        <f>IF(A275="","",IF(MONTH(A275)&gt;=8,YEAR(A275)&amp;"-"&amp;(YEAR(A275)+1),(YEAR(A275)-1)&amp;"-"&amp;YEAR(A275)))</f>
        <v/>
      </c>
      <c r="S275" s="20">
        <f>IF(OR(A275="",B275=""),0,IF(AND(R275=التقارير!$C$4,OR(التقارير!$C$5="سنوي",AND(التقارير!$C$5="شهري",P275=التقارير!$C$6),AND(التقارير!$C$5="فصلي",Q275=التقارير!$C$7))),1,0))</f>
        <v/>
      </c>
      <c r="T275" s="20">
        <f>IF(S275=1,COUNTIF($S$5:S275,1),"")</f>
        <v/>
      </c>
      <c r="U275">
        <f>IF(AND($A275&lt;&gt;"",$B275&lt;&gt;"",$R275='تقرير الفصل الأول'!$C$4,$Q275='تقرير الفصل الأول'!$C$7),COUNT(U$4:U274)+1,"")</f>
        <v/>
      </c>
      <c r="V275">
        <f>IF(AND($A275&lt;&gt;"",$B275&lt;&gt;"",$R275='تقرير الفصل الثاني'!$C$4,$Q275='تقرير الفصل الثاني'!$C$7),COUNT(V$4:V274)+1,"")</f>
        <v/>
      </c>
      <c r="W275">
        <f>IF(AND($A275&lt;&gt;"",$B275&lt;&gt;"",$R275='تقرير سبتمبر'!$C$4,$P275='تقرير سبتمبر'!$C$6),COUNT(W$4:W274)+1,"")</f>
        <v/>
      </c>
      <c r="X275">
        <f>IF(AND($A275&lt;&gt;"",$B275&lt;&gt;"",$R275='تقرير أكتوبر'!$C$4,$P275='تقرير أكتوبر'!$C$6),COUNT(X$4:X274)+1,"")</f>
        <v/>
      </c>
      <c r="Y275">
        <f>IF(AND($A275&lt;&gt;"",$B275&lt;&gt;"",$R275='تقرير نوفمبر'!$C$4,$P275='تقرير نوفمبر'!$C$6),COUNT(Y$4:Y274)+1,"")</f>
        <v/>
      </c>
      <c r="Z275">
        <f>IF(AND($A275&lt;&gt;"",$B275&lt;&gt;"",$R275='تقرير ديسمبر'!$C$4,$P275='تقرير ديسمبر'!$C$6),COUNT(Z$4:Z274)+1,"")</f>
        <v/>
      </c>
      <c r="AA275">
        <f>IF(AND($A275&lt;&gt;"",$B275&lt;&gt;"",$R275='تقرير يناير'!$C$4,$P275='تقرير يناير'!$C$6),COUNT(AA$4:AA274)+1,"")</f>
        <v/>
      </c>
      <c r="AB275">
        <f>IF(AND($A275&lt;&gt;"",$B275&lt;&gt;"",$R275='تقرير فبراير'!$C$4,$P275='تقرير فبراير'!$C$6),COUNT(AB$4:AB274)+1,"")</f>
        <v/>
      </c>
      <c r="AC275">
        <f>IF(AND($A275&lt;&gt;"",$B275&lt;&gt;"",$R275='تقرير مارس'!$C$4,$P275='تقرير مارس'!$C$6),COUNT(AC$4:AC274)+1,"")</f>
        <v/>
      </c>
      <c r="AD275">
        <f>IF(AND($A275&lt;&gt;"",$B275&lt;&gt;"",$R275='تقرير أبريل'!$C$4,$P275='تقرير أبريل'!$C$6),COUNT(AD$4:AD274)+1,"")</f>
        <v/>
      </c>
      <c r="AE275">
        <f>IF(AND($A275&lt;&gt;"",$B275&lt;&gt;"",$R275='تقرير مايو'!$C$4,$P275='تقرير مايو'!$C$6),COUNT(AE$4:AE274)+1,"")</f>
        <v/>
      </c>
    </row>
    <row r="276">
      <c r="A276" s="16" t="n"/>
      <c r="B276" s="17" t="n"/>
      <c r="C276" s="17" t="n"/>
      <c r="D276" s="18" t="n"/>
      <c r="E276" s="17" t="n"/>
      <c r="F276" s="17" t="n"/>
      <c r="G276" s="19" t="n"/>
      <c r="H276" s="17" t="n"/>
      <c r="I276" s="17" t="n"/>
      <c r="J276" s="17" t="n"/>
      <c r="K276" s="20">
        <f>IF($B276="","",IFERROR(INDEX(الموظفات!$A$5:$A$304,MATCH($B276,الموظفات!$B$5:$B$304,0))&amp;"",""))</f>
        <v/>
      </c>
      <c r="L276" s="21">
        <f>IF($B276="","",IFERROR(INDEX(الموظفات!$C$5:$C$304,MATCH($B276,الموظفات!$B$5:$B$304,0))&amp;"",""))</f>
        <v/>
      </c>
      <c r="M276" s="20">
        <f>IF($B276="","",IFERROR(INDEX(الموظفات!$D$5:$D$304,MATCH($B276,الموظفات!$B$5:$B$304,0))&amp;"",""))</f>
        <v/>
      </c>
      <c r="N276" s="20">
        <f>IF($B276="","",IFERROR(INDEX(الموظفات!$E$5:$E$304,MATCH($B276,الموظفات!$B$5:$B$304,0))&amp;"",""))</f>
        <v/>
      </c>
      <c r="O276" s="21">
        <f>IF(C276="","",IFERROR(INDEX(الإعدادات!$D$7:$D$35,MATCH(C276,الإعدادات!$A$7:$A$35,0))&amp;"",""))</f>
        <v/>
      </c>
      <c r="P276" s="20">
        <f>IF(A276="","",INDEX(الإعدادات!$H$7:$H$18,MONTH(A276)))</f>
        <v/>
      </c>
      <c r="Q276" s="20">
        <f>IF(A276="","",INDEX(الإعدادات!$I$7:$I$18,MONTH(A276)))</f>
        <v/>
      </c>
      <c r="R276" s="20">
        <f>IF(A276="","",IF(MONTH(A276)&gt;=8,YEAR(A276)&amp;"-"&amp;(YEAR(A276)+1),(YEAR(A276)-1)&amp;"-"&amp;YEAR(A276)))</f>
        <v/>
      </c>
      <c r="S276" s="20">
        <f>IF(OR(A276="",B276=""),0,IF(AND(R276=التقارير!$C$4,OR(التقارير!$C$5="سنوي",AND(التقارير!$C$5="شهري",P276=التقارير!$C$6),AND(التقارير!$C$5="فصلي",Q276=التقارير!$C$7))),1,0))</f>
        <v/>
      </c>
      <c r="T276" s="20">
        <f>IF(S276=1,COUNTIF($S$5:S276,1),"")</f>
        <v/>
      </c>
      <c r="U276">
        <f>IF(AND($A276&lt;&gt;"",$B276&lt;&gt;"",$R276='تقرير الفصل الأول'!$C$4,$Q276='تقرير الفصل الأول'!$C$7),COUNT(U$4:U275)+1,"")</f>
        <v/>
      </c>
      <c r="V276">
        <f>IF(AND($A276&lt;&gt;"",$B276&lt;&gt;"",$R276='تقرير الفصل الثاني'!$C$4,$Q276='تقرير الفصل الثاني'!$C$7),COUNT(V$4:V275)+1,"")</f>
        <v/>
      </c>
      <c r="W276">
        <f>IF(AND($A276&lt;&gt;"",$B276&lt;&gt;"",$R276='تقرير سبتمبر'!$C$4,$P276='تقرير سبتمبر'!$C$6),COUNT(W$4:W275)+1,"")</f>
        <v/>
      </c>
      <c r="X276">
        <f>IF(AND($A276&lt;&gt;"",$B276&lt;&gt;"",$R276='تقرير أكتوبر'!$C$4,$P276='تقرير أكتوبر'!$C$6),COUNT(X$4:X275)+1,"")</f>
        <v/>
      </c>
      <c r="Y276">
        <f>IF(AND($A276&lt;&gt;"",$B276&lt;&gt;"",$R276='تقرير نوفمبر'!$C$4,$P276='تقرير نوفمبر'!$C$6),COUNT(Y$4:Y275)+1,"")</f>
        <v/>
      </c>
      <c r="Z276">
        <f>IF(AND($A276&lt;&gt;"",$B276&lt;&gt;"",$R276='تقرير ديسمبر'!$C$4,$P276='تقرير ديسمبر'!$C$6),COUNT(Z$4:Z275)+1,"")</f>
        <v/>
      </c>
      <c r="AA276">
        <f>IF(AND($A276&lt;&gt;"",$B276&lt;&gt;"",$R276='تقرير يناير'!$C$4,$P276='تقرير يناير'!$C$6),COUNT(AA$4:AA275)+1,"")</f>
        <v/>
      </c>
      <c r="AB276">
        <f>IF(AND($A276&lt;&gt;"",$B276&lt;&gt;"",$R276='تقرير فبراير'!$C$4,$P276='تقرير فبراير'!$C$6),COUNT(AB$4:AB275)+1,"")</f>
        <v/>
      </c>
      <c r="AC276">
        <f>IF(AND($A276&lt;&gt;"",$B276&lt;&gt;"",$R276='تقرير مارس'!$C$4,$P276='تقرير مارس'!$C$6),COUNT(AC$4:AC275)+1,"")</f>
        <v/>
      </c>
      <c r="AD276">
        <f>IF(AND($A276&lt;&gt;"",$B276&lt;&gt;"",$R276='تقرير أبريل'!$C$4,$P276='تقرير أبريل'!$C$6),COUNT(AD$4:AD275)+1,"")</f>
        <v/>
      </c>
      <c r="AE276">
        <f>IF(AND($A276&lt;&gt;"",$B276&lt;&gt;"",$R276='تقرير مايو'!$C$4,$P276='تقرير مايو'!$C$6),COUNT(AE$4:AE275)+1,"")</f>
        <v/>
      </c>
    </row>
    <row r="277">
      <c r="A277" s="16" t="n"/>
      <c r="B277" s="17" t="n"/>
      <c r="C277" s="17" t="n"/>
      <c r="D277" s="18" t="n"/>
      <c r="E277" s="17" t="n"/>
      <c r="F277" s="17" t="n"/>
      <c r="G277" s="19" t="n"/>
      <c r="H277" s="17" t="n"/>
      <c r="I277" s="17" t="n"/>
      <c r="J277" s="17" t="n"/>
      <c r="K277" s="20">
        <f>IF($B277="","",IFERROR(INDEX(الموظفات!$A$5:$A$304,MATCH($B277,الموظفات!$B$5:$B$304,0))&amp;"",""))</f>
        <v/>
      </c>
      <c r="L277" s="21">
        <f>IF($B277="","",IFERROR(INDEX(الموظفات!$C$5:$C$304,MATCH($B277,الموظفات!$B$5:$B$304,0))&amp;"",""))</f>
        <v/>
      </c>
      <c r="M277" s="20">
        <f>IF($B277="","",IFERROR(INDEX(الموظفات!$D$5:$D$304,MATCH($B277,الموظفات!$B$5:$B$304,0))&amp;"",""))</f>
        <v/>
      </c>
      <c r="N277" s="20">
        <f>IF($B277="","",IFERROR(INDEX(الموظفات!$E$5:$E$304,MATCH($B277,الموظفات!$B$5:$B$304,0))&amp;"",""))</f>
        <v/>
      </c>
      <c r="O277" s="21">
        <f>IF(C277="","",IFERROR(INDEX(الإعدادات!$D$7:$D$35,MATCH(C277,الإعدادات!$A$7:$A$35,0))&amp;"",""))</f>
        <v/>
      </c>
      <c r="P277" s="20">
        <f>IF(A277="","",INDEX(الإعدادات!$H$7:$H$18,MONTH(A277)))</f>
        <v/>
      </c>
      <c r="Q277" s="20">
        <f>IF(A277="","",INDEX(الإعدادات!$I$7:$I$18,MONTH(A277)))</f>
        <v/>
      </c>
      <c r="R277" s="20">
        <f>IF(A277="","",IF(MONTH(A277)&gt;=8,YEAR(A277)&amp;"-"&amp;(YEAR(A277)+1),(YEAR(A277)-1)&amp;"-"&amp;YEAR(A277)))</f>
        <v/>
      </c>
      <c r="S277" s="20">
        <f>IF(OR(A277="",B277=""),0,IF(AND(R277=التقارير!$C$4,OR(التقارير!$C$5="سنوي",AND(التقارير!$C$5="شهري",P277=التقارير!$C$6),AND(التقارير!$C$5="فصلي",Q277=التقارير!$C$7))),1,0))</f>
        <v/>
      </c>
      <c r="T277" s="20">
        <f>IF(S277=1,COUNTIF($S$5:S277,1),"")</f>
        <v/>
      </c>
      <c r="U277">
        <f>IF(AND($A277&lt;&gt;"",$B277&lt;&gt;"",$R277='تقرير الفصل الأول'!$C$4,$Q277='تقرير الفصل الأول'!$C$7),COUNT(U$4:U276)+1,"")</f>
        <v/>
      </c>
      <c r="V277">
        <f>IF(AND($A277&lt;&gt;"",$B277&lt;&gt;"",$R277='تقرير الفصل الثاني'!$C$4,$Q277='تقرير الفصل الثاني'!$C$7),COUNT(V$4:V276)+1,"")</f>
        <v/>
      </c>
      <c r="W277">
        <f>IF(AND($A277&lt;&gt;"",$B277&lt;&gt;"",$R277='تقرير سبتمبر'!$C$4,$P277='تقرير سبتمبر'!$C$6),COUNT(W$4:W276)+1,"")</f>
        <v/>
      </c>
      <c r="X277">
        <f>IF(AND($A277&lt;&gt;"",$B277&lt;&gt;"",$R277='تقرير أكتوبر'!$C$4,$P277='تقرير أكتوبر'!$C$6),COUNT(X$4:X276)+1,"")</f>
        <v/>
      </c>
      <c r="Y277">
        <f>IF(AND($A277&lt;&gt;"",$B277&lt;&gt;"",$R277='تقرير نوفمبر'!$C$4,$P277='تقرير نوفمبر'!$C$6),COUNT(Y$4:Y276)+1,"")</f>
        <v/>
      </c>
      <c r="Z277">
        <f>IF(AND($A277&lt;&gt;"",$B277&lt;&gt;"",$R277='تقرير ديسمبر'!$C$4,$P277='تقرير ديسمبر'!$C$6),COUNT(Z$4:Z276)+1,"")</f>
        <v/>
      </c>
      <c r="AA277">
        <f>IF(AND($A277&lt;&gt;"",$B277&lt;&gt;"",$R277='تقرير يناير'!$C$4,$P277='تقرير يناير'!$C$6),COUNT(AA$4:AA276)+1,"")</f>
        <v/>
      </c>
      <c r="AB277">
        <f>IF(AND($A277&lt;&gt;"",$B277&lt;&gt;"",$R277='تقرير فبراير'!$C$4,$P277='تقرير فبراير'!$C$6),COUNT(AB$4:AB276)+1,"")</f>
        <v/>
      </c>
      <c r="AC277">
        <f>IF(AND($A277&lt;&gt;"",$B277&lt;&gt;"",$R277='تقرير مارس'!$C$4,$P277='تقرير مارس'!$C$6),COUNT(AC$4:AC276)+1,"")</f>
        <v/>
      </c>
      <c r="AD277">
        <f>IF(AND($A277&lt;&gt;"",$B277&lt;&gt;"",$R277='تقرير أبريل'!$C$4,$P277='تقرير أبريل'!$C$6),COUNT(AD$4:AD276)+1,"")</f>
        <v/>
      </c>
      <c r="AE277">
        <f>IF(AND($A277&lt;&gt;"",$B277&lt;&gt;"",$R277='تقرير مايو'!$C$4,$P277='تقرير مايو'!$C$6),COUNT(AE$4:AE276)+1,"")</f>
        <v/>
      </c>
    </row>
    <row r="278">
      <c r="A278" s="16" t="n"/>
      <c r="B278" s="17" t="n"/>
      <c r="C278" s="17" t="n"/>
      <c r="D278" s="18" t="n"/>
      <c r="E278" s="17" t="n"/>
      <c r="F278" s="17" t="n"/>
      <c r="G278" s="19" t="n"/>
      <c r="H278" s="17" t="n"/>
      <c r="I278" s="17" t="n"/>
      <c r="J278" s="17" t="n"/>
      <c r="K278" s="20">
        <f>IF($B278="","",IFERROR(INDEX(الموظفات!$A$5:$A$304,MATCH($B278,الموظفات!$B$5:$B$304,0))&amp;"",""))</f>
        <v/>
      </c>
      <c r="L278" s="21">
        <f>IF($B278="","",IFERROR(INDEX(الموظفات!$C$5:$C$304,MATCH($B278,الموظفات!$B$5:$B$304,0))&amp;"",""))</f>
        <v/>
      </c>
      <c r="M278" s="20">
        <f>IF($B278="","",IFERROR(INDEX(الموظفات!$D$5:$D$304,MATCH($B278,الموظفات!$B$5:$B$304,0))&amp;"",""))</f>
        <v/>
      </c>
      <c r="N278" s="20">
        <f>IF($B278="","",IFERROR(INDEX(الموظفات!$E$5:$E$304,MATCH($B278,الموظفات!$B$5:$B$304,0))&amp;"",""))</f>
        <v/>
      </c>
      <c r="O278" s="21">
        <f>IF(C278="","",IFERROR(INDEX(الإعدادات!$D$7:$D$35,MATCH(C278,الإعدادات!$A$7:$A$35,0))&amp;"",""))</f>
        <v/>
      </c>
      <c r="P278" s="20">
        <f>IF(A278="","",INDEX(الإعدادات!$H$7:$H$18,MONTH(A278)))</f>
        <v/>
      </c>
      <c r="Q278" s="20">
        <f>IF(A278="","",INDEX(الإعدادات!$I$7:$I$18,MONTH(A278)))</f>
        <v/>
      </c>
      <c r="R278" s="20">
        <f>IF(A278="","",IF(MONTH(A278)&gt;=8,YEAR(A278)&amp;"-"&amp;(YEAR(A278)+1),(YEAR(A278)-1)&amp;"-"&amp;YEAR(A278)))</f>
        <v/>
      </c>
      <c r="S278" s="20">
        <f>IF(OR(A278="",B278=""),0,IF(AND(R278=التقارير!$C$4,OR(التقارير!$C$5="سنوي",AND(التقارير!$C$5="شهري",P278=التقارير!$C$6),AND(التقارير!$C$5="فصلي",Q278=التقارير!$C$7))),1,0))</f>
        <v/>
      </c>
      <c r="T278" s="20">
        <f>IF(S278=1,COUNTIF($S$5:S278,1),"")</f>
        <v/>
      </c>
      <c r="U278">
        <f>IF(AND($A278&lt;&gt;"",$B278&lt;&gt;"",$R278='تقرير الفصل الأول'!$C$4,$Q278='تقرير الفصل الأول'!$C$7),COUNT(U$4:U277)+1,"")</f>
        <v/>
      </c>
      <c r="V278">
        <f>IF(AND($A278&lt;&gt;"",$B278&lt;&gt;"",$R278='تقرير الفصل الثاني'!$C$4,$Q278='تقرير الفصل الثاني'!$C$7),COUNT(V$4:V277)+1,"")</f>
        <v/>
      </c>
      <c r="W278">
        <f>IF(AND($A278&lt;&gt;"",$B278&lt;&gt;"",$R278='تقرير سبتمبر'!$C$4,$P278='تقرير سبتمبر'!$C$6),COUNT(W$4:W277)+1,"")</f>
        <v/>
      </c>
      <c r="X278">
        <f>IF(AND($A278&lt;&gt;"",$B278&lt;&gt;"",$R278='تقرير أكتوبر'!$C$4,$P278='تقرير أكتوبر'!$C$6),COUNT(X$4:X277)+1,"")</f>
        <v/>
      </c>
      <c r="Y278">
        <f>IF(AND($A278&lt;&gt;"",$B278&lt;&gt;"",$R278='تقرير نوفمبر'!$C$4,$P278='تقرير نوفمبر'!$C$6),COUNT(Y$4:Y277)+1,"")</f>
        <v/>
      </c>
      <c r="Z278">
        <f>IF(AND($A278&lt;&gt;"",$B278&lt;&gt;"",$R278='تقرير ديسمبر'!$C$4,$P278='تقرير ديسمبر'!$C$6),COUNT(Z$4:Z277)+1,"")</f>
        <v/>
      </c>
      <c r="AA278">
        <f>IF(AND($A278&lt;&gt;"",$B278&lt;&gt;"",$R278='تقرير يناير'!$C$4,$P278='تقرير يناير'!$C$6),COUNT(AA$4:AA277)+1,"")</f>
        <v/>
      </c>
      <c r="AB278">
        <f>IF(AND($A278&lt;&gt;"",$B278&lt;&gt;"",$R278='تقرير فبراير'!$C$4,$P278='تقرير فبراير'!$C$6),COUNT(AB$4:AB277)+1,"")</f>
        <v/>
      </c>
      <c r="AC278">
        <f>IF(AND($A278&lt;&gt;"",$B278&lt;&gt;"",$R278='تقرير مارس'!$C$4,$P278='تقرير مارس'!$C$6),COUNT(AC$4:AC277)+1,"")</f>
        <v/>
      </c>
      <c r="AD278">
        <f>IF(AND($A278&lt;&gt;"",$B278&lt;&gt;"",$R278='تقرير أبريل'!$C$4,$P278='تقرير أبريل'!$C$6),COUNT(AD$4:AD277)+1,"")</f>
        <v/>
      </c>
      <c r="AE278">
        <f>IF(AND($A278&lt;&gt;"",$B278&lt;&gt;"",$R278='تقرير مايو'!$C$4,$P278='تقرير مايو'!$C$6),COUNT(AE$4:AE277)+1,"")</f>
        <v/>
      </c>
    </row>
    <row r="279">
      <c r="A279" s="16" t="n"/>
      <c r="B279" s="17" t="n"/>
      <c r="C279" s="17" t="n"/>
      <c r="D279" s="18" t="n"/>
      <c r="E279" s="17" t="n"/>
      <c r="F279" s="17" t="n"/>
      <c r="G279" s="19" t="n"/>
      <c r="H279" s="17" t="n"/>
      <c r="I279" s="17" t="n"/>
      <c r="J279" s="17" t="n"/>
      <c r="K279" s="20">
        <f>IF($B279="","",IFERROR(INDEX(الموظفات!$A$5:$A$304,MATCH($B279,الموظفات!$B$5:$B$304,0))&amp;"",""))</f>
        <v/>
      </c>
      <c r="L279" s="21">
        <f>IF($B279="","",IFERROR(INDEX(الموظفات!$C$5:$C$304,MATCH($B279,الموظفات!$B$5:$B$304,0))&amp;"",""))</f>
        <v/>
      </c>
      <c r="M279" s="20">
        <f>IF($B279="","",IFERROR(INDEX(الموظفات!$D$5:$D$304,MATCH($B279,الموظفات!$B$5:$B$304,0))&amp;"",""))</f>
        <v/>
      </c>
      <c r="N279" s="20">
        <f>IF($B279="","",IFERROR(INDEX(الموظفات!$E$5:$E$304,MATCH($B279,الموظفات!$B$5:$B$304,0))&amp;"",""))</f>
        <v/>
      </c>
      <c r="O279" s="21">
        <f>IF(C279="","",IFERROR(INDEX(الإعدادات!$D$7:$D$35,MATCH(C279,الإعدادات!$A$7:$A$35,0))&amp;"",""))</f>
        <v/>
      </c>
      <c r="P279" s="20">
        <f>IF(A279="","",INDEX(الإعدادات!$H$7:$H$18,MONTH(A279)))</f>
        <v/>
      </c>
      <c r="Q279" s="20">
        <f>IF(A279="","",INDEX(الإعدادات!$I$7:$I$18,MONTH(A279)))</f>
        <v/>
      </c>
      <c r="R279" s="20">
        <f>IF(A279="","",IF(MONTH(A279)&gt;=8,YEAR(A279)&amp;"-"&amp;(YEAR(A279)+1),(YEAR(A279)-1)&amp;"-"&amp;YEAR(A279)))</f>
        <v/>
      </c>
      <c r="S279" s="20">
        <f>IF(OR(A279="",B279=""),0,IF(AND(R279=التقارير!$C$4,OR(التقارير!$C$5="سنوي",AND(التقارير!$C$5="شهري",P279=التقارير!$C$6),AND(التقارير!$C$5="فصلي",Q279=التقارير!$C$7))),1,0))</f>
        <v/>
      </c>
      <c r="T279" s="20">
        <f>IF(S279=1,COUNTIF($S$5:S279,1),"")</f>
        <v/>
      </c>
      <c r="U279">
        <f>IF(AND($A279&lt;&gt;"",$B279&lt;&gt;"",$R279='تقرير الفصل الأول'!$C$4,$Q279='تقرير الفصل الأول'!$C$7),COUNT(U$4:U278)+1,"")</f>
        <v/>
      </c>
      <c r="V279">
        <f>IF(AND($A279&lt;&gt;"",$B279&lt;&gt;"",$R279='تقرير الفصل الثاني'!$C$4,$Q279='تقرير الفصل الثاني'!$C$7),COUNT(V$4:V278)+1,"")</f>
        <v/>
      </c>
      <c r="W279">
        <f>IF(AND($A279&lt;&gt;"",$B279&lt;&gt;"",$R279='تقرير سبتمبر'!$C$4,$P279='تقرير سبتمبر'!$C$6),COUNT(W$4:W278)+1,"")</f>
        <v/>
      </c>
      <c r="X279">
        <f>IF(AND($A279&lt;&gt;"",$B279&lt;&gt;"",$R279='تقرير أكتوبر'!$C$4,$P279='تقرير أكتوبر'!$C$6),COUNT(X$4:X278)+1,"")</f>
        <v/>
      </c>
      <c r="Y279">
        <f>IF(AND($A279&lt;&gt;"",$B279&lt;&gt;"",$R279='تقرير نوفمبر'!$C$4,$P279='تقرير نوفمبر'!$C$6),COUNT(Y$4:Y278)+1,"")</f>
        <v/>
      </c>
      <c r="Z279">
        <f>IF(AND($A279&lt;&gt;"",$B279&lt;&gt;"",$R279='تقرير ديسمبر'!$C$4,$P279='تقرير ديسمبر'!$C$6),COUNT(Z$4:Z278)+1,"")</f>
        <v/>
      </c>
      <c r="AA279">
        <f>IF(AND($A279&lt;&gt;"",$B279&lt;&gt;"",$R279='تقرير يناير'!$C$4,$P279='تقرير يناير'!$C$6),COUNT(AA$4:AA278)+1,"")</f>
        <v/>
      </c>
      <c r="AB279">
        <f>IF(AND($A279&lt;&gt;"",$B279&lt;&gt;"",$R279='تقرير فبراير'!$C$4,$P279='تقرير فبراير'!$C$6),COUNT(AB$4:AB278)+1,"")</f>
        <v/>
      </c>
      <c r="AC279">
        <f>IF(AND($A279&lt;&gt;"",$B279&lt;&gt;"",$R279='تقرير مارس'!$C$4,$P279='تقرير مارس'!$C$6),COUNT(AC$4:AC278)+1,"")</f>
        <v/>
      </c>
      <c r="AD279">
        <f>IF(AND($A279&lt;&gt;"",$B279&lt;&gt;"",$R279='تقرير أبريل'!$C$4,$P279='تقرير أبريل'!$C$6),COUNT(AD$4:AD278)+1,"")</f>
        <v/>
      </c>
      <c r="AE279">
        <f>IF(AND($A279&lt;&gt;"",$B279&lt;&gt;"",$R279='تقرير مايو'!$C$4,$P279='تقرير مايو'!$C$6),COUNT(AE$4:AE278)+1,"")</f>
        <v/>
      </c>
    </row>
    <row r="280">
      <c r="A280" s="16" t="n"/>
      <c r="B280" s="17" t="n"/>
      <c r="C280" s="17" t="n"/>
      <c r="D280" s="18" t="n"/>
      <c r="E280" s="17" t="n"/>
      <c r="F280" s="17" t="n"/>
      <c r="G280" s="19" t="n"/>
      <c r="H280" s="17" t="n"/>
      <c r="I280" s="17" t="n"/>
      <c r="J280" s="17" t="n"/>
      <c r="K280" s="20">
        <f>IF($B280="","",IFERROR(INDEX(الموظفات!$A$5:$A$304,MATCH($B280,الموظفات!$B$5:$B$304,0))&amp;"",""))</f>
        <v/>
      </c>
      <c r="L280" s="21">
        <f>IF($B280="","",IFERROR(INDEX(الموظفات!$C$5:$C$304,MATCH($B280,الموظفات!$B$5:$B$304,0))&amp;"",""))</f>
        <v/>
      </c>
      <c r="M280" s="20">
        <f>IF($B280="","",IFERROR(INDEX(الموظفات!$D$5:$D$304,MATCH($B280,الموظفات!$B$5:$B$304,0))&amp;"",""))</f>
        <v/>
      </c>
      <c r="N280" s="20">
        <f>IF($B280="","",IFERROR(INDEX(الموظفات!$E$5:$E$304,MATCH($B280,الموظفات!$B$5:$B$304,0))&amp;"",""))</f>
        <v/>
      </c>
      <c r="O280" s="21">
        <f>IF(C280="","",IFERROR(INDEX(الإعدادات!$D$7:$D$35,MATCH(C280,الإعدادات!$A$7:$A$35,0))&amp;"",""))</f>
        <v/>
      </c>
      <c r="P280" s="20">
        <f>IF(A280="","",INDEX(الإعدادات!$H$7:$H$18,MONTH(A280)))</f>
        <v/>
      </c>
      <c r="Q280" s="20">
        <f>IF(A280="","",INDEX(الإعدادات!$I$7:$I$18,MONTH(A280)))</f>
        <v/>
      </c>
      <c r="R280" s="20">
        <f>IF(A280="","",IF(MONTH(A280)&gt;=8,YEAR(A280)&amp;"-"&amp;(YEAR(A280)+1),(YEAR(A280)-1)&amp;"-"&amp;YEAR(A280)))</f>
        <v/>
      </c>
      <c r="S280" s="20">
        <f>IF(OR(A280="",B280=""),0,IF(AND(R280=التقارير!$C$4,OR(التقارير!$C$5="سنوي",AND(التقارير!$C$5="شهري",P280=التقارير!$C$6),AND(التقارير!$C$5="فصلي",Q280=التقارير!$C$7))),1,0))</f>
        <v/>
      </c>
      <c r="T280" s="20">
        <f>IF(S280=1,COUNTIF($S$5:S280,1),"")</f>
        <v/>
      </c>
      <c r="U280">
        <f>IF(AND($A280&lt;&gt;"",$B280&lt;&gt;"",$R280='تقرير الفصل الأول'!$C$4,$Q280='تقرير الفصل الأول'!$C$7),COUNT(U$4:U279)+1,"")</f>
        <v/>
      </c>
      <c r="V280">
        <f>IF(AND($A280&lt;&gt;"",$B280&lt;&gt;"",$R280='تقرير الفصل الثاني'!$C$4,$Q280='تقرير الفصل الثاني'!$C$7),COUNT(V$4:V279)+1,"")</f>
        <v/>
      </c>
      <c r="W280">
        <f>IF(AND($A280&lt;&gt;"",$B280&lt;&gt;"",$R280='تقرير سبتمبر'!$C$4,$P280='تقرير سبتمبر'!$C$6),COUNT(W$4:W279)+1,"")</f>
        <v/>
      </c>
      <c r="X280">
        <f>IF(AND($A280&lt;&gt;"",$B280&lt;&gt;"",$R280='تقرير أكتوبر'!$C$4,$P280='تقرير أكتوبر'!$C$6),COUNT(X$4:X279)+1,"")</f>
        <v/>
      </c>
      <c r="Y280">
        <f>IF(AND($A280&lt;&gt;"",$B280&lt;&gt;"",$R280='تقرير نوفمبر'!$C$4,$P280='تقرير نوفمبر'!$C$6),COUNT(Y$4:Y279)+1,"")</f>
        <v/>
      </c>
      <c r="Z280">
        <f>IF(AND($A280&lt;&gt;"",$B280&lt;&gt;"",$R280='تقرير ديسمبر'!$C$4,$P280='تقرير ديسمبر'!$C$6),COUNT(Z$4:Z279)+1,"")</f>
        <v/>
      </c>
      <c r="AA280">
        <f>IF(AND($A280&lt;&gt;"",$B280&lt;&gt;"",$R280='تقرير يناير'!$C$4,$P280='تقرير يناير'!$C$6),COUNT(AA$4:AA279)+1,"")</f>
        <v/>
      </c>
      <c r="AB280">
        <f>IF(AND($A280&lt;&gt;"",$B280&lt;&gt;"",$R280='تقرير فبراير'!$C$4,$P280='تقرير فبراير'!$C$6),COUNT(AB$4:AB279)+1,"")</f>
        <v/>
      </c>
      <c r="AC280">
        <f>IF(AND($A280&lt;&gt;"",$B280&lt;&gt;"",$R280='تقرير مارس'!$C$4,$P280='تقرير مارس'!$C$6),COUNT(AC$4:AC279)+1,"")</f>
        <v/>
      </c>
      <c r="AD280">
        <f>IF(AND($A280&lt;&gt;"",$B280&lt;&gt;"",$R280='تقرير أبريل'!$C$4,$P280='تقرير أبريل'!$C$6),COUNT(AD$4:AD279)+1,"")</f>
        <v/>
      </c>
      <c r="AE280">
        <f>IF(AND($A280&lt;&gt;"",$B280&lt;&gt;"",$R280='تقرير مايو'!$C$4,$P280='تقرير مايو'!$C$6),COUNT(AE$4:AE279)+1,"")</f>
        <v/>
      </c>
    </row>
    <row r="281">
      <c r="A281" s="16" t="n"/>
      <c r="B281" s="17" t="n"/>
      <c r="C281" s="17" t="n"/>
      <c r="D281" s="18" t="n"/>
      <c r="E281" s="17" t="n"/>
      <c r="F281" s="17" t="n"/>
      <c r="G281" s="19" t="n"/>
      <c r="H281" s="17" t="n"/>
      <c r="I281" s="17" t="n"/>
      <c r="J281" s="17" t="n"/>
      <c r="K281" s="20">
        <f>IF($B281="","",IFERROR(INDEX(الموظفات!$A$5:$A$304,MATCH($B281,الموظفات!$B$5:$B$304,0))&amp;"",""))</f>
        <v/>
      </c>
      <c r="L281" s="21">
        <f>IF($B281="","",IFERROR(INDEX(الموظفات!$C$5:$C$304,MATCH($B281,الموظفات!$B$5:$B$304,0))&amp;"",""))</f>
        <v/>
      </c>
      <c r="M281" s="20">
        <f>IF($B281="","",IFERROR(INDEX(الموظفات!$D$5:$D$304,MATCH($B281,الموظفات!$B$5:$B$304,0))&amp;"",""))</f>
        <v/>
      </c>
      <c r="N281" s="20">
        <f>IF($B281="","",IFERROR(INDEX(الموظفات!$E$5:$E$304,MATCH($B281,الموظفات!$B$5:$B$304,0))&amp;"",""))</f>
        <v/>
      </c>
      <c r="O281" s="21">
        <f>IF(C281="","",IFERROR(INDEX(الإعدادات!$D$7:$D$35,MATCH(C281,الإعدادات!$A$7:$A$35,0))&amp;"",""))</f>
        <v/>
      </c>
      <c r="P281" s="20">
        <f>IF(A281="","",INDEX(الإعدادات!$H$7:$H$18,MONTH(A281)))</f>
        <v/>
      </c>
      <c r="Q281" s="20">
        <f>IF(A281="","",INDEX(الإعدادات!$I$7:$I$18,MONTH(A281)))</f>
        <v/>
      </c>
      <c r="R281" s="20">
        <f>IF(A281="","",IF(MONTH(A281)&gt;=8,YEAR(A281)&amp;"-"&amp;(YEAR(A281)+1),(YEAR(A281)-1)&amp;"-"&amp;YEAR(A281)))</f>
        <v/>
      </c>
      <c r="S281" s="20">
        <f>IF(OR(A281="",B281=""),0,IF(AND(R281=التقارير!$C$4,OR(التقارير!$C$5="سنوي",AND(التقارير!$C$5="شهري",P281=التقارير!$C$6),AND(التقارير!$C$5="فصلي",Q281=التقارير!$C$7))),1,0))</f>
        <v/>
      </c>
      <c r="T281" s="20">
        <f>IF(S281=1,COUNTIF($S$5:S281,1),"")</f>
        <v/>
      </c>
      <c r="U281">
        <f>IF(AND($A281&lt;&gt;"",$B281&lt;&gt;"",$R281='تقرير الفصل الأول'!$C$4,$Q281='تقرير الفصل الأول'!$C$7),COUNT(U$4:U280)+1,"")</f>
        <v/>
      </c>
      <c r="V281">
        <f>IF(AND($A281&lt;&gt;"",$B281&lt;&gt;"",$R281='تقرير الفصل الثاني'!$C$4,$Q281='تقرير الفصل الثاني'!$C$7),COUNT(V$4:V280)+1,"")</f>
        <v/>
      </c>
      <c r="W281">
        <f>IF(AND($A281&lt;&gt;"",$B281&lt;&gt;"",$R281='تقرير سبتمبر'!$C$4,$P281='تقرير سبتمبر'!$C$6),COUNT(W$4:W280)+1,"")</f>
        <v/>
      </c>
      <c r="X281">
        <f>IF(AND($A281&lt;&gt;"",$B281&lt;&gt;"",$R281='تقرير أكتوبر'!$C$4,$P281='تقرير أكتوبر'!$C$6),COUNT(X$4:X280)+1,"")</f>
        <v/>
      </c>
      <c r="Y281">
        <f>IF(AND($A281&lt;&gt;"",$B281&lt;&gt;"",$R281='تقرير نوفمبر'!$C$4,$P281='تقرير نوفمبر'!$C$6),COUNT(Y$4:Y280)+1,"")</f>
        <v/>
      </c>
      <c r="Z281">
        <f>IF(AND($A281&lt;&gt;"",$B281&lt;&gt;"",$R281='تقرير ديسمبر'!$C$4,$P281='تقرير ديسمبر'!$C$6),COUNT(Z$4:Z280)+1,"")</f>
        <v/>
      </c>
      <c r="AA281">
        <f>IF(AND($A281&lt;&gt;"",$B281&lt;&gt;"",$R281='تقرير يناير'!$C$4,$P281='تقرير يناير'!$C$6),COUNT(AA$4:AA280)+1,"")</f>
        <v/>
      </c>
      <c r="AB281">
        <f>IF(AND($A281&lt;&gt;"",$B281&lt;&gt;"",$R281='تقرير فبراير'!$C$4,$P281='تقرير فبراير'!$C$6),COUNT(AB$4:AB280)+1,"")</f>
        <v/>
      </c>
      <c r="AC281">
        <f>IF(AND($A281&lt;&gt;"",$B281&lt;&gt;"",$R281='تقرير مارس'!$C$4,$P281='تقرير مارس'!$C$6),COUNT(AC$4:AC280)+1,"")</f>
        <v/>
      </c>
      <c r="AD281">
        <f>IF(AND($A281&lt;&gt;"",$B281&lt;&gt;"",$R281='تقرير أبريل'!$C$4,$P281='تقرير أبريل'!$C$6),COUNT(AD$4:AD280)+1,"")</f>
        <v/>
      </c>
      <c r="AE281">
        <f>IF(AND($A281&lt;&gt;"",$B281&lt;&gt;"",$R281='تقرير مايو'!$C$4,$P281='تقرير مايو'!$C$6),COUNT(AE$4:AE280)+1,"")</f>
        <v/>
      </c>
    </row>
    <row r="282">
      <c r="A282" s="16" t="n"/>
      <c r="B282" s="17" t="n"/>
      <c r="C282" s="17" t="n"/>
      <c r="D282" s="18" t="n"/>
      <c r="E282" s="17" t="n"/>
      <c r="F282" s="17" t="n"/>
      <c r="G282" s="19" t="n"/>
      <c r="H282" s="17" t="n"/>
      <c r="I282" s="17" t="n"/>
      <c r="J282" s="17" t="n"/>
      <c r="K282" s="20">
        <f>IF($B282="","",IFERROR(INDEX(الموظفات!$A$5:$A$304,MATCH($B282,الموظفات!$B$5:$B$304,0))&amp;"",""))</f>
        <v/>
      </c>
      <c r="L282" s="21">
        <f>IF($B282="","",IFERROR(INDEX(الموظفات!$C$5:$C$304,MATCH($B282,الموظفات!$B$5:$B$304,0))&amp;"",""))</f>
        <v/>
      </c>
      <c r="M282" s="20">
        <f>IF($B282="","",IFERROR(INDEX(الموظفات!$D$5:$D$304,MATCH($B282,الموظفات!$B$5:$B$304,0))&amp;"",""))</f>
        <v/>
      </c>
      <c r="N282" s="20">
        <f>IF($B282="","",IFERROR(INDEX(الموظفات!$E$5:$E$304,MATCH($B282,الموظفات!$B$5:$B$304,0))&amp;"",""))</f>
        <v/>
      </c>
      <c r="O282" s="21">
        <f>IF(C282="","",IFERROR(INDEX(الإعدادات!$D$7:$D$35,MATCH(C282,الإعدادات!$A$7:$A$35,0))&amp;"",""))</f>
        <v/>
      </c>
      <c r="P282" s="20">
        <f>IF(A282="","",INDEX(الإعدادات!$H$7:$H$18,MONTH(A282)))</f>
        <v/>
      </c>
      <c r="Q282" s="20">
        <f>IF(A282="","",INDEX(الإعدادات!$I$7:$I$18,MONTH(A282)))</f>
        <v/>
      </c>
      <c r="R282" s="20">
        <f>IF(A282="","",IF(MONTH(A282)&gt;=8,YEAR(A282)&amp;"-"&amp;(YEAR(A282)+1),(YEAR(A282)-1)&amp;"-"&amp;YEAR(A282)))</f>
        <v/>
      </c>
      <c r="S282" s="20">
        <f>IF(OR(A282="",B282=""),0,IF(AND(R282=التقارير!$C$4,OR(التقارير!$C$5="سنوي",AND(التقارير!$C$5="شهري",P282=التقارير!$C$6),AND(التقارير!$C$5="فصلي",Q282=التقارير!$C$7))),1,0))</f>
        <v/>
      </c>
      <c r="T282" s="20">
        <f>IF(S282=1,COUNTIF($S$5:S282,1),"")</f>
        <v/>
      </c>
      <c r="U282">
        <f>IF(AND($A282&lt;&gt;"",$B282&lt;&gt;"",$R282='تقرير الفصل الأول'!$C$4,$Q282='تقرير الفصل الأول'!$C$7),COUNT(U$4:U281)+1,"")</f>
        <v/>
      </c>
      <c r="V282">
        <f>IF(AND($A282&lt;&gt;"",$B282&lt;&gt;"",$R282='تقرير الفصل الثاني'!$C$4,$Q282='تقرير الفصل الثاني'!$C$7),COUNT(V$4:V281)+1,"")</f>
        <v/>
      </c>
      <c r="W282">
        <f>IF(AND($A282&lt;&gt;"",$B282&lt;&gt;"",$R282='تقرير سبتمبر'!$C$4,$P282='تقرير سبتمبر'!$C$6),COUNT(W$4:W281)+1,"")</f>
        <v/>
      </c>
      <c r="X282">
        <f>IF(AND($A282&lt;&gt;"",$B282&lt;&gt;"",$R282='تقرير أكتوبر'!$C$4,$P282='تقرير أكتوبر'!$C$6),COUNT(X$4:X281)+1,"")</f>
        <v/>
      </c>
      <c r="Y282">
        <f>IF(AND($A282&lt;&gt;"",$B282&lt;&gt;"",$R282='تقرير نوفمبر'!$C$4,$P282='تقرير نوفمبر'!$C$6),COUNT(Y$4:Y281)+1,"")</f>
        <v/>
      </c>
      <c r="Z282">
        <f>IF(AND($A282&lt;&gt;"",$B282&lt;&gt;"",$R282='تقرير ديسمبر'!$C$4,$P282='تقرير ديسمبر'!$C$6),COUNT(Z$4:Z281)+1,"")</f>
        <v/>
      </c>
      <c r="AA282">
        <f>IF(AND($A282&lt;&gt;"",$B282&lt;&gt;"",$R282='تقرير يناير'!$C$4,$P282='تقرير يناير'!$C$6),COUNT(AA$4:AA281)+1,"")</f>
        <v/>
      </c>
      <c r="AB282">
        <f>IF(AND($A282&lt;&gt;"",$B282&lt;&gt;"",$R282='تقرير فبراير'!$C$4,$P282='تقرير فبراير'!$C$6),COUNT(AB$4:AB281)+1,"")</f>
        <v/>
      </c>
      <c r="AC282">
        <f>IF(AND($A282&lt;&gt;"",$B282&lt;&gt;"",$R282='تقرير مارس'!$C$4,$P282='تقرير مارس'!$C$6),COUNT(AC$4:AC281)+1,"")</f>
        <v/>
      </c>
      <c r="AD282">
        <f>IF(AND($A282&lt;&gt;"",$B282&lt;&gt;"",$R282='تقرير أبريل'!$C$4,$P282='تقرير أبريل'!$C$6),COUNT(AD$4:AD281)+1,"")</f>
        <v/>
      </c>
      <c r="AE282">
        <f>IF(AND($A282&lt;&gt;"",$B282&lt;&gt;"",$R282='تقرير مايو'!$C$4,$P282='تقرير مايو'!$C$6),COUNT(AE$4:AE281)+1,"")</f>
        <v/>
      </c>
    </row>
    <row r="283">
      <c r="A283" s="16" t="n"/>
      <c r="B283" s="17" t="n"/>
      <c r="C283" s="17" t="n"/>
      <c r="D283" s="18" t="n"/>
      <c r="E283" s="17" t="n"/>
      <c r="F283" s="17" t="n"/>
      <c r="G283" s="19" t="n"/>
      <c r="H283" s="17" t="n"/>
      <c r="I283" s="17" t="n"/>
      <c r="J283" s="17" t="n"/>
      <c r="K283" s="20">
        <f>IF($B283="","",IFERROR(INDEX(الموظفات!$A$5:$A$304,MATCH($B283,الموظفات!$B$5:$B$304,0))&amp;"",""))</f>
        <v/>
      </c>
      <c r="L283" s="21">
        <f>IF($B283="","",IFERROR(INDEX(الموظفات!$C$5:$C$304,MATCH($B283,الموظفات!$B$5:$B$304,0))&amp;"",""))</f>
        <v/>
      </c>
      <c r="M283" s="20">
        <f>IF($B283="","",IFERROR(INDEX(الموظفات!$D$5:$D$304,MATCH($B283,الموظفات!$B$5:$B$304,0))&amp;"",""))</f>
        <v/>
      </c>
      <c r="N283" s="20">
        <f>IF($B283="","",IFERROR(INDEX(الموظفات!$E$5:$E$304,MATCH($B283,الموظفات!$B$5:$B$304,0))&amp;"",""))</f>
        <v/>
      </c>
      <c r="O283" s="21">
        <f>IF(C283="","",IFERROR(INDEX(الإعدادات!$D$7:$D$35,MATCH(C283,الإعدادات!$A$7:$A$35,0))&amp;"",""))</f>
        <v/>
      </c>
      <c r="P283" s="20">
        <f>IF(A283="","",INDEX(الإعدادات!$H$7:$H$18,MONTH(A283)))</f>
        <v/>
      </c>
      <c r="Q283" s="20">
        <f>IF(A283="","",INDEX(الإعدادات!$I$7:$I$18,MONTH(A283)))</f>
        <v/>
      </c>
      <c r="R283" s="20">
        <f>IF(A283="","",IF(MONTH(A283)&gt;=8,YEAR(A283)&amp;"-"&amp;(YEAR(A283)+1),(YEAR(A283)-1)&amp;"-"&amp;YEAR(A283)))</f>
        <v/>
      </c>
      <c r="S283" s="20">
        <f>IF(OR(A283="",B283=""),0,IF(AND(R283=التقارير!$C$4,OR(التقارير!$C$5="سنوي",AND(التقارير!$C$5="شهري",P283=التقارير!$C$6),AND(التقارير!$C$5="فصلي",Q283=التقارير!$C$7))),1,0))</f>
        <v/>
      </c>
      <c r="T283" s="20">
        <f>IF(S283=1,COUNTIF($S$5:S283,1),"")</f>
        <v/>
      </c>
      <c r="U283">
        <f>IF(AND($A283&lt;&gt;"",$B283&lt;&gt;"",$R283='تقرير الفصل الأول'!$C$4,$Q283='تقرير الفصل الأول'!$C$7),COUNT(U$4:U282)+1,"")</f>
        <v/>
      </c>
      <c r="V283">
        <f>IF(AND($A283&lt;&gt;"",$B283&lt;&gt;"",$R283='تقرير الفصل الثاني'!$C$4,$Q283='تقرير الفصل الثاني'!$C$7),COUNT(V$4:V282)+1,"")</f>
        <v/>
      </c>
      <c r="W283">
        <f>IF(AND($A283&lt;&gt;"",$B283&lt;&gt;"",$R283='تقرير سبتمبر'!$C$4,$P283='تقرير سبتمبر'!$C$6),COUNT(W$4:W282)+1,"")</f>
        <v/>
      </c>
      <c r="X283">
        <f>IF(AND($A283&lt;&gt;"",$B283&lt;&gt;"",$R283='تقرير أكتوبر'!$C$4,$P283='تقرير أكتوبر'!$C$6),COUNT(X$4:X282)+1,"")</f>
        <v/>
      </c>
      <c r="Y283">
        <f>IF(AND($A283&lt;&gt;"",$B283&lt;&gt;"",$R283='تقرير نوفمبر'!$C$4,$P283='تقرير نوفمبر'!$C$6),COUNT(Y$4:Y282)+1,"")</f>
        <v/>
      </c>
      <c r="Z283">
        <f>IF(AND($A283&lt;&gt;"",$B283&lt;&gt;"",$R283='تقرير ديسمبر'!$C$4,$P283='تقرير ديسمبر'!$C$6),COUNT(Z$4:Z282)+1,"")</f>
        <v/>
      </c>
      <c r="AA283">
        <f>IF(AND($A283&lt;&gt;"",$B283&lt;&gt;"",$R283='تقرير يناير'!$C$4,$P283='تقرير يناير'!$C$6),COUNT(AA$4:AA282)+1,"")</f>
        <v/>
      </c>
      <c r="AB283">
        <f>IF(AND($A283&lt;&gt;"",$B283&lt;&gt;"",$R283='تقرير فبراير'!$C$4,$P283='تقرير فبراير'!$C$6),COUNT(AB$4:AB282)+1,"")</f>
        <v/>
      </c>
      <c r="AC283">
        <f>IF(AND($A283&lt;&gt;"",$B283&lt;&gt;"",$R283='تقرير مارس'!$C$4,$P283='تقرير مارس'!$C$6),COUNT(AC$4:AC282)+1,"")</f>
        <v/>
      </c>
      <c r="AD283">
        <f>IF(AND($A283&lt;&gt;"",$B283&lt;&gt;"",$R283='تقرير أبريل'!$C$4,$P283='تقرير أبريل'!$C$6),COUNT(AD$4:AD282)+1,"")</f>
        <v/>
      </c>
      <c r="AE283">
        <f>IF(AND($A283&lt;&gt;"",$B283&lt;&gt;"",$R283='تقرير مايو'!$C$4,$P283='تقرير مايو'!$C$6),COUNT(AE$4:AE282)+1,"")</f>
        <v/>
      </c>
    </row>
    <row r="284">
      <c r="A284" s="16" t="n"/>
      <c r="B284" s="17" t="n"/>
      <c r="C284" s="17" t="n"/>
      <c r="D284" s="18" t="n"/>
      <c r="E284" s="17" t="n"/>
      <c r="F284" s="17" t="n"/>
      <c r="G284" s="19" t="n"/>
      <c r="H284" s="17" t="n"/>
      <c r="I284" s="17" t="n"/>
      <c r="J284" s="17" t="n"/>
      <c r="K284" s="20">
        <f>IF($B284="","",IFERROR(INDEX(الموظفات!$A$5:$A$304,MATCH($B284,الموظفات!$B$5:$B$304,0))&amp;"",""))</f>
        <v/>
      </c>
      <c r="L284" s="21">
        <f>IF($B284="","",IFERROR(INDEX(الموظفات!$C$5:$C$304,MATCH($B284,الموظفات!$B$5:$B$304,0))&amp;"",""))</f>
        <v/>
      </c>
      <c r="M284" s="20">
        <f>IF($B284="","",IFERROR(INDEX(الموظفات!$D$5:$D$304,MATCH($B284,الموظفات!$B$5:$B$304,0))&amp;"",""))</f>
        <v/>
      </c>
      <c r="N284" s="20">
        <f>IF($B284="","",IFERROR(INDEX(الموظفات!$E$5:$E$304,MATCH($B284,الموظفات!$B$5:$B$304,0))&amp;"",""))</f>
        <v/>
      </c>
      <c r="O284" s="21">
        <f>IF(C284="","",IFERROR(INDEX(الإعدادات!$D$7:$D$35,MATCH(C284,الإعدادات!$A$7:$A$35,0))&amp;"",""))</f>
        <v/>
      </c>
      <c r="P284" s="20">
        <f>IF(A284="","",INDEX(الإعدادات!$H$7:$H$18,MONTH(A284)))</f>
        <v/>
      </c>
      <c r="Q284" s="20">
        <f>IF(A284="","",INDEX(الإعدادات!$I$7:$I$18,MONTH(A284)))</f>
        <v/>
      </c>
      <c r="R284" s="20">
        <f>IF(A284="","",IF(MONTH(A284)&gt;=8,YEAR(A284)&amp;"-"&amp;(YEAR(A284)+1),(YEAR(A284)-1)&amp;"-"&amp;YEAR(A284)))</f>
        <v/>
      </c>
      <c r="S284" s="20">
        <f>IF(OR(A284="",B284=""),0,IF(AND(R284=التقارير!$C$4,OR(التقارير!$C$5="سنوي",AND(التقارير!$C$5="شهري",P284=التقارير!$C$6),AND(التقارير!$C$5="فصلي",Q284=التقارير!$C$7))),1,0))</f>
        <v/>
      </c>
      <c r="T284" s="20">
        <f>IF(S284=1,COUNTIF($S$5:S284,1),"")</f>
        <v/>
      </c>
      <c r="U284">
        <f>IF(AND($A284&lt;&gt;"",$B284&lt;&gt;"",$R284='تقرير الفصل الأول'!$C$4,$Q284='تقرير الفصل الأول'!$C$7),COUNT(U$4:U283)+1,"")</f>
        <v/>
      </c>
      <c r="V284">
        <f>IF(AND($A284&lt;&gt;"",$B284&lt;&gt;"",$R284='تقرير الفصل الثاني'!$C$4,$Q284='تقرير الفصل الثاني'!$C$7),COUNT(V$4:V283)+1,"")</f>
        <v/>
      </c>
      <c r="W284">
        <f>IF(AND($A284&lt;&gt;"",$B284&lt;&gt;"",$R284='تقرير سبتمبر'!$C$4,$P284='تقرير سبتمبر'!$C$6),COUNT(W$4:W283)+1,"")</f>
        <v/>
      </c>
      <c r="X284">
        <f>IF(AND($A284&lt;&gt;"",$B284&lt;&gt;"",$R284='تقرير أكتوبر'!$C$4,$P284='تقرير أكتوبر'!$C$6),COUNT(X$4:X283)+1,"")</f>
        <v/>
      </c>
      <c r="Y284">
        <f>IF(AND($A284&lt;&gt;"",$B284&lt;&gt;"",$R284='تقرير نوفمبر'!$C$4,$P284='تقرير نوفمبر'!$C$6),COUNT(Y$4:Y283)+1,"")</f>
        <v/>
      </c>
      <c r="Z284">
        <f>IF(AND($A284&lt;&gt;"",$B284&lt;&gt;"",$R284='تقرير ديسمبر'!$C$4,$P284='تقرير ديسمبر'!$C$6),COUNT(Z$4:Z283)+1,"")</f>
        <v/>
      </c>
      <c r="AA284">
        <f>IF(AND($A284&lt;&gt;"",$B284&lt;&gt;"",$R284='تقرير يناير'!$C$4,$P284='تقرير يناير'!$C$6),COUNT(AA$4:AA283)+1,"")</f>
        <v/>
      </c>
      <c r="AB284">
        <f>IF(AND($A284&lt;&gt;"",$B284&lt;&gt;"",$R284='تقرير فبراير'!$C$4,$P284='تقرير فبراير'!$C$6),COUNT(AB$4:AB283)+1,"")</f>
        <v/>
      </c>
      <c r="AC284">
        <f>IF(AND($A284&lt;&gt;"",$B284&lt;&gt;"",$R284='تقرير مارس'!$C$4,$P284='تقرير مارس'!$C$6),COUNT(AC$4:AC283)+1,"")</f>
        <v/>
      </c>
      <c r="AD284">
        <f>IF(AND($A284&lt;&gt;"",$B284&lt;&gt;"",$R284='تقرير أبريل'!$C$4,$P284='تقرير أبريل'!$C$6),COUNT(AD$4:AD283)+1,"")</f>
        <v/>
      </c>
      <c r="AE284">
        <f>IF(AND($A284&lt;&gt;"",$B284&lt;&gt;"",$R284='تقرير مايو'!$C$4,$P284='تقرير مايو'!$C$6),COUNT(AE$4:AE283)+1,"")</f>
        <v/>
      </c>
    </row>
    <row r="285">
      <c r="A285" s="16" t="n"/>
      <c r="B285" s="17" t="n"/>
      <c r="C285" s="17" t="n"/>
      <c r="D285" s="18" t="n"/>
      <c r="E285" s="17" t="n"/>
      <c r="F285" s="17" t="n"/>
      <c r="G285" s="19" t="n"/>
      <c r="H285" s="17" t="n"/>
      <c r="I285" s="17" t="n"/>
      <c r="J285" s="17" t="n"/>
      <c r="K285" s="20">
        <f>IF($B285="","",IFERROR(INDEX(الموظفات!$A$5:$A$304,MATCH($B285,الموظفات!$B$5:$B$304,0))&amp;"",""))</f>
        <v/>
      </c>
      <c r="L285" s="21">
        <f>IF($B285="","",IFERROR(INDEX(الموظفات!$C$5:$C$304,MATCH($B285,الموظفات!$B$5:$B$304,0))&amp;"",""))</f>
        <v/>
      </c>
      <c r="M285" s="20">
        <f>IF($B285="","",IFERROR(INDEX(الموظفات!$D$5:$D$304,MATCH($B285,الموظفات!$B$5:$B$304,0))&amp;"",""))</f>
        <v/>
      </c>
      <c r="N285" s="20">
        <f>IF($B285="","",IFERROR(INDEX(الموظفات!$E$5:$E$304,MATCH($B285,الموظفات!$B$5:$B$304,0))&amp;"",""))</f>
        <v/>
      </c>
      <c r="O285" s="21">
        <f>IF(C285="","",IFERROR(INDEX(الإعدادات!$D$7:$D$35,MATCH(C285,الإعدادات!$A$7:$A$35,0))&amp;"",""))</f>
        <v/>
      </c>
      <c r="P285" s="20">
        <f>IF(A285="","",INDEX(الإعدادات!$H$7:$H$18,MONTH(A285)))</f>
        <v/>
      </c>
      <c r="Q285" s="20">
        <f>IF(A285="","",INDEX(الإعدادات!$I$7:$I$18,MONTH(A285)))</f>
        <v/>
      </c>
      <c r="R285" s="20">
        <f>IF(A285="","",IF(MONTH(A285)&gt;=8,YEAR(A285)&amp;"-"&amp;(YEAR(A285)+1),(YEAR(A285)-1)&amp;"-"&amp;YEAR(A285)))</f>
        <v/>
      </c>
      <c r="S285" s="20">
        <f>IF(OR(A285="",B285=""),0,IF(AND(R285=التقارير!$C$4,OR(التقارير!$C$5="سنوي",AND(التقارير!$C$5="شهري",P285=التقارير!$C$6),AND(التقارير!$C$5="فصلي",Q285=التقارير!$C$7))),1,0))</f>
        <v/>
      </c>
      <c r="T285" s="20">
        <f>IF(S285=1,COUNTIF($S$5:S285,1),"")</f>
        <v/>
      </c>
      <c r="U285">
        <f>IF(AND($A285&lt;&gt;"",$B285&lt;&gt;"",$R285='تقرير الفصل الأول'!$C$4,$Q285='تقرير الفصل الأول'!$C$7),COUNT(U$4:U284)+1,"")</f>
        <v/>
      </c>
      <c r="V285">
        <f>IF(AND($A285&lt;&gt;"",$B285&lt;&gt;"",$R285='تقرير الفصل الثاني'!$C$4,$Q285='تقرير الفصل الثاني'!$C$7),COUNT(V$4:V284)+1,"")</f>
        <v/>
      </c>
      <c r="W285">
        <f>IF(AND($A285&lt;&gt;"",$B285&lt;&gt;"",$R285='تقرير سبتمبر'!$C$4,$P285='تقرير سبتمبر'!$C$6),COUNT(W$4:W284)+1,"")</f>
        <v/>
      </c>
      <c r="X285">
        <f>IF(AND($A285&lt;&gt;"",$B285&lt;&gt;"",$R285='تقرير أكتوبر'!$C$4,$P285='تقرير أكتوبر'!$C$6),COUNT(X$4:X284)+1,"")</f>
        <v/>
      </c>
      <c r="Y285">
        <f>IF(AND($A285&lt;&gt;"",$B285&lt;&gt;"",$R285='تقرير نوفمبر'!$C$4,$P285='تقرير نوفمبر'!$C$6),COUNT(Y$4:Y284)+1,"")</f>
        <v/>
      </c>
      <c r="Z285">
        <f>IF(AND($A285&lt;&gt;"",$B285&lt;&gt;"",$R285='تقرير ديسمبر'!$C$4,$P285='تقرير ديسمبر'!$C$6),COUNT(Z$4:Z284)+1,"")</f>
        <v/>
      </c>
      <c r="AA285">
        <f>IF(AND($A285&lt;&gt;"",$B285&lt;&gt;"",$R285='تقرير يناير'!$C$4,$P285='تقرير يناير'!$C$6),COUNT(AA$4:AA284)+1,"")</f>
        <v/>
      </c>
      <c r="AB285">
        <f>IF(AND($A285&lt;&gt;"",$B285&lt;&gt;"",$R285='تقرير فبراير'!$C$4,$P285='تقرير فبراير'!$C$6),COUNT(AB$4:AB284)+1,"")</f>
        <v/>
      </c>
      <c r="AC285">
        <f>IF(AND($A285&lt;&gt;"",$B285&lt;&gt;"",$R285='تقرير مارس'!$C$4,$P285='تقرير مارس'!$C$6),COUNT(AC$4:AC284)+1,"")</f>
        <v/>
      </c>
      <c r="AD285">
        <f>IF(AND($A285&lt;&gt;"",$B285&lt;&gt;"",$R285='تقرير أبريل'!$C$4,$P285='تقرير أبريل'!$C$6),COUNT(AD$4:AD284)+1,"")</f>
        <v/>
      </c>
      <c r="AE285">
        <f>IF(AND($A285&lt;&gt;"",$B285&lt;&gt;"",$R285='تقرير مايو'!$C$4,$P285='تقرير مايو'!$C$6),COUNT(AE$4:AE284)+1,"")</f>
        <v/>
      </c>
    </row>
    <row r="286">
      <c r="A286" s="16" t="n"/>
      <c r="B286" s="17" t="n"/>
      <c r="C286" s="17" t="n"/>
      <c r="D286" s="18" t="n"/>
      <c r="E286" s="17" t="n"/>
      <c r="F286" s="17" t="n"/>
      <c r="G286" s="19" t="n"/>
      <c r="H286" s="17" t="n"/>
      <c r="I286" s="17" t="n"/>
      <c r="J286" s="17" t="n"/>
      <c r="K286" s="20">
        <f>IF($B286="","",IFERROR(INDEX(الموظفات!$A$5:$A$304,MATCH($B286,الموظفات!$B$5:$B$304,0))&amp;"",""))</f>
        <v/>
      </c>
      <c r="L286" s="21">
        <f>IF($B286="","",IFERROR(INDEX(الموظفات!$C$5:$C$304,MATCH($B286,الموظفات!$B$5:$B$304,0))&amp;"",""))</f>
        <v/>
      </c>
      <c r="M286" s="20">
        <f>IF($B286="","",IFERROR(INDEX(الموظفات!$D$5:$D$304,MATCH($B286,الموظفات!$B$5:$B$304,0))&amp;"",""))</f>
        <v/>
      </c>
      <c r="N286" s="20">
        <f>IF($B286="","",IFERROR(INDEX(الموظفات!$E$5:$E$304,MATCH($B286,الموظفات!$B$5:$B$304,0))&amp;"",""))</f>
        <v/>
      </c>
      <c r="O286" s="21">
        <f>IF(C286="","",IFERROR(INDEX(الإعدادات!$D$7:$D$35,MATCH(C286,الإعدادات!$A$7:$A$35,0))&amp;"",""))</f>
        <v/>
      </c>
      <c r="P286" s="20">
        <f>IF(A286="","",INDEX(الإعدادات!$H$7:$H$18,MONTH(A286)))</f>
        <v/>
      </c>
      <c r="Q286" s="20">
        <f>IF(A286="","",INDEX(الإعدادات!$I$7:$I$18,MONTH(A286)))</f>
        <v/>
      </c>
      <c r="R286" s="20">
        <f>IF(A286="","",IF(MONTH(A286)&gt;=8,YEAR(A286)&amp;"-"&amp;(YEAR(A286)+1),(YEAR(A286)-1)&amp;"-"&amp;YEAR(A286)))</f>
        <v/>
      </c>
      <c r="S286" s="20">
        <f>IF(OR(A286="",B286=""),0,IF(AND(R286=التقارير!$C$4,OR(التقارير!$C$5="سنوي",AND(التقارير!$C$5="شهري",P286=التقارير!$C$6),AND(التقارير!$C$5="فصلي",Q286=التقارير!$C$7))),1,0))</f>
        <v/>
      </c>
      <c r="T286" s="20">
        <f>IF(S286=1,COUNTIF($S$5:S286,1),"")</f>
        <v/>
      </c>
      <c r="U286">
        <f>IF(AND($A286&lt;&gt;"",$B286&lt;&gt;"",$R286='تقرير الفصل الأول'!$C$4,$Q286='تقرير الفصل الأول'!$C$7),COUNT(U$4:U285)+1,"")</f>
        <v/>
      </c>
      <c r="V286">
        <f>IF(AND($A286&lt;&gt;"",$B286&lt;&gt;"",$R286='تقرير الفصل الثاني'!$C$4,$Q286='تقرير الفصل الثاني'!$C$7),COUNT(V$4:V285)+1,"")</f>
        <v/>
      </c>
      <c r="W286">
        <f>IF(AND($A286&lt;&gt;"",$B286&lt;&gt;"",$R286='تقرير سبتمبر'!$C$4,$P286='تقرير سبتمبر'!$C$6),COUNT(W$4:W285)+1,"")</f>
        <v/>
      </c>
      <c r="X286">
        <f>IF(AND($A286&lt;&gt;"",$B286&lt;&gt;"",$R286='تقرير أكتوبر'!$C$4,$P286='تقرير أكتوبر'!$C$6),COUNT(X$4:X285)+1,"")</f>
        <v/>
      </c>
      <c r="Y286">
        <f>IF(AND($A286&lt;&gt;"",$B286&lt;&gt;"",$R286='تقرير نوفمبر'!$C$4,$P286='تقرير نوفمبر'!$C$6),COUNT(Y$4:Y285)+1,"")</f>
        <v/>
      </c>
      <c r="Z286">
        <f>IF(AND($A286&lt;&gt;"",$B286&lt;&gt;"",$R286='تقرير ديسمبر'!$C$4,$P286='تقرير ديسمبر'!$C$6),COUNT(Z$4:Z285)+1,"")</f>
        <v/>
      </c>
      <c r="AA286">
        <f>IF(AND($A286&lt;&gt;"",$B286&lt;&gt;"",$R286='تقرير يناير'!$C$4,$P286='تقرير يناير'!$C$6),COUNT(AA$4:AA285)+1,"")</f>
        <v/>
      </c>
      <c r="AB286">
        <f>IF(AND($A286&lt;&gt;"",$B286&lt;&gt;"",$R286='تقرير فبراير'!$C$4,$P286='تقرير فبراير'!$C$6),COUNT(AB$4:AB285)+1,"")</f>
        <v/>
      </c>
      <c r="AC286">
        <f>IF(AND($A286&lt;&gt;"",$B286&lt;&gt;"",$R286='تقرير مارس'!$C$4,$P286='تقرير مارس'!$C$6),COUNT(AC$4:AC285)+1,"")</f>
        <v/>
      </c>
      <c r="AD286">
        <f>IF(AND($A286&lt;&gt;"",$B286&lt;&gt;"",$R286='تقرير أبريل'!$C$4,$P286='تقرير أبريل'!$C$6),COUNT(AD$4:AD285)+1,"")</f>
        <v/>
      </c>
      <c r="AE286">
        <f>IF(AND($A286&lt;&gt;"",$B286&lt;&gt;"",$R286='تقرير مايو'!$C$4,$P286='تقرير مايو'!$C$6),COUNT(AE$4:AE285)+1,"")</f>
        <v/>
      </c>
    </row>
    <row r="287">
      <c r="A287" s="16" t="n"/>
      <c r="B287" s="17" t="n"/>
      <c r="C287" s="17" t="n"/>
      <c r="D287" s="18" t="n"/>
      <c r="E287" s="17" t="n"/>
      <c r="F287" s="17" t="n"/>
      <c r="G287" s="19" t="n"/>
      <c r="H287" s="17" t="n"/>
      <c r="I287" s="17" t="n"/>
      <c r="J287" s="17" t="n"/>
      <c r="K287" s="20">
        <f>IF($B287="","",IFERROR(INDEX(الموظفات!$A$5:$A$304,MATCH($B287,الموظفات!$B$5:$B$304,0))&amp;"",""))</f>
        <v/>
      </c>
      <c r="L287" s="21">
        <f>IF($B287="","",IFERROR(INDEX(الموظفات!$C$5:$C$304,MATCH($B287,الموظفات!$B$5:$B$304,0))&amp;"",""))</f>
        <v/>
      </c>
      <c r="M287" s="20">
        <f>IF($B287="","",IFERROR(INDEX(الموظفات!$D$5:$D$304,MATCH($B287,الموظفات!$B$5:$B$304,0))&amp;"",""))</f>
        <v/>
      </c>
      <c r="N287" s="20">
        <f>IF($B287="","",IFERROR(INDEX(الموظفات!$E$5:$E$304,MATCH($B287,الموظفات!$B$5:$B$304,0))&amp;"",""))</f>
        <v/>
      </c>
      <c r="O287" s="21">
        <f>IF(C287="","",IFERROR(INDEX(الإعدادات!$D$7:$D$35,MATCH(C287,الإعدادات!$A$7:$A$35,0))&amp;"",""))</f>
        <v/>
      </c>
      <c r="P287" s="20">
        <f>IF(A287="","",INDEX(الإعدادات!$H$7:$H$18,MONTH(A287)))</f>
        <v/>
      </c>
      <c r="Q287" s="20">
        <f>IF(A287="","",INDEX(الإعدادات!$I$7:$I$18,MONTH(A287)))</f>
        <v/>
      </c>
      <c r="R287" s="20">
        <f>IF(A287="","",IF(MONTH(A287)&gt;=8,YEAR(A287)&amp;"-"&amp;(YEAR(A287)+1),(YEAR(A287)-1)&amp;"-"&amp;YEAR(A287)))</f>
        <v/>
      </c>
      <c r="S287" s="20">
        <f>IF(OR(A287="",B287=""),0,IF(AND(R287=التقارير!$C$4,OR(التقارير!$C$5="سنوي",AND(التقارير!$C$5="شهري",P287=التقارير!$C$6),AND(التقارير!$C$5="فصلي",Q287=التقارير!$C$7))),1,0))</f>
        <v/>
      </c>
      <c r="T287" s="20">
        <f>IF(S287=1,COUNTIF($S$5:S287,1),"")</f>
        <v/>
      </c>
      <c r="U287">
        <f>IF(AND($A287&lt;&gt;"",$B287&lt;&gt;"",$R287='تقرير الفصل الأول'!$C$4,$Q287='تقرير الفصل الأول'!$C$7),COUNT(U$4:U286)+1,"")</f>
        <v/>
      </c>
      <c r="V287">
        <f>IF(AND($A287&lt;&gt;"",$B287&lt;&gt;"",$R287='تقرير الفصل الثاني'!$C$4,$Q287='تقرير الفصل الثاني'!$C$7),COUNT(V$4:V286)+1,"")</f>
        <v/>
      </c>
      <c r="W287">
        <f>IF(AND($A287&lt;&gt;"",$B287&lt;&gt;"",$R287='تقرير سبتمبر'!$C$4,$P287='تقرير سبتمبر'!$C$6),COUNT(W$4:W286)+1,"")</f>
        <v/>
      </c>
      <c r="X287">
        <f>IF(AND($A287&lt;&gt;"",$B287&lt;&gt;"",$R287='تقرير أكتوبر'!$C$4,$P287='تقرير أكتوبر'!$C$6),COUNT(X$4:X286)+1,"")</f>
        <v/>
      </c>
      <c r="Y287">
        <f>IF(AND($A287&lt;&gt;"",$B287&lt;&gt;"",$R287='تقرير نوفمبر'!$C$4,$P287='تقرير نوفمبر'!$C$6),COUNT(Y$4:Y286)+1,"")</f>
        <v/>
      </c>
      <c r="Z287">
        <f>IF(AND($A287&lt;&gt;"",$B287&lt;&gt;"",$R287='تقرير ديسمبر'!$C$4,$P287='تقرير ديسمبر'!$C$6),COUNT(Z$4:Z286)+1,"")</f>
        <v/>
      </c>
      <c r="AA287">
        <f>IF(AND($A287&lt;&gt;"",$B287&lt;&gt;"",$R287='تقرير يناير'!$C$4,$P287='تقرير يناير'!$C$6),COUNT(AA$4:AA286)+1,"")</f>
        <v/>
      </c>
      <c r="AB287">
        <f>IF(AND($A287&lt;&gt;"",$B287&lt;&gt;"",$R287='تقرير فبراير'!$C$4,$P287='تقرير فبراير'!$C$6),COUNT(AB$4:AB286)+1,"")</f>
        <v/>
      </c>
      <c r="AC287">
        <f>IF(AND($A287&lt;&gt;"",$B287&lt;&gt;"",$R287='تقرير مارس'!$C$4,$P287='تقرير مارس'!$C$6),COUNT(AC$4:AC286)+1,"")</f>
        <v/>
      </c>
      <c r="AD287">
        <f>IF(AND($A287&lt;&gt;"",$B287&lt;&gt;"",$R287='تقرير أبريل'!$C$4,$P287='تقرير أبريل'!$C$6),COUNT(AD$4:AD286)+1,"")</f>
        <v/>
      </c>
      <c r="AE287">
        <f>IF(AND($A287&lt;&gt;"",$B287&lt;&gt;"",$R287='تقرير مايو'!$C$4,$P287='تقرير مايو'!$C$6),COUNT(AE$4:AE286)+1,"")</f>
        <v/>
      </c>
    </row>
    <row r="288">
      <c r="A288" s="16" t="n"/>
      <c r="B288" s="17" t="n"/>
      <c r="C288" s="17" t="n"/>
      <c r="D288" s="18" t="n"/>
      <c r="E288" s="17" t="n"/>
      <c r="F288" s="17" t="n"/>
      <c r="G288" s="19" t="n"/>
      <c r="H288" s="17" t="n"/>
      <c r="I288" s="17" t="n"/>
      <c r="J288" s="17" t="n"/>
      <c r="K288" s="20">
        <f>IF($B288="","",IFERROR(INDEX(الموظفات!$A$5:$A$304,MATCH($B288,الموظفات!$B$5:$B$304,0))&amp;"",""))</f>
        <v/>
      </c>
      <c r="L288" s="21">
        <f>IF($B288="","",IFERROR(INDEX(الموظفات!$C$5:$C$304,MATCH($B288,الموظفات!$B$5:$B$304,0))&amp;"",""))</f>
        <v/>
      </c>
      <c r="M288" s="20">
        <f>IF($B288="","",IFERROR(INDEX(الموظفات!$D$5:$D$304,MATCH($B288,الموظفات!$B$5:$B$304,0))&amp;"",""))</f>
        <v/>
      </c>
      <c r="N288" s="20">
        <f>IF($B288="","",IFERROR(INDEX(الموظفات!$E$5:$E$304,MATCH($B288,الموظفات!$B$5:$B$304,0))&amp;"",""))</f>
        <v/>
      </c>
      <c r="O288" s="21">
        <f>IF(C288="","",IFERROR(INDEX(الإعدادات!$D$7:$D$35,MATCH(C288,الإعدادات!$A$7:$A$35,0))&amp;"",""))</f>
        <v/>
      </c>
      <c r="P288" s="20">
        <f>IF(A288="","",INDEX(الإعدادات!$H$7:$H$18,MONTH(A288)))</f>
        <v/>
      </c>
      <c r="Q288" s="20">
        <f>IF(A288="","",INDEX(الإعدادات!$I$7:$I$18,MONTH(A288)))</f>
        <v/>
      </c>
      <c r="R288" s="20">
        <f>IF(A288="","",IF(MONTH(A288)&gt;=8,YEAR(A288)&amp;"-"&amp;(YEAR(A288)+1),(YEAR(A288)-1)&amp;"-"&amp;YEAR(A288)))</f>
        <v/>
      </c>
      <c r="S288" s="20">
        <f>IF(OR(A288="",B288=""),0,IF(AND(R288=التقارير!$C$4,OR(التقارير!$C$5="سنوي",AND(التقارير!$C$5="شهري",P288=التقارير!$C$6),AND(التقارير!$C$5="فصلي",Q288=التقارير!$C$7))),1,0))</f>
        <v/>
      </c>
      <c r="T288" s="20">
        <f>IF(S288=1,COUNTIF($S$5:S288,1),"")</f>
        <v/>
      </c>
      <c r="U288">
        <f>IF(AND($A288&lt;&gt;"",$B288&lt;&gt;"",$R288='تقرير الفصل الأول'!$C$4,$Q288='تقرير الفصل الأول'!$C$7),COUNT(U$4:U287)+1,"")</f>
        <v/>
      </c>
      <c r="V288">
        <f>IF(AND($A288&lt;&gt;"",$B288&lt;&gt;"",$R288='تقرير الفصل الثاني'!$C$4,$Q288='تقرير الفصل الثاني'!$C$7),COUNT(V$4:V287)+1,"")</f>
        <v/>
      </c>
      <c r="W288">
        <f>IF(AND($A288&lt;&gt;"",$B288&lt;&gt;"",$R288='تقرير سبتمبر'!$C$4,$P288='تقرير سبتمبر'!$C$6),COUNT(W$4:W287)+1,"")</f>
        <v/>
      </c>
      <c r="X288">
        <f>IF(AND($A288&lt;&gt;"",$B288&lt;&gt;"",$R288='تقرير أكتوبر'!$C$4,$P288='تقرير أكتوبر'!$C$6),COUNT(X$4:X287)+1,"")</f>
        <v/>
      </c>
      <c r="Y288">
        <f>IF(AND($A288&lt;&gt;"",$B288&lt;&gt;"",$R288='تقرير نوفمبر'!$C$4,$P288='تقرير نوفمبر'!$C$6),COUNT(Y$4:Y287)+1,"")</f>
        <v/>
      </c>
      <c r="Z288">
        <f>IF(AND($A288&lt;&gt;"",$B288&lt;&gt;"",$R288='تقرير ديسمبر'!$C$4,$P288='تقرير ديسمبر'!$C$6),COUNT(Z$4:Z287)+1,"")</f>
        <v/>
      </c>
      <c r="AA288">
        <f>IF(AND($A288&lt;&gt;"",$B288&lt;&gt;"",$R288='تقرير يناير'!$C$4,$P288='تقرير يناير'!$C$6),COUNT(AA$4:AA287)+1,"")</f>
        <v/>
      </c>
      <c r="AB288">
        <f>IF(AND($A288&lt;&gt;"",$B288&lt;&gt;"",$R288='تقرير فبراير'!$C$4,$P288='تقرير فبراير'!$C$6),COUNT(AB$4:AB287)+1,"")</f>
        <v/>
      </c>
      <c r="AC288">
        <f>IF(AND($A288&lt;&gt;"",$B288&lt;&gt;"",$R288='تقرير مارس'!$C$4,$P288='تقرير مارس'!$C$6),COUNT(AC$4:AC287)+1,"")</f>
        <v/>
      </c>
      <c r="AD288">
        <f>IF(AND($A288&lt;&gt;"",$B288&lt;&gt;"",$R288='تقرير أبريل'!$C$4,$P288='تقرير أبريل'!$C$6),COUNT(AD$4:AD287)+1,"")</f>
        <v/>
      </c>
      <c r="AE288">
        <f>IF(AND($A288&lt;&gt;"",$B288&lt;&gt;"",$R288='تقرير مايو'!$C$4,$P288='تقرير مايو'!$C$6),COUNT(AE$4:AE287)+1,"")</f>
        <v/>
      </c>
    </row>
    <row r="289">
      <c r="A289" s="16" t="n"/>
      <c r="B289" s="17" t="n"/>
      <c r="C289" s="17" t="n"/>
      <c r="D289" s="18" t="n"/>
      <c r="E289" s="17" t="n"/>
      <c r="F289" s="17" t="n"/>
      <c r="G289" s="19" t="n"/>
      <c r="H289" s="17" t="n"/>
      <c r="I289" s="17" t="n"/>
      <c r="J289" s="17" t="n"/>
      <c r="K289" s="20">
        <f>IF($B289="","",IFERROR(INDEX(الموظفات!$A$5:$A$304,MATCH($B289,الموظفات!$B$5:$B$304,0))&amp;"",""))</f>
        <v/>
      </c>
      <c r="L289" s="21">
        <f>IF($B289="","",IFERROR(INDEX(الموظفات!$C$5:$C$304,MATCH($B289,الموظفات!$B$5:$B$304,0))&amp;"",""))</f>
        <v/>
      </c>
      <c r="M289" s="20">
        <f>IF($B289="","",IFERROR(INDEX(الموظفات!$D$5:$D$304,MATCH($B289,الموظفات!$B$5:$B$304,0))&amp;"",""))</f>
        <v/>
      </c>
      <c r="N289" s="20">
        <f>IF($B289="","",IFERROR(INDEX(الموظفات!$E$5:$E$304,MATCH($B289,الموظفات!$B$5:$B$304,0))&amp;"",""))</f>
        <v/>
      </c>
      <c r="O289" s="21">
        <f>IF(C289="","",IFERROR(INDEX(الإعدادات!$D$7:$D$35,MATCH(C289,الإعدادات!$A$7:$A$35,0))&amp;"",""))</f>
        <v/>
      </c>
      <c r="P289" s="20">
        <f>IF(A289="","",INDEX(الإعدادات!$H$7:$H$18,MONTH(A289)))</f>
        <v/>
      </c>
      <c r="Q289" s="20">
        <f>IF(A289="","",INDEX(الإعدادات!$I$7:$I$18,MONTH(A289)))</f>
        <v/>
      </c>
      <c r="R289" s="20">
        <f>IF(A289="","",IF(MONTH(A289)&gt;=8,YEAR(A289)&amp;"-"&amp;(YEAR(A289)+1),(YEAR(A289)-1)&amp;"-"&amp;YEAR(A289)))</f>
        <v/>
      </c>
      <c r="S289" s="20">
        <f>IF(OR(A289="",B289=""),0,IF(AND(R289=التقارير!$C$4,OR(التقارير!$C$5="سنوي",AND(التقارير!$C$5="شهري",P289=التقارير!$C$6),AND(التقارير!$C$5="فصلي",Q289=التقارير!$C$7))),1,0))</f>
        <v/>
      </c>
      <c r="T289" s="20">
        <f>IF(S289=1,COUNTIF($S$5:S289,1),"")</f>
        <v/>
      </c>
      <c r="U289">
        <f>IF(AND($A289&lt;&gt;"",$B289&lt;&gt;"",$R289='تقرير الفصل الأول'!$C$4,$Q289='تقرير الفصل الأول'!$C$7),COUNT(U$4:U288)+1,"")</f>
        <v/>
      </c>
      <c r="V289">
        <f>IF(AND($A289&lt;&gt;"",$B289&lt;&gt;"",$R289='تقرير الفصل الثاني'!$C$4,$Q289='تقرير الفصل الثاني'!$C$7),COUNT(V$4:V288)+1,"")</f>
        <v/>
      </c>
      <c r="W289">
        <f>IF(AND($A289&lt;&gt;"",$B289&lt;&gt;"",$R289='تقرير سبتمبر'!$C$4,$P289='تقرير سبتمبر'!$C$6),COUNT(W$4:W288)+1,"")</f>
        <v/>
      </c>
      <c r="X289">
        <f>IF(AND($A289&lt;&gt;"",$B289&lt;&gt;"",$R289='تقرير أكتوبر'!$C$4,$P289='تقرير أكتوبر'!$C$6),COUNT(X$4:X288)+1,"")</f>
        <v/>
      </c>
      <c r="Y289">
        <f>IF(AND($A289&lt;&gt;"",$B289&lt;&gt;"",$R289='تقرير نوفمبر'!$C$4,$P289='تقرير نوفمبر'!$C$6),COUNT(Y$4:Y288)+1,"")</f>
        <v/>
      </c>
      <c r="Z289">
        <f>IF(AND($A289&lt;&gt;"",$B289&lt;&gt;"",$R289='تقرير ديسمبر'!$C$4,$P289='تقرير ديسمبر'!$C$6),COUNT(Z$4:Z288)+1,"")</f>
        <v/>
      </c>
      <c r="AA289">
        <f>IF(AND($A289&lt;&gt;"",$B289&lt;&gt;"",$R289='تقرير يناير'!$C$4,$P289='تقرير يناير'!$C$6),COUNT(AA$4:AA288)+1,"")</f>
        <v/>
      </c>
      <c r="AB289">
        <f>IF(AND($A289&lt;&gt;"",$B289&lt;&gt;"",$R289='تقرير فبراير'!$C$4,$P289='تقرير فبراير'!$C$6),COUNT(AB$4:AB288)+1,"")</f>
        <v/>
      </c>
      <c r="AC289">
        <f>IF(AND($A289&lt;&gt;"",$B289&lt;&gt;"",$R289='تقرير مارس'!$C$4,$P289='تقرير مارس'!$C$6),COUNT(AC$4:AC288)+1,"")</f>
        <v/>
      </c>
      <c r="AD289">
        <f>IF(AND($A289&lt;&gt;"",$B289&lt;&gt;"",$R289='تقرير أبريل'!$C$4,$P289='تقرير أبريل'!$C$6),COUNT(AD$4:AD288)+1,"")</f>
        <v/>
      </c>
      <c r="AE289">
        <f>IF(AND($A289&lt;&gt;"",$B289&lt;&gt;"",$R289='تقرير مايو'!$C$4,$P289='تقرير مايو'!$C$6),COUNT(AE$4:AE288)+1,"")</f>
        <v/>
      </c>
    </row>
    <row r="290">
      <c r="A290" s="16" t="n"/>
      <c r="B290" s="17" t="n"/>
      <c r="C290" s="17" t="n"/>
      <c r="D290" s="18" t="n"/>
      <c r="E290" s="17" t="n"/>
      <c r="F290" s="17" t="n"/>
      <c r="G290" s="19" t="n"/>
      <c r="H290" s="17" t="n"/>
      <c r="I290" s="17" t="n"/>
      <c r="J290" s="17" t="n"/>
      <c r="K290" s="20">
        <f>IF($B290="","",IFERROR(INDEX(الموظفات!$A$5:$A$304,MATCH($B290,الموظفات!$B$5:$B$304,0))&amp;"",""))</f>
        <v/>
      </c>
      <c r="L290" s="21">
        <f>IF($B290="","",IFERROR(INDEX(الموظفات!$C$5:$C$304,MATCH($B290,الموظفات!$B$5:$B$304,0))&amp;"",""))</f>
        <v/>
      </c>
      <c r="M290" s="20">
        <f>IF($B290="","",IFERROR(INDEX(الموظفات!$D$5:$D$304,MATCH($B290,الموظفات!$B$5:$B$304,0))&amp;"",""))</f>
        <v/>
      </c>
      <c r="N290" s="20">
        <f>IF($B290="","",IFERROR(INDEX(الموظفات!$E$5:$E$304,MATCH($B290,الموظفات!$B$5:$B$304,0))&amp;"",""))</f>
        <v/>
      </c>
      <c r="O290" s="21">
        <f>IF(C290="","",IFERROR(INDEX(الإعدادات!$D$7:$D$35,MATCH(C290,الإعدادات!$A$7:$A$35,0))&amp;"",""))</f>
        <v/>
      </c>
      <c r="P290" s="20">
        <f>IF(A290="","",INDEX(الإعدادات!$H$7:$H$18,MONTH(A290)))</f>
        <v/>
      </c>
      <c r="Q290" s="20">
        <f>IF(A290="","",INDEX(الإعدادات!$I$7:$I$18,MONTH(A290)))</f>
        <v/>
      </c>
      <c r="R290" s="20">
        <f>IF(A290="","",IF(MONTH(A290)&gt;=8,YEAR(A290)&amp;"-"&amp;(YEAR(A290)+1),(YEAR(A290)-1)&amp;"-"&amp;YEAR(A290)))</f>
        <v/>
      </c>
      <c r="S290" s="20">
        <f>IF(OR(A290="",B290=""),0,IF(AND(R290=التقارير!$C$4,OR(التقارير!$C$5="سنوي",AND(التقارير!$C$5="شهري",P290=التقارير!$C$6),AND(التقارير!$C$5="فصلي",Q290=التقارير!$C$7))),1,0))</f>
        <v/>
      </c>
      <c r="T290" s="20">
        <f>IF(S290=1,COUNTIF($S$5:S290,1),"")</f>
        <v/>
      </c>
      <c r="U290">
        <f>IF(AND($A290&lt;&gt;"",$B290&lt;&gt;"",$R290='تقرير الفصل الأول'!$C$4,$Q290='تقرير الفصل الأول'!$C$7),COUNT(U$4:U289)+1,"")</f>
        <v/>
      </c>
      <c r="V290">
        <f>IF(AND($A290&lt;&gt;"",$B290&lt;&gt;"",$R290='تقرير الفصل الثاني'!$C$4,$Q290='تقرير الفصل الثاني'!$C$7),COUNT(V$4:V289)+1,"")</f>
        <v/>
      </c>
      <c r="W290">
        <f>IF(AND($A290&lt;&gt;"",$B290&lt;&gt;"",$R290='تقرير سبتمبر'!$C$4,$P290='تقرير سبتمبر'!$C$6),COUNT(W$4:W289)+1,"")</f>
        <v/>
      </c>
      <c r="X290">
        <f>IF(AND($A290&lt;&gt;"",$B290&lt;&gt;"",$R290='تقرير أكتوبر'!$C$4,$P290='تقرير أكتوبر'!$C$6),COUNT(X$4:X289)+1,"")</f>
        <v/>
      </c>
      <c r="Y290">
        <f>IF(AND($A290&lt;&gt;"",$B290&lt;&gt;"",$R290='تقرير نوفمبر'!$C$4,$P290='تقرير نوفمبر'!$C$6),COUNT(Y$4:Y289)+1,"")</f>
        <v/>
      </c>
      <c r="Z290">
        <f>IF(AND($A290&lt;&gt;"",$B290&lt;&gt;"",$R290='تقرير ديسمبر'!$C$4,$P290='تقرير ديسمبر'!$C$6),COUNT(Z$4:Z289)+1,"")</f>
        <v/>
      </c>
      <c r="AA290">
        <f>IF(AND($A290&lt;&gt;"",$B290&lt;&gt;"",$R290='تقرير يناير'!$C$4,$P290='تقرير يناير'!$C$6),COUNT(AA$4:AA289)+1,"")</f>
        <v/>
      </c>
      <c r="AB290">
        <f>IF(AND($A290&lt;&gt;"",$B290&lt;&gt;"",$R290='تقرير فبراير'!$C$4,$P290='تقرير فبراير'!$C$6),COUNT(AB$4:AB289)+1,"")</f>
        <v/>
      </c>
      <c r="AC290">
        <f>IF(AND($A290&lt;&gt;"",$B290&lt;&gt;"",$R290='تقرير مارس'!$C$4,$P290='تقرير مارس'!$C$6),COUNT(AC$4:AC289)+1,"")</f>
        <v/>
      </c>
      <c r="AD290">
        <f>IF(AND($A290&lt;&gt;"",$B290&lt;&gt;"",$R290='تقرير أبريل'!$C$4,$P290='تقرير أبريل'!$C$6),COUNT(AD$4:AD289)+1,"")</f>
        <v/>
      </c>
      <c r="AE290">
        <f>IF(AND($A290&lt;&gt;"",$B290&lt;&gt;"",$R290='تقرير مايو'!$C$4,$P290='تقرير مايو'!$C$6),COUNT(AE$4:AE289)+1,"")</f>
        <v/>
      </c>
    </row>
    <row r="291">
      <c r="A291" s="16" t="n"/>
      <c r="B291" s="17" t="n"/>
      <c r="C291" s="17" t="n"/>
      <c r="D291" s="18" t="n"/>
      <c r="E291" s="17" t="n"/>
      <c r="F291" s="17" t="n"/>
      <c r="G291" s="19" t="n"/>
      <c r="H291" s="17" t="n"/>
      <c r="I291" s="17" t="n"/>
      <c r="J291" s="17" t="n"/>
      <c r="K291" s="20">
        <f>IF($B291="","",IFERROR(INDEX(الموظفات!$A$5:$A$304,MATCH($B291,الموظفات!$B$5:$B$304,0))&amp;"",""))</f>
        <v/>
      </c>
      <c r="L291" s="21">
        <f>IF($B291="","",IFERROR(INDEX(الموظفات!$C$5:$C$304,MATCH($B291,الموظفات!$B$5:$B$304,0))&amp;"",""))</f>
        <v/>
      </c>
      <c r="M291" s="20">
        <f>IF($B291="","",IFERROR(INDEX(الموظفات!$D$5:$D$304,MATCH($B291,الموظفات!$B$5:$B$304,0))&amp;"",""))</f>
        <v/>
      </c>
      <c r="N291" s="20">
        <f>IF($B291="","",IFERROR(INDEX(الموظفات!$E$5:$E$304,MATCH($B291,الموظفات!$B$5:$B$304,0))&amp;"",""))</f>
        <v/>
      </c>
      <c r="O291" s="21">
        <f>IF(C291="","",IFERROR(INDEX(الإعدادات!$D$7:$D$35,MATCH(C291,الإعدادات!$A$7:$A$35,0))&amp;"",""))</f>
        <v/>
      </c>
      <c r="P291" s="20">
        <f>IF(A291="","",INDEX(الإعدادات!$H$7:$H$18,MONTH(A291)))</f>
        <v/>
      </c>
      <c r="Q291" s="20">
        <f>IF(A291="","",INDEX(الإعدادات!$I$7:$I$18,MONTH(A291)))</f>
        <v/>
      </c>
      <c r="R291" s="20">
        <f>IF(A291="","",IF(MONTH(A291)&gt;=8,YEAR(A291)&amp;"-"&amp;(YEAR(A291)+1),(YEAR(A291)-1)&amp;"-"&amp;YEAR(A291)))</f>
        <v/>
      </c>
      <c r="S291" s="20">
        <f>IF(OR(A291="",B291=""),0,IF(AND(R291=التقارير!$C$4,OR(التقارير!$C$5="سنوي",AND(التقارير!$C$5="شهري",P291=التقارير!$C$6),AND(التقارير!$C$5="فصلي",Q291=التقارير!$C$7))),1,0))</f>
        <v/>
      </c>
      <c r="T291" s="20">
        <f>IF(S291=1,COUNTIF($S$5:S291,1),"")</f>
        <v/>
      </c>
      <c r="U291">
        <f>IF(AND($A291&lt;&gt;"",$B291&lt;&gt;"",$R291='تقرير الفصل الأول'!$C$4,$Q291='تقرير الفصل الأول'!$C$7),COUNT(U$4:U290)+1,"")</f>
        <v/>
      </c>
      <c r="V291">
        <f>IF(AND($A291&lt;&gt;"",$B291&lt;&gt;"",$R291='تقرير الفصل الثاني'!$C$4,$Q291='تقرير الفصل الثاني'!$C$7),COUNT(V$4:V290)+1,"")</f>
        <v/>
      </c>
      <c r="W291">
        <f>IF(AND($A291&lt;&gt;"",$B291&lt;&gt;"",$R291='تقرير سبتمبر'!$C$4,$P291='تقرير سبتمبر'!$C$6),COUNT(W$4:W290)+1,"")</f>
        <v/>
      </c>
      <c r="X291">
        <f>IF(AND($A291&lt;&gt;"",$B291&lt;&gt;"",$R291='تقرير أكتوبر'!$C$4,$P291='تقرير أكتوبر'!$C$6),COUNT(X$4:X290)+1,"")</f>
        <v/>
      </c>
      <c r="Y291">
        <f>IF(AND($A291&lt;&gt;"",$B291&lt;&gt;"",$R291='تقرير نوفمبر'!$C$4,$P291='تقرير نوفمبر'!$C$6),COUNT(Y$4:Y290)+1,"")</f>
        <v/>
      </c>
      <c r="Z291">
        <f>IF(AND($A291&lt;&gt;"",$B291&lt;&gt;"",$R291='تقرير ديسمبر'!$C$4,$P291='تقرير ديسمبر'!$C$6),COUNT(Z$4:Z290)+1,"")</f>
        <v/>
      </c>
      <c r="AA291">
        <f>IF(AND($A291&lt;&gt;"",$B291&lt;&gt;"",$R291='تقرير يناير'!$C$4,$P291='تقرير يناير'!$C$6),COUNT(AA$4:AA290)+1,"")</f>
        <v/>
      </c>
      <c r="AB291">
        <f>IF(AND($A291&lt;&gt;"",$B291&lt;&gt;"",$R291='تقرير فبراير'!$C$4,$P291='تقرير فبراير'!$C$6),COUNT(AB$4:AB290)+1,"")</f>
        <v/>
      </c>
      <c r="AC291">
        <f>IF(AND($A291&lt;&gt;"",$B291&lt;&gt;"",$R291='تقرير مارس'!$C$4,$P291='تقرير مارس'!$C$6),COUNT(AC$4:AC290)+1,"")</f>
        <v/>
      </c>
      <c r="AD291">
        <f>IF(AND($A291&lt;&gt;"",$B291&lt;&gt;"",$R291='تقرير أبريل'!$C$4,$P291='تقرير أبريل'!$C$6),COUNT(AD$4:AD290)+1,"")</f>
        <v/>
      </c>
      <c r="AE291">
        <f>IF(AND($A291&lt;&gt;"",$B291&lt;&gt;"",$R291='تقرير مايو'!$C$4,$P291='تقرير مايو'!$C$6),COUNT(AE$4:AE290)+1,"")</f>
        <v/>
      </c>
    </row>
    <row r="292">
      <c r="A292" s="16" t="n"/>
      <c r="B292" s="17" t="n"/>
      <c r="C292" s="17" t="n"/>
      <c r="D292" s="18" t="n"/>
      <c r="E292" s="17" t="n"/>
      <c r="F292" s="17" t="n"/>
      <c r="G292" s="19" t="n"/>
      <c r="H292" s="17" t="n"/>
      <c r="I292" s="17" t="n"/>
      <c r="J292" s="17" t="n"/>
      <c r="K292" s="20">
        <f>IF($B292="","",IFERROR(INDEX(الموظفات!$A$5:$A$304,MATCH($B292,الموظفات!$B$5:$B$304,0))&amp;"",""))</f>
        <v/>
      </c>
      <c r="L292" s="21">
        <f>IF($B292="","",IFERROR(INDEX(الموظفات!$C$5:$C$304,MATCH($B292,الموظفات!$B$5:$B$304,0))&amp;"",""))</f>
        <v/>
      </c>
      <c r="M292" s="20">
        <f>IF($B292="","",IFERROR(INDEX(الموظفات!$D$5:$D$304,MATCH($B292,الموظفات!$B$5:$B$304,0))&amp;"",""))</f>
        <v/>
      </c>
      <c r="N292" s="20">
        <f>IF($B292="","",IFERROR(INDEX(الموظفات!$E$5:$E$304,MATCH($B292,الموظفات!$B$5:$B$304,0))&amp;"",""))</f>
        <v/>
      </c>
      <c r="O292" s="21">
        <f>IF(C292="","",IFERROR(INDEX(الإعدادات!$D$7:$D$35,MATCH(C292,الإعدادات!$A$7:$A$35,0))&amp;"",""))</f>
        <v/>
      </c>
      <c r="P292" s="20">
        <f>IF(A292="","",INDEX(الإعدادات!$H$7:$H$18,MONTH(A292)))</f>
        <v/>
      </c>
      <c r="Q292" s="20">
        <f>IF(A292="","",INDEX(الإعدادات!$I$7:$I$18,MONTH(A292)))</f>
        <v/>
      </c>
      <c r="R292" s="20">
        <f>IF(A292="","",IF(MONTH(A292)&gt;=8,YEAR(A292)&amp;"-"&amp;(YEAR(A292)+1),(YEAR(A292)-1)&amp;"-"&amp;YEAR(A292)))</f>
        <v/>
      </c>
      <c r="S292" s="20">
        <f>IF(OR(A292="",B292=""),0,IF(AND(R292=التقارير!$C$4,OR(التقارير!$C$5="سنوي",AND(التقارير!$C$5="شهري",P292=التقارير!$C$6),AND(التقارير!$C$5="فصلي",Q292=التقارير!$C$7))),1,0))</f>
        <v/>
      </c>
      <c r="T292" s="20">
        <f>IF(S292=1,COUNTIF($S$5:S292,1),"")</f>
        <v/>
      </c>
      <c r="U292">
        <f>IF(AND($A292&lt;&gt;"",$B292&lt;&gt;"",$R292='تقرير الفصل الأول'!$C$4,$Q292='تقرير الفصل الأول'!$C$7),COUNT(U$4:U291)+1,"")</f>
        <v/>
      </c>
      <c r="V292">
        <f>IF(AND($A292&lt;&gt;"",$B292&lt;&gt;"",$R292='تقرير الفصل الثاني'!$C$4,$Q292='تقرير الفصل الثاني'!$C$7),COUNT(V$4:V291)+1,"")</f>
        <v/>
      </c>
      <c r="W292">
        <f>IF(AND($A292&lt;&gt;"",$B292&lt;&gt;"",$R292='تقرير سبتمبر'!$C$4,$P292='تقرير سبتمبر'!$C$6),COUNT(W$4:W291)+1,"")</f>
        <v/>
      </c>
      <c r="X292">
        <f>IF(AND($A292&lt;&gt;"",$B292&lt;&gt;"",$R292='تقرير أكتوبر'!$C$4,$P292='تقرير أكتوبر'!$C$6),COUNT(X$4:X291)+1,"")</f>
        <v/>
      </c>
      <c r="Y292">
        <f>IF(AND($A292&lt;&gt;"",$B292&lt;&gt;"",$R292='تقرير نوفمبر'!$C$4,$P292='تقرير نوفمبر'!$C$6),COUNT(Y$4:Y291)+1,"")</f>
        <v/>
      </c>
      <c r="Z292">
        <f>IF(AND($A292&lt;&gt;"",$B292&lt;&gt;"",$R292='تقرير ديسمبر'!$C$4,$P292='تقرير ديسمبر'!$C$6),COUNT(Z$4:Z291)+1,"")</f>
        <v/>
      </c>
      <c r="AA292">
        <f>IF(AND($A292&lt;&gt;"",$B292&lt;&gt;"",$R292='تقرير يناير'!$C$4,$P292='تقرير يناير'!$C$6),COUNT(AA$4:AA291)+1,"")</f>
        <v/>
      </c>
      <c r="AB292">
        <f>IF(AND($A292&lt;&gt;"",$B292&lt;&gt;"",$R292='تقرير فبراير'!$C$4,$P292='تقرير فبراير'!$C$6),COUNT(AB$4:AB291)+1,"")</f>
        <v/>
      </c>
      <c r="AC292">
        <f>IF(AND($A292&lt;&gt;"",$B292&lt;&gt;"",$R292='تقرير مارس'!$C$4,$P292='تقرير مارس'!$C$6),COUNT(AC$4:AC291)+1,"")</f>
        <v/>
      </c>
      <c r="AD292">
        <f>IF(AND($A292&lt;&gt;"",$B292&lt;&gt;"",$R292='تقرير أبريل'!$C$4,$P292='تقرير أبريل'!$C$6),COUNT(AD$4:AD291)+1,"")</f>
        <v/>
      </c>
      <c r="AE292">
        <f>IF(AND($A292&lt;&gt;"",$B292&lt;&gt;"",$R292='تقرير مايو'!$C$4,$P292='تقرير مايو'!$C$6),COUNT(AE$4:AE291)+1,"")</f>
        <v/>
      </c>
    </row>
    <row r="293">
      <c r="A293" s="16" t="n"/>
      <c r="B293" s="17" t="n"/>
      <c r="C293" s="17" t="n"/>
      <c r="D293" s="18" t="n"/>
      <c r="E293" s="17" t="n"/>
      <c r="F293" s="17" t="n"/>
      <c r="G293" s="19" t="n"/>
      <c r="H293" s="17" t="n"/>
      <c r="I293" s="17" t="n"/>
      <c r="J293" s="17" t="n"/>
      <c r="K293" s="20">
        <f>IF($B293="","",IFERROR(INDEX(الموظفات!$A$5:$A$304,MATCH($B293,الموظفات!$B$5:$B$304,0))&amp;"",""))</f>
        <v/>
      </c>
      <c r="L293" s="21">
        <f>IF($B293="","",IFERROR(INDEX(الموظفات!$C$5:$C$304,MATCH($B293,الموظفات!$B$5:$B$304,0))&amp;"",""))</f>
        <v/>
      </c>
      <c r="M293" s="20">
        <f>IF($B293="","",IFERROR(INDEX(الموظفات!$D$5:$D$304,MATCH($B293,الموظفات!$B$5:$B$304,0))&amp;"",""))</f>
        <v/>
      </c>
      <c r="N293" s="20">
        <f>IF($B293="","",IFERROR(INDEX(الموظفات!$E$5:$E$304,MATCH($B293,الموظفات!$B$5:$B$304,0))&amp;"",""))</f>
        <v/>
      </c>
      <c r="O293" s="21">
        <f>IF(C293="","",IFERROR(INDEX(الإعدادات!$D$7:$D$35,MATCH(C293,الإعدادات!$A$7:$A$35,0))&amp;"",""))</f>
        <v/>
      </c>
      <c r="P293" s="20">
        <f>IF(A293="","",INDEX(الإعدادات!$H$7:$H$18,MONTH(A293)))</f>
        <v/>
      </c>
      <c r="Q293" s="20">
        <f>IF(A293="","",INDEX(الإعدادات!$I$7:$I$18,MONTH(A293)))</f>
        <v/>
      </c>
      <c r="R293" s="20">
        <f>IF(A293="","",IF(MONTH(A293)&gt;=8,YEAR(A293)&amp;"-"&amp;(YEAR(A293)+1),(YEAR(A293)-1)&amp;"-"&amp;YEAR(A293)))</f>
        <v/>
      </c>
      <c r="S293" s="20">
        <f>IF(OR(A293="",B293=""),0,IF(AND(R293=التقارير!$C$4,OR(التقارير!$C$5="سنوي",AND(التقارير!$C$5="شهري",P293=التقارير!$C$6),AND(التقارير!$C$5="فصلي",Q293=التقارير!$C$7))),1,0))</f>
        <v/>
      </c>
      <c r="T293" s="20">
        <f>IF(S293=1,COUNTIF($S$5:S293,1),"")</f>
        <v/>
      </c>
      <c r="U293">
        <f>IF(AND($A293&lt;&gt;"",$B293&lt;&gt;"",$R293='تقرير الفصل الأول'!$C$4,$Q293='تقرير الفصل الأول'!$C$7),COUNT(U$4:U292)+1,"")</f>
        <v/>
      </c>
      <c r="V293">
        <f>IF(AND($A293&lt;&gt;"",$B293&lt;&gt;"",$R293='تقرير الفصل الثاني'!$C$4,$Q293='تقرير الفصل الثاني'!$C$7),COUNT(V$4:V292)+1,"")</f>
        <v/>
      </c>
      <c r="W293">
        <f>IF(AND($A293&lt;&gt;"",$B293&lt;&gt;"",$R293='تقرير سبتمبر'!$C$4,$P293='تقرير سبتمبر'!$C$6),COUNT(W$4:W292)+1,"")</f>
        <v/>
      </c>
      <c r="X293">
        <f>IF(AND($A293&lt;&gt;"",$B293&lt;&gt;"",$R293='تقرير أكتوبر'!$C$4,$P293='تقرير أكتوبر'!$C$6),COUNT(X$4:X292)+1,"")</f>
        <v/>
      </c>
      <c r="Y293">
        <f>IF(AND($A293&lt;&gt;"",$B293&lt;&gt;"",$R293='تقرير نوفمبر'!$C$4,$P293='تقرير نوفمبر'!$C$6),COUNT(Y$4:Y292)+1,"")</f>
        <v/>
      </c>
      <c r="Z293">
        <f>IF(AND($A293&lt;&gt;"",$B293&lt;&gt;"",$R293='تقرير ديسمبر'!$C$4,$P293='تقرير ديسمبر'!$C$6),COUNT(Z$4:Z292)+1,"")</f>
        <v/>
      </c>
      <c r="AA293">
        <f>IF(AND($A293&lt;&gt;"",$B293&lt;&gt;"",$R293='تقرير يناير'!$C$4,$P293='تقرير يناير'!$C$6),COUNT(AA$4:AA292)+1,"")</f>
        <v/>
      </c>
      <c r="AB293">
        <f>IF(AND($A293&lt;&gt;"",$B293&lt;&gt;"",$R293='تقرير فبراير'!$C$4,$P293='تقرير فبراير'!$C$6),COUNT(AB$4:AB292)+1,"")</f>
        <v/>
      </c>
      <c r="AC293">
        <f>IF(AND($A293&lt;&gt;"",$B293&lt;&gt;"",$R293='تقرير مارس'!$C$4,$P293='تقرير مارس'!$C$6),COUNT(AC$4:AC292)+1,"")</f>
        <v/>
      </c>
      <c r="AD293">
        <f>IF(AND($A293&lt;&gt;"",$B293&lt;&gt;"",$R293='تقرير أبريل'!$C$4,$P293='تقرير أبريل'!$C$6),COUNT(AD$4:AD292)+1,"")</f>
        <v/>
      </c>
      <c r="AE293">
        <f>IF(AND($A293&lt;&gt;"",$B293&lt;&gt;"",$R293='تقرير مايو'!$C$4,$P293='تقرير مايو'!$C$6),COUNT(AE$4:AE292)+1,"")</f>
        <v/>
      </c>
    </row>
    <row r="294">
      <c r="A294" s="16" t="n"/>
      <c r="B294" s="17" t="n"/>
      <c r="C294" s="17" t="n"/>
      <c r="D294" s="18" t="n"/>
      <c r="E294" s="17" t="n"/>
      <c r="F294" s="17" t="n"/>
      <c r="G294" s="19" t="n"/>
      <c r="H294" s="17" t="n"/>
      <c r="I294" s="17" t="n"/>
      <c r="J294" s="17" t="n"/>
      <c r="K294" s="20">
        <f>IF($B294="","",IFERROR(INDEX(الموظفات!$A$5:$A$304,MATCH($B294,الموظفات!$B$5:$B$304,0))&amp;"",""))</f>
        <v/>
      </c>
      <c r="L294" s="21">
        <f>IF($B294="","",IFERROR(INDEX(الموظفات!$C$5:$C$304,MATCH($B294,الموظفات!$B$5:$B$304,0))&amp;"",""))</f>
        <v/>
      </c>
      <c r="M294" s="20">
        <f>IF($B294="","",IFERROR(INDEX(الموظفات!$D$5:$D$304,MATCH($B294,الموظفات!$B$5:$B$304,0))&amp;"",""))</f>
        <v/>
      </c>
      <c r="N294" s="20">
        <f>IF($B294="","",IFERROR(INDEX(الموظفات!$E$5:$E$304,MATCH($B294,الموظفات!$B$5:$B$304,0))&amp;"",""))</f>
        <v/>
      </c>
      <c r="O294" s="21">
        <f>IF(C294="","",IFERROR(INDEX(الإعدادات!$D$7:$D$35,MATCH(C294,الإعدادات!$A$7:$A$35,0))&amp;"",""))</f>
        <v/>
      </c>
      <c r="P294" s="20">
        <f>IF(A294="","",INDEX(الإعدادات!$H$7:$H$18,MONTH(A294)))</f>
        <v/>
      </c>
      <c r="Q294" s="20">
        <f>IF(A294="","",INDEX(الإعدادات!$I$7:$I$18,MONTH(A294)))</f>
        <v/>
      </c>
      <c r="R294" s="20">
        <f>IF(A294="","",IF(MONTH(A294)&gt;=8,YEAR(A294)&amp;"-"&amp;(YEAR(A294)+1),(YEAR(A294)-1)&amp;"-"&amp;YEAR(A294)))</f>
        <v/>
      </c>
      <c r="S294" s="20">
        <f>IF(OR(A294="",B294=""),0,IF(AND(R294=التقارير!$C$4,OR(التقارير!$C$5="سنوي",AND(التقارير!$C$5="شهري",P294=التقارير!$C$6),AND(التقارير!$C$5="فصلي",Q294=التقارير!$C$7))),1,0))</f>
        <v/>
      </c>
      <c r="T294" s="20">
        <f>IF(S294=1,COUNTIF($S$5:S294,1),"")</f>
        <v/>
      </c>
      <c r="U294">
        <f>IF(AND($A294&lt;&gt;"",$B294&lt;&gt;"",$R294='تقرير الفصل الأول'!$C$4,$Q294='تقرير الفصل الأول'!$C$7),COUNT(U$4:U293)+1,"")</f>
        <v/>
      </c>
      <c r="V294">
        <f>IF(AND($A294&lt;&gt;"",$B294&lt;&gt;"",$R294='تقرير الفصل الثاني'!$C$4,$Q294='تقرير الفصل الثاني'!$C$7),COUNT(V$4:V293)+1,"")</f>
        <v/>
      </c>
      <c r="W294">
        <f>IF(AND($A294&lt;&gt;"",$B294&lt;&gt;"",$R294='تقرير سبتمبر'!$C$4,$P294='تقرير سبتمبر'!$C$6),COUNT(W$4:W293)+1,"")</f>
        <v/>
      </c>
      <c r="X294">
        <f>IF(AND($A294&lt;&gt;"",$B294&lt;&gt;"",$R294='تقرير أكتوبر'!$C$4,$P294='تقرير أكتوبر'!$C$6),COUNT(X$4:X293)+1,"")</f>
        <v/>
      </c>
      <c r="Y294">
        <f>IF(AND($A294&lt;&gt;"",$B294&lt;&gt;"",$R294='تقرير نوفمبر'!$C$4,$P294='تقرير نوفمبر'!$C$6),COUNT(Y$4:Y293)+1,"")</f>
        <v/>
      </c>
      <c r="Z294">
        <f>IF(AND($A294&lt;&gt;"",$B294&lt;&gt;"",$R294='تقرير ديسمبر'!$C$4,$P294='تقرير ديسمبر'!$C$6),COUNT(Z$4:Z293)+1,"")</f>
        <v/>
      </c>
      <c r="AA294">
        <f>IF(AND($A294&lt;&gt;"",$B294&lt;&gt;"",$R294='تقرير يناير'!$C$4,$P294='تقرير يناير'!$C$6),COUNT(AA$4:AA293)+1,"")</f>
        <v/>
      </c>
      <c r="AB294">
        <f>IF(AND($A294&lt;&gt;"",$B294&lt;&gt;"",$R294='تقرير فبراير'!$C$4,$P294='تقرير فبراير'!$C$6),COUNT(AB$4:AB293)+1,"")</f>
        <v/>
      </c>
      <c r="AC294">
        <f>IF(AND($A294&lt;&gt;"",$B294&lt;&gt;"",$R294='تقرير مارس'!$C$4,$P294='تقرير مارس'!$C$6),COUNT(AC$4:AC293)+1,"")</f>
        <v/>
      </c>
      <c r="AD294">
        <f>IF(AND($A294&lt;&gt;"",$B294&lt;&gt;"",$R294='تقرير أبريل'!$C$4,$P294='تقرير أبريل'!$C$6),COUNT(AD$4:AD293)+1,"")</f>
        <v/>
      </c>
      <c r="AE294">
        <f>IF(AND($A294&lt;&gt;"",$B294&lt;&gt;"",$R294='تقرير مايو'!$C$4,$P294='تقرير مايو'!$C$6),COUNT(AE$4:AE293)+1,"")</f>
        <v/>
      </c>
    </row>
    <row r="295">
      <c r="A295" s="16" t="n"/>
      <c r="B295" s="17" t="n"/>
      <c r="C295" s="17" t="n"/>
      <c r="D295" s="18" t="n"/>
      <c r="E295" s="17" t="n"/>
      <c r="F295" s="17" t="n"/>
      <c r="G295" s="19" t="n"/>
      <c r="H295" s="17" t="n"/>
      <c r="I295" s="17" t="n"/>
      <c r="J295" s="17" t="n"/>
      <c r="K295" s="20">
        <f>IF($B295="","",IFERROR(INDEX(الموظفات!$A$5:$A$304,MATCH($B295,الموظفات!$B$5:$B$304,0))&amp;"",""))</f>
        <v/>
      </c>
      <c r="L295" s="21">
        <f>IF($B295="","",IFERROR(INDEX(الموظفات!$C$5:$C$304,MATCH($B295,الموظفات!$B$5:$B$304,0))&amp;"",""))</f>
        <v/>
      </c>
      <c r="M295" s="20">
        <f>IF($B295="","",IFERROR(INDEX(الموظفات!$D$5:$D$304,MATCH($B295,الموظفات!$B$5:$B$304,0))&amp;"",""))</f>
        <v/>
      </c>
      <c r="N295" s="20">
        <f>IF($B295="","",IFERROR(INDEX(الموظفات!$E$5:$E$304,MATCH($B295,الموظفات!$B$5:$B$304,0))&amp;"",""))</f>
        <v/>
      </c>
      <c r="O295" s="21">
        <f>IF(C295="","",IFERROR(INDEX(الإعدادات!$D$7:$D$35,MATCH(C295,الإعدادات!$A$7:$A$35,0))&amp;"",""))</f>
        <v/>
      </c>
      <c r="P295" s="20">
        <f>IF(A295="","",INDEX(الإعدادات!$H$7:$H$18,MONTH(A295)))</f>
        <v/>
      </c>
      <c r="Q295" s="20">
        <f>IF(A295="","",INDEX(الإعدادات!$I$7:$I$18,MONTH(A295)))</f>
        <v/>
      </c>
      <c r="R295" s="20">
        <f>IF(A295="","",IF(MONTH(A295)&gt;=8,YEAR(A295)&amp;"-"&amp;(YEAR(A295)+1),(YEAR(A295)-1)&amp;"-"&amp;YEAR(A295)))</f>
        <v/>
      </c>
      <c r="S295" s="20">
        <f>IF(OR(A295="",B295=""),0,IF(AND(R295=التقارير!$C$4,OR(التقارير!$C$5="سنوي",AND(التقارير!$C$5="شهري",P295=التقارير!$C$6),AND(التقارير!$C$5="فصلي",Q295=التقارير!$C$7))),1,0))</f>
        <v/>
      </c>
      <c r="T295" s="20">
        <f>IF(S295=1,COUNTIF($S$5:S295,1),"")</f>
        <v/>
      </c>
      <c r="U295">
        <f>IF(AND($A295&lt;&gt;"",$B295&lt;&gt;"",$R295='تقرير الفصل الأول'!$C$4,$Q295='تقرير الفصل الأول'!$C$7),COUNT(U$4:U294)+1,"")</f>
        <v/>
      </c>
      <c r="V295">
        <f>IF(AND($A295&lt;&gt;"",$B295&lt;&gt;"",$R295='تقرير الفصل الثاني'!$C$4,$Q295='تقرير الفصل الثاني'!$C$7),COUNT(V$4:V294)+1,"")</f>
        <v/>
      </c>
      <c r="W295">
        <f>IF(AND($A295&lt;&gt;"",$B295&lt;&gt;"",$R295='تقرير سبتمبر'!$C$4,$P295='تقرير سبتمبر'!$C$6),COUNT(W$4:W294)+1,"")</f>
        <v/>
      </c>
      <c r="X295">
        <f>IF(AND($A295&lt;&gt;"",$B295&lt;&gt;"",$R295='تقرير أكتوبر'!$C$4,$P295='تقرير أكتوبر'!$C$6),COUNT(X$4:X294)+1,"")</f>
        <v/>
      </c>
      <c r="Y295">
        <f>IF(AND($A295&lt;&gt;"",$B295&lt;&gt;"",$R295='تقرير نوفمبر'!$C$4,$P295='تقرير نوفمبر'!$C$6),COUNT(Y$4:Y294)+1,"")</f>
        <v/>
      </c>
      <c r="Z295">
        <f>IF(AND($A295&lt;&gt;"",$B295&lt;&gt;"",$R295='تقرير ديسمبر'!$C$4,$P295='تقرير ديسمبر'!$C$6),COUNT(Z$4:Z294)+1,"")</f>
        <v/>
      </c>
      <c r="AA295">
        <f>IF(AND($A295&lt;&gt;"",$B295&lt;&gt;"",$R295='تقرير يناير'!$C$4,$P295='تقرير يناير'!$C$6),COUNT(AA$4:AA294)+1,"")</f>
        <v/>
      </c>
      <c r="AB295">
        <f>IF(AND($A295&lt;&gt;"",$B295&lt;&gt;"",$R295='تقرير فبراير'!$C$4,$P295='تقرير فبراير'!$C$6),COUNT(AB$4:AB294)+1,"")</f>
        <v/>
      </c>
      <c r="AC295">
        <f>IF(AND($A295&lt;&gt;"",$B295&lt;&gt;"",$R295='تقرير مارس'!$C$4,$P295='تقرير مارس'!$C$6),COUNT(AC$4:AC294)+1,"")</f>
        <v/>
      </c>
      <c r="AD295">
        <f>IF(AND($A295&lt;&gt;"",$B295&lt;&gt;"",$R295='تقرير أبريل'!$C$4,$P295='تقرير أبريل'!$C$6),COUNT(AD$4:AD294)+1,"")</f>
        <v/>
      </c>
      <c r="AE295">
        <f>IF(AND($A295&lt;&gt;"",$B295&lt;&gt;"",$R295='تقرير مايو'!$C$4,$P295='تقرير مايو'!$C$6),COUNT(AE$4:AE294)+1,"")</f>
        <v/>
      </c>
    </row>
    <row r="296">
      <c r="A296" s="16" t="n"/>
      <c r="B296" s="17" t="n"/>
      <c r="C296" s="17" t="n"/>
      <c r="D296" s="18" t="n"/>
      <c r="E296" s="17" t="n"/>
      <c r="F296" s="17" t="n"/>
      <c r="G296" s="19" t="n"/>
      <c r="H296" s="17" t="n"/>
      <c r="I296" s="17" t="n"/>
      <c r="J296" s="17" t="n"/>
      <c r="K296" s="20">
        <f>IF($B296="","",IFERROR(INDEX(الموظفات!$A$5:$A$304,MATCH($B296,الموظفات!$B$5:$B$304,0))&amp;"",""))</f>
        <v/>
      </c>
      <c r="L296" s="21">
        <f>IF($B296="","",IFERROR(INDEX(الموظفات!$C$5:$C$304,MATCH($B296,الموظفات!$B$5:$B$304,0))&amp;"",""))</f>
        <v/>
      </c>
      <c r="M296" s="20">
        <f>IF($B296="","",IFERROR(INDEX(الموظفات!$D$5:$D$304,MATCH($B296,الموظفات!$B$5:$B$304,0))&amp;"",""))</f>
        <v/>
      </c>
      <c r="N296" s="20">
        <f>IF($B296="","",IFERROR(INDEX(الموظفات!$E$5:$E$304,MATCH($B296,الموظفات!$B$5:$B$304,0))&amp;"",""))</f>
        <v/>
      </c>
      <c r="O296" s="21">
        <f>IF(C296="","",IFERROR(INDEX(الإعدادات!$D$7:$D$35,MATCH(C296,الإعدادات!$A$7:$A$35,0))&amp;"",""))</f>
        <v/>
      </c>
      <c r="P296" s="20">
        <f>IF(A296="","",INDEX(الإعدادات!$H$7:$H$18,MONTH(A296)))</f>
        <v/>
      </c>
      <c r="Q296" s="20">
        <f>IF(A296="","",INDEX(الإعدادات!$I$7:$I$18,MONTH(A296)))</f>
        <v/>
      </c>
      <c r="R296" s="20">
        <f>IF(A296="","",IF(MONTH(A296)&gt;=8,YEAR(A296)&amp;"-"&amp;(YEAR(A296)+1),(YEAR(A296)-1)&amp;"-"&amp;YEAR(A296)))</f>
        <v/>
      </c>
      <c r="S296" s="20">
        <f>IF(OR(A296="",B296=""),0,IF(AND(R296=التقارير!$C$4,OR(التقارير!$C$5="سنوي",AND(التقارير!$C$5="شهري",P296=التقارير!$C$6),AND(التقارير!$C$5="فصلي",Q296=التقارير!$C$7))),1,0))</f>
        <v/>
      </c>
      <c r="T296" s="20">
        <f>IF(S296=1,COUNTIF($S$5:S296,1),"")</f>
        <v/>
      </c>
      <c r="U296">
        <f>IF(AND($A296&lt;&gt;"",$B296&lt;&gt;"",$R296='تقرير الفصل الأول'!$C$4,$Q296='تقرير الفصل الأول'!$C$7),COUNT(U$4:U295)+1,"")</f>
        <v/>
      </c>
      <c r="V296">
        <f>IF(AND($A296&lt;&gt;"",$B296&lt;&gt;"",$R296='تقرير الفصل الثاني'!$C$4,$Q296='تقرير الفصل الثاني'!$C$7),COUNT(V$4:V295)+1,"")</f>
        <v/>
      </c>
      <c r="W296">
        <f>IF(AND($A296&lt;&gt;"",$B296&lt;&gt;"",$R296='تقرير سبتمبر'!$C$4,$P296='تقرير سبتمبر'!$C$6),COUNT(W$4:W295)+1,"")</f>
        <v/>
      </c>
      <c r="X296">
        <f>IF(AND($A296&lt;&gt;"",$B296&lt;&gt;"",$R296='تقرير أكتوبر'!$C$4,$P296='تقرير أكتوبر'!$C$6),COUNT(X$4:X295)+1,"")</f>
        <v/>
      </c>
      <c r="Y296">
        <f>IF(AND($A296&lt;&gt;"",$B296&lt;&gt;"",$R296='تقرير نوفمبر'!$C$4,$P296='تقرير نوفمبر'!$C$6),COUNT(Y$4:Y295)+1,"")</f>
        <v/>
      </c>
      <c r="Z296">
        <f>IF(AND($A296&lt;&gt;"",$B296&lt;&gt;"",$R296='تقرير ديسمبر'!$C$4,$P296='تقرير ديسمبر'!$C$6),COUNT(Z$4:Z295)+1,"")</f>
        <v/>
      </c>
      <c r="AA296">
        <f>IF(AND($A296&lt;&gt;"",$B296&lt;&gt;"",$R296='تقرير يناير'!$C$4,$P296='تقرير يناير'!$C$6),COUNT(AA$4:AA295)+1,"")</f>
        <v/>
      </c>
      <c r="AB296">
        <f>IF(AND($A296&lt;&gt;"",$B296&lt;&gt;"",$R296='تقرير فبراير'!$C$4,$P296='تقرير فبراير'!$C$6),COUNT(AB$4:AB295)+1,"")</f>
        <v/>
      </c>
      <c r="AC296">
        <f>IF(AND($A296&lt;&gt;"",$B296&lt;&gt;"",$R296='تقرير مارس'!$C$4,$P296='تقرير مارس'!$C$6),COUNT(AC$4:AC295)+1,"")</f>
        <v/>
      </c>
      <c r="AD296">
        <f>IF(AND($A296&lt;&gt;"",$B296&lt;&gt;"",$R296='تقرير أبريل'!$C$4,$P296='تقرير أبريل'!$C$6),COUNT(AD$4:AD295)+1,"")</f>
        <v/>
      </c>
      <c r="AE296">
        <f>IF(AND($A296&lt;&gt;"",$B296&lt;&gt;"",$R296='تقرير مايو'!$C$4,$P296='تقرير مايو'!$C$6),COUNT(AE$4:AE295)+1,"")</f>
        <v/>
      </c>
    </row>
    <row r="297">
      <c r="A297" s="16" t="n"/>
      <c r="B297" s="17" t="n"/>
      <c r="C297" s="17" t="n"/>
      <c r="D297" s="18" t="n"/>
      <c r="E297" s="17" t="n"/>
      <c r="F297" s="17" t="n"/>
      <c r="G297" s="19" t="n"/>
      <c r="H297" s="17" t="n"/>
      <c r="I297" s="17" t="n"/>
      <c r="J297" s="17" t="n"/>
      <c r="K297" s="20">
        <f>IF($B297="","",IFERROR(INDEX(الموظفات!$A$5:$A$304,MATCH($B297,الموظفات!$B$5:$B$304,0))&amp;"",""))</f>
        <v/>
      </c>
      <c r="L297" s="21">
        <f>IF($B297="","",IFERROR(INDEX(الموظفات!$C$5:$C$304,MATCH($B297,الموظفات!$B$5:$B$304,0))&amp;"",""))</f>
        <v/>
      </c>
      <c r="M297" s="20">
        <f>IF($B297="","",IFERROR(INDEX(الموظفات!$D$5:$D$304,MATCH($B297,الموظفات!$B$5:$B$304,0))&amp;"",""))</f>
        <v/>
      </c>
      <c r="N297" s="20">
        <f>IF($B297="","",IFERROR(INDEX(الموظفات!$E$5:$E$304,MATCH($B297,الموظفات!$B$5:$B$304,0))&amp;"",""))</f>
        <v/>
      </c>
      <c r="O297" s="21">
        <f>IF(C297="","",IFERROR(INDEX(الإعدادات!$D$7:$D$35,MATCH(C297,الإعدادات!$A$7:$A$35,0))&amp;"",""))</f>
        <v/>
      </c>
      <c r="P297" s="20">
        <f>IF(A297="","",INDEX(الإعدادات!$H$7:$H$18,MONTH(A297)))</f>
        <v/>
      </c>
      <c r="Q297" s="20">
        <f>IF(A297="","",INDEX(الإعدادات!$I$7:$I$18,MONTH(A297)))</f>
        <v/>
      </c>
      <c r="R297" s="20">
        <f>IF(A297="","",IF(MONTH(A297)&gt;=8,YEAR(A297)&amp;"-"&amp;(YEAR(A297)+1),(YEAR(A297)-1)&amp;"-"&amp;YEAR(A297)))</f>
        <v/>
      </c>
      <c r="S297" s="20">
        <f>IF(OR(A297="",B297=""),0,IF(AND(R297=التقارير!$C$4,OR(التقارير!$C$5="سنوي",AND(التقارير!$C$5="شهري",P297=التقارير!$C$6),AND(التقارير!$C$5="فصلي",Q297=التقارير!$C$7))),1,0))</f>
        <v/>
      </c>
      <c r="T297" s="20">
        <f>IF(S297=1,COUNTIF($S$5:S297,1),"")</f>
        <v/>
      </c>
      <c r="U297">
        <f>IF(AND($A297&lt;&gt;"",$B297&lt;&gt;"",$R297='تقرير الفصل الأول'!$C$4,$Q297='تقرير الفصل الأول'!$C$7),COUNT(U$4:U296)+1,"")</f>
        <v/>
      </c>
      <c r="V297">
        <f>IF(AND($A297&lt;&gt;"",$B297&lt;&gt;"",$R297='تقرير الفصل الثاني'!$C$4,$Q297='تقرير الفصل الثاني'!$C$7),COUNT(V$4:V296)+1,"")</f>
        <v/>
      </c>
      <c r="W297">
        <f>IF(AND($A297&lt;&gt;"",$B297&lt;&gt;"",$R297='تقرير سبتمبر'!$C$4,$P297='تقرير سبتمبر'!$C$6),COUNT(W$4:W296)+1,"")</f>
        <v/>
      </c>
      <c r="X297">
        <f>IF(AND($A297&lt;&gt;"",$B297&lt;&gt;"",$R297='تقرير أكتوبر'!$C$4,$P297='تقرير أكتوبر'!$C$6),COUNT(X$4:X296)+1,"")</f>
        <v/>
      </c>
      <c r="Y297">
        <f>IF(AND($A297&lt;&gt;"",$B297&lt;&gt;"",$R297='تقرير نوفمبر'!$C$4,$P297='تقرير نوفمبر'!$C$6),COUNT(Y$4:Y296)+1,"")</f>
        <v/>
      </c>
      <c r="Z297">
        <f>IF(AND($A297&lt;&gt;"",$B297&lt;&gt;"",$R297='تقرير ديسمبر'!$C$4,$P297='تقرير ديسمبر'!$C$6),COUNT(Z$4:Z296)+1,"")</f>
        <v/>
      </c>
      <c r="AA297">
        <f>IF(AND($A297&lt;&gt;"",$B297&lt;&gt;"",$R297='تقرير يناير'!$C$4,$P297='تقرير يناير'!$C$6),COUNT(AA$4:AA296)+1,"")</f>
        <v/>
      </c>
      <c r="AB297">
        <f>IF(AND($A297&lt;&gt;"",$B297&lt;&gt;"",$R297='تقرير فبراير'!$C$4,$P297='تقرير فبراير'!$C$6),COUNT(AB$4:AB296)+1,"")</f>
        <v/>
      </c>
      <c r="AC297">
        <f>IF(AND($A297&lt;&gt;"",$B297&lt;&gt;"",$R297='تقرير مارس'!$C$4,$P297='تقرير مارس'!$C$6),COUNT(AC$4:AC296)+1,"")</f>
        <v/>
      </c>
      <c r="AD297">
        <f>IF(AND($A297&lt;&gt;"",$B297&lt;&gt;"",$R297='تقرير أبريل'!$C$4,$P297='تقرير أبريل'!$C$6),COUNT(AD$4:AD296)+1,"")</f>
        <v/>
      </c>
      <c r="AE297">
        <f>IF(AND($A297&lt;&gt;"",$B297&lt;&gt;"",$R297='تقرير مايو'!$C$4,$P297='تقرير مايو'!$C$6),COUNT(AE$4:AE296)+1,"")</f>
        <v/>
      </c>
    </row>
    <row r="298">
      <c r="A298" s="16" t="n"/>
      <c r="B298" s="17" t="n"/>
      <c r="C298" s="17" t="n"/>
      <c r="D298" s="18" t="n"/>
      <c r="E298" s="17" t="n"/>
      <c r="F298" s="17" t="n"/>
      <c r="G298" s="19" t="n"/>
      <c r="H298" s="17" t="n"/>
      <c r="I298" s="17" t="n"/>
      <c r="J298" s="17" t="n"/>
      <c r="K298" s="20">
        <f>IF($B298="","",IFERROR(INDEX(الموظفات!$A$5:$A$304,MATCH($B298,الموظفات!$B$5:$B$304,0))&amp;"",""))</f>
        <v/>
      </c>
      <c r="L298" s="21">
        <f>IF($B298="","",IFERROR(INDEX(الموظفات!$C$5:$C$304,MATCH($B298,الموظفات!$B$5:$B$304,0))&amp;"",""))</f>
        <v/>
      </c>
      <c r="M298" s="20">
        <f>IF($B298="","",IFERROR(INDEX(الموظفات!$D$5:$D$304,MATCH($B298,الموظفات!$B$5:$B$304,0))&amp;"",""))</f>
        <v/>
      </c>
      <c r="N298" s="20">
        <f>IF($B298="","",IFERROR(INDEX(الموظفات!$E$5:$E$304,MATCH($B298,الموظفات!$B$5:$B$304,0))&amp;"",""))</f>
        <v/>
      </c>
      <c r="O298" s="21">
        <f>IF(C298="","",IFERROR(INDEX(الإعدادات!$D$7:$D$35,MATCH(C298,الإعدادات!$A$7:$A$35,0))&amp;"",""))</f>
        <v/>
      </c>
      <c r="P298" s="20">
        <f>IF(A298="","",INDEX(الإعدادات!$H$7:$H$18,MONTH(A298)))</f>
        <v/>
      </c>
      <c r="Q298" s="20">
        <f>IF(A298="","",INDEX(الإعدادات!$I$7:$I$18,MONTH(A298)))</f>
        <v/>
      </c>
      <c r="R298" s="20">
        <f>IF(A298="","",IF(MONTH(A298)&gt;=8,YEAR(A298)&amp;"-"&amp;(YEAR(A298)+1),(YEAR(A298)-1)&amp;"-"&amp;YEAR(A298)))</f>
        <v/>
      </c>
      <c r="S298" s="20">
        <f>IF(OR(A298="",B298=""),0,IF(AND(R298=التقارير!$C$4,OR(التقارير!$C$5="سنوي",AND(التقارير!$C$5="شهري",P298=التقارير!$C$6),AND(التقارير!$C$5="فصلي",Q298=التقارير!$C$7))),1,0))</f>
        <v/>
      </c>
      <c r="T298" s="20">
        <f>IF(S298=1,COUNTIF($S$5:S298,1),"")</f>
        <v/>
      </c>
      <c r="U298">
        <f>IF(AND($A298&lt;&gt;"",$B298&lt;&gt;"",$R298='تقرير الفصل الأول'!$C$4,$Q298='تقرير الفصل الأول'!$C$7),COUNT(U$4:U297)+1,"")</f>
        <v/>
      </c>
      <c r="V298">
        <f>IF(AND($A298&lt;&gt;"",$B298&lt;&gt;"",$R298='تقرير الفصل الثاني'!$C$4,$Q298='تقرير الفصل الثاني'!$C$7),COUNT(V$4:V297)+1,"")</f>
        <v/>
      </c>
      <c r="W298">
        <f>IF(AND($A298&lt;&gt;"",$B298&lt;&gt;"",$R298='تقرير سبتمبر'!$C$4,$P298='تقرير سبتمبر'!$C$6),COUNT(W$4:W297)+1,"")</f>
        <v/>
      </c>
      <c r="X298">
        <f>IF(AND($A298&lt;&gt;"",$B298&lt;&gt;"",$R298='تقرير أكتوبر'!$C$4,$P298='تقرير أكتوبر'!$C$6),COUNT(X$4:X297)+1,"")</f>
        <v/>
      </c>
      <c r="Y298">
        <f>IF(AND($A298&lt;&gt;"",$B298&lt;&gt;"",$R298='تقرير نوفمبر'!$C$4,$P298='تقرير نوفمبر'!$C$6),COUNT(Y$4:Y297)+1,"")</f>
        <v/>
      </c>
      <c r="Z298">
        <f>IF(AND($A298&lt;&gt;"",$B298&lt;&gt;"",$R298='تقرير ديسمبر'!$C$4,$P298='تقرير ديسمبر'!$C$6),COUNT(Z$4:Z297)+1,"")</f>
        <v/>
      </c>
      <c r="AA298">
        <f>IF(AND($A298&lt;&gt;"",$B298&lt;&gt;"",$R298='تقرير يناير'!$C$4,$P298='تقرير يناير'!$C$6),COUNT(AA$4:AA297)+1,"")</f>
        <v/>
      </c>
      <c r="AB298">
        <f>IF(AND($A298&lt;&gt;"",$B298&lt;&gt;"",$R298='تقرير فبراير'!$C$4,$P298='تقرير فبراير'!$C$6),COUNT(AB$4:AB297)+1,"")</f>
        <v/>
      </c>
      <c r="AC298">
        <f>IF(AND($A298&lt;&gt;"",$B298&lt;&gt;"",$R298='تقرير مارس'!$C$4,$P298='تقرير مارس'!$C$6),COUNT(AC$4:AC297)+1,"")</f>
        <v/>
      </c>
      <c r="AD298">
        <f>IF(AND($A298&lt;&gt;"",$B298&lt;&gt;"",$R298='تقرير أبريل'!$C$4,$P298='تقرير أبريل'!$C$6),COUNT(AD$4:AD297)+1,"")</f>
        <v/>
      </c>
      <c r="AE298">
        <f>IF(AND($A298&lt;&gt;"",$B298&lt;&gt;"",$R298='تقرير مايو'!$C$4,$P298='تقرير مايو'!$C$6),COUNT(AE$4:AE297)+1,"")</f>
        <v/>
      </c>
    </row>
    <row r="299">
      <c r="A299" s="16" t="n"/>
      <c r="B299" s="17" t="n"/>
      <c r="C299" s="17" t="n"/>
      <c r="D299" s="18" t="n"/>
      <c r="E299" s="17" t="n"/>
      <c r="F299" s="17" t="n"/>
      <c r="G299" s="19" t="n"/>
      <c r="H299" s="17" t="n"/>
      <c r="I299" s="17" t="n"/>
      <c r="J299" s="17" t="n"/>
      <c r="K299" s="20">
        <f>IF($B299="","",IFERROR(INDEX(الموظفات!$A$5:$A$304,MATCH($B299,الموظفات!$B$5:$B$304,0))&amp;"",""))</f>
        <v/>
      </c>
      <c r="L299" s="21">
        <f>IF($B299="","",IFERROR(INDEX(الموظفات!$C$5:$C$304,MATCH($B299,الموظفات!$B$5:$B$304,0))&amp;"",""))</f>
        <v/>
      </c>
      <c r="M299" s="20">
        <f>IF($B299="","",IFERROR(INDEX(الموظفات!$D$5:$D$304,MATCH($B299,الموظفات!$B$5:$B$304,0))&amp;"",""))</f>
        <v/>
      </c>
      <c r="N299" s="20">
        <f>IF($B299="","",IFERROR(INDEX(الموظفات!$E$5:$E$304,MATCH($B299,الموظفات!$B$5:$B$304,0))&amp;"",""))</f>
        <v/>
      </c>
      <c r="O299" s="21">
        <f>IF(C299="","",IFERROR(INDEX(الإعدادات!$D$7:$D$35,MATCH(C299,الإعدادات!$A$7:$A$35,0))&amp;"",""))</f>
        <v/>
      </c>
      <c r="P299" s="20">
        <f>IF(A299="","",INDEX(الإعدادات!$H$7:$H$18,MONTH(A299)))</f>
        <v/>
      </c>
      <c r="Q299" s="20">
        <f>IF(A299="","",INDEX(الإعدادات!$I$7:$I$18,MONTH(A299)))</f>
        <v/>
      </c>
      <c r="R299" s="20">
        <f>IF(A299="","",IF(MONTH(A299)&gt;=8,YEAR(A299)&amp;"-"&amp;(YEAR(A299)+1),(YEAR(A299)-1)&amp;"-"&amp;YEAR(A299)))</f>
        <v/>
      </c>
      <c r="S299" s="20">
        <f>IF(OR(A299="",B299=""),0,IF(AND(R299=التقارير!$C$4,OR(التقارير!$C$5="سنوي",AND(التقارير!$C$5="شهري",P299=التقارير!$C$6),AND(التقارير!$C$5="فصلي",Q299=التقارير!$C$7))),1,0))</f>
        <v/>
      </c>
      <c r="T299" s="20">
        <f>IF(S299=1,COUNTIF($S$5:S299,1),"")</f>
        <v/>
      </c>
      <c r="U299">
        <f>IF(AND($A299&lt;&gt;"",$B299&lt;&gt;"",$R299='تقرير الفصل الأول'!$C$4,$Q299='تقرير الفصل الأول'!$C$7),COUNT(U$4:U298)+1,"")</f>
        <v/>
      </c>
      <c r="V299">
        <f>IF(AND($A299&lt;&gt;"",$B299&lt;&gt;"",$R299='تقرير الفصل الثاني'!$C$4,$Q299='تقرير الفصل الثاني'!$C$7),COUNT(V$4:V298)+1,"")</f>
        <v/>
      </c>
      <c r="W299">
        <f>IF(AND($A299&lt;&gt;"",$B299&lt;&gt;"",$R299='تقرير سبتمبر'!$C$4,$P299='تقرير سبتمبر'!$C$6),COUNT(W$4:W298)+1,"")</f>
        <v/>
      </c>
      <c r="X299">
        <f>IF(AND($A299&lt;&gt;"",$B299&lt;&gt;"",$R299='تقرير أكتوبر'!$C$4,$P299='تقرير أكتوبر'!$C$6),COUNT(X$4:X298)+1,"")</f>
        <v/>
      </c>
      <c r="Y299">
        <f>IF(AND($A299&lt;&gt;"",$B299&lt;&gt;"",$R299='تقرير نوفمبر'!$C$4,$P299='تقرير نوفمبر'!$C$6),COUNT(Y$4:Y298)+1,"")</f>
        <v/>
      </c>
      <c r="Z299">
        <f>IF(AND($A299&lt;&gt;"",$B299&lt;&gt;"",$R299='تقرير ديسمبر'!$C$4,$P299='تقرير ديسمبر'!$C$6),COUNT(Z$4:Z298)+1,"")</f>
        <v/>
      </c>
      <c r="AA299">
        <f>IF(AND($A299&lt;&gt;"",$B299&lt;&gt;"",$R299='تقرير يناير'!$C$4,$P299='تقرير يناير'!$C$6),COUNT(AA$4:AA298)+1,"")</f>
        <v/>
      </c>
      <c r="AB299">
        <f>IF(AND($A299&lt;&gt;"",$B299&lt;&gt;"",$R299='تقرير فبراير'!$C$4,$P299='تقرير فبراير'!$C$6),COUNT(AB$4:AB298)+1,"")</f>
        <v/>
      </c>
      <c r="AC299">
        <f>IF(AND($A299&lt;&gt;"",$B299&lt;&gt;"",$R299='تقرير مارس'!$C$4,$P299='تقرير مارس'!$C$6),COUNT(AC$4:AC298)+1,"")</f>
        <v/>
      </c>
      <c r="AD299">
        <f>IF(AND($A299&lt;&gt;"",$B299&lt;&gt;"",$R299='تقرير أبريل'!$C$4,$P299='تقرير أبريل'!$C$6),COUNT(AD$4:AD298)+1,"")</f>
        <v/>
      </c>
      <c r="AE299">
        <f>IF(AND($A299&lt;&gt;"",$B299&lt;&gt;"",$R299='تقرير مايو'!$C$4,$P299='تقرير مايو'!$C$6),COUNT(AE$4:AE298)+1,"")</f>
        <v/>
      </c>
    </row>
    <row r="300">
      <c r="A300" s="16" t="n"/>
      <c r="B300" s="17" t="n"/>
      <c r="C300" s="17" t="n"/>
      <c r="D300" s="18" t="n"/>
      <c r="E300" s="17" t="n"/>
      <c r="F300" s="17" t="n"/>
      <c r="G300" s="19" t="n"/>
      <c r="H300" s="17" t="n"/>
      <c r="I300" s="17" t="n"/>
      <c r="J300" s="17" t="n"/>
      <c r="K300" s="20">
        <f>IF($B300="","",IFERROR(INDEX(الموظفات!$A$5:$A$304,MATCH($B300,الموظفات!$B$5:$B$304,0))&amp;"",""))</f>
        <v/>
      </c>
      <c r="L300" s="21">
        <f>IF($B300="","",IFERROR(INDEX(الموظفات!$C$5:$C$304,MATCH($B300,الموظفات!$B$5:$B$304,0))&amp;"",""))</f>
        <v/>
      </c>
      <c r="M300" s="20">
        <f>IF($B300="","",IFERROR(INDEX(الموظفات!$D$5:$D$304,MATCH($B300,الموظفات!$B$5:$B$304,0))&amp;"",""))</f>
        <v/>
      </c>
      <c r="N300" s="20">
        <f>IF($B300="","",IFERROR(INDEX(الموظفات!$E$5:$E$304,MATCH($B300,الموظفات!$B$5:$B$304,0))&amp;"",""))</f>
        <v/>
      </c>
      <c r="O300" s="21">
        <f>IF(C300="","",IFERROR(INDEX(الإعدادات!$D$7:$D$35,MATCH(C300,الإعدادات!$A$7:$A$35,0))&amp;"",""))</f>
        <v/>
      </c>
      <c r="P300" s="20">
        <f>IF(A300="","",INDEX(الإعدادات!$H$7:$H$18,MONTH(A300)))</f>
        <v/>
      </c>
      <c r="Q300" s="20">
        <f>IF(A300="","",INDEX(الإعدادات!$I$7:$I$18,MONTH(A300)))</f>
        <v/>
      </c>
      <c r="R300" s="20">
        <f>IF(A300="","",IF(MONTH(A300)&gt;=8,YEAR(A300)&amp;"-"&amp;(YEAR(A300)+1),(YEAR(A300)-1)&amp;"-"&amp;YEAR(A300)))</f>
        <v/>
      </c>
      <c r="S300" s="20">
        <f>IF(OR(A300="",B300=""),0,IF(AND(R300=التقارير!$C$4,OR(التقارير!$C$5="سنوي",AND(التقارير!$C$5="شهري",P300=التقارير!$C$6),AND(التقارير!$C$5="فصلي",Q300=التقارير!$C$7))),1,0))</f>
        <v/>
      </c>
      <c r="T300" s="20">
        <f>IF(S300=1,COUNTIF($S$5:S300,1),"")</f>
        <v/>
      </c>
      <c r="U300">
        <f>IF(AND($A300&lt;&gt;"",$B300&lt;&gt;"",$R300='تقرير الفصل الأول'!$C$4,$Q300='تقرير الفصل الأول'!$C$7),COUNT(U$4:U299)+1,"")</f>
        <v/>
      </c>
      <c r="V300">
        <f>IF(AND($A300&lt;&gt;"",$B300&lt;&gt;"",$R300='تقرير الفصل الثاني'!$C$4,$Q300='تقرير الفصل الثاني'!$C$7),COUNT(V$4:V299)+1,"")</f>
        <v/>
      </c>
      <c r="W300">
        <f>IF(AND($A300&lt;&gt;"",$B300&lt;&gt;"",$R300='تقرير سبتمبر'!$C$4,$P300='تقرير سبتمبر'!$C$6),COUNT(W$4:W299)+1,"")</f>
        <v/>
      </c>
      <c r="X300">
        <f>IF(AND($A300&lt;&gt;"",$B300&lt;&gt;"",$R300='تقرير أكتوبر'!$C$4,$P300='تقرير أكتوبر'!$C$6),COUNT(X$4:X299)+1,"")</f>
        <v/>
      </c>
      <c r="Y300">
        <f>IF(AND($A300&lt;&gt;"",$B300&lt;&gt;"",$R300='تقرير نوفمبر'!$C$4,$P300='تقرير نوفمبر'!$C$6),COUNT(Y$4:Y299)+1,"")</f>
        <v/>
      </c>
      <c r="Z300">
        <f>IF(AND($A300&lt;&gt;"",$B300&lt;&gt;"",$R300='تقرير ديسمبر'!$C$4,$P300='تقرير ديسمبر'!$C$6),COUNT(Z$4:Z299)+1,"")</f>
        <v/>
      </c>
      <c r="AA300">
        <f>IF(AND($A300&lt;&gt;"",$B300&lt;&gt;"",$R300='تقرير يناير'!$C$4,$P300='تقرير يناير'!$C$6),COUNT(AA$4:AA299)+1,"")</f>
        <v/>
      </c>
      <c r="AB300">
        <f>IF(AND($A300&lt;&gt;"",$B300&lt;&gt;"",$R300='تقرير فبراير'!$C$4,$P300='تقرير فبراير'!$C$6),COUNT(AB$4:AB299)+1,"")</f>
        <v/>
      </c>
      <c r="AC300">
        <f>IF(AND($A300&lt;&gt;"",$B300&lt;&gt;"",$R300='تقرير مارس'!$C$4,$P300='تقرير مارس'!$C$6),COUNT(AC$4:AC299)+1,"")</f>
        <v/>
      </c>
      <c r="AD300">
        <f>IF(AND($A300&lt;&gt;"",$B300&lt;&gt;"",$R300='تقرير أبريل'!$C$4,$P300='تقرير أبريل'!$C$6),COUNT(AD$4:AD299)+1,"")</f>
        <v/>
      </c>
      <c r="AE300">
        <f>IF(AND($A300&lt;&gt;"",$B300&lt;&gt;"",$R300='تقرير مايو'!$C$4,$P300='تقرير مايو'!$C$6),COUNT(AE$4:AE299)+1,"")</f>
        <v/>
      </c>
    </row>
    <row r="301">
      <c r="A301" s="16" t="n"/>
      <c r="B301" s="17" t="n"/>
      <c r="C301" s="17" t="n"/>
      <c r="D301" s="18" t="n"/>
      <c r="E301" s="17" t="n"/>
      <c r="F301" s="17" t="n"/>
      <c r="G301" s="19" t="n"/>
      <c r="H301" s="17" t="n"/>
      <c r="I301" s="17" t="n"/>
      <c r="J301" s="17" t="n"/>
      <c r="K301" s="20">
        <f>IF($B301="","",IFERROR(INDEX(الموظفات!$A$5:$A$304,MATCH($B301,الموظفات!$B$5:$B$304,0))&amp;"",""))</f>
        <v/>
      </c>
      <c r="L301" s="21">
        <f>IF($B301="","",IFERROR(INDEX(الموظفات!$C$5:$C$304,MATCH($B301,الموظفات!$B$5:$B$304,0))&amp;"",""))</f>
        <v/>
      </c>
      <c r="M301" s="20">
        <f>IF($B301="","",IFERROR(INDEX(الموظفات!$D$5:$D$304,MATCH($B301,الموظفات!$B$5:$B$304,0))&amp;"",""))</f>
        <v/>
      </c>
      <c r="N301" s="20">
        <f>IF($B301="","",IFERROR(INDEX(الموظفات!$E$5:$E$304,MATCH($B301,الموظفات!$B$5:$B$304,0))&amp;"",""))</f>
        <v/>
      </c>
      <c r="O301" s="21">
        <f>IF(C301="","",IFERROR(INDEX(الإعدادات!$D$7:$D$35,MATCH(C301,الإعدادات!$A$7:$A$35,0))&amp;"",""))</f>
        <v/>
      </c>
      <c r="P301" s="20">
        <f>IF(A301="","",INDEX(الإعدادات!$H$7:$H$18,MONTH(A301)))</f>
        <v/>
      </c>
      <c r="Q301" s="20">
        <f>IF(A301="","",INDEX(الإعدادات!$I$7:$I$18,MONTH(A301)))</f>
        <v/>
      </c>
      <c r="R301" s="20">
        <f>IF(A301="","",IF(MONTH(A301)&gt;=8,YEAR(A301)&amp;"-"&amp;(YEAR(A301)+1),(YEAR(A301)-1)&amp;"-"&amp;YEAR(A301)))</f>
        <v/>
      </c>
      <c r="S301" s="20">
        <f>IF(OR(A301="",B301=""),0,IF(AND(R301=التقارير!$C$4,OR(التقارير!$C$5="سنوي",AND(التقارير!$C$5="شهري",P301=التقارير!$C$6),AND(التقارير!$C$5="فصلي",Q301=التقارير!$C$7))),1,0))</f>
        <v/>
      </c>
      <c r="T301" s="20">
        <f>IF(S301=1,COUNTIF($S$5:S301,1),"")</f>
        <v/>
      </c>
      <c r="U301">
        <f>IF(AND($A301&lt;&gt;"",$B301&lt;&gt;"",$R301='تقرير الفصل الأول'!$C$4,$Q301='تقرير الفصل الأول'!$C$7),COUNT(U$4:U300)+1,"")</f>
        <v/>
      </c>
      <c r="V301">
        <f>IF(AND($A301&lt;&gt;"",$B301&lt;&gt;"",$R301='تقرير الفصل الثاني'!$C$4,$Q301='تقرير الفصل الثاني'!$C$7),COUNT(V$4:V300)+1,"")</f>
        <v/>
      </c>
      <c r="W301">
        <f>IF(AND($A301&lt;&gt;"",$B301&lt;&gt;"",$R301='تقرير سبتمبر'!$C$4,$P301='تقرير سبتمبر'!$C$6),COUNT(W$4:W300)+1,"")</f>
        <v/>
      </c>
      <c r="X301">
        <f>IF(AND($A301&lt;&gt;"",$B301&lt;&gt;"",$R301='تقرير أكتوبر'!$C$4,$P301='تقرير أكتوبر'!$C$6),COUNT(X$4:X300)+1,"")</f>
        <v/>
      </c>
      <c r="Y301">
        <f>IF(AND($A301&lt;&gt;"",$B301&lt;&gt;"",$R301='تقرير نوفمبر'!$C$4,$P301='تقرير نوفمبر'!$C$6),COUNT(Y$4:Y300)+1,"")</f>
        <v/>
      </c>
      <c r="Z301">
        <f>IF(AND($A301&lt;&gt;"",$B301&lt;&gt;"",$R301='تقرير ديسمبر'!$C$4,$P301='تقرير ديسمبر'!$C$6),COUNT(Z$4:Z300)+1,"")</f>
        <v/>
      </c>
      <c r="AA301">
        <f>IF(AND($A301&lt;&gt;"",$B301&lt;&gt;"",$R301='تقرير يناير'!$C$4,$P301='تقرير يناير'!$C$6),COUNT(AA$4:AA300)+1,"")</f>
        <v/>
      </c>
      <c r="AB301">
        <f>IF(AND($A301&lt;&gt;"",$B301&lt;&gt;"",$R301='تقرير فبراير'!$C$4,$P301='تقرير فبراير'!$C$6),COUNT(AB$4:AB300)+1,"")</f>
        <v/>
      </c>
      <c r="AC301">
        <f>IF(AND($A301&lt;&gt;"",$B301&lt;&gt;"",$R301='تقرير مارس'!$C$4,$P301='تقرير مارس'!$C$6),COUNT(AC$4:AC300)+1,"")</f>
        <v/>
      </c>
      <c r="AD301">
        <f>IF(AND($A301&lt;&gt;"",$B301&lt;&gt;"",$R301='تقرير أبريل'!$C$4,$P301='تقرير أبريل'!$C$6),COUNT(AD$4:AD300)+1,"")</f>
        <v/>
      </c>
      <c r="AE301">
        <f>IF(AND($A301&lt;&gt;"",$B301&lt;&gt;"",$R301='تقرير مايو'!$C$4,$P301='تقرير مايو'!$C$6),COUNT(AE$4:AE300)+1,"")</f>
        <v/>
      </c>
    </row>
    <row r="302">
      <c r="A302" s="16" t="n"/>
      <c r="B302" s="17" t="n"/>
      <c r="C302" s="17" t="n"/>
      <c r="D302" s="18" t="n"/>
      <c r="E302" s="17" t="n"/>
      <c r="F302" s="17" t="n"/>
      <c r="G302" s="19" t="n"/>
      <c r="H302" s="17" t="n"/>
      <c r="I302" s="17" t="n"/>
      <c r="J302" s="17" t="n"/>
      <c r="K302" s="20">
        <f>IF($B302="","",IFERROR(INDEX(الموظفات!$A$5:$A$304,MATCH($B302,الموظفات!$B$5:$B$304,0))&amp;"",""))</f>
        <v/>
      </c>
      <c r="L302" s="21">
        <f>IF($B302="","",IFERROR(INDEX(الموظفات!$C$5:$C$304,MATCH($B302,الموظفات!$B$5:$B$304,0))&amp;"",""))</f>
        <v/>
      </c>
      <c r="M302" s="20">
        <f>IF($B302="","",IFERROR(INDEX(الموظفات!$D$5:$D$304,MATCH($B302,الموظفات!$B$5:$B$304,0))&amp;"",""))</f>
        <v/>
      </c>
      <c r="N302" s="20">
        <f>IF($B302="","",IFERROR(INDEX(الموظفات!$E$5:$E$304,MATCH($B302,الموظفات!$B$5:$B$304,0))&amp;"",""))</f>
        <v/>
      </c>
      <c r="O302" s="21">
        <f>IF(C302="","",IFERROR(INDEX(الإعدادات!$D$7:$D$35,MATCH(C302,الإعدادات!$A$7:$A$35,0))&amp;"",""))</f>
        <v/>
      </c>
      <c r="P302" s="20">
        <f>IF(A302="","",INDEX(الإعدادات!$H$7:$H$18,MONTH(A302)))</f>
        <v/>
      </c>
      <c r="Q302" s="20">
        <f>IF(A302="","",INDEX(الإعدادات!$I$7:$I$18,MONTH(A302)))</f>
        <v/>
      </c>
      <c r="R302" s="20">
        <f>IF(A302="","",IF(MONTH(A302)&gt;=8,YEAR(A302)&amp;"-"&amp;(YEAR(A302)+1),(YEAR(A302)-1)&amp;"-"&amp;YEAR(A302)))</f>
        <v/>
      </c>
      <c r="S302" s="20">
        <f>IF(OR(A302="",B302=""),0,IF(AND(R302=التقارير!$C$4,OR(التقارير!$C$5="سنوي",AND(التقارير!$C$5="شهري",P302=التقارير!$C$6),AND(التقارير!$C$5="فصلي",Q302=التقارير!$C$7))),1,0))</f>
        <v/>
      </c>
      <c r="T302" s="20">
        <f>IF(S302=1,COUNTIF($S$5:S302,1),"")</f>
        <v/>
      </c>
      <c r="U302">
        <f>IF(AND($A302&lt;&gt;"",$B302&lt;&gt;"",$R302='تقرير الفصل الأول'!$C$4,$Q302='تقرير الفصل الأول'!$C$7),COUNT(U$4:U301)+1,"")</f>
        <v/>
      </c>
      <c r="V302">
        <f>IF(AND($A302&lt;&gt;"",$B302&lt;&gt;"",$R302='تقرير الفصل الثاني'!$C$4,$Q302='تقرير الفصل الثاني'!$C$7),COUNT(V$4:V301)+1,"")</f>
        <v/>
      </c>
      <c r="W302">
        <f>IF(AND($A302&lt;&gt;"",$B302&lt;&gt;"",$R302='تقرير سبتمبر'!$C$4,$P302='تقرير سبتمبر'!$C$6),COUNT(W$4:W301)+1,"")</f>
        <v/>
      </c>
      <c r="X302">
        <f>IF(AND($A302&lt;&gt;"",$B302&lt;&gt;"",$R302='تقرير أكتوبر'!$C$4,$P302='تقرير أكتوبر'!$C$6),COUNT(X$4:X301)+1,"")</f>
        <v/>
      </c>
      <c r="Y302">
        <f>IF(AND($A302&lt;&gt;"",$B302&lt;&gt;"",$R302='تقرير نوفمبر'!$C$4,$P302='تقرير نوفمبر'!$C$6),COUNT(Y$4:Y301)+1,"")</f>
        <v/>
      </c>
      <c r="Z302">
        <f>IF(AND($A302&lt;&gt;"",$B302&lt;&gt;"",$R302='تقرير ديسمبر'!$C$4,$P302='تقرير ديسمبر'!$C$6),COUNT(Z$4:Z301)+1,"")</f>
        <v/>
      </c>
      <c r="AA302">
        <f>IF(AND($A302&lt;&gt;"",$B302&lt;&gt;"",$R302='تقرير يناير'!$C$4,$P302='تقرير يناير'!$C$6),COUNT(AA$4:AA301)+1,"")</f>
        <v/>
      </c>
      <c r="AB302">
        <f>IF(AND($A302&lt;&gt;"",$B302&lt;&gt;"",$R302='تقرير فبراير'!$C$4,$P302='تقرير فبراير'!$C$6),COUNT(AB$4:AB301)+1,"")</f>
        <v/>
      </c>
      <c r="AC302">
        <f>IF(AND($A302&lt;&gt;"",$B302&lt;&gt;"",$R302='تقرير مارس'!$C$4,$P302='تقرير مارس'!$C$6),COUNT(AC$4:AC301)+1,"")</f>
        <v/>
      </c>
      <c r="AD302">
        <f>IF(AND($A302&lt;&gt;"",$B302&lt;&gt;"",$R302='تقرير أبريل'!$C$4,$P302='تقرير أبريل'!$C$6),COUNT(AD$4:AD301)+1,"")</f>
        <v/>
      </c>
      <c r="AE302">
        <f>IF(AND($A302&lt;&gt;"",$B302&lt;&gt;"",$R302='تقرير مايو'!$C$4,$P302='تقرير مايو'!$C$6),COUNT(AE$4:AE301)+1,"")</f>
        <v/>
      </c>
    </row>
    <row r="303">
      <c r="A303" s="16" t="n"/>
      <c r="B303" s="17" t="n"/>
      <c r="C303" s="17" t="n"/>
      <c r="D303" s="18" t="n"/>
      <c r="E303" s="17" t="n"/>
      <c r="F303" s="17" t="n"/>
      <c r="G303" s="19" t="n"/>
      <c r="H303" s="17" t="n"/>
      <c r="I303" s="17" t="n"/>
      <c r="J303" s="17" t="n"/>
      <c r="K303" s="20">
        <f>IF($B303="","",IFERROR(INDEX(الموظفات!$A$5:$A$304,MATCH($B303,الموظفات!$B$5:$B$304,0))&amp;"",""))</f>
        <v/>
      </c>
      <c r="L303" s="21">
        <f>IF($B303="","",IFERROR(INDEX(الموظفات!$C$5:$C$304,MATCH($B303,الموظفات!$B$5:$B$304,0))&amp;"",""))</f>
        <v/>
      </c>
      <c r="M303" s="20">
        <f>IF($B303="","",IFERROR(INDEX(الموظفات!$D$5:$D$304,MATCH($B303,الموظفات!$B$5:$B$304,0))&amp;"",""))</f>
        <v/>
      </c>
      <c r="N303" s="20">
        <f>IF($B303="","",IFERROR(INDEX(الموظفات!$E$5:$E$304,MATCH($B303,الموظفات!$B$5:$B$304,0))&amp;"",""))</f>
        <v/>
      </c>
      <c r="O303" s="21">
        <f>IF(C303="","",IFERROR(INDEX(الإعدادات!$D$7:$D$35,MATCH(C303,الإعدادات!$A$7:$A$35,0))&amp;"",""))</f>
        <v/>
      </c>
      <c r="P303" s="20">
        <f>IF(A303="","",INDEX(الإعدادات!$H$7:$H$18,MONTH(A303)))</f>
        <v/>
      </c>
      <c r="Q303" s="20">
        <f>IF(A303="","",INDEX(الإعدادات!$I$7:$I$18,MONTH(A303)))</f>
        <v/>
      </c>
      <c r="R303" s="20">
        <f>IF(A303="","",IF(MONTH(A303)&gt;=8,YEAR(A303)&amp;"-"&amp;(YEAR(A303)+1),(YEAR(A303)-1)&amp;"-"&amp;YEAR(A303)))</f>
        <v/>
      </c>
      <c r="S303" s="20">
        <f>IF(OR(A303="",B303=""),0,IF(AND(R303=التقارير!$C$4,OR(التقارير!$C$5="سنوي",AND(التقارير!$C$5="شهري",P303=التقارير!$C$6),AND(التقارير!$C$5="فصلي",Q303=التقارير!$C$7))),1,0))</f>
        <v/>
      </c>
      <c r="T303" s="20">
        <f>IF(S303=1,COUNTIF($S$5:S303,1),"")</f>
        <v/>
      </c>
      <c r="U303">
        <f>IF(AND($A303&lt;&gt;"",$B303&lt;&gt;"",$R303='تقرير الفصل الأول'!$C$4,$Q303='تقرير الفصل الأول'!$C$7),COUNT(U$4:U302)+1,"")</f>
        <v/>
      </c>
      <c r="V303">
        <f>IF(AND($A303&lt;&gt;"",$B303&lt;&gt;"",$R303='تقرير الفصل الثاني'!$C$4,$Q303='تقرير الفصل الثاني'!$C$7),COUNT(V$4:V302)+1,"")</f>
        <v/>
      </c>
      <c r="W303">
        <f>IF(AND($A303&lt;&gt;"",$B303&lt;&gt;"",$R303='تقرير سبتمبر'!$C$4,$P303='تقرير سبتمبر'!$C$6),COUNT(W$4:W302)+1,"")</f>
        <v/>
      </c>
      <c r="X303">
        <f>IF(AND($A303&lt;&gt;"",$B303&lt;&gt;"",$R303='تقرير أكتوبر'!$C$4,$P303='تقرير أكتوبر'!$C$6),COUNT(X$4:X302)+1,"")</f>
        <v/>
      </c>
      <c r="Y303">
        <f>IF(AND($A303&lt;&gt;"",$B303&lt;&gt;"",$R303='تقرير نوفمبر'!$C$4,$P303='تقرير نوفمبر'!$C$6),COUNT(Y$4:Y302)+1,"")</f>
        <v/>
      </c>
      <c r="Z303">
        <f>IF(AND($A303&lt;&gt;"",$B303&lt;&gt;"",$R303='تقرير ديسمبر'!$C$4,$P303='تقرير ديسمبر'!$C$6),COUNT(Z$4:Z302)+1,"")</f>
        <v/>
      </c>
      <c r="AA303">
        <f>IF(AND($A303&lt;&gt;"",$B303&lt;&gt;"",$R303='تقرير يناير'!$C$4,$P303='تقرير يناير'!$C$6),COUNT(AA$4:AA302)+1,"")</f>
        <v/>
      </c>
      <c r="AB303">
        <f>IF(AND($A303&lt;&gt;"",$B303&lt;&gt;"",$R303='تقرير فبراير'!$C$4,$P303='تقرير فبراير'!$C$6),COUNT(AB$4:AB302)+1,"")</f>
        <v/>
      </c>
      <c r="AC303">
        <f>IF(AND($A303&lt;&gt;"",$B303&lt;&gt;"",$R303='تقرير مارس'!$C$4,$P303='تقرير مارس'!$C$6),COUNT(AC$4:AC302)+1,"")</f>
        <v/>
      </c>
      <c r="AD303">
        <f>IF(AND($A303&lt;&gt;"",$B303&lt;&gt;"",$R303='تقرير أبريل'!$C$4,$P303='تقرير أبريل'!$C$6),COUNT(AD$4:AD302)+1,"")</f>
        <v/>
      </c>
      <c r="AE303">
        <f>IF(AND($A303&lt;&gt;"",$B303&lt;&gt;"",$R303='تقرير مايو'!$C$4,$P303='تقرير مايو'!$C$6),COUNT(AE$4:AE302)+1,"")</f>
        <v/>
      </c>
    </row>
    <row r="304">
      <c r="A304" s="16" t="n"/>
      <c r="B304" s="17" t="n"/>
      <c r="C304" s="17" t="n"/>
      <c r="D304" s="18" t="n"/>
      <c r="E304" s="17" t="n"/>
      <c r="F304" s="17" t="n"/>
      <c r="G304" s="19" t="n"/>
      <c r="H304" s="17" t="n"/>
      <c r="I304" s="17" t="n"/>
      <c r="J304" s="17" t="n"/>
      <c r="K304" s="20">
        <f>IF($B304="","",IFERROR(INDEX(الموظفات!$A$5:$A$304,MATCH($B304,الموظفات!$B$5:$B$304,0))&amp;"",""))</f>
        <v/>
      </c>
      <c r="L304" s="21">
        <f>IF($B304="","",IFERROR(INDEX(الموظفات!$C$5:$C$304,MATCH($B304,الموظفات!$B$5:$B$304,0))&amp;"",""))</f>
        <v/>
      </c>
      <c r="M304" s="20">
        <f>IF($B304="","",IFERROR(INDEX(الموظفات!$D$5:$D$304,MATCH($B304,الموظفات!$B$5:$B$304,0))&amp;"",""))</f>
        <v/>
      </c>
      <c r="N304" s="20">
        <f>IF($B304="","",IFERROR(INDEX(الموظفات!$E$5:$E$304,MATCH($B304,الموظفات!$B$5:$B$304,0))&amp;"",""))</f>
        <v/>
      </c>
      <c r="O304" s="21">
        <f>IF(C304="","",IFERROR(INDEX(الإعدادات!$D$7:$D$35,MATCH(C304,الإعدادات!$A$7:$A$35,0))&amp;"",""))</f>
        <v/>
      </c>
      <c r="P304" s="20">
        <f>IF(A304="","",INDEX(الإعدادات!$H$7:$H$18,MONTH(A304)))</f>
        <v/>
      </c>
      <c r="Q304" s="20">
        <f>IF(A304="","",INDEX(الإعدادات!$I$7:$I$18,MONTH(A304)))</f>
        <v/>
      </c>
      <c r="R304" s="20">
        <f>IF(A304="","",IF(MONTH(A304)&gt;=8,YEAR(A304)&amp;"-"&amp;(YEAR(A304)+1),(YEAR(A304)-1)&amp;"-"&amp;YEAR(A304)))</f>
        <v/>
      </c>
      <c r="S304" s="20">
        <f>IF(OR(A304="",B304=""),0,IF(AND(R304=التقارير!$C$4,OR(التقارير!$C$5="سنوي",AND(التقارير!$C$5="شهري",P304=التقارير!$C$6),AND(التقارير!$C$5="فصلي",Q304=التقارير!$C$7))),1,0))</f>
        <v/>
      </c>
      <c r="T304" s="20">
        <f>IF(S304=1,COUNTIF($S$5:S304,1),"")</f>
        <v/>
      </c>
      <c r="U304">
        <f>IF(AND($A304&lt;&gt;"",$B304&lt;&gt;"",$R304='تقرير الفصل الأول'!$C$4,$Q304='تقرير الفصل الأول'!$C$7),COUNT(U$4:U303)+1,"")</f>
        <v/>
      </c>
      <c r="V304">
        <f>IF(AND($A304&lt;&gt;"",$B304&lt;&gt;"",$R304='تقرير الفصل الثاني'!$C$4,$Q304='تقرير الفصل الثاني'!$C$7),COUNT(V$4:V303)+1,"")</f>
        <v/>
      </c>
      <c r="W304">
        <f>IF(AND($A304&lt;&gt;"",$B304&lt;&gt;"",$R304='تقرير سبتمبر'!$C$4,$P304='تقرير سبتمبر'!$C$6),COUNT(W$4:W303)+1,"")</f>
        <v/>
      </c>
      <c r="X304">
        <f>IF(AND($A304&lt;&gt;"",$B304&lt;&gt;"",$R304='تقرير أكتوبر'!$C$4,$P304='تقرير أكتوبر'!$C$6),COUNT(X$4:X303)+1,"")</f>
        <v/>
      </c>
      <c r="Y304">
        <f>IF(AND($A304&lt;&gt;"",$B304&lt;&gt;"",$R304='تقرير نوفمبر'!$C$4,$P304='تقرير نوفمبر'!$C$6),COUNT(Y$4:Y303)+1,"")</f>
        <v/>
      </c>
      <c r="Z304">
        <f>IF(AND($A304&lt;&gt;"",$B304&lt;&gt;"",$R304='تقرير ديسمبر'!$C$4,$P304='تقرير ديسمبر'!$C$6),COUNT(Z$4:Z303)+1,"")</f>
        <v/>
      </c>
      <c r="AA304">
        <f>IF(AND($A304&lt;&gt;"",$B304&lt;&gt;"",$R304='تقرير يناير'!$C$4,$P304='تقرير يناير'!$C$6),COUNT(AA$4:AA303)+1,"")</f>
        <v/>
      </c>
      <c r="AB304">
        <f>IF(AND($A304&lt;&gt;"",$B304&lt;&gt;"",$R304='تقرير فبراير'!$C$4,$P304='تقرير فبراير'!$C$6),COUNT(AB$4:AB303)+1,"")</f>
        <v/>
      </c>
      <c r="AC304">
        <f>IF(AND($A304&lt;&gt;"",$B304&lt;&gt;"",$R304='تقرير مارس'!$C$4,$P304='تقرير مارس'!$C$6),COUNT(AC$4:AC303)+1,"")</f>
        <v/>
      </c>
      <c r="AD304">
        <f>IF(AND($A304&lt;&gt;"",$B304&lt;&gt;"",$R304='تقرير أبريل'!$C$4,$P304='تقرير أبريل'!$C$6),COUNT(AD$4:AD303)+1,"")</f>
        <v/>
      </c>
      <c r="AE304">
        <f>IF(AND($A304&lt;&gt;"",$B304&lt;&gt;"",$R304='تقرير مايو'!$C$4,$P304='تقرير مايو'!$C$6),COUNT(AE$4:AE303)+1,"")</f>
        <v/>
      </c>
    </row>
    <row r="305">
      <c r="A305" s="16" t="n"/>
      <c r="B305" s="17" t="n"/>
      <c r="C305" s="17" t="n"/>
      <c r="D305" s="18" t="n"/>
      <c r="E305" s="17" t="n"/>
      <c r="F305" s="17" t="n"/>
      <c r="G305" s="19" t="n"/>
      <c r="H305" s="17" t="n"/>
      <c r="I305" s="17" t="n"/>
      <c r="J305" s="17" t="n"/>
      <c r="K305" s="20">
        <f>IF($B305="","",IFERROR(INDEX(الموظفات!$A$5:$A$304,MATCH($B305,الموظفات!$B$5:$B$304,0))&amp;"",""))</f>
        <v/>
      </c>
      <c r="L305" s="21">
        <f>IF($B305="","",IFERROR(INDEX(الموظفات!$C$5:$C$304,MATCH($B305,الموظفات!$B$5:$B$304,0))&amp;"",""))</f>
        <v/>
      </c>
      <c r="M305" s="20">
        <f>IF($B305="","",IFERROR(INDEX(الموظفات!$D$5:$D$304,MATCH($B305,الموظفات!$B$5:$B$304,0))&amp;"",""))</f>
        <v/>
      </c>
      <c r="N305" s="20">
        <f>IF($B305="","",IFERROR(INDEX(الموظفات!$E$5:$E$304,MATCH($B305,الموظفات!$B$5:$B$304,0))&amp;"",""))</f>
        <v/>
      </c>
      <c r="O305" s="21">
        <f>IF(C305="","",IFERROR(INDEX(الإعدادات!$D$7:$D$35,MATCH(C305,الإعدادات!$A$7:$A$35,0))&amp;"",""))</f>
        <v/>
      </c>
      <c r="P305" s="20">
        <f>IF(A305="","",INDEX(الإعدادات!$H$7:$H$18,MONTH(A305)))</f>
        <v/>
      </c>
      <c r="Q305" s="20">
        <f>IF(A305="","",INDEX(الإعدادات!$I$7:$I$18,MONTH(A305)))</f>
        <v/>
      </c>
      <c r="R305" s="20">
        <f>IF(A305="","",IF(MONTH(A305)&gt;=8,YEAR(A305)&amp;"-"&amp;(YEAR(A305)+1),(YEAR(A305)-1)&amp;"-"&amp;YEAR(A305)))</f>
        <v/>
      </c>
      <c r="S305" s="20">
        <f>IF(OR(A305="",B305=""),0,IF(AND(R305=التقارير!$C$4,OR(التقارير!$C$5="سنوي",AND(التقارير!$C$5="شهري",P305=التقارير!$C$6),AND(التقارير!$C$5="فصلي",Q305=التقارير!$C$7))),1,0))</f>
        <v/>
      </c>
      <c r="T305" s="20">
        <f>IF(S305=1,COUNTIF($S$5:S305,1),"")</f>
        <v/>
      </c>
      <c r="U305">
        <f>IF(AND($A305&lt;&gt;"",$B305&lt;&gt;"",$R305='تقرير الفصل الأول'!$C$4,$Q305='تقرير الفصل الأول'!$C$7),COUNT(U$4:U304)+1,"")</f>
        <v/>
      </c>
      <c r="V305">
        <f>IF(AND($A305&lt;&gt;"",$B305&lt;&gt;"",$R305='تقرير الفصل الثاني'!$C$4,$Q305='تقرير الفصل الثاني'!$C$7),COUNT(V$4:V304)+1,"")</f>
        <v/>
      </c>
      <c r="W305">
        <f>IF(AND($A305&lt;&gt;"",$B305&lt;&gt;"",$R305='تقرير سبتمبر'!$C$4,$P305='تقرير سبتمبر'!$C$6),COUNT(W$4:W304)+1,"")</f>
        <v/>
      </c>
      <c r="X305">
        <f>IF(AND($A305&lt;&gt;"",$B305&lt;&gt;"",$R305='تقرير أكتوبر'!$C$4,$P305='تقرير أكتوبر'!$C$6),COUNT(X$4:X304)+1,"")</f>
        <v/>
      </c>
      <c r="Y305">
        <f>IF(AND($A305&lt;&gt;"",$B305&lt;&gt;"",$R305='تقرير نوفمبر'!$C$4,$P305='تقرير نوفمبر'!$C$6),COUNT(Y$4:Y304)+1,"")</f>
        <v/>
      </c>
      <c r="Z305">
        <f>IF(AND($A305&lt;&gt;"",$B305&lt;&gt;"",$R305='تقرير ديسمبر'!$C$4,$P305='تقرير ديسمبر'!$C$6),COUNT(Z$4:Z304)+1,"")</f>
        <v/>
      </c>
      <c r="AA305">
        <f>IF(AND($A305&lt;&gt;"",$B305&lt;&gt;"",$R305='تقرير يناير'!$C$4,$P305='تقرير يناير'!$C$6),COUNT(AA$4:AA304)+1,"")</f>
        <v/>
      </c>
      <c r="AB305">
        <f>IF(AND($A305&lt;&gt;"",$B305&lt;&gt;"",$R305='تقرير فبراير'!$C$4,$P305='تقرير فبراير'!$C$6),COUNT(AB$4:AB304)+1,"")</f>
        <v/>
      </c>
      <c r="AC305">
        <f>IF(AND($A305&lt;&gt;"",$B305&lt;&gt;"",$R305='تقرير مارس'!$C$4,$P305='تقرير مارس'!$C$6),COUNT(AC$4:AC304)+1,"")</f>
        <v/>
      </c>
      <c r="AD305">
        <f>IF(AND($A305&lt;&gt;"",$B305&lt;&gt;"",$R305='تقرير أبريل'!$C$4,$P305='تقرير أبريل'!$C$6),COUNT(AD$4:AD304)+1,"")</f>
        <v/>
      </c>
      <c r="AE305">
        <f>IF(AND($A305&lt;&gt;"",$B305&lt;&gt;"",$R305='تقرير مايو'!$C$4,$P305='تقرير مايو'!$C$6),COUNT(AE$4:AE304)+1,"")</f>
        <v/>
      </c>
    </row>
    <row r="306">
      <c r="A306" s="16" t="n"/>
      <c r="B306" s="17" t="n"/>
      <c r="C306" s="17" t="n"/>
      <c r="D306" s="18" t="n"/>
      <c r="E306" s="17" t="n"/>
      <c r="F306" s="17" t="n"/>
      <c r="G306" s="19" t="n"/>
      <c r="H306" s="17" t="n"/>
      <c r="I306" s="17" t="n"/>
      <c r="J306" s="17" t="n"/>
      <c r="K306" s="20">
        <f>IF($B306="","",IFERROR(INDEX(الموظفات!$A$5:$A$304,MATCH($B306,الموظفات!$B$5:$B$304,0))&amp;"",""))</f>
        <v/>
      </c>
      <c r="L306" s="21">
        <f>IF($B306="","",IFERROR(INDEX(الموظفات!$C$5:$C$304,MATCH($B306,الموظفات!$B$5:$B$304,0))&amp;"",""))</f>
        <v/>
      </c>
      <c r="M306" s="20">
        <f>IF($B306="","",IFERROR(INDEX(الموظفات!$D$5:$D$304,MATCH($B306,الموظفات!$B$5:$B$304,0))&amp;"",""))</f>
        <v/>
      </c>
      <c r="N306" s="20">
        <f>IF($B306="","",IFERROR(INDEX(الموظفات!$E$5:$E$304,MATCH($B306,الموظفات!$B$5:$B$304,0))&amp;"",""))</f>
        <v/>
      </c>
      <c r="O306" s="21">
        <f>IF(C306="","",IFERROR(INDEX(الإعدادات!$D$7:$D$35,MATCH(C306,الإعدادات!$A$7:$A$35,0))&amp;"",""))</f>
        <v/>
      </c>
      <c r="P306" s="20">
        <f>IF(A306="","",INDEX(الإعدادات!$H$7:$H$18,MONTH(A306)))</f>
        <v/>
      </c>
      <c r="Q306" s="20">
        <f>IF(A306="","",INDEX(الإعدادات!$I$7:$I$18,MONTH(A306)))</f>
        <v/>
      </c>
      <c r="R306" s="20">
        <f>IF(A306="","",IF(MONTH(A306)&gt;=8,YEAR(A306)&amp;"-"&amp;(YEAR(A306)+1),(YEAR(A306)-1)&amp;"-"&amp;YEAR(A306)))</f>
        <v/>
      </c>
      <c r="S306" s="20">
        <f>IF(OR(A306="",B306=""),0,IF(AND(R306=التقارير!$C$4,OR(التقارير!$C$5="سنوي",AND(التقارير!$C$5="شهري",P306=التقارير!$C$6),AND(التقارير!$C$5="فصلي",Q306=التقارير!$C$7))),1,0))</f>
        <v/>
      </c>
      <c r="T306" s="20">
        <f>IF(S306=1,COUNTIF($S$5:S306,1),"")</f>
        <v/>
      </c>
      <c r="U306">
        <f>IF(AND($A306&lt;&gt;"",$B306&lt;&gt;"",$R306='تقرير الفصل الأول'!$C$4,$Q306='تقرير الفصل الأول'!$C$7),COUNT(U$4:U305)+1,"")</f>
        <v/>
      </c>
      <c r="V306">
        <f>IF(AND($A306&lt;&gt;"",$B306&lt;&gt;"",$R306='تقرير الفصل الثاني'!$C$4,$Q306='تقرير الفصل الثاني'!$C$7),COUNT(V$4:V305)+1,"")</f>
        <v/>
      </c>
      <c r="W306">
        <f>IF(AND($A306&lt;&gt;"",$B306&lt;&gt;"",$R306='تقرير سبتمبر'!$C$4,$P306='تقرير سبتمبر'!$C$6),COUNT(W$4:W305)+1,"")</f>
        <v/>
      </c>
      <c r="X306">
        <f>IF(AND($A306&lt;&gt;"",$B306&lt;&gt;"",$R306='تقرير أكتوبر'!$C$4,$P306='تقرير أكتوبر'!$C$6),COUNT(X$4:X305)+1,"")</f>
        <v/>
      </c>
      <c r="Y306">
        <f>IF(AND($A306&lt;&gt;"",$B306&lt;&gt;"",$R306='تقرير نوفمبر'!$C$4,$P306='تقرير نوفمبر'!$C$6),COUNT(Y$4:Y305)+1,"")</f>
        <v/>
      </c>
      <c r="Z306">
        <f>IF(AND($A306&lt;&gt;"",$B306&lt;&gt;"",$R306='تقرير ديسمبر'!$C$4,$P306='تقرير ديسمبر'!$C$6),COUNT(Z$4:Z305)+1,"")</f>
        <v/>
      </c>
      <c r="AA306">
        <f>IF(AND($A306&lt;&gt;"",$B306&lt;&gt;"",$R306='تقرير يناير'!$C$4,$P306='تقرير يناير'!$C$6),COUNT(AA$4:AA305)+1,"")</f>
        <v/>
      </c>
      <c r="AB306">
        <f>IF(AND($A306&lt;&gt;"",$B306&lt;&gt;"",$R306='تقرير فبراير'!$C$4,$P306='تقرير فبراير'!$C$6),COUNT(AB$4:AB305)+1,"")</f>
        <v/>
      </c>
      <c r="AC306">
        <f>IF(AND($A306&lt;&gt;"",$B306&lt;&gt;"",$R306='تقرير مارس'!$C$4,$P306='تقرير مارس'!$C$6),COUNT(AC$4:AC305)+1,"")</f>
        <v/>
      </c>
      <c r="AD306">
        <f>IF(AND($A306&lt;&gt;"",$B306&lt;&gt;"",$R306='تقرير أبريل'!$C$4,$P306='تقرير أبريل'!$C$6),COUNT(AD$4:AD305)+1,"")</f>
        <v/>
      </c>
      <c r="AE306">
        <f>IF(AND($A306&lt;&gt;"",$B306&lt;&gt;"",$R306='تقرير مايو'!$C$4,$P306='تقرير مايو'!$C$6),COUNT(AE$4:AE305)+1,"")</f>
        <v/>
      </c>
    </row>
    <row r="307">
      <c r="A307" s="16" t="n"/>
      <c r="B307" s="17" t="n"/>
      <c r="C307" s="17" t="n"/>
      <c r="D307" s="18" t="n"/>
      <c r="E307" s="17" t="n"/>
      <c r="F307" s="17" t="n"/>
      <c r="G307" s="19" t="n"/>
      <c r="H307" s="17" t="n"/>
      <c r="I307" s="17" t="n"/>
      <c r="J307" s="17" t="n"/>
      <c r="K307" s="20">
        <f>IF($B307="","",IFERROR(INDEX(الموظفات!$A$5:$A$304,MATCH($B307,الموظفات!$B$5:$B$304,0))&amp;"",""))</f>
        <v/>
      </c>
      <c r="L307" s="21">
        <f>IF($B307="","",IFERROR(INDEX(الموظفات!$C$5:$C$304,MATCH($B307,الموظفات!$B$5:$B$304,0))&amp;"",""))</f>
        <v/>
      </c>
      <c r="M307" s="20">
        <f>IF($B307="","",IFERROR(INDEX(الموظفات!$D$5:$D$304,MATCH($B307,الموظفات!$B$5:$B$304,0))&amp;"",""))</f>
        <v/>
      </c>
      <c r="N307" s="20">
        <f>IF($B307="","",IFERROR(INDEX(الموظفات!$E$5:$E$304,MATCH($B307,الموظفات!$B$5:$B$304,0))&amp;"",""))</f>
        <v/>
      </c>
      <c r="O307" s="21">
        <f>IF(C307="","",IFERROR(INDEX(الإعدادات!$D$7:$D$35,MATCH(C307,الإعدادات!$A$7:$A$35,0))&amp;"",""))</f>
        <v/>
      </c>
      <c r="P307" s="20">
        <f>IF(A307="","",INDEX(الإعدادات!$H$7:$H$18,MONTH(A307)))</f>
        <v/>
      </c>
      <c r="Q307" s="20">
        <f>IF(A307="","",INDEX(الإعدادات!$I$7:$I$18,MONTH(A307)))</f>
        <v/>
      </c>
      <c r="R307" s="20">
        <f>IF(A307="","",IF(MONTH(A307)&gt;=8,YEAR(A307)&amp;"-"&amp;(YEAR(A307)+1),(YEAR(A307)-1)&amp;"-"&amp;YEAR(A307)))</f>
        <v/>
      </c>
      <c r="S307" s="20">
        <f>IF(OR(A307="",B307=""),0,IF(AND(R307=التقارير!$C$4,OR(التقارير!$C$5="سنوي",AND(التقارير!$C$5="شهري",P307=التقارير!$C$6),AND(التقارير!$C$5="فصلي",Q307=التقارير!$C$7))),1,0))</f>
        <v/>
      </c>
      <c r="T307" s="20">
        <f>IF(S307=1,COUNTIF($S$5:S307,1),"")</f>
        <v/>
      </c>
      <c r="U307">
        <f>IF(AND($A307&lt;&gt;"",$B307&lt;&gt;"",$R307='تقرير الفصل الأول'!$C$4,$Q307='تقرير الفصل الأول'!$C$7),COUNT(U$4:U306)+1,"")</f>
        <v/>
      </c>
      <c r="V307">
        <f>IF(AND($A307&lt;&gt;"",$B307&lt;&gt;"",$R307='تقرير الفصل الثاني'!$C$4,$Q307='تقرير الفصل الثاني'!$C$7),COUNT(V$4:V306)+1,"")</f>
        <v/>
      </c>
      <c r="W307">
        <f>IF(AND($A307&lt;&gt;"",$B307&lt;&gt;"",$R307='تقرير سبتمبر'!$C$4,$P307='تقرير سبتمبر'!$C$6),COUNT(W$4:W306)+1,"")</f>
        <v/>
      </c>
      <c r="X307">
        <f>IF(AND($A307&lt;&gt;"",$B307&lt;&gt;"",$R307='تقرير أكتوبر'!$C$4,$P307='تقرير أكتوبر'!$C$6),COUNT(X$4:X306)+1,"")</f>
        <v/>
      </c>
      <c r="Y307">
        <f>IF(AND($A307&lt;&gt;"",$B307&lt;&gt;"",$R307='تقرير نوفمبر'!$C$4,$P307='تقرير نوفمبر'!$C$6),COUNT(Y$4:Y306)+1,"")</f>
        <v/>
      </c>
      <c r="Z307">
        <f>IF(AND($A307&lt;&gt;"",$B307&lt;&gt;"",$R307='تقرير ديسمبر'!$C$4,$P307='تقرير ديسمبر'!$C$6),COUNT(Z$4:Z306)+1,"")</f>
        <v/>
      </c>
      <c r="AA307">
        <f>IF(AND($A307&lt;&gt;"",$B307&lt;&gt;"",$R307='تقرير يناير'!$C$4,$P307='تقرير يناير'!$C$6),COUNT(AA$4:AA306)+1,"")</f>
        <v/>
      </c>
      <c r="AB307">
        <f>IF(AND($A307&lt;&gt;"",$B307&lt;&gt;"",$R307='تقرير فبراير'!$C$4,$P307='تقرير فبراير'!$C$6),COUNT(AB$4:AB306)+1,"")</f>
        <v/>
      </c>
      <c r="AC307">
        <f>IF(AND($A307&lt;&gt;"",$B307&lt;&gt;"",$R307='تقرير مارس'!$C$4,$P307='تقرير مارس'!$C$6),COUNT(AC$4:AC306)+1,"")</f>
        <v/>
      </c>
      <c r="AD307">
        <f>IF(AND($A307&lt;&gt;"",$B307&lt;&gt;"",$R307='تقرير أبريل'!$C$4,$P307='تقرير أبريل'!$C$6),COUNT(AD$4:AD306)+1,"")</f>
        <v/>
      </c>
      <c r="AE307">
        <f>IF(AND($A307&lt;&gt;"",$B307&lt;&gt;"",$R307='تقرير مايو'!$C$4,$P307='تقرير مايو'!$C$6),COUNT(AE$4:AE306)+1,"")</f>
        <v/>
      </c>
    </row>
    <row r="308">
      <c r="A308" s="16" t="n"/>
      <c r="B308" s="17" t="n"/>
      <c r="C308" s="17" t="n"/>
      <c r="D308" s="18" t="n"/>
      <c r="E308" s="17" t="n"/>
      <c r="F308" s="17" t="n"/>
      <c r="G308" s="19" t="n"/>
      <c r="H308" s="17" t="n"/>
      <c r="I308" s="17" t="n"/>
      <c r="J308" s="17" t="n"/>
      <c r="K308" s="20">
        <f>IF($B308="","",IFERROR(INDEX(الموظفات!$A$5:$A$304,MATCH($B308,الموظفات!$B$5:$B$304,0))&amp;"",""))</f>
        <v/>
      </c>
      <c r="L308" s="21">
        <f>IF($B308="","",IFERROR(INDEX(الموظفات!$C$5:$C$304,MATCH($B308,الموظفات!$B$5:$B$304,0))&amp;"",""))</f>
        <v/>
      </c>
      <c r="M308" s="20">
        <f>IF($B308="","",IFERROR(INDEX(الموظفات!$D$5:$D$304,MATCH($B308,الموظفات!$B$5:$B$304,0))&amp;"",""))</f>
        <v/>
      </c>
      <c r="N308" s="20">
        <f>IF($B308="","",IFERROR(INDEX(الموظفات!$E$5:$E$304,MATCH($B308,الموظفات!$B$5:$B$304,0))&amp;"",""))</f>
        <v/>
      </c>
      <c r="O308" s="21">
        <f>IF(C308="","",IFERROR(INDEX(الإعدادات!$D$7:$D$35,MATCH(C308,الإعدادات!$A$7:$A$35,0))&amp;"",""))</f>
        <v/>
      </c>
      <c r="P308" s="20">
        <f>IF(A308="","",INDEX(الإعدادات!$H$7:$H$18,MONTH(A308)))</f>
        <v/>
      </c>
      <c r="Q308" s="20">
        <f>IF(A308="","",INDEX(الإعدادات!$I$7:$I$18,MONTH(A308)))</f>
        <v/>
      </c>
      <c r="R308" s="20">
        <f>IF(A308="","",IF(MONTH(A308)&gt;=8,YEAR(A308)&amp;"-"&amp;(YEAR(A308)+1),(YEAR(A308)-1)&amp;"-"&amp;YEAR(A308)))</f>
        <v/>
      </c>
      <c r="S308" s="20">
        <f>IF(OR(A308="",B308=""),0,IF(AND(R308=التقارير!$C$4,OR(التقارير!$C$5="سنوي",AND(التقارير!$C$5="شهري",P308=التقارير!$C$6),AND(التقارير!$C$5="فصلي",Q308=التقارير!$C$7))),1,0))</f>
        <v/>
      </c>
      <c r="T308" s="20">
        <f>IF(S308=1,COUNTIF($S$5:S308,1),"")</f>
        <v/>
      </c>
      <c r="U308">
        <f>IF(AND($A308&lt;&gt;"",$B308&lt;&gt;"",$R308='تقرير الفصل الأول'!$C$4,$Q308='تقرير الفصل الأول'!$C$7),COUNT(U$4:U307)+1,"")</f>
        <v/>
      </c>
      <c r="V308">
        <f>IF(AND($A308&lt;&gt;"",$B308&lt;&gt;"",$R308='تقرير الفصل الثاني'!$C$4,$Q308='تقرير الفصل الثاني'!$C$7),COUNT(V$4:V307)+1,"")</f>
        <v/>
      </c>
      <c r="W308">
        <f>IF(AND($A308&lt;&gt;"",$B308&lt;&gt;"",$R308='تقرير سبتمبر'!$C$4,$P308='تقرير سبتمبر'!$C$6),COUNT(W$4:W307)+1,"")</f>
        <v/>
      </c>
      <c r="X308">
        <f>IF(AND($A308&lt;&gt;"",$B308&lt;&gt;"",$R308='تقرير أكتوبر'!$C$4,$P308='تقرير أكتوبر'!$C$6),COUNT(X$4:X307)+1,"")</f>
        <v/>
      </c>
      <c r="Y308">
        <f>IF(AND($A308&lt;&gt;"",$B308&lt;&gt;"",$R308='تقرير نوفمبر'!$C$4,$P308='تقرير نوفمبر'!$C$6),COUNT(Y$4:Y307)+1,"")</f>
        <v/>
      </c>
      <c r="Z308">
        <f>IF(AND($A308&lt;&gt;"",$B308&lt;&gt;"",$R308='تقرير ديسمبر'!$C$4,$P308='تقرير ديسمبر'!$C$6),COUNT(Z$4:Z307)+1,"")</f>
        <v/>
      </c>
      <c r="AA308">
        <f>IF(AND($A308&lt;&gt;"",$B308&lt;&gt;"",$R308='تقرير يناير'!$C$4,$P308='تقرير يناير'!$C$6),COUNT(AA$4:AA307)+1,"")</f>
        <v/>
      </c>
      <c r="AB308">
        <f>IF(AND($A308&lt;&gt;"",$B308&lt;&gt;"",$R308='تقرير فبراير'!$C$4,$P308='تقرير فبراير'!$C$6),COUNT(AB$4:AB307)+1,"")</f>
        <v/>
      </c>
      <c r="AC308">
        <f>IF(AND($A308&lt;&gt;"",$B308&lt;&gt;"",$R308='تقرير مارس'!$C$4,$P308='تقرير مارس'!$C$6),COUNT(AC$4:AC307)+1,"")</f>
        <v/>
      </c>
      <c r="AD308">
        <f>IF(AND($A308&lt;&gt;"",$B308&lt;&gt;"",$R308='تقرير أبريل'!$C$4,$P308='تقرير أبريل'!$C$6),COUNT(AD$4:AD307)+1,"")</f>
        <v/>
      </c>
      <c r="AE308">
        <f>IF(AND($A308&lt;&gt;"",$B308&lt;&gt;"",$R308='تقرير مايو'!$C$4,$P308='تقرير مايو'!$C$6),COUNT(AE$4:AE307)+1,"")</f>
        <v/>
      </c>
    </row>
    <row r="309">
      <c r="A309" s="16" t="n"/>
      <c r="B309" s="17" t="n"/>
      <c r="C309" s="17" t="n"/>
      <c r="D309" s="18" t="n"/>
      <c r="E309" s="17" t="n"/>
      <c r="F309" s="17" t="n"/>
      <c r="G309" s="19" t="n"/>
      <c r="H309" s="17" t="n"/>
      <c r="I309" s="17" t="n"/>
      <c r="J309" s="17" t="n"/>
      <c r="K309" s="20">
        <f>IF($B309="","",IFERROR(INDEX(الموظفات!$A$5:$A$304,MATCH($B309,الموظفات!$B$5:$B$304,0))&amp;"",""))</f>
        <v/>
      </c>
      <c r="L309" s="21">
        <f>IF($B309="","",IFERROR(INDEX(الموظفات!$C$5:$C$304,MATCH($B309,الموظفات!$B$5:$B$304,0))&amp;"",""))</f>
        <v/>
      </c>
      <c r="M309" s="20">
        <f>IF($B309="","",IFERROR(INDEX(الموظفات!$D$5:$D$304,MATCH($B309,الموظفات!$B$5:$B$304,0))&amp;"",""))</f>
        <v/>
      </c>
      <c r="N309" s="20">
        <f>IF($B309="","",IFERROR(INDEX(الموظفات!$E$5:$E$304,MATCH($B309,الموظفات!$B$5:$B$304,0))&amp;"",""))</f>
        <v/>
      </c>
      <c r="O309" s="21">
        <f>IF(C309="","",IFERROR(INDEX(الإعدادات!$D$7:$D$35,MATCH(C309,الإعدادات!$A$7:$A$35,0))&amp;"",""))</f>
        <v/>
      </c>
      <c r="P309" s="20">
        <f>IF(A309="","",INDEX(الإعدادات!$H$7:$H$18,MONTH(A309)))</f>
        <v/>
      </c>
      <c r="Q309" s="20">
        <f>IF(A309="","",INDEX(الإعدادات!$I$7:$I$18,MONTH(A309)))</f>
        <v/>
      </c>
      <c r="R309" s="20">
        <f>IF(A309="","",IF(MONTH(A309)&gt;=8,YEAR(A309)&amp;"-"&amp;(YEAR(A309)+1),(YEAR(A309)-1)&amp;"-"&amp;YEAR(A309)))</f>
        <v/>
      </c>
      <c r="S309" s="20">
        <f>IF(OR(A309="",B309=""),0,IF(AND(R309=التقارير!$C$4,OR(التقارير!$C$5="سنوي",AND(التقارير!$C$5="شهري",P309=التقارير!$C$6),AND(التقارير!$C$5="فصلي",Q309=التقارير!$C$7))),1,0))</f>
        <v/>
      </c>
      <c r="T309" s="20">
        <f>IF(S309=1,COUNTIF($S$5:S309,1),"")</f>
        <v/>
      </c>
      <c r="U309">
        <f>IF(AND($A309&lt;&gt;"",$B309&lt;&gt;"",$R309='تقرير الفصل الأول'!$C$4,$Q309='تقرير الفصل الأول'!$C$7),COUNT(U$4:U308)+1,"")</f>
        <v/>
      </c>
      <c r="V309">
        <f>IF(AND($A309&lt;&gt;"",$B309&lt;&gt;"",$R309='تقرير الفصل الثاني'!$C$4,$Q309='تقرير الفصل الثاني'!$C$7),COUNT(V$4:V308)+1,"")</f>
        <v/>
      </c>
      <c r="W309">
        <f>IF(AND($A309&lt;&gt;"",$B309&lt;&gt;"",$R309='تقرير سبتمبر'!$C$4,$P309='تقرير سبتمبر'!$C$6),COUNT(W$4:W308)+1,"")</f>
        <v/>
      </c>
      <c r="X309">
        <f>IF(AND($A309&lt;&gt;"",$B309&lt;&gt;"",$R309='تقرير أكتوبر'!$C$4,$P309='تقرير أكتوبر'!$C$6),COUNT(X$4:X308)+1,"")</f>
        <v/>
      </c>
      <c r="Y309">
        <f>IF(AND($A309&lt;&gt;"",$B309&lt;&gt;"",$R309='تقرير نوفمبر'!$C$4,$P309='تقرير نوفمبر'!$C$6),COUNT(Y$4:Y308)+1,"")</f>
        <v/>
      </c>
      <c r="Z309">
        <f>IF(AND($A309&lt;&gt;"",$B309&lt;&gt;"",$R309='تقرير ديسمبر'!$C$4,$P309='تقرير ديسمبر'!$C$6),COUNT(Z$4:Z308)+1,"")</f>
        <v/>
      </c>
      <c r="AA309">
        <f>IF(AND($A309&lt;&gt;"",$B309&lt;&gt;"",$R309='تقرير يناير'!$C$4,$P309='تقرير يناير'!$C$6),COUNT(AA$4:AA308)+1,"")</f>
        <v/>
      </c>
      <c r="AB309">
        <f>IF(AND($A309&lt;&gt;"",$B309&lt;&gt;"",$R309='تقرير فبراير'!$C$4,$P309='تقرير فبراير'!$C$6),COUNT(AB$4:AB308)+1,"")</f>
        <v/>
      </c>
      <c r="AC309">
        <f>IF(AND($A309&lt;&gt;"",$B309&lt;&gt;"",$R309='تقرير مارس'!$C$4,$P309='تقرير مارس'!$C$6),COUNT(AC$4:AC308)+1,"")</f>
        <v/>
      </c>
      <c r="AD309">
        <f>IF(AND($A309&lt;&gt;"",$B309&lt;&gt;"",$R309='تقرير أبريل'!$C$4,$P309='تقرير أبريل'!$C$6),COUNT(AD$4:AD308)+1,"")</f>
        <v/>
      </c>
      <c r="AE309">
        <f>IF(AND($A309&lt;&gt;"",$B309&lt;&gt;"",$R309='تقرير مايو'!$C$4,$P309='تقرير مايو'!$C$6),COUNT(AE$4:AE308)+1,"")</f>
        <v/>
      </c>
    </row>
    <row r="310">
      <c r="A310" s="16" t="n"/>
      <c r="B310" s="17" t="n"/>
      <c r="C310" s="17" t="n"/>
      <c r="D310" s="18" t="n"/>
      <c r="E310" s="17" t="n"/>
      <c r="F310" s="17" t="n"/>
      <c r="G310" s="19" t="n"/>
      <c r="H310" s="17" t="n"/>
      <c r="I310" s="17" t="n"/>
      <c r="J310" s="17" t="n"/>
      <c r="K310" s="20">
        <f>IF($B310="","",IFERROR(INDEX(الموظفات!$A$5:$A$304,MATCH($B310,الموظفات!$B$5:$B$304,0))&amp;"",""))</f>
        <v/>
      </c>
      <c r="L310" s="21">
        <f>IF($B310="","",IFERROR(INDEX(الموظفات!$C$5:$C$304,MATCH($B310,الموظفات!$B$5:$B$304,0))&amp;"",""))</f>
        <v/>
      </c>
      <c r="M310" s="20">
        <f>IF($B310="","",IFERROR(INDEX(الموظفات!$D$5:$D$304,MATCH($B310,الموظفات!$B$5:$B$304,0))&amp;"",""))</f>
        <v/>
      </c>
      <c r="N310" s="20">
        <f>IF($B310="","",IFERROR(INDEX(الموظفات!$E$5:$E$304,MATCH($B310,الموظفات!$B$5:$B$304,0))&amp;"",""))</f>
        <v/>
      </c>
      <c r="O310" s="21">
        <f>IF(C310="","",IFERROR(INDEX(الإعدادات!$D$7:$D$35,MATCH(C310,الإعدادات!$A$7:$A$35,0))&amp;"",""))</f>
        <v/>
      </c>
      <c r="P310" s="20">
        <f>IF(A310="","",INDEX(الإعدادات!$H$7:$H$18,MONTH(A310)))</f>
        <v/>
      </c>
      <c r="Q310" s="20">
        <f>IF(A310="","",INDEX(الإعدادات!$I$7:$I$18,MONTH(A310)))</f>
        <v/>
      </c>
      <c r="R310" s="20">
        <f>IF(A310="","",IF(MONTH(A310)&gt;=8,YEAR(A310)&amp;"-"&amp;(YEAR(A310)+1),(YEAR(A310)-1)&amp;"-"&amp;YEAR(A310)))</f>
        <v/>
      </c>
      <c r="S310" s="20">
        <f>IF(OR(A310="",B310=""),0,IF(AND(R310=التقارير!$C$4,OR(التقارير!$C$5="سنوي",AND(التقارير!$C$5="شهري",P310=التقارير!$C$6),AND(التقارير!$C$5="فصلي",Q310=التقارير!$C$7))),1,0))</f>
        <v/>
      </c>
      <c r="T310" s="20">
        <f>IF(S310=1,COUNTIF($S$5:S310,1),"")</f>
        <v/>
      </c>
      <c r="U310">
        <f>IF(AND($A310&lt;&gt;"",$B310&lt;&gt;"",$R310='تقرير الفصل الأول'!$C$4,$Q310='تقرير الفصل الأول'!$C$7),COUNT(U$4:U309)+1,"")</f>
        <v/>
      </c>
      <c r="V310">
        <f>IF(AND($A310&lt;&gt;"",$B310&lt;&gt;"",$R310='تقرير الفصل الثاني'!$C$4,$Q310='تقرير الفصل الثاني'!$C$7),COUNT(V$4:V309)+1,"")</f>
        <v/>
      </c>
      <c r="W310">
        <f>IF(AND($A310&lt;&gt;"",$B310&lt;&gt;"",$R310='تقرير سبتمبر'!$C$4,$P310='تقرير سبتمبر'!$C$6),COUNT(W$4:W309)+1,"")</f>
        <v/>
      </c>
      <c r="X310">
        <f>IF(AND($A310&lt;&gt;"",$B310&lt;&gt;"",$R310='تقرير أكتوبر'!$C$4,$P310='تقرير أكتوبر'!$C$6),COUNT(X$4:X309)+1,"")</f>
        <v/>
      </c>
      <c r="Y310">
        <f>IF(AND($A310&lt;&gt;"",$B310&lt;&gt;"",$R310='تقرير نوفمبر'!$C$4,$P310='تقرير نوفمبر'!$C$6),COUNT(Y$4:Y309)+1,"")</f>
        <v/>
      </c>
      <c r="Z310">
        <f>IF(AND($A310&lt;&gt;"",$B310&lt;&gt;"",$R310='تقرير ديسمبر'!$C$4,$P310='تقرير ديسمبر'!$C$6),COUNT(Z$4:Z309)+1,"")</f>
        <v/>
      </c>
      <c r="AA310">
        <f>IF(AND($A310&lt;&gt;"",$B310&lt;&gt;"",$R310='تقرير يناير'!$C$4,$P310='تقرير يناير'!$C$6),COUNT(AA$4:AA309)+1,"")</f>
        <v/>
      </c>
      <c r="AB310">
        <f>IF(AND($A310&lt;&gt;"",$B310&lt;&gt;"",$R310='تقرير فبراير'!$C$4,$P310='تقرير فبراير'!$C$6),COUNT(AB$4:AB309)+1,"")</f>
        <v/>
      </c>
      <c r="AC310">
        <f>IF(AND($A310&lt;&gt;"",$B310&lt;&gt;"",$R310='تقرير مارس'!$C$4,$P310='تقرير مارس'!$C$6),COUNT(AC$4:AC309)+1,"")</f>
        <v/>
      </c>
      <c r="AD310">
        <f>IF(AND($A310&lt;&gt;"",$B310&lt;&gt;"",$R310='تقرير أبريل'!$C$4,$P310='تقرير أبريل'!$C$6),COUNT(AD$4:AD309)+1,"")</f>
        <v/>
      </c>
      <c r="AE310">
        <f>IF(AND($A310&lt;&gt;"",$B310&lt;&gt;"",$R310='تقرير مايو'!$C$4,$P310='تقرير مايو'!$C$6),COUNT(AE$4:AE309)+1,"")</f>
        <v/>
      </c>
    </row>
    <row r="311">
      <c r="A311" s="16" t="n"/>
      <c r="B311" s="17" t="n"/>
      <c r="C311" s="17" t="n"/>
      <c r="D311" s="18" t="n"/>
      <c r="E311" s="17" t="n"/>
      <c r="F311" s="17" t="n"/>
      <c r="G311" s="19" t="n"/>
      <c r="H311" s="17" t="n"/>
      <c r="I311" s="17" t="n"/>
      <c r="J311" s="17" t="n"/>
      <c r="K311" s="20">
        <f>IF($B311="","",IFERROR(INDEX(الموظفات!$A$5:$A$304,MATCH($B311,الموظفات!$B$5:$B$304,0))&amp;"",""))</f>
        <v/>
      </c>
      <c r="L311" s="21">
        <f>IF($B311="","",IFERROR(INDEX(الموظفات!$C$5:$C$304,MATCH($B311,الموظفات!$B$5:$B$304,0))&amp;"",""))</f>
        <v/>
      </c>
      <c r="M311" s="20">
        <f>IF($B311="","",IFERROR(INDEX(الموظفات!$D$5:$D$304,MATCH($B311,الموظفات!$B$5:$B$304,0))&amp;"",""))</f>
        <v/>
      </c>
      <c r="N311" s="20">
        <f>IF($B311="","",IFERROR(INDEX(الموظفات!$E$5:$E$304,MATCH($B311,الموظفات!$B$5:$B$304,0))&amp;"",""))</f>
        <v/>
      </c>
      <c r="O311" s="21">
        <f>IF(C311="","",IFERROR(INDEX(الإعدادات!$D$7:$D$35,MATCH(C311,الإعدادات!$A$7:$A$35,0))&amp;"",""))</f>
        <v/>
      </c>
      <c r="P311" s="20">
        <f>IF(A311="","",INDEX(الإعدادات!$H$7:$H$18,MONTH(A311)))</f>
        <v/>
      </c>
      <c r="Q311" s="20">
        <f>IF(A311="","",INDEX(الإعدادات!$I$7:$I$18,MONTH(A311)))</f>
        <v/>
      </c>
      <c r="R311" s="20">
        <f>IF(A311="","",IF(MONTH(A311)&gt;=8,YEAR(A311)&amp;"-"&amp;(YEAR(A311)+1),(YEAR(A311)-1)&amp;"-"&amp;YEAR(A311)))</f>
        <v/>
      </c>
      <c r="S311" s="20">
        <f>IF(OR(A311="",B311=""),0,IF(AND(R311=التقارير!$C$4,OR(التقارير!$C$5="سنوي",AND(التقارير!$C$5="شهري",P311=التقارير!$C$6),AND(التقارير!$C$5="فصلي",Q311=التقارير!$C$7))),1,0))</f>
        <v/>
      </c>
      <c r="T311" s="20">
        <f>IF(S311=1,COUNTIF($S$5:S311,1),"")</f>
        <v/>
      </c>
      <c r="U311">
        <f>IF(AND($A311&lt;&gt;"",$B311&lt;&gt;"",$R311='تقرير الفصل الأول'!$C$4,$Q311='تقرير الفصل الأول'!$C$7),COUNT(U$4:U310)+1,"")</f>
        <v/>
      </c>
      <c r="V311">
        <f>IF(AND($A311&lt;&gt;"",$B311&lt;&gt;"",$R311='تقرير الفصل الثاني'!$C$4,$Q311='تقرير الفصل الثاني'!$C$7),COUNT(V$4:V310)+1,"")</f>
        <v/>
      </c>
      <c r="W311">
        <f>IF(AND($A311&lt;&gt;"",$B311&lt;&gt;"",$R311='تقرير سبتمبر'!$C$4,$P311='تقرير سبتمبر'!$C$6),COUNT(W$4:W310)+1,"")</f>
        <v/>
      </c>
      <c r="X311">
        <f>IF(AND($A311&lt;&gt;"",$B311&lt;&gt;"",$R311='تقرير أكتوبر'!$C$4,$P311='تقرير أكتوبر'!$C$6),COUNT(X$4:X310)+1,"")</f>
        <v/>
      </c>
      <c r="Y311">
        <f>IF(AND($A311&lt;&gt;"",$B311&lt;&gt;"",$R311='تقرير نوفمبر'!$C$4,$P311='تقرير نوفمبر'!$C$6),COUNT(Y$4:Y310)+1,"")</f>
        <v/>
      </c>
      <c r="Z311">
        <f>IF(AND($A311&lt;&gt;"",$B311&lt;&gt;"",$R311='تقرير ديسمبر'!$C$4,$P311='تقرير ديسمبر'!$C$6),COUNT(Z$4:Z310)+1,"")</f>
        <v/>
      </c>
      <c r="AA311">
        <f>IF(AND($A311&lt;&gt;"",$B311&lt;&gt;"",$R311='تقرير يناير'!$C$4,$P311='تقرير يناير'!$C$6),COUNT(AA$4:AA310)+1,"")</f>
        <v/>
      </c>
      <c r="AB311">
        <f>IF(AND($A311&lt;&gt;"",$B311&lt;&gt;"",$R311='تقرير فبراير'!$C$4,$P311='تقرير فبراير'!$C$6),COUNT(AB$4:AB310)+1,"")</f>
        <v/>
      </c>
      <c r="AC311">
        <f>IF(AND($A311&lt;&gt;"",$B311&lt;&gt;"",$R311='تقرير مارس'!$C$4,$P311='تقرير مارس'!$C$6),COUNT(AC$4:AC310)+1,"")</f>
        <v/>
      </c>
      <c r="AD311">
        <f>IF(AND($A311&lt;&gt;"",$B311&lt;&gt;"",$R311='تقرير أبريل'!$C$4,$P311='تقرير أبريل'!$C$6),COUNT(AD$4:AD310)+1,"")</f>
        <v/>
      </c>
      <c r="AE311">
        <f>IF(AND($A311&lt;&gt;"",$B311&lt;&gt;"",$R311='تقرير مايو'!$C$4,$P311='تقرير مايو'!$C$6),COUNT(AE$4:AE310)+1,"")</f>
        <v/>
      </c>
    </row>
    <row r="312">
      <c r="A312" s="16" t="n"/>
      <c r="B312" s="17" t="n"/>
      <c r="C312" s="17" t="n"/>
      <c r="D312" s="18" t="n"/>
      <c r="E312" s="17" t="n"/>
      <c r="F312" s="17" t="n"/>
      <c r="G312" s="19" t="n"/>
      <c r="H312" s="17" t="n"/>
      <c r="I312" s="17" t="n"/>
      <c r="J312" s="17" t="n"/>
      <c r="K312" s="20">
        <f>IF($B312="","",IFERROR(INDEX(الموظفات!$A$5:$A$304,MATCH($B312,الموظفات!$B$5:$B$304,0))&amp;"",""))</f>
        <v/>
      </c>
      <c r="L312" s="21">
        <f>IF($B312="","",IFERROR(INDEX(الموظفات!$C$5:$C$304,MATCH($B312,الموظفات!$B$5:$B$304,0))&amp;"",""))</f>
        <v/>
      </c>
      <c r="M312" s="20">
        <f>IF($B312="","",IFERROR(INDEX(الموظفات!$D$5:$D$304,MATCH($B312,الموظفات!$B$5:$B$304,0))&amp;"",""))</f>
        <v/>
      </c>
      <c r="N312" s="20">
        <f>IF($B312="","",IFERROR(INDEX(الموظفات!$E$5:$E$304,MATCH($B312,الموظفات!$B$5:$B$304,0))&amp;"",""))</f>
        <v/>
      </c>
      <c r="O312" s="21">
        <f>IF(C312="","",IFERROR(INDEX(الإعدادات!$D$7:$D$35,MATCH(C312,الإعدادات!$A$7:$A$35,0))&amp;"",""))</f>
        <v/>
      </c>
      <c r="P312" s="20">
        <f>IF(A312="","",INDEX(الإعدادات!$H$7:$H$18,MONTH(A312)))</f>
        <v/>
      </c>
      <c r="Q312" s="20">
        <f>IF(A312="","",INDEX(الإعدادات!$I$7:$I$18,MONTH(A312)))</f>
        <v/>
      </c>
      <c r="R312" s="20">
        <f>IF(A312="","",IF(MONTH(A312)&gt;=8,YEAR(A312)&amp;"-"&amp;(YEAR(A312)+1),(YEAR(A312)-1)&amp;"-"&amp;YEAR(A312)))</f>
        <v/>
      </c>
      <c r="S312" s="20">
        <f>IF(OR(A312="",B312=""),0,IF(AND(R312=التقارير!$C$4,OR(التقارير!$C$5="سنوي",AND(التقارير!$C$5="شهري",P312=التقارير!$C$6),AND(التقارير!$C$5="فصلي",Q312=التقارير!$C$7))),1,0))</f>
        <v/>
      </c>
      <c r="T312" s="20">
        <f>IF(S312=1,COUNTIF($S$5:S312,1),"")</f>
        <v/>
      </c>
      <c r="U312">
        <f>IF(AND($A312&lt;&gt;"",$B312&lt;&gt;"",$R312='تقرير الفصل الأول'!$C$4,$Q312='تقرير الفصل الأول'!$C$7),COUNT(U$4:U311)+1,"")</f>
        <v/>
      </c>
      <c r="V312">
        <f>IF(AND($A312&lt;&gt;"",$B312&lt;&gt;"",$R312='تقرير الفصل الثاني'!$C$4,$Q312='تقرير الفصل الثاني'!$C$7),COUNT(V$4:V311)+1,"")</f>
        <v/>
      </c>
      <c r="W312">
        <f>IF(AND($A312&lt;&gt;"",$B312&lt;&gt;"",$R312='تقرير سبتمبر'!$C$4,$P312='تقرير سبتمبر'!$C$6),COUNT(W$4:W311)+1,"")</f>
        <v/>
      </c>
      <c r="X312">
        <f>IF(AND($A312&lt;&gt;"",$B312&lt;&gt;"",$R312='تقرير أكتوبر'!$C$4,$P312='تقرير أكتوبر'!$C$6),COUNT(X$4:X311)+1,"")</f>
        <v/>
      </c>
      <c r="Y312">
        <f>IF(AND($A312&lt;&gt;"",$B312&lt;&gt;"",$R312='تقرير نوفمبر'!$C$4,$P312='تقرير نوفمبر'!$C$6),COUNT(Y$4:Y311)+1,"")</f>
        <v/>
      </c>
      <c r="Z312">
        <f>IF(AND($A312&lt;&gt;"",$B312&lt;&gt;"",$R312='تقرير ديسمبر'!$C$4,$P312='تقرير ديسمبر'!$C$6),COUNT(Z$4:Z311)+1,"")</f>
        <v/>
      </c>
      <c r="AA312">
        <f>IF(AND($A312&lt;&gt;"",$B312&lt;&gt;"",$R312='تقرير يناير'!$C$4,$P312='تقرير يناير'!$C$6),COUNT(AA$4:AA311)+1,"")</f>
        <v/>
      </c>
      <c r="AB312">
        <f>IF(AND($A312&lt;&gt;"",$B312&lt;&gt;"",$R312='تقرير فبراير'!$C$4,$P312='تقرير فبراير'!$C$6),COUNT(AB$4:AB311)+1,"")</f>
        <v/>
      </c>
      <c r="AC312">
        <f>IF(AND($A312&lt;&gt;"",$B312&lt;&gt;"",$R312='تقرير مارس'!$C$4,$P312='تقرير مارس'!$C$6),COUNT(AC$4:AC311)+1,"")</f>
        <v/>
      </c>
      <c r="AD312">
        <f>IF(AND($A312&lt;&gt;"",$B312&lt;&gt;"",$R312='تقرير أبريل'!$C$4,$P312='تقرير أبريل'!$C$6),COUNT(AD$4:AD311)+1,"")</f>
        <v/>
      </c>
      <c r="AE312">
        <f>IF(AND($A312&lt;&gt;"",$B312&lt;&gt;"",$R312='تقرير مايو'!$C$4,$P312='تقرير مايو'!$C$6),COUNT(AE$4:AE311)+1,"")</f>
        <v/>
      </c>
    </row>
    <row r="313">
      <c r="A313" s="16" t="n"/>
      <c r="B313" s="17" t="n"/>
      <c r="C313" s="17" t="n"/>
      <c r="D313" s="18" t="n"/>
      <c r="E313" s="17" t="n"/>
      <c r="F313" s="17" t="n"/>
      <c r="G313" s="19" t="n"/>
      <c r="H313" s="17" t="n"/>
      <c r="I313" s="17" t="n"/>
      <c r="J313" s="17" t="n"/>
      <c r="K313" s="20">
        <f>IF($B313="","",IFERROR(INDEX(الموظفات!$A$5:$A$304,MATCH($B313,الموظفات!$B$5:$B$304,0))&amp;"",""))</f>
        <v/>
      </c>
      <c r="L313" s="21">
        <f>IF($B313="","",IFERROR(INDEX(الموظفات!$C$5:$C$304,MATCH($B313,الموظفات!$B$5:$B$304,0))&amp;"",""))</f>
        <v/>
      </c>
      <c r="M313" s="20">
        <f>IF($B313="","",IFERROR(INDEX(الموظفات!$D$5:$D$304,MATCH($B313,الموظفات!$B$5:$B$304,0))&amp;"",""))</f>
        <v/>
      </c>
      <c r="N313" s="20">
        <f>IF($B313="","",IFERROR(INDEX(الموظفات!$E$5:$E$304,MATCH($B313,الموظفات!$B$5:$B$304,0))&amp;"",""))</f>
        <v/>
      </c>
      <c r="O313" s="21">
        <f>IF(C313="","",IFERROR(INDEX(الإعدادات!$D$7:$D$35,MATCH(C313,الإعدادات!$A$7:$A$35,0))&amp;"",""))</f>
        <v/>
      </c>
      <c r="P313" s="20">
        <f>IF(A313="","",INDEX(الإعدادات!$H$7:$H$18,MONTH(A313)))</f>
        <v/>
      </c>
      <c r="Q313" s="20">
        <f>IF(A313="","",INDEX(الإعدادات!$I$7:$I$18,MONTH(A313)))</f>
        <v/>
      </c>
      <c r="R313" s="20">
        <f>IF(A313="","",IF(MONTH(A313)&gt;=8,YEAR(A313)&amp;"-"&amp;(YEAR(A313)+1),(YEAR(A313)-1)&amp;"-"&amp;YEAR(A313)))</f>
        <v/>
      </c>
      <c r="S313" s="20">
        <f>IF(OR(A313="",B313=""),0,IF(AND(R313=التقارير!$C$4,OR(التقارير!$C$5="سنوي",AND(التقارير!$C$5="شهري",P313=التقارير!$C$6),AND(التقارير!$C$5="فصلي",Q313=التقارير!$C$7))),1,0))</f>
        <v/>
      </c>
      <c r="T313" s="20">
        <f>IF(S313=1,COUNTIF($S$5:S313,1),"")</f>
        <v/>
      </c>
      <c r="U313">
        <f>IF(AND($A313&lt;&gt;"",$B313&lt;&gt;"",$R313='تقرير الفصل الأول'!$C$4,$Q313='تقرير الفصل الأول'!$C$7),COUNT(U$4:U312)+1,"")</f>
        <v/>
      </c>
      <c r="V313">
        <f>IF(AND($A313&lt;&gt;"",$B313&lt;&gt;"",$R313='تقرير الفصل الثاني'!$C$4,$Q313='تقرير الفصل الثاني'!$C$7),COUNT(V$4:V312)+1,"")</f>
        <v/>
      </c>
      <c r="W313">
        <f>IF(AND($A313&lt;&gt;"",$B313&lt;&gt;"",$R313='تقرير سبتمبر'!$C$4,$P313='تقرير سبتمبر'!$C$6),COUNT(W$4:W312)+1,"")</f>
        <v/>
      </c>
      <c r="X313">
        <f>IF(AND($A313&lt;&gt;"",$B313&lt;&gt;"",$R313='تقرير أكتوبر'!$C$4,$P313='تقرير أكتوبر'!$C$6),COUNT(X$4:X312)+1,"")</f>
        <v/>
      </c>
      <c r="Y313">
        <f>IF(AND($A313&lt;&gt;"",$B313&lt;&gt;"",$R313='تقرير نوفمبر'!$C$4,$P313='تقرير نوفمبر'!$C$6),COUNT(Y$4:Y312)+1,"")</f>
        <v/>
      </c>
      <c r="Z313">
        <f>IF(AND($A313&lt;&gt;"",$B313&lt;&gt;"",$R313='تقرير ديسمبر'!$C$4,$P313='تقرير ديسمبر'!$C$6),COUNT(Z$4:Z312)+1,"")</f>
        <v/>
      </c>
      <c r="AA313">
        <f>IF(AND($A313&lt;&gt;"",$B313&lt;&gt;"",$R313='تقرير يناير'!$C$4,$P313='تقرير يناير'!$C$6),COUNT(AA$4:AA312)+1,"")</f>
        <v/>
      </c>
      <c r="AB313">
        <f>IF(AND($A313&lt;&gt;"",$B313&lt;&gt;"",$R313='تقرير فبراير'!$C$4,$P313='تقرير فبراير'!$C$6),COUNT(AB$4:AB312)+1,"")</f>
        <v/>
      </c>
      <c r="AC313">
        <f>IF(AND($A313&lt;&gt;"",$B313&lt;&gt;"",$R313='تقرير مارس'!$C$4,$P313='تقرير مارس'!$C$6),COUNT(AC$4:AC312)+1,"")</f>
        <v/>
      </c>
      <c r="AD313">
        <f>IF(AND($A313&lt;&gt;"",$B313&lt;&gt;"",$R313='تقرير أبريل'!$C$4,$P313='تقرير أبريل'!$C$6),COUNT(AD$4:AD312)+1,"")</f>
        <v/>
      </c>
      <c r="AE313">
        <f>IF(AND($A313&lt;&gt;"",$B313&lt;&gt;"",$R313='تقرير مايو'!$C$4,$P313='تقرير مايو'!$C$6),COUNT(AE$4:AE312)+1,"")</f>
        <v/>
      </c>
    </row>
    <row r="314">
      <c r="A314" s="16" t="n"/>
      <c r="B314" s="17" t="n"/>
      <c r="C314" s="17" t="n"/>
      <c r="D314" s="18" t="n"/>
      <c r="E314" s="17" t="n"/>
      <c r="F314" s="17" t="n"/>
      <c r="G314" s="19" t="n"/>
      <c r="H314" s="17" t="n"/>
      <c r="I314" s="17" t="n"/>
      <c r="J314" s="17" t="n"/>
      <c r="K314" s="20">
        <f>IF($B314="","",IFERROR(INDEX(الموظفات!$A$5:$A$304,MATCH($B314,الموظفات!$B$5:$B$304,0))&amp;"",""))</f>
        <v/>
      </c>
      <c r="L314" s="21">
        <f>IF($B314="","",IFERROR(INDEX(الموظفات!$C$5:$C$304,MATCH($B314,الموظفات!$B$5:$B$304,0))&amp;"",""))</f>
        <v/>
      </c>
      <c r="M314" s="20">
        <f>IF($B314="","",IFERROR(INDEX(الموظفات!$D$5:$D$304,MATCH($B314,الموظفات!$B$5:$B$304,0))&amp;"",""))</f>
        <v/>
      </c>
      <c r="N314" s="20">
        <f>IF($B314="","",IFERROR(INDEX(الموظفات!$E$5:$E$304,MATCH($B314,الموظفات!$B$5:$B$304,0))&amp;"",""))</f>
        <v/>
      </c>
      <c r="O314" s="21">
        <f>IF(C314="","",IFERROR(INDEX(الإعدادات!$D$7:$D$35,MATCH(C314,الإعدادات!$A$7:$A$35,0))&amp;"",""))</f>
        <v/>
      </c>
      <c r="P314" s="20">
        <f>IF(A314="","",INDEX(الإعدادات!$H$7:$H$18,MONTH(A314)))</f>
        <v/>
      </c>
      <c r="Q314" s="20">
        <f>IF(A314="","",INDEX(الإعدادات!$I$7:$I$18,MONTH(A314)))</f>
        <v/>
      </c>
      <c r="R314" s="20">
        <f>IF(A314="","",IF(MONTH(A314)&gt;=8,YEAR(A314)&amp;"-"&amp;(YEAR(A314)+1),(YEAR(A314)-1)&amp;"-"&amp;YEAR(A314)))</f>
        <v/>
      </c>
      <c r="S314" s="20">
        <f>IF(OR(A314="",B314=""),0,IF(AND(R314=التقارير!$C$4,OR(التقارير!$C$5="سنوي",AND(التقارير!$C$5="شهري",P314=التقارير!$C$6),AND(التقارير!$C$5="فصلي",Q314=التقارير!$C$7))),1,0))</f>
        <v/>
      </c>
      <c r="T314" s="20">
        <f>IF(S314=1,COUNTIF($S$5:S314,1),"")</f>
        <v/>
      </c>
      <c r="U314">
        <f>IF(AND($A314&lt;&gt;"",$B314&lt;&gt;"",$R314='تقرير الفصل الأول'!$C$4,$Q314='تقرير الفصل الأول'!$C$7),COUNT(U$4:U313)+1,"")</f>
        <v/>
      </c>
      <c r="V314">
        <f>IF(AND($A314&lt;&gt;"",$B314&lt;&gt;"",$R314='تقرير الفصل الثاني'!$C$4,$Q314='تقرير الفصل الثاني'!$C$7),COUNT(V$4:V313)+1,"")</f>
        <v/>
      </c>
      <c r="W314">
        <f>IF(AND($A314&lt;&gt;"",$B314&lt;&gt;"",$R314='تقرير سبتمبر'!$C$4,$P314='تقرير سبتمبر'!$C$6),COUNT(W$4:W313)+1,"")</f>
        <v/>
      </c>
      <c r="X314">
        <f>IF(AND($A314&lt;&gt;"",$B314&lt;&gt;"",$R314='تقرير أكتوبر'!$C$4,$P314='تقرير أكتوبر'!$C$6),COUNT(X$4:X313)+1,"")</f>
        <v/>
      </c>
      <c r="Y314">
        <f>IF(AND($A314&lt;&gt;"",$B314&lt;&gt;"",$R314='تقرير نوفمبر'!$C$4,$P314='تقرير نوفمبر'!$C$6),COUNT(Y$4:Y313)+1,"")</f>
        <v/>
      </c>
      <c r="Z314">
        <f>IF(AND($A314&lt;&gt;"",$B314&lt;&gt;"",$R314='تقرير ديسمبر'!$C$4,$P314='تقرير ديسمبر'!$C$6),COUNT(Z$4:Z313)+1,"")</f>
        <v/>
      </c>
      <c r="AA314">
        <f>IF(AND($A314&lt;&gt;"",$B314&lt;&gt;"",$R314='تقرير يناير'!$C$4,$P314='تقرير يناير'!$C$6),COUNT(AA$4:AA313)+1,"")</f>
        <v/>
      </c>
      <c r="AB314">
        <f>IF(AND($A314&lt;&gt;"",$B314&lt;&gt;"",$R314='تقرير فبراير'!$C$4,$P314='تقرير فبراير'!$C$6),COUNT(AB$4:AB313)+1,"")</f>
        <v/>
      </c>
      <c r="AC314">
        <f>IF(AND($A314&lt;&gt;"",$B314&lt;&gt;"",$R314='تقرير مارس'!$C$4,$P314='تقرير مارس'!$C$6),COUNT(AC$4:AC313)+1,"")</f>
        <v/>
      </c>
      <c r="AD314">
        <f>IF(AND($A314&lt;&gt;"",$B314&lt;&gt;"",$R314='تقرير أبريل'!$C$4,$P314='تقرير أبريل'!$C$6),COUNT(AD$4:AD313)+1,"")</f>
        <v/>
      </c>
      <c r="AE314">
        <f>IF(AND($A314&lt;&gt;"",$B314&lt;&gt;"",$R314='تقرير مايو'!$C$4,$P314='تقرير مايو'!$C$6),COUNT(AE$4:AE313)+1,"")</f>
        <v/>
      </c>
    </row>
    <row r="315">
      <c r="A315" s="16" t="n"/>
      <c r="B315" s="17" t="n"/>
      <c r="C315" s="17" t="n"/>
      <c r="D315" s="18" t="n"/>
      <c r="E315" s="17" t="n"/>
      <c r="F315" s="17" t="n"/>
      <c r="G315" s="19" t="n"/>
      <c r="H315" s="17" t="n"/>
      <c r="I315" s="17" t="n"/>
      <c r="J315" s="17" t="n"/>
      <c r="K315" s="20">
        <f>IF($B315="","",IFERROR(INDEX(الموظفات!$A$5:$A$304,MATCH($B315,الموظفات!$B$5:$B$304,0))&amp;"",""))</f>
        <v/>
      </c>
      <c r="L315" s="21">
        <f>IF($B315="","",IFERROR(INDEX(الموظفات!$C$5:$C$304,MATCH($B315,الموظفات!$B$5:$B$304,0))&amp;"",""))</f>
        <v/>
      </c>
      <c r="M315" s="20">
        <f>IF($B315="","",IFERROR(INDEX(الموظفات!$D$5:$D$304,MATCH($B315,الموظفات!$B$5:$B$304,0))&amp;"",""))</f>
        <v/>
      </c>
      <c r="N315" s="20">
        <f>IF($B315="","",IFERROR(INDEX(الموظفات!$E$5:$E$304,MATCH($B315,الموظفات!$B$5:$B$304,0))&amp;"",""))</f>
        <v/>
      </c>
      <c r="O315" s="21">
        <f>IF(C315="","",IFERROR(INDEX(الإعدادات!$D$7:$D$35,MATCH(C315,الإعدادات!$A$7:$A$35,0))&amp;"",""))</f>
        <v/>
      </c>
      <c r="P315" s="20">
        <f>IF(A315="","",INDEX(الإعدادات!$H$7:$H$18,MONTH(A315)))</f>
        <v/>
      </c>
      <c r="Q315" s="20">
        <f>IF(A315="","",INDEX(الإعدادات!$I$7:$I$18,MONTH(A315)))</f>
        <v/>
      </c>
      <c r="R315" s="20">
        <f>IF(A315="","",IF(MONTH(A315)&gt;=8,YEAR(A315)&amp;"-"&amp;(YEAR(A315)+1),(YEAR(A315)-1)&amp;"-"&amp;YEAR(A315)))</f>
        <v/>
      </c>
      <c r="S315" s="20">
        <f>IF(OR(A315="",B315=""),0,IF(AND(R315=التقارير!$C$4,OR(التقارير!$C$5="سنوي",AND(التقارير!$C$5="شهري",P315=التقارير!$C$6),AND(التقارير!$C$5="فصلي",Q315=التقارير!$C$7))),1,0))</f>
        <v/>
      </c>
      <c r="T315" s="20">
        <f>IF(S315=1,COUNTIF($S$5:S315,1),"")</f>
        <v/>
      </c>
      <c r="U315">
        <f>IF(AND($A315&lt;&gt;"",$B315&lt;&gt;"",$R315='تقرير الفصل الأول'!$C$4,$Q315='تقرير الفصل الأول'!$C$7),COUNT(U$4:U314)+1,"")</f>
        <v/>
      </c>
      <c r="V315">
        <f>IF(AND($A315&lt;&gt;"",$B315&lt;&gt;"",$R315='تقرير الفصل الثاني'!$C$4,$Q315='تقرير الفصل الثاني'!$C$7),COUNT(V$4:V314)+1,"")</f>
        <v/>
      </c>
      <c r="W315">
        <f>IF(AND($A315&lt;&gt;"",$B315&lt;&gt;"",$R315='تقرير سبتمبر'!$C$4,$P315='تقرير سبتمبر'!$C$6),COUNT(W$4:W314)+1,"")</f>
        <v/>
      </c>
      <c r="X315">
        <f>IF(AND($A315&lt;&gt;"",$B315&lt;&gt;"",$R315='تقرير أكتوبر'!$C$4,$P315='تقرير أكتوبر'!$C$6),COUNT(X$4:X314)+1,"")</f>
        <v/>
      </c>
      <c r="Y315">
        <f>IF(AND($A315&lt;&gt;"",$B315&lt;&gt;"",$R315='تقرير نوفمبر'!$C$4,$P315='تقرير نوفمبر'!$C$6),COUNT(Y$4:Y314)+1,"")</f>
        <v/>
      </c>
      <c r="Z315">
        <f>IF(AND($A315&lt;&gt;"",$B315&lt;&gt;"",$R315='تقرير ديسمبر'!$C$4,$P315='تقرير ديسمبر'!$C$6),COUNT(Z$4:Z314)+1,"")</f>
        <v/>
      </c>
      <c r="AA315">
        <f>IF(AND($A315&lt;&gt;"",$B315&lt;&gt;"",$R315='تقرير يناير'!$C$4,$P315='تقرير يناير'!$C$6),COUNT(AA$4:AA314)+1,"")</f>
        <v/>
      </c>
      <c r="AB315">
        <f>IF(AND($A315&lt;&gt;"",$B315&lt;&gt;"",$R315='تقرير فبراير'!$C$4,$P315='تقرير فبراير'!$C$6),COUNT(AB$4:AB314)+1,"")</f>
        <v/>
      </c>
      <c r="AC315">
        <f>IF(AND($A315&lt;&gt;"",$B315&lt;&gt;"",$R315='تقرير مارس'!$C$4,$P315='تقرير مارس'!$C$6),COUNT(AC$4:AC314)+1,"")</f>
        <v/>
      </c>
      <c r="AD315">
        <f>IF(AND($A315&lt;&gt;"",$B315&lt;&gt;"",$R315='تقرير أبريل'!$C$4,$P315='تقرير أبريل'!$C$6),COUNT(AD$4:AD314)+1,"")</f>
        <v/>
      </c>
      <c r="AE315">
        <f>IF(AND($A315&lt;&gt;"",$B315&lt;&gt;"",$R315='تقرير مايو'!$C$4,$P315='تقرير مايو'!$C$6),COUNT(AE$4:AE314)+1,"")</f>
        <v/>
      </c>
    </row>
    <row r="316">
      <c r="A316" s="16" t="n"/>
      <c r="B316" s="17" t="n"/>
      <c r="C316" s="17" t="n"/>
      <c r="D316" s="18" t="n"/>
      <c r="E316" s="17" t="n"/>
      <c r="F316" s="17" t="n"/>
      <c r="G316" s="19" t="n"/>
      <c r="H316" s="17" t="n"/>
      <c r="I316" s="17" t="n"/>
      <c r="J316" s="17" t="n"/>
      <c r="K316" s="20">
        <f>IF($B316="","",IFERROR(INDEX(الموظفات!$A$5:$A$304,MATCH($B316,الموظفات!$B$5:$B$304,0))&amp;"",""))</f>
        <v/>
      </c>
      <c r="L316" s="21">
        <f>IF($B316="","",IFERROR(INDEX(الموظفات!$C$5:$C$304,MATCH($B316,الموظفات!$B$5:$B$304,0))&amp;"",""))</f>
        <v/>
      </c>
      <c r="M316" s="20">
        <f>IF($B316="","",IFERROR(INDEX(الموظفات!$D$5:$D$304,MATCH($B316,الموظفات!$B$5:$B$304,0))&amp;"",""))</f>
        <v/>
      </c>
      <c r="N316" s="20">
        <f>IF($B316="","",IFERROR(INDEX(الموظفات!$E$5:$E$304,MATCH($B316,الموظفات!$B$5:$B$304,0))&amp;"",""))</f>
        <v/>
      </c>
      <c r="O316" s="21">
        <f>IF(C316="","",IFERROR(INDEX(الإعدادات!$D$7:$D$35,MATCH(C316,الإعدادات!$A$7:$A$35,0))&amp;"",""))</f>
        <v/>
      </c>
      <c r="P316" s="20">
        <f>IF(A316="","",INDEX(الإعدادات!$H$7:$H$18,MONTH(A316)))</f>
        <v/>
      </c>
      <c r="Q316" s="20">
        <f>IF(A316="","",INDEX(الإعدادات!$I$7:$I$18,MONTH(A316)))</f>
        <v/>
      </c>
      <c r="R316" s="20">
        <f>IF(A316="","",IF(MONTH(A316)&gt;=8,YEAR(A316)&amp;"-"&amp;(YEAR(A316)+1),(YEAR(A316)-1)&amp;"-"&amp;YEAR(A316)))</f>
        <v/>
      </c>
      <c r="S316" s="20">
        <f>IF(OR(A316="",B316=""),0,IF(AND(R316=التقارير!$C$4,OR(التقارير!$C$5="سنوي",AND(التقارير!$C$5="شهري",P316=التقارير!$C$6),AND(التقارير!$C$5="فصلي",Q316=التقارير!$C$7))),1,0))</f>
        <v/>
      </c>
      <c r="T316" s="20">
        <f>IF(S316=1,COUNTIF($S$5:S316,1),"")</f>
        <v/>
      </c>
      <c r="U316">
        <f>IF(AND($A316&lt;&gt;"",$B316&lt;&gt;"",$R316='تقرير الفصل الأول'!$C$4,$Q316='تقرير الفصل الأول'!$C$7),COUNT(U$4:U315)+1,"")</f>
        <v/>
      </c>
      <c r="V316">
        <f>IF(AND($A316&lt;&gt;"",$B316&lt;&gt;"",$R316='تقرير الفصل الثاني'!$C$4,$Q316='تقرير الفصل الثاني'!$C$7),COUNT(V$4:V315)+1,"")</f>
        <v/>
      </c>
      <c r="W316">
        <f>IF(AND($A316&lt;&gt;"",$B316&lt;&gt;"",$R316='تقرير سبتمبر'!$C$4,$P316='تقرير سبتمبر'!$C$6),COUNT(W$4:W315)+1,"")</f>
        <v/>
      </c>
      <c r="X316">
        <f>IF(AND($A316&lt;&gt;"",$B316&lt;&gt;"",$R316='تقرير أكتوبر'!$C$4,$P316='تقرير أكتوبر'!$C$6),COUNT(X$4:X315)+1,"")</f>
        <v/>
      </c>
      <c r="Y316">
        <f>IF(AND($A316&lt;&gt;"",$B316&lt;&gt;"",$R316='تقرير نوفمبر'!$C$4,$P316='تقرير نوفمبر'!$C$6),COUNT(Y$4:Y315)+1,"")</f>
        <v/>
      </c>
      <c r="Z316">
        <f>IF(AND($A316&lt;&gt;"",$B316&lt;&gt;"",$R316='تقرير ديسمبر'!$C$4,$P316='تقرير ديسمبر'!$C$6),COUNT(Z$4:Z315)+1,"")</f>
        <v/>
      </c>
      <c r="AA316">
        <f>IF(AND($A316&lt;&gt;"",$B316&lt;&gt;"",$R316='تقرير يناير'!$C$4,$P316='تقرير يناير'!$C$6),COUNT(AA$4:AA315)+1,"")</f>
        <v/>
      </c>
      <c r="AB316">
        <f>IF(AND($A316&lt;&gt;"",$B316&lt;&gt;"",$R316='تقرير فبراير'!$C$4,$P316='تقرير فبراير'!$C$6),COUNT(AB$4:AB315)+1,"")</f>
        <v/>
      </c>
      <c r="AC316">
        <f>IF(AND($A316&lt;&gt;"",$B316&lt;&gt;"",$R316='تقرير مارس'!$C$4,$P316='تقرير مارس'!$C$6),COUNT(AC$4:AC315)+1,"")</f>
        <v/>
      </c>
      <c r="AD316">
        <f>IF(AND($A316&lt;&gt;"",$B316&lt;&gt;"",$R316='تقرير أبريل'!$C$4,$P316='تقرير أبريل'!$C$6),COUNT(AD$4:AD315)+1,"")</f>
        <v/>
      </c>
      <c r="AE316">
        <f>IF(AND($A316&lt;&gt;"",$B316&lt;&gt;"",$R316='تقرير مايو'!$C$4,$P316='تقرير مايو'!$C$6),COUNT(AE$4:AE315)+1,"")</f>
        <v/>
      </c>
    </row>
    <row r="317">
      <c r="A317" s="16" t="n"/>
      <c r="B317" s="17" t="n"/>
      <c r="C317" s="17" t="n"/>
      <c r="D317" s="18" t="n"/>
      <c r="E317" s="17" t="n"/>
      <c r="F317" s="17" t="n"/>
      <c r="G317" s="19" t="n"/>
      <c r="H317" s="17" t="n"/>
      <c r="I317" s="17" t="n"/>
      <c r="J317" s="17" t="n"/>
      <c r="K317" s="20">
        <f>IF($B317="","",IFERROR(INDEX(الموظفات!$A$5:$A$304,MATCH($B317,الموظفات!$B$5:$B$304,0))&amp;"",""))</f>
        <v/>
      </c>
      <c r="L317" s="21">
        <f>IF($B317="","",IFERROR(INDEX(الموظفات!$C$5:$C$304,MATCH($B317,الموظفات!$B$5:$B$304,0))&amp;"",""))</f>
        <v/>
      </c>
      <c r="M317" s="20">
        <f>IF($B317="","",IFERROR(INDEX(الموظفات!$D$5:$D$304,MATCH($B317,الموظفات!$B$5:$B$304,0))&amp;"",""))</f>
        <v/>
      </c>
      <c r="N317" s="20">
        <f>IF($B317="","",IFERROR(INDEX(الموظفات!$E$5:$E$304,MATCH($B317,الموظفات!$B$5:$B$304,0))&amp;"",""))</f>
        <v/>
      </c>
      <c r="O317" s="21">
        <f>IF(C317="","",IFERROR(INDEX(الإعدادات!$D$7:$D$35,MATCH(C317,الإعدادات!$A$7:$A$35,0))&amp;"",""))</f>
        <v/>
      </c>
      <c r="P317" s="20">
        <f>IF(A317="","",INDEX(الإعدادات!$H$7:$H$18,MONTH(A317)))</f>
        <v/>
      </c>
      <c r="Q317" s="20">
        <f>IF(A317="","",INDEX(الإعدادات!$I$7:$I$18,MONTH(A317)))</f>
        <v/>
      </c>
      <c r="R317" s="20">
        <f>IF(A317="","",IF(MONTH(A317)&gt;=8,YEAR(A317)&amp;"-"&amp;(YEAR(A317)+1),(YEAR(A317)-1)&amp;"-"&amp;YEAR(A317)))</f>
        <v/>
      </c>
      <c r="S317" s="20">
        <f>IF(OR(A317="",B317=""),0,IF(AND(R317=التقارير!$C$4,OR(التقارير!$C$5="سنوي",AND(التقارير!$C$5="شهري",P317=التقارير!$C$6),AND(التقارير!$C$5="فصلي",Q317=التقارير!$C$7))),1,0))</f>
        <v/>
      </c>
      <c r="T317" s="20">
        <f>IF(S317=1,COUNTIF($S$5:S317,1),"")</f>
        <v/>
      </c>
      <c r="U317">
        <f>IF(AND($A317&lt;&gt;"",$B317&lt;&gt;"",$R317='تقرير الفصل الأول'!$C$4,$Q317='تقرير الفصل الأول'!$C$7),COUNT(U$4:U316)+1,"")</f>
        <v/>
      </c>
      <c r="V317">
        <f>IF(AND($A317&lt;&gt;"",$B317&lt;&gt;"",$R317='تقرير الفصل الثاني'!$C$4,$Q317='تقرير الفصل الثاني'!$C$7),COUNT(V$4:V316)+1,"")</f>
        <v/>
      </c>
      <c r="W317">
        <f>IF(AND($A317&lt;&gt;"",$B317&lt;&gt;"",$R317='تقرير سبتمبر'!$C$4,$P317='تقرير سبتمبر'!$C$6),COUNT(W$4:W316)+1,"")</f>
        <v/>
      </c>
      <c r="X317">
        <f>IF(AND($A317&lt;&gt;"",$B317&lt;&gt;"",$R317='تقرير أكتوبر'!$C$4,$P317='تقرير أكتوبر'!$C$6),COUNT(X$4:X316)+1,"")</f>
        <v/>
      </c>
      <c r="Y317">
        <f>IF(AND($A317&lt;&gt;"",$B317&lt;&gt;"",$R317='تقرير نوفمبر'!$C$4,$P317='تقرير نوفمبر'!$C$6),COUNT(Y$4:Y316)+1,"")</f>
        <v/>
      </c>
      <c r="Z317">
        <f>IF(AND($A317&lt;&gt;"",$B317&lt;&gt;"",$R317='تقرير ديسمبر'!$C$4,$P317='تقرير ديسمبر'!$C$6),COUNT(Z$4:Z316)+1,"")</f>
        <v/>
      </c>
      <c r="AA317">
        <f>IF(AND($A317&lt;&gt;"",$B317&lt;&gt;"",$R317='تقرير يناير'!$C$4,$P317='تقرير يناير'!$C$6),COUNT(AA$4:AA316)+1,"")</f>
        <v/>
      </c>
      <c r="AB317">
        <f>IF(AND($A317&lt;&gt;"",$B317&lt;&gt;"",$R317='تقرير فبراير'!$C$4,$P317='تقرير فبراير'!$C$6),COUNT(AB$4:AB316)+1,"")</f>
        <v/>
      </c>
      <c r="AC317">
        <f>IF(AND($A317&lt;&gt;"",$B317&lt;&gt;"",$R317='تقرير مارس'!$C$4,$P317='تقرير مارس'!$C$6),COUNT(AC$4:AC316)+1,"")</f>
        <v/>
      </c>
      <c r="AD317">
        <f>IF(AND($A317&lt;&gt;"",$B317&lt;&gt;"",$R317='تقرير أبريل'!$C$4,$P317='تقرير أبريل'!$C$6),COUNT(AD$4:AD316)+1,"")</f>
        <v/>
      </c>
      <c r="AE317">
        <f>IF(AND($A317&lt;&gt;"",$B317&lt;&gt;"",$R317='تقرير مايو'!$C$4,$P317='تقرير مايو'!$C$6),COUNT(AE$4:AE316)+1,"")</f>
        <v/>
      </c>
    </row>
    <row r="318">
      <c r="A318" s="16" t="n"/>
      <c r="B318" s="17" t="n"/>
      <c r="C318" s="17" t="n"/>
      <c r="D318" s="18" t="n"/>
      <c r="E318" s="17" t="n"/>
      <c r="F318" s="17" t="n"/>
      <c r="G318" s="19" t="n"/>
      <c r="H318" s="17" t="n"/>
      <c r="I318" s="17" t="n"/>
      <c r="J318" s="17" t="n"/>
      <c r="K318" s="20">
        <f>IF($B318="","",IFERROR(INDEX(الموظفات!$A$5:$A$304,MATCH($B318,الموظفات!$B$5:$B$304,0))&amp;"",""))</f>
        <v/>
      </c>
      <c r="L318" s="21">
        <f>IF($B318="","",IFERROR(INDEX(الموظفات!$C$5:$C$304,MATCH($B318,الموظفات!$B$5:$B$304,0))&amp;"",""))</f>
        <v/>
      </c>
      <c r="M318" s="20">
        <f>IF($B318="","",IFERROR(INDEX(الموظفات!$D$5:$D$304,MATCH($B318,الموظفات!$B$5:$B$304,0))&amp;"",""))</f>
        <v/>
      </c>
      <c r="N318" s="20">
        <f>IF($B318="","",IFERROR(INDEX(الموظفات!$E$5:$E$304,MATCH($B318,الموظفات!$B$5:$B$304,0))&amp;"",""))</f>
        <v/>
      </c>
      <c r="O318" s="21">
        <f>IF(C318="","",IFERROR(INDEX(الإعدادات!$D$7:$D$35,MATCH(C318,الإعدادات!$A$7:$A$35,0))&amp;"",""))</f>
        <v/>
      </c>
      <c r="P318" s="20">
        <f>IF(A318="","",INDEX(الإعدادات!$H$7:$H$18,MONTH(A318)))</f>
        <v/>
      </c>
      <c r="Q318" s="20">
        <f>IF(A318="","",INDEX(الإعدادات!$I$7:$I$18,MONTH(A318)))</f>
        <v/>
      </c>
      <c r="R318" s="20">
        <f>IF(A318="","",IF(MONTH(A318)&gt;=8,YEAR(A318)&amp;"-"&amp;(YEAR(A318)+1),(YEAR(A318)-1)&amp;"-"&amp;YEAR(A318)))</f>
        <v/>
      </c>
      <c r="S318" s="20">
        <f>IF(OR(A318="",B318=""),0,IF(AND(R318=التقارير!$C$4,OR(التقارير!$C$5="سنوي",AND(التقارير!$C$5="شهري",P318=التقارير!$C$6),AND(التقارير!$C$5="فصلي",Q318=التقارير!$C$7))),1,0))</f>
        <v/>
      </c>
      <c r="T318" s="20">
        <f>IF(S318=1,COUNTIF($S$5:S318,1),"")</f>
        <v/>
      </c>
      <c r="U318">
        <f>IF(AND($A318&lt;&gt;"",$B318&lt;&gt;"",$R318='تقرير الفصل الأول'!$C$4,$Q318='تقرير الفصل الأول'!$C$7),COUNT(U$4:U317)+1,"")</f>
        <v/>
      </c>
      <c r="V318">
        <f>IF(AND($A318&lt;&gt;"",$B318&lt;&gt;"",$R318='تقرير الفصل الثاني'!$C$4,$Q318='تقرير الفصل الثاني'!$C$7),COUNT(V$4:V317)+1,"")</f>
        <v/>
      </c>
      <c r="W318">
        <f>IF(AND($A318&lt;&gt;"",$B318&lt;&gt;"",$R318='تقرير سبتمبر'!$C$4,$P318='تقرير سبتمبر'!$C$6),COUNT(W$4:W317)+1,"")</f>
        <v/>
      </c>
      <c r="X318">
        <f>IF(AND($A318&lt;&gt;"",$B318&lt;&gt;"",$R318='تقرير أكتوبر'!$C$4,$P318='تقرير أكتوبر'!$C$6),COUNT(X$4:X317)+1,"")</f>
        <v/>
      </c>
      <c r="Y318">
        <f>IF(AND($A318&lt;&gt;"",$B318&lt;&gt;"",$R318='تقرير نوفمبر'!$C$4,$P318='تقرير نوفمبر'!$C$6),COUNT(Y$4:Y317)+1,"")</f>
        <v/>
      </c>
      <c r="Z318">
        <f>IF(AND($A318&lt;&gt;"",$B318&lt;&gt;"",$R318='تقرير ديسمبر'!$C$4,$P318='تقرير ديسمبر'!$C$6),COUNT(Z$4:Z317)+1,"")</f>
        <v/>
      </c>
      <c r="AA318">
        <f>IF(AND($A318&lt;&gt;"",$B318&lt;&gt;"",$R318='تقرير يناير'!$C$4,$P318='تقرير يناير'!$C$6),COUNT(AA$4:AA317)+1,"")</f>
        <v/>
      </c>
      <c r="AB318">
        <f>IF(AND($A318&lt;&gt;"",$B318&lt;&gt;"",$R318='تقرير فبراير'!$C$4,$P318='تقرير فبراير'!$C$6),COUNT(AB$4:AB317)+1,"")</f>
        <v/>
      </c>
      <c r="AC318">
        <f>IF(AND($A318&lt;&gt;"",$B318&lt;&gt;"",$R318='تقرير مارس'!$C$4,$P318='تقرير مارس'!$C$6),COUNT(AC$4:AC317)+1,"")</f>
        <v/>
      </c>
      <c r="AD318">
        <f>IF(AND($A318&lt;&gt;"",$B318&lt;&gt;"",$R318='تقرير أبريل'!$C$4,$P318='تقرير أبريل'!$C$6),COUNT(AD$4:AD317)+1,"")</f>
        <v/>
      </c>
      <c r="AE318">
        <f>IF(AND($A318&lt;&gt;"",$B318&lt;&gt;"",$R318='تقرير مايو'!$C$4,$P318='تقرير مايو'!$C$6),COUNT(AE$4:AE317)+1,"")</f>
        <v/>
      </c>
    </row>
    <row r="319">
      <c r="A319" s="16" t="n"/>
      <c r="B319" s="17" t="n"/>
      <c r="C319" s="17" t="n"/>
      <c r="D319" s="18" t="n"/>
      <c r="E319" s="17" t="n"/>
      <c r="F319" s="17" t="n"/>
      <c r="G319" s="19" t="n"/>
      <c r="H319" s="17" t="n"/>
      <c r="I319" s="17" t="n"/>
      <c r="J319" s="17" t="n"/>
      <c r="K319" s="20">
        <f>IF($B319="","",IFERROR(INDEX(الموظفات!$A$5:$A$304,MATCH($B319,الموظفات!$B$5:$B$304,0))&amp;"",""))</f>
        <v/>
      </c>
      <c r="L319" s="21">
        <f>IF($B319="","",IFERROR(INDEX(الموظفات!$C$5:$C$304,MATCH($B319,الموظفات!$B$5:$B$304,0))&amp;"",""))</f>
        <v/>
      </c>
      <c r="M319" s="20">
        <f>IF($B319="","",IFERROR(INDEX(الموظفات!$D$5:$D$304,MATCH($B319,الموظفات!$B$5:$B$304,0))&amp;"",""))</f>
        <v/>
      </c>
      <c r="N319" s="20">
        <f>IF($B319="","",IFERROR(INDEX(الموظفات!$E$5:$E$304,MATCH($B319,الموظفات!$B$5:$B$304,0))&amp;"",""))</f>
        <v/>
      </c>
      <c r="O319" s="21">
        <f>IF(C319="","",IFERROR(INDEX(الإعدادات!$D$7:$D$35,MATCH(C319,الإعدادات!$A$7:$A$35,0))&amp;"",""))</f>
        <v/>
      </c>
      <c r="P319" s="20">
        <f>IF(A319="","",INDEX(الإعدادات!$H$7:$H$18,MONTH(A319)))</f>
        <v/>
      </c>
      <c r="Q319" s="20">
        <f>IF(A319="","",INDEX(الإعدادات!$I$7:$I$18,MONTH(A319)))</f>
        <v/>
      </c>
      <c r="R319" s="20">
        <f>IF(A319="","",IF(MONTH(A319)&gt;=8,YEAR(A319)&amp;"-"&amp;(YEAR(A319)+1),(YEAR(A319)-1)&amp;"-"&amp;YEAR(A319)))</f>
        <v/>
      </c>
      <c r="S319" s="20">
        <f>IF(OR(A319="",B319=""),0,IF(AND(R319=التقارير!$C$4,OR(التقارير!$C$5="سنوي",AND(التقارير!$C$5="شهري",P319=التقارير!$C$6),AND(التقارير!$C$5="فصلي",Q319=التقارير!$C$7))),1,0))</f>
        <v/>
      </c>
      <c r="T319" s="20">
        <f>IF(S319=1,COUNTIF($S$5:S319,1),"")</f>
        <v/>
      </c>
      <c r="U319">
        <f>IF(AND($A319&lt;&gt;"",$B319&lt;&gt;"",$R319='تقرير الفصل الأول'!$C$4,$Q319='تقرير الفصل الأول'!$C$7),COUNT(U$4:U318)+1,"")</f>
        <v/>
      </c>
      <c r="V319">
        <f>IF(AND($A319&lt;&gt;"",$B319&lt;&gt;"",$R319='تقرير الفصل الثاني'!$C$4,$Q319='تقرير الفصل الثاني'!$C$7),COUNT(V$4:V318)+1,"")</f>
        <v/>
      </c>
      <c r="W319">
        <f>IF(AND($A319&lt;&gt;"",$B319&lt;&gt;"",$R319='تقرير سبتمبر'!$C$4,$P319='تقرير سبتمبر'!$C$6),COUNT(W$4:W318)+1,"")</f>
        <v/>
      </c>
      <c r="X319">
        <f>IF(AND($A319&lt;&gt;"",$B319&lt;&gt;"",$R319='تقرير أكتوبر'!$C$4,$P319='تقرير أكتوبر'!$C$6),COUNT(X$4:X318)+1,"")</f>
        <v/>
      </c>
      <c r="Y319">
        <f>IF(AND($A319&lt;&gt;"",$B319&lt;&gt;"",$R319='تقرير نوفمبر'!$C$4,$P319='تقرير نوفمبر'!$C$6),COUNT(Y$4:Y318)+1,"")</f>
        <v/>
      </c>
      <c r="Z319">
        <f>IF(AND($A319&lt;&gt;"",$B319&lt;&gt;"",$R319='تقرير ديسمبر'!$C$4,$P319='تقرير ديسمبر'!$C$6),COUNT(Z$4:Z318)+1,"")</f>
        <v/>
      </c>
      <c r="AA319">
        <f>IF(AND($A319&lt;&gt;"",$B319&lt;&gt;"",$R319='تقرير يناير'!$C$4,$P319='تقرير يناير'!$C$6),COUNT(AA$4:AA318)+1,"")</f>
        <v/>
      </c>
      <c r="AB319">
        <f>IF(AND($A319&lt;&gt;"",$B319&lt;&gt;"",$R319='تقرير فبراير'!$C$4,$P319='تقرير فبراير'!$C$6),COUNT(AB$4:AB318)+1,"")</f>
        <v/>
      </c>
      <c r="AC319">
        <f>IF(AND($A319&lt;&gt;"",$B319&lt;&gt;"",$R319='تقرير مارس'!$C$4,$P319='تقرير مارس'!$C$6),COUNT(AC$4:AC318)+1,"")</f>
        <v/>
      </c>
      <c r="AD319">
        <f>IF(AND($A319&lt;&gt;"",$B319&lt;&gt;"",$R319='تقرير أبريل'!$C$4,$P319='تقرير أبريل'!$C$6),COUNT(AD$4:AD318)+1,"")</f>
        <v/>
      </c>
      <c r="AE319">
        <f>IF(AND($A319&lt;&gt;"",$B319&lt;&gt;"",$R319='تقرير مايو'!$C$4,$P319='تقرير مايو'!$C$6),COUNT(AE$4:AE318)+1,"")</f>
        <v/>
      </c>
    </row>
    <row r="320">
      <c r="A320" s="16" t="n"/>
      <c r="B320" s="17" t="n"/>
      <c r="C320" s="17" t="n"/>
      <c r="D320" s="18" t="n"/>
      <c r="E320" s="17" t="n"/>
      <c r="F320" s="17" t="n"/>
      <c r="G320" s="19" t="n"/>
      <c r="H320" s="17" t="n"/>
      <c r="I320" s="17" t="n"/>
      <c r="J320" s="17" t="n"/>
      <c r="K320" s="20">
        <f>IF($B320="","",IFERROR(INDEX(الموظفات!$A$5:$A$304,MATCH($B320,الموظفات!$B$5:$B$304,0))&amp;"",""))</f>
        <v/>
      </c>
      <c r="L320" s="21">
        <f>IF($B320="","",IFERROR(INDEX(الموظفات!$C$5:$C$304,MATCH($B320,الموظفات!$B$5:$B$304,0))&amp;"",""))</f>
        <v/>
      </c>
      <c r="M320" s="20">
        <f>IF($B320="","",IFERROR(INDEX(الموظفات!$D$5:$D$304,MATCH($B320,الموظفات!$B$5:$B$304,0))&amp;"",""))</f>
        <v/>
      </c>
      <c r="N320" s="20">
        <f>IF($B320="","",IFERROR(INDEX(الموظفات!$E$5:$E$304,MATCH($B320,الموظفات!$B$5:$B$304,0))&amp;"",""))</f>
        <v/>
      </c>
      <c r="O320" s="21">
        <f>IF(C320="","",IFERROR(INDEX(الإعدادات!$D$7:$D$35,MATCH(C320,الإعدادات!$A$7:$A$35,0))&amp;"",""))</f>
        <v/>
      </c>
      <c r="P320" s="20">
        <f>IF(A320="","",INDEX(الإعدادات!$H$7:$H$18,MONTH(A320)))</f>
        <v/>
      </c>
      <c r="Q320" s="20">
        <f>IF(A320="","",INDEX(الإعدادات!$I$7:$I$18,MONTH(A320)))</f>
        <v/>
      </c>
      <c r="R320" s="20">
        <f>IF(A320="","",IF(MONTH(A320)&gt;=8,YEAR(A320)&amp;"-"&amp;(YEAR(A320)+1),(YEAR(A320)-1)&amp;"-"&amp;YEAR(A320)))</f>
        <v/>
      </c>
      <c r="S320" s="20">
        <f>IF(OR(A320="",B320=""),0,IF(AND(R320=التقارير!$C$4,OR(التقارير!$C$5="سنوي",AND(التقارير!$C$5="شهري",P320=التقارير!$C$6),AND(التقارير!$C$5="فصلي",Q320=التقارير!$C$7))),1,0))</f>
        <v/>
      </c>
      <c r="T320" s="20">
        <f>IF(S320=1,COUNTIF($S$5:S320,1),"")</f>
        <v/>
      </c>
      <c r="U320">
        <f>IF(AND($A320&lt;&gt;"",$B320&lt;&gt;"",$R320='تقرير الفصل الأول'!$C$4,$Q320='تقرير الفصل الأول'!$C$7),COUNT(U$4:U319)+1,"")</f>
        <v/>
      </c>
      <c r="V320">
        <f>IF(AND($A320&lt;&gt;"",$B320&lt;&gt;"",$R320='تقرير الفصل الثاني'!$C$4,$Q320='تقرير الفصل الثاني'!$C$7),COUNT(V$4:V319)+1,"")</f>
        <v/>
      </c>
      <c r="W320">
        <f>IF(AND($A320&lt;&gt;"",$B320&lt;&gt;"",$R320='تقرير سبتمبر'!$C$4,$P320='تقرير سبتمبر'!$C$6),COUNT(W$4:W319)+1,"")</f>
        <v/>
      </c>
      <c r="X320">
        <f>IF(AND($A320&lt;&gt;"",$B320&lt;&gt;"",$R320='تقرير أكتوبر'!$C$4,$P320='تقرير أكتوبر'!$C$6),COUNT(X$4:X319)+1,"")</f>
        <v/>
      </c>
      <c r="Y320">
        <f>IF(AND($A320&lt;&gt;"",$B320&lt;&gt;"",$R320='تقرير نوفمبر'!$C$4,$P320='تقرير نوفمبر'!$C$6),COUNT(Y$4:Y319)+1,"")</f>
        <v/>
      </c>
      <c r="Z320">
        <f>IF(AND($A320&lt;&gt;"",$B320&lt;&gt;"",$R320='تقرير ديسمبر'!$C$4,$P320='تقرير ديسمبر'!$C$6),COUNT(Z$4:Z319)+1,"")</f>
        <v/>
      </c>
      <c r="AA320">
        <f>IF(AND($A320&lt;&gt;"",$B320&lt;&gt;"",$R320='تقرير يناير'!$C$4,$P320='تقرير يناير'!$C$6),COUNT(AA$4:AA319)+1,"")</f>
        <v/>
      </c>
      <c r="AB320">
        <f>IF(AND($A320&lt;&gt;"",$B320&lt;&gt;"",$R320='تقرير فبراير'!$C$4,$P320='تقرير فبراير'!$C$6),COUNT(AB$4:AB319)+1,"")</f>
        <v/>
      </c>
      <c r="AC320">
        <f>IF(AND($A320&lt;&gt;"",$B320&lt;&gt;"",$R320='تقرير مارس'!$C$4,$P320='تقرير مارس'!$C$6),COUNT(AC$4:AC319)+1,"")</f>
        <v/>
      </c>
      <c r="AD320">
        <f>IF(AND($A320&lt;&gt;"",$B320&lt;&gt;"",$R320='تقرير أبريل'!$C$4,$P320='تقرير أبريل'!$C$6),COUNT(AD$4:AD319)+1,"")</f>
        <v/>
      </c>
      <c r="AE320">
        <f>IF(AND($A320&lt;&gt;"",$B320&lt;&gt;"",$R320='تقرير مايو'!$C$4,$P320='تقرير مايو'!$C$6),COUNT(AE$4:AE319)+1,"")</f>
        <v/>
      </c>
    </row>
    <row r="321">
      <c r="A321" s="16" t="n"/>
      <c r="B321" s="17" t="n"/>
      <c r="C321" s="17" t="n"/>
      <c r="D321" s="18" t="n"/>
      <c r="E321" s="17" t="n"/>
      <c r="F321" s="17" t="n"/>
      <c r="G321" s="19" t="n"/>
      <c r="H321" s="17" t="n"/>
      <c r="I321" s="17" t="n"/>
      <c r="J321" s="17" t="n"/>
      <c r="K321" s="20">
        <f>IF($B321="","",IFERROR(INDEX(الموظفات!$A$5:$A$304,MATCH($B321,الموظفات!$B$5:$B$304,0))&amp;"",""))</f>
        <v/>
      </c>
      <c r="L321" s="21">
        <f>IF($B321="","",IFERROR(INDEX(الموظفات!$C$5:$C$304,MATCH($B321,الموظفات!$B$5:$B$304,0))&amp;"",""))</f>
        <v/>
      </c>
      <c r="M321" s="20">
        <f>IF($B321="","",IFERROR(INDEX(الموظفات!$D$5:$D$304,MATCH($B321,الموظفات!$B$5:$B$304,0))&amp;"",""))</f>
        <v/>
      </c>
      <c r="N321" s="20">
        <f>IF($B321="","",IFERROR(INDEX(الموظفات!$E$5:$E$304,MATCH($B321,الموظفات!$B$5:$B$304,0))&amp;"",""))</f>
        <v/>
      </c>
      <c r="O321" s="21">
        <f>IF(C321="","",IFERROR(INDEX(الإعدادات!$D$7:$D$35,MATCH(C321,الإعدادات!$A$7:$A$35,0))&amp;"",""))</f>
        <v/>
      </c>
      <c r="P321" s="20">
        <f>IF(A321="","",INDEX(الإعدادات!$H$7:$H$18,MONTH(A321)))</f>
        <v/>
      </c>
      <c r="Q321" s="20">
        <f>IF(A321="","",INDEX(الإعدادات!$I$7:$I$18,MONTH(A321)))</f>
        <v/>
      </c>
      <c r="R321" s="20">
        <f>IF(A321="","",IF(MONTH(A321)&gt;=8,YEAR(A321)&amp;"-"&amp;(YEAR(A321)+1),(YEAR(A321)-1)&amp;"-"&amp;YEAR(A321)))</f>
        <v/>
      </c>
      <c r="S321" s="20">
        <f>IF(OR(A321="",B321=""),0,IF(AND(R321=التقارير!$C$4,OR(التقارير!$C$5="سنوي",AND(التقارير!$C$5="شهري",P321=التقارير!$C$6),AND(التقارير!$C$5="فصلي",Q321=التقارير!$C$7))),1,0))</f>
        <v/>
      </c>
      <c r="T321" s="20">
        <f>IF(S321=1,COUNTIF($S$5:S321,1),"")</f>
        <v/>
      </c>
      <c r="U321">
        <f>IF(AND($A321&lt;&gt;"",$B321&lt;&gt;"",$R321='تقرير الفصل الأول'!$C$4,$Q321='تقرير الفصل الأول'!$C$7),COUNT(U$4:U320)+1,"")</f>
        <v/>
      </c>
      <c r="V321">
        <f>IF(AND($A321&lt;&gt;"",$B321&lt;&gt;"",$R321='تقرير الفصل الثاني'!$C$4,$Q321='تقرير الفصل الثاني'!$C$7),COUNT(V$4:V320)+1,"")</f>
        <v/>
      </c>
      <c r="W321">
        <f>IF(AND($A321&lt;&gt;"",$B321&lt;&gt;"",$R321='تقرير سبتمبر'!$C$4,$P321='تقرير سبتمبر'!$C$6),COUNT(W$4:W320)+1,"")</f>
        <v/>
      </c>
      <c r="X321">
        <f>IF(AND($A321&lt;&gt;"",$B321&lt;&gt;"",$R321='تقرير أكتوبر'!$C$4,$P321='تقرير أكتوبر'!$C$6),COUNT(X$4:X320)+1,"")</f>
        <v/>
      </c>
      <c r="Y321">
        <f>IF(AND($A321&lt;&gt;"",$B321&lt;&gt;"",$R321='تقرير نوفمبر'!$C$4,$P321='تقرير نوفمبر'!$C$6),COUNT(Y$4:Y320)+1,"")</f>
        <v/>
      </c>
      <c r="Z321">
        <f>IF(AND($A321&lt;&gt;"",$B321&lt;&gt;"",$R321='تقرير ديسمبر'!$C$4,$P321='تقرير ديسمبر'!$C$6),COUNT(Z$4:Z320)+1,"")</f>
        <v/>
      </c>
      <c r="AA321">
        <f>IF(AND($A321&lt;&gt;"",$B321&lt;&gt;"",$R321='تقرير يناير'!$C$4,$P321='تقرير يناير'!$C$6),COUNT(AA$4:AA320)+1,"")</f>
        <v/>
      </c>
      <c r="AB321">
        <f>IF(AND($A321&lt;&gt;"",$B321&lt;&gt;"",$R321='تقرير فبراير'!$C$4,$P321='تقرير فبراير'!$C$6),COUNT(AB$4:AB320)+1,"")</f>
        <v/>
      </c>
      <c r="AC321">
        <f>IF(AND($A321&lt;&gt;"",$B321&lt;&gt;"",$R321='تقرير مارس'!$C$4,$P321='تقرير مارس'!$C$6),COUNT(AC$4:AC320)+1,"")</f>
        <v/>
      </c>
      <c r="AD321">
        <f>IF(AND($A321&lt;&gt;"",$B321&lt;&gt;"",$R321='تقرير أبريل'!$C$4,$P321='تقرير أبريل'!$C$6),COUNT(AD$4:AD320)+1,"")</f>
        <v/>
      </c>
      <c r="AE321">
        <f>IF(AND($A321&lt;&gt;"",$B321&lt;&gt;"",$R321='تقرير مايو'!$C$4,$P321='تقرير مايو'!$C$6),COUNT(AE$4:AE320)+1,"")</f>
        <v/>
      </c>
    </row>
    <row r="322">
      <c r="A322" s="16" t="n"/>
      <c r="B322" s="17" t="n"/>
      <c r="C322" s="17" t="n"/>
      <c r="D322" s="18" t="n"/>
      <c r="E322" s="17" t="n"/>
      <c r="F322" s="17" t="n"/>
      <c r="G322" s="19" t="n"/>
      <c r="H322" s="17" t="n"/>
      <c r="I322" s="17" t="n"/>
      <c r="J322" s="17" t="n"/>
      <c r="K322" s="20">
        <f>IF($B322="","",IFERROR(INDEX(الموظفات!$A$5:$A$304,MATCH($B322,الموظفات!$B$5:$B$304,0))&amp;"",""))</f>
        <v/>
      </c>
      <c r="L322" s="21">
        <f>IF($B322="","",IFERROR(INDEX(الموظفات!$C$5:$C$304,MATCH($B322,الموظفات!$B$5:$B$304,0))&amp;"",""))</f>
        <v/>
      </c>
      <c r="M322" s="20">
        <f>IF($B322="","",IFERROR(INDEX(الموظفات!$D$5:$D$304,MATCH($B322,الموظفات!$B$5:$B$304,0))&amp;"",""))</f>
        <v/>
      </c>
      <c r="N322" s="20">
        <f>IF($B322="","",IFERROR(INDEX(الموظفات!$E$5:$E$304,MATCH($B322,الموظفات!$B$5:$B$304,0))&amp;"",""))</f>
        <v/>
      </c>
      <c r="O322" s="21">
        <f>IF(C322="","",IFERROR(INDEX(الإعدادات!$D$7:$D$35,MATCH(C322,الإعدادات!$A$7:$A$35,0))&amp;"",""))</f>
        <v/>
      </c>
      <c r="P322" s="20">
        <f>IF(A322="","",INDEX(الإعدادات!$H$7:$H$18,MONTH(A322)))</f>
        <v/>
      </c>
      <c r="Q322" s="20">
        <f>IF(A322="","",INDEX(الإعدادات!$I$7:$I$18,MONTH(A322)))</f>
        <v/>
      </c>
      <c r="R322" s="20">
        <f>IF(A322="","",IF(MONTH(A322)&gt;=8,YEAR(A322)&amp;"-"&amp;(YEAR(A322)+1),(YEAR(A322)-1)&amp;"-"&amp;YEAR(A322)))</f>
        <v/>
      </c>
      <c r="S322" s="20">
        <f>IF(OR(A322="",B322=""),0,IF(AND(R322=التقارير!$C$4,OR(التقارير!$C$5="سنوي",AND(التقارير!$C$5="شهري",P322=التقارير!$C$6),AND(التقارير!$C$5="فصلي",Q322=التقارير!$C$7))),1,0))</f>
        <v/>
      </c>
      <c r="T322" s="20">
        <f>IF(S322=1,COUNTIF($S$5:S322,1),"")</f>
        <v/>
      </c>
      <c r="U322">
        <f>IF(AND($A322&lt;&gt;"",$B322&lt;&gt;"",$R322='تقرير الفصل الأول'!$C$4,$Q322='تقرير الفصل الأول'!$C$7),COUNT(U$4:U321)+1,"")</f>
        <v/>
      </c>
      <c r="V322">
        <f>IF(AND($A322&lt;&gt;"",$B322&lt;&gt;"",$R322='تقرير الفصل الثاني'!$C$4,$Q322='تقرير الفصل الثاني'!$C$7),COUNT(V$4:V321)+1,"")</f>
        <v/>
      </c>
      <c r="W322">
        <f>IF(AND($A322&lt;&gt;"",$B322&lt;&gt;"",$R322='تقرير سبتمبر'!$C$4,$P322='تقرير سبتمبر'!$C$6),COUNT(W$4:W321)+1,"")</f>
        <v/>
      </c>
      <c r="X322">
        <f>IF(AND($A322&lt;&gt;"",$B322&lt;&gt;"",$R322='تقرير أكتوبر'!$C$4,$P322='تقرير أكتوبر'!$C$6),COUNT(X$4:X321)+1,"")</f>
        <v/>
      </c>
      <c r="Y322">
        <f>IF(AND($A322&lt;&gt;"",$B322&lt;&gt;"",$R322='تقرير نوفمبر'!$C$4,$P322='تقرير نوفمبر'!$C$6),COUNT(Y$4:Y321)+1,"")</f>
        <v/>
      </c>
      <c r="Z322">
        <f>IF(AND($A322&lt;&gt;"",$B322&lt;&gt;"",$R322='تقرير ديسمبر'!$C$4,$P322='تقرير ديسمبر'!$C$6),COUNT(Z$4:Z321)+1,"")</f>
        <v/>
      </c>
      <c r="AA322">
        <f>IF(AND($A322&lt;&gt;"",$B322&lt;&gt;"",$R322='تقرير يناير'!$C$4,$P322='تقرير يناير'!$C$6),COUNT(AA$4:AA321)+1,"")</f>
        <v/>
      </c>
      <c r="AB322">
        <f>IF(AND($A322&lt;&gt;"",$B322&lt;&gt;"",$R322='تقرير فبراير'!$C$4,$P322='تقرير فبراير'!$C$6),COUNT(AB$4:AB321)+1,"")</f>
        <v/>
      </c>
      <c r="AC322">
        <f>IF(AND($A322&lt;&gt;"",$B322&lt;&gt;"",$R322='تقرير مارس'!$C$4,$P322='تقرير مارس'!$C$6),COUNT(AC$4:AC321)+1,"")</f>
        <v/>
      </c>
      <c r="AD322">
        <f>IF(AND($A322&lt;&gt;"",$B322&lt;&gt;"",$R322='تقرير أبريل'!$C$4,$P322='تقرير أبريل'!$C$6),COUNT(AD$4:AD321)+1,"")</f>
        <v/>
      </c>
      <c r="AE322">
        <f>IF(AND($A322&lt;&gt;"",$B322&lt;&gt;"",$R322='تقرير مايو'!$C$4,$P322='تقرير مايو'!$C$6),COUNT(AE$4:AE321)+1,"")</f>
        <v/>
      </c>
    </row>
    <row r="323">
      <c r="A323" s="16" t="n"/>
      <c r="B323" s="17" t="n"/>
      <c r="C323" s="17" t="n"/>
      <c r="D323" s="18" t="n"/>
      <c r="E323" s="17" t="n"/>
      <c r="F323" s="17" t="n"/>
      <c r="G323" s="19" t="n"/>
      <c r="H323" s="17" t="n"/>
      <c r="I323" s="17" t="n"/>
      <c r="J323" s="17" t="n"/>
      <c r="K323" s="20">
        <f>IF($B323="","",IFERROR(INDEX(الموظفات!$A$5:$A$304,MATCH($B323,الموظفات!$B$5:$B$304,0))&amp;"",""))</f>
        <v/>
      </c>
      <c r="L323" s="21">
        <f>IF($B323="","",IFERROR(INDEX(الموظفات!$C$5:$C$304,MATCH($B323,الموظفات!$B$5:$B$304,0))&amp;"",""))</f>
        <v/>
      </c>
      <c r="M323" s="20">
        <f>IF($B323="","",IFERROR(INDEX(الموظفات!$D$5:$D$304,MATCH($B323,الموظفات!$B$5:$B$304,0))&amp;"",""))</f>
        <v/>
      </c>
      <c r="N323" s="20">
        <f>IF($B323="","",IFERROR(INDEX(الموظفات!$E$5:$E$304,MATCH($B323,الموظفات!$B$5:$B$304,0))&amp;"",""))</f>
        <v/>
      </c>
      <c r="O323" s="21">
        <f>IF(C323="","",IFERROR(INDEX(الإعدادات!$D$7:$D$35,MATCH(C323,الإعدادات!$A$7:$A$35,0))&amp;"",""))</f>
        <v/>
      </c>
      <c r="P323" s="20">
        <f>IF(A323="","",INDEX(الإعدادات!$H$7:$H$18,MONTH(A323)))</f>
        <v/>
      </c>
      <c r="Q323" s="20">
        <f>IF(A323="","",INDEX(الإعدادات!$I$7:$I$18,MONTH(A323)))</f>
        <v/>
      </c>
      <c r="R323" s="20">
        <f>IF(A323="","",IF(MONTH(A323)&gt;=8,YEAR(A323)&amp;"-"&amp;(YEAR(A323)+1),(YEAR(A323)-1)&amp;"-"&amp;YEAR(A323)))</f>
        <v/>
      </c>
      <c r="S323" s="20">
        <f>IF(OR(A323="",B323=""),0,IF(AND(R323=التقارير!$C$4,OR(التقارير!$C$5="سنوي",AND(التقارير!$C$5="شهري",P323=التقارير!$C$6),AND(التقارير!$C$5="فصلي",Q323=التقارير!$C$7))),1,0))</f>
        <v/>
      </c>
      <c r="T323" s="20">
        <f>IF(S323=1,COUNTIF($S$5:S323,1),"")</f>
        <v/>
      </c>
      <c r="U323">
        <f>IF(AND($A323&lt;&gt;"",$B323&lt;&gt;"",$R323='تقرير الفصل الأول'!$C$4,$Q323='تقرير الفصل الأول'!$C$7),COUNT(U$4:U322)+1,"")</f>
        <v/>
      </c>
      <c r="V323">
        <f>IF(AND($A323&lt;&gt;"",$B323&lt;&gt;"",$R323='تقرير الفصل الثاني'!$C$4,$Q323='تقرير الفصل الثاني'!$C$7),COUNT(V$4:V322)+1,"")</f>
        <v/>
      </c>
      <c r="W323">
        <f>IF(AND($A323&lt;&gt;"",$B323&lt;&gt;"",$R323='تقرير سبتمبر'!$C$4,$P323='تقرير سبتمبر'!$C$6),COUNT(W$4:W322)+1,"")</f>
        <v/>
      </c>
      <c r="X323">
        <f>IF(AND($A323&lt;&gt;"",$B323&lt;&gt;"",$R323='تقرير أكتوبر'!$C$4,$P323='تقرير أكتوبر'!$C$6),COUNT(X$4:X322)+1,"")</f>
        <v/>
      </c>
      <c r="Y323">
        <f>IF(AND($A323&lt;&gt;"",$B323&lt;&gt;"",$R323='تقرير نوفمبر'!$C$4,$P323='تقرير نوفمبر'!$C$6),COUNT(Y$4:Y322)+1,"")</f>
        <v/>
      </c>
      <c r="Z323">
        <f>IF(AND($A323&lt;&gt;"",$B323&lt;&gt;"",$R323='تقرير ديسمبر'!$C$4,$P323='تقرير ديسمبر'!$C$6),COUNT(Z$4:Z322)+1,"")</f>
        <v/>
      </c>
      <c r="AA323">
        <f>IF(AND($A323&lt;&gt;"",$B323&lt;&gt;"",$R323='تقرير يناير'!$C$4,$P323='تقرير يناير'!$C$6),COUNT(AA$4:AA322)+1,"")</f>
        <v/>
      </c>
      <c r="AB323">
        <f>IF(AND($A323&lt;&gt;"",$B323&lt;&gt;"",$R323='تقرير فبراير'!$C$4,$P323='تقرير فبراير'!$C$6),COUNT(AB$4:AB322)+1,"")</f>
        <v/>
      </c>
      <c r="AC323">
        <f>IF(AND($A323&lt;&gt;"",$B323&lt;&gt;"",$R323='تقرير مارس'!$C$4,$P323='تقرير مارس'!$C$6),COUNT(AC$4:AC322)+1,"")</f>
        <v/>
      </c>
      <c r="AD323">
        <f>IF(AND($A323&lt;&gt;"",$B323&lt;&gt;"",$R323='تقرير أبريل'!$C$4,$P323='تقرير أبريل'!$C$6),COUNT(AD$4:AD322)+1,"")</f>
        <v/>
      </c>
      <c r="AE323">
        <f>IF(AND($A323&lt;&gt;"",$B323&lt;&gt;"",$R323='تقرير مايو'!$C$4,$P323='تقرير مايو'!$C$6),COUNT(AE$4:AE322)+1,"")</f>
        <v/>
      </c>
    </row>
    <row r="324">
      <c r="A324" s="16" t="n"/>
      <c r="B324" s="17" t="n"/>
      <c r="C324" s="17" t="n"/>
      <c r="D324" s="18" t="n"/>
      <c r="E324" s="17" t="n"/>
      <c r="F324" s="17" t="n"/>
      <c r="G324" s="19" t="n"/>
      <c r="H324" s="17" t="n"/>
      <c r="I324" s="17" t="n"/>
      <c r="J324" s="17" t="n"/>
      <c r="K324" s="20">
        <f>IF($B324="","",IFERROR(INDEX(الموظفات!$A$5:$A$304,MATCH($B324,الموظفات!$B$5:$B$304,0))&amp;"",""))</f>
        <v/>
      </c>
      <c r="L324" s="21">
        <f>IF($B324="","",IFERROR(INDEX(الموظفات!$C$5:$C$304,MATCH($B324,الموظفات!$B$5:$B$304,0))&amp;"",""))</f>
        <v/>
      </c>
      <c r="M324" s="20">
        <f>IF($B324="","",IFERROR(INDEX(الموظفات!$D$5:$D$304,MATCH($B324,الموظفات!$B$5:$B$304,0))&amp;"",""))</f>
        <v/>
      </c>
      <c r="N324" s="20">
        <f>IF($B324="","",IFERROR(INDEX(الموظفات!$E$5:$E$304,MATCH($B324,الموظفات!$B$5:$B$304,0))&amp;"",""))</f>
        <v/>
      </c>
      <c r="O324" s="21">
        <f>IF(C324="","",IFERROR(INDEX(الإعدادات!$D$7:$D$35,MATCH(C324,الإعدادات!$A$7:$A$35,0))&amp;"",""))</f>
        <v/>
      </c>
      <c r="P324" s="20">
        <f>IF(A324="","",INDEX(الإعدادات!$H$7:$H$18,MONTH(A324)))</f>
        <v/>
      </c>
      <c r="Q324" s="20">
        <f>IF(A324="","",INDEX(الإعدادات!$I$7:$I$18,MONTH(A324)))</f>
        <v/>
      </c>
      <c r="R324" s="20">
        <f>IF(A324="","",IF(MONTH(A324)&gt;=8,YEAR(A324)&amp;"-"&amp;(YEAR(A324)+1),(YEAR(A324)-1)&amp;"-"&amp;YEAR(A324)))</f>
        <v/>
      </c>
      <c r="S324" s="20">
        <f>IF(OR(A324="",B324=""),0,IF(AND(R324=التقارير!$C$4,OR(التقارير!$C$5="سنوي",AND(التقارير!$C$5="شهري",P324=التقارير!$C$6),AND(التقارير!$C$5="فصلي",Q324=التقارير!$C$7))),1,0))</f>
        <v/>
      </c>
      <c r="T324" s="20">
        <f>IF(S324=1,COUNTIF($S$5:S324,1),"")</f>
        <v/>
      </c>
      <c r="U324">
        <f>IF(AND($A324&lt;&gt;"",$B324&lt;&gt;"",$R324='تقرير الفصل الأول'!$C$4,$Q324='تقرير الفصل الأول'!$C$7),COUNT(U$4:U323)+1,"")</f>
        <v/>
      </c>
      <c r="V324">
        <f>IF(AND($A324&lt;&gt;"",$B324&lt;&gt;"",$R324='تقرير الفصل الثاني'!$C$4,$Q324='تقرير الفصل الثاني'!$C$7),COUNT(V$4:V323)+1,"")</f>
        <v/>
      </c>
      <c r="W324">
        <f>IF(AND($A324&lt;&gt;"",$B324&lt;&gt;"",$R324='تقرير سبتمبر'!$C$4,$P324='تقرير سبتمبر'!$C$6),COUNT(W$4:W323)+1,"")</f>
        <v/>
      </c>
      <c r="X324">
        <f>IF(AND($A324&lt;&gt;"",$B324&lt;&gt;"",$R324='تقرير أكتوبر'!$C$4,$P324='تقرير أكتوبر'!$C$6),COUNT(X$4:X323)+1,"")</f>
        <v/>
      </c>
      <c r="Y324">
        <f>IF(AND($A324&lt;&gt;"",$B324&lt;&gt;"",$R324='تقرير نوفمبر'!$C$4,$P324='تقرير نوفمبر'!$C$6),COUNT(Y$4:Y323)+1,"")</f>
        <v/>
      </c>
      <c r="Z324">
        <f>IF(AND($A324&lt;&gt;"",$B324&lt;&gt;"",$R324='تقرير ديسمبر'!$C$4,$P324='تقرير ديسمبر'!$C$6),COUNT(Z$4:Z323)+1,"")</f>
        <v/>
      </c>
      <c r="AA324">
        <f>IF(AND($A324&lt;&gt;"",$B324&lt;&gt;"",$R324='تقرير يناير'!$C$4,$P324='تقرير يناير'!$C$6),COUNT(AA$4:AA323)+1,"")</f>
        <v/>
      </c>
      <c r="AB324">
        <f>IF(AND($A324&lt;&gt;"",$B324&lt;&gt;"",$R324='تقرير فبراير'!$C$4,$P324='تقرير فبراير'!$C$6),COUNT(AB$4:AB323)+1,"")</f>
        <v/>
      </c>
      <c r="AC324">
        <f>IF(AND($A324&lt;&gt;"",$B324&lt;&gt;"",$R324='تقرير مارس'!$C$4,$P324='تقرير مارس'!$C$6),COUNT(AC$4:AC323)+1,"")</f>
        <v/>
      </c>
      <c r="AD324">
        <f>IF(AND($A324&lt;&gt;"",$B324&lt;&gt;"",$R324='تقرير أبريل'!$C$4,$P324='تقرير أبريل'!$C$6),COUNT(AD$4:AD323)+1,"")</f>
        <v/>
      </c>
      <c r="AE324">
        <f>IF(AND($A324&lt;&gt;"",$B324&lt;&gt;"",$R324='تقرير مايو'!$C$4,$P324='تقرير مايو'!$C$6),COUNT(AE$4:AE323)+1,"")</f>
        <v/>
      </c>
    </row>
    <row r="325">
      <c r="A325" s="16" t="n"/>
      <c r="B325" s="17" t="n"/>
      <c r="C325" s="17" t="n"/>
      <c r="D325" s="18" t="n"/>
      <c r="E325" s="17" t="n"/>
      <c r="F325" s="17" t="n"/>
      <c r="G325" s="19" t="n"/>
      <c r="H325" s="17" t="n"/>
      <c r="I325" s="17" t="n"/>
      <c r="J325" s="17" t="n"/>
      <c r="K325" s="20">
        <f>IF($B325="","",IFERROR(INDEX(الموظفات!$A$5:$A$304,MATCH($B325,الموظفات!$B$5:$B$304,0))&amp;"",""))</f>
        <v/>
      </c>
      <c r="L325" s="21">
        <f>IF($B325="","",IFERROR(INDEX(الموظفات!$C$5:$C$304,MATCH($B325,الموظفات!$B$5:$B$304,0))&amp;"",""))</f>
        <v/>
      </c>
      <c r="M325" s="20">
        <f>IF($B325="","",IFERROR(INDEX(الموظفات!$D$5:$D$304,MATCH($B325,الموظفات!$B$5:$B$304,0))&amp;"",""))</f>
        <v/>
      </c>
      <c r="N325" s="20">
        <f>IF($B325="","",IFERROR(INDEX(الموظفات!$E$5:$E$304,MATCH($B325,الموظفات!$B$5:$B$304,0))&amp;"",""))</f>
        <v/>
      </c>
      <c r="O325" s="21">
        <f>IF(C325="","",IFERROR(INDEX(الإعدادات!$D$7:$D$35,MATCH(C325,الإعدادات!$A$7:$A$35,0))&amp;"",""))</f>
        <v/>
      </c>
      <c r="P325" s="20">
        <f>IF(A325="","",INDEX(الإعدادات!$H$7:$H$18,MONTH(A325)))</f>
        <v/>
      </c>
      <c r="Q325" s="20">
        <f>IF(A325="","",INDEX(الإعدادات!$I$7:$I$18,MONTH(A325)))</f>
        <v/>
      </c>
      <c r="R325" s="20">
        <f>IF(A325="","",IF(MONTH(A325)&gt;=8,YEAR(A325)&amp;"-"&amp;(YEAR(A325)+1),(YEAR(A325)-1)&amp;"-"&amp;YEAR(A325)))</f>
        <v/>
      </c>
      <c r="S325" s="20">
        <f>IF(OR(A325="",B325=""),0,IF(AND(R325=التقارير!$C$4,OR(التقارير!$C$5="سنوي",AND(التقارير!$C$5="شهري",P325=التقارير!$C$6),AND(التقارير!$C$5="فصلي",Q325=التقارير!$C$7))),1,0))</f>
        <v/>
      </c>
      <c r="T325" s="20">
        <f>IF(S325=1,COUNTIF($S$5:S325,1),"")</f>
        <v/>
      </c>
      <c r="U325">
        <f>IF(AND($A325&lt;&gt;"",$B325&lt;&gt;"",$R325='تقرير الفصل الأول'!$C$4,$Q325='تقرير الفصل الأول'!$C$7),COUNT(U$4:U324)+1,"")</f>
        <v/>
      </c>
      <c r="V325">
        <f>IF(AND($A325&lt;&gt;"",$B325&lt;&gt;"",$R325='تقرير الفصل الثاني'!$C$4,$Q325='تقرير الفصل الثاني'!$C$7),COUNT(V$4:V324)+1,"")</f>
        <v/>
      </c>
      <c r="W325">
        <f>IF(AND($A325&lt;&gt;"",$B325&lt;&gt;"",$R325='تقرير سبتمبر'!$C$4,$P325='تقرير سبتمبر'!$C$6),COUNT(W$4:W324)+1,"")</f>
        <v/>
      </c>
      <c r="X325">
        <f>IF(AND($A325&lt;&gt;"",$B325&lt;&gt;"",$R325='تقرير أكتوبر'!$C$4,$P325='تقرير أكتوبر'!$C$6),COUNT(X$4:X324)+1,"")</f>
        <v/>
      </c>
      <c r="Y325">
        <f>IF(AND($A325&lt;&gt;"",$B325&lt;&gt;"",$R325='تقرير نوفمبر'!$C$4,$P325='تقرير نوفمبر'!$C$6),COUNT(Y$4:Y324)+1,"")</f>
        <v/>
      </c>
      <c r="Z325">
        <f>IF(AND($A325&lt;&gt;"",$B325&lt;&gt;"",$R325='تقرير ديسمبر'!$C$4,$P325='تقرير ديسمبر'!$C$6),COUNT(Z$4:Z324)+1,"")</f>
        <v/>
      </c>
      <c r="AA325">
        <f>IF(AND($A325&lt;&gt;"",$B325&lt;&gt;"",$R325='تقرير يناير'!$C$4,$P325='تقرير يناير'!$C$6),COUNT(AA$4:AA324)+1,"")</f>
        <v/>
      </c>
      <c r="AB325">
        <f>IF(AND($A325&lt;&gt;"",$B325&lt;&gt;"",$R325='تقرير فبراير'!$C$4,$P325='تقرير فبراير'!$C$6),COUNT(AB$4:AB324)+1,"")</f>
        <v/>
      </c>
      <c r="AC325">
        <f>IF(AND($A325&lt;&gt;"",$B325&lt;&gt;"",$R325='تقرير مارس'!$C$4,$P325='تقرير مارس'!$C$6),COUNT(AC$4:AC324)+1,"")</f>
        <v/>
      </c>
      <c r="AD325">
        <f>IF(AND($A325&lt;&gt;"",$B325&lt;&gt;"",$R325='تقرير أبريل'!$C$4,$P325='تقرير أبريل'!$C$6),COUNT(AD$4:AD324)+1,"")</f>
        <v/>
      </c>
      <c r="AE325">
        <f>IF(AND($A325&lt;&gt;"",$B325&lt;&gt;"",$R325='تقرير مايو'!$C$4,$P325='تقرير مايو'!$C$6),COUNT(AE$4:AE324)+1,"")</f>
        <v/>
      </c>
    </row>
    <row r="326">
      <c r="A326" s="16" t="n"/>
      <c r="B326" s="17" t="n"/>
      <c r="C326" s="17" t="n"/>
      <c r="D326" s="18" t="n"/>
      <c r="E326" s="17" t="n"/>
      <c r="F326" s="17" t="n"/>
      <c r="G326" s="19" t="n"/>
      <c r="H326" s="17" t="n"/>
      <c r="I326" s="17" t="n"/>
      <c r="J326" s="17" t="n"/>
      <c r="K326" s="20">
        <f>IF($B326="","",IFERROR(INDEX(الموظفات!$A$5:$A$304,MATCH($B326,الموظفات!$B$5:$B$304,0))&amp;"",""))</f>
        <v/>
      </c>
      <c r="L326" s="21">
        <f>IF($B326="","",IFERROR(INDEX(الموظفات!$C$5:$C$304,MATCH($B326,الموظفات!$B$5:$B$304,0))&amp;"",""))</f>
        <v/>
      </c>
      <c r="M326" s="20">
        <f>IF($B326="","",IFERROR(INDEX(الموظفات!$D$5:$D$304,MATCH($B326,الموظفات!$B$5:$B$304,0))&amp;"",""))</f>
        <v/>
      </c>
      <c r="N326" s="20">
        <f>IF($B326="","",IFERROR(INDEX(الموظفات!$E$5:$E$304,MATCH($B326,الموظفات!$B$5:$B$304,0))&amp;"",""))</f>
        <v/>
      </c>
      <c r="O326" s="21">
        <f>IF(C326="","",IFERROR(INDEX(الإعدادات!$D$7:$D$35,MATCH(C326,الإعدادات!$A$7:$A$35,0))&amp;"",""))</f>
        <v/>
      </c>
      <c r="P326" s="20">
        <f>IF(A326="","",INDEX(الإعدادات!$H$7:$H$18,MONTH(A326)))</f>
        <v/>
      </c>
      <c r="Q326" s="20">
        <f>IF(A326="","",INDEX(الإعدادات!$I$7:$I$18,MONTH(A326)))</f>
        <v/>
      </c>
      <c r="R326" s="20">
        <f>IF(A326="","",IF(MONTH(A326)&gt;=8,YEAR(A326)&amp;"-"&amp;(YEAR(A326)+1),(YEAR(A326)-1)&amp;"-"&amp;YEAR(A326)))</f>
        <v/>
      </c>
      <c r="S326" s="20">
        <f>IF(OR(A326="",B326=""),0,IF(AND(R326=التقارير!$C$4,OR(التقارير!$C$5="سنوي",AND(التقارير!$C$5="شهري",P326=التقارير!$C$6),AND(التقارير!$C$5="فصلي",Q326=التقارير!$C$7))),1,0))</f>
        <v/>
      </c>
      <c r="T326" s="20">
        <f>IF(S326=1,COUNTIF($S$5:S326,1),"")</f>
        <v/>
      </c>
      <c r="U326">
        <f>IF(AND($A326&lt;&gt;"",$B326&lt;&gt;"",$R326='تقرير الفصل الأول'!$C$4,$Q326='تقرير الفصل الأول'!$C$7),COUNT(U$4:U325)+1,"")</f>
        <v/>
      </c>
      <c r="V326">
        <f>IF(AND($A326&lt;&gt;"",$B326&lt;&gt;"",$R326='تقرير الفصل الثاني'!$C$4,$Q326='تقرير الفصل الثاني'!$C$7),COUNT(V$4:V325)+1,"")</f>
        <v/>
      </c>
      <c r="W326">
        <f>IF(AND($A326&lt;&gt;"",$B326&lt;&gt;"",$R326='تقرير سبتمبر'!$C$4,$P326='تقرير سبتمبر'!$C$6),COUNT(W$4:W325)+1,"")</f>
        <v/>
      </c>
      <c r="X326">
        <f>IF(AND($A326&lt;&gt;"",$B326&lt;&gt;"",$R326='تقرير أكتوبر'!$C$4,$P326='تقرير أكتوبر'!$C$6),COUNT(X$4:X325)+1,"")</f>
        <v/>
      </c>
      <c r="Y326">
        <f>IF(AND($A326&lt;&gt;"",$B326&lt;&gt;"",$R326='تقرير نوفمبر'!$C$4,$P326='تقرير نوفمبر'!$C$6),COUNT(Y$4:Y325)+1,"")</f>
        <v/>
      </c>
      <c r="Z326">
        <f>IF(AND($A326&lt;&gt;"",$B326&lt;&gt;"",$R326='تقرير ديسمبر'!$C$4,$P326='تقرير ديسمبر'!$C$6),COUNT(Z$4:Z325)+1,"")</f>
        <v/>
      </c>
      <c r="AA326">
        <f>IF(AND($A326&lt;&gt;"",$B326&lt;&gt;"",$R326='تقرير يناير'!$C$4,$P326='تقرير يناير'!$C$6),COUNT(AA$4:AA325)+1,"")</f>
        <v/>
      </c>
      <c r="AB326">
        <f>IF(AND($A326&lt;&gt;"",$B326&lt;&gt;"",$R326='تقرير فبراير'!$C$4,$P326='تقرير فبراير'!$C$6),COUNT(AB$4:AB325)+1,"")</f>
        <v/>
      </c>
      <c r="AC326">
        <f>IF(AND($A326&lt;&gt;"",$B326&lt;&gt;"",$R326='تقرير مارس'!$C$4,$P326='تقرير مارس'!$C$6),COUNT(AC$4:AC325)+1,"")</f>
        <v/>
      </c>
      <c r="AD326">
        <f>IF(AND($A326&lt;&gt;"",$B326&lt;&gt;"",$R326='تقرير أبريل'!$C$4,$P326='تقرير أبريل'!$C$6),COUNT(AD$4:AD325)+1,"")</f>
        <v/>
      </c>
      <c r="AE326">
        <f>IF(AND($A326&lt;&gt;"",$B326&lt;&gt;"",$R326='تقرير مايو'!$C$4,$P326='تقرير مايو'!$C$6),COUNT(AE$4:AE325)+1,"")</f>
        <v/>
      </c>
    </row>
    <row r="327">
      <c r="A327" s="16" t="n"/>
      <c r="B327" s="17" t="n"/>
      <c r="C327" s="17" t="n"/>
      <c r="D327" s="18" t="n"/>
      <c r="E327" s="17" t="n"/>
      <c r="F327" s="17" t="n"/>
      <c r="G327" s="19" t="n"/>
      <c r="H327" s="17" t="n"/>
      <c r="I327" s="17" t="n"/>
      <c r="J327" s="17" t="n"/>
      <c r="K327" s="20">
        <f>IF($B327="","",IFERROR(INDEX(الموظفات!$A$5:$A$304,MATCH($B327,الموظفات!$B$5:$B$304,0))&amp;"",""))</f>
        <v/>
      </c>
      <c r="L327" s="21">
        <f>IF($B327="","",IFERROR(INDEX(الموظفات!$C$5:$C$304,MATCH($B327,الموظفات!$B$5:$B$304,0))&amp;"",""))</f>
        <v/>
      </c>
      <c r="M327" s="20">
        <f>IF($B327="","",IFERROR(INDEX(الموظفات!$D$5:$D$304,MATCH($B327,الموظفات!$B$5:$B$304,0))&amp;"",""))</f>
        <v/>
      </c>
      <c r="N327" s="20">
        <f>IF($B327="","",IFERROR(INDEX(الموظفات!$E$5:$E$304,MATCH($B327,الموظفات!$B$5:$B$304,0))&amp;"",""))</f>
        <v/>
      </c>
      <c r="O327" s="21">
        <f>IF(C327="","",IFERROR(INDEX(الإعدادات!$D$7:$D$35,MATCH(C327,الإعدادات!$A$7:$A$35,0))&amp;"",""))</f>
        <v/>
      </c>
      <c r="P327" s="20">
        <f>IF(A327="","",INDEX(الإعدادات!$H$7:$H$18,MONTH(A327)))</f>
        <v/>
      </c>
      <c r="Q327" s="20">
        <f>IF(A327="","",INDEX(الإعدادات!$I$7:$I$18,MONTH(A327)))</f>
        <v/>
      </c>
      <c r="R327" s="20">
        <f>IF(A327="","",IF(MONTH(A327)&gt;=8,YEAR(A327)&amp;"-"&amp;(YEAR(A327)+1),(YEAR(A327)-1)&amp;"-"&amp;YEAR(A327)))</f>
        <v/>
      </c>
      <c r="S327" s="20">
        <f>IF(OR(A327="",B327=""),0,IF(AND(R327=التقارير!$C$4,OR(التقارير!$C$5="سنوي",AND(التقارير!$C$5="شهري",P327=التقارير!$C$6),AND(التقارير!$C$5="فصلي",Q327=التقارير!$C$7))),1,0))</f>
        <v/>
      </c>
      <c r="T327" s="20">
        <f>IF(S327=1,COUNTIF($S$5:S327,1),"")</f>
        <v/>
      </c>
      <c r="U327">
        <f>IF(AND($A327&lt;&gt;"",$B327&lt;&gt;"",$R327='تقرير الفصل الأول'!$C$4,$Q327='تقرير الفصل الأول'!$C$7),COUNT(U$4:U326)+1,"")</f>
        <v/>
      </c>
      <c r="V327">
        <f>IF(AND($A327&lt;&gt;"",$B327&lt;&gt;"",$R327='تقرير الفصل الثاني'!$C$4,$Q327='تقرير الفصل الثاني'!$C$7),COUNT(V$4:V326)+1,"")</f>
        <v/>
      </c>
      <c r="W327">
        <f>IF(AND($A327&lt;&gt;"",$B327&lt;&gt;"",$R327='تقرير سبتمبر'!$C$4,$P327='تقرير سبتمبر'!$C$6),COUNT(W$4:W326)+1,"")</f>
        <v/>
      </c>
      <c r="X327">
        <f>IF(AND($A327&lt;&gt;"",$B327&lt;&gt;"",$R327='تقرير أكتوبر'!$C$4,$P327='تقرير أكتوبر'!$C$6),COUNT(X$4:X326)+1,"")</f>
        <v/>
      </c>
      <c r="Y327">
        <f>IF(AND($A327&lt;&gt;"",$B327&lt;&gt;"",$R327='تقرير نوفمبر'!$C$4,$P327='تقرير نوفمبر'!$C$6),COUNT(Y$4:Y326)+1,"")</f>
        <v/>
      </c>
      <c r="Z327">
        <f>IF(AND($A327&lt;&gt;"",$B327&lt;&gt;"",$R327='تقرير ديسمبر'!$C$4,$P327='تقرير ديسمبر'!$C$6),COUNT(Z$4:Z326)+1,"")</f>
        <v/>
      </c>
      <c r="AA327">
        <f>IF(AND($A327&lt;&gt;"",$B327&lt;&gt;"",$R327='تقرير يناير'!$C$4,$P327='تقرير يناير'!$C$6),COUNT(AA$4:AA326)+1,"")</f>
        <v/>
      </c>
      <c r="AB327">
        <f>IF(AND($A327&lt;&gt;"",$B327&lt;&gt;"",$R327='تقرير فبراير'!$C$4,$P327='تقرير فبراير'!$C$6),COUNT(AB$4:AB326)+1,"")</f>
        <v/>
      </c>
      <c r="AC327">
        <f>IF(AND($A327&lt;&gt;"",$B327&lt;&gt;"",$R327='تقرير مارس'!$C$4,$P327='تقرير مارس'!$C$6),COUNT(AC$4:AC326)+1,"")</f>
        <v/>
      </c>
      <c r="AD327">
        <f>IF(AND($A327&lt;&gt;"",$B327&lt;&gt;"",$R327='تقرير أبريل'!$C$4,$P327='تقرير أبريل'!$C$6),COUNT(AD$4:AD326)+1,"")</f>
        <v/>
      </c>
      <c r="AE327">
        <f>IF(AND($A327&lt;&gt;"",$B327&lt;&gt;"",$R327='تقرير مايو'!$C$4,$P327='تقرير مايو'!$C$6),COUNT(AE$4:AE326)+1,"")</f>
        <v/>
      </c>
    </row>
    <row r="328">
      <c r="A328" s="16" t="n"/>
      <c r="B328" s="17" t="n"/>
      <c r="C328" s="17" t="n"/>
      <c r="D328" s="18" t="n"/>
      <c r="E328" s="17" t="n"/>
      <c r="F328" s="17" t="n"/>
      <c r="G328" s="19" t="n"/>
      <c r="H328" s="17" t="n"/>
      <c r="I328" s="17" t="n"/>
      <c r="J328" s="17" t="n"/>
      <c r="K328" s="20">
        <f>IF($B328="","",IFERROR(INDEX(الموظفات!$A$5:$A$304,MATCH($B328,الموظفات!$B$5:$B$304,0))&amp;"",""))</f>
        <v/>
      </c>
      <c r="L328" s="21">
        <f>IF($B328="","",IFERROR(INDEX(الموظفات!$C$5:$C$304,MATCH($B328,الموظفات!$B$5:$B$304,0))&amp;"",""))</f>
        <v/>
      </c>
      <c r="M328" s="20">
        <f>IF($B328="","",IFERROR(INDEX(الموظفات!$D$5:$D$304,MATCH($B328,الموظفات!$B$5:$B$304,0))&amp;"",""))</f>
        <v/>
      </c>
      <c r="N328" s="20">
        <f>IF($B328="","",IFERROR(INDEX(الموظفات!$E$5:$E$304,MATCH($B328,الموظفات!$B$5:$B$304,0))&amp;"",""))</f>
        <v/>
      </c>
      <c r="O328" s="21">
        <f>IF(C328="","",IFERROR(INDEX(الإعدادات!$D$7:$D$35,MATCH(C328,الإعدادات!$A$7:$A$35,0))&amp;"",""))</f>
        <v/>
      </c>
      <c r="P328" s="20">
        <f>IF(A328="","",INDEX(الإعدادات!$H$7:$H$18,MONTH(A328)))</f>
        <v/>
      </c>
      <c r="Q328" s="20">
        <f>IF(A328="","",INDEX(الإعدادات!$I$7:$I$18,MONTH(A328)))</f>
        <v/>
      </c>
      <c r="R328" s="20">
        <f>IF(A328="","",IF(MONTH(A328)&gt;=8,YEAR(A328)&amp;"-"&amp;(YEAR(A328)+1),(YEAR(A328)-1)&amp;"-"&amp;YEAR(A328)))</f>
        <v/>
      </c>
      <c r="S328" s="20">
        <f>IF(OR(A328="",B328=""),0,IF(AND(R328=التقارير!$C$4,OR(التقارير!$C$5="سنوي",AND(التقارير!$C$5="شهري",P328=التقارير!$C$6),AND(التقارير!$C$5="فصلي",Q328=التقارير!$C$7))),1,0))</f>
        <v/>
      </c>
      <c r="T328" s="20">
        <f>IF(S328=1,COUNTIF($S$5:S328,1),"")</f>
        <v/>
      </c>
      <c r="U328">
        <f>IF(AND($A328&lt;&gt;"",$B328&lt;&gt;"",$R328='تقرير الفصل الأول'!$C$4,$Q328='تقرير الفصل الأول'!$C$7),COUNT(U$4:U327)+1,"")</f>
        <v/>
      </c>
      <c r="V328">
        <f>IF(AND($A328&lt;&gt;"",$B328&lt;&gt;"",$R328='تقرير الفصل الثاني'!$C$4,$Q328='تقرير الفصل الثاني'!$C$7),COUNT(V$4:V327)+1,"")</f>
        <v/>
      </c>
      <c r="W328">
        <f>IF(AND($A328&lt;&gt;"",$B328&lt;&gt;"",$R328='تقرير سبتمبر'!$C$4,$P328='تقرير سبتمبر'!$C$6),COUNT(W$4:W327)+1,"")</f>
        <v/>
      </c>
      <c r="X328">
        <f>IF(AND($A328&lt;&gt;"",$B328&lt;&gt;"",$R328='تقرير أكتوبر'!$C$4,$P328='تقرير أكتوبر'!$C$6),COUNT(X$4:X327)+1,"")</f>
        <v/>
      </c>
      <c r="Y328">
        <f>IF(AND($A328&lt;&gt;"",$B328&lt;&gt;"",$R328='تقرير نوفمبر'!$C$4,$P328='تقرير نوفمبر'!$C$6),COUNT(Y$4:Y327)+1,"")</f>
        <v/>
      </c>
      <c r="Z328">
        <f>IF(AND($A328&lt;&gt;"",$B328&lt;&gt;"",$R328='تقرير ديسمبر'!$C$4,$P328='تقرير ديسمبر'!$C$6),COUNT(Z$4:Z327)+1,"")</f>
        <v/>
      </c>
      <c r="AA328">
        <f>IF(AND($A328&lt;&gt;"",$B328&lt;&gt;"",$R328='تقرير يناير'!$C$4,$P328='تقرير يناير'!$C$6),COUNT(AA$4:AA327)+1,"")</f>
        <v/>
      </c>
      <c r="AB328">
        <f>IF(AND($A328&lt;&gt;"",$B328&lt;&gt;"",$R328='تقرير فبراير'!$C$4,$P328='تقرير فبراير'!$C$6),COUNT(AB$4:AB327)+1,"")</f>
        <v/>
      </c>
      <c r="AC328">
        <f>IF(AND($A328&lt;&gt;"",$B328&lt;&gt;"",$R328='تقرير مارس'!$C$4,$P328='تقرير مارس'!$C$6),COUNT(AC$4:AC327)+1,"")</f>
        <v/>
      </c>
      <c r="AD328">
        <f>IF(AND($A328&lt;&gt;"",$B328&lt;&gt;"",$R328='تقرير أبريل'!$C$4,$P328='تقرير أبريل'!$C$6),COUNT(AD$4:AD327)+1,"")</f>
        <v/>
      </c>
      <c r="AE328">
        <f>IF(AND($A328&lt;&gt;"",$B328&lt;&gt;"",$R328='تقرير مايو'!$C$4,$P328='تقرير مايو'!$C$6),COUNT(AE$4:AE327)+1,"")</f>
        <v/>
      </c>
    </row>
    <row r="329">
      <c r="A329" s="16" t="n"/>
      <c r="B329" s="17" t="n"/>
      <c r="C329" s="17" t="n"/>
      <c r="D329" s="18" t="n"/>
      <c r="E329" s="17" t="n"/>
      <c r="F329" s="17" t="n"/>
      <c r="G329" s="19" t="n"/>
      <c r="H329" s="17" t="n"/>
      <c r="I329" s="17" t="n"/>
      <c r="J329" s="17" t="n"/>
      <c r="K329" s="20">
        <f>IF($B329="","",IFERROR(INDEX(الموظفات!$A$5:$A$304,MATCH($B329,الموظفات!$B$5:$B$304,0))&amp;"",""))</f>
        <v/>
      </c>
      <c r="L329" s="21">
        <f>IF($B329="","",IFERROR(INDEX(الموظفات!$C$5:$C$304,MATCH($B329,الموظفات!$B$5:$B$304,0))&amp;"",""))</f>
        <v/>
      </c>
      <c r="M329" s="20">
        <f>IF($B329="","",IFERROR(INDEX(الموظفات!$D$5:$D$304,MATCH($B329,الموظفات!$B$5:$B$304,0))&amp;"",""))</f>
        <v/>
      </c>
      <c r="N329" s="20">
        <f>IF($B329="","",IFERROR(INDEX(الموظفات!$E$5:$E$304,MATCH($B329,الموظفات!$B$5:$B$304,0))&amp;"",""))</f>
        <v/>
      </c>
      <c r="O329" s="21">
        <f>IF(C329="","",IFERROR(INDEX(الإعدادات!$D$7:$D$35,MATCH(C329,الإعدادات!$A$7:$A$35,0))&amp;"",""))</f>
        <v/>
      </c>
      <c r="P329" s="20">
        <f>IF(A329="","",INDEX(الإعدادات!$H$7:$H$18,MONTH(A329)))</f>
        <v/>
      </c>
      <c r="Q329" s="20">
        <f>IF(A329="","",INDEX(الإعدادات!$I$7:$I$18,MONTH(A329)))</f>
        <v/>
      </c>
      <c r="R329" s="20">
        <f>IF(A329="","",IF(MONTH(A329)&gt;=8,YEAR(A329)&amp;"-"&amp;(YEAR(A329)+1),(YEAR(A329)-1)&amp;"-"&amp;YEAR(A329)))</f>
        <v/>
      </c>
      <c r="S329" s="20">
        <f>IF(OR(A329="",B329=""),0,IF(AND(R329=التقارير!$C$4,OR(التقارير!$C$5="سنوي",AND(التقارير!$C$5="شهري",P329=التقارير!$C$6),AND(التقارير!$C$5="فصلي",Q329=التقارير!$C$7))),1,0))</f>
        <v/>
      </c>
      <c r="T329" s="20">
        <f>IF(S329=1,COUNTIF($S$5:S329,1),"")</f>
        <v/>
      </c>
      <c r="U329">
        <f>IF(AND($A329&lt;&gt;"",$B329&lt;&gt;"",$R329='تقرير الفصل الأول'!$C$4,$Q329='تقرير الفصل الأول'!$C$7),COUNT(U$4:U328)+1,"")</f>
        <v/>
      </c>
      <c r="V329">
        <f>IF(AND($A329&lt;&gt;"",$B329&lt;&gt;"",$R329='تقرير الفصل الثاني'!$C$4,$Q329='تقرير الفصل الثاني'!$C$7),COUNT(V$4:V328)+1,"")</f>
        <v/>
      </c>
      <c r="W329">
        <f>IF(AND($A329&lt;&gt;"",$B329&lt;&gt;"",$R329='تقرير سبتمبر'!$C$4,$P329='تقرير سبتمبر'!$C$6),COUNT(W$4:W328)+1,"")</f>
        <v/>
      </c>
      <c r="X329">
        <f>IF(AND($A329&lt;&gt;"",$B329&lt;&gt;"",$R329='تقرير أكتوبر'!$C$4,$P329='تقرير أكتوبر'!$C$6),COUNT(X$4:X328)+1,"")</f>
        <v/>
      </c>
      <c r="Y329">
        <f>IF(AND($A329&lt;&gt;"",$B329&lt;&gt;"",$R329='تقرير نوفمبر'!$C$4,$P329='تقرير نوفمبر'!$C$6),COUNT(Y$4:Y328)+1,"")</f>
        <v/>
      </c>
      <c r="Z329">
        <f>IF(AND($A329&lt;&gt;"",$B329&lt;&gt;"",$R329='تقرير ديسمبر'!$C$4,$P329='تقرير ديسمبر'!$C$6),COUNT(Z$4:Z328)+1,"")</f>
        <v/>
      </c>
      <c r="AA329">
        <f>IF(AND($A329&lt;&gt;"",$B329&lt;&gt;"",$R329='تقرير يناير'!$C$4,$P329='تقرير يناير'!$C$6),COUNT(AA$4:AA328)+1,"")</f>
        <v/>
      </c>
      <c r="AB329">
        <f>IF(AND($A329&lt;&gt;"",$B329&lt;&gt;"",$R329='تقرير فبراير'!$C$4,$P329='تقرير فبراير'!$C$6),COUNT(AB$4:AB328)+1,"")</f>
        <v/>
      </c>
      <c r="AC329">
        <f>IF(AND($A329&lt;&gt;"",$B329&lt;&gt;"",$R329='تقرير مارس'!$C$4,$P329='تقرير مارس'!$C$6),COUNT(AC$4:AC328)+1,"")</f>
        <v/>
      </c>
      <c r="AD329">
        <f>IF(AND($A329&lt;&gt;"",$B329&lt;&gt;"",$R329='تقرير أبريل'!$C$4,$P329='تقرير أبريل'!$C$6),COUNT(AD$4:AD328)+1,"")</f>
        <v/>
      </c>
      <c r="AE329">
        <f>IF(AND($A329&lt;&gt;"",$B329&lt;&gt;"",$R329='تقرير مايو'!$C$4,$P329='تقرير مايو'!$C$6),COUNT(AE$4:AE328)+1,"")</f>
        <v/>
      </c>
    </row>
    <row r="330">
      <c r="A330" s="16" t="n"/>
      <c r="B330" s="17" t="n"/>
      <c r="C330" s="17" t="n"/>
      <c r="D330" s="18" t="n"/>
      <c r="E330" s="17" t="n"/>
      <c r="F330" s="17" t="n"/>
      <c r="G330" s="19" t="n"/>
      <c r="H330" s="17" t="n"/>
      <c r="I330" s="17" t="n"/>
      <c r="J330" s="17" t="n"/>
      <c r="K330" s="20">
        <f>IF($B330="","",IFERROR(INDEX(الموظفات!$A$5:$A$304,MATCH($B330,الموظفات!$B$5:$B$304,0))&amp;"",""))</f>
        <v/>
      </c>
      <c r="L330" s="21">
        <f>IF($B330="","",IFERROR(INDEX(الموظفات!$C$5:$C$304,MATCH($B330,الموظفات!$B$5:$B$304,0))&amp;"",""))</f>
        <v/>
      </c>
      <c r="M330" s="20">
        <f>IF($B330="","",IFERROR(INDEX(الموظفات!$D$5:$D$304,MATCH($B330,الموظفات!$B$5:$B$304,0))&amp;"",""))</f>
        <v/>
      </c>
      <c r="N330" s="20">
        <f>IF($B330="","",IFERROR(INDEX(الموظفات!$E$5:$E$304,MATCH($B330,الموظفات!$B$5:$B$304,0))&amp;"",""))</f>
        <v/>
      </c>
      <c r="O330" s="21">
        <f>IF(C330="","",IFERROR(INDEX(الإعدادات!$D$7:$D$35,MATCH(C330,الإعدادات!$A$7:$A$35,0))&amp;"",""))</f>
        <v/>
      </c>
      <c r="P330" s="20">
        <f>IF(A330="","",INDEX(الإعدادات!$H$7:$H$18,MONTH(A330)))</f>
        <v/>
      </c>
      <c r="Q330" s="20">
        <f>IF(A330="","",INDEX(الإعدادات!$I$7:$I$18,MONTH(A330)))</f>
        <v/>
      </c>
      <c r="R330" s="20">
        <f>IF(A330="","",IF(MONTH(A330)&gt;=8,YEAR(A330)&amp;"-"&amp;(YEAR(A330)+1),(YEAR(A330)-1)&amp;"-"&amp;YEAR(A330)))</f>
        <v/>
      </c>
      <c r="S330" s="20">
        <f>IF(OR(A330="",B330=""),0,IF(AND(R330=التقارير!$C$4,OR(التقارير!$C$5="سنوي",AND(التقارير!$C$5="شهري",P330=التقارير!$C$6),AND(التقارير!$C$5="فصلي",Q330=التقارير!$C$7))),1,0))</f>
        <v/>
      </c>
      <c r="T330" s="20">
        <f>IF(S330=1,COUNTIF($S$5:S330,1),"")</f>
        <v/>
      </c>
      <c r="U330">
        <f>IF(AND($A330&lt;&gt;"",$B330&lt;&gt;"",$R330='تقرير الفصل الأول'!$C$4,$Q330='تقرير الفصل الأول'!$C$7),COUNT(U$4:U329)+1,"")</f>
        <v/>
      </c>
      <c r="V330">
        <f>IF(AND($A330&lt;&gt;"",$B330&lt;&gt;"",$R330='تقرير الفصل الثاني'!$C$4,$Q330='تقرير الفصل الثاني'!$C$7),COUNT(V$4:V329)+1,"")</f>
        <v/>
      </c>
      <c r="W330">
        <f>IF(AND($A330&lt;&gt;"",$B330&lt;&gt;"",$R330='تقرير سبتمبر'!$C$4,$P330='تقرير سبتمبر'!$C$6),COUNT(W$4:W329)+1,"")</f>
        <v/>
      </c>
      <c r="X330">
        <f>IF(AND($A330&lt;&gt;"",$B330&lt;&gt;"",$R330='تقرير أكتوبر'!$C$4,$P330='تقرير أكتوبر'!$C$6),COUNT(X$4:X329)+1,"")</f>
        <v/>
      </c>
      <c r="Y330">
        <f>IF(AND($A330&lt;&gt;"",$B330&lt;&gt;"",$R330='تقرير نوفمبر'!$C$4,$P330='تقرير نوفمبر'!$C$6),COUNT(Y$4:Y329)+1,"")</f>
        <v/>
      </c>
      <c r="Z330">
        <f>IF(AND($A330&lt;&gt;"",$B330&lt;&gt;"",$R330='تقرير ديسمبر'!$C$4,$P330='تقرير ديسمبر'!$C$6),COUNT(Z$4:Z329)+1,"")</f>
        <v/>
      </c>
      <c r="AA330">
        <f>IF(AND($A330&lt;&gt;"",$B330&lt;&gt;"",$R330='تقرير يناير'!$C$4,$P330='تقرير يناير'!$C$6),COUNT(AA$4:AA329)+1,"")</f>
        <v/>
      </c>
      <c r="AB330">
        <f>IF(AND($A330&lt;&gt;"",$B330&lt;&gt;"",$R330='تقرير فبراير'!$C$4,$P330='تقرير فبراير'!$C$6),COUNT(AB$4:AB329)+1,"")</f>
        <v/>
      </c>
      <c r="AC330">
        <f>IF(AND($A330&lt;&gt;"",$B330&lt;&gt;"",$R330='تقرير مارس'!$C$4,$P330='تقرير مارس'!$C$6),COUNT(AC$4:AC329)+1,"")</f>
        <v/>
      </c>
      <c r="AD330">
        <f>IF(AND($A330&lt;&gt;"",$B330&lt;&gt;"",$R330='تقرير أبريل'!$C$4,$P330='تقرير أبريل'!$C$6),COUNT(AD$4:AD329)+1,"")</f>
        <v/>
      </c>
      <c r="AE330">
        <f>IF(AND($A330&lt;&gt;"",$B330&lt;&gt;"",$R330='تقرير مايو'!$C$4,$P330='تقرير مايو'!$C$6),COUNT(AE$4:AE329)+1,"")</f>
        <v/>
      </c>
    </row>
    <row r="331">
      <c r="A331" s="16" t="n"/>
      <c r="B331" s="17" t="n"/>
      <c r="C331" s="17" t="n"/>
      <c r="D331" s="18" t="n"/>
      <c r="E331" s="17" t="n"/>
      <c r="F331" s="17" t="n"/>
      <c r="G331" s="19" t="n"/>
      <c r="H331" s="17" t="n"/>
      <c r="I331" s="17" t="n"/>
      <c r="J331" s="17" t="n"/>
      <c r="K331" s="20">
        <f>IF($B331="","",IFERROR(INDEX(الموظفات!$A$5:$A$304,MATCH($B331,الموظفات!$B$5:$B$304,0))&amp;"",""))</f>
        <v/>
      </c>
      <c r="L331" s="21">
        <f>IF($B331="","",IFERROR(INDEX(الموظفات!$C$5:$C$304,MATCH($B331,الموظفات!$B$5:$B$304,0))&amp;"",""))</f>
        <v/>
      </c>
      <c r="M331" s="20">
        <f>IF($B331="","",IFERROR(INDEX(الموظفات!$D$5:$D$304,MATCH($B331,الموظفات!$B$5:$B$304,0))&amp;"",""))</f>
        <v/>
      </c>
      <c r="N331" s="20">
        <f>IF($B331="","",IFERROR(INDEX(الموظفات!$E$5:$E$304,MATCH($B331,الموظفات!$B$5:$B$304,0))&amp;"",""))</f>
        <v/>
      </c>
      <c r="O331" s="21">
        <f>IF(C331="","",IFERROR(INDEX(الإعدادات!$D$7:$D$35,MATCH(C331,الإعدادات!$A$7:$A$35,0))&amp;"",""))</f>
        <v/>
      </c>
      <c r="P331" s="20">
        <f>IF(A331="","",INDEX(الإعدادات!$H$7:$H$18,MONTH(A331)))</f>
        <v/>
      </c>
      <c r="Q331" s="20">
        <f>IF(A331="","",INDEX(الإعدادات!$I$7:$I$18,MONTH(A331)))</f>
        <v/>
      </c>
      <c r="R331" s="20">
        <f>IF(A331="","",IF(MONTH(A331)&gt;=8,YEAR(A331)&amp;"-"&amp;(YEAR(A331)+1),(YEAR(A331)-1)&amp;"-"&amp;YEAR(A331)))</f>
        <v/>
      </c>
      <c r="S331" s="20">
        <f>IF(OR(A331="",B331=""),0,IF(AND(R331=التقارير!$C$4,OR(التقارير!$C$5="سنوي",AND(التقارير!$C$5="شهري",P331=التقارير!$C$6),AND(التقارير!$C$5="فصلي",Q331=التقارير!$C$7))),1,0))</f>
        <v/>
      </c>
      <c r="T331" s="20">
        <f>IF(S331=1,COUNTIF($S$5:S331,1),"")</f>
        <v/>
      </c>
      <c r="U331">
        <f>IF(AND($A331&lt;&gt;"",$B331&lt;&gt;"",$R331='تقرير الفصل الأول'!$C$4,$Q331='تقرير الفصل الأول'!$C$7),COUNT(U$4:U330)+1,"")</f>
        <v/>
      </c>
      <c r="V331">
        <f>IF(AND($A331&lt;&gt;"",$B331&lt;&gt;"",$R331='تقرير الفصل الثاني'!$C$4,$Q331='تقرير الفصل الثاني'!$C$7),COUNT(V$4:V330)+1,"")</f>
        <v/>
      </c>
      <c r="W331">
        <f>IF(AND($A331&lt;&gt;"",$B331&lt;&gt;"",$R331='تقرير سبتمبر'!$C$4,$P331='تقرير سبتمبر'!$C$6),COUNT(W$4:W330)+1,"")</f>
        <v/>
      </c>
      <c r="X331">
        <f>IF(AND($A331&lt;&gt;"",$B331&lt;&gt;"",$R331='تقرير أكتوبر'!$C$4,$P331='تقرير أكتوبر'!$C$6),COUNT(X$4:X330)+1,"")</f>
        <v/>
      </c>
      <c r="Y331">
        <f>IF(AND($A331&lt;&gt;"",$B331&lt;&gt;"",$R331='تقرير نوفمبر'!$C$4,$P331='تقرير نوفمبر'!$C$6),COUNT(Y$4:Y330)+1,"")</f>
        <v/>
      </c>
      <c r="Z331">
        <f>IF(AND($A331&lt;&gt;"",$B331&lt;&gt;"",$R331='تقرير ديسمبر'!$C$4,$P331='تقرير ديسمبر'!$C$6),COUNT(Z$4:Z330)+1,"")</f>
        <v/>
      </c>
      <c r="AA331">
        <f>IF(AND($A331&lt;&gt;"",$B331&lt;&gt;"",$R331='تقرير يناير'!$C$4,$P331='تقرير يناير'!$C$6),COUNT(AA$4:AA330)+1,"")</f>
        <v/>
      </c>
      <c r="AB331">
        <f>IF(AND($A331&lt;&gt;"",$B331&lt;&gt;"",$R331='تقرير فبراير'!$C$4,$P331='تقرير فبراير'!$C$6),COUNT(AB$4:AB330)+1,"")</f>
        <v/>
      </c>
      <c r="AC331">
        <f>IF(AND($A331&lt;&gt;"",$B331&lt;&gt;"",$R331='تقرير مارس'!$C$4,$P331='تقرير مارس'!$C$6),COUNT(AC$4:AC330)+1,"")</f>
        <v/>
      </c>
      <c r="AD331">
        <f>IF(AND($A331&lt;&gt;"",$B331&lt;&gt;"",$R331='تقرير أبريل'!$C$4,$P331='تقرير أبريل'!$C$6),COUNT(AD$4:AD330)+1,"")</f>
        <v/>
      </c>
      <c r="AE331">
        <f>IF(AND($A331&lt;&gt;"",$B331&lt;&gt;"",$R331='تقرير مايو'!$C$4,$P331='تقرير مايو'!$C$6),COUNT(AE$4:AE330)+1,"")</f>
        <v/>
      </c>
    </row>
    <row r="332">
      <c r="A332" s="16" t="n"/>
      <c r="B332" s="17" t="n"/>
      <c r="C332" s="17" t="n"/>
      <c r="D332" s="18" t="n"/>
      <c r="E332" s="17" t="n"/>
      <c r="F332" s="17" t="n"/>
      <c r="G332" s="19" t="n"/>
      <c r="H332" s="17" t="n"/>
      <c r="I332" s="17" t="n"/>
      <c r="J332" s="17" t="n"/>
      <c r="K332" s="20">
        <f>IF($B332="","",IFERROR(INDEX(الموظفات!$A$5:$A$304,MATCH($B332,الموظفات!$B$5:$B$304,0))&amp;"",""))</f>
        <v/>
      </c>
      <c r="L332" s="21">
        <f>IF($B332="","",IFERROR(INDEX(الموظفات!$C$5:$C$304,MATCH($B332,الموظفات!$B$5:$B$304,0))&amp;"",""))</f>
        <v/>
      </c>
      <c r="M332" s="20">
        <f>IF($B332="","",IFERROR(INDEX(الموظفات!$D$5:$D$304,MATCH($B332,الموظفات!$B$5:$B$304,0))&amp;"",""))</f>
        <v/>
      </c>
      <c r="N332" s="20">
        <f>IF($B332="","",IFERROR(INDEX(الموظفات!$E$5:$E$304,MATCH($B332,الموظفات!$B$5:$B$304,0))&amp;"",""))</f>
        <v/>
      </c>
      <c r="O332" s="21">
        <f>IF(C332="","",IFERROR(INDEX(الإعدادات!$D$7:$D$35,MATCH(C332,الإعدادات!$A$7:$A$35,0))&amp;"",""))</f>
        <v/>
      </c>
      <c r="P332" s="20">
        <f>IF(A332="","",INDEX(الإعدادات!$H$7:$H$18,MONTH(A332)))</f>
        <v/>
      </c>
      <c r="Q332" s="20">
        <f>IF(A332="","",INDEX(الإعدادات!$I$7:$I$18,MONTH(A332)))</f>
        <v/>
      </c>
      <c r="R332" s="20">
        <f>IF(A332="","",IF(MONTH(A332)&gt;=8,YEAR(A332)&amp;"-"&amp;(YEAR(A332)+1),(YEAR(A332)-1)&amp;"-"&amp;YEAR(A332)))</f>
        <v/>
      </c>
      <c r="S332" s="20">
        <f>IF(OR(A332="",B332=""),0,IF(AND(R332=التقارير!$C$4,OR(التقارير!$C$5="سنوي",AND(التقارير!$C$5="شهري",P332=التقارير!$C$6),AND(التقارير!$C$5="فصلي",Q332=التقارير!$C$7))),1,0))</f>
        <v/>
      </c>
      <c r="T332" s="20">
        <f>IF(S332=1,COUNTIF($S$5:S332,1),"")</f>
        <v/>
      </c>
      <c r="U332">
        <f>IF(AND($A332&lt;&gt;"",$B332&lt;&gt;"",$R332='تقرير الفصل الأول'!$C$4,$Q332='تقرير الفصل الأول'!$C$7),COUNT(U$4:U331)+1,"")</f>
        <v/>
      </c>
      <c r="V332">
        <f>IF(AND($A332&lt;&gt;"",$B332&lt;&gt;"",$R332='تقرير الفصل الثاني'!$C$4,$Q332='تقرير الفصل الثاني'!$C$7),COUNT(V$4:V331)+1,"")</f>
        <v/>
      </c>
      <c r="W332">
        <f>IF(AND($A332&lt;&gt;"",$B332&lt;&gt;"",$R332='تقرير سبتمبر'!$C$4,$P332='تقرير سبتمبر'!$C$6),COUNT(W$4:W331)+1,"")</f>
        <v/>
      </c>
      <c r="X332">
        <f>IF(AND($A332&lt;&gt;"",$B332&lt;&gt;"",$R332='تقرير أكتوبر'!$C$4,$P332='تقرير أكتوبر'!$C$6),COUNT(X$4:X331)+1,"")</f>
        <v/>
      </c>
      <c r="Y332">
        <f>IF(AND($A332&lt;&gt;"",$B332&lt;&gt;"",$R332='تقرير نوفمبر'!$C$4,$P332='تقرير نوفمبر'!$C$6),COUNT(Y$4:Y331)+1,"")</f>
        <v/>
      </c>
      <c r="Z332">
        <f>IF(AND($A332&lt;&gt;"",$B332&lt;&gt;"",$R332='تقرير ديسمبر'!$C$4,$P332='تقرير ديسمبر'!$C$6),COUNT(Z$4:Z331)+1,"")</f>
        <v/>
      </c>
      <c r="AA332">
        <f>IF(AND($A332&lt;&gt;"",$B332&lt;&gt;"",$R332='تقرير يناير'!$C$4,$P332='تقرير يناير'!$C$6),COUNT(AA$4:AA331)+1,"")</f>
        <v/>
      </c>
      <c r="AB332">
        <f>IF(AND($A332&lt;&gt;"",$B332&lt;&gt;"",$R332='تقرير فبراير'!$C$4,$P332='تقرير فبراير'!$C$6),COUNT(AB$4:AB331)+1,"")</f>
        <v/>
      </c>
      <c r="AC332">
        <f>IF(AND($A332&lt;&gt;"",$B332&lt;&gt;"",$R332='تقرير مارس'!$C$4,$P332='تقرير مارس'!$C$6),COUNT(AC$4:AC331)+1,"")</f>
        <v/>
      </c>
      <c r="AD332">
        <f>IF(AND($A332&lt;&gt;"",$B332&lt;&gt;"",$R332='تقرير أبريل'!$C$4,$P332='تقرير أبريل'!$C$6),COUNT(AD$4:AD331)+1,"")</f>
        <v/>
      </c>
      <c r="AE332">
        <f>IF(AND($A332&lt;&gt;"",$B332&lt;&gt;"",$R332='تقرير مايو'!$C$4,$P332='تقرير مايو'!$C$6),COUNT(AE$4:AE331)+1,"")</f>
        <v/>
      </c>
    </row>
    <row r="333">
      <c r="A333" s="16" t="n"/>
      <c r="B333" s="17" t="n"/>
      <c r="C333" s="17" t="n"/>
      <c r="D333" s="18" t="n"/>
      <c r="E333" s="17" t="n"/>
      <c r="F333" s="17" t="n"/>
      <c r="G333" s="19" t="n"/>
      <c r="H333" s="17" t="n"/>
      <c r="I333" s="17" t="n"/>
      <c r="J333" s="17" t="n"/>
      <c r="K333" s="20">
        <f>IF($B333="","",IFERROR(INDEX(الموظفات!$A$5:$A$304,MATCH($B333,الموظفات!$B$5:$B$304,0))&amp;"",""))</f>
        <v/>
      </c>
      <c r="L333" s="21">
        <f>IF($B333="","",IFERROR(INDEX(الموظفات!$C$5:$C$304,MATCH($B333,الموظفات!$B$5:$B$304,0))&amp;"",""))</f>
        <v/>
      </c>
      <c r="M333" s="20">
        <f>IF($B333="","",IFERROR(INDEX(الموظفات!$D$5:$D$304,MATCH($B333,الموظفات!$B$5:$B$304,0))&amp;"",""))</f>
        <v/>
      </c>
      <c r="N333" s="20">
        <f>IF($B333="","",IFERROR(INDEX(الموظفات!$E$5:$E$304,MATCH($B333,الموظفات!$B$5:$B$304,0))&amp;"",""))</f>
        <v/>
      </c>
      <c r="O333" s="21">
        <f>IF(C333="","",IFERROR(INDEX(الإعدادات!$D$7:$D$35,MATCH(C333,الإعدادات!$A$7:$A$35,0))&amp;"",""))</f>
        <v/>
      </c>
      <c r="P333" s="20">
        <f>IF(A333="","",INDEX(الإعدادات!$H$7:$H$18,MONTH(A333)))</f>
        <v/>
      </c>
      <c r="Q333" s="20">
        <f>IF(A333="","",INDEX(الإعدادات!$I$7:$I$18,MONTH(A333)))</f>
        <v/>
      </c>
      <c r="R333" s="20">
        <f>IF(A333="","",IF(MONTH(A333)&gt;=8,YEAR(A333)&amp;"-"&amp;(YEAR(A333)+1),(YEAR(A333)-1)&amp;"-"&amp;YEAR(A333)))</f>
        <v/>
      </c>
      <c r="S333" s="20">
        <f>IF(OR(A333="",B333=""),0,IF(AND(R333=التقارير!$C$4,OR(التقارير!$C$5="سنوي",AND(التقارير!$C$5="شهري",P333=التقارير!$C$6),AND(التقارير!$C$5="فصلي",Q333=التقارير!$C$7))),1,0))</f>
        <v/>
      </c>
      <c r="T333" s="20">
        <f>IF(S333=1,COUNTIF($S$5:S333,1),"")</f>
        <v/>
      </c>
      <c r="U333">
        <f>IF(AND($A333&lt;&gt;"",$B333&lt;&gt;"",$R333='تقرير الفصل الأول'!$C$4,$Q333='تقرير الفصل الأول'!$C$7),COUNT(U$4:U332)+1,"")</f>
        <v/>
      </c>
      <c r="V333">
        <f>IF(AND($A333&lt;&gt;"",$B333&lt;&gt;"",$R333='تقرير الفصل الثاني'!$C$4,$Q333='تقرير الفصل الثاني'!$C$7),COUNT(V$4:V332)+1,"")</f>
        <v/>
      </c>
      <c r="W333">
        <f>IF(AND($A333&lt;&gt;"",$B333&lt;&gt;"",$R333='تقرير سبتمبر'!$C$4,$P333='تقرير سبتمبر'!$C$6),COUNT(W$4:W332)+1,"")</f>
        <v/>
      </c>
      <c r="X333">
        <f>IF(AND($A333&lt;&gt;"",$B333&lt;&gt;"",$R333='تقرير أكتوبر'!$C$4,$P333='تقرير أكتوبر'!$C$6),COUNT(X$4:X332)+1,"")</f>
        <v/>
      </c>
      <c r="Y333">
        <f>IF(AND($A333&lt;&gt;"",$B333&lt;&gt;"",$R333='تقرير نوفمبر'!$C$4,$P333='تقرير نوفمبر'!$C$6),COUNT(Y$4:Y332)+1,"")</f>
        <v/>
      </c>
      <c r="Z333">
        <f>IF(AND($A333&lt;&gt;"",$B333&lt;&gt;"",$R333='تقرير ديسمبر'!$C$4,$P333='تقرير ديسمبر'!$C$6),COUNT(Z$4:Z332)+1,"")</f>
        <v/>
      </c>
      <c r="AA333">
        <f>IF(AND($A333&lt;&gt;"",$B333&lt;&gt;"",$R333='تقرير يناير'!$C$4,$P333='تقرير يناير'!$C$6),COUNT(AA$4:AA332)+1,"")</f>
        <v/>
      </c>
      <c r="AB333">
        <f>IF(AND($A333&lt;&gt;"",$B333&lt;&gt;"",$R333='تقرير فبراير'!$C$4,$P333='تقرير فبراير'!$C$6),COUNT(AB$4:AB332)+1,"")</f>
        <v/>
      </c>
      <c r="AC333">
        <f>IF(AND($A333&lt;&gt;"",$B333&lt;&gt;"",$R333='تقرير مارس'!$C$4,$P333='تقرير مارس'!$C$6),COUNT(AC$4:AC332)+1,"")</f>
        <v/>
      </c>
      <c r="AD333">
        <f>IF(AND($A333&lt;&gt;"",$B333&lt;&gt;"",$R333='تقرير أبريل'!$C$4,$P333='تقرير أبريل'!$C$6),COUNT(AD$4:AD332)+1,"")</f>
        <v/>
      </c>
      <c r="AE333">
        <f>IF(AND($A333&lt;&gt;"",$B333&lt;&gt;"",$R333='تقرير مايو'!$C$4,$P333='تقرير مايو'!$C$6),COUNT(AE$4:AE332)+1,"")</f>
        <v/>
      </c>
    </row>
    <row r="334">
      <c r="A334" s="16" t="n"/>
      <c r="B334" s="17" t="n"/>
      <c r="C334" s="17" t="n"/>
      <c r="D334" s="18" t="n"/>
      <c r="E334" s="17" t="n"/>
      <c r="F334" s="17" t="n"/>
      <c r="G334" s="19" t="n"/>
      <c r="H334" s="17" t="n"/>
      <c r="I334" s="17" t="n"/>
      <c r="J334" s="17" t="n"/>
      <c r="K334" s="20">
        <f>IF($B334="","",IFERROR(INDEX(الموظفات!$A$5:$A$304,MATCH($B334,الموظفات!$B$5:$B$304,0))&amp;"",""))</f>
        <v/>
      </c>
      <c r="L334" s="21">
        <f>IF($B334="","",IFERROR(INDEX(الموظفات!$C$5:$C$304,MATCH($B334,الموظفات!$B$5:$B$304,0))&amp;"",""))</f>
        <v/>
      </c>
      <c r="M334" s="20">
        <f>IF($B334="","",IFERROR(INDEX(الموظفات!$D$5:$D$304,MATCH($B334,الموظفات!$B$5:$B$304,0))&amp;"",""))</f>
        <v/>
      </c>
      <c r="N334" s="20">
        <f>IF($B334="","",IFERROR(INDEX(الموظفات!$E$5:$E$304,MATCH($B334,الموظفات!$B$5:$B$304,0))&amp;"",""))</f>
        <v/>
      </c>
      <c r="O334" s="21">
        <f>IF(C334="","",IFERROR(INDEX(الإعدادات!$D$7:$D$35,MATCH(C334,الإعدادات!$A$7:$A$35,0))&amp;"",""))</f>
        <v/>
      </c>
      <c r="P334" s="20">
        <f>IF(A334="","",INDEX(الإعدادات!$H$7:$H$18,MONTH(A334)))</f>
        <v/>
      </c>
      <c r="Q334" s="20">
        <f>IF(A334="","",INDEX(الإعدادات!$I$7:$I$18,MONTH(A334)))</f>
        <v/>
      </c>
      <c r="R334" s="20">
        <f>IF(A334="","",IF(MONTH(A334)&gt;=8,YEAR(A334)&amp;"-"&amp;(YEAR(A334)+1),(YEAR(A334)-1)&amp;"-"&amp;YEAR(A334)))</f>
        <v/>
      </c>
      <c r="S334" s="20">
        <f>IF(OR(A334="",B334=""),0,IF(AND(R334=التقارير!$C$4,OR(التقارير!$C$5="سنوي",AND(التقارير!$C$5="شهري",P334=التقارير!$C$6),AND(التقارير!$C$5="فصلي",Q334=التقارير!$C$7))),1,0))</f>
        <v/>
      </c>
      <c r="T334" s="20">
        <f>IF(S334=1,COUNTIF($S$5:S334,1),"")</f>
        <v/>
      </c>
      <c r="U334">
        <f>IF(AND($A334&lt;&gt;"",$B334&lt;&gt;"",$R334='تقرير الفصل الأول'!$C$4,$Q334='تقرير الفصل الأول'!$C$7),COUNT(U$4:U333)+1,"")</f>
        <v/>
      </c>
      <c r="V334">
        <f>IF(AND($A334&lt;&gt;"",$B334&lt;&gt;"",$R334='تقرير الفصل الثاني'!$C$4,$Q334='تقرير الفصل الثاني'!$C$7),COUNT(V$4:V333)+1,"")</f>
        <v/>
      </c>
      <c r="W334">
        <f>IF(AND($A334&lt;&gt;"",$B334&lt;&gt;"",$R334='تقرير سبتمبر'!$C$4,$P334='تقرير سبتمبر'!$C$6),COUNT(W$4:W333)+1,"")</f>
        <v/>
      </c>
      <c r="X334">
        <f>IF(AND($A334&lt;&gt;"",$B334&lt;&gt;"",$R334='تقرير أكتوبر'!$C$4,$P334='تقرير أكتوبر'!$C$6),COUNT(X$4:X333)+1,"")</f>
        <v/>
      </c>
      <c r="Y334">
        <f>IF(AND($A334&lt;&gt;"",$B334&lt;&gt;"",$R334='تقرير نوفمبر'!$C$4,$P334='تقرير نوفمبر'!$C$6),COUNT(Y$4:Y333)+1,"")</f>
        <v/>
      </c>
      <c r="Z334">
        <f>IF(AND($A334&lt;&gt;"",$B334&lt;&gt;"",$R334='تقرير ديسمبر'!$C$4,$P334='تقرير ديسمبر'!$C$6),COUNT(Z$4:Z333)+1,"")</f>
        <v/>
      </c>
      <c r="AA334">
        <f>IF(AND($A334&lt;&gt;"",$B334&lt;&gt;"",$R334='تقرير يناير'!$C$4,$P334='تقرير يناير'!$C$6),COUNT(AA$4:AA333)+1,"")</f>
        <v/>
      </c>
      <c r="AB334">
        <f>IF(AND($A334&lt;&gt;"",$B334&lt;&gt;"",$R334='تقرير فبراير'!$C$4,$P334='تقرير فبراير'!$C$6),COUNT(AB$4:AB333)+1,"")</f>
        <v/>
      </c>
      <c r="AC334">
        <f>IF(AND($A334&lt;&gt;"",$B334&lt;&gt;"",$R334='تقرير مارس'!$C$4,$P334='تقرير مارس'!$C$6),COUNT(AC$4:AC333)+1,"")</f>
        <v/>
      </c>
      <c r="AD334">
        <f>IF(AND($A334&lt;&gt;"",$B334&lt;&gt;"",$R334='تقرير أبريل'!$C$4,$P334='تقرير أبريل'!$C$6),COUNT(AD$4:AD333)+1,"")</f>
        <v/>
      </c>
      <c r="AE334">
        <f>IF(AND($A334&lt;&gt;"",$B334&lt;&gt;"",$R334='تقرير مايو'!$C$4,$P334='تقرير مايو'!$C$6),COUNT(AE$4:AE333)+1,"")</f>
        <v/>
      </c>
    </row>
    <row r="335">
      <c r="A335" s="16" t="n"/>
      <c r="B335" s="17" t="n"/>
      <c r="C335" s="17" t="n"/>
      <c r="D335" s="18" t="n"/>
      <c r="E335" s="17" t="n"/>
      <c r="F335" s="17" t="n"/>
      <c r="G335" s="19" t="n"/>
      <c r="H335" s="17" t="n"/>
      <c r="I335" s="17" t="n"/>
      <c r="J335" s="17" t="n"/>
      <c r="K335" s="20">
        <f>IF($B335="","",IFERROR(INDEX(الموظفات!$A$5:$A$304,MATCH($B335,الموظفات!$B$5:$B$304,0))&amp;"",""))</f>
        <v/>
      </c>
      <c r="L335" s="21">
        <f>IF($B335="","",IFERROR(INDEX(الموظفات!$C$5:$C$304,MATCH($B335,الموظفات!$B$5:$B$304,0))&amp;"",""))</f>
        <v/>
      </c>
      <c r="M335" s="20">
        <f>IF($B335="","",IFERROR(INDEX(الموظفات!$D$5:$D$304,MATCH($B335,الموظفات!$B$5:$B$304,0))&amp;"",""))</f>
        <v/>
      </c>
      <c r="N335" s="20">
        <f>IF($B335="","",IFERROR(INDEX(الموظفات!$E$5:$E$304,MATCH($B335,الموظفات!$B$5:$B$304,0))&amp;"",""))</f>
        <v/>
      </c>
      <c r="O335" s="21">
        <f>IF(C335="","",IFERROR(INDEX(الإعدادات!$D$7:$D$35,MATCH(C335,الإعدادات!$A$7:$A$35,0))&amp;"",""))</f>
        <v/>
      </c>
      <c r="P335" s="20">
        <f>IF(A335="","",INDEX(الإعدادات!$H$7:$H$18,MONTH(A335)))</f>
        <v/>
      </c>
      <c r="Q335" s="20">
        <f>IF(A335="","",INDEX(الإعدادات!$I$7:$I$18,MONTH(A335)))</f>
        <v/>
      </c>
      <c r="R335" s="20">
        <f>IF(A335="","",IF(MONTH(A335)&gt;=8,YEAR(A335)&amp;"-"&amp;(YEAR(A335)+1),(YEAR(A335)-1)&amp;"-"&amp;YEAR(A335)))</f>
        <v/>
      </c>
      <c r="S335" s="20">
        <f>IF(OR(A335="",B335=""),0,IF(AND(R335=التقارير!$C$4,OR(التقارير!$C$5="سنوي",AND(التقارير!$C$5="شهري",P335=التقارير!$C$6),AND(التقارير!$C$5="فصلي",Q335=التقارير!$C$7))),1,0))</f>
        <v/>
      </c>
      <c r="T335" s="20">
        <f>IF(S335=1,COUNTIF($S$5:S335,1),"")</f>
        <v/>
      </c>
      <c r="U335">
        <f>IF(AND($A335&lt;&gt;"",$B335&lt;&gt;"",$R335='تقرير الفصل الأول'!$C$4,$Q335='تقرير الفصل الأول'!$C$7),COUNT(U$4:U334)+1,"")</f>
        <v/>
      </c>
      <c r="V335">
        <f>IF(AND($A335&lt;&gt;"",$B335&lt;&gt;"",$R335='تقرير الفصل الثاني'!$C$4,$Q335='تقرير الفصل الثاني'!$C$7),COUNT(V$4:V334)+1,"")</f>
        <v/>
      </c>
      <c r="W335">
        <f>IF(AND($A335&lt;&gt;"",$B335&lt;&gt;"",$R335='تقرير سبتمبر'!$C$4,$P335='تقرير سبتمبر'!$C$6),COUNT(W$4:W334)+1,"")</f>
        <v/>
      </c>
      <c r="X335">
        <f>IF(AND($A335&lt;&gt;"",$B335&lt;&gt;"",$R335='تقرير أكتوبر'!$C$4,$P335='تقرير أكتوبر'!$C$6),COUNT(X$4:X334)+1,"")</f>
        <v/>
      </c>
      <c r="Y335">
        <f>IF(AND($A335&lt;&gt;"",$B335&lt;&gt;"",$R335='تقرير نوفمبر'!$C$4,$P335='تقرير نوفمبر'!$C$6),COUNT(Y$4:Y334)+1,"")</f>
        <v/>
      </c>
      <c r="Z335">
        <f>IF(AND($A335&lt;&gt;"",$B335&lt;&gt;"",$R335='تقرير ديسمبر'!$C$4,$P335='تقرير ديسمبر'!$C$6),COUNT(Z$4:Z334)+1,"")</f>
        <v/>
      </c>
      <c r="AA335">
        <f>IF(AND($A335&lt;&gt;"",$B335&lt;&gt;"",$R335='تقرير يناير'!$C$4,$P335='تقرير يناير'!$C$6),COUNT(AA$4:AA334)+1,"")</f>
        <v/>
      </c>
      <c r="AB335">
        <f>IF(AND($A335&lt;&gt;"",$B335&lt;&gt;"",$R335='تقرير فبراير'!$C$4,$P335='تقرير فبراير'!$C$6),COUNT(AB$4:AB334)+1,"")</f>
        <v/>
      </c>
      <c r="AC335">
        <f>IF(AND($A335&lt;&gt;"",$B335&lt;&gt;"",$R335='تقرير مارس'!$C$4,$P335='تقرير مارس'!$C$6),COUNT(AC$4:AC334)+1,"")</f>
        <v/>
      </c>
      <c r="AD335">
        <f>IF(AND($A335&lt;&gt;"",$B335&lt;&gt;"",$R335='تقرير أبريل'!$C$4,$P335='تقرير أبريل'!$C$6),COUNT(AD$4:AD334)+1,"")</f>
        <v/>
      </c>
      <c r="AE335">
        <f>IF(AND($A335&lt;&gt;"",$B335&lt;&gt;"",$R335='تقرير مايو'!$C$4,$P335='تقرير مايو'!$C$6),COUNT(AE$4:AE334)+1,"")</f>
        <v/>
      </c>
    </row>
    <row r="336">
      <c r="A336" s="16" t="n"/>
      <c r="B336" s="17" t="n"/>
      <c r="C336" s="17" t="n"/>
      <c r="D336" s="18" t="n"/>
      <c r="E336" s="17" t="n"/>
      <c r="F336" s="17" t="n"/>
      <c r="G336" s="19" t="n"/>
      <c r="H336" s="17" t="n"/>
      <c r="I336" s="17" t="n"/>
      <c r="J336" s="17" t="n"/>
      <c r="K336" s="20">
        <f>IF($B336="","",IFERROR(INDEX(الموظفات!$A$5:$A$304,MATCH($B336,الموظفات!$B$5:$B$304,0))&amp;"",""))</f>
        <v/>
      </c>
      <c r="L336" s="21">
        <f>IF($B336="","",IFERROR(INDEX(الموظفات!$C$5:$C$304,MATCH($B336,الموظفات!$B$5:$B$304,0))&amp;"",""))</f>
        <v/>
      </c>
      <c r="M336" s="20">
        <f>IF($B336="","",IFERROR(INDEX(الموظفات!$D$5:$D$304,MATCH($B336,الموظفات!$B$5:$B$304,0))&amp;"",""))</f>
        <v/>
      </c>
      <c r="N336" s="20">
        <f>IF($B336="","",IFERROR(INDEX(الموظفات!$E$5:$E$304,MATCH($B336,الموظفات!$B$5:$B$304,0))&amp;"",""))</f>
        <v/>
      </c>
      <c r="O336" s="21">
        <f>IF(C336="","",IFERROR(INDEX(الإعدادات!$D$7:$D$35,MATCH(C336,الإعدادات!$A$7:$A$35,0))&amp;"",""))</f>
        <v/>
      </c>
      <c r="P336" s="20">
        <f>IF(A336="","",INDEX(الإعدادات!$H$7:$H$18,MONTH(A336)))</f>
        <v/>
      </c>
      <c r="Q336" s="20">
        <f>IF(A336="","",INDEX(الإعدادات!$I$7:$I$18,MONTH(A336)))</f>
        <v/>
      </c>
      <c r="R336" s="20">
        <f>IF(A336="","",IF(MONTH(A336)&gt;=8,YEAR(A336)&amp;"-"&amp;(YEAR(A336)+1),(YEAR(A336)-1)&amp;"-"&amp;YEAR(A336)))</f>
        <v/>
      </c>
      <c r="S336" s="20">
        <f>IF(OR(A336="",B336=""),0,IF(AND(R336=التقارير!$C$4,OR(التقارير!$C$5="سنوي",AND(التقارير!$C$5="شهري",P336=التقارير!$C$6),AND(التقارير!$C$5="فصلي",Q336=التقارير!$C$7))),1,0))</f>
        <v/>
      </c>
      <c r="T336" s="20">
        <f>IF(S336=1,COUNTIF($S$5:S336,1),"")</f>
        <v/>
      </c>
      <c r="U336">
        <f>IF(AND($A336&lt;&gt;"",$B336&lt;&gt;"",$R336='تقرير الفصل الأول'!$C$4,$Q336='تقرير الفصل الأول'!$C$7),COUNT(U$4:U335)+1,"")</f>
        <v/>
      </c>
      <c r="V336">
        <f>IF(AND($A336&lt;&gt;"",$B336&lt;&gt;"",$R336='تقرير الفصل الثاني'!$C$4,$Q336='تقرير الفصل الثاني'!$C$7),COUNT(V$4:V335)+1,"")</f>
        <v/>
      </c>
      <c r="W336">
        <f>IF(AND($A336&lt;&gt;"",$B336&lt;&gt;"",$R336='تقرير سبتمبر'!$C$4,$P336='تقرير سبتمبر'!$C$6),COUNT(W$4:W335)+1,"")</f>
        <v/>
      </c>
      <c r="X336">
        <f>IF(AND($A336&lt;&gt;"",$B336&lt;&gt;"",$R336='تقرير أكتوبر'!$C$4,$P336='تقرير أكتوبر'!$C$6),COUNT(X$4:X335)+1,"")</f>
        <v/>
      </c>
      <c r="Y336">
        <f>IF(AND($A336&lt;&gt;"",$B336&lt;&gt;"",$R336='تقرير نوفمبر'!$C$4,$P336='تقرير نوفمبر'!$C$6),COUNT(Y$4:Y335)+1,"")</f>
        <v/>
      </c>
      <c r="Z336">
        <f>IF(AND($A336&lt;&gt;"",$B336&lt;&gt;"",$R336='تقرير ديسمبر'!$C$4,$P336='تقرير ديسمبر'!$C$6),COUNT(Z$4:Z335)+1,"")</f>
        <v/>
      </c>
      <c r="AA336">
        <f>IF(AND($A336&lt;&gt;"",$B336&lt;&gt;"",$R336='تقرير يناير'!$C$4,$P336='تقرير يناير'!$C$6),COUNT(AA$4:AA335)+1,"")</f>
        <v/>
      </c>
      <c r="AB336">
        <f>IF(AND($A336&lt;&gt;"",$B336&lt;&gt;"",$R336='تقرير فبراير'!$C$4,$P336='تقرير فبراير'!$C$6),COUNT(AB$4:AB335)+1,"")</f>
        <v/>
      </c>
      <c r="AC336">
        <f>IF(AND($A336&lt;&gt;"",$B336&lt;&gt;"",$R336='تقرير مارس'!$C$4,$P336='تقرير مارس'!$C$6),COUNT(AC$4:AC335)+1,"")</f>
        <v/>
      </c>
      <c r="AD336">
        <f>IF(AND($A336&lt;&gt;"",$B336&lt;&gt;"",$R336='تقرير أبريل'!$C$4,$P336='تقرير أبريل'!$C$6),COUNT(AD$4:AD335)+1,"")</f>
        <v/>
      </c>
      <c r="AE336">
        <f>IF(AND($A336&lt;&gt;"",$B336&lt;&gt;"",$R336='تقرير مايو'!$C$4,$P336='تقرير مايو'!$C$6),COUNT(AE$4:AE335)+1,"")</f>
        <v/>
      </c>
    </row>
    <row r="337">
      <c r="A337" s="16" t="n"/>
      <c r="B337" s="17" t="n"/>
      <c r="C337" s="17" t="n"/>
      <c r="D337" s="18" t="n"/>
      <c r="E337" s="17" t="n"/>
      <c r="F337" s="17" t="n"/>
      <c r="G337" s="19" t="n"/>
      <c r="H337" s="17" t="n"/>
      <c r="I337" s="17" t="n"/>
      <c r="J337" s="17" t="n"/>
      <c r="K337" s="20">
        <f>IF($B337="","",IFERROR(INDEX(الموظفات!$A$5:$A$304,MATCH($B337,الموظفات!$B$5:$B$304,0))&amp;"",""))</f>
        <v/>
      </c>
      <c r="L337" s="21">
        <f>IF($B337="","",IFERROR(INDEX(الموظفات!$C$5:$C$304,MATCH($B337,الموظفات!$B$5:$B$304,0))&amp;"",""))</f>
        <v/>
      </c>
      <c r="M337" s="20">
        <f>IF($B337="","",IFERROR(INDEX(الموظفات!$D$5:$D$304,MATCH($B337,الموظفات!$B$5:$B$304,0))&amp;"",""))</f>
        <v/>
      </c>
      <c r="N337" s="20">
        <f>IF($B337="","",IFERROR(INDEX(الموظفات!$E$5:$E$304,MATCH($B337,الموظفات!$B$5:$B$304,0))&amp;"",""))</f>
        <v/>
      </c>
      <c r="O337" s="21">
        <f>IF(C337="","",IFERROR(INDEX(الإعدادات!$D$7:$D$35,MATCH(C337,الإعدادات!$A$7:$A$35,0))&amp;"",""))</f>
        <v/>
      </c>
      <c r="P337" s="20">
        <f>IF(A337="","",INDEX(الإعدادات!$H$7:$H$18,MONTH(A337)))</f>
        <v/>
      </c>
      <c r="Q337" s="20">
        <f>IF(A337="","",INDEX(الإعدادات!$I$7:$I$18,MONTH(A337)))</f>
        <v/>
      </c>
      <c r="R337" s="20">
        <f>IF(A337="","",IF(MONTH(A337)&gt;=8,YEAR(A337)&amp;"-"&amp;(YEAR(A337)+1),(YEAR(A337)-1)&amp;"-"&amp;YEAR(A337)))</f>
        <v/>
      </c>
      <c r="S337" s="20">
        <f>IF(OR(A337="",B337=""),0,IF(AND(R337=التقارير!$C$4,OR(التقارير!$C$5="سنوي",AND(التقارير!$C$5="شهري",P337=التقارير!$C$6),AND(التقارير!$C$5="فصلي",Q337=التقارير!$C$7))),1,0))</f>
        <v/>
      </c>
      <c r="T337" s="20">
        <f>IF(S337=1,COUNTIF($S$5:S337,1),"")</f>
        <v/>
      </c>
      <c r="U337">
        <f>IF(AND($A337&lt;&gt;"",$B337&lt;&gt;"",$R337='تقرير الفصل الأول'!$C$4,$Q337='تقرير الفصل الأول'!$C$7),COUNT(U$4:U336)+1,"")</f>
        <v/>
      </c>
      <c r="V337">
        <f>IF(AND($A337&lt;&gt;"",$B337&lt;&gt;"",$R337='تقرير الفصل الثاني'!$C$4,$Q337='تقرير الفصل الثاني'!$C$7),COUNT(V$4:V336)+1,"")</f>
        <v/>
      </c>
      <c r="W337">
        <f>IF(AND($A337&lt;&gt;"",$B337&lt;&gt;"",$R337='تقرير سبتمبر'!$C$4,$P337='تقرير سبتمبر'!$C$6),COUNT(W$4:W336)+1,"")</f>
        <v/>
      </c>
      <c r="X337">
        <f>IF(AND($A337&lt;&gt;"",$B337&lt;&gt;"",$R337='تقرير أكتوبر'!$C$4,$P337='تقرير أكتوبر'!$C$6),COUNT(X$4:X336)+1,"")</f>
        <v/>
      </c>
      <c r="Y337">
        <f>IF(AND($A337&lt;&gt;"",$B337&lt;&gt;"",$R337='تقرير نوفمبر'!$C$4,$P337='تقرير نوفمبر'!$C$6),COUNT(Y$4:Y336)+1,"")</f>
        <v/>
      </c>
      <c r="Z337">
        <f>IF(AND($A337&lt;&gt;"",$B337&lt;&gt;"",$R337='تقرير ديسمبر'!$C$4,$P337='تقرير ديسمبر'!$C$6),COUNT(Z$4:Z336)+1,"")</f>
        <v/>
      </c>
      <c r="AA337">
        <f>IF(AND($A337&lt;&gt;"",$B337&lt;&gt;"",$R337='تقرير يناير'!$C$4,$P337='تقرير يناير'!$C$6),COUNT(AA$4:AA336)+1,"")</f>
        <v/>
      </c>
      <c r="AB337">
        <f>IF(AND($A337&lt;&gt;"",$B337&lt;&gt;"",$R337='تقرير فبراير'!$C$4,$P337='تقرير فبراير'!$C$6),COUNT(AB$4:AB336)+1,"")</f>
        <v/>
      </c>
      <c r="AC337">
        <f>IF(AND($A337&lt;&gt;"",$B337&lt;&gt;"",$R337='تقرير مارس'!$C$4,$P337='تقرير مارس'!$C$6),COUNT(AC$4:AC336)+1,"")</f>
        <v/>
      </c>
      <c r="AD337">
        <f>IF(AND($A337&lt;&gt;"",$B337&lt;&gt;"",$R337='تقرير أبريل'!$C$4,$P337='تقرير أبريل'!$C$6),COUNT(AD$4:AD336)+1,"")</f>
        <v/>
      </c>
      <c r="AE337">
        <f>IF(AND($A337&lt;&gt;"",$B337&lt;&gt;"",$R337='تقرير مايو'!$C$4,$P337='تقرير مايو'!$C$6),COUNT(AE$4:AE336)+1,"")</f>
        <v/>
      </c>
    </row>
    <row r="338">
      <c r="A338" s="16" t="n"/>
      <c r="B338" s="17" t="n"/>
      <c r="C338" s="17" t="n"/>
      <c r="D338" s="18" t="n"/>
      <c r="E338" s="17" t="n"/>
      <c r="F338" s="17" t="n"/>
      <c r="G338" s="19" t="n"/>
      <c r="H338" s="17" t="n"/>
      <c r="I338" s="17" t="n"/>
      <c r="J338" s="17" t="n"/>
      <c r="K338" s="20">
        <f>IF($B338="","",IFERROR(INDEX(الموظفات!$A$5:$A$304,MATCH($B338,الموظفات!$B$5:$B$304,0))&amp;"",""))</f>
        <v/>
      </c>
      <c r="L338" s="21">
        <f>IF($B338="","",IFERROR(INDEX(الموظفات!$C$5:$C$304,MATCH($B338,الموظفات!$B$5:$B$304,0))&amp;"",""))</f>
        <v/>
      </c>
      <c r="M338" s="20">
        <f>IF($B338="","",IFERROR(INDEX(الموظفات!$D$5:$D$304,MATCH($B338,الموظفات!$B$5:$B$304,0))&amp;"",""))</f>
        <v/>
      </c>
      <c r="N338" s="20">
        <f>IF($B338="","",IFERROR(INDEX(الموظفات!$E$5:$E$304,MATCH($B338,الموظفات!$B$5:$B$304,0))&amp;"",""))</f>
        <v/>
      </c>
      <c r="O338" s="21">
        <f>IF(C338="","",IFERROR(INDEX(الإعدادات!$D$7:$D$35,MATCH(C338,الإعدادات!$A$7:$A$35,0))&amp;"",""))</f>
        <v/>
      </c>
      <c r="P338" s="20">
        <f>IF(A338="","",INDEX(الإعدادات!$H$7:$H$18,MONTH(A338)))</f>
        <v/>
      </c>
      <c r="Q338" s="20">
        <f>IF(A338="","",INDEX(الإعدادات!$I$7:$I$18,MONTH(A338)))</f>
        <v/>
      </c>
      <c r="R338" s="20">
        <f>IF(A338="","",IF(MONTH(A338)&gt;=8,YEAR(A338)&amp;"-"&amp;(YEAR(A338)+1),(YEAR(A338)-1)&amp;"-"&amp;YEAR(A338)))</f>
        <v/>
      </c>
      <c r="S338" s="20">
        <f>IF(OR(A338="",B338=""),0,IF(AND(R338=التقارير!$C$4,OR(التقارير!$C$5="سنوي",AND(التقارير!$C$5="شهري",P338=التقارير!$C$6),AND(التقارير!$C$5="فصلي",Q338=التقارير!$C$7))),1,0))</f>
        <v/>
      </c>
      <c r="T338" s="20">
        <f>IF(S338=1,COUNTIF($S$5:S338,1),"")</f>
        <v/>
      </c>
      <c r="U338">
        <f>IF(AND($A338&lt;&gt;"",$B338&lt;&gt;"",$R338='تقرير الفصل الأول'!$C$4,$Q338='تقرير الفصل الأول'!$C$7),COUNT(U$4:U337)+1,"")</f>
        <v/>
      </c>
      <c r="V338">
        <f>IF(AND($A338&lt;&gt;"",$B338&lt;&gt;"",$R338='تقرير الفصل الثاني'!$C$4,$Q338='تقرير الفصل الثاني'!$C$7),COUNT(V$4:V337)+1,"")</f>
        <v/>
      </c>
      <c r="W338">
        <f>IF(AND($A338&lt;&gt;"",$B338&lt;&gt;"",$R338='تقرير سبتمبر'!$C$4,$P338='تقرير سبتمبر'!$C$6),COUNT(W$4:W337)+1,"")</f>
        <v/>
      </c>
      <c r="X338">
        <f>IF(AND($A338&lt;&gt;"",$B338&lt;&gt;"",$R338='تقرير أكتوبر'!$C$4,$P338='تقرير أكتوبر'!$C$6),COUNT(X$4:X337)+1,"")</f>
        <v/>
      </c>
      <c r="Y338">
        <f>IF(AND($A338&lt;&gt;"",$B338&lt;&gt;"",$R338='تقرير نوفمبر'!$C$4,$P338='تقرير نوفمبر'!$C$6),COUNT(Y$4:Y337)+1,"")</f>
        <v/>
      </c>
      <c r="Z338">
        <f>IF(AND($A338&lt;&gt;"",$B338&lt;&gt;"",$R338='تقرير ديسمبر'!$C$4,$P338='تقرير ديسمبر'!$C$6),COUNT(Z$4:Z337)+1,"")</f>
        <v/>
      </c>
      <c r="AA338">
        <f>IF(AND($A338&lt;&gt;"",$B338&lt;&gt;"",$R338='تقرير يناير'!$C$4,$P338='تقرير يناير'!$C$6),COUNT(AA$4:AA337)+1,"")</f>
        <v/>
      </c>
      <c r="AB338">
        <f>IF(AND($A338&lt;&gt;"",$B338&lt;&gt;"",$R338='تقرير فبراير'!$C$4,$P338='تقرير فبراير'!$C$6),COUNT(AB$4:AB337)+1,"")</f>
        <v/>
      </c>
      <c r="AC338">
        <f>IF(AND($A338&lt;&gt;"",$B338&lt;&gt;"",$R338='تقرير مارس'!$C$4,$P338='تقرير مارس'!$C$6),COUNT(AC$4:AC337)+1,"")</f>
        <v/>
      </c>
      <c r="AD338">
        <f>IF(AND($A338&lt;&gt;"",$B338&lt;&gt;"",$R338='تقرير أبريل'!$C$4,$P338='تقرير أبريل'!$C$6),COUNT(AD$4:AD337)+1,"")</f>
        <v/>
      </c>
      <c r="AE338">
        <f>IF(AND($A338&lt;&gt;"",$B338&lt;&gt;"",$R338='تقرير مايو'!$C$4,$P338='تقرير مايو'!$C$6),COUNT(AE$4:AE337)+1,"")</f>
        <v/>
      </c>
    </row>
    <row r="339">
      <c r="A339" s="16" t="n"/>
      <c r="B339" s="17" t="n"/>
      <c r="C339" s="17" t="n"/>
      <c r="D339" s="18" t="n"/>
      <c r="E339" s="17" t="n"/>
      <c r="F339" s="17" t="n"/>
      <c r="G339" s="19" t="n"/>
      <c r="H339" s="17" t="n"/>
      <c r="I339" s="17" t="n"/>
      <c r="J339" s="17" t="n"/>
      <c r="K339" s="20">
        <f>IF($B339="","",IFERROR(INDEX(الموظفات!$A$5:$A$304,MATCH($B339,الموظفات!$B$5:$B$304,0))&amp;"",""))</f>
        <v/>
      </c>
      <c r="L339" s="21">
        <f>IF($B339="","",IFERROR(INDEX(الموظفات!$C$5:$C$304,MATCH($B339,الموظفات!$B$5:$B$304,0))&amp;"",""))</f>
        <v/>
      </c>
      <c r="M339" s="20">
        <f>IF($B339="","",IFERROR(INDEX(الموظفات!$D$5:$D$304,MATCH($B339,الموظفات!$B$5:$B$304,0))&amp;"",""))</f>
        <v/>
      </c>
      <c r="N339" s="20">
        <f>IF($B339="","",IFERROR(INDEX(الموظفات!$E$5:$E$304,MATCH($B339,الموظفات!$B$5:$B$304,0))&amp;"",""))</f>
        <v/>
      </c>
      <c r="O339" s="21">
        <f>IF(C339="","",IFERROR(INDEX(الإعدادات!$D$7:$D$35,MATCH(C339,الإعدادات!$A$7:$A$35,0))&amp;"",""))</f>
        <v/>
      </c>
      <c r="P339" s="20">
        <f>IF(A339="","",INDEX(الإعدادات!$H$7:$H$18,MONTH(A339)))</f>
        <v/>
      </c>
      <c r="Q339" s="20">
        <f>IF(A339="","",INDEX(الإعدادات!$I$7:$I$18,MONTH(A339)))</f>
        <v/>
      </c>
      <c r="R339" s="20">
        <f>IF(A339="","",IF(MONTH(A339)&gt;=8,YEAR(A339)&amp;"-"&amp;(YEAR(A339)+1),(YEAR(A339)-1)&amp;"-"&amp;YEAR(A339)))</f>
        <v/>
      </c>
      <c r="S339" s="20">
        <f>IF(OR(A339="",B339=""),0,IF(AND(R339=التقارير!$C$4,OR(التقارير!$C$5="سنوي",AND(التقارير!$C$5="شهري",P339=التقارير!$C$6),AND(التقارير!$C$5="فصلي",Q339=التقارير!$C$7))),1,0))</f>
        <v/>
      </c>
      <c r="T339" s="20">
        <f>IF(S339=1,COUNTIF($S$5:S339,1),"")</f>
        <v/>
      </c>
      <c r="U339">
        <f>IF(AND($A339&lt;&gt;"",$B339&lt;&gt;"",$R339='تقرير الفصل الأول'!$C$4,$Q339='تقرير الفصل الأول'!$C$7),COUNT(U$4:U338)+1,"")</f>
        <v/>
      </c>
      <c r="V339">
        <f>IF(AND($A339&lt;&gt;"",$B339&lt;&gt;"",$R339='تقرير الفصل الثاني'!$C$4,$Q339='تقرير الفصل الثاني'!$C$7),COUNT(V$4:V338)+1,"")</f>
        <v/>
      </c>
      <c r="W339">
        <f>IF(AND($A339&lt;&gt;"",$B339&lt;&gt;"",$R339='تقرير سبتمبر'!$C$4,$P339='تقرير سبتمبر'!$C$6),COUNT(W$4:W338)+1,"")</f>
        <v/>
      </c>
      <c r="X339">
        <f>IF(AND($A339&lt;&gt;"",$B339&lt;&gt;"",$R339='تقرير أكتوبر'!$C$4,$P339='تقرير أكتوبر'!$C$6),COUNT(X$4:X338)+1,"")</f>
        <v/>
      </c>
      <c r="Y339">
        <f>IF(AND($A339&lt;&gt;"",$B339&lt;&gt;"",$R339='تقرير نوفمبر'!$C$4,$P339='تقرير نوفمبر'!$C$6),COUNT(Y$4:Y338)+1,"")</f>
        <v/>
      </c>
      <c r="Z339">
        <f>IF(AND($A339&lt;&gt;"",$B339&lt;&gt;"",$R339='تقرير ديسمبر'!$C$4,$P339='تقرير ديسمبر'!$C$6),COUNT(Z$4:Z338)+1,"")</f>
        <v/>
      </c>
      <c r="AA339">
        <f>IF(AND($A339&lt;&gt;"",$B339&lt;&gt;"",$R339='تقرير يناير'!$C$4,$P339='تقرير يناير'!$C$6),COUNT(AA$4:AA338)+1,"")</f>
        <v/>
      </c>
      <c r="AB339">
        <f>IF(AND($A339&lt;&gt;"",$B339&lt;&gt;"",$R339='تقرير فبراير'!$C$4,$P339='تقرير فبراير'!$C$6),COUNT(AB$4:AB338)+1,"")</f>
        <v/>
      </c>
      <c r="AC339">
        <f>IF(AND($A339&lt;&gt;"",$B339&lt;&gt;"",$R339='تقرير مارس'!$C$4,$P339='تقرير مارس'!$C$6),COUNT(AC$4:AC338)+1,"")</f>
        <v/>
      </c>
      <c r="AD339">
        <f>IF(AND($A339&lt;&gt;"",$B339&lt;&gt;"",$R339='تقرير أبريل'!$C$4,$P339='تقرير أبريل'!$C$6),COUNT(AD$4:AD338)+1,"")</f>
        <v/>
      </c>
      <c r="AE339">
        <f>IF(AND($A339&lt;&gt;"",$B339&lt;&gt;"",$R339='تقرير مايو'!$C$4,$P339='تقرير مايو'!$C$6),COUNT(AE$4:AE338)+1,"")</f>
        <v/>
      </c>
    </row>
    <row r="340">
      <c r="A340" s="16" t="n"/>
      <c r="B340" s="17" t="n"/>
      <c r="C340" s="17" t="n"/>
      <c r="D340" s="18" t="n"/>
      <c r="E340" s="17" t="n"/>
      <c r="F340" s="17" t="n"/>
      <c r="G340" s="19" t="n"/>
      <c r="H340" s="17" t="n"/>
      <c r="I340" s="17" t="n"/>
      <c r="J340" s="17" t="n"/>
      <c r="K340" s="20">
        <f>IF($B340="","",IFERROR(INDEX(الموظفات!$A$5:$A$304,MATCH($B340,الموظفات!$B$5:$B$304,0))&amp;"",""))</f>
        <v/>
      </c>
      <c r="L340" s="21">
        <f>IF($B340="","",IFERROR(INDEX(الموظفات!$C$5:$C$304,MATCH($B340,الموظفات!$B$5:$B$304,0))&amp;"",""))</f>
        <v/>
      </c>
      <c r="M340" s="20">
        <f>IF($B340="","",IFERROR(INDEX(الموظفات!$D$5:$D$304,MATCH($B340,الموظفات!$B$5:$B$304,0))&amp;"",""))</f>
        <v/>
      </c>
      <c r="N340" s="20">
        <f>IF($B340="","",IFERROR(INDEX(الموظفات!$E$5:$E$304,MATCH($B340,الموظفات!$B$5:$B$304,0))&amp;"",""))</f>
        <v/>
      </c>
      <c r="O340" s="21">
        <f>IF(C340="","",IFERROR(INDEX(الإعدادات!$D$7:$D$35,MATCH(C340,الإعدادات!$A$7:$A$35,0))&amp;"",""))</f>
        <v/>
      </c>
      <c r="P340" s="20">
        <f>IF(A340="","",INDEX(الإعدادات!$H$7:$H$18,MONTH(A340)))</f>
        <v/>
      </c>
      <c r="Q340" s="20">
        <f>IF(A340="","",INDEX(الإعدادات!$I$7:$I$18,MONTH(A340)))</f>
        <v/>
      </c>
      <c r="R340" s="20">
        <f>IF(A340="","",IF(MONTH(A340)&gt;=8,YEAR(A340)&amp;"-"&amp;(YEAR(A340)+1),(YEAR(A340)-1)&amp;"-"&amp;YEAR(A340)))</f>
        <v/>
      </c>
      <c r="S340" s="20">
        <f>IF(OR(A340="",B340=""),0,IF(AND(R340=التقارير!$C$4,OR(التقارير!$C$5="سنوي",AND(التقارير!$C$5="شهري",P340=التقارير!$C$6),AND(التقارير!$C$5="فصلي",Q340=التقارير!$C$7))),1,0))</f>
        <v/>
      </c>
      <c r="T340" s="20">
        <f>IF(S340=1,COUNTIF($S$5:S340,1),"")</f>
        <v/>
      </c>
      <c r="U340">
        <f>IF(AND($A340&lt;&gt;"",$B340&lt;&gt;"",$R340='تقرير الفصل الأول'!$C$4,$Q340='تقرير الفصل الأول'!$C$7),COUNT(U$4:U339)+1,"")</f>
        <v/>
      </c>
      <c r="V340">
        <f>IF(AND($A340&lt;&gt;"",$B340&lt;&gt;"",$R340='تقرير الفصل الثاني'!$C$4,$Q340='تقرير الفصل الثاني'!$C$7),COUNT(V$4:V339)+1,"")</f>
        <v/>
      </c>
      <c r="W340">
        <f>IF(AND($A340&lt;&gt;"",$B340&lt;&gt;"",$R340='تقرير سبتمبر'!$C$4,$P340='تقرير سبتمبر'!$C$6),COUNT(W$4:W339)+1,"")</f>
        <v/>
      </c>
      <c r="X340">
        <f>IF(AND($A340&lt;&gt;"",$B340&lt;&gt;"",$R340='تقرير أكتوبر'!$C$4,$P340='تقرير أكتوبر'!$C$6),COUNT(X$4:X339)+1,"")</f>
        <v/>
      </c>
      <c r="Y340">
        <f>IF(AND($A340&lt;&gt;"",$B340&lt;&gt;"",$R340='تقرير نوفمبر'!$C$4,$P340='تقرير نوفمبر'!$C$6),COUNT(Y$4:Y339)+1,"")</f>
        <v/>
      </c>
      <c r="Z340">
        <f>IF(AND($A340&lt;&gt;"",$B340&lt;&gt;"",$R340='تقرير ديسمبر'!$C$4,$P340='تقرير ديسمبر'!$C$6),COUNT(Z$4:Z339)+1,"")</f>
        <v/>
      </c>
      <c r="AA340">
        <f>IF(AND($A340&lt;&gt;"",$B340&lt;&gt;"",$R340='تقرير يناير'!$C$4,$P340='تقرير يناير'!$C$6),COUNT(AA$4:AA339)+1,"")</f>
        <v/>
      </c>
      <c r="AB340">
        <f>IF(AND($A340&lt;&gt;"",$B340&lt;&gt;"",$R340='تقرير فبراير'!$C$4,$P340='تقرير فبراير'!$C$6),COUNT(AB$4:AB339)+1,"")</f>
        <v/>
      </c>
      <c r="AC340">
        <f>IF(AND($A340&lt;&gt;"",$B340&lt;&gt;"",$R340='تقرير مارس'!$C$4,$P340='تقرير مارس'!$C$6),COUNT(AC$4:AC339)+1,"")</f>
        <v/>
      </c>
      <c r="AD340">
        <f>IF(AND($A340&lt;&gt;"",$B340&lt;&gt;"",$R340='تقرير أبريل'!$C$4,$P340='تقرير أبريل'!$C$6),COUNT(AD$4:AD339)+1,"")</f>
        <v/>
      </c>
      <c r="AE340">
        <f>IF(AND($A340&lt;&gt;"",$B340&lt;&gt;"",$R340='تقرير مايو'!$C$4,$P340='تقرير مايو'!$C$6),COUNT(AE$4:AE339)+1,"")</f>
        <v/>
      </c>
    </row>
    <row r="341">
      <c r="A341" s="16" t="n"/>
      <c r="B341" s="17" t="n"/>
      <c r="C341" s="17" t="n"/>
      <c r="D341" s="18" t="n"/>
      <c r="E341" s="17" t="n"/>
      <c r="F341" s="17" t="n"/>
      <c r="G341" s="19" t="n"/>
      <c r="H341" s="17" t="n"/>
      <c r="I341" s="17" t="n"/>
      <c r="J341" s="17" t="n"/>
      <c r="K341" s="20">
        <f>IF($B341="","",IFERROR(INDEX(الموظفات!$A$5:$A$304,MATCH($B341,الموظفات!$B$5:$B$304,0))&amp;"",""))</f>
        <v/>
      </c>
      <c r="L341" s="21">
        <f>IF($B341="","",IFERROR(INDEX(الموظفات!$C$5:$C$304,MATCH($B341,الموظفات!$B$5:$B$304,0))&amp;"",""))</f>
        <v/>
      </c>
      <c r="M341" s="20">
        <f>IF($B341="","",IFERROR(INDEX(الموظفات!$D$5:$D$304,MATCH($B341,الموظفات!$B$5:$B$304,0))&amp;"",""))</f>
        <v/>
      </c>
      <c r="N341" s="20">
        <f>IF($B341="","",IFERROR(INDEX(الموظفات!$E$5:$E$304,MATCH($B341,الموظفات!$B$5:$B$304,0))&amp;"",""))</f>
        <v/>
      </c>
      <c r="O341" s="21">
        <f>IF(C341="","",IFERROR(INDEX(الإعدادات!$D$7:$D$35,MATCH(C341,الإعدادات!$A$7:$A$35,0))&amp;"",""))</f>
        <v/>
      </c>
      <c r="P341" s="20">
        <f>IF(A341="","",INDEX(الإعدادات!$H$7:$H$18,MONTH(A341)))</f>
        <v/>
      </c>
      <c r="Q341" s="20">
        <f>IF(A341="","",INDEX(الإعدادات!$I$7:$I$18,MONTH(A341)))</f>
        <v/>
      </c>
      <c r="R341" s="20">
        <f>IF(A341="","",IF(MONTH(A341)&gt;=8,YEAR(A341)&amp;"-"&amp;(YEAR(A341)+1),(YEAR(A341)-1)&amp;"-"&amp;YEAR(A341)))</f>
        <v/>
      </c>
      <c r="S341" s="20">
        <f>IF(OR(A341="",B341=""),0,IF(AND(R341=التقارير!$C$4,OR(التقارير!$C$5="سنوي",AND(التقارير!$C$5="شهري",P341=التقارير!$C$6),AND(التقارير!$C$5="فصلي",Q341=التقارير!$C$7))),1,0))</f>
        <v/>
      </c>
      <c r="T341" s="20">
        <f>IF(S341=1,COUNTIF($S$5:S341,1),"")</f>
        <v/>
      </c>
      <c r="U341">
        <f>IF(AND($A341&lt;&gt;"",$B341&lt;&gt;"",$R341='تقرير الفصل الأول'!$C$4,$Q341='تقرير الفصل الأول'!$C$7),COUNT(U$4:U340)+1,"")</f>
        <v/>
      </c>
      <c r="V341">
        <f>IF(AND($A341&lt;&gt;"",$B341&lt;&gt;"",$R341='تقرير الفصل الثاني'!$C$4,$Q341='تقرير الفصل الثاني'!$C$7),COUNT(V$4:V340)+1,"")</f>
        <v/>
      </c>
      <c r="W341">
        <f>IF(AND($A341&lt;&gt;"",$B341&lt;&gt;"",$R341='تقرير سبتمبر'!$C$4,$P341='تقرير سبتمبر'!$C$6),COUNT(W$4:W340)+1,"")</f>
        <v/>
      </c>
      <c r="X341">
        <f>IF(AND($A341&lt;&gt;"",$B341&lt;&gt;"",$R341='تقرير أكتوبر'!$C$4,$P341='تقرير أكتوبر'!$C$6),COUNT(X$4:X340)+1,"")</f>
        <v/>
      </c>
      <c r="Y341">
        <f>IF(AND($A341&lt;&gt;"",$B341&lt;&gt;"",$R341='تقرير نوفمبر'!$C$4,$P341='تقرير نوفمبر'!$C$6),COUNT(Y$4:Y340)+1,"")</f>
        <v/>
      </c>
      <c r="Z341">
        <f>IF(AND($A341&lt;&gt;"",$B341&lt;&gt;"",$R341='تقرير ديسمبر'!$C$4,$P341='تقرير ديسمبر'!$C$6),COUNT(Z$4:Z340)+1,"")</f>
        <v/>
      </c>
      <c r="AA341">
        <f>IF(AND($A341&lt;&gt;"",$B341&lt;&gt;"",$R341='تقرير يناير'!$C$4,$P341='تقرير يناير'!$C$6),COUNT(AA$4:AA340)+1,"")</f>
        <v/>
      </c>
      <c r="AB341">
        <f>IF(AND($A341&lt;&gt;"",$B341&lt;&gt;"",$R341='تقرير فبراير'!$C$4,$P341='تقرير فبراير'!$C$6),COUNT(AB$4:AB340)+1,"")</f>
        <v/>
      </c>
      <c r="AC341">
        <f>IF(AND($A341&lt;&gt;"",$B341&lt;&gt;"",$R341='تقرير مارس'!$C$4,$P341='تقرير مارس'!$C$6),COUNT(AC$4:AC340)+1,"")</f>
        <v/>
      </c>
      <c r="AD341">
        <f>IF(AND($A341&lt;&gt;"",$B341&lt;&gt;"",$R341='تقرير أبريل'!$C$4,$P341='تقرير أبريل'!$C$6),COUNT(AD$4:AD340)+1,"")</f>
        <v/>
      </c>
      <c r="AE341">
        <f>IF(AND($A341&lt;&gt;"",$B341&lt;&gt;"",$R341='تقرير مايو'!$C$4,$P341='تقرير مايو'!$C$6),COUNT(AE$4:AE340)+1,"")</f>
        <v/>
      </c>
    </row>
    <row r="342">
      <c r="A342" s="16" t="n"/>
      <c r="B342" s="17" t="n"/>
      <c r="C342" s="17" t="n"/>
      <c r="D342" s="18" t="n"/>
      <c r="E342" s="17" t="n"/>
      <c r="F342" s="17" t="n"/>
      <c r="G342" s="19" t="n"/>
      <c r="H342" s="17" t="n"/>
      <c r="I342" s="17" t="n"/>
      <c r="J342" s="17" t="n"/>
      <c r="K342" s="20">
        <f>IF($B342="","",IFERROR(INDEX(الموظفات!$A$5:$A$304,MATCH($B342,الموظفات!$B$5:$B$304,0))&amp;"",""))</f>
        <v/>
      </c>
      <c r="L342" s="21">
        <f>IF($B342="","",IFERROR(INDEX(الموظفات!$C$5:$C$304,MATCH($B342,الموظفات!$B$5:$B$304,0))&amp;"",""))</f>
        <v/>
      </c>
      <c r="M342" s="20">
        <f>IF($B342="","",IFERROR(INDEX(الموظفات!$D$5:$D$304,MATCH($B342,الموظفات!$B$5:$B$304,0))&amp;"",""))</f>
        <v/>
      </c>
      <c r="N342" s="20">
        <f>IF($B342="","",IFERROR(INDEX(الموظفات!$E$5:$E$304,MATCH($B342,الموظفات!$B$5:$B$304,0))&amp;"",""))</f>
        <v/>
      </c>
      <c r="O342" s="21">
        <f>IF(C342="","",IFERROR(INDEX(الإعدادات!$D$7:$D$35,MATCH(C342,الإعدادات!$A$7:$A$35,0))&amp;"",""))</f>
        <v/>
      </c>
      <c r="P342" s="20">
        <f>IF(A342="","",INDEX(الإعدادات!$H$7:$H$18,MONTH(A342)))</f>
        <v/>
      </c>
      <c r="Q342" s="20">
        <f>IF(A342="","",INDEX(الإعدادات!$I$7:$I$18,MONTH(A342)))</f>
        <v/>
      </c>
      <c r="R342" s="20">
        <f>IF(A342="","",IF(MONTH(A342)&gt;=8,YEAR(A342)&amp;"-"&amp;(YEAR(A342)+1),(YEAR(A342)-1)&amp;"-"&amp;YEAR(A342)))</f>
        <v/>
      </c>
      <c r="S342" s="20">
        <f>IF(OR(A342="",B342=""),0,IF(AND(R342=التقارير!$C$4,OR(التقارير!$C$5="سنوي",AND(التقارير!$C$5="شهري",P342=التقارير!$C$6),AND(التقارير!$C$5="فصلي",Q342=التقارير!$C$7))),1,0))</f>
        <v/>
      </c>
      <c r="T342" s="20">
        <f>IF(S342=1,COUNTIF($S$5:S342,1),"")</f>
        <v/>
      </c>
      <c r="U342">
        <f>IF(AND($A342&lt;&gt;"",$B342&lt;&gt;"",$R342='تقرير الفصل الأول'!$C$4,$Q342='تقرير الفصل الأول'!$C$7),COUNT(U$4:U341)+1,"")</f>
        <v/>
      </c>
      <c r="V342">
        <f>IF(AND($A342&lt;&gt;"",$B342&lt;&gt;"",$R342='تقرير الفصل الثاني'!$C$4,$Q342='تقرير الفصل الثاني'!$C$7),COUNT(V$4:V341)+1,"")</f>
        <v/>
      </c>
      <c r="W342">
        <f>IF(AND($A342&lt;&gt;"",$B342&lt;&gt;"",$R342='تقرير سبتمبر'!$C$4,$P342='تقرير سبتمبر'!$C$6),COUNT(W$4:W341)+1,"")</f>
        <v/>
      </c>
      <c r="X342">
        <f>IF(AND($A342&lt;&gt;"",$B342&lt;&gt;"",$R342='تقرير أكتوبر'!$C$4,$P342='تقرير أكتوبر'!$C$6),COUNT(X$4:X341)+1,"")</f>
        <v/>
      </c>
      <c r="Y342">
        <f>IF(AND($A342&lt;&gt;"",$B342&lt;&gt;"",$R342='تقرير نوفمبر'!$C$4,$P342='تقرير نوفمبر'!$C$6),COUNT(Y$4:Y341)+1,"")</f>
        <v/>
      </c>
      <c r="Z342">
        <f>IF(AND($A342&lt;&gt;"",$B342&lt;&gt;"",$R342='تقرير ديسمبر'!$C$4,$P342='تقرير ديسمبر'!$C$6),COUNT(Z$4:Z341)+1,"")</f>
        <v/>
      </c>
      <c r="AA342">
        <f>IF(AND($A342&lt;&gt;"",$B342&lt;&gt;"",$R342='تقرير يناير'!$C$4,$P342='تقرير يناير'!$C$6),COUNT(AA$4:AA341)+1,"")</f>
        <v/>
      </c>
      <c r="AB342">
        <f>IF(AND($A342&lt;&gt;"",$B342&lt;&gt;"",$R342='تقرير فبراير'!$C$4,$P342='تقرير فبراير'!$C$6),COUNT(AB$4:AB341)+1,"")</f>
        <v/>
      </c>
      <c r="AC342">
        <f>IF(AND($A342&lt;&gt;"",$B342&lt;&gt;"",$R342='تقرير مارس'!$C$4,$P342='تقرير مارس'!$C$6),COUNT(AC$4:AC341)+1,"")</f>
        <v/>
      </c>
      <c r="AD342">
        <f>IF(AND($A342&lt;&gt;"",$B342&lt;&gt;"",$R342='تقرير أبريل'!$C$4,$P342='تقرير أبريل'!$C$6),COUNT(AD$4:AD341)+1,"")</f>
        <v/>
      </c>
      <c r="AE342">
        <f>IF(AND($A342&lt;&gt;"",$B342&lt;&gt;"",$R342='تقرير مايو'!$C$4,$P342='تقرير مايو'!$C$6),COUNT(AE$4:AE341)+1,"")</f>
        <v/>
      </c>
    </row>
    <row r="343">
      <c r="A343" s="16" t="n"/>
      <c r="B343" s="17" t="n"/>
      <c r="C343" s="17" t="n"/>
      <c r="D343" s="18" t="n"/>
      <c r="E343" s="17" t="n"/>
      <c r="F343" s="17" t="n"/>
      <c r="G343" s="19" t="n"/>
      <c r="H343" s="17" t="n"/>
      <c r="I343" s="17" t="n"/>
      <c r="J343" s="17" t="n"/>
      <c r="K343" s="20">
        <f>IF($B343="","",IFERROR(INDEX(الموظفات!$A$5:$A$304,MATCH($B343,الموظفات!$B$5:$B$304,0))&amp;"",""))</f>
        <v/>
      </c>
      <c r="L343" s="21">
        <f>IF($B343="","",IFERROR(INDEX(الموظفات!$C$5:$C$304,MATCH($B343,الموظفات!$B$5:$B$304,0))&amp;"",""))</f>
        <v/>
      </c>
      <c r="M343" s="20">
        <f>IF($B343="","",IFERROR(INDEX(الموظفات!$D$5:$D$304,MATCH($B343,الموظفات!$B$5:$B$304,0))&amp;"",""))</f>
        <v/>
      </c>
      <c r="N343" s="20">
        <f>IF($B343="","",IFERROR(INDEX(الموظفات!$E$5:$E$304,MATCH($B343,الموظفات!$B$5:$B$304,0))&amp;"",""))</f>
        <v/>
      </c>
      <c r="O343" s="21">
        <f>IF(C343="","",IFERROR(INDEX(الإعدادات!$D$7:$D$35,MATCH(C343,الإعدادات!$A$7:$A$35,0))&amp;"",""))</f>
        <v/>
      </c>
      <c r="P343" s="20">
        <f>IF(A343="","",INDEX(الإعدادات!$H$7:$H$18,MONTH(A343)))</f>
        <v/>
      </c>
      <c r="Q343" s="20">
        <f>IF(A343="","",INDEX(الإعدادات!$I$7:$I$18,MONTH(A343)))</f>
        <v/>
      </c>
      <c r="R343" s="20">
        <f>IF(A343="","",IF(MONTH(A343)&gt;=8,YEAR(A343)&amp;"-"&amp;(YEAR(A343)+1),(YEAR(A343)-1)&amp;"-"&amp;YEAR(A343)))</f>
        <v/>
      </c>
      <c r="S343" s="20">
        <f>IF(OR(A343="",B343=""),0,IF(AND(R343=التقارير!$C$4,OR(التقارير!$C$5="سنوي",AND(التقارير!$C$5="شهري",P343=التقارير!$C$6),AND(التقارير!$C$5="فصلي",Q343=التقارير!$C$7))),1,0))</f>
        <v/>
      </c>
      <c r="T343" s="20">
        <f>IF(S343=1,COUNTIF($S$5:S343,1),"")</f>
        <v/>
      </c>
      <c r="U343">
        <f>IF(AND($A343&lt;&gt;"",$B343&lt;&gt;"",$R343='تقرير الفصل الأول'!$C$4,$Q343='تقرير الفصل الأول'!$C$7),COUNT(U$4:U342)+1,"")</f>
        <v/>
      </c>
      <c r="V343">
        <f>IF(AND($A343&lt;&gt;"",$B343&lt;&gt;"",$R343='تقرير الفصل الثاني'!$C$4,$Q343='تقرير الفصل الثاني'!$C$7),COUNT(V$4:V342)+1,"")</f>
        <v/>
      </c>
      <c r="W343">
        <f>IF(AND($A343&lt;&gt;"",$B343&lt;&gt;"",$R343='تقرير سبتمبر'!$C$4,$P343='تقرير سبتمبر'!$C$6),COUNT(W$4:W342)+1,"")</f>
        <v/>
      </c>
      <c r="X343">
        <f>IF(AND($A343&lt;&gt;"",$B343&lt;&gt;"",$R343='تقرير أكتوبر'!$C$4,$P343='تقرير أكتوبر'!$C$6),COUNT(X$4:X342)+1,"")</f>
        <v/>
      </c>
      <c r="Y343">
        <f>IF(AND($A343&lt;&gt;"",$B343&lt;&gt;"",$R343='تقرير نوفمبر'!$C$4,$P343='تقرير نوفمبر'!$C$6),COUNT(Y$4:Y342)+1,"")</f>
        <v/>
      </c>
      <c r="Z343">
        <f>IF(AND($A343&lt;&gt;"",$B343&lt;&gt;"",$R343='تقرير ديسمبر'!$C$4,$P343='تقرير ديسمبر'!$C$6),COUNT(Z$4:Z342)+1,"")</f>
        <v/>
      </c>
      <c r="AA343">
        <f>IF(AND($A343&lt;&gt;"",$B343&lt;&gt;"",$R343='تقرير يناير'!$C$4,$P343='تقرير يناير'!$C$6),COUNT(AA$4:AA342)+1,"")</f>
        <v/>
      </c>
      <c r="AB343">
        <f>IF(AND($A343&lt;&gt;"",$B343&lt;&gt;"",$R343='تقرير فبراير'!$C$4,$P343='تقرير فبراير'!$C$6),COUNT(AB$4:AB342)+1,"")</f>
        <v/>
      </c>
      <c r="AC343">
        <f>IF(AND($A343&lt;&gt;"",$B343&lt;&gt;"",$R343='تقرير مارس'!$C$4,$P343='تقرير مارس'!$C$6),COUNT(AC$4:AC342)+1,"")</f>
        <v/>
      </c>
      <c r="AD343">
        <f>IF(AND($A343&lt;&gt;"",$B343&lt;&gt;"",$R343='تقرير أبريل'!$C$4,$P343='تقرير أبريل'!$C$6),COUNT(AD$4:AD342)+1,"")</f>
        <v/>
      </c>
      <c r="AE343">
        <f>IF(AND($A343&lt;&gt;"",$B343&lt;&gt;"",$R343='تقرير مايو'!$C$4,$P343='تقرير مايو'!$C$6),COUNT(AE$4:AE342)+1,"")</f>
        <v/>
      </c>
    </row>
    <row r="344">
      <c r="A344" s="16" t="n"/>
      <c r="B344" s="17" t="n"/>
      <c r="C344" s="17" t="n"/>
      <c r="D344" s="18" t="n"/>
      <c r="E344" s="17" t="n"/>
      <c r="F344" s="17" t="n"/>
      <c r="G344" s="19" t="n"/>
      <c r="H344" s="17" t="n"/>
      <c r="I344" s="17" t="n"/>
      <c r="J344" s="17" t="n"/>
      <c r="K344" s="20">
        <f>IF($B344="","",IFERROR(INDEX(الموظفات!$A$5:$A$304,MATCH($B344,الموظفات!$B$5:$B$304,0))&amp;"",""))</f>
        <v/>
      </c>
      <c r="L344" s="21">
        <f>IF($B344="","",IFERROR(INDEX(الموظفات!$C$5:$C$304,MATCH($B344,الموظفات!$B$5:$B$304,0))&amp;"",""))</f>
        <v/>
      </c>
      <c r="M344" s="20">
        <f>IF($B344="","",IFERROR(INDEX(الموظفات!$D$5:$D$304,MATCH($B344,الموظفات!$B$5:$B$304,0))&amp;"",""))</f>
        <v/>
      </c>
      <c r="N344" s="20">
        <f>IF($B344="","",IFERROR(INDEX(الموظفات!$E$5:$E$304,MATCH($B344,الموظفات!$B$5:$B$304,0))&amp;"",""))</f>
        <v/>
      </c>
      <c r="O344" s="21">
        <f>IF(C344="","",IFERROR(INDEX(الإعدادات!$D$7:$D$35,MATCH(C344,الإعدادات!$A$7:$A$35,0))&amp;"",""))</f>
        <v/>
      </c>
      <c r="P344" s="20">
        <f>IF(A344="","",INDEX(الإعدادات!$H$7:$H$18,MONTH(A344)))</f>
        <v/>
      </c>
      <c r="Q344" s="20">
        <f>IF(A344="","",INDEX(الإعدادات!$I$7:$I$18,MONTH(A344)))</f>
        <v/>
      </c>
      <c r="R344" s="20">
        <f>IF(A344="","",IF(MONTH(A344)&gt;=8,YEAR(A344)&amp;"-"&amp;(YEAR(A344)+1),(YEAR(A344)-1)&amp;"-"&amp;YEAR(A344)))</f>
        <v/>
      </c>
      <c r="S344" s="20">
        <f>IF(OR(A344="",B344=""),0,IF(AND(R344=التقارير!$C$4,OR(التقارير!$C$5="سنوي",AND(التقارير!$C$5="شهري",P344=التقارير!$C$6),AND(التقارير!$C$5="فصلي",Q344=التقارير!$C$7))),1,0))</f>
        <v/>
      </c>
      <c r="T344" s="20">
        <f>IF(S344=1,COUNTIF($S$5:S344,1),"")</f>
        <v/>
      </c>
      <c r="U344">
        <f>IF(AND($A344&lt;&gt;"",$B344&lt;&gt;"",$R344='تقرير الفصل الأول'!$C$4,$Q344='تقرير الفصل الأول'!$C$7),COUNT(U$4:U343)+1,"")</f>
        <v/>
      </c>
      <c r="V344">
        <f>IF(AND($A344&lt;&gt;"",$B344&lt;&gt;"",$R344='تقرير الفصل الثاني'!$C$4,$Q344='تقرير الفصل الثاني'!$C$7),COUNT(V$4:V343)+1,"")</f>
        <v/>
      </c>
      <c r="W344">
        <f>IF(AND($A344&lt;&gt;"",$B344&lt;&gt;"",$R344='تقرير سبتمبر'!$C$4,$P344='تقرير سبتمبر'!$C$6),COUNT(W$4:W343)+1,"")</f>
        <v/>
      </c>
      <c r="X344">
        <f>IF(AND($A344&lt;&gt;"",$B344&lt;&gt;"",$R344='تقرير أكتوبر'!$C$4,$P344='تقرير أكتوبر'!$C$6),COUNT(X$4:X343)+1,"")</f>
        <v/>
      </c>
      <c r="Y344">
        <f>IF(AND($A344&lt;&gt;"",$B344&lt;&gt;"",$R344='تقرير نوفمبر'!$C$4,$P344='تقرير نوفمبر'!$C$6),COUNT(Y$4:Y343)+1,"")</f>
        <v/>
      </c>
      <c r="Z344">
        <f>IF(AND($A344&lt;&gt;"",$B344&lt;&gt;"",$R344='تقرير ديسمبر'!$C$4,$P344='تقرير ديسمبر'!$C$6),COUNT(Z$4:Z343)+1,"")</f>
        <v/>
      </c>
      <c r="AA344">
        <f>IF(AND($A344&lt;&gt;"",$B344&lt;&gt;"",$R344='تقرير يناير'!$C$4,$P344='تقرير يناير'!$C$6),COUNT(AA$4:AA343)+1,"")</f>
        <v/>
      </c>
      <c r="AB344">
        <f>IF(AND($A344&lt;&gt;"",$B344&lt;&gt;"",$R344='تقرير فبراير'!$C$4,$P344='تقرير فبراير'!$C$6),COUNT(AB$4:AB343)+1,"")</f>
        <v/>
      </c>
      <c r="AC344">
        <f>IF(AND($A344&lt;&gt;"",$B344&lt;&gt;"",$R344='تقرير مارس'!$C$4,$P344='تقرير مارس'!$C$6),COUNT(AC$4:AC343)+1,"")</f>
        <v/>
      </c>
      <c r="AD344">
        <f>IF(AND($A344&lt;&gt;"",$B344&lt;&gt;"",$R344='تقرير أبريل'!$C$4,$P344='تقرير أبريل'!$C$6),COUNT(AD$4:AD343)+1,"")</f>
        <v/>
      </c>
      <c r="AE344">
        <f>IF(AND($A344&lt;&gt;"",$B344&lt;&gt;"",$R344='تقرير مايو'!$C$4,$P344='تقرير مايو'!$C$6),COUNT(AE$4:AE343)+1,"")</f>
        <v/>
      </c>
    </row>
    <row r="345">
      <c r="A345" s="16" t="n"/>
      <c r="B345" s="17" t="n"/>
      <c r="C345" s="17" t="n"/>
      <c r="D345" s="18" t="n"/>
      <c r="E345" s="17" t="n"/>
      <c r="F345" s="17" t="n"/>
      <c r="G345" s="19" t="n"/>
      <c r="H345" s="17" t="n"/>
      <c r="I345" s="17" t="n"/>
      <c r="J345" s="17" t="n"/>
      <c r="K345" s="20">
        <f>IF($B345="","",IFERROR(INDEX(الموظفات!$A$5:$A$304,MATCH($B345,الموظفات!$B$5:$B$304,0))&amp;"",""))</f>
        <v/>
      </c>
      <c r="L345" s="21">
        <f>IF($B345="","",IFERROR(INDEX(الموظفات!$C$5:$C$304,MATCH($B345,الموظفات!$B$5:$B$304,0))&amp;"",""))</f>
        <v/>
      </c>
      <c r="M345" s="20">
        <f>IF($B345="","",IFERROR(INDEX(الموظفات!$D$5:$D$304,MATCH($B345,الموظفات!$B$5:$B$304,0))&amp;"",""))</f>
        <v/>
      </c>
      <c r="N345" s="20">
        <f>IF($B345="","",IFERROR(INDEX(الموظفات!$E$5:$E$304,MATCH($B345,الموظفات!$B$5:$B$304,0))&amp;"",""))</f>
        <v/>
      </c>
      <c r="O345" s="21">
        <f>IF(C345="","",IFERROR(INDEX(الإعدادات!$D$7:$D$35,MATCH(C345,الإعدادات!$A$7:$A$35,0))&amp;"",""))</f>
        <v/>
      </c>
      <c r="P345" s="20">
        <f>IF(A345="","",INDEX(الإعدادات!$H$7:$H$18,MONTH(A345)))</f>
        <v/>
      </c>
      <c r="Q345" s="20">
        <f>IF(A345="","",INDEX(الإعدادات!$I$7:$I$18,MONTH(A345)))</f>
        <v/>
      </c>
      <c r="R345" s="20">
        <f>IF(A345="","",IF(MONTH(A345)&gt;=8,YEAR(A345)&amp;"-"&amp;(YEAR(A345)+1),(YEAR(A345)-1)&amp;"-"&amp;YEAR(A345)))</f>
        <v/>
      </c>
      <c r="S345" s="20">
        <f>IF(OR(A345="",B345=""),0,IF(AND(R345=التقارير!$C$4,OR(التقارير!$C$5="سنوي",AND(التقارير!$C$5="شهري",P345=التقارير!$C$6),AND(التقارير!$C$5="فصلي",Q345=التقارير!$C$7))),1,0))</f>
        <v/>
      </c>
      <c r="T345" s="20">
        <f>IF(S345=1,COUNTIF($S$5:S345,1),"")</f>
        <v/>
      </c>
      <c r="U345">
        <f>IF(AND($A345&lt;&gt;"",$B345&lt;&gt;"",$R345='تقرير الفصل الأول'!$C$4,$Q345='تقرير الفصل الأول'!$C$7),COUNT(U$4:U344)+1,"")</f>
        <v/>
      </c>
      <c r="V345">
        <f>IF(AND($A345&lt;&gt;"",$B345&lt;&gt;"",$R345='تقرير الفصل الثاني'!$C$4,$Q345='تقرير الفصل الثاني'!$C$7),COUNT(V$4:V344)+1,"")</f>
        <v/>
      </c>
      <c r="W345">
        <f>IF(AND($A345&lt;&gt;"",$B345&lt;&gt;"",$R345='تقرير سبتمبر'!$C$4,$P345='تقرير سبتمبر'!$C$6),COUNT(W$4:W344)+1,"")</f>
        <v/>
      </c>
      <c r="X345">
        <f>IF(AND($A345&lt;&gt;"",$B345&lt;&gt;"",$R345='تقرير أكتوبر'!$C$4,$P345='تقرير أكتوبر'!$C$6),COUNT(X$4:X344)+1,"")</f>
        <v/>
      </c>
      <c r="Y345">
        <f>IF(AND($A345&lt;&gt;"",$B345&lt;&gt;"",$R345='تقرير نوفمبر'!$C$4,$P345='تقرير نوفمبر'!$C$6),COUNT(Y$4:Y344)+1,"")</f>
        <v/>
      </c>
      <c r="Z345">
        <f>IF(AND($A345&lt;&gt;"",$B345&lt;&gt;"",$R345='تقرير ديسمبر'!$C$4,$P345='تقرير ديسمبر'!$C$6),COUNT(Z$4:Z344)+1,"")</f>
        <v/>
      </c>
      <c r="AA345">
        <f>IF(AND($A345&lt;&gt;"",$B345&lt;&gt;"",$R345='تقرير يناير'!$C$4,$P345='تقرير يناير'!$C$6),COUNT(AA$4:AA344)+1,"")</f>
        <v/>
      </c>
      <c r="AB345">
        <f>IF(AND($A345&lt;&gt;"",$B345&lt;&gt;"",$R345='تقرير فبراير'!$C$4,$P345='تقرير فبراير'!$C$6),COUNT(AB$4:AB344)+1,"")</f>
        <v/>
      </c>
      <c r="AC345">
        <f>IF(AND($A345&lt;&gt;"",$B345&lt;&gt;"",$R345='تقرير مارس'!$C$4,$P345='تقرير مارس'!$C$6),COUNT(AC$4:AC344)+1,"")</f>
        <v/>
      </c>
      <c r="AD345">
        <f>IF(AND($A345&lt;&gt;"",$B345&lt;&gt;"",$R345='تقرير أبريل'!$C$4,$P345='تقرير أبريل'!$C$6),COUNT(AD$4:AD344)+1,"")</f>
        <v/>
      </c>
      <c r="AE345">
        <f>IF(AND($A345&lt;&gt;"",$B345&lt;&gt;"",$R345='تقرير مايو'!$C$4,$P345='تقرير مايو'!$C$6),COUNT(AE$4:AE344)+1,"")</f>
        <v/>
      </c>
    </row>
    <row r="346">
      <c r="A346" s="16" t="n"/>
      <c r="B346" s="17" t="n"/>
      <c r="C346" s="17" t="n"/>
      <c r="D346" s="18" t="n"/>
      <c r="E346" s="17" t="n"/>
      <c r="F346" s="17" t="n"/>
      <c r="G346" s="19" t="n"/>
      <c r="H346" s="17" t="n"/>
      <c r="I346" s="17" t="n"/>
      <c r="J346" s="17" t="n"/>
      <c r="K346" s="20">
        <f>IF($B346="","",IFERROR(INDEX(الموظفات!$A$5:$A$304,MATCH($B346,الموظفات!$B$5:$B$304,0))&amp;"",""))</f>
        <v/>
      </c>
      <c r="L346" s="21">
        <f>IF($B346="","",IFERROR(INDEX(الموظفات!$C$5:$C$304,MATCH($B346,الموظفات!$B$5:$B$304,0))&amp;"",""))</f>
        <v/>
      </c>
      <c r="M346" s="20">
        <f>IF($B346="","",IFERROR(INDEX(الموظفات!$D$5:$D$304,MATCH($B346,الموظفات!$B$5:$B$304,0))&amp;"",""))</f>
        <v/>
      </c>
      <c r="N346" s="20">
        <f>IF($B346="","",IFERROR(INDEX(الموظفات!$E$5:$E$304,MATCH($B346,الموظفات!$B$5:$B$304,0))&amp;"",""))</f>
        <v/>
      </c>
      <c r="O346" s="21">
        <f>IF(C346="","",IFERROR(INDEX(الإعدادات!$D$7:$D$35,MATCH(C346,الإعدادات!$A$7:$A$35,0))&amp;"",""))</f>
        <v/>
      </c>
      <c r="P346" s="20">
        <f>IF(A346="","",INDEX(الإعدادات!$H$7:$H$18,MONTH(A346)))</f>
        <v/>
      </c>
      <c r="Q346" s="20">
        <f>IF(A346="","",INDEX(الإعدادات!$I$7:$I$18,MONTH(A346)))</f>
        <v/>
      </c>
      <c r="R346" s="20">
        <f>IF(A346="","",IF(MONTH(A346)&gt;=8,YEAR(A346)&amp;"-"&amp;(YEAR(A346)+1),(YEAR(A346)-1)&amp;"-"&amp;YEAR(A346)))</f>
        <v/>
      </c>
      <c r="S346" s="20">
        <f>IF(OR(A346="",B346=""),0,IF(AND(R346=التقارير!$C$4,OR(التقارير!$C$5="سنوي",AND(التقارير!$C$5="شهري",P346=التقارير!$C$6),AND(التقارير!$C$5="فصلي",Q346=التقارير!$C$7))),1,0))</f>
        <v/>
      </c>
      <c r="T346" s="20">
        <f>IF(S346=1,COUNTIF($S$5:S346,1),"")</f>
        <v/>
      </c>
      <c r="U346">
        <f>IF(AND($A346&lt;&gt;"",$B346&lt;&gt;"",$R346='تقرير الفصل الأول'!$C$4,$Q346='تقرير الفصل الأول'!$C$7),COUNT(U$4:U345)+1,"")</f>
        <v/>
      </c>
      <c r="V346">
        <f>IF(AND($A346&lt;&gt;"",$B346&lt;&gt;"",$R346='تقرير الفصل الثاني'!$C$4,$Q346='تقرير الفصل الثاني'!$C$7),COUNT(V$4:V345)+1,"")</f>
        <v/>
      </c>
      <c r="W346">
        <f>IF(AND($A346&lt;&gt;"",$B346&lt;&gt;"",$R346='تقرير سبتمبر'!$C$4,$P346='تقرير سبتمبر'!$C$6),COUNT(W$4:W345)+1,"")</f>
        <v/>
      </c>
      <c r="X346">
        <f>IF(AND($A346&lt;&gt;"",$B346&lt;&gt;"",$R346='تقرير أكتوبر'!$C$4,$P346='تقرير أكتوبر'!$C$6),COUNT(X$4:X345)+1,"")</f>
        <v/>
      </c>
      <c r="Y346">
        <f>IF(AND($A346&lt;&gt;"",$B346&lt;&gt;"",$R346='تقرير نوفمبر'!$C$4,$P346='تقرير نوفمبر'!$C$6),COUNT(Y$4:Y345)+1,"")</f>
        <v/>
      </c>
      <c r="Z346">
        <f>IF(AND($A346&lt;&gt;"",$B346&lt;&gt;"",$R346='تقرير ديسمبر'!$C$4,$P346='تقرير ديسمبر'!$C$6),COUNT(Z$4:Z345)+1,"")</f>
        <v/>
      </c>
      <c r="AA346">
        <f>IF(AND($A346&lt;&gt;"",$B346&lt;&gt;"",$R346='تقرير يناير'!$C$4,$P346='تقرير يناير'!$C$6),COUNT(AA$4:AA345)+1,"")</f>
        <v/>
      </c>
      <c r="AB346">
        <f>IF(AND($A346&lt;&gt;"",$B346&lt;&gt;"",$R346='تقرير فبراير'!$C$4,$P346='تقرير فبراير'!$C$6),COUNT(AB$4:AB345)+1,"")</f>
        <v/>
      </c>
      <c r="AC346">
        <f>IF(AND($A346&lt;&gt;"",$B346&lt;&gt;"",$R346='تقرير مارس'!$C$4,$P346='تقرير مارس'!$C$6),COUNT(AC$4:AC345)+1,"")</f>
        <v/>
      </c>
      <c r="AD346">
        <f>IF(AND($A346&lt;&gt;"",$B346&lt;&gt;"",$R346='تقرير أبريل'!$C$4,$P346='تقرير أبريل'!$C$6),COUNT(AD$4:AD345)+1,"")</f>
        <v/>
      </c>
      <c r="AE346">
        <f>IF(AND($A346&lt;&gt;"",$B346&lt;&gt;"",$R346='تقرير مايو'!$C$4,$P346='تقرير مايو'!$C$6),COUNT(AE$4:AE345)+1,"")</f>
        <v/>
      </c>
    </row>
    <row r="347">
      <c r="A347" s="16" t="n"/>
      <c r="B347" s="17" t="n"/>
      <c r="C347" s="17" t="n"/>
      <c r="D347" s="18" t="n"/>
      <c r="E347" s="17" t="n"/>
      <c r="F347" s="17" t="n"/>
      <c r="G347" s="19" t="n"/>
      <c r="H347" s="17" t="n"/>
      <c r="I347" s="17" t="n"/>
      <c r="J347" s="17" t="n"/>
      <c r="K347" s="20">
        <f>IF($B347="","",IFERROR(INDEX(الموظفات!$A$5:$A$304,MATCH($B347,الموظفات!$B$5:$B$304,0))&amp;"",""))</f>
        <v/>
      </c>
      <c r="L347" s="21">
        <f>IF($B347="","",IFERROR(INDEX(الموظفات!$C$5:$C$304,MATCH($B347,الموظفات!$B$5:$B$304,0))&amp;"",""))</f>
        <v/>
      </c>
      <c r="M347" s="20">
        <f>IF($B347="","",IFERROR(INDEX(الموظفات!$D$5:$D$304,MATCH($B347,الموظفات!$B$5:$B$304,0))&amp;"",""))</f>
        <v/>
      </c>
      <c r="N347" s="20">
        <f>IF($B347="","",IFERROR(INDEX(الموظفات!$E$5:$E$304,MATCH($B347,الموظفات!$B$5:$B$304,0))&amp;"",""))</f>
        <v/>
      </c>
      <c r="O347" s="21">
        <f>IF(C347="","",IFERROR(INDEX(الإعدادات!$D$7:$D$35,MATCH(C347,الإعدادات!$A$7:$A$35,0))&amp;"",""))</f>
        <v/>
      </c>
      <c r="P347" s="20">
        <f>IF(A347="","",INDEX(الإعدادات!$H$7:$H$18,MONTH(A347)))</f>
        <v/>
      </c>
      <c r="Q347" s="20">
        <f>IF(A347="","",INDEX(الإعدادات!$I$7:$I$18,MONTH(A347)))</f>
        <v/>
      </c>
      <c r="R347" s="20">
        <f>IF(A347="","",IF(MONTH(A347)&gt;=8,YEAR(A347)&amp;"-"&amp;(YEAR(A347)+1),(YEAR(A347)-1)&amp;"-"&amp;YEAR(A347)))</f>
        <v/>
      </c>
      <c r="S347" s="20">
        <f>IF(OR(A347="",B347=""),0,IF(AND(R347=التقارير!$C$4,OR(التقارير!$C$5="سنوي",AND(التقارير!$C$5="شهري",P347=التقارير!$C$6),AND(التقارير!$C$5="فصلي",Q347=التقارير!$C$7))),1,0))</f>
        <v/>
      </c>
      <c r="T347" s="20">
        <f>IF(S347=1,COUNTIF($S$5:S347,1),"")</f>
        <v/>
      </c>
      <c r="U347">
        <f>IF(AND($A347&lt;&gt;"",$B347&lt;&gt;"",$R347='تقرير الفصل الأول'!$C$4,$Q347='تقرير الفصل الأول'!$C$7),COUNT(U$4:U346)+1,"")</f>
        <v/>
      </c>
      <c r="V347">
        <f>IF(AND($A347&lt;&gt;"",$B347&lt;&gt;"",$R347='تقرير الفصل الثاني'!$C$4,$Q347='تقرير الفصل الثاني'!$C$7),COUNT(V$4:V346)+1,"")</f>
        <v/>
      </c>
      <c r="W347">
        <f>IF(AND($A347&lt;&gt;"",$B347&lt;&gt;"",$R347='تقرير سبتمبر'!$C$4,$P347='تقرير سبتمبر'!$C$6),COUNT(W$4:W346)+1,"")</f>
        <v/>
      </c>
      <c r="X347">
        <f>IF(AND($A347&lt;&gt;"",$B347&lt;&gt;"",$R347='تقرير أكتوبر'!$C$4,$P347='تقرير أكتوبر'!$C$6),COUNT(X$4:X346)+1,"")</f>
        <v/>
      </c>
      <c r="Y347">
        <f>IF(AND($A347&lt;&gt;"",$B347&lt;&gt;"",$R347='تقرير نوفمبر'!$C$4,$P347='تقرير نوفمبر'!$C$6),COUNT(Y$4:Y346)+1,"")</f>
        <v/>
      </c>
      <c r="Z347">
        <f>IF(AND($A347&lt;&gt;"",$B347&lt;&gt;"",$R347='تقرير ديسمبر'!$C$4,$P347='تقرير ديسمبر'!$C$6),COUNT(Z$4:Z346)+1,"")</f>
        <v/>
      </c>
      <c r="AA347">
        <f>IF(AND($A347&lt;&gt;"",$B347&lt;&gt;"",$R347='تقرير يناير'!$C$4,$P347='تقرير يناير'!$C$6),COUNT(AA$4:AA346)+1,"")</f>
        <v/>
      </c>
      <c r="AB347">
        <f>IF(AND($A347&lt;&gt;"",$B347&lt;&gt;"",$R347='تقرير فبراير'!$C$4,$P347='تقرير فبراير'!$C$6),COUNT(AB$4:AB346)+1,"")</f>
        <v/>
      </c>
      <c r="AC347">
        <f>IF(AND($A347&lt;&gt;"",$B347&lt;&gt;"",$R347='تقرير مارس'!$C$4,$P347='تقرير مارس'!$C$6),COUNT(AC$4:AC346)+1,"")</f>
        <v/>
      </c>
      <c r="AD347">
        <f>IF(AND($A347&lt;&gt;"",$B347&lt;&gt;"",$R347='تقرير أبريل'!$C$4,$P347='تقرير أبريل'!$C$6),COUNT(AD$4:AD346)+1,"")</f>
        <v/>
      </c>
      <c r="AE347">
        <f>IF(AND($A347&lt;&gt;"",$B347&lt;&gt;"",$R347='تقرير مايو'!$C$4,$P347='تقرير مايو'!$C$6),COUNT(AE$4:AE346)+1,"")</f>
        <v/>
      </c>
    </row>
    <row r="348">
      <c r="A348" s="16" t="n"/>
      <c r="B348" s="17" t="n"/>
      <c r="C348" s="17" t="n"/>
      <c r="D348" s="18" t="n"/>
      <c r="E348" s="17" t="n"/>
      <c r="F348" s="17" t="n"/>
      <c r="G348" s="19" t="n"/>
      <c r="H348" s="17" t="n"/>
      <c r="I348" s="17" t="n"/>
      <c r="J348" s="17" t="n"/>
      <c r="K348" s="20">
        <f>IF($B348="","",IFERROR(INDEX(الموظفات!$A$5:$A$304,MATCH($B348,الموظفات!$B$5:$B$304,0))&amp;"",""))</f>
        <v/>
      </c>
      <c r="L348" s="21">
        <f>IF($B348="","",IFERROR(INDEX(الموظفات!$C$5:$C$304,MATCH($B348,الموظفات!$B$5:$B$304,0))&amp;"",""))</f>
        <v/>
      </c>
      <c r="M348" s="20">
        <f>IF($B348="","",IFERROR(INDEX(الموظفات!$D$5:$D$304,MATCH($B348,الموظفات!$B$5:$B$304,0))&amp;"",""))</f>
        <v/>
      </c>
      <c r="N348" s="20">
        <f>IF($B348="","",IFERROR(INDEX(الموظفات!$E$5:$E$304,MATCH($B348,الموظفات!$B$5:$B$304,0))&amp;"",""))</f>
        <v/>
      </c>
      <c r="O348" s="21">
        <f>IF(C348="","",IFERROR(INDEX(الإعدادات!$D$7:$D$35,MATCH(C348,الإعدادات!$A$7:$A$35,0))&amp;"",""))</f>
        <v/>
      </c>
      <c r="P348" s="20">
        <f>IF(A348="","",INDEX(الإعدادات!$H$7:$H$18,MONTH(A348)))</f>
        <v/>
      </c>
      <c r="Q348" s="20">
        <f>IF(A348="","",INDEX(الإعدادات!$I$7:$I$18,MONTH(A348)))</f>
        <v/>
      </c>
      <c r="R348" s="20">
        <f>IF(A348="","",IF(MONTH(A348)&gt;=8,YEAR(A348)&amp;"-"&amp;(YEAR(A348)+1),(YEAR(A348)-1)&amp;"-"&amp;YEAR(A348)))</f>
        <v/>
      </c>
      <c r="S348" s="20">
        <f>IF(OR(A348="",B348=""),0,IF(AND(R348=التقارير!$C$4,OR(التقارير!$C$5="سنوي",AND(التقارير!$C$5="شهري",P348=التقارير!$C$6),AND(التقارير!$C$5="فصلي",Q348=التقارير!$C$7))),1,0))</f>
        <v/>
      </c>
      <c r="T348" s="20">
        <f>IF(S348=1,COUNTIF($S$5:S348,1),"")</f>
        <v/>
      </c>
      <c r="U348">
        <f>IF(AND($A348&lt;&gt;"",$B348&lt;&gt;"",$R348='تقرير الفصل الأول'!$C$4,$Q348='تقرير الفصل الأول'!$C$7),COUNT(U$4:U347)+1,"")</f>
        <v/>
      </c>
      <c r="V348">
        <f>IF(AND($A348&lt;&gt;"",$B348&lt;&gt;"",$R348='تقرير الفصل الثاني'!$C$4,$Q348='تقرير الفصل الثاني'!$C$7),COUNT(V$4:V347)+1,"")</f>
        <v/>
      </c>
      <c r="W348">
        <f>IF(AND($A348&lt;&gt;"",$B348&lt;&gt;"",$R348='تقرير سبتمبر'!$C$4,$P348='تقرير سبتمبر'!$C$6),COUNT(W$4:W347)+1,"")</f>
        <v/>
      </c>
      <c r="X348">
        <f>IF(AND($A348&lt;&gt;"",$B348&lt;&gt;"",$R348='تقرير أكتوبر'!$C$4,$P348='تقرير أكتوبر'!$C$6),COUNT(X$4:X347)+1,"")</f>
        <v/>
      </c>
      <c r="Y348">
        <f>IF(AND($A348&lt;&gt;"",$B348&lt;&gt;"",$R348='تقرير نوفمبر'!$C$4,$P348='تقرير نوفمبر'!$C$6),COUNT(Y$4:Y347)+1,"")</f>
        <v/>
      </c>
      <c r="Z348">
        <f>IF(AND($A348&lt;&gt;"",$B348&lt;&gt;"",$R348='تقرير ديسمبر'!$C$4,$P348='تقرير ديسمبر'!$C$6),COUNT(Z$4:Z347)+1,"")</f>
        <v/>
      </c>
      <c r="AA348">
        <f>IF(AND($A348&lt;&gt;"",$B348&lt;&gt;"",$R348='تقرير يناير'!$C$4,$P348='تقرير يناير'!$C$6),COUNT(AA$4:AA347)+1,"")</f>
        <v/>
      </c>
      <c r="AB348">
        <f>IF(AND($A348&lt;&gt;"",$B348&lt;&gt;"",$R348='تقرير فبراير'!$C$4,$P348='تقرير فبراير'!$C$6),COUNT(AB$4:AB347)+1,"")</f>
        <v/>
      </c>
      <c r="AC348">
        <f>IF(AND($A348&lt;&gt;"",$B348&lt;&gt;"",$R348='تقرير مارس'!$C$4,$P348='تقرير مارس'!$C$6),COUNT(AC$4:AC347)+1,"")</f>
        <v/>
      </c>
      <c r="AD348">
        <f>IF(AND($A348&lt;&gt;"",$B348&lt;&gt;"",$R348='تقرير أبريل'!$C$4,$P348='تقرير أبريل'!$C$6),COUNT(AD$4:AD347)+1,"")</f>
        <v/>
      </c>
      <c r="AE348">
        <f>IF(AND($A348&lt;&gt;"",$B348&lt;&gt;"",$R348='تقرير مايو'!$C$4,$P348='تقرير مايو'!$C$6),COUNT(AE$4:AE347)+1,"")</f>
        <v/>
      </c>
    </row>
    <row r="349">
      <c r="A349" s="16" t="n"/>
      <c r="B349" s="17" t="n"/>
      <c r="C349" s="17" t="n"/>
      <c r="D349" s="18" t="n"/>
      <c r="E349" s="17" t="n"/>
      <c r="F349" s="17" t="n"/>
      <c r="G349" s="19" t="n"/>
      <c r="H349" s="17" t="n"/>
      <c r="I349" s="17" t="n"/>
      <c r="J349" s="17" t="n"/>
      <c r="K349" s="20">
        <f>IF($B349="","",IFERROR(INDEX(الموظفات!$A$5:$A$304,MATCH($B349,الموظفات!$B$5:$B$304,0))&amp;"",""))</f>
        <v/>
      </c>
      <c r="L349" s="21">
        <f>IF($B349="","",IFERROR(INDEX(الموظفات!$C$5:$C$304,MATCH($B349,الموظفات!$B$5:$B$304,0))&amp;"",""))</f>
        <v/>
      </c>
      <c r="M349" s="20">
        <f>IF($B349="","",IFERROR(INDEX(الموظفات!$D$5:$D$304,MATCH($B349,الموظفات!$B$5:$B$304,0))&amp;"",""))</f>
        <v/>
      </c>
      <c r="N349" s="20">
        <f>IF($B349="","",IFERROR(INDEX(الموظفات!$E$5:$E$304,MATCH($B349,الموظفات!$B$5:$B$304,0))&amp;"",""))</f>
        <v/>
      </c>
      <c r="O349" s="21">
        <f>IF(C349="","",IFERROR(INDEX(الإعدادات!$D$7:$D$35,MATCH(C349,الإعدادات!$A$7:$A$35,0))&amp;"",""))</f>
        <v/>
      </c>
      <c r="P349" s="20">
        <f>IF(A349="","",INDEX(الإعدادات!$H$7:$H$18,MONTH(A349)))</f>
        <v/>
      </c>
      <c r="Q349" s="20">
        <f>IF(A349="","",INDEX(الإعدادات!$I$7:$I$18,MONTH(A349)))</f>
        <v/>
      </c>
      <c r="R349" s="20">
        <f>IF(A349="","",IF(MONTH(A349)&gt;=8,YEAR(A349)&amp;"-"&amp;(YEAR(A349)+1),(YEAR(A349)-1)&amp;"-"&amp;YEAR(A349)))</f>
        <v/>
      </c>
      <c r="S349" s="20">
        <f>IF(OR(A349="",B349=""),0,IF(AND(R349=التقارير!$C$4,OR(التقارير!$C$5="سنوي",AND(التقارير!$C$5="شهري",P349=التقارير!$C$6),AND(التقارير!$C$5="فصلي",Q349=التقارير!$C$7))),1,0))</f>
        <v/>
      </c>
      <c r="T349" s="20">
        <f>IF(S349=1,COUNTIF($S$5:S349,1),"")</f>
        <v/>
      </c>
      <c r="U349">
        <f>IF(AND($A349&lt;&gt;"",$B349&lt;&gt;"",$R349='تقرير الفصل الأول'!$C$4,$Q349='تقرير الفصل الأول'!$C$7),COUNT(U$4:U348)+1,"")</f>
        <v/>
      </c>
      <c r="V349">
        <f>IF(AND($A349&lt;&gt;"",$B349&lt;&gt;"",$R349='تقرير الفصل الثاني'!$C$4,$Q349='تقرير الفصل الثاني'!$C$7),COUNT(V$4:V348)+1,"")</f>
        <v/>
      </c>
      <c r="W349">
        <f>IF(AND($A349&lt;&gt;"",$B349&lt;&gt;"",$R349='تقرير سبتمبر'!$C$4,$P349='تقرير سبتمبر'!$C$6),COUNT(W$4:W348)+1,"")</f>
        <v/>
      </c>
      <c r="X349">
        <f>IF(AND($A349&lt;&gt;"",$B349&lt;&gt;"",$R349='تقرير أكتوبر'!$C$4,$P349='تقرير أكتوبر'!$C$6),COUNT(X$4:X348)+1,"")</f>
        <v/>
      </c>
      <c r="Y349">
        <f>IF(AND($A349&lt;&gt;"",$B349&lt;&gt;"",$R349='تقرير نوفمبر'!$C$4,$P349='تقرير نوفمبر'!$C$6),COUNT(Y$4:Y348)+1,"")</f>
        <v/>
      </c>
      <c r="Z349">
        <f>IF(AND($A349&lt;&gt;"",$B349&lt;&gt;"",$R349='تقرير ديسمبر'!$C$4,$P349='تقرير ديسمبر'!$C$6),COUNT(Z$4:Z348)+1,"")</f>
        <v/>
      </c>
      <c r="AA349">
        <f>IF(AND($A349&lt;&gt;"",$B349&lt;&gt;"",$R349='تقرير يناير'!$C$4,$P349='تقرير يناير'!$C$6),COUNT(AA$4:AA348)+1,"")</f>
        <v/>
      </c>
      <c r="AB349">
        <f>IF(AND($A349&lt;&gt;"",$B349&lt;&gt;"",$R349='تقرير فبراير'!$C$4,$P349='تقرير فبراير'!$C$6),COUNT(AB$4:AB348)+1,"")</f>
        <v/>
      </c>
      <c r="AC349">
        <f>IF(AND($A349&lt;&gt;"",$B349&lt;&gt;"",$R349='تقرير مارس'!$C$4,$P349='تقرير مارس'!$C$6),COUNT(AC$4:AC348)+1,"")</f>
        <v/>
      </c>
      <c r="AD349">
        <f>IF(AND($A349&lt;&gt;"",$B349&lt;&gt;"",$R349='تقرير أبريل'!$C$4,$P349='تقرير أبريل'!$C$6),COUNT(AD$4:AD348)+1,"")</f>
        <v/>
      </c>
      <c r="AE349">
        <f>IF(AND($A349&lt;&gt;"",$B349&lt;&gt;"",$R349='تقرير مايو'!$C$4,$P349='تقرير مايو'!$C$6),COUNT(AE$4:AE348)+1,"")</f>
        <v/>
      </c>
    </row>
    <row r="350">
      <c r="A350" s="16" t="n"/>
      <c r="B350" s="17" t="n"/>
      <c r="C350" s="17" t="n"/>
      <c r="D350" s="18" t="n"/>
      <c r="E350" s="17" t="n"/>
      <c r="F350" s="17" t="n"/>
      <c r="G350" s="19" t="n"/>
      <c r="H350" s="17" t="n"/>
      <c r="I350" s="17" t="n"/>
      <c r="J350" s="17" t="n"/>
      <c r="K350" s="20">
        <f>IF($B350="","",IFERROR(INDEX(الموظفات!$A$5:$A$304,MATCH($B350,الموظفات!$B$5:$B$304,0))&amp;"",""))</f>
        <v/>
      </c>
      <c r="L350" s="21">
        <f>IF($B350="","",IFERROR(INDEX(الموظفات!$C$5:$C$304,MATCH($B350,الموظفات!$B$5:$B$304,0))&amp;"",""))</f>
        <v/>
      </c>
      <c r="M350" s="20">
        <f>IF($B350="","",IFERROR(INDEX(الموظفات!$D$5:$D$304,MATCH($B350,الموظفات!$B$5:$B$304,0))&amp;"",""))</f>
        <v/>
      </c>
      <c r="N350" s="20">
        <f>IF($B350="","",IFERROR(INDEX(الموظفات!$E$5:$E$304,MATCH($B350,الموظفات!$B$5:$B$304,0))&amp;"",""))</f>
        <v/>
      </c>
      <c r="O350" s="21">
        <f>IF(C350="","",IFERROR(INDEX(الإعدادات!$D$7:$D$35,MATCH(C350,الإعدادات!$A$7:$A$35,0))&amp;"",""))</f>
        <v/>
      </c>
      <c r="P350" s="20">
        <f>IF(A350="","",INDEX(الإعدادات!$H$7:$H$18,MONTH(A350)))</f>
        <v/>
      </c>
      <c r="Q350" s="20">
        <f>IF(A350="","",INDEX(الإعدادات!$I$7:$I$18,MONTH(A350)))</f>
        <v/>
      </c>
      <c r="R350" s="20">
        <f>IF(A350="","",IF(MONTH(A350)&gt;=8,YEAR(A350)&amp;"-"&amp;(YEAR(A350)+1),(YEAR(A350)-1)&amp;"-"&amp;YEAR(A350)))</f>
        <v/>
      </c>
      <c r="S350" s="20">
        <f>IF(OR(A350="",B350=""),0,IF(AND(R350=التقارير!$C$4,OR(التقارير!$C$5="سنوي",AND(التقارير!$C$5="شهري",P350=التقارير!$C$6),AND(التقارير!$C$5="فصلي",Q350=التقارير!$C$7))),1,0))</f>
        <v/>
      </c>
      <c r="T350" s="20">
        <f>IF(S350=1,COUNTIF($S$5:S350,1),"")</f>
        <v/>
      </c>
      <c r="U350">
        <f>IF(AND($A350&lt;&gt;"",$B350&lt;&gt;"",$R350='تقرير الفصل الأول'!$C$4,$Q350='تقرير الفصل الأول'!$C$7),COUNT(U$4:U349)+1,"")</f>
        <v/>
      </c>
      <c r="V350">
        <f>IF(AND($A350&lt;&gt;"",$B350&lt;&gt;"",$R350='تقرير الفصل الثاني'!$C$4,$Q350='تقرير الفصل الثاني'!$C$7),COUNT(V$4:V349)+1,"")</f>
        <v/>
      </c>
      <c r="W350">
        <f>IF(AND($A350&lt;&gt;"",$B350&lt;&gt;"",$R350='تقرير سبتمبر'!$C$4,$P350='تقرير سبتمبر'!$C$6),COUNT(W$4:W349)+1,"")</f>
        <v/>
      </c>
      <c r="X350">
        <f>IF(AND($A350&lt;&gt;"",$B350&lt;&gt;"",$R350='تقرير أكتوبر'!$C$4,$P350='تقرير أكتوبر'!$C$6),COUNT(X$4:X349)+1,"")</f>
        <v/>
      </c>
      <c r="Y350">
        <f>IF(AND($A350&lt;&gt;"",$B350&lt;&gt;"",$R350='تقرير نوفمبر'!$C$4,$P350='تقرير نوفمبر'!$C$6),COUNT(Y$4:Y349)+1,"")</f>
        <v/>
      </c>
      <c r="Z350">
        <f>IF(AND($A350&lt;&gt;"",$B350&lt;&gt;"",$R350='تقرير ديسمبر'!$C$4,$P350='تقرير ديسمبر'!$C$6),COUNT(Z$4:Z349)+1,"")</f>
        <v/>
      </c>
      <c r="AA350">
        <f>IF(AND($A350&lt;&gt;"",$B350&lt;&gt;"",$R350='تقرير يناير'!$C$4,$P350='تقرير يناير'!$C$6),COUNT(AA$4:AA349)+1,"")</f>
        <v/>
      </c>
      <c r="AB350">
        <f>IF(AND($A350&lt;&gt;"",$B350&lt;&gt;"",$R350='تقرير فبراير'!$C$4,$P350='تقرير فبراير'!$C$6),COUNT(AB$4:AB349)+1,"")</f>
        <v/>
      </c>
      <c r="AC350">
        <f>IF(AND($A350&lt;&gt;"",$B350&lt;&gt;"",$R350='تقرير مارس'!$C$4,$P350='تقرير مارس'!$C$6),COUNT(AC$4:AC349)+1,"")</f>
        <v/>
      </c>
      <c r="AD350">
        <f>IF(AND($A350&lt;&gt;"",$B350&lt;&gt;"",$R350='تقرير أبريل'!$C$4,$P350='تقرير أبريل'!$C$6),COUNT(AD$4:AD349)+1,"")</f>
        <v/>
      </c>
      <c r="AE350">
        <f>IF(AND($A350&lt;&gt;"",$B350&lt;&gt;"",$R350='تقرير مايو'!$C$4,$P350='تقرير مايو'!$C$6),COUNT(AE$4:AE349)+1,"")</f>
        <v/>
      </c>
    </row>
    <row r="351">
      <c r="A351" s="16" t="n"/>
      <c r="B351" s="17" t="n"/>
      <c r="C351" s="17" t="n"/>
      <c r="D351" s="18" t="n"/>
      <c r="E351" s="17" t="n"/>
      <c r="F351" s="17" t="n"/>
      <c r="G351" s="19" t="n"/>
      <c r="H351" s="17" t="n"/>
      <c r="I351" s="17" t="n"/>
      <c r="J351" s="17" t="n"/>
      <c r="K351" s="20">
        <f>IF($B351="","",IFERROR(INDEX(الموظفات!$A$5:$A$304,MATCH($B351,الموظفات!$B$5:$B$304,0))&amp;"",""))</f>
        <v/>
      </c>
      <c r="L351" s="21">
        <f>IF($B351="","",IFERROR(INDEX(الموظفات!$C$5:$C$304,MATCH($B351,الموظفات!$B$5:$B$304,0))&amp;"",""))</f>
        <v/>
      </c>
      <c r="M351" s="20">
        <f>IF($B351="","",IFERROR(INDEX(الموظفات!$D$5:$D$304,MATCH($B351,الموظفات!$B$5:$B$304,0))&amp;"",""))</f>
        <v/>
      </c>
      <c r="N351" s="20">
        <f>IF($B351="","",IFERROR(INDEX(الموظفات!$E$5:$E$304,MATCH($B351,الموظفات!$B$5:$B$304,0))&amp;"",""))</f>
        <v/>
      </c>
      <c r="O351" s="21">
        <f>IF(C351="","",IFERROR(INDEX(الإعدادات!$D$7:$D$35,MATCH(C351,الإعدادات!$A$7:$A$35,0))&amp;"",""))</f>
        <v/>
      </c>
      <c r="P351" s="20">
        <f>IF(A351="","",INDEX(الإعدادات!$H$7:$H$18,MONTH(A351)))</f>
        <v/>
      </c>
      <c r="Q351" s="20">
        <f>IF(A351="","",INDEX(الإعدادات!$I$7:$I$18,MONTH(A351)))</f>
        <v/>
      </c>
      <c r="R351" s="20">
        <f>IF(A351="","",IF(MONTH(A351)&gt;=8,YEAR(A351)&amp;"-"&amp;(YEAR(A351)+1),(YEAR(A351)-1)&amp;"-"&amp;YEAR(A351)))</f>
        <v/>
      </c>
      <c r="S351" s="20">
        <f>IF(OR(A351="",B351=""),0,IF(AND(R351=التقارير!$C$4,OR(التقارير!$C$5="سنوي",AND(التقارير!$C$5="شهري",P351=التقارير!$C$6),AND(التقارير!$C$5="فصلي",Q351=التقارير!$C$7))),1,0))</f>
        <v/>
      </c>
      <c r="T351" s="20">
        <f>IF(S351=1,COUNTIF($S$5:S351,1),"")</f>
        <v/>
      </c>
      <c r="U351">
        <f>IF(AND($A351&lt;&gt;"",$B351&lt;&gt;"",$R351='تقرير الفصل الأول'!$C$4,$Q351='تقرير الفصل الأول'!$C$7),COUNT(U$4:U350)+1,"")</f>
        <v/>
      </c>
      <c r="V351">
        <f>IF(AND($A351&lt;&gt;"",$B351&lt;&gt;"",$R351='تقرير الفصل الثاني'!$C$4,$Q351='تقرير الفصل الثاني'!$C$7),COUNT(V$4:V350)+1,"")</f>
        <v/>
      </c>
      <c r="W351">
        <f>IF(AND($A351&lt;&gt;"",$B351&lt;&gt;"",$R351='تقرير سبتمبر'!$C$4,$P351='تقرير سبتمبر'!$C$6),COUNT(W$4:W350)+1,"")</f>
        <v/>
      </c>
      <c r="X351">
        <f>IF(AND($A351&lt;&gt;"",$B351&lt;&gt;"",$R351='تقرير أكتوبر'!$C$4,$P351='تقرير أكتوبر'!$C$6),COUNT(X$4:X350)+1,"")</f>
        <v/>
      </c>
      <c r="Y351">
        <f>IF(AND($A351&lt;&gt;"",$B351&lt;&gt;"",$R351='تقرير نوفمبر'!$C$4,$P351='تقرير نوفمبر'!$C$6),COUNT(Y$4:Y350)+1,"")</f>
        <v/>
      </c>
      <c r="Z351">
        <f>IF(AND($A351&lt;&gt;"",$B351&lt;&gt;"",$R351='تقرير ديسمبر'!$C$4,$P351='تقرير ديسمبر'!$C$6),COUNT(Z$4:Z350)+1,"")</f>
        <v/>
      </c>
      <c r="AA351">
        <f>IF(AND($A351&lt;&gt;"",$B351&lt;&gt;"",$R351='تقرير يناير'!$C$4,$P351='تقرير يناير'!$C$6),COUNT(AA$4:AA350)+1,"")</f>
        <v/>
      </c>
      <c r="AB351">
        <f>IF(AND($A351&lt;&gt;"",$B351&lt;&gt;"",$R351='تقرير فبراير'!$C$4,$P351='تقرير فبراير'!$C$6),COUNT(AB$4:AB350)+1,"")</f>
        <v/>
      </c>
      <c r="AC351">
        <f>IF(AND($A351&lt;&gt;"",$B351&lt;&gt;"",$R351='تقرير مارس'!$C$4,$P351='تقرير مارس'!$C$6),COUNT(AC$4:AC350)+1,"")</f>
        <v/>
      </c>
      <c r="AD351">
        <f>IF(AND($A351&lt;&gt;"",$B351&lt;&gt;"",$R351='تقرير أبريل'!$C$4,$P351='تقرير أبريل'!$C$6),COUNT(AD$4:AD350)+1,"")</f>
        <v/>
      </c>
      <c r="AE351">
        <f>IF(AND($A351&lt;&gt;"",$B351&lt;&gt;"",$R351='تقرير مايو'!$C$4,$P351='تقرير مايو'!$C$6),COUNT(AE$4:AE350)+1,"")</f>
        <v/>
      </c>
    </row>
    <row r="352">
      <c r="A352" s="16" t="n"/>
      <c r="B352" s="17" t="n"/>
      <c r="C352" s="17" t="n"/>
      <c r="D352" s="18" t="n"/>
      <c r="E352" s="17" t="n"/>
      <c r="F352" s="17" t="n"/>
      <c r="G352" s="19" t="n"/>
      <c r="H352" s="17" t="n"/>
      <c r="I352" s="17" t="n"/>
      <c r="J352" s="17" t="n"/>
      <c r="K352" s="20">
        <f>IF($B352="","",IFERROR(INDEX(الموظفات!$A$5:$A$304,MATCH($B352,الموظفات!$B$5:$B$304,0))&amp;"",""))</f>
        <v/>
      </c>
      <c r="L352" s="21">
        <f>IF($B352="","",IFERROR(INDEX(الموظفات!$C$5:$C$304,MATCH($B352,الموظفات!$B$5:$B$304,0))&amp;"",""))</f>
        <v/>
      </c>
      <c r="M352" s="20">
        <f>IF($B352="","",IFERROR(INDEX(الموظفات!$D$5:$D$304,MATCH($B352,الموظفات!$B$5:$B$304,0))&amp;"",""))</f>
        <v/>
      </c>
      <c r="N352" s="20">
        <f>IF($B352="","",IFERROR(INDEX(الموظفات!$E$5:$E$304,MATCH($B352,الموظفات!$B$5:$B$304,0))&amp;"",""))</f>
        <v/>
      </c>
      <c r="O352" s="21">
        <f>IF(C352="","",IFERROR(INDEX(الإعدادات!$D$7:$D$35,MATCH(C352,الإعدادات!$A$7:$A$35,0))&amp;"",""))</f>
        <v/>
      </c>
      <c r="P352" s="20">
        <f>IF(A352="","",INDEX(الإعدادات!$H$7:$H$18,MONTH(A352)))</f>
        <v/>
      </c>
      <c r="Q352" s="20">
        <f>IF(A352="","",INDEX(الإعدادات!$I$7:$I$18,MONTH(A352)))</f>
        <v/>
      </c>
      <c r="R352" s="20">
        <f>IF(A352="","",IF(MONTH(A352)&gt;=8,YEAR(A352)&amp;"-"&amp;(YEAR(A352)+1),(YEAR(A352)-1)&amp;"-"&amp;YEAR(A352)))</f>
        <v/>
      </c>
      <c r="S352" s="20">
        <f>IF(OR(A352="",B352=""),0,IF(AND(R352=التقارير!$C$4,OR(التقارير!$C$5="سنوي",AND(التقارير!$C$5="شهري",P352=التقارير!$C$6),AND(التقارير!$C$5="فصلي",Q352=التقارير!$C$7))),1,0))</f>
        <v/>
      </c>
      <c r="T352" s="20">
        <f>IF(S352=1,COUNTIF($S$5:S352,1),"")</f>
        <v/>
      </c>
      <c r="U352">
        <f>IF(AND($A352&lt;&gt;"",$B352&lt;&gt;"",$R352='تقرير الفصل الأول'!$C$4,$Q352='تقرير الفصل الأول'!$C$7),COUNT(U$4:U351)+1,"")</f>
        <v/>
      </c>
      <c r="V352">
        <f>IF(AND($A352&lt;&gt;"",$B352&lt;&gt;"",$R352='تقرير الفصل الثاني'!$C$4,$Q352='تقرير الفصل الثاني'!$C$7),COUNT(V$4:V351)+1,"")</f>
        <v/>
      </c>
      <c r="W352">
        <f>IF(AND($A352&lt;&gt;"",$B352&lt;&gt;"",$R352='تقرير سبتمبر'!$C$4,$P352='تقرير سبتمبر'!$C$6),COUNT(W$4:W351)+1,"")</f>
        <v/>
      </c>
      <c r="X352">
        <f>IF(AND($A352&lt;&gt;"",$B352&lt;&gt;"",$R352='تقرير أكتوبر'!$C$4,$P352='تقرير أكتوبر'!$C$6),COUNT(X$4:X351)+1,"")</f>
        <v/>
      </c>
      <c r="Y352">
        <f>IF(AND($A352&lt;&gt;"",$B352&lt;&gt;"",$R352='تقرير نوفمبر'!$C$4,$P352='تقرير نوفمبر'!$C$6),COUNT(Y$4:Y351)+1,"")</f>
        <v/>
      </c>
      <c r="Z352">
        <f>IF(AND($A352&lt;&gt;"",$B352&lt;&gt;"",$R352='تقرير ديسمبر'!$C$4,$P352='تقرير ديسمبر'!$C$6),COUNT(Z$4:Z351)+1,"")</f>
        <v/>
      </c>
      <c r="AA352">
        <f>IF(AND($A352&lt;&gt;"",$B352&lt;&gt;"",$R352='تقرير يناير'!$C$4,$P352='تقرير يناير'!$C$6),COUNT(AA$4:AA351)+1,"")</f>
        <v/>
      </c>
      <c r="AB352">
        <f>IF(AND($A352&lt;&gt;"",$B352&lt;&gt;"",$R352='تقرير فبراير'!$C$4,$P352='تقرير فبراير'!$C$6),COUNT(AB$4:AB351)+1,"")</f>
        <v/>
      </c>
      <c r="AC352">
        <f>IF(AND($A352&lt;&gt;"",$B352&lt;&gt;"",$R352='تقرير مارس'!$C$4,$P352='تقرير مارس'!$C$6),COUNT(AC$4:AC351)+1,"")</f>
        <v/>
      </c>
      <c r="AD352">
        <f>IF(AND($A352&lt;&gt;"",$B352&lt;&gt;"",$R352='تقرير أبريل'!$C$4,$P352='تقرير أبريل'!$C$6),COUNT(AD$4:AD351)+1,"")</f>
        <v/>
      </c>
      <c r="AE352">
        <f>IF(AND($A352&lt;&gt;"",$B352&lt;&gt;"",$R352='تقرير مايو'!$C$4,$P352='تقرير مايو'!$C$6),COUNT(AE$4:AE351)+1,"")</f>
        <v/>
      </c>
    </row>
    <row r="353">
      <c r="A353" s="16" t="n"/>
      <c r="B353" s="17" t="n"/>
      <c r="C353" s="17" t="n"/>
      <c r="D353" s="18" t="n"/>
      <c r="E353" s="17" t="n"/>
      <c r="F353" s="17" t="n"/>
      <c r="G353" s="19" t="n"/>
      <c r="H353" s="17" t="n"/>
      <c r="I353" s="17" t="n"/>
      <c r="J353" s="17" t="n"/>
      <c r="K353" s="20">
        <f>IF($B353="","",IFERROR(INDEX(الموظفات!$A$5:$A$304,MATCH($B353,الموظفات!$B$5:$B$304,0))&amp;"",""))</f>
        <v/>
      </c>
      <c r="L353" s="21">
        <f>IF($B353="","",IFERROR(INDEX(الموظفات!$C$5:$C$304,MATCH($B353,الموظفات!$B$5:$B$304,0))&amp;"",""))</f>
        <v/>
      </c>
      <c r="M353" s="20">
        <f>IF($B353="","",IFERROR(INDEX(الموظفات!$D$5:$D$304,MATCH($B353,الموظفات!$B$5:$B$304,0))&amp;"",""))</f>
        <v/>
      </c>
      <c r="N353" s="20">
        <f>IF($B353="","",IFERROR(INDEX(الموظفات!$E$5:$E$304,MATCH($B353,الموظفات!$B$5:$B$304,0))&amp;"",""))</f>
        <v/>
      </c>
      <c r="O353" s="21">
        <f>IF(C353="","",IFERROR(INDEX(الإعدادات!$D$7:$D$35,MATCH(C353,الإعدادات!$A$7:$A$35,0))&amp;"",""))</f>
        <v/>
      </c>
      <c r="P353" s="20">
        <f>IF(A353="","",INDEX(الإعدادات!$H$7:$H$18,MONTH(A353)))</f>
        <v/>
      </c>
      <c r="Q353" s="20">
        <f>IF(A353="","",INDEX(الإعدادات!$I$7:$I$18,MONTH(A353)))</f>
        <v/>
      </c>
      <c r="R353" s="20">
        <f>IF(A353="","",IF(MONTH(A353)&gt;=8,YEAR(A353)&amp;"-"&amp;(YEAR(A353)+1),(YEAR(A353)-1)&amp;"-"&amp;YEAR(A353)))</f>
        <v/>
      </c>
      <c r="S353" s="20">
        <f>IF(OR(A353="",B353=""),0,IF(AND(R353=التقارير!$C$4,OR(التقارير!$C$5="سنوي",AND(التقارير!$C$5="شهري",P353=التقارير!$C$6),AND(التقارير!$C$5="فصلي",Q353=التقارير!$C$7))),1,0))</f>
        <v/>
      </c>
      <c r="T353" s="20">
        <f>IF(S353=1,COUNTIF($S$5:S353,1),"")</f>
        <v/>
      </c>
      <c r="U353">
        <f>IF(AND($A353&lt;&gt;"",$B353&lt;&gt;"",$R353='تقرير الفصل الأول'!$C$4,$Q353='تقرير الفصل الأول'!$C$7),COUNT(U$4:U352)+1,"")</f>
        <v/>
      </c>
      <c r="V353">
        <f>IF(AND($A353&lt;&gt;"",$B353&lt;&gt;"",$R353='تقرير الفصل الثاني'!$C$4,$Q353='تقرير الفصل الثاني'!$C$7),COUNT(V$4:V352)+1,"")</f>
        <v/>
      </c>
      <c r="W353">
        <f>IF(AND($A353&lt;&gt;"",$B353&lt;&gt;"",$R353='تقرير سبتمبر'!$C$4,$P353='تقرير سبتمبر'!$C$6),COUNT(W$4:W352)+1,"")</f>
        <v/>
      </c>
      <c r="X353">
        <f>IF(AND($A353&lt;&gt;"",$B353&lt;&gt;"",$R353='تقرير أكتوبر'!$C$4,$P353='تقرير أكتوبر'!$C$6),COUNT(X$4:X352)+1,"")</f>
        <v/>
      </c>
      <c r="Y353">
        <f>IF(AND($A353&lt;&gt;"",$B353&lt;&gt;"",$R353='تقرير نوفمبر'!$C$4,$P353='تقرير نوفمبر'!$C$6),COUNT(Y$4:Y352)+1,"")</f>
        <v/>
      </c>
      <c r="Z353">
        <f>IF(AND($A353&lt;&gt;"",$B353&lt;&gt;"",$R353='تقرير ديسمبر'!$C$4,$P353='تقرير ديسمبر'!$C$6),COUNT(Z$4:Z352)+1,"")</f>
        <v/>
      </c>
      <c r="AA353">
        <f>IF(AND($A353&lt;&gt;"",$B353&lt;&gt;"",$R353='تقرير يناير'!$C$4,$P353='تقرير يناير'!$C$6),COUNT(AA$4:AA352)+1,"")</f>
        <v/>
      </c>
      <c r="AB353">
        <f>IF(AND($A353&lt;&gt;"",$B353&lt;&gt;"",$R353='تقرير فبراير'!$C$4,$P353='تقرير فبراير'!$C$6),COUNT(AB$4:AB352)+1,"")</f>
        <v/>
      </c>
      <c r="AC353">
        <f>IF(AND($A353&lt;&gt;"",$B353&lt;&gt;"",$R353='تقرير مارس'!$C$4,$P353='تقرير مارس'!$C$6),COUNT(AC$4:AC352)+1,"")</f>
        <v/>
      </c>
      <c r="AD353">
        <f>IF(AND($A353&lt;&gt;"",$B353&lt;&gt;"",$R353='تقرير أبريل'!$C$4,$P353='تقرير أبريل'!$C$6),COUNT(AD$4:AD352)+1,"")</f>
        <v/>
      </c>
      <c r="AE353">
        <f>IF(AND($A353&lt;&gt;"",$B353&lt;&gt;"",$R353='تقرير مايو'!$C$4,$P353='تقرير مايو'!$C$6),COUNT(AE$4:AE352)+1,"")</f>
        <v/>
      </c>
    </row>
    <row r="354">
      <c r="A354" s="16" t="n"/>
      <c r="B354" s="17" t="n"/>
      <c r="C354" s="17" t="n"/>
      <c r="D354" s="18" t="n"/>
      <c r="E354" s="17" t="n"/>
      <c r="F354" s="17" t="n"/>
      <c r="G354" s="19" t="n"/>
      <c r="H354" s="17" t="n"/>
      <c r="I354" s="17" t="n"/>
      <c r="J354" s="17" t="n"/>
      <c r="K354" s="20">
        <f>IF($B354="","",IFERROR(INDEX(الموظفات!$A$5:$A$304,MATCH($B354,الموظفات!$B$5:$B$304,0))&amp;"",""))</f>
        <v/>
      </c>
      <c r="L354" s="21">
        <f>IF($B354="","",IFERROR(INDEX(الموظفات!$C$5:$C$304,MATCH($B354,الموظفات!$B$5:$B$304,0))&amp;"",""))</f>
        <v/>
      </c>
      <c r="M354" s="20">
        <f>IF($B354="","",IFERROR(INDEX(الموظفات!$D$5:$D$304,MATCH($B354,الموظفات!$B$5:$B$304,0))&amp;"",""))</f>
        <v/>
      </c>
      <c r="N354" s="20">
        <f>IF($B354="","",IFERROR(INDEX(الموظفات!$E$5:$E$304,MATCH($B354,الموظفات!$B$5:$B$304,0))&amp;"",""))</f>
        <v/>
      </c>
      <c r="O354" s="21">
        <f>IF(C354="","",IFERROR(INDEX(الإعدادات!$D$7:$D$35,MATCH(C354,الإعدادات!$A$7:$A$35,0))&amp;"",""))</f>
        <v/>
      </c>
      <c r="P354" s="20">
        <f>IF(A354="","",INDEX(الإعدادات!$H$7:$H$18,MONTH(A354)))</f>
        <v/>
      </c>
      <c r="Q354" s="20">
        <f>IF(A354="","",INDEX(الإعدادات!$I$7:$I$18,MONTH(A354)))</f>
        <v/>
      </c>
      <c r="R354" s="20">
        <f>IF(A354="","",IF(MONTH(A354)&gt;=8,YEAR(A354)&amp;"-"&amp;(YEAR(A354)+1),(YEAR(A354)-1)&amp;"-"&amp;YEAR(A354)))</f>
        <v/>
      </c>
      <c r="S354" s="20">
        <f>IF(OR(A354="",B354=""),0,IF(AND(R354=التقارير!$C$4,OR(التقارير!$C$5="سنوي",AND(التقارير!$C$5="شهري",P354=التقارير!$C$6),AND(التقارير!$C$5="فصلي",Q354=التقارير!$C$7))),1,0))</f>
        <v/>
      </c>
      <c r="T354" s="20">
        <f>IF(S354=1,COUNTIF($S$5:S354,1),"")</f>
        <v/>
      </c>
      <c r="U354">
        <f>IF(AND($A354&lt;&gt;"",$B354&lt;&gt;"",$R354='تقرير الفصل الأول'!$C$4,$Q354='تقرير الفصل الأول'!$C$7),COUNT(U$4:U353)+1,"")</f>
        <v/>
      </c>
      <c r="V354">
        <f>IF(AND($A354&lt;&gt;"",$B354&lt;&gt;"",$R354='تقرير الفصل الثاني'!$C$4,$Q354='تقرير الفصل الثاني'!$C$7),COUNT(V$4:V353)+1,"")</f>
        <v/>
      </c>
      <c r="W354">
        <f>IF(AND($A354&lt;&gt;"",$B354&lt;&gt;"",$R354='تقرير سبتمبر'!$C$4,$P354='تقرير سبتمبر'!$C$6),COUNT(W$4:W353)+1,"")</f>
        <v/>
      </c>
      <c r="X354">
        <f>IF(AND($A354&lt;&gt;"",$B354&lt;&gt;"",$R354='تقرير أكتوبر'!$C$4,$P354='تقرير أكتوبر'!$C$6),COUNT(X$4:X353)+1,"")</f>
        <v/>
      </c>
      <c r="Y354">
        <f>IF(AND($A354&lt;&gt;"",$B354&lt;&gt;"",$R354='تقرير نوفمبر'!$C$4,$P354='تقرير نوفمبر'!$C$6),COUNT(Y$4:Y353)+1,"")</f>
        <v/>
      </c>
      <c r="Z354">
        <f>IF(AND($A354&lt;&gt;"",$B354&lt;&gt;"",$R354='تقرير ديسمبر'!$C$4,$P354='تقرير ديسمبر'!$C$6),COUNT(Z$4:Z353)+1,"")</f>
        <v/>
      </c>
      <c r="AA354">
        <f>IF(AND($A354&lt;&gt;"",$B354&lt;&gt;"",$R354='تقرير يناير'!$C$4,$P354='تقرير يناير'!$C$6),COUNT(AA$4:AA353)+1,"")</f>
        <v/>
      </c>
      <c r="AB354">
        <f>IF(AND($A354&lt;&gt;"",$B354&lt;&gt;"",$R354='تقرير فبراير'!$C$4,$P354='تقرير فبراير'!$C$6),COUNT(AB$4:AB353)+1,"")</f>
        <v/>
      </c>
      <c r="AC354">
        <f>IF(AND($A354&lt;&gt;"",$B354&lt;&gt;"",$R354='تقرير مارس'!$C$4,$P354='تقرير مارس'!$C$6),COUNT(AC$4:AC353)+1,"")</f>
        <v/>
      </c>
      <c r="AD354">
        <f>IF(AND($A354&lt;&gt;"",$B354&lt;&gt;"",$R354='تقرير أبريل'!$C$4,$P354='تقرير أبريل'!$C$6),COUNT(AD$4:AD353)+1,"")</f>
        <v/>
      </c>
      <c r="AE354">
        <f>IF(AND($A354&lt;&gt;"",$B354&lt;&gt;"",$R354='تقرير مايو'!$C$4,$P354='تقرير مايو'!$C$6),COUNT(AE$4:AE353)+1,"")</f>
        <v/>
      </c>
    </row>
    <row r="355">
      <c r="A355" s="16" t="n"/>
      <c r="B355" s="17" t="n"/>
      <c r="C355" s="17" t="n"/>
      <c r="D355" s="18" t="n"/>
      <c r="E355" s="17" t="n"/>
      <c r="F355" s="17" t="n"/>
      <c r="G355" s="19" t="n"/>
      <c r="H355" s="17" t="n"/>
      <c r="I355" s="17" t="n"/>
      <c r="J355" s="17" t="n"/>
      <c r="K355" s="20">
        <f>IF($B355="","",IFERROR(INDEX(الموظفات!$A$5:$A$304,MATCH($B355,الموظفات!$B$5:$B$304,0))&amp;"",""))</f>
        <v/>
      </c>
      <c r="L355" s="21">
        <f>IF($B355="","",IFERROR(INDEX(الموظفات!$C$5:$C$304,MATCH($B355,الموظفات!$B$5:$B$304,0))&amp;"",""))</f>
        <v/>
      </c>
      <c r="M355" s="20">
        <f>IF($B355="","",IFERROR(INDEX(الموظفات!$D$5:$D$304,MATCH($B355,الموظفات!$B$5:$B$304,0))&amp;"",""))</f>
        <v/>
      </c>
      <c r="N355" s="20">
        <f>IF($B355="","",IFERROR(INDEX(الموظفات!$E$5:$E$304,MATCH($B355,الموظفات!$B$5:$B$304,0))&amp;"",""))</f>
        <v/>
      </c>
      <c r="O355" s="21">
        <f>IF(C355="","",IFERROR(INDEX(الإعدادات!$D$7:$D$35,MATCH(C355,الإعدادات!$A$7:$A$35,0))&amp;"",""))</f>
        <v/>
      </c>
      <c r="P355" s="20">
        <f>IF(A355="","",INDEX(الإعدادات!$H$7:$H$18,MONTH(A355)))</f>
        <v/>
      </c>
      <c r="Q355" s="20">
        <f>IF(A355="","",INDEX(الإعدادات!$I$7:$I$18,MONTH(A355)))</f>
        <v/>
      </c>
      <c r="R355" s="20">
        <f>IF(A355="","",IF(MONTH(A355)&gt;=8,YEAR(A355)&amp;"-"&amp;(YEAR(A355)+1),(YEAR(A355)-1)&amp;"-"&amp;YEAR(A355)))</f>
        <v/>
      </c>
      <c r="S355" s="20">
        <f>IF(OR(A355="",B355=""),0,IF(AND(R355=التقارير!$C$4,OR(التقارير!$C$5="سنوي",AND(التقارير!$C$5="شهري",P355=التقارير!$C$6),AND(التقارير!$C$5="فصلي",Q355=التقارير!$C$7))),1,0))</f>
        <v/>
      </c>
      <c r="T355" s="20">
        <f>IF(S355=1,COUNTIF($S$5:S355,1),"")</f>
        <v/>
      </c>
      <c r="U355">
        <f>IF(AND($A355&lt;&gt;"",$B355&lt;&gt;"",$R355='تقرير الفصل الأول'!$C$4,$Q355='تقرير الفصل الأول'!$C$7),COUNT(U$4:U354)+1,"")</f>
        <v/>
      </c>
      <c r="V355">
        <f>IF(AND($A355&lt;&gt;"",$B355&lt;&gt;"",$R355='تقرير الفصل الثاني'!$C$4,$Q355='تقرير الفصل الثاني'!$C$7),COUNT(V$4:V354)+1,"")</f>
        <v/>
      </c>
      <c r="W355">
        <f>IF(AND($A355&lt;&gt;"",$B355&lt;&gt;"",$R355='تقرير سبتمبر'!$C$4,$P355='تقرير سبتمبر'!$C$6),COUNT(W$4:W354)+1,"")</f>
        <v/>
      </c>
      <c r="X355">
        <f>IF(AND($A355&lt;&gt;"",$B355&lt;&gt;"",$R355='تقرير أكتوبر'!$C$4,$P355='تقرير أكتوبر'!$C$6),COUNT(X$4:X354)+1,"")</f>
        <v/>
      </c>
      <c r="Y355">
        <f>IF(AND($A355&lt;&gt;"",$B355&lt;&gt;"",$R355='تقرير نوفمبر'!$C$4,$P355='تقرير نوفمبر'!$C$6),COUNT(Y$4:Y354)+1,"")</f>
        <v/>
      </c>
      <c r="Z355">
        <f>IF(AND($A355&lt;&gt;"",$B355&lt;&gt;"",$R355='تقرير ديسمبر'!$C$4,$P355='تقرير ديسمبر'!$C$6),COUNT(Z$4:Z354)+1,"")</f>
        <v/>
      </c>
      <c r="AA355">
        <f>IF(AND($A355&lt;&gt;"",$B355&lt;&gt;"",$R355='تقرير يناير'!$C$4,$P355='تقرير يناير'!$C$6),COUNT(AA$4:AA354)+1,"")</f>
        <v/>
      </c>
      <c r="AB355">
        <f>IF(AND($A355&lt;&gt;"",$B355&lt;&gt;"",$R355='تقرير فبراير'!$C$4,$P355='تقرير فبراير'!$C$6),COUNT(AB$4:AB354)+1,"")</f>
        <v/>
      </c>
      <c r="AC355">
        <f>IF(AND($A355&lt;&gt;"",$B355&lt;&gt;"",$R355='تقرير مارس'!$C$4,$P355='تقرير مارس'!$C$6),COUNT(AC$4:AC354)+1,"")</f>
        <v/>
      </c>
      <c r="AD355">
        <f>IF(AND($A355&lt;&gt;"",$B355&lt;&gt;"",$R355='تقرير أبريل'!$C$4,$P355='تقرير أبريل'!$C$6),COUNT(AD$4:AD354)+1,"")</f>
        <v/>
      </c>
      <c r="AE355">
        <f>IF(AND($A355&lt;&gt;"",$B355&lt;&gt;"",$R355='تقرير مايو'!$C$4,$P355='تقرير مايو'!$C$6),COUNT(AE$4:AE354)+1,"")</f>
        <v/>
      </c>
    </row>
    <row r="356">
      <c r="A356" s="16" t="n"/>
      <c r="B356" s="17" t="n"/>
      <c r="C356" s="17" t="n"/>
      <c r="D356" s="18" t="n"/>
      <c r="E356" s="17" t="n"/>
      <c r="F356" s="17" t="n"/>
      <c r="G356" s="19" t="n"/>
      <c r="H356" s="17" t="n"/>
      <c r="I356" s="17" t="n"/>
      <c r="J356" s="17" t="n"/>
      <c r="K356" s="20">
        <f>IF($B356="","",IFERROR(INDEX(الموظفات!$A$5:$A$304,MATCH($B356,الموظفات!$B$5:$B$304,0))&amp;"",""))</f>
        <v/>
      </c>
      <c r="L356" s="21">
        <f>IF($B356="","",IFERROR(INDEX(الموظفات!$C$5:$C$304,MATCH($B356,الموظفات!$B$5:$B$304,0))&amp;"",""))</f>
        <v/>
      </c>
      <c r="M356" s="20">
        <f>IF($B356="","",IFERROR(INDEX(الموظفات!$D$5:$D$304,MATCH($B356,الموظفات!$B$5:$B$304,0))&amp;"",""))</f>
        <v/>
      </c>
      <c r="N356" s="20">
        <f>IF($B356="","",IFERROR(INDEX(الموظفات!$E$5:$E$304,MATCH($B356,الموظفات!$B$5:$B$304,0))&amp;"",""))</f>
        <v/>
      </c>
      <c r="O356" s="21">
        <f>IF(C356="","",IFERROR(INDEX(الإعدادات!$D$7:$D$35,MATCH(C356,الإعدادات!$A$7:$A$35,0))&amp;"",""))</f>
        <v/>
      </c>
      <c r="P356" s="20">
        <f>IF(A356="","",INDEX(الإعدادات!$H$7:$H$18,MONTH(A356)))</f>
        <v/>
      </c>
      <c r="Q356" s="20">
        <f>IF(A356="","",INDEX(الإعدادات!$I$7:$I$18,MONTH(A356)))</f>
        <v/>
      </c>
      <c r="R356" s="20">
        <f>IF(A356="","",IF(MONTH(A356)&gt;=8,YEAR(A356)&amp;"-"&amp;(YEAR(A356)+1),(YEAR(A356)-1)&amp;"-"&amp;YEAR(A356)))</f>
        <v/>
      </c>
      <c r="S356" s="20">
        <f>IF(OR(A356="",B356=""),0,IF(AND(R356=التقارير!$C$4,OR(التقارير!$C$5="سنوي",AND(التقارير!$C$5="شهري",P356=التقارير!$C$6),AND(التقارير!$C$5="فصلي",Q356=التقارير!$C$7))),1,0))</f>
        <v/>
      </c>
      <c r="T356" s="20">
        <f>IF(S356=1,COUNTIF($S$5:S356,1),"")</f>
        <v/>
      </c>
      <c r="U356">
        <f>IF(AND($A356&lt;&gt;"",$B356&lt;&gt;"",$R356='تقرير الفصل الأول'!$C$4,$Q356='تقرير الفصل الأول'!$C$7),COUNT(U$4:U355)+1,"")</f>
        <v/>
      </c>
      <c r="V356">
        <f>IF(AND($A356&lt;&gt;"",$B356&lt;&gt;"",$R356='تقرير الفصل الثاني'!$C$4,$Q356='تقرير الفصل الثاني'!$C$7),COUNT(V$4:V355)+1,"")</f>
        <v/>
      </c>
      <c r="W356">
        <f>IF(AND($A356&lt;&gt;"",$B356&lt;&gt;"",$R356='تقرير سبتمبر'!$C$4,$P356='تقرير سبتمبر'!$C$6),COUNT(W$4:W355)+1,"")</f>
        <v/>
      </c>
      <c r="X356">
        <f>IF(AND($A356&lt;&gt;"",$B356&lt;&gt;"",$R356='تقرير أكتوبر'!$C$4,$P356='تقرير أكتوبر'!$C$6),COUNT(X$4:X355)+1,"")</f>
        <v/>
      </c>
      <c r="Y356">
        <f>IF(AND($A356&lt;&gt;"",$B356&lt;&gt;"",$R356='تقرير نوفمبر'!$C$4,$P356='تقرير نوفمبر'!$C$6),COUNT(Y$4:Y355)+1,"")</f>
        <v/>
      </c>
      <c r="Z356">
        <f>IF(AND($A356&lt;&gt;"",$B356&lt;&gt;"",$R356='تقرير ديسمبر'!$C$4,$P356='تقرير ديسمبر'!$C$6),COUNT(Z$4:Z355)+1,"")</f>
        <v/>
      </c>
      <c r="AA356">
        <f>IF(AND($A356&lt;&gt;"",$B356&lt;&gt;"",$R356='تقرير يناير'!$C$4,$P356='تقرير يناير'!$C$6),COUNT(AA$4:AA355)+1,"")</f>
        <v/>
      </c>
      <c r="AB356">
        <f>IF(AND($A356&lt;&gt;"",$B356&lt;&gt;"",$R356='تقرير فبراير'!$C$4,$P356='تقرير فبراير'!$C$6),COUNT(AB$4:AB355)+1,"")</f>
        <v/>
      </c>
      <c r="AC356">
        <f>IF(AND($A356&lt;&gt;"",$B356&lt;&gt;"",$R356='تقرير مارس'!$C$4,$P356='تقرير مارس'!$C$6),COUNT(AC$4:AC355)+1,"")</f>
        <v/>
      </c>
      <c r="AD356">
        <f>IF(AND($A356&lt;&gt;"",$B356&lt;&gt;"",$R356='تقرير أبريل'!$C$4,$P356='تقرير أبريل'!$C$6),COUNT(AD$4:AD355)+1,"")</f>
        <v/>
      </c>
      <c r="AE356">
        <f>IF(AND($A356&lt;&gt;"",$B356&lt;&gt;"",$R356='تقرير مايو'!$C$4,$P356='تقرير مايو'!$C$6),COUNT(AE$4:AE355)+1,"")</f>
        <v/>
      </c>
    </row>
    <row r="357">
      <c r="A357" s="16" t="n"/>
      <c r="B357" s="17" t="n"/>
      <c r="C357" s="17" t="n"/>
      <c r="D357" s="18" t="n"/>
      <c r="E357" s="17" t="n"/>
      <c r="F357" s="17" t="n"/>
      <c r="G357" s="19" t="n"/>
      <c r="H357" s="17" t="n"/>
      <c r="I357" s="17" t="n"/>
      <c r="J357" s="17" t="n"/>
      <c r="K357" s="20">
        <f>IF($B357="","",IFERROR(INDEX(الموظفات!$A$5:$A$304,MATCH($B357,الموظفات!$B$5:$B$304,0))&amp;"",""))</f>
        <v/>
      </c>
      <c r="L357" s="21">
        <f>IF($B357="","",IFERROR(INDEX(الموظفات!$C$5:$C$304,MATCH($B357,الموظفات!$B$5:$B$304,0))&amp;"",""))</f>
        <v/>
      </c>
      <c r="M357" s="20">
        <f>IF($B357="","",IFERROR(INDEX(الموظفات!$D$5:$D$304,MATCH($B357,الموظفات!$B$5:$B$304,0))&amp;"",""))</f>
        <v/>
      </c>
      <c r="N357" s="20">
        <f>IF($B357="","",IFERROR(INDEX(الموظفات!$E$5:$E$304,MATCH($B357,الموظفات!$B$5:$B$304,0))&amp;"",""))</f>
        <v/>
      </c>
      <c r="O357" s="21">
        <f>IF(C357="","",IFERROR(INDEX(الإعدادات!$D$7:$D$35,MATCH(C357,الإعدادات!$A$7:$A$35,0))&amp;"",""))</f>
        <v/>
      </c>
      <c r="P357" s="20">
        <f>IF(A357="","",INDEX(الإعدادات!$H$7:$H$18,MONTH(A357)))</f>
        <v/>
      </c>
      <c r="Q357" s="20">
        <f>IF(A357="","",INDEX(الإعدادات!$I$7:$I$18,MONTH(A357)))</f>
        <v/>
      </c>
      <c r="R357" s="20">
        <f>IF(A357="","",IF(MONTH(A357)&gt;=8,YEAR(A357)&amp;"-"&amp;(YEAR(A357)+1),(YEAR(A357)-1)&amp;"-"&amp;YEAR(A357)))</f>
        <v/>
      </c>
      <c r="S357" s="20">
        <f>IF(OR(A357="",B357=""),0,IF(AND(R357=التقارير!$C$4,OR(التقارير!$C$5="سنوي",AND(التقارير!$C$5="شهري",P357=التقارير!$C$6),AND(التقارير!$C$5="فصلي",Q357=التقارير!$C$7))),1,0))</f>
        <v/>
      </c>
      <c r="T357" s="20">
        <f>IF(S357=1,COUNTIF($S$5:S357,1),"")</f>
        <v/>
      </c>
      <c r="U357">
        <f>IF(AND($A357&lt;&gt;"",$B357&lt;&gt;"",$R357='تقرير الفصل الأول'!$C$4,$Q357='تقرير الفصل الأول'!$C$7),COUNT(U$4:U356)+1,"")</f>
        <v/>
      </c>
      <c r="V357">
        <f>IF(AND($A357&lt;&gt;"",$B357&lt;&gt;"",$R357='تقرير الفصل الثاني'!$C$4,$Q357='تقرير الفصل الثاني'!$C$7),COUNT(V$4:V356)+1,"")</f>
        <v/>
      </c>
      <c r="W357">
        <f>IF(AND($A357&lt;&gt;"",$B357&lt;&gt;"",$R357='تقرير سبتمبر'!$C$4,$P357='تقرير سبتمبر'!$C$6),COUNT(W$4:W356)+1,"")</f>
        <v/>
      </c>
      <c r="X357">
        <f>IF(AND($A357&lt;&gt;"",$B357&lt;&gt;"",$R357='تقرير أكتوبر'!$C$4,$P357='تقرير أكتوبر'!$C$6),COUNT(X$4:X356)+1,"")</f>
        <v/>
      </c>
      <c r="Y357">
        <f>IF(AND($A357&lt;&gt;"",$B357&lt;&gt;"",$R357='تقرير نوفمبر'!$C$4,$P357='تقرير نوفمبر'!$C$6),COUNT(Y$4:Y356)+1,"")</f>
        <v/>
      </c>
      <c r="Z357">
        <f>IF(AND($A357&lt;&gt;"",$B357&lt;&gt;"",$R357='تقرير ديسمبر'!$C$4,$P357='تقرير ديسمبر'!$C$6),COUNT(Z$4:Z356)+1,"")</f>
        <v/>
      </c>
      <c r="AA357">
        <f>IF(AND($A357&lt;&gt;"",$B357&lt;&gt;"",$R357='تقرير يناير'!$C$4,$P357='تقرير يناير'!$C$6),COUNT(AA$4:AA356)+1,"")</f>
        <v/>
      </c>
      <c r="AB357">
        <f>IF(AND($A357&lt;&gt;"",$B357&lt;&gt;"",$R357='تقرير فبراير'!$C$4,$P357='تقرير فبراير'!$C$6),COUNT(AB$4:AB356)+1,"")</f>
        <v/>
      </c>
      <c r="AC357">
        <f>IF(AND($A357&lt;&gt;"",$B357&lt;&gt;"",$R357='تقرير مارس'!$C$4,$P357='تقرير مارس'!$C$6),COUNT(AC$4:AC356)+1,"")</f>
        <v/>
      </c>
      <c r="AD357">
        <f>IF(AND($A357&lt;&gt;"",$B357&lt;&gt;"",$R357='تقرير أبريل'!$C$4,$P357='تقرير أبريل'!$C$6),COUNT(AD$4:AD356)+1,"")</f>
        <v/>
      </c>
      <c r="AE357">
        <f>IF(AND($A357&lt;&gt;"",$B357&lt;&gt;"",$R357='تقرير مايو'!$C$4,$P357='تقرير مايو'!$C$6),COUNT(AE$4:AE356)+1,"")</f>
        <v/>
      </c>
    </row>
    <row r="358">
      <c r="A358" s="16" t="n"/>
      <c r="B358" s="17" t="n"/>
      <c r="C358" s="17" t="n"/>
      <c r="D358" s="18" t="n"/>
      <c r="E358" s="17" t="n"/>
      <c r="F358" s="17" t="n"/>
      <c r="G358" s="19" t="n"/>
      <c r="H358" s="17" t="n"/>
      <c r="I358" s="17" t="n"/>
      <c r="J358" s="17" t="n"/>
      <c r="K358" s="20">
        <f>IF($B358="","",IFERROR(INDEX(الموظفات!$A$5:$A$304,MATCH($B358,الموظفات!$B$5:$B$304,0))&amp;"",""))</f>
        <v/>
      </c>
      <c r="L358" s="21">
        <f>IF($B358="","",IFERROR(INDEX(الموظفات!$C$5:$C$304,MATCH($B358,الموظفات!$B$5:$B$304,0))&amp;"",""))</f>
        <v/>
      </c>
      <c r="M358" s="20">
        <f>IF($B358="","",IFERROR(INDEX(الموظفات!$D$5:$D$304,MATCH($B358,الموظفات!$B$5:$B$304,0))&amp;"",""))</f>
        <v/>
      </c>
      <c r="N358" s="20">
        <f>IF($B358="","",IFERROR(INDEX(الموظفات!$E$5:$E$304,MATCH($B358,الموظفات!$B$5:$B$304,0))&amp;"",""))</f>
        <v/>
      </c>
      <c r="O358" s="21">
        <f>IF(C358="","",IFERROR(INDEX(الإعدادات!$D$7:$D$35,MATCH(C358,الإعدادات!$A$7:$A$35,0))&amp;"",""))</f>
        <v/>
      </c>
      <c r="P358" s="20">
        <f>IF(A358="","",INDEX(الإعدادات!$H$7:$H$18,MONTH(A358)))</f>
        <v/>
      </c>
      <c r="Q358" s="20">
        <f>IF(A358="","",INDEX(الإعدادات!$I$7:$I$18,MONTH(A358)))</f>
        <v/>
      </c>
      <c r="R358" s="20">
        <f>IF(A358="","",IF(MONTH(A358)&gt;=8,YEAR(A358)&amp;"-"&amp;(YEAR(A358)+1),(YEAR(A358)-1)&amp;"-"&amp;YEAR(A358)))</f>
        <v/>
      </c>
      <c r="S358" s="20">
        <f>IF(OR(A358="",B358=""),0,IF(AND(R358=التقارير!$C$4,OR(التقارير!$C$5="سنوي",AND(التقارير!$C$5="شهري",P358=التقارير!$C$6),AND(التقارير!$C$5="فصلي",Q358=التقارير!$C$7))),1,0))</f>
        <v/>
      </c>
      <c r="T358" s="20">
        <f>IF(S358=1,COUNTIF($S$5:S358,1),"")</f>
        <v/>
      </c>
      <c r="U358">
        <f>IF(AND($A358&lt;&gt;"",$B358&lt;&gt;"",$R358='تقرير الفصل الأول'!$C$4,$Q358='تقرير الفصل الأول'!$C$7),COUNT(U$4:U357)+1,"")</f>
        <v/>
      </c>
      <c r="V358">
        <f>IF(AND($A358&lt;&gt;"",$B358&lt;&gt;"",$R358='تقرير الفصل الثاني'!$C$4,$Q358='تقرير الفصل الثاني'!$C$7),COUNT(V$4:V357)+1,"")</f>
        <v/>
      </c>
      <c r="W358">
        <f>IF(AND($A358&lt;&gt;"",$B358&lt;&gt;"",$R358='تقرير سبتمبر'!$C$4,$P358='تقرير سبتمبر'!$C$6),COUNT(W$4:W357)+1,"")</f>
        <v/>
      </c>
      <c r="X358">
        <f>IF(AND($A358&lt;&gt;"",$B358&lt;&gt;"",$R358='تقرير أكتوبر'!$C$4,$P358='تقرير أكتوبر'!$C$6),COUNT(X$4:X357)+1,"")</f>
        <v/>
      </c>
      <c r="Y358">
        <f>IF(AND($A358&lt;&gt;"",$B358&lt;&gt;"",$R358='تقرير نوفمبر'!$C$4,$P358='تقرير نوفمبر'!$C$6),COUNT(Y$4:Y357)+1,"")</f>
        <v/>
      </c>
      <c r="Z358">
        <f>IF(AND($A358&lt;&gt;"",$B358&lt;&gt;"",$R358='تقرير ديسمبر'!$C$4,$P358='تقرير ديسمبر'!$C$6),COUNT(Z$4:Z357)+1,"")</f>
        <v/>
      </c>
      <c r="AA358">
        <f>IF(AND($A358&lt;&gt;"",$B358&lt;&gt;"",$R358='تقرير يناير'!$C$4,$P358='تقرير يناير'!$C$6),COUNT(AA$4:AA357)+1,"")</f>
        <v/>
      </c>
      <c r="AB358">
        <f>IF(AND($A358&lt;&gt;"",$B358&lt;&gt;"",$R358='تقرير فبراير'!$C$4,$P358='تقرير فبراير'!$C$6),COUNT(AB$4:AB357)+1,"")</f>
        <v/>
      </c>
      <c r="AC358">
        <f>IF(AND($A358&lt;&gt;"",$B358&lt;&gt;"",$R358='تقرير مارس'!$C$4,$P358='تقرير مارس'!$C$6),COUNT(AC$4:AC357)+1,"")</f>
        <v/>
      </c>
      <c r="AD358">
        <f>IF(AND($A358&lt;&gt;"",$B358&lt;&gt;"",$R358='تقرير أبريل'!$C$4,$P358='تقرير أبريل'!$C$6),COUNT(AD$4:AD357)+1,"")</f>
        <v/>
      </c>
      <c r="AE358">
        <f>IF(AND($A358&lt;&gt;"",$B358&lt;&gt;"",$R358='تقرير مايو'!$C$4,$P358='تقرير مايو'!$C$6),COUNT(AE$4:AE357)+1,"")</f>
        <v/>
      </c>
    </row>
    <row r="359">
      <c r="A359" s="16" t="n"/>
      <c r="B359" s="17" t="n"/>
      <c r="C359" s="17" t="n"/>
      <c r="D359" s="18" t="n"/>
      <c r="E359" s="17" t="n"/>
      <c r="F359" s="17" t="n"/>
      <c r="G359" s="19" t="n"/>
      <c r="H359" s="17" t="n"/>
      <c r="I359" s="17" t="n"/>
      <c r="J359" s="17" t="n"/>
      <c r="K359" s="20">
        <f>IF($B359="","",IFERROR(INDEX(الموظفات!$A$5:$A$304,MATCH($B359,الموظفات!$B$5:$B$304,0))&amp;"",""))</f>
        <v/>
      </c>
      <c r="L359" s="21">
        <f>IF($B359="","",IFERROR(INDEX(الموظفات!$C$5:$C$304,MATCH($B359,الموظفات!$B$5:$B$304,0))&amp;"",""))</f>
        <v/>
      </c>
      <c r="M359" s="20">
        <f>IF($B359="","",IFERROR(INDEX(الموظفات!$D$5:$D$304,MATCH($B359,الموظفات!$B$5:$B$304,0))&amp;"",""))</f>
        <v/>
      </c>
      <c r="N359" s="20">
        <f>IF($B359="","",IFERROR(INDEX(الموظفات!$E$5:$E$304,MATCH($B359,الموظفات!$B$5:$B$304,0))&amp;"",""))</f>
        <v/>
      </c>
      <c r="O359" s="21">
        <f>IF(C359="","",IFERROR(INDEX(الإعدادات!$D$7:$D$35,MATCH(C359,الإعدادات!$A$7:$A$35,0))&amp;"",""))</f>
        <v/>
      </c>
      <c r="P359" s="20">
        <f>IF(A359="","",INDEX(الإعدادات!$H$7:$H$18,MONTH(A359)))</f>
        <v/>
      </c>
      <c r="Q359" s="20">
        <f>IF(A359="","",INDEX(الإعدادات!$I$7:$I$18,MONTH(A359)))</f>
        <v/>
      </c>
      <c r="R359" s="20">
        <f>IF(A359="","",IF(MONTH(A359)&gt;=8,YEAR(A359)&amp;"-"&amp;(YEAR(A359)+1),(YEAR(A359)-1)&amp;"-"&amp;YEAR(A359)))</f>
        <v/>
      </c>
      <c r="S359" s="20">
        <f>IF(OR(A359="",B359=""),0,IF(AND(R359=التقارير!$C$4,OR(التقارير!$C$5="سنوي",AND(التقارير!$C$5="شهري",P359=التقارير!$C$6),AND(التقارير!$C$5="فصلي",Q359=التقارير!$C$7))),1,0))</f>
        <v/>
      </c>
      <c r="T359" s="20">
        <f>IF(S359=1,COUNTIF($S$5:S359,1),"")</f>
        <v/>
      </c>
      <c r="U359">
        <f>IF(AND($A359&lt;&gt;"",$B359&lt;&gt;"",$R359='تقرير الفصل الأول'!$C$4,$Q359='تقرير الفصل الأول'!$C$7),COUNT(U$4:U358)+1,"")</f>
        <v/>
      </c>
      <c r="V359">
        <f>IF(AND($A359&lt;&gt;"",$B359&lt;&gt;"",$R359='تقرير الفصل الثاني'!$C$4,$Q359='تقرير الفصل الثاني'!$C$7),COUNT(V$4:V358)+1,"")</f>
        <v/>
      </c>
      <c r="W359">
        <f>IF(AND($A359&lt;&gt;"",$B359&lt;&gt;"",$R359='تقرير سبتمبر'!$C$4,$P359='تقرير سبتمبر'!$C$6),COUNT(W$4:W358)+1,"")</f>
        <v/>
      </c>
      <c r="X359">
        <f>IF(AND($A359&lt;&gt;"",$B359&lt;&gt;"",$R359='تقرير أكتوبر'!$C$4,$P359='تقرير أكتوبر'!$C$6),COUNT(X$4:X358)+1,"")</f>
        <v/>
      </c>
      <c r="Y359">
        <f>IF(AND($A359&lt;&gt;"",$B359&lt;&gt;"",$R359='تقرير نوفمبر'!$C$4,$P359='تقرير نوفمبر'!$C$6),COUNT(Y$4:Y358)+1,"")</f>
        <v/>
      </c>
      <c r="Z359">
        <f>IF(AND($A359&lt;&gt;"",$B359&lt;&gt;"",$R359='تقرير ديسمبر'!$C$4,$P359='تقرير ديسمبر'!$C$6),COUNT(Z$4:Z358)+1,"")</f>
        <v/>
      </c>
      <c r="AA359">
        <f>IF(AND($A359&lt;&gt;"",$B359&lt;&gt;"",$R359='تقرير يناير'!$C$4,$P359='تقرير يناير'!$C$6),COUNT(AA$4:AA358)+1,"")</f>
        <v/>
      </c>
      <c r="AB359">
        <f>IF(AND($A359&lt;&gt;"",$B359&lt;&gt;"",$R359='تقرير فبراير'!$C$4,$P359='تقرير فبراير'!$C$6),COUNT(AB$4:AB358)+1,"")</f>
        <v/>
      </c>
      <c r="AC359">
        <f>IF(AND($A359&lt;&gt;"",$B359&lt;&gt;"",$R359='تقرير مارس'!$C$4,$P359='تقرير مارس'!$C$6),COUNT(AC$4:AC358)+1,"")</f>
        <v/>
      </c>
      <c r="AD359">
        <f>IF(AND($A359&lt;&gt;"",$B359&lt;&gt;"",$R359='تقرير أبريل'!$C$4,$P359='تقرير أبريل'!$C$6),COUNT(AD$4:AD358)+1,"")</f>
        <v/>
      </c>
      <c r="AE359">
        <f>IF(AND($A359&lt;&gt;"",$B359&lt;&gt;"",$R359='تقرير مايو'!$C$4,$P359='تقرير مايو'!$C$6),COUNT(AE$4:AE358)+1,"")</f>
        <v/>
      </c>
    </row>
    <row r="360">
      <c r="A360" s="16" t="n"/>
      <c r="B360" s="17" t="n"/>
      <c r="C360" s="17" t="n"/>
      <c r="D360" s="18" t="n"/>
      <c r="E360" s="17" t="n"/>
      <c r="F360" s="17" t="n"/>
      <c r="G360" s="19" t="n"/>
      <c r="H360" s="17" t="n"/>
      <c r="I360" s="17" t="n"/>
      <c r="J360" s="17" t="n"/>
      <c r="K360" s="20">
        <f>IF($B360="","",IFERROR(INDEX(الموظفات!$A$5:$A$304,MATCH($B360,الموظفات!$B$5:$B$304,0))&amp;"",""))</f>
        <v/>
      </c>
      <c r="L360" s="21">
        <f>IF($B360="","",IFERROR(INDEX(الموظفات!$C$5:$C$304,MATCH($B360,الموظفات!$B$5:$B$304,0))&amp;"",""))</f>
        <v/>
      </c>
      <c r="M360" s="20">
        <f>IF($B360="","",IFERROR(INDEX(الموظفات!$D$5:$D$304,MATCH($B360,الموظفات!$B$5:$B$304,0))&amp;"",""))</f>
        <v/>
      </c>
      <c r="N360" s="20">
        <f>IF($B360="","",IFERROR(INDEX(الموظفات!$E$5:$E$304,MATCH($B360,الموظفات!$B$5:$B$304,0))&amp;"",""))</f>
        <v/>
      </c>
      <c r="O360" s="21">
        <f>IF(C360="","",IFERROR(INDEX(الإعدادات!$D$7:$D$35,MATCH(C360,الإعدادات!$A$7:$A$35,0))&amp;"",""))</f>
        <v/>
      </c>
      <c r="P360" s="20">
        <f>IF(A360="","",INDEX(الإعدادات!$H$7:$H$18,MONTH(A360)))</f>
        <v/>
      </c>
      <c r="Q360" s="20">
        <f>IF(A360="","",INDEX(الإعدادات!$I$7:$I$18,MONTH(A360)))</f>
        <v/>
      </c>
      <c r="R360" s="20">
        <f>IF(A360="","",IF(MONTH(A360)&gt;=8,YEAR(A360)&amp;"-"&amp;(YEAR(A360)+1),(YEAR(A360)-1)&amp;"-"&amp;YEAR(A360)))</f>
        <v/>
      </c>
      <c r="S360" s="20">
        <f>IF(OR(A360="",B360=""),0,IF(AND(R360=التقارير!$C$4,OR(التقارير!$C$5="سنوي",AND(التقارير!$C$5="شهري",P360=التقارير!$C$6),AND(التقارير!$C$5="فصلي",Q360=التقارير!$C$7))),1,0))</f>
        <v/>
      </c>
      <c r="T360" s="20">
        <f>IF(S360=1,COUNTIF($S$5:S360,1),"")</f>
        <v/>
      </c>
      <c r="U360">
        <f>IF(AND($A360&lt;&gt;"",$B360&lt;&gt;"",$R360='تقرير الفصل الأول'!$C$4,$Q360='تقرير الفصل الأول'!$C$7),COUNT(U$4:U359)+1,"")</f>
        <v/>
      </c>
      <c r="V360">
        <f>IF(AND($A360&lt;&gt;"",$B360&lt;&gt;"",$R360='تقرير الفصل الثاني'!$C$4,$Q360='تقرير الفصل الثاني'!$C$7),COUNT(V$4:V359)+1,"")</f>
        <v/>
      </c>
      <c r="W360">
        <f>IF(AND($A360&lt;&gt;"",$B360&lt;&gt;"",$R360='تقرير سبتمبر'!$C$4,$P360='تقرير سبتمبر'!$C$6),COUNT(W$4:W359)+1,"")</f>
        <v/>
      </c>
      <c r="X360">
        <f>IF(AND($A360&lt;&gt;"",$B360&lt;&gt;"",$R360='تقرير أكتوبر'!$C$4,$P360='تقرير أكتوبر'!$C$6),COUNT(X$4:X359)+1,"")</f>
        <v/>
      </c>
      <c r="Y360">
        <f>IF(AND($A360&lt;&gt;"",$B360&lt;&gt;"",$R360='تقرير نوفمبر'!$C$4,$P360='تقرير نوفمبر'!$C$6),COUNT(Y$4:Y359)+1,"")</f>
        <v/>
      </c>
      <c r="Z360">
        <f>IF(AND($A360&lt;&gt;"",$B360&lt;&gt;"",$R360='تقرير ديسمبر'!$C$4,$P360='تقرير ديسمبر'!$C$6),COUNT(Z$4:Z359)+1,"")</f>
        <v/>
      </c>
      <c r="AA360">
        <f>IF(AND($A360&lt;&gt;"",$B360&lt;&gt;"",$R360='تقرير يناير'!$C$4,$P360='تقرير يناير'!$C$6),COUNT(AA$4:AA359)+1,"")</f>
        <v/>
      </c>
      <c r="AB360">
        <f>IF(AND($A360&lt;&gt;"",$B360&lt;&gt;"",$R360='تقرير فبراير'!$C$4,$P360='تقرير فبراير'!$C$6),COUNT(AB$4:AB359)+1,"")</f>
        <v/>
      </c>
      <c r="AC360">
        <f>IF(AND($A360&lt;&gt;"",$B360&lt;&gt;"",$R360='تقرير مارس'!$C$4,$P360='تقرير مارس'!$C$6),COUNT(AC$4:AC359)+1,"")</f>
        <v/>
      </c>
      <c r="AD360">
        <f>IF(AND($A360&lt;&gt;"",$B360&lt;&gt;"",$R360='تقرير أبريل'!$C$4,$P360='تقرير أبريل'!$C$6),COUNT(AD$4:AD359)+1,"")</f>
        <v/>
      </c>
      <c r="AE360">
        <f>IF(AND($A360&lt;&gt;"",$B360&lt;&gt;"",$R360='تقرير مايو'!$C$4,$P360='تقرير مايو'!$C$6),COUNT(AE$4:AE359)+1,"")</f>
        <v/>
      </c>
    </row>
    <row r="361">
      <c r="A361" s="16" t="n"/>
      <c r="B361" s="17" t="n"/>
      <c r="C361" s="17" t="n"/>
      <c r="D361" s="18" t="n"/>
      <c r="E361" s="17" t="n"/>
      <c r="F361" s="17" t="n"/>
      <c r="G361" s="19" t="n"/>
      <c r="H361" s="17" t="n"/>
      <c r="I361" s="17" t="n"/>
      <c r="J361" s="17" t="n"/>
      <c r="K361" s="20">
        <f>IF($B361="","",IFERROR(INDEX(الموظفات!$A$5:$A$304,MATCH($B361,الموظفات!$B$5:$B$304,0))&amp;"",""))</f>
        <v/>
      </c>
      <c r="L361" s="21">
        <f>IF($B361="","",IFERROR(INDEX(الموظفات!$C$5:$C$304,MATCH($B361,الموظفات!$B$5:$B$304,0))&amp;"",""))</f>
        <v/>
      </c>
      <c r="M361" s="20">
        <f>IF($B361="","",IFERROR(INDEX(الموظفات!$D$5:$D$304,MATCH($B361,الموظفات!$B$5:$B$304,0))&amp;"",""))</f>
        <v/>
      </c>
      <c r="N361" s="20">
        <f>IF($B361="","",IFERROR(INDEX(الموظفات!$E$5:$E$304,MATCH($B361,الموظفات!$B$5:$B$304,0))&amp;"",""))</f>
        <v/>
      </c>
      <c r="O361" s="21">
        <f>IF(C361="","",IFERROR(INDEX(الإعدادات!$D$7:$D$35,MATCH(C361,الإعدادات!$A$7:$A$35,0))&amp;"",""))</f>
        <v/>
      </c>
      <c r="P361" s="20">
        <f>IF(A361="","",INDEX(الإعدادات!$H$7:$H$18,MONTH(A361)))</f>
        <v/>
      </c>
      <c r="Q361" s="20">
        <f>IF(A361="","",INDEX(الإعدادات!$I$7:$I$18,MONTH(A361)))</f>
        <v/>
      </c>
      <c r="R361" s="20">
        <f>IF(A361="","",IF(MONTH(A361)&gt;=8,YEAR(A361)&amp;"-"&amp;(YEAR(A361)+1),(YEAR(A361)-1)&amp;"-"&amp;YEAR(A361)))</f>
        <v/>
      </c>
      <c r="S361" s="20">
        <f>IF(OR(A361="",B361=""),0,IF(AND(R361=التقارير!$C$4,OR(التقارير!$C$5="سنوي",AND(التقارير!$C$5="شهري",P361=التقارير!$C$6),AND(التقارير!$C$5="فصلي",Q361=التقارير!$C$7))),1,0))</f>
        <v/>
      </c>
      <c r="T361" s="20">
        <f>IF(S361=1,COUNTIF($S$5:S361,1),"")</f>
        <v/>
      </c>
      <c r="U361">
        <f>IF(AND($A361&lt;&gt;"",$B361&lt;&gt;"",$R361='تقرير الفصل الأول'!$C$4,$Q361='تقرير الفصل الأول'!$C$7),COUNT(U$4:U360)+1,"")</f>
        <v/>
      </c>
      <c r="V361">
        <f>IF(AND($A361&lt;&gt;"",$B361&lt;&gt;"",$R361='تقرير الفصل الثاني'!$C$4,$Q361='تقرير الفصل الثاني'!$C$7),COUNT(V$4:V360)+1,"")</f>
        <v/>
      </c>
      <c r="W361">
        <f>IF(AND($A361&lt;&gt;"",$B361&lt;&gt;"",$R361='تقرير سبتمبر'!$C$4,$P361='تقرير سبتمبر'!$C$6),COUNT(W$4:W360)+1,"")</f>
        <v/>
      </c>
      <c r="X361">
        <f>IF(AND($A361&lt;&gt;"",$B361&lt;&gt;"",$R361='تقرير أكتوبر'!$C$4,$P361='تقرير أكتوبر'!$C$6),COUNT(X$4:X360)+1,"")</f>
        <v/>
      </c>
      <c r="Y361">
        <f>IF(AND($A361&lt;&gt;"",$B361&lt;&gt;"",$R361='تقرير نوفمبر'!$C$4,$P361='تقرير نوفمبر'!$C$6),COUNT(Y$4:Y360)+1,"")</f>
        <v/>
      </c>
      <c r="Z361">
        <f>IF(AND($A361&lt;&gt;"",$B361&lt;&gt;"",$R361='تقرير ديسمبر'!$C$4,$P361='تقرير ديسمبر'!$C$6),COUNT(Z$4:Z360)+1,"")</f>
        <v/>
      </c>
      <c r="AA361">
        <f>IF(AND($A361&lt;&gt;"",$B361&lt;&gt;"",$R361='تقرير يناير'!$C$4,$P361='تقرير يناير'!$C$6),COUNT(AA$4:AA360)+1,"")</f>
        <v/>
      </c>
      <c r="AB361">
        <f>IF(AND($A361&lt;&gt;"",$B361&lt;&gt;"",$R361='تقرير فبراير'!$C$4,$P361='تقرير فبراير'!$C$6),COUNT(AB$4:AB360)+1,"")</f>
        <v/>
      </c>
      <c r="AC361">
        <f>IF(AND($A361&lt;&gt;"",$B361&lt;&gt;"",$R361='تقرير مارس'!$C$4,$P361='تقرير مارس'!$C$6),COUNT(AC$4:AC360)+1,"")</f>
        <v/>
      </c>
      <c r="AD361">
        <f>IF(AND($A361&lt;&gt;"",$B361&lt;&gt;"",$R361='تقرير أبريل'!$C$4,$P361='تقرير أبريل'!$C$6),COUNT(AD$4:AD360)+1,"")</f>
        <v/>
      </c>
      <c r="AE361">
        <f>IF(AND($A361&lt;&gt;"",$B361&lt;&gt;"",$R361='تقرير مايو'!$C$4,$P361='تقرير مايو'!$C$6),COUNT(AE$4:AE360)+1,"")</f>
        <v/>
      </c>
    </row>
    <row r="362">
      <c r="A362" s="16" t="n"/>
      <c r="B362" s="17" t="n"/>
      <c r="C362" s="17" t="n"/>
      <c r="D362" s="18" t="n"/>
      <c r="E362" s="17" t="n"/>
      <c r="F362" s="17" t="n"/>
      <c r="G362" s="19" t="n"/>
      <c r="H362" s="17" t="n"/>
      <c r="I362" s="17" t="n"/>
      <c r="J362" s="17" t="n"/>
      <c r="K362" s="20">
        <f>IF($B362="","",IFERROR(INDEX(الموظفات!$A$5:$A$304,MATCH($B362,الموظفات!$B$5:$B$304,0))&amp;"",""))</f>
        <v/>
      </c>
      <c r="L362" s="21">
        <f>IF($B362="","",IFERROR(INDEX(الموظفات!$C$5:$C$304,MATCH($B362,الموظفات!$B$5:$B$304,0))&amp;"",""))</f>
        <v/>
      </c>
      <c r="M362" s="20">
        <f>IF($B362="","",IFERROR(INDEX(الموظفات!$D$5:$D$304,MATCH($B362,الموظفات!$B$5:$B$304,0))&amp;"",""))</f>
        <v/>
      </c>
      <c r="N362" s="20">
        <f>IF($B362="","",IFERROR(INDEX(الموظفات!$E$5:$E$304,MATCH($B362,الموظفات!$B$5:$B$304,0))&amp;"",""))</f>
        <v/>
      </c>
      <c r="O362" s="21">
        <f>IF(C362="","",IFERROR(INDEX(الإعدادات!$D$7:$D$35,MATCH(C362,الإعدادات!$A$7:$A$35,0))&amp;"",""))</f>
        <v/>
      </c>
      <c r="P362" s="20">
        <f>IF(A362="","",INDEX(الإعدادات!$H$7:$H$18,MONTH(A362)))</f>
        <v/>
      </c>
      <c r="Q362" s="20">
        <f>IF(A362="","",INDEX(الإعدادات!$I$7:$I$18,MONTH(A362)))</f>
        <v/>
      </c>
      <c r="R362" s="20">
        <f>IF(A362="","",IF(MONTH(A362)&gt;=8,YEAR(A362)&amp;"-"&amp;(YEAR(A362)+1),(YEAR(A362)-1)&amp;"-"&amp;YEAR(A362)))</f>
        <v/>
      </c>
      <c r="S362" s="20">
        <f>IF(OR(A362="",B362=""),0,IF(AND(R362=التقارير!$C$4,OR(التقارير!$C$5="سنوي",AND(التقارير!$C$5="شهري",P362=التقارير!$C$6),AND(التقارير!$C$5="فصلي",Q362=التقارير!$C$7))),1,0))</f>
        <v/>
      </c>
      <c r="T362" s="20">
        <f>IF(S362=1,COUNTIF($S$5:S362,1),"")</f>
        <v/>
      </c>
      <c r="U362">
        <f>IF(AND($A362&lt;&gt;"",$B362&lt;&gt;"",$R362='تقرير الفصل الأول'!$C$4,$Q362='تقرير الفصل الأول'!$C$7),COUNT(U$4:U361)+1,"")</f>
        <v/>
      </c>
      <c r="V362">
        <f>IF(AND($A362&lt;&gt;"",$B362&lt;&gt;"",$R362='تقرير الفصل الثاني'!$C$4,$Q362='تقرير الفصل الثاني'!$C$7),COUNT(V$4:V361)+1,"")</f>
        <v/>
      </c>
      <c r="W362">
        <f>IF(AND($A362&lt;&gt;"",$B362&lt;&gt;"",$R362='تقرير سبتمبر'!$C$4,$P362='تقرير سبتمبر'!$C$6),COUNT(W$4:W361)+1,"")</f>
        <v/>
      </c>
      <c r="X362">
        <f>IF(AND($A362&lt;&gt;"",$B362&lt;&gt;"",$R362='تقرير أكتوبر'!$C$4,$P362='تقرير أكتوبر'!$C$6),COUNT(X$4:X361)+1,"")</f>
        <v/>
      </c>
      <c r="Y362">
        <f>IF(AND($A362&lt;&gt;"",$B362&lt;&gt;"",$R362='تقرير نوفمبر'!$C$4,$P362='تقرير نوفمبر'!$C$6),COUNT(Y$4:Y361)+1,"")</f>
        <v/>
      </c>
      <c r="Z362">
        <f>IF(AND($A362&lt;&gt;"",$B362&lt;&gt;"",$R362='تقرير ديسمبر'!$C$4,$P362='تقرير ديسمبر'!$C$6),COUNT(Z$4:Z361)+1,"")</f>
        <v/>
      </c>
      <c r="AA362">
        <f>IF(AND($A362&lt;&gt;"",$B362&lt;&gt;"",$R362='تقرير يناير'!$C$4,$P362='تقرير يناير'!$C$6),COUNT(AA$4:AA361)+1,"")</f>
        <v/>
      </c>
      <c r="AB362">
        <f>IF(AND($A362&lt;&gt;"",$B362&lt;&gt;"",$R362='تقرير فبراير'!$C$4,$P362='تقرير فبراير'!$C$6),COUNT(AB$4:AB361)+1,"")</f>
        <v/>
      </c>
      <c r="AC362">
        <f>IF(AND($A362&lt;&gt;"",$B362&lt;&gt;"",$R362='تقرير مارس'!$C$4,$P362='تقرير مارس'!$C$6),COUNT(AC$4:AC361)+1,"")</f>
        <v/>
      </c>
      <c r="AD362">
        <f>IF(AND($A362&lt;&gt;"",$B362&lt;&gt;"",$R362='تقرير أبريل'!$C$4,$P362='تقرير أبريل'!$C$6),COUNT(AD$4:AD361)+1,"")</f>
        <v/>
      </c>
      <c r="AE362">
        <f>IF(AND($A362&lt;&gt;"",$B362&lt;&gt;"",$R362='تقرير مايو'!$C$4,$P362='تقرير مايو'!$C$6),COUNT(AE$4:AE361)+1,"")</f>
        <v/>
      </c>
    </row>
    <row r="363">
      <c r="A363" s="16" t="n"/>
      <c r="B363" s="17" t="n"/>
      <c r="C363" s="17" t="n"/>
      <c r="D363" s="18" t="n"/>
      <c r="E363" s="17" t="n"/>
      <c r="F363" s="17" t="n"/>
      <c r="G363" s="19" t="n"/>
      <c r="H363" s="17" t="n"/>
      <c r="I363" s="17" t="n"/>
      <c r="J363" s="17" t="n"/>
      <c r="K363" s="20">
        <f>IF($B363="","",IFERROR(INDEX(الموظفات!$A$5:$A$304,MATCH($B363,الموظفات!$B$5:$B$304,0))&amp;"",""))</f>
        <v/>
      </c>
      <c r="L363" s="21">
        <f>IF($B363="","",IFERROR(INDEX(الموظفات!$C$5:$C$304,MATCH($B363,الموظفات!$B$5:$B$304,0))&amp;"",""))</f>
        <v/>
      </c>
      <c r="M363" s="20">
        <f>IF($B363="","",IFERROR(INDEX(الموظفات!$D$5:$D$304,MATCH($B363,الموظفات!$B$5:$B$304,0))&amp;"",""))</f>
        <v/>
      </c>
      <c r="N363" s="20">
        <f>IF($B363="","",IFERROR(INDEX(الموظفات!$E$5:$E$304,MATCH($B363,الموظفات!$B$5:$B$304,0))&amp;"",""))</f>
        <v/>
      </c>
      <c r="O363" s="21">
        <f>IF(C363="","",IFERROR(INDEX(الإعدادات!$D$7:$D$35,MATCH(C363,الإعدادات!$A$7:$A$35,0))&amp;"",""))</f>
        <v/>
      </c>
      <c r="P363" s="20">
        <f>IF(A363="","",INDEX(الإعدادات!$H$7:$H$18,MONTH(A363)))</f>
        <v/>
      </c>
      <c r="Q363" s="20">
        <f>IF(A363="","",INDEX(الإعدادات!$I$7:$I$18,MONTH(A363)))</f>
        <v/>
      </c>
      <c r="R363" s="20">
        <f>IF(A363="","",IF(MONTH(A363)&gt;=8,YEAR(A363)&amp;"-"&amp;(YEAR(A363)+1),(YEAR(A363)-1)&amp;"-"&amp;YEAR(A363)))</f>
        <v/>
      </c>
      <c r="S363" s="20">
        <f>IF(OR(A363="",B363=""),0,IF(AND(R363=التقارير!$C$4,OR(التقارير!$C$5="سنوي",AND(التقارير!$C$5="شهري",P363=التقارير!$C$6),AND(التقارير!$C$5="فصلي",Q363=التقارير!$C$7))),1,0))</f>
        <v/>
      </c>
      <c r="T363" s="20">
        <f>IF(S363=1,COUNTIF($S$5:S363,1),"")</f>
        <v/>
      </c>
      <c r="U363">
        <f>IF(AND($A363&lt;&gt;"",$B363&lt;&gt;"",$R363='تقرير الفصل الأول'!$C$4,$Q363='تقرير الفصل الأول'!$C$7),COUNT(U$4:U362)+1,"")</f>
        <v/>
      </c>
      <c r="V363">
        <f>IF(AND($A363&lt;&gt;"",$B363&lt;&gt;"",$R363='تقرير الفصل الثاني'!$C$4,$Q363='تقرير الفصل الثاني'!$C$7),COUNT(V$4:V362)+1,"")</f>
        <v/>
      </c>
      <c r="W363">
        <f>IF(AND($A363&lt;&gt;"",$B363&lt;&gt;"",$R363='تقرير سبتمبر'!$C$4,$P363='تقرير سبتمبر'!$C$6),COUNT(W$4:W362)+1,"")</f>
        <v/>
      </c>
      <c r="X363">
        <f>IF(AND($A363&lt;&gt;"",$B363&lt;&gt;"",$R363='تقرير أكتوبر'!$C$4,$P363='تقرير أكتوبر'!$C$6),COUNT(X$4:X362)+1,"")</f>
        <v/>
      </c>
      <c r="Y363">
        <f>IF(AND($A363&lt;&gt;"",$B363&lt;&gt;"",$R363='تقرير نوفمبر'!$C$4,$P363='تقرير نوفمبر'!$C$6),COUNT(Y$4:Y362)+1,"")</f>
        <v/>
      </c>
      <c r="Z363">
        <f>IF(AND($A363&lt;&gt;"",$B363&lt;&gt;"",$R363='تقرير ديسمبر'!$C$4,$P363='تقرير ديسمبر'!$C$6),COUNT(Z$4:Z362)+1,"")</f>
        <v/>
      </c>
      <c r="AA363">
        <f>IF(AND($A363&lt;&gt;"",$B363&lt;&gt;"",$R363='تقرير يناير'!$C$4,$P363='تقرير يناير'!$C$6),COUNT(AA$4:AA362)+1,"")</f>
        <v/>
      </c>
      <c r="AB363">
        <f>IF(AND($A363&lt;&gt;"",$B363&lt;&gt;"",$R363='تقرير فبراير'!$C$4,$P363='تقرير فبراير'!$C$6),COUNT(AB$4:AB362)+1,"")</f>
        <v/>
      </c>
      <c r="AC363">
        <f>IF(AND($A363&lt;&gt;"",$B363&lt;&gt;"",$R363='تقرير مارس'!$C$4,$P363='تقرير مارس'!$C$6),COUNT(AC$4:AC362)+1,"")</f>
        <v/>
      </c>
      <c r="AD363">
        <f>IF(AND($A363&lt;&gt;"",$B363&lt;&gt;"",$R363='تقرير أبريل'!$C$4,$P363='تقرير أبريل'!$C$6),COUNT(AD$4:AD362)+1,"")</f>
        <v/>
      </c>
      <c r="AE363">
        <f>IF(AND($A363&lt;&gt;"",$B363&lt;&gt;"",$R363='تقرير مايو'!$C$4,$P363='تقرير مايو'!$C$6),COUNT(AE$4:AE362)+1,"")</f>
        <v/>
      </c>
    </row>
    <row r="364">
      <c r="A364" s="16" t="n"/>
      <c r="B364" s="17" t="n"/>
      <c r="C364" s="17" t="n"/>
      <c r="D364" s="18" t="n"/>
      <c r="E364" s="17" t="n"/>
      <c r="F364" s="17" t="n"/>
      <c r="G364" s="19" t="n"/>
      <c r="H364" s="17" t="n"/>
      <c r="I364" s="17" t="n"/>
      <c r="J364" s="17" t="n"/>
      <c r="K364" s="20">
        <f>IF($B364="","",IFERROR(INDEX(الموظفات!$A$5:$A$304,MATCH($B364,الموظفات!$B$5:$B$304,0))&amp;"",""))</f>
        <v/>
      </c>
      <c r="L364" s="21">
        <f>IF($B364="","",IFERROR(INDEX(الموظفات!$C$5:$C$304,MATCH($B364,الموظفات!$B$5:$B$304,0))&amp;"",""))</f>
        <v/>
      </c>
      <c r="M364" s="20">
        <f>IF($B364="","",IFERROR(INDEX(الموظفات!$D$5:$D$304,MATCH($B364,الموظفات!$B$5:$B$304,0))&amp;"",""))</f>
        <v/>
      </c>
      <c r="N364" s="20">
        <f>IF($B364="","",IFERROR(INDEX(الموظفات!$E$5:$E$304,MATCH($B364,الموظفات!$B$5:$B$304,0))&amp;"",""))</f>
        <v/>
      </c>
      <c r="O364" s="21">
        <f>IF(C364="","",IFERROR(INDEX(الإعدادات!$D$7:$D$35,MATCH(C364,الإعدادات!$A$7:$A$35,0))&amp;"",""))</f>
        <v/>
      </c>
      <c r="P364" s="20">
        <f>IF(A364="","",INDEX(الإعدادات!$H$7:$H$18,MONTH(A364)))</f>
        <v/>
      </c>
      <c r="Q364" s="20">
        <f>IF(A364="","",INDEX(الإعدادات!$I$7:$I$18,MONTH(A364)))</f>
        <v/>
      </c>
      <c r="R364" s="20">
        <f>IF(A364="","",IF(MONTH(A364)&gt;=8,YEAR(A364)&amp;"-"&amp;(YEAR(A364)+1),(YEAR(A364)-1)&amp;"-"&amp;YEAR(A364)))</f>
        <v/>
      </c>
      <c r="S364" s="20">
        <f>IF(OR(A364="",B364=""),0,IF(AND(R364=التقارير!$C$4,OR(التقارير!$C$5="سنوي",AND(التقارير!$C$5="شهري",P364=التقارير!$C$6),AND(التقارير!$C$5="فصلي",Q364=التقارير!$C$7))),1,0))</f>
        <v/>
      </c>
      <c r="T364" s="20">
        <f>IF(S364=1,COUNTIF($S$5:S364,1),"")</f>
        <v/>
      </c>
      <c r="U364">
        <f>IF(AND($A364&lt;&gt;"",$B364&lt;&gt;"",$R364='تقرير الفصل الأول'!$C$4,$Q364='تقرير الفصل الأول'!$C$7),COUNT(U$4:U363)+1,"")</f>
        <v/>
      </c>
      <c r="V364">
        <f>IF(AND($A364&lt;&gt;"",$B364&lt;&gt;"",$R364='تقرير الفصل الثاني'!$C$4,$Q364='تقرير الفصل الثاني'!$C$7),COUNT(V$4:V363)+1,"")</f>
        <v/>
      </c>
      <c r="W364">
        <f>IF(AND($A364&lt;&gt;"",$B364&lt;&gt;"",$R364='تقرير سبتمبر'!$C$4,$P364='تقرير سبتمبر'!$C$6),COUNT(W$4:W363)+1,"")</f>
        <v/>
      </c>
      <c r="X364">
        <f>IF(AND($A364&lt;&gt;"",$B364&lt;&gt;"",$R364='تقرير أكتوبر'!$C$4,$P364='تقرير أكتوبر'!$C$6),COUNT(X$4:X363)+1,"")</f>
        <v/>
      </c>
      <c r="Y364">
        <f>IF(AND($A364&lt;&gt;"",$B364&lt;&gt;"",$R364='تقرير نوفمبر'!$C$4,$P364='تقرير نوفمبر'!$C$6),COUNT(Y$4:Y363)+1,"")</f>
        <v/>
      </c>
      <c r="Z364">
        <f>IF(AND($A364&lt;&gt;"",$B364&lt;&gt;"",$R364='تقرير ديسمبر'!$C$4,$P364='تقرير ديسمبر'!$C$6),COUNT(Z$4:Z363)+1,"")</f>
        <v/>
      </c>
      <c r="AA364">
        <f>IF(AND($A364&lt;&gt;"",$B364&lt;&gt;"",$R364='تقرير يناير'!$C$4,$P364='تقرير يناير'!$C$6),COUNT(AA$4:AA363)+1,"")</f>
        <v/>
      </c>
      <c r="AB364">
        <f>IF(AND($A364&lt;&gt;"",$B364&lt;&gt;"",$R364='تقرير فبراير'!$C$4,$P364='تقرير فبراير'!$C$6),COUNT(AB$4:AB363)+1,"")</f>
        <v/>
      </c>
      <c r="AC364">
        <f>IF(AND($A364&lt;&gt;"",$B364&lt;&gt;"",$R364='تقرير مارس'!$C$4,$P364='تقرير مارس'!$C$6),COUNT(AC$4:AC363)+1,"")</f>
        <v/>
      </c>
      <c r="AD364">
        <f>IF(AND($A364&lt;&gt;"",$B364&lt;&gt;"",$R364='تقرير أبريل'!$C$4,$P364='تقرير أبريل'!$C$6),COUNT(AD$4:AD363)+1,"")</f>
        <v/>
      </c>
      <c r="AE364">
        <f>IF(AND($A364&lt;&gt;"",$B364&lt;&gt;"",$R364='تقرير مايو'!$C$4,$P364='تقرير مايو'!$C$6),COUNT(AE$4:AE363)+1,"")</f>
        <v/>
      </c>
    </row>
    <row r="365">
      <c r="A365" s="16" t="n"/>
      <c r="B365" s="17" t="n"/>
      <c r="C365" s="17" t="n"/>
      <c r="D365" s="18" t="n"/>
      <c r="E365" s="17" t="n"/>
      <c r="F365" s="17" t="n"/>
      <c r="G365" s="19" t="n"/>
      <c r="H365" s="17" t="n"/>
      <c r="I365" s="17" t="n"/>
      <c r="J365" s="17" t="n"/>
      <c r="K365" s="20">
        <f>IF($B365="","",IFERROR(INDEX(الموظفات!$A$5:$A$304,MATCH($B365,الموظفات!$B$5:$B$304,0))&amp;"",""))</f>
        <v/>
      </c>
      <c r="L365" s="21">
        <f>IF($B365="","",IFERROR(INDEX(الموظفات!$C$5:$C$304,MATCH($B365,الموظفات!$B$5:$B$304,0))&amp;"",""))</f>
        <v/>
      </c>
      <c r="M365" s="20">
        <f>IF($B365="","",IFERROR(INDEX(الموظفات!$D$5:$D$304,MATCH($B365,الموظفات!$B$5:$B$304,0))&amp;"",""))</f>
        <v/>
      </c>
      <c r="N365" s="20">
        <f>IF($B365="","",IFERROR(INDEX(الموظفات!$E$5:$E$304,MATCH($B365,الموظفات!$B$5:$B$304,0))&amp;"",""))</f>
        <v/>
      </c>
      <c r="O365" s="21">
        <f>IF(C365="","",IFERROR(INDEX(الإعدادات!$D$7:$D$35,MATCH(C365,الإعدادات!$A$7:$A$35,0))&amp;"",""))</f>
        <v/>
      </c>
      <c r="P365" s="20">
        <f>IF(A365="","",INDEX(الإعدادات!$H$7:$H$18,MONTH(A365)))</f>
        <v/>
      </c>
      <c r="Q365" s="20">
        <f>IF(A365="","",INDEX(الإعدادات!$I$7:$I$18,MONTH(A365)))</f>
        <v/>
      </c>
      <c r="R365" s="20">
        <f>IF(A365="","",IF(MONTH(A365)&gt;=8,YEAR(A365)&amp;"-"&amp;(YEAR(A365)+1),(YEAR(A365)-1)&amp;"-"&amp;YEAR(A365)))</f>
        <v/>
      </c>
      <c r="S365" s="20">
        <f>IF(OR(A365="",B365=""),0,IF(AND(R365=التقارير!$C$4,OR(التقارير!$C$5="سنوي",AND(التقارير!$C$5="شهري",P365=التقارير!$C$6),AND(التقارير!$C$5="فصلي",Q365=التقارير!$C$7))),1,0))</f>
        <v/>
      </c>
      <c r="T365" s="20">
        <f>IF(S365=1,COUNTIF($S$5:S365,1),"")</f>
        <v/>
      </c>
      <c r="U365">
        <f>IF(AND($A365&lt;&gt;"",$B365&lt;&gt;"",$R365='تقرير الفصل الأول'!$C$4,$Q365='تقرير الفصل الأول'!$C$7),COUNT(U$4:U364)+1,"")</f>
        <v/>
      </c>
      <c r="V365">
        <f>IF(AND($A365&lt;&gt;"",$B365&lt;&gt;"",$R365='تقرير الفصل الثاني'!$C$4,$Q365='تقرير الفصل الثاني'!$C$7),COUNT(V$4:V364)+1,"")</f>
        <v/>
      </c>
      <c r="W365">
        <f>IF(AND($A365&lt;&gt;"",$B365&lt;&gt;"",$R365='تقرير سبتمبر'!$C$4,$P365='تقرير سبتمبر'!$C$6),COUNT(W$4:W364)+1,"")</f>
        <v/>
      </c>
      <c r="X365">
        <f>IF(AND($A365&lt;&gt;"",$B365&lt;&gt;"",$R365='تقرير أكتوبر'!$C$4,$P365='تقرير أكتوبر'!$C$6),COUNT(X$4:X364)+1,"")</f>
        <v/>
      </c>
      <c r="Y365">
        <f>IF(AND($A365&lt;&gt;"",$B365&lt;&gt;"",$R365='تقرير نوفمبر'!$C$4,$P365='تقرير نوفمبر'!$C$6),COUNT(Y$4:Y364)+1,"")</f>
        <v/>
      </c>
      <c r="Z365">
        <f>IF(AND($A365&lt;&gt;"",$B365&lt;&gt;"",$R365='تقرير ديسمبر'!$C$4,$P365='تقرير ديسمبر'!$C$6),COUNT(Z$4:Z364)+1,"")</f>
        <v/>
      </c>
      <c r="AA365">
        <f>IF(AND($A365&lt;&gt;"",$B365&lt;&gt;"",$R365='تقرير يناير'!$C$4,$P365='تقرير يناير'!$C$6),COUNT(AA$4:AA364)+1,"")</f>
        <v/>
      </c>
      <c r="AB365">
        <f>IF(AND($A365&lt;&gt;"",$B365&lt;&gt;"",$R365='تقرير فبراير'!$C$4,$P365='تقرير فبراير'!$C$6),COUNT(AB$4:AB364)+1,"")</f>
        <v/>
      </c>
      <c r="AC365">
        <f>IF(AND($A365&lt;&gt;"",$B365&lt;&gt;"",$R365='تقرير مارس'!$C$4,$P365='تقرير مارس'!$C$6),COUNT(AC$4:AC364)+1,"")</f>
        <v/>
      </c>
      <c r="AD365">
        <f>IF(AND($A365&lt;&gt;"",$B365&lt;&gt;"",$R365='تقرير أبريل'!$C$4,$P365='تقرير أبريل'!$C$6),COUNT(AD$4:AD364)+1,"")</f>
        <v/>
      </c>
      <c r="AE365">
        <f>IF(AND($A365&lt;&gt;"",$B365&lt;&gt;"",$R365='تقرير مايو'!$C$4,$P365='تقرير مايو'!$C$6),COUNT(AE$4:AE364)+1,"")</f>
        <v/>
      </c>
    </row>
    <row r="366">
      <c r="A366" s="16" t="n"/>
      <c r="B366" s="17" t="n"/>
      <c r="C366" s="17" t="n"/>
      <c r="D366" s="18" t="n"/>
      <c r="E366" s="17" t="n"/>
      <c r="F366" s="17" t="n"/>
      <c r="G366" s="19" t="n"/>
      <c r="H366" s="17" t="n"/>
      <c r="I366" s="17" t="n"/>
      <c r="J366" s="17" t="n"/>
      <c r="K366" s="20">
        <f>IF($B366="","",IFERROR(INDEX(الموظفات!$A$5:$A$304,MATCH($B366,الموظفات!$B$5:$B$304,0))&amp;"",""))</f>
        <v/>
      </c>
      <c r="L366" s="21">
        <f>IF($B366="","",IFERROR(INDEX(الموظفات!$C$5:$C$304,MATCH($B366,الموظفات!$B$5:$B$304,0))&amp;"",""))</f>
        <v/>
      </c>
      <c r="M366" s="20">
        <f>IF($B366="","",IFERROR(INDEX(الموظفات!$D$5:$D$304,MATCH($B366,الموظفات!$B$5:$B$304,0))&amp;"",""))</f>
        <v/>
      </c>
      <c r="N366" s="20">
        <f>IF($B366="","",IFERROR(INDEX(الموظفات!$E$5:$E$304,MATCH($B366,الموظفات!$B$5:$B$304,0))&amp;"",""))</f>
        <v/>
      </c>
      <c r="O366" s="21">
        <f>IF(C366="","",IFERROR(INDEX(الإعدادات!$D$7:$D$35,MATCH(C366,الإعدادات!$A$7:$A$35,0))&amp;"",""))</f>
        <v/>
      </c>
      <c r="P366" s="20">
        <f>IF(A366="","",INDEX(الإعدادات!$H$7:$H$18,MONTH(A366)))</f>
        <v/>
      </c>
      <c r="Q366" s="20">
        <f>IF(A366="","",INDEX(الإعدادات!$I$7:$I$18,MONTH(A366)))</f>
        <v/>
      </c>
      <c r="R366" s="20">
        <f>IF(A366="","",IF(MONTH(A366)&gt;=8,YEAR(A366)&amp;"-"&amp;(YEAR(A366)+1),(YEAR(A366)-1)&amp;"-"&amp;YEAR(A366)))</f>
        <v/>
      </c>
      <c r="S366" s="20">
        <f>IF(OR(A366="",B366=""),0,IF(AND(R366=التقارير!$C$4,OR(التقارير!$C$5="سنوي",AND(التقارير!$C$5="شهري",P366=التقارير!$C$6),AND(التقارير!$C$5="فصلي",Q366=التقارير!$C$7))),1,0))</f>
        <v/>
      </c>
      <c r="T366" s="20">
        <f>IF(S366=1,COUNTIF($S$5:S366,1),"")</f>
        <v/>
      </c>
      <c r="U366">
        <f>IF(AND($A366&lt;&gt;"",$B366&lt;&gt;"",$R366='تقرير الفصل الأول'!$C$4,$Q366='تقرير الفصل الأول'!$C$7),COUNT(U$4:U365)+1,"")</f>
        <v/>
      </c>
      <c r="V366">
        <f>IF(AND($A366&lt;&gt;"",$B366&lt;&gt;"",$R366='تقرير الفصل الثاني'!$C$4,$Q366='تقرير الفصل الثاني'!$C$7),COUNT(V$4:V365)+1,"")</f>
        <v/>
      </c>
      <c r="W366">
        <f>IF(AND($A366&lt;&gt;"",$B366&lt;&gt;"",$R366='تقرير سبتمبر'!$C$4,$P366='تقرير سبتمبر'!$C$6),COUNT(W$4:W365)+1,"")</f>
        <v/>
      </c>
      <c r="X366">
        <f>IF(AND($A366&lt;&gt;"",$B366&lt;&gt;"",$R366='تقرير أكتوبر'!$C$4,$P366='تقرير أكتوبر'!$C$6),COUNT(X$4:X365)+1,"")</f>
        <v/>
      </c>
      <c r="Y366">
        <f>IF(AND($A366&lt;&gt;"",$B366&lt;&gt;"",$R366='تقرير نوفمبر'!$C$4,$P366='تقرير نوفمبر'!$C$6),COUNT(Y$4:Y365)+1,"")</f>
        <v/>
      </c>
      <c r="Z366">
        <f>IF(AND($A366&lt;&gt;"",$B366&lt;&gt;"",$R366='تقرير ديسمبر'!$C$4,$P366='تقرير ديسمبر'!$C$6),COUNT(Z$4:Z365)+1,"")</f>
        <v/>
      </c>
      <c r="AA366">
        <f>IF(AND($A366&lt;&gt;"",$B366&lt;&gt;"",$R366='تقرير يناير'!$C$4,$P366='تقرير يناير'!$C$6),COUNT(AA$4:AA365)+1,"")</f>
        <v/>
      </c>
      <c r="AB366">
        <f>IF(AND($A366&lt;&gt;"",$B366&lt;&gt;"",$R366='تقرير فبراير'!$C$4,$P366='تقرير فبراير'!$C$6),COUNT(AB$4:AB365)+1,"")</f>
        <v/>
      </c>
      <c r="AC366">
        <f>IF(AND($A366&lt;&gt;"",$B366&lt;&gt;"",$R366='تقرير مارس'!$C$4,$P366='تقرير مارس'!$C$6),COUNT(AC$4:AC365)+1,"")</f>
        <v/>
      </c>
      <c r="AD366">
        <f>IF(AND($A366&lt;&gt;"",$B366&lt;&gt;"",$R366='تقرير أبريل'!$C$4,$P366='تقرير أبريل'!$C$6),COUNT(AD$4:AD365)+1,"")</f>
        <v/>
      </c>
      <c r="AE366">
        <f>IF(AND($A366&lt;&gt;"",$B366&lt;&gt;"",$R366='تقرير مايو'!$C$4,$P366='تقرير مايو'!$C$6),COUNT(AE$4:AE365)+1,"")</f>
        <v/>
      </c>
    </row>
    <row r="367">
      <c r="A367" s="16" t="n"/>
      <c r="B367" s="17" t="n"/>
      <c r="C367" s="17" t="n"/>
      <c r="D367" s="18" t="n"/>
      <c r="E367" s="17" t="n"/>
      <c r="F367" s="17" t="n"/>
      <c r="G367" s="19" t="n"/>
      <c r="H367" s="17" t="n"/>
      <c r="I367" s="17" t="n"/>
      <c r="J367" s="17" t="n"/>
      <c r="K367" s="20">
        <f>IF($B367="","",IFERROR(INDEX(الموظفات!$A$5:$A$304,MATCH($B367,الموظفات!$B$5:$B$304,0))&amp;"",""))</f>
        <v/>
      </c>
      <c r="L367" s="21">
        <f>IF($B367="","",IFERROR(INDEX(الموظفات!$C$5:$C$304,MATCH($B367,الموظفات!$B$5:$B$304,0))&amp;"",""))</f>
        <v/>
      </c>
      <c r="M367" s="20">
        <f>IF($B367="","",IFERROR(INDEX(الموظفات!$D$5:$D$304,MATCH($B367,الموظفات!$B$5:$B$304,0))&amp;"",""))</f>
        <v/>
      </c>
      <c r="N367" s="20">
        <f>IF($B367="","",IFERROR(INDEX(الموظفات!$E$5:$E$304,MATCH($B367,الموظفات!$B$5:$B$304,0))&amp;"",""))</f>
        <v/>
      </c>
      <c r="O367" s="21">
        <f>IF(C367="","",IFERROR(INDEX(الإعدادات!$D$7:$D$35,MATCH(C367,الإعدادات!$A$7:$A$35,0))&amp;"",""))</f>
        <v/>
      </c>
      <c r="P367" s="20">
        <f>IF(A367="","",INDEX(الإعدادات!$H$7:$H$18,MONTH(A367)))</f>
        <v/>
      </c>
      <c r="Q367" s="20">
        <f>IF(A367="","",INDEX(الإعدادات!$I$7:$I$18,MONTH(A367)))</f>
        <v/>
      </c>
      <c r="R367" s="20">
        <f>IF(A367="","",IF(MONTH(A367)&gt;=8,YEAR(A367)&amp;"-"&amp;(YEAR(A367)+1),(YEAR(A367)-1)&amp;"-"&amp;YEAR(A367)))</f>
        <v/>
      </c>
      <c r="S367" s="20">
        <f>IF(OR(A367="",B367=""),0,IF(AND(R367=التقارير!$C$4,OR(التقارير!$C$5="سنوي",AND(التقارير!$C$5="شهري",P367=التقارير!$C$6),AND(التقارير!$C$5="فصلي",Q367=التقارير!$C$7))),1,0))</f>
        <v/>
      </c>
      <c r="T367" s="20">
        <f>IF(S367=1,COUNTIF($S$5:S367,1),"")</f>
        <v/>
      </c>
      <c r="U367">
        <f>IF(AND($A367&lt;&gt;"",$B367&lt;&gt;"",$R367='تقرير الفصل الأول'!$C$4,$Q367='تقرير الفصل الأول'!$C$7),COUNT(U$4:U366)+1,"")</f>
        <v/>
      </c>
      <c r="V367">
        <f>IF(AND($A367&lt;&gt;"",$B367&lt;&gt;"",$R367='تقرير الفصل الثاني'!$C$4,$Q367='تقرير الفصل الثاني'!$C$7),COUNT(V$4:V366)+1,"")</f>
        <v/>
      </c>
      <c r="W367">
        <f>IF(AND($A367&lt;&gt;"",$B367&lt;&gt;"",$R367='تقرير سبتمبر'!$C$4,$P367='تقرير سبتمبر'!$C$6),COUNT(W$4:W366)+1,"")</f>
        <v/>
      </c>
      <c r="X367">
        <f>IF(AND($A367&lt;&gt;"",$B367&lt;&gt;"",$R367='تقرير أكتوبر'!$C$4,$P367='تقرير أكتوبر'!$C$6),COUNT(X$4:X366)+1,"")</f>
        <v/>
      </c>
      <c r="Y367">
        <f>IF(AND($A367&lt;&gt;"",$B367&lt;&gt;"",$R367='تقرير نوفمبر'!$C$4,$P367='تقرير نوفمبر'!$C$6),COUNT(Y$4:Y366)+1,"")</f>
        <v/>
      </c>
      <c r="Z367">
        <f>IF(AND($A367&lt;&gt;"",$B367&lt;&gt;"",$R367='تقرير ديسمبر'!$C$4,$P367='تقرير ديسمبر'!$C$6),COUNT(Z$4:Z366)+1,"")</f>
        <v/>
      </c>
      <c r="AA367">
        <f>IF(AND($A367&lt;&gt;"",$B367&lt;&gt;"",$R367='تقرير يناير'!$C$4,$P367='تقرير يناير'!$C$6),COUNT(AA$4:AA366)+1,"")</f>
        <v/>
      </c>
      <c r="AB367">
        <f>IF(AND($A367&lt;&gt;"",$B367&lt;&gt;"",$R367='تقرير فبراير'!$C$4,$P367='تقرير فبراير'!$C$6),COUNT(AB$4:AB366)+1,"")</f>
        <v/>
      </c>
      <c r="AC367">
        <f>IF(AND($A367&lt;&gt;"",$B367&lt;&gt;"",$R367='تقرير مارس'!$C$4,$P367='تقرير مارس'!$C$6),COUNT(AC$4:AC366)+1,"")</f>
        <v/>
      </c>
      <c r="AD367">
        <f>IF(AND($A367&lt;&gt;"",$B367&lt;&gt;"",$R367='تقرير أبريل'!$C$4,$P367='تقرير أبريل'!$C$6),COUNT(AD$4:AD366)+1,"")</f>
        <v/>
      </c>
      <c r="AE367">
        <f>IF(AND($A367&lt;&gt;"",$B367&lt;&gt;"",$R367='تقرير مايو'!$C$4,$P367='تقرير مايو'!$C$6),COUNT(AE$4:AE366)+1,"")</f>
        <v/>
      </c>
    </row>
    <row r="368">
      <c r="A368" s="16" t="n"/>
      <c r="B368" s="17" t="n"/>
      <c r="C368" s="17" t="n"/>
      <c r="D368" s="18" t="n"/>
      <c r="E368" s="17" t="n"/>
      <c r="F368" s="17" t="n"/>
      <c r="G368" s="19" t="n"/>
      <c r="H368" s="17" t="n"/>
      <c r="I368" s="17" t="n"/>
      <c r="J368" s="17" t="n"/>
      <c r="K368" s="20">
        <f>IF($B368="","",IFERROR(INDEX(الموظفات!$A$5:$A$304,MATCH($B368,الموظفات!$B$5:$B$304,0))&amp;"",""))</f>
        <v/>
      </c>
      <c r="L368" s="21">
        <f>IF($B368="","",IFERROR(INDEX(الموظفات!$C$5:$C$304,MATCH($B368,الموظفات!$B$5:$B$304,0))&amp;"",""))</f>
        <v/>
      </c>
      <c r="M368" s="20">
        <f>IF($B368="","",IFERROR(INDEX(الموظفات!$D$5:$D$304,MATCH($B368,الموظفات!$B$5:$B$304,0))&amp;"",""))</f>
        <v/>
      </c>
      <c r="N368" s="20">
        <f>IF($B368="","",IFERROR(INDEX(الموظفات!$E$5:$E$304,MATCH($B368,الموظفات!$B$5:$B$304,0))&amp;"",""))</f>
        <v/>
      </c>
      <c r="O368" s="21">
        <f>IF(C368="","",IFERROR(INDEX(الإعدادات!$D$7:$D$35,MATCH(C368,الإعدادات!$A$7:$A$35,0))&amp;"",""))</f>
        <v/>
      </c>
      <c r="P368" s="20">
        <f>IF(A368="","",INDEX(الإعدادات!$H$7:$H$18,MONTH(A368)))</f>
        <v/>
      </c>
      <c r="Q368" s="20">
        <f>IF(A368="","",INDEX(الإعدادات!$I$7:$I$18,MONTH(A368)))</f>
        <v/>
      </c>
      <c r="R368" s="20">
        <f>IF(A368="","",IF(MONTH(A368)&gt;=8,YEAR(A368)&amp;"-"&amp;(YEAR(A368)+1),(YEAR(A368)-1)&amp;"-"&amp;YEAR(A368)))</f>
        <v/>
      </c>
      <c r="S368" s="20">
        <f>IF(OR(A368="",B368=""),0,IF(AND(R368=التقارير!$C$4,OR(التقارير!$C$5="سنوي",AND(التقارير!$C$5="شهري",P368=التقارير!$C$6),AND(التقارير!$C$5="فصلي",Q368=التقارير!$C$7))),1,0))</f>
        <v/>
      </c>
      <c r="T368" s="20">
        <f>IF(S368=1,COUNTIF($S$5:S368,1),"")</f>
        <v/>
      </c>
      <c r="U368">
        <f>IF(AND($A368&lt;&gt;"",$B368&lt;&gt;"",$R368='تقرير الفصل الأول'!$C$4,$Q368='تقرير الفصل الأول'!$C$7),COUNT(U$4:U367)+1,"")</f>
        <v/>
      </c>
      <c r="V368">
        <f>IF(AND($A368&lt;&gt;"",$B368&lt;&gt;"",$R368='تقرير الفصل الثاني'!$C$4,$Q368='تقرير الفصل الثاني'!$C$7),COUNT(V$4:V367)+1,"")</f>
        <v/>
      </c>
      <c r="W368">
        <f>IF(AND($A368&lt;&gt;"",$B368&lt;&gt;"",$R368='تقرير سبتمبر'!$C$4,$P368='تقرير سبتمبر'!$C$6),COUNT(W$4:W367)+1,"")</f>
        <v/>
      </c>
      <c r="X368">
        <f>IF(AND($A368&lt;&gt;"",$B368&lt;&gt;"",$R368='تقرير أكتوبر'!$C$4,$P368='تقرير أكتوبر'!$C$6),COUNT(X$4:X367)+1,"")</f>
        <v/>
      </c>
      <c r="Y368">
        <f>IF(AND($A368&lt;&gt;"",$B368&lt;&gt;"",$R368='تقرير نوفمبر'!$C$4,$P368='تقرير نوفمبر'!$C$6),COUNT(Y$4:Y367)+1,"")</f>
        <v/>
      </c>
      <c r="Z368">
        <f>IF(AND($A368&lt;&gt;"",$B368&lt;&gt;"",$R368='تقرير ديسمبر'!$C$4,$P368='تقرير ديسمبر'!$C$6),COUNT(Z$4:Z367)+1,"")</f>
        <v/>
      </c>
      <c r="AA368">
        <f>IF(AND($A368&lt;&gt;"",$B368&lt;&gt;"",$R368='تقرير يناير'!$C$4,$P368='تقرير يناير'!$C$6),COUNT(AA$4:AA367)+1,"")</f>
        <v/>
      </c>
      <c r="AB368">
        <f>IF(AND($A368&lt;&gt;"",$B368&lt;&gt;"",$R368='تقرير فبراير'!$C$4,$P368='تقرير فبراير'!$C$6),COUNT(AB$4:AB367)+1,"")</f>
        <v/>
      </c>
      <c r="AC368">
        <f>IF(AND($A368&lt;&gt;"",$B368&lt;&gt;"",$R368='تقرير مارس'!$C$4,$P368='تقرير مارس'!$C$6),COUNT(AC$4:AC367)+1,"")</f>
        <v/>
      </c>
      <c r="AD368">
        <f>IF(AND($A368&lt;&gt;"",$B368&lt;&gt;"",$R368='تقرير أبريل'!$C$4,$P368='تقرير أبريل'!$C$6),COUNT(AD$4:AD367)+1,"")</f>
        <v/>
      </c>
      <c r="AE368">
        <f>IF(AND($A368&lt;&gt;"",$B368&lt;&gt;"",$R368='تقرير مايو'!$C$4,$P368='تقرير مايو'!$C$6),COUNT(AE$4:AE367)+1,"")</f>
        <v/>
      </c>
    </row>
    <row r="369">
      <c r="A369" s="16" t="n"/>
      <c r="B369" s="17" t="n"/>
      <c r="C369" s="17" t="n"/>
      <c r="D369" s="18" t="n"/>
      <c r="E369" s="17" t="n"/>
      <c r="F369" s="17" t="n"/>
      <c r="G369" s="19" t="n"/>
      <c r="H369" s="17" t="n"/>
      <c r="I369" s="17" t="n"/>
      <c r="J369" s="17" t="n"/>
      <c r="K369" s="20">
        <f>IF($B369="","",IFERROR(INDEX(الموظفات!$A$5:$A$304,MATCH($B369,الموظفات!$B$5:$B$304,0))&amp;"",""))</f>
        <v/>
      </c>
      <c r="L369" s="21">
        <f>IF($B369="","",IFERROR(INDEX(الموظفات!$C$5:$C$304,MATCH($B369,الموظفات!$B$5:$B$304,0))&amp;"",""))</f>
        <v/>
      </c>
      <c r="M369" s="20">
        <f>IF($B369="","",IFERROR(INDEX(الموظفات!$D$5:$D$304,MATCH($B369,الموظفات!$B$5:$B$304,0))&amp;"",""))</f>
        <v/>
      </c>
      <c r="N369" s="20">
        <f>IF($B369="","",IFERROR(INDEX(الموظفات!$E$5:$E$304,MATCH($B369,الموظفات!$B$5:$B$304,0))&amp;"",""))</f>
        <v/>
      </c>
      <c r="O369" s="21">
        <f>IF(C369="","",IFERROR(INDEX(الإعدادات!$D$7:$D$35,MATCH(C369,الإعدادات!$A$7:$A$35,0))&amp;"",""))</f>
        <v/>
      </c>
      <c r="P369" s="20">
        <f>IF(A369="","",INDEX(الإعدادات!$H$7:$H$18,MONTH(A369)))</f>
        <v/>
      </c>
      <c r="Q369" s="20">
        <f>IF(A369="","",INDEX(الإعدادات!$I$7:$I$18,MONTH(A369)))</f>
        <v/>
      </c>
      <c r="R369" s="20">
        <f>IF(A369="","",IF(MONTH(A369)&gt;=8,YEAR(A369)&amp;"-"&amp;(YEAR(A369)+1),(YEAR(A369)-1)&amp;"-"&amp;YEAR(A369)))</f>
        <v/>
      </c>
      <c r="S369" s="20">
        <f>IF(OR(A369="",B369=""),0,IF(AND(R369=التقارير!$C$4,OR(التقارير!$C$5="سنوي",AND(التقارير!$C$5="شهري",P369=التقارير!$C$6),AND(التقارير!$C$5="فصلي",Q369=التقارير!$C$7))),1,0))</f>
        <v/>
      </c>
      <c r="T369" s="20">
        <f>IF(S369=1,COUNTIF($S$5:S369,1),"")</f>
        <v/>
      </c>
      <c r="U369">
        <f>IF(AND($A369&lt;&gt;"",$B369&lt;&gt;"",$R369='تقرير الفصل الأول'!$C$4,$Q369='تقرير الفصل الأول'!$C$7),COUNT(U$4:U368)+1,"")</f>
        <v/>
      </c>
      <c r="V369">
        <f>IF(AND($A369&lt;&gt;"",$B369&lt;&gt;"",$R369='تقرير الفصل الثاني'!$C$4,$Q369='تقرير الفصل الثاني'!$C$7),COUNT(V$4:V368)+1,"")</f>
        <v/>
      </c>
      <c r="W369">
        <f>IF(AND($A369&lt;&gt;"",$B369&lt;&gt;"",$R369='تقرير سبتمبر'!$C$4,$P369='تقرير سبتمبر'!$C$6),COUNT(W$4:W368)+1,"")</f>
        <v/>
      </c>
      <c r="X369">
        <f>IF(AND($A369&lt;&gt;"",$B369&lt;&gt;"",$R369='تقرير أكتوبر'!$C$4,$P369='تقرير أكتوبر'!$C$6),COUNT(X$4:X368)+1,"")</f>
        <v/>
      </c>
      <c r="Y369">
        <f>IF(AND($A369&lt;&gt;"",$B369&lt;&gt;"",$R369='تقرير نوفمبر'!$C$4,$P369='تقرير نوفمبر'!$C$6),COUNT(Y$4:Y368)+1,"")</f>
        <v/>
      </c>
      <c r="Z369">
        <f>IF(AND($A369&lt;&gt;"",$B369&lt;&gt;"",$R369='تقرير ديسمبر'!$C$4,$P369='تقرير ديسمبر'!$C$6),COUNT(Z$4:Z368)+1,"")</f>
        <v/>
      </c>
      <c r="AA369">
        <f>IF(AND($A369&lt;&gt;"",$B369&lt;&gt;"",$R369='تقرير يناير'!$C$4,$P369='تقرير يناير'!$C$6),COUNT(AA$4:AA368)+1,"")</f>
        <v/>
      </c>
      <c r="AB369">
        <f>IF(AND($A369&lt;&gt;"",$B369&lt;&gt;"",$R369='تقرير فبراير'!$C$4,$P369='تقرير فبراير'!$C$6),COUNT(AB$4:AB368)+1,"")</f>
        <v/>
      </c>
      <c r="AC369">
        <f>IF(AND($A369&lt;&gt;"",$B369&lt;&gt;"",$R369='تقرير مارس'!$C$4,$P369='تقرير مارس'!$C$6),COUNT(AC$4:AC368)+1,"")</f>
        <v/>
      </c>
      <c r="AD369">
        <f>IF(AND($A369&lt;&gt;"",$B369&lt;&gt;"",$R369='تقرير أبريل'!$C$4,$P369='تقرير أبريل'!$C$6),COUNT(AD$4:AD368)+1,"")</f>
        <v/>
      </c>
      <c r="AE369">
        <f>IF(AND($A369&lt;&gt;"",$B369&lt;&gt;"",$R369='تقرير مايو'!$C$4,$P369='تقرير مايو'!$C$6),COUNT(AE$4:AE368)+1,"")</f>
        <v/>
      </c>
    </row>
    <row r="370">
      <c r="A370" s="16" t="n"/>
      <c r="B370" s="17" t="n"/>
      <c r="C370" s="17" t="n"/>
      <c r="D370" s="18" t="n"/>
      <c r="E370" s="17" t="n"/>
      <c r="F370" s="17" t="n"/>
      <c r="G370" s="19" t="n"/>
      <c r="H370" s="17" t="n"/>
      <c r="I370" s="17" t="n"/>
      <c r="J370" s="17" t="n"/>
      <c r="K370" s="20">
        <f>IF($B370="","",IFERROR(INDEX(الموظفات!$A$5:$A$304,MATCH($B370,الموظفات!$B$5:$B$304,0))&amp;"",""))</f>
        <v/>
      </c>
      <c r="L370" s="21">
        <f>IF($B370="","",IFERROR(INDEX(الموظفات!$C$5:$C$304,MATCH($B370,الموظفات!$B$5:$B$304,0))&amp;"",""))</f>
        <v/>
      </c>
      <c r="M370" s="20">
        <f>IF($B370="","",IFERROR(INDEX(الموظفات!$D$5:$D$304,MATCH($B370,الموظفات!$B$5:$B$304,0))&amp;"",""))</f>
        <v/>
      </c>
      <c r="N370" s="20">
        <f>IF($B370="","",IFERROR(INDEX(الموظفات!$E$5:$E$304,MATCH($B370,الموظفات!$B$5:$B$304,0))&amp;"",""))</f>
        <v/>
      </c>
      <c r="O370" s="21">
        <f>IF(C370="","",IFERROR(INDEX(الإعدادات!$D$7:$D$35,MATCH(C370,الإعدادات!$A$7:$A$35,0))&amp;"",""))</f>
        <v/>
      </c>
      <c r="P370" s="20">
        <f>IF(A370="","",INDEX(الإعدادات!$H$7:$H$18,MONTH(A370)))</f>
        <v/>
      </c>
      <c r="Q370" s="20">
        <f>IF(A370="","",INDEX(الإعدادات!$I$7:$I$18,MONTH(A370)))</f>
        <v/>
      </c>
      <c r="R370" s="20">
        <f>IF(A370="","",IF(MONTH(A370)&gt;=8,YEAR(A370)&amp;"-"&amp;(YEAR(A370)+1),(YEAR(A370)-1)&amp;"-"&amp;YEAR(A370)))</f>
        <v/>
      </c>
      <c r="S370" s="20">
        <f>IF(OR(A370="",B370=""),0,IF(AND(R370=التقارير!$C$4,OR(التقارير!$C$5="سنوي",AND(التقارير!$C$5="شهري",P370=التقارير!$C$6),AND(التقارير!$C$5="فصلي",Q370=التقارير!$C$7))),1,0))</f>
        <v/>
      </c>
      <c r="T370" s="20">
        <f>IF(S370=1,COUNTIF($S$5:S370,1),"")</f>
        <v/>
      </c>
      <c r="U370">
        <f>IF(AND($A370&lt;&gt;"",$B370&lt;&gt;"",$R370='تقرير الفصل الأول'!$C$4,$Q370='تقرير الفصل الأول'!$C$7),COUNT(U$4:U369)+1,"")</f>
        <v/>
      </c>
      <c r="V370">
        <f>IF(AND($A370&lt;&gt;"",$B370&lt;&gt;"",$R370='تقرير الفصل الثاني'!$C$4,$Q370='تقرير الفصل الثاني'!$C$7),COUNT(V$4:V369)+1,"")</f>
        <v/>
      </c>
      <c r="W370">
        <f>IF(AND($A370&lt;&gt;"",$B370&lt;&gt;"",$R370='تقرير سبتمبر'!$C$4,$P370='تقرير سبتمبر'!$C$6),COUNT(W$4:W369)+1,"")</f>
        <v/>
      </c>
      <c r="X370">
        <f>IF(AND($A370&lt;&gt;"",$B370&lt;&gt;"",$R370='تقرير أكتوبر'!$C$4,$P370='تقرير أكتوبر'!$C$6),COUNT(X$4:X369)+1,"")</f>
        <v/>
      </c>
      <c r="Y370">
        <f>IF(AND($A370&lt;&gt;"",$B370&lt;&gt;"",$R370='تقرير نوفمبر'!$C$4,$P370='تقرير نوفمبر'!$C$6),COUNT(Y$4:Y369)+1,"")</f>
        <v/>
      </c>
      <c r="Z370">
        <f>IF(AND($A370&lt;&gt;"",$B370&lt;&gt;"",$R370='تقرير ديسمبر'!$C$4,$P370='تقرير ديسمبر'!$C$6),COUNT(Z$4:Z369)+1,"")</f>
        <v/>
      </c>
      <c r="AA370">
        <f>IF(AND($A370&lt;&gt;"",$B370&lt;&gt;"",$R370='تقرير يناير'!$C$4,$P370='تقرير يناير'!$C$6),COUNT(AA$4:AA369)+1,"")</f>
        <v/>
      </c>
      <c r="AB370">
        <f>IF(AND($A370&lt;&gt;"",$B370&lt;&gt;"",$R370='تقرير فبراير'!$C$4,$P370='تقرير فبراير'!$C$6),COUNT(AB$4:AB369)+1,"")</f>
        <v/>
      </c>
      <c r="AC370">
        <f>IF(AND($A370&lt;&gt;"",$B370&lt;&gt;"",$R370='تقرير مارس'!$C$4,$P370='تقرير مارس'!$C$6),COUNT(AC$4:AC369)+1,"")</f>
        <v/>
      </c>
      <c r="AD370">
        <f>IF(AND($A370&lt;&gt;"",$B370&lt;&gt;"",$R370='تقرير أبريل'!$C$4,$P370='تقرير أبريل'!$C$6),COUNT(AD$4:AD369)+1,"")</f>
        <v/>
      </c>
      <c r="AE370">
        <f>IF(AND($A370&lt;&gt;"",$B370&lt;&gt;"",$R370='تقرير مايو'!$C$4,$P370='تقرير مايو'!$C$6),COUNT(AE$4:AE369)+1,"")</f>
        <v/>
      </c>
    </row>
    <row r="371">
      <c r="A371" s="16" t="n"/>
      <c r="B371" s="17" t="n"/>
      <c r="C371" s="17" t="n"/>
      <c r="D371" s="18" t="n"/>
      <c r="E371" s="17" t="n"/>
      <c r="F371" s="17" t="n"/>
      <c r="G371" s="19" t="n"/>
      <c r="H371" s="17" t="n"/>
      <c r="I371" s="17" t="n"/>
      <c r="J371" s="17" t="n"/>
      <c r="K371" s="20">
        <f>IF($B371="","",IFERROR(INDEX(الموظفات!$A$5:$A$304,MATCH($B371,الموظفات!$B$5:$B$304,0))&amp;"",""))</f>
        <v/>
      </c>
      <c r="L371" s="21">
        <f>IF($B371="","",IFERROR(INDEX(الموظفات!$C$5:$C$304,MATCH($B371,الموظفات!$B$5:$B$304,0))&amp;"",""))</f>
        <v/>
      </c>
      <c r="M371" s="20">
        <f>IF($B371="","",IFERROR(INDEX(الموظفات!$D$5:$D$304,MATCH($B371,الموظفات!$B$5:$B$304,0))&amp;"",""))</f>
        <v/>
      </c>
      <c r="N371" s="20">
        <f>IF($B371="","",IFERROR(INDEX(الموظفات!$E$5:$E$304,MATCH($B371,الموظفات!$B$5:$B$304,0))&amp;"",""))</f>
        <v/>
      </c>
      <c r="O371" s="21">
        <f>IF(C371="","",IFERROR(INDEX(الإعدادات!$D$7:$D$35,MATCH(C371,الإعدادات!$A$7:$A$35,0))&amp;"",""))</f>
        <v/>
      </c>
      <c r="P371" s="20">
        <f>IF(A371="","",INDEX(الإعدادات!$H$7:$H$18,MONTH(A371)))</f>
        <v/>
      </c>
      <c r="Q371" s="20">
        <f>IF(A371="","",INDEX(الإعدادات!$I$7:$I$18,MONTH(A371)))</f>
        <v/>
      </c>
      <c r="R371" s="20">
        <f>IF(A371="","",IF(MONTH(A371)&gt;=8,YEAR(A371)&amp;"-"&amp;(YEAR(A371)+1),(YEAR(A371)-1)&amp;"-"&amp;YEAR(A371)))</f>
        <v/>
      </c>
      <c r="S371" s="20">
        <f>IF(OR(A371="",B371=""),0,IF(AND(R371=التقارير!$C$4,OR(التقارير!$C$5="سنوي",AND(التقارير!$C$5="شهري",P371=التقارير!$C$6),AND(التقارير!$C$5="فصلي",Q371=التقارير!$C$7))),1,0))</f>
        <v/>
      </c>
      <c r="T371" s="20">
        <f>IF(S371=1,COUNTIF($S$5:S371,1),"")</f>
        <v/>
      </c>
      <c r="U371">
        <f>IF(AND($A371&lt;&gt;"",$B371&lt;&gt;"",$R371='تقرير الفصل الأول'!$C$4,$Q371='تقرير الفصل الأول'!$C$7),COUNT(U$4:U370)+1,"")</f>
        <v/>
      </c>
      <c r="V371">
        <f>IF(AND($A371&lt;&gt;"",$B371&lt;&gt;"",$R371='تقرير الفصل الثاني'!$C$4,$Q371='تقرير الفصل الثاني'!$C$7),COUNT(V$4:V370)+1,"")</f>
        <v/>
      </c>
      <c r="W371">
        <f>IF(AND($A371&lt;&gt;"",$B371&lt;&gt;"",$R371='تقرير سبتمبر'!$C$4,$P371='تقرير سبتمبر'!$C$6),COUNT(W$4:W370)+1,"")</f>
        <v/>
      </c>
      <c r="X371">
        <f>IF(AND($A371&lt;&gt;"",$B371&lt;&gt;"",$R371='تقرير أكتوبر'!$C$4,$P371='تقرير أكتوبر'!$C$6),COUNT(X$4:X370)+1,"")</f>
        <v/>
      </c>
      <c r="Y371">
        <f>IF(AND($A371&lt;&gt;"",$B371&lt;&gt;"",$R371='تقرير نوفمبر'!$C$4,$P371='تقرير نوفمبر'!$C$6),COUNT(Y$4:Y370)+1,"")</f>
        <v/>
      </c>
      <c r="Z371">
        <f>IF(AND($A371&lt;&gt;"",$B371&lt;&gt;"",$R371='تقرير ديسمبر'!$C$4,$P371='تقرير ديسمبر'!$C$6),COUNT(Z$4:Z370)+1,"")</f>
        <v/>
      </c>
      <c r="AA371">
        <f>IF(AND($A371&lt;&gt;"",$B371&lt;&gt;"",$R371='تقرير يناير'!$C$4,$P371='تقرير يناير'!$C$6),COUNT(AA$4:AA370)+1,"")</f>
        <v/>
      </c>
      <c r="AB371">
        <f>IF(AND($A371&lt;&gt;"",$B371&lt;&gt;"",$R371='تقرير فبراير'!$C$4,$P371='تقرير فبراير'!$C$6),COUNT(AB$4:AB370)+1,"")</f>
        <v/>
      </c>
      <c r="AC371">
        <f>IF(AND($A371&lt;&gt;"",$B371&lt;&gt;"",$R371='تقرير مارس'!$C$4,$P371='تقرير مارس'!$C$6),COUNT(AC$4:AC370)+1,"")</f>
        <v/>
      </c>
      <c r="AD371">
        <f>IF(AND($A371&lt;&gt;"",$B371&lt;&gt;"",$R371='تقرير أبريل'!$C$4,$P371='تقرير أبريل'!$C$6),COUNT(AD$4:AD370)+1,"")</f>
        <v/>
      </c>
      <c r="AE371">
        <f>IF(AND($A371&lt;&gt;"",$B371&lt;&gt;"",$R371='تقرير مايو'!$C$4,$P371='تقرير مايو'!$C$6),COUNT(AE$4:AE370)+1,"")</f>
        <v/>
      </c>
    </row>
    <row r="372">
      <c r="A372" s="16" t="n"/>
      <c r="B372" s="17" t="n"/>
      <c r="C372" s="17" t="n"/>
      <c r="D372" s="18" t="n"/>
      <c r="E372" s="17" t="n"/>
      <c r="F372" s="17" t="n"/>
      <c r="G372" s="19" t="n"/>
      <c r="H372" s="17" t="n"/>
      <c r="I372" s="17" t="n"/>
      <c r="J372" s="17" t="n"/>
      <c r="K372" s="20">
        <f>IF($B372="","",IFERROR(INDEX(الموظفات!$A$5:$A$304,MATCH($B372,الموظفات!$B$5:$B$304,0))&amp;"",""))</f>
        <v/>
      </c>
      <c r="L372" s="21">
        <f>IF($B372="","",IFERROR(INDEX(الموظفات!$C$5:$C$304,MATCH($B372,الموظفات!$B$5:$B$304,0))&amp;"",""))</f>
        <v/>
      </c>
      <c r="M372" s="20">
        <f>IF($B372="","",IFERROR(INDEX(الموظفات!$D$5:$D$304,MATCH($B372,الموظفات!$B$5:$B$304,0))&amp;"",""))</f>
        <v/>
      </c>
      <c r="N372" s="20">
        <f>IF($B372="","",IFERROR(INDEX(الموظفات!$E$5:$E$304,MATCH($B372,الموظفات!$B$5:$B$304,0))&amp;"",""))</f>
        <v/>
      </c>
      <c r="O372" s="21">
        <f>IF(C372="","",IFERROR(INDEX(الإعدادات!$D$7:$D$35,MATCH(C372,الإعدادات!$A$7:$A$35,0))&amp;"",""))</f>
        <v/>
      </c>
      <c r="P372" s="20">
        <f>IF(A372="","",INDEX(الإعدادات!$H$7:$H$18,MONTH(A372)))</f>
        <v/>
      </c>
      <c r="Q372" s="20">
        <f>IF(A372="","",INDEX(الإعدادات!$I$7:$I$18,MONTH(A372)))</f>
        <v/>
      </c>
      <c r="R372" s="20">
        <f>IF(A372="","",IF(MONTH(A372)&gt;=8,YEAR(A372)&amp;"-"&amp;(YEAR(A372)+1),(YEAR(A372)-1)&amp;"-"&amp;YEAR(A372)))</f>
        <v/>
      </c>
      <c r="S372" s="20">
        <f>IF(OR(A372="",B372=""),0,IF(AND(R372=التقارير!$C$4,OR(التقارير!$C$5="سنوي",AND(التقارير!$C$5="شهري",P372=التقارير!$C$6),AND(التقارير!$C$5="فصلي",Q372=التقارير!$C$7))),1,0))</f>
        <v/>
      </c>
      <c r="T372" s="20">
        <f>IF(S372=1,COUNTIF($S$5:S372,1),"")</f>
        <v/>
      </c>
      <c r="U372">
        <f>IF(AND($A372&lt;&gt;"",$B372&lt;&gt;"",$R372='تقرير الفصل الأول'!$C$4,$Q372='تقرير الفصل الأول'!$C$7),COUNT(U$4:U371)+1,"")</f>
        <v/>
      </c>
      <c r="V372">
        <f>IF(AND($A372&lt;&gt;"",$B372&lt;&gt;"",$R372='تقرير الفصل الثاني'!$C$4,$Q372='تقرير الفصل الثاني'!$C$7),COUNT(V$4:V371)+1,"")</f>
        <v/>
      </c>
      <c r="W372">
        <f>IF(AND($A372&lt;&gt;"",$B372&lt;&gt;"",$R372='تقرير سبتمبر'!$C$4,$P372='تقرير سبتمبر'!$C$6),COUNT(W$4:W371)+1,"")</f>
        <v/>
      </c>
      <c r="X372">
        <f>IF(AND($A372&lt;&gt;"",$B372&lt;&gt;"",$R372='تقرير أكتوبر'!$C$4,$P372='تقرير أكتوبر'!$C$6),COUNT(X$4:X371)+1,"")</f>
        <v/>
      </c>
      <c r="Y372">
        <f>IF(AND($A372&lt;&gt;"",$B372&lt;&gt;"",$R372='تقرير نوفمبر'!$C$4,$P372='تقرير نوفمبر'!$C$6),COUNT(Y$4:Y371)+1,"")</f>
        <v/>
      </c>
      <c r="Z372">
        <f>IF(AND($A372&lt;&gt;"",$B372&lt;&gt;"",$R372='تقرير ديسمبر'!$C$4,$P372='تقرير ديسمبر'!$C$6),COUNT(Z$4:Z371)+1,"")</f>
        <v/>
      </c>
      <c r="AA372">
        <f>IF(AND($A372&lt;&gt;"",$B372&lt;&gt;"",$R372='تقرير يناير'!$C$4,$P372='تقرير يناير'!$C$6),COUNT(AA$4:AA371)+1,"")</f>
        <v/>
      </c>
      <c r="AB372">
        <f>IF(AND($A372&lt;&gt;"",$B372&lt;&gt;"",$R372='تقرير فبراير'!$C$4,$P372='تقرير فبراير'!$C$6),COUNT(AB$4:AB371)+1,"")</f>
        <v/>
      </c>
      <c r="AC372">
        <f>IF(AND($A372&lt;&gt;"",$B372&lt;&gt;"",$R372='تقرير مارس'!$C$4,$P372='تقرير مارس'!$C$6),COUNT(AC$4:AC371)+1,"")</f>
        <v/>
      </c>
      <c r="AD372">
        <f>IF(AND($A372&lt;&gt;"",$B372&lt;&gt;"",$R372='تقرير أبريل'!$C$4,$P372='تقرير أبريل'!$C$6),COUNT(AD$4:AD371)+1,"")</f>
        <v/>
      </c>
      <c r="AE372">
        <f>IF(AND($A372&lt;&gt;"",$B372&lt;&gt;"",$R372='تقرير مايو'!$C$4,$P372='تقرير مايو'!$C$6),COUNT(AE$4:AE371)+1,"")</f>
        <v/>
      </c>
    </row>
    <row r="373">
      <c r="A373" s="16" t="n"/>
      <c r="B373" s="17" t="n"/>
      <c r="C373" s="17" t="n"/>
      <c r="D373" s="18" t="n"/>
      <c r="E373" s="17" t="n"/>
      <c r="F373" s="17" t="n"/>
      <c r="G373" s="19" t="n"/>
      <c r="H373" s="17" t="n"/>
      <c r="I373" s="17" t="n"/>
      <c r="J373" s="17" t="n"/>
      <c r="K373" s="20">
        <f>IF($B373="","",IFERROR(INDEX(الموظفات!$A$5:$A$304,MATCH($B373,الموظفات!$B$5:$B$304,0))&amp;"",""))</f>
        <v/>
      </c>
      <c r="L373" s="21">
        <f>IF($B373="","",IFERROR(INDEX(الموظفات!$C$5:$C$304,MATCH($B373,الموظفات!$B$5:$B$304,0))&amp;"",""))</f>
        <v/>
      </c>
      <c r="M373" s="20">
        <f>IF($B373="","",IFERROR(INDEX(الموظفات!$D$5:$D$304,MATCH($B373,الموظفات!$B$5:$B$304,0))&amp;"",""))</f>
        <v/>
      </c>
      <c r="N373" s="20">
        <f>IF($B373="","",IFERROR(INDEX(الموظفات!$E$5:$E$304,MATCH($B373,الموظفات!$B$5:$B$304,0))&amp;"",""))</f>
        <v/>
      </c>
      <c r="O373" s="21">
        <f>IF(C373="","",IFERROR(INDEX(الإعدادات!$D$7:$D$35,MATCH(C373,الإعدادات!$A$7:$A$35,0))&amp;"",""))</f>
        <v/>
      </c>
      <c r="P373" s="20">
        <f>IF(A373="","",INDEX(الإعدادات!$H$7:$H$18,MONTH(A373)))</f>
        <v/>
      </c>
      <c r="Q373" s="20">
        <f>IF(A373="","",INDEX(الإعدادات!$I$7:$I$18,MONTH(A373)))</f>
        <v/>
      </c>
      <c r="R373" s="20">
        <f>IF(A373="","",IF(MONTH(A373)&gt;=8,YEAR(A373)&amp;"-"&amp;(YEAR(A373)+1),(YEAR(A373)-1)&amp;"-"&amp;YEAR(A373)))</f>
        <v/>
      </c>
      <c r="S373" s="20">
        <f>IF(OR(A373="",B373=""),0,IF(AND(R373=التقارير!$C$4,OR(التقارير!$C$5="سنوي",AND(التقارير!$C$5="شهري",P373=التقارير!$C$6),AND(التقارير!$C$5="فصلي",Q373=التقارير!$C$7))),1,0))</f>
        <v/>
      </c>
      <c r="T373" s="20">
        <f>IF(S373=1,COUNTIF($S$5:S373,1),"")</f>
        <v/>
      </c>
      <c r="U373">
        <f>IF(AND($A373&lt;&gt;"",$B373&lt;&gt;"",$R373='تقرير الفصل الأول'!$C$4,$Q373='تقرير الفصل الأول'!$C$7),COUNT(U$4:U372)+1,"")</f>
        <v/>
      </c>
      <c r="V373">
        <f>IF(AND($A373&lt;&gt;"",$B373&lt;&gt;"",$R373='تقرير الفصل الثاني'!$C$4,$Q373='تقرير الفصل الثاني'!$C$7),COUNT(V$4:V372)+1,"")</f>
        <v/>
      </c>
      <c r="W373">
        <f>IF(AND($A373&lt;&gt;"",$B373&lt;&gt;"",$R373='تقرير سبتمبر'!$C$4,$P373='تقرير سبتمبر'!$C$6),COUNT(W$4:W372)+1,"")</f>
        <v/>
      </c>
      <c r="X373">
        <f>IF(AND($A373&lt;&gt;"",$B373&lt;&gt;"",$R373='تقرير أكتوبر'!$C$4,$P373='تقرير أكتوبر'!$C$6),COUNT(X$4:X372)+1,"")</f>
        <v/>
      </c>
      <c r="Y373">
        <f>IF(AND($A373&lt;&gt;"",$B373&lt;&gt;"",$R373='تقرير نوفمبر'!$C$4,$P373='تقرير نوفمبر'!$C$6),COUNT(Y$4:Y372)+1,"")</f>
        <v/>
      </c>
      <c r="Z373">
        <f>IF(AND($A373&lt;&gt;"",$B373&lt;&gt;"",$R373='تقرير ديسمبر'!$C$4,$P373='تقرير ديسمبر'!$C$6),COUNT(Z$4:Z372)+1,"")</f>
        <v/>
      </c>
      <c r="AA373">
        <f>IF(AND($A373&lt;&gt;"",$B373&lt;&gt;"",$R373='تقرير يناير'!$C$4,$P373='تقرير يناير'!$C$6),COUNT(AA$4:AA372)+1,"")</f>
        <v/>
      </c>
      <c r="AB373">
        <f>IF(AND($A373&lt;&gt;"",$B373&lt;&gt;"",$R373='تقرير فبراير'!$C$4,$P373='تقرير فبراير'!$C$6),COUNT(AB$4:AB372)+1,"")</f>
        <v/>
      </c>
      <c r="AC373">
        <f>IF(AND($A373&lt;&gt;"",$B373&lt;&gt;"",$R373='تقرير مارس'!$C$4,$P373='تقرير مارس'!$C$6),COUNT(AC$4:AC372)+1,"")</f>
        <v/>
      </c>
      <c r="AD373">
        <f>IF(AND($A373&lt;&gt;"",$B373&lt;&gt;"",$R373='تقرير أبريل'!$C$4,$P373='تقرير أبريل'!$C$6),COUNT(AD$4:AD372)+1,"")</f>
        <v/>
      </c>
      <c r="AE373">
        <f>IF(AND($A373&lt;&gt;"",$B373&lt;&gt;"",$R373='تقرير مايو'!$C$4,$P373='تقرير مايو'!$C$6),COUNT(AE$4:AE372)+1,"")</f>
        <v/>
      </c>
    </row>
    <row r="374">
      <c r="A374" s="16" t="n"/>
      <c r="B374" s="17" t="n"/>
      <c r="C374" s="17" t="n"/>
      <c r="D374" s="18" t="n"/>
      <c r="E374" s="17" t="n"/>
      <c r="F374" s="17" t="n"/>
      <c r="G374" s="19" t="n"/>
      <c r="H374" s="17" t="n"/>
      <c r="I374" s="17" t="n"/>
      <c r="J374" s="17" t="n"/>
      <c r="K374" s="20">
        <f>IF($B374="","",IFERROR(INDEX(الموظفات!$A$5:$A$304,MATCH($B374,الموظفات!$B$5:$B$304,0))&amp;"",""))</f>
        <v/>
      </c>
      <c r="L374" s="21">
        <f>IF($B374="","",IFERROR(INDEX(الموظفات!$C$5:$C$304,MATCH($B374,الموظفات!$B$5:$B$304,0))&amp;"",""))</f>
        <v/>
      </c>
      <c r="M374" s="20">
        <f>IF($B374="","",IFERROR(INDEX(الموظفات!$D$5:$D$304,MATCH($B374,الموظفات!$B$5:$B$304,0))&amp;"",""))</f>
        <v/>
      </c>
      <c r="N374" s="20">
        <f>IF($B374="","",IFERROR(INDEX(الموظفات!$E$5:$E$304,MATCH($B374,الموظفات!$B$5:$B$304,0))&amp;"",""))</f>
        <v/>
      </c>
      <c r="O374" s="21">
        <f>IF(C374="","",IFERROR(INDEX(الإعدادات!$D$7:$D$35,MATCH(C374,الإعدادات!$A$7:$A$35,0))&amp;"",""))</f>
        <v/>
      </c>
      <c r="P374" s="20">
        <f>IF(A374="","",INDEX(الإعدادات!$H$7:$H$18,MONTH(A374)))</f>
        <v/>
      </c>
      <c r="Q374" s="20">
        <f>IF(A374="","",INDEX(الإعدادات!$I$7:$I$18,MONTH(A374)))</f>
        <v/>
      </c>
      <c r="R374" s="20">
        <f>IF(A374="","",IF(MONTH(A374)&gt;=8,YEAR(A374)&amp;"-"&amp;(YEAR(A374)+1),(YEAR(A374)-1)&amp;"-"&amp;YEAR(A374)))</f>
        <v/>
      </c>
      <c r="S374" s="20">
        <f>IF(OR(A374="",B374=""),0,IF(AND(R374=التقارير!$C$4,OR(التقارير!$C$5="سنوي",AND(التقارير!$C$5="شهري",P374=التقارير!$C$6),AND(التقارير!$C$5="فصلي",Q374=التقارير!$C$7))),1,0))</f>
        <v/>
      </c>
      <c r="T374" s="20">
        <f>IF(S374=1,COUNTIF($S$5:S374,1),"")</f>
        <v/>
      </c>
      <c r="U374">
        <f>IF(AND($A374&lt;&gt;"",$B374&lt;&gt;"",$R374='تقرير الفصل الأول'!$C$4,$Q374='تقرير الفصل الأول'!$C$7),COUNT(U$4:U373)+1,"")</f>
        <v/>
      </c>
      <c r="V374">
        <f>IF(AND($A374&lt;&gt;"",$B374&lt;&gt;"",$R374='تقرير الفصل الثاني'!$C$4,$Q374='تقرير الفصل الثاني'!$C$7),COUNT(V$4:V373)+1,"")</f>
        <v/>
      </c>
      <c r="W374">
        <f>IF(AND($A374&lt;&gt;"",$B374&lt;&gt;"",$R374='تقرير سبتمبر'!$C$4,$P374='تقرير سبتمبر'!$C$6),COUNT(W$4:W373)+1,"")</f>
        <v/>
      </c>
      <c r="X374">
        <f>IF(AND($A374&lt;&gt;"",$B374&lt;&gt;"",$R374='تقرير أكتوبر'!$C$4,$P374='تقرير أكتوبر'!$C$6),COUNT(X$4:X373)+1,"")</f>
        <v/>
      </c>
      <c r="Y374">
        <f>IF(AND($A374&lt;&gt;"",$B374&lt;&gt;"",$R374='تقرير نوفمبر'!$C$4,$P374='تقرير نوفمبر'!$C$6),COUNT(Y$4:Y373)+1,"")</f>
        <v/>
      </c>
      <c r="Z374">
        <f>IF(AND($A374&lt;&gt;"",$B374&lt;&gt;"",$R374='تقرير ديسمبر'!$C$4,$P374='تقرير ديسمبر'!$C$6),COUNT(Z$4:Z373)+1,"")</f>
        <v/>
      </c>
      <c r="AA374">
        <f>IF(AND($A374&lt;&gt;"",$B374&lt;&gt;"",$R374='تقرير يناير'!$C$4,$P374='تقرير يناير'!$C$6),COUNT(AA$4:AA373)+1,"")</f>
        <v/>
      </c>
      <c r="AB374">
        <f>IF(AND($A374&lt;&gt;"",$B374&lt;&gt;"",$R374='تقرير فبراير'!$C$4,$P374='تقرير فبراير'!$C$6),COUNT(AB$4:AB373)+1,"")</f>
        <v/>
      </c>
      <c r="AC374">
        <f>IF(AND($A374&lt;&gt;"",$B374&lt;&gt;"",$R374='تقرير مارس'!$C$4,$P374='تقرير مارس'!$C$6),COUNT(AC$4:AC373)+1,"")</f>
        <v/>
      </c>
      <c r="AD374">
        <f>IF(AND($A374&lt;&gt;"",$B374&lt;&gt;"",$R374='تقرير أبريل'!$C$4,$P374='تقرير أبريل'!$C$6),COUNT(AD$4:AD373)+1,"")</f>
        <v/>
      </c>
      <c r="AE374">
        <f>IF(AND($A374&lt;&gt;"",$B374&lt;&gt;"",$R374='تقرير مايو'!$C$4,$P374='تقرير مايو'!$C$6),COUNT(AE$4:AE373)+1,"")</f>
        <v/>
      </c>
    </row>
    <row r="375">
      <c r="A375" s="16" t="n"/>
      <c r="B375" s="17" t="n"/>
      <c r="C375" s="17" t="n"/>
      <c r="D375" s="18" t="n"/>
      <c r="E375" s="17" t="n"/>
      <c r="F375" s="17" t="n"/>
      <c r="G375" s="19" t="n"/>
      <c r="H375" s="17" t="n"/>
      <c r="I375" s="17" t="n"/>
      <c r="J375" s="17" t="n"/>
      <c r="K375" s="20">
        <f>IF($B375="","",IFERROR(INDEX(الموظفات!$A$5:$A$304,MATCH($B375,الموظفات!$B$5:$B$304,0))&amp;"",""))</f>
        <v/>
      </c>
      <c r="L375" s="21">
        <f>IF($B375="","",IFERROR(INDEX(الموظفات!$C$5:$C$304,MATCH($B375,الموظفات!$B$5:$B$304,0))&amp;"",""))</f>
        <v/>
      </c>
      <c r="M375" s="20">
        <f>IF($B375="","",IFERROR(INDEX(الموظفات!$D$5:$D$304,MATCH($B375,الموظفات!$B$5:$B$304,0))&amp;"",""))</f>
        <v/>
      </c>
      <c r="N375" s="20">
        <f>IF($B375="","",IFERROR(INDEX(الموظفات!$E$5:$E$304,MATCH($B375,الموظفات!$B$5:$B$304,0))&amp;"",""))</f>
        <v/>
      </c>
      <c r="O375" s="21">
        <f>IF(C375="","",IFERROR(INDEX(الإعدادات!$D$7:$D$35,MATCH(C375,الإعدادات!$A$7:$A$35,0))&amp;"",""))</f>
        <v/>
      </c>
      <c r="P375" s="20">
        <f>IF(A375="","",INDEX(الإعدادات!$H$7:$H$18,MONTH(A375)))</f>
        <v/>
      </c>
      <c r="Q375" s="20">
        <f>IF(A375="","",INDEX(الإعدادات!$I$7:$I$18,MONTH(A375)))</f>
        <v/>
      </c>
      <c r="R375" s="20">
        <f>IF(A375="","",IF(MONTH(A375)&gt;=8,YEAR(A375)&amp;"-"&amp;(YEAR(A375)+1),(YEAR(A375)-1)&amp;"-"&amp;YEAR(A375)))</f>
        <v/>
      </c>
      <c r="S375" s="20">
        <f>IF(OR(A375="",B375=""),0,IF(AND(R375=التقارير!$C$4,OR(التقارير!$C$5="سنوي",AND(التقارير!$C$5="شهري",P375=التقارير!$C$6),AND(التقارير!$C$5="فصلي",Q375=التقارير!$C$7))),1,0))</f>
        <v/>
      </c>
      <c r="T375" s="20">
        <f>IF(S375=1,COUNTIF($S$5:S375,1),"")</f>
        <v/>
      </c>
      <c r="U375">
        <f>IF(AND($A375&lt;&gt;"",$B375&lt;&gt;"",$R375='تقرير الفصل الأول'!$C$4,$Q375='تقرير الفصل الأول'!$C$7),COUNT(U$4:U374)+1,"")</f>
        <v/>
      </c>
      <c r="V375">
        <f>IF(AND($A375&lt;&gt;"",$B375&lt;&gt;"",$R375='تقرير الفصل الثاني'!$C$4,$Q375='تقرير الفصل الثاني'!$C$7),COUNT(V$4:V374)+1,"")</f>
        <v/>
      </c>
      <c r="W375">
        <f>IF(AND($A375&lt;&gt;"",$B375&lt;&gt;"",$R375='تقرير سبتمبر'!$C$4,$P375='تقرير سبتمبر'!$C$6),COUNT(W$4:W374)+1,"")</f>
        <v/>
      </c>
      <c r="X375">
        <f>IF(AND($A375&lt;&gt;"",$B375&lt;&gt;"",$R375='تقرير أكتوبر'!$C$4,$P375='تقرير أكتوبر'!$C$6),COUNT(X$4:X374)+1,"")</f>
        <v/>
      </c>
      <c r="Y375">
        <f>IF(AND($A375&lt;&gt;"",$B375&lt;&gt;"",$R375='تقرير نوفمبر'!$C$4,$P375='تقرير نوفمبر'!$C$6),COUNT(Y$4:Y374)+1,"")</f>
        <v/>
      </c>
      <c r="Z375">
        <f>IF(AND($A375&lt;&gt;"",$B375&lt;&gt;"",$R375='تقرير ديسمبر'!$C$4,$P375='تقرير ديسمبر'!$C$6),COUNT(Z$4:Z374)+1,"")</f>
        <v/>
      </c>
      <c r="AA375">
        <f>IF(AND($A375&lt;&gt;"",$B375&lt;&gt;"",$R375='تقرير يناير'!$C$4,$P375='تقرير يناير'!$C$6),COUNT(AA$4:AA374)+1,"")</f>
        <v/>
      </c>
      <c r="AB375">
        <f>IF(AND($A375&lt;&gt;"",$B375&lt;&gt;"",$R375='تقرير فبراير'!$C$4,$P375='تقرير فبراير'!$C$6),COUNT(AB$4:AB374)+1,"")</f>
        <v/>
      </c>
      <c r="AC375">
        <f>IF(AND($A375&lt;&gt;"",$B375&lt;&gt;"",$R375='تقرير مارس'!$C$4,$P375='تقرير مارس'!$C$6),COUNT(AC$4:AC374)+1,"")</f>
        <v/>
      </c>
      <c r="AD375">
        <f>IF(AND($A375&lt;&gt;"",$B375&lt;&gt;"",$R375='تقرير أبريل'!$C$4,$P375='تقرير أبريل'!$C$6),COUNT(AD$4:AD374)+1,"")</f>
        <v/>
      </c>
      <c r="AE375">
        <f>IF(AND($A375&lt;&gt;"",$B375&lt;&gt;"",$R375='تقرير مايو'!$C$4,$P375='تقرير مايو'!$C$6),COUNT(AE$4:AE374)+1,"")</f>
        <v/>
      </c>
    </row>
    <row r="376">
      <c r="A376" s="16" t="n"/>
      <c r="B376" s="17" t="n"/>
      <c r="C376" s="17" t="n"/>
      <c r="D376" s="18" t="n"/>
      <c r="E376" s="17" t="n"/>
      <c r="F376" s="17" t="n"/>
      <c r="G376" s="19" t="n"/>
      <c r="H376" s="17" t="n"/>
      <c r="I376" s="17" t="n"/>
      <c r="J376" s="17" t="n"/>
      <c r="K376" s="20">
        <f>IF($B376="","",IFERROR(INDEX(الموظفات!$A$5:$A$304,MATCH($B376,الموظفات!$B$5:$B$304,0))&amp;"",""))</f>
        <v/>
      </c>
      <c r="L376" s="21">
        <f>IF($B376="","",IFERROR(INDEX(الموظفات!$C$5:$C$304,MATCH($B376,الموظفات!$B$5:$B$304,0))&amp;"",""))</f>
        <v/>
      </c>
      <c r="M376" s="20">
        <f>IF($B376="","",IFERROR(INDEX(الموظفات!$D$5:$D$304,MATCH($B376,الموظفات!$B$5:$B$304,0))&amp;"",""))</f>
        <v/>
      </c>
      <c r="N376" s="20">
        <f>IF($B376="","",IFERROR(INDEX(الموظفات!$E$5:$E$304,MATCH($B376,الموظفات!$B$5:$B$304,0))&amp;"",""))</f>
        <v/>
      </c>
      <c r="O376" s="21">
        <f>IF(C376="","",IFERROR(INDEX(الإعدادات!$D$7:$D$35,MATCH(C376,الإعدادات!$A$7:$A$35,0))&amp;"",""))</f>
        <v/>
      </c>
      <c r="P376" s="20">
        <f>IF(A376="","",INDEX(الإعدادات!$H$7:$H$18,MONTH(A376)))</f>
        <v/>
      </c>
      <c r="Q376" s="20">
        <f>IF(A376="","",INDEX(الإعدادات!$I$7:$I$18,MONTH(A376)))</f>
        <v/>
      </c>
      <c r="R376" s="20">
        <f>IF(A376="","",IF(MONTH(A376)&gt;=8,YEAR(A376)&amp;"-"&amp;(YEAR(A376)+1),(YEAR(A376)-1)&amp;"-"&amp;YEAR(A376)))</f>
        <v/>
      </c>
      <c r="S376" s="20">
        <f>IF(OR(A376="",B376=""),0,IF(AND(R376=التقارير!$C$4,OR(التقارير!$C$5="سنوي",AND(التقارير!$C$5="شهري",P376=التقارير!$C$6),AND(التقارير!$C$5="فصلي",Q376=التقارير!$C$7))),1,0))</f>
        <v/>
      </c>
      <c r="T376" s="20">
        <f>IF(S376=1,COUNTIF($S$5:S376,1),"")</f>
        <v/>
      </c>
      <c r="U376">
        <f>IF(AND($A376&lt;&gt;"",$B376&lt;&gt;"",$R376='تقرير الفصل الأول'!$C$4,$Q376='تقرير الفصل الأول'!$C$7),COUNT(U$4:U375)+1,"")</f>
        <v/>
      </c>
      <c r="V376">
        <f>IF(AND($A376&lt;&gt;"",$B376&lt;&gt;"",$R376='تقرير الفصل الثاني'!$C$4,$Q376='تقرير الفصل الثاني'!$C$7),COUNT(V$4:V375)+1,"")</f>
        <v/>
      </c>
      <c r="W376">
        <f>IF(AND($A376&lt;&gt;"",$B376&lt;&gt;"",$R376='تقرير سبتمبر'!$C$4,$P376='تقرير سبتمبر'!$C$6),COUNT(W$4:W375)+1,"")</f>
        <v/>
      </c>
      <c r="X376">
        <f>IF(AND($A376&lt;&gt;"",$B376&lt;&gt;"",$R376='تقرير أكتوبر'!$C$4,$P376='تقرير أكتوبر'!$C$6),COUNT(X$4:X375)+1,"")</f>
        <v/>
      </c>
      <c r="Y376">
        <f>IF(AND($A376&lt;&gt;"",$B376&lt;&gt;"",$R376='تقرير نوفمبر'!$C$4,$P376='تقرير نوفمبر'!$C$6),COUNT(Y$4:Y375)+1,"")</f>
        <v/>
      </c>
      <c r="Z376">
        <f>IF(AND($A376&lt;&gt;"",$B376&lt;&gt;"",$R376='تقرير ديسمبر'!$C$4,$P376='تقرير ديسمبر'!$C$6),COUNT(Z$4:Z375)+1,"")</f>
        <v/>
      </c>
      <c r="AA376">
        <f>IF(AND($A376&lt;&gt;"",$B376&lt;&gt;"",$R376='تقرير يناير'!$C$4,$P376='تقرير يناير'!$C$6),COUNT(AA$4:AA375)+1,"")</f>
        <v/>
      </c>
      <c r="AB376">
        <f>IF(AND($A376&lt;&gt;"",$B376&lt;&gt;"",$R376='تقرير فبراير'!$C$4,$P376='تقرير فبراير'!$C$6),COUNT(AB$4:AB375)+1,"")</f>
        <v/>
      </c>
      <c r="AC376">
        <f>IF(AND($A376&lt;&gt;"",$B376&lt;&gt;"",$R376='تقرير مارس'!$C$4,$P376='تقرير مارس'!$C$6),COUNT(AC$4:AC375)+1,"")</f>
        <v/>
      </c>
      <c r="AD376">
        <f>IF(AND($A376&lt;&gt;"",$B376&lt;&gt;"",$R376='تقرير أبريل'!$C$4,$P376='تقرير أبريل'!$C$6),COUNT(AD$4:AD375)+1,"")</f>
        <v/>
      </c>
      <c r="AE376">
        <f>IF(AND($A376&lt;&gt;"",$B376&lt;&gt;"",$R376='تقرير مايو'!$C$4,$P376='تقرير مايو'!$C$6),COUNT(AE$4:AE375)+1,"")</f>
        <v/>
      </c>
    </row>
    <row r="377">
      <c r="A377" s="16" t="n"/>
      <c r="B377" s="17" t="n"/>
      <c r="C377" s="17" t="n"/>
      <c r="D377" s="18" t="n"/>
      <c r="E377" s="17" t="n"/>
      <c r="F377" s="17" t="n"/>
      <c r="G377" s="19" t="n"/>
      <c r="H377" s="17" t="n"/>
      <c r="I377" s="17" t="n"/>
      <c r="J377" s="17" t="n"/>
      <c r="K377" s="20">
        <f>IF($B377="","",IFERROR(INDEX(الموظفات!$A$5:$A$304,MATCH($B377,الموظفات!$B$5:$B$304,0))&amp;"",""))</f>
        <v/>
      </c>
      <c r="L377" s="21">
        <f>IF($B377="","",IFERROR(INDEX(الموظفات!$C$5:$C$304,MATCH($B377,الموظفات!$B$5:$B$304,0))&amp;"",""))</f>
        <v/>
      </c>
      <c r="M377" s="20">
        <f>IF($B377="","",IFERROR(INDEX(الموظفات!$D$5:$D$304,MATCH($B377,الموظفات!$B$5:$B$304,0))&amp;"",""))</f>
        <v/>
      </c>
      <c r="N377" s="20">
        <f>IF($B377="","",IFERROR(INDEX(الموظفات!$E$5:$E$304,MATCH($B377,الموظفات!$B$5:$B$304,0))&amp;"",""))</f>
        <v/>
      </c>
      <c r="O377" s="21">
        <f>IF(C377="","",IFERROR(INDEX(الإعدادات!$D$7:$D$35,MATCH(C377,الإعدادات!$A$7:$A$35,0))&amp;"",""))</f>
        <v/>
      </c>
      <c r="P377" s="20">
        <f>IF(A377="","",INDEX(الإعدادات!$H$7:$H$18,MONTH(A377)))</f>
        <v/>
      </c>
      <c r="Q377" s="20">
        <f>IF(A377="","",INDEX(الإعدادات!$I$7:$I$18,MONTH(A377)))</f>
        <v/>
      </c>
      <c r="R377" s="20">
        <f>IF(A377="","",IF(MONTH(A377)&gt;=8,YEAR(A377)&amp;"-"&amp;(YEAR(A377)+1),(YEAR(A377)-1)&amp;"-"&amp;YEAR(A377)))</f>
        <v/>
      </c>
      <c r="S377" s="20">
        <f>IF(OR(A377="",B377=""),0,IF(AND(R377=التقارير!$C$4,OR(التقارير!$C$5="سنوي",AND(التقارير!$C$5="شهري",P377=التقارير!$C$6),AND(التقارير!$C$5="فصلي",Q377=التقارير!$C$7))),1,0))</f>
        <v/>
      </c>
      <c r="T377" s="20">
        <f>IF(S377=1,COUNTIF($S$5:S377,1),"")</f>
        <v/>
      </c>
      <c r="U377">
        <f>IF(AND($A377&lt;&gt;"",$B377&lt;&gt;"",$R377='تقرير الفصل الأول'!$C$4,$Q377='تقرير الفصل الأول'!$C$7),COUNT(U$4:U376)+1,"")</f>
        <v/>
      </c>
      <c r="V377">
        <f>IF(AND($A377&lt;&gt;"",$B377&lt;&gt;"",$R377='تقرير الفصل الثاني'!$C$4,$Q377='تقرير الفصل الثاني'!$C$7),COUNT(V$4:V376)+1,"")</f>
        <v/>
      </c>
      <c r="W377">
        <f>IF(AND($A377&lt;&gt;"",$B377&lt;&gt;"",$R377='تقرير سبتمبر'!$C$4,$P377='تقرير سبتمبر'!$C$6),COUNT(W$4:W376)+1,"")</f>
        <v/>
      </c>
      <c r="X377">
        <f>IF(AND($A377&lt;&gt;"",$B377&lt;&gt;"",$R377='تقرير أكتوبر'!$C$4,$P377='تقرير أكتوبر'!$C$6),COUNT(X$4:X376)+1,"")</f>
        <v/>
      </c>
      <c r="Y377">
        <f>IF(AND($A377&lt;&gt;"",$B377&lt;&gt;"",$R377='تقرير نوفمبر'!$C$4,$P377='تقرير نوفمبر'!$C$6),COUNT(Y$4:Y376)+1,"")</f>
        <v/>
      </c>
      <c r="Z377">
        <f>IF(AND($A377&lt;&gt;"",$B377&lt;&gt;"",$R377='تقرير ديسمبر'!$C$4,$P377='تقرير ديسمبر'!$C$6),COUNT(Z$4:Z376)+1,"")</f>
        <v/>
      </c>
      <c r="AA377">
        <f>IF(AND($A377&lt;&gt;"",$B377&lt;&gt;"",$R377='تقرير يناير'!$C$4,$P377='تقرير يناير'!$C$6),COUNT(AA$4:AA376)+1,"")</f>
        <v/>
      </c>
      <c r="AB377">
        <f>IF(AND($A377&lt;&gt;"",$B377&lt;&gt;"",$R377='تقرير فبراير'!$C$4,$P377='تقرير فبراير'!$C$6),COUNT(AB$4:AB376)+1,"")</f>
        <v/>
      </c>
      <c r="AC377">
        <f>IF(AND($A377&lt;&gt;"",$B377&lt;&gt;"",$R377='تقرير مارس'!$C$4,$P377='تقرير مارس'!$C$6),COUNT(AC$4:AC376)+1,"")</f>
        <v/>
      </c>
      <c r="AD377">
        <f>IF(AND($A377&lt;&gt;"",$B377&lt;&gt;"",$R377='تقرير أبريل'!$C$4,$P377='تقرير أبريل'!$C$6),COUNT(AD$4:AD376)+1,"")</f>
        <v/>
      </c>
      <c r="AE377">
        <f>IF(AND($A377&lt;&gt;"",$B377&lt;&gt;"",$R377='تقرير مايو'!$C$4,$P377='تقرير مايو'!$C$6),COUNT(AE$4:AE376)+1,"")</f>
        <v/>
      </c>
    </row>
    <row r="378">
      <c r="A378" s="16" t="n"/>
      <c r="B378" s="17" t="n"/>
      <c r="C378" s="17" t="n"/>
      <c r="D378" s="18" t="n"/>
      <c r="E378" s="17" t="n"/>
      <c r="F378" s="17" t="n"/>
      <c r="G378" s="19" t="n"/>
      <c r="H378" s="17" t="n"/>
      <c r="I378" s="17" t="n"/>
      <c r="J378" s="17" t="n"/>
      <c r="K378" s="20">
        <f>IF($B378="","",IFERROR(INDEX(الموظفات!$A$5:$A$304,MATCH($B378,الموظفات!$B$5:$B$304,0))&amp;"",""))</f>
        <v/>
      </c>
      <c r="L378" s="21">
        <f>IF($B378="","",IFERROR(INDEX(الموظفات!$C$5:$C$304,MATCH($B378,الموظفات!$B$5:$B$304,0))&amp;"",""))</f>
        <v/>
      </c>
      <c r="M378" s="20">
        <f>IF($B378="","",IFERROR(INDEX(الموظفات!$D$5:$D$304,MATCH($B378,الموظفات!$B$5:$B$304,0))&amp;"",""))</f>
        <v/>
      </c>
      <c r="N378" s="20">
        <f>IF($B378="","",IFERROR(INDEX(الموظفات!$E$5:$E$304,MATCH($B378,الموظفات!$B$5:$B$304,0))&amp;"",""))</f>
        <v/>
      </c>
      <c r="O378" s="21">
        <f>IF(C378="","",IFERROR(INDEX(الإعدادات!$D$7:$D$35,MATCH(C378,الإعدادات!$A$7:$A$35,0))&amp;"",""))</f>
        <v/>
      </c>
      <c r="P378" s="20">
        <f>IF(A378="","",INDEX(الإعدادات!$H$7:$H$18,MONTH(A378)))</f>
        <v/>
      </c>
      <c r="Q378" s="20">
        <f>IF(A378="","",INDEX(الإعدادات!$I$7:$I$18,MONTH(A378)))</f>
        <v/>
      </c>
      <c r="R378" s="20">
        <f>IF(A378="","",IF(MONTH(A378)&gt;=8,YEAR(A378)&amp;"-"&amp;(YEAR(A378)+1),(YEAR(A378)-1)&amp;"-"&amp;YEAR(A378)))</f>
        <v/>
      </c>
      <c r="S378" s="20">
        <f>IF(OR(A378="",B378=""),0,IF(AND(R378=التقارير!$C$4,OR(التقارير!$C$5="سنوي",AND(التقارير!$C$5="شهري",P378=التقارير!$C$6),AND(التقارير!$C$5="فصلي",Q378=التقارير!$C$7))),1,0))</f>
        <v/>
      </c>
      <c r="T378" s="20">
        <f>IF(S378=1,COUNTIF($S$5:S378,1),"")</f>
        <v/>
      </c>
      <c r="U378">
        <f>IF(AND($A378&lt;&gt;"",$B378&lt;&gt;"",$R378='تقرير الفصل الأول'!$C$4,$Q378='تقرير الفصل الأول'!$C$7),COUNT(U$4:U377)+1,"")</f>
        <v/>
      </c>
      <c r="V378">
        <f>IF(AND($A378&lt;&gt;"",$B378&lt;&gt;"",$R378='تقرير الفصل الثاني'!$C$4,$Q378='تقرير الفصل الثاني'!$C$7),COUNT(V$4:V377)+1,"")</f>
        <v/>
      </c>
      <c r="W378">
        <f>IF(AND($A378&lt;&gt;"",$B378&lt;&gt;"",$R378='تقرير سبتمبر'!$C$4,$P378='تقرير سبتمبر'!$C$6),COUNT(W$4:W377)+1,"")</f>
        <v/>
      </c>
      <c r="X378">
        <f>IF(AND($A378&lt;&gt;"",$B378&lt;&gt;"",$R378='تقرير أكتوبر'!$C$4,$P378='تقرير أكتوبر'!$C$6),COUNT(X$4:X377)+1,"")</f>
        <v/>
      </c>
      <c r="Y378">
        <f>IF(AND($A378&lt;&gt;"",$B378&lt;&gt;"",$R378='تقرير نوفمبر'!$C$4,$P378='تقرير نوفمبر'!$C$6),COUNT(Y$4:Y377)+1,"")</f>
        <v/>
      </c>
      <c r="Z378">
        <f>IF(AND($A378&lt;&gt;"",$B378&lt;&gt;"",$R378='تقرير ديسمبر'!$C$4,$P378='تقرير ديسمبر'!$C$6),COUNT(Z$4:Z377)+1,"")</f>
        <v/>
      </c>
      <c r="AA378">
        <f>IF(AND($A378&lt;&gt;"",$B378&lt;&gt;"",$R378='تقرير يناير'!$C$4,$P378='تقرير يناير'!$C$6),COUNT(AA$4:AA377)+1,"")</f>
        <v/>
      </c>
      <c r="AB378">
        <f>IF(AND($A378&lt;&gt;"",$B378&lt;&gt;"",$R378='تقرير فبراير'!$C$4,$P378='تقرير فبراير'!$C$6),COUNT(AB$4:AB377)+1,"")</f>
        <v/>
      </c>
      <c r="AC378">
        <f>IF(AND($A378&lt;&gt;"",$B378&lt;&gt;"",$R378='تقرير مارس'!$C$4,$P378='تقرير مارس'!$C$6),COUNT(AC$4:AC377)+1,"")</f>
        <v/>
      </c>
      <c r="AD378">
        <f>IF(AND($A378&lt;&gt;"",$B378&lt;&gt;"",$R378='تقرير أبريل'!$C$4,$P378='تقرير أبريل'!$C$6),COUNT(AD$4:AD377)+1,"")</f>
        <v/>
      </c>
      <c r="AE378">
        <f>IF(AND($A378&lt;&gt;"",$B378&lt;&gt;"",$R378='تقرير مايو'!$C$4,$P378='تقرير مايو'!$C$6),COUNT(AE$4:AE377)+1,"")</f>
        <v/>
      </c>
    </row>
    <row r="379">
      <c r="A379" s="16" t="n"/>
      <c r="B379" s="17" t="n"/>
      <c r="C379" s="17" t="n"/>
      <c r="D379" s="18" t="n"/>
      <c r="E379" s="17" t="n"/>
      <c r="F379" s="17" t="n"/>
      <c r="G379" s="19" t="n"/>
      <c r="H379" s="17" t="n"/>
      <c r="I379" s="17" t="n"/>
      <c r="J379" s="17" t="n"/>
      <c r="K379" s="20">
        <f>IF($B379="","",IFERROR(INDEX(الموظفات!$A$5:$A$304,MATCH($B379,الموظفات!$B$5:$B$304,0))&amp;"",""))</f>
        <v/>
      </c>
      <c r="L379" s="21">
        <f>IF($B379="","",IFERROR(INDEX(الموظفات!$C$5:$C$304,MATCH($B379,الموظفات!$B$5:$B$304,0))&amp;"",""))</f>
        <v/>
      </c>
      <c r="M379" s="20">
        <f>IF($B379="","",IFERROR(INDEX(الموظفات!$D$5:$D$304,MATCH($B379,الموظفات!$B$5:$B$304,0))&amp;"",""))</f>
        <v/>
      </c>
      <c r="N379" s="20">
        <f>IF($B379="","",IFERROR(INDEX(الموظفات!$E$5:$E$304,MATCH($B379,الموظفات!$B$5:$B$304,0))&amp;"",""))</f>
        <v/>
      </c>
      <c r="O379" s="21">
        <f>IF(C379="","",IFERROR(INDEX(الإعدادات!$D$7:$D$35,MATCH(C379,الإعدادات!$A$7:$A$35,0))&amp;"",""))</f>
        <v/>
      </c>
      <c r="P379" s="20">
        <f>IF(A379="","",INDEX(الإعدادات!$H$7:$H$18,MONTH(A379)))</f>
        <v/>
      </c>
      <c r="Q379" s="20">
        <f>IF(A379="","",INDEX(الإعدادات!$I$7:$I$18,MONTH(A379)))</f>
        <v/>
      </c>
      <c r="R379" s="20">
        <f>IF(A379="","",IF(MONTH(A379)&gt;=8,YEAR(A379)&amp;"-"&amp;(YEAR(A379)+1),(YEAR(A379)-1)&amp;"-"&amp;YEAR(A379)))</f>
        <v/>
      </c>
      <c r="S379" s="20">
        <f>IF(OR(A379="",B379=""),0,IF(AND(R379=التقارير!$C$4,OR(التقارير!$C$5="سنوي",AND(التقارير!$C$5="شهري",P379=التقارير!$C$6),AND(التقارير!$C$5="فصلي",Q379=التقارير!$C$7))),1,0))</f>
        <v/>
      </c>
      <c r="T379" s="20">
        <f>IF(S379=1,COUNTIF($S$5:S379,1),"")</f>
        <v/>
      </c>
      <c r="U379">
        <f>IF(AND($A379&lt;&gt;"",$B379&lt;&gt;"",$R379='تقرير الفصل الأول'!$C$4,$Q379='تقرير الفصل الأول'!$C$7),COUNT(U$4:U378)+1,"")</f>
        <v/>
      </c>
      <c r="V379">
        <f>IF(AND($A379&lt;&gt;"",$B379&lt;&gt;"",$R379='تقرير الفصل الثاني'!$C$4,$Q379='تقرير الفصل الثاني'!$C$7),COUNT(V$4:V378)+1,"")</f>
        <v/>
      </c>
      <c r="W379">
        <f>IF(AND($A379&lt;&gt;"",$B379&lt;&gt;"",$R379='تقرير سبتمبر'!$C$4,$P379='تقرير سبتمبر'!$C$6),COUNT(W$4:W378)+1,"")</f>
        <v/>
      </c>
      <c r="X379">
        <f>IF(AND($A379&lt;&gt;"",$B379&lt;&gt;"",$R379='تقرير أكتوبر'!$C$4,$P379='تقرير أكتوبر'!$C$6),COUNT(X$4:X378)+1,"")</f>
        <v/>
      </c>
      <c r="Y379">
        <f>IF(AND($A379&lt;&gt;"",$B379&lt;&gt;"",$R379='تقرير نوفمبر'!$C$4,$P379='تقرير نوفمبر'!$C$6),COUNT(Y$4:Y378)+1,"")</f>
        <v/>
      </c>
      <c r="Z379">
        <f>IF(AND($A379&lt;&gt;"",$B379&lt;&gt;"",$R379='تقرير ديسمبر'!$C$4,$P379='تقرير ديسمبر'!$C$6),COUNT(Z$4:Z378)+1,"")</f>
        <v/>
      </c>
      <c r="AA379">
        <f>IF(AND($A379&lt;&gt;"",$B379&lt;&gt;"",$R379='تقرير يناير'!$C$4,$P379='تقرير يناير'!$C$6),COUNT(AA$4:AA378)+1,"")</f>
        <v/>
      </c>
      <c r="AB379">
        <f>IF(AND($A379&lt;&gt;"",$B379&lt;&gt;"",$R379='تقرير فبراير'!$C$4,$P379='تقرير فبراير'!$C$6),COUNT(AB$4:AB378)+1,"")</f>
        <v/>
      </c>
      <c r="AC379">
        <f>IF(AND($A379&lt;&gt;"",$B379&lt;&gt;"",$R379='تقرير مارس'!$C$4,$P379='تقرير مارس'!$C$6),COUNT(AC$4:AC378)+1,"")</f>
        <v/>
      </c>
      <c r="AD379">
        <f>IF(AND($A379&lt;&gt;"",$B379&lt;&gt;"",$R379='تقرير أبريل'!$C$4,$P379='تقرير أبريل'!$C$6),COUNT(AD$4:AD378)+1,"")</f>
        <v/>
      </c>
      <c r="AE379">
        <f>IF(AND($A379&lt;&gt;"",$B379&lt;&gt;"",$R379='تقرير مايو'!$C$4,$P379='تقرير مايو'!$C$6),COUNT(AE$4:AE378)+1,"")</f>
        <v/>
      </c>
    </row>
    <row r="380">
      <c r="A380" s="16" t="n"/>
      <c r="B380" s="17" t="n"/>
      <c r="C380" s="17" t="n"/>
      <c r="D380" s="18" t="n"/>
      <c r="E380" s="17" t="n"/>
      <c r="F380" s="17" t="n"/>
      <c r="G380" s="19" t="n"/>
      <c r="H380" s="17" t="n"/>
      <c r="I380" s="17" t="n"/>
      <c r="J380" s="17" t="n"/>
      <c r="K380" s="20">
        <f>IF($B380="","",IFERROR(INDEX(الموظفات!$A$5:$A$304,MATCH($B380,الموظفات!$B$5:$B$304,0))&amp;"",""))</f>
        <v/>
      </c>
      <c r="L380" s="21">
        <f>IF($B380="","",IFERROR(INDEX(الموظفات!$C$5:$C$304,MATCH($B380,الموظفات!$B$5:$B$304,0))&amp;"",""))</f>
        <v/>
      </c>
      <c r="M380" s="20">
        <f>IF($B380="","",IFERROR(INDEX(الموظفات!$D$5:$D$304,MATCH($B380,الموظفات!$B$5:$B$304,0))&amp;"",""))</f>
        <v/>
      </c>
      <c r="N380" s="20">
        <f>IF($B380="","",IFERROR(INDEX(الموظفات!$E$5:$E$304,MATCH($B380,الموظفات!$B$5:$B$304,0))&amp;"",""))</f>
        <v/>
      </c>
      <c r="O380" s="21">
        <f>IF(C380="","",IFERROR(INDEX(الإعدادات!$D$7:$D$35,MATCH(C380,الإعدادات!$A$7:$A$35,0))&amp;"",""))</f>
        <v/>
      </c>
      <c r="P380" s="20">
        <f>IF(A380="","",INDEX(الإعدادات!$H$7:$H$18,MONTH(A380)))</f>
        <v/>
      </c>
      <c r="Q380" s="20">
        <f>IF(A380="","",INDEX(الإعدادات!$I$7:$I$18,MONTH(A380)))</f>
        <v/>
      </c>
      <c r="R380" s="20">
        <f>IF(A380="","",IF(MONTH(A380)&gt;=8,YEAR(A380)&amp;"-"&amp;(YEAR(A380)+1),(YEAR(A380)-1)&amp;"-"&amp;YEAR(A380)))</f>
        <v/>
      </c>
      <c r="S380" s="20">
        <f>IF(OR(A380="",B380=""),0,IF(AND(R380=التقارير!$C$4,OR(التقارير!$C$5="سنوي",AND(التقارير!$C$5="شهري",P380=التقارير!$C$6),AND(التقارير!$C$5="فصلي",Q380=التقارير!$C$7))),1,0))</f>
        <v/>
      </c>
      <c r="T380" s="20">
        <f>IF(S380=1,COUNTIF($S$5:S380,1),"")</f>
        <v/>
      </c>
      <c r="U380">
        <f>IF(AND($A380&lt;&gt;"",$B380&lt;&gt;"",$R380='تقرير الفصل الأول'!$C$4,$Q380='تقرير الفصل الأول'!$C$7),COUNT(U$4:U379)+1,"")</f>
        <v/>
      </c>
      <c r="V380">
        <f>IF(AND($A380&lt;&gt;"",$B380&lt;&gt;"",$R380='تقرير الفصل الثاني'!$C$4,$Q380='تقرير الفصل الثاني'!$C$7),COUNT(V$4:V379)+1,"")</f>
        <v/>
      </c>
      <c r="W380">
        <f>IF(AND($A380&lt;&gt;"",$B380&lt;&gt;"",$R380='تقرير سبتمبر'!$C$4,$P380='تقرير سبتمبر'!$C$6),COUNT(W$4:W379)+1,"")</f>
        <v/>
      </c>
      <c r="X380">
        <f>IF(AND($A380&lt;&gt;"",$B380&lt;&gt;"",$R380='تقرير أكتوبر'!$C$4,$P380='تقرير أكتوبر'!$C$6),COUNT(X$4:X379)+1,"")</f>
        <v/>
      </c>
      <c r="Y380">
        <f>IF(AND($A380&lt;&gt;"",$B380&lt;&gt;"",$R380='تقرير نوفمبر'!$C$4,$P380='تقرير نوفمبر'!$C$6),COUNT(Y$4:Y379)+1,"")</f>
        <v/>
      </c>
      <c r="Z380">
        <f>IF(AND($A380&lt;&gt;"",$B380&lt;&gt;"",$R380='تقرير ديسمبر'!$C$4,$P380='تقرير ديسمبر'!$C$6),COUNT(Z$4:Z379)+1,"")</f>
        <v/>
      </c>
      <c r="AA380">
        <f>IF(AND($A380&lt;&gt;"",$B380&lt;&gt;"",$R380='تقرير يناير'!$C$4,$P380='تقرير يناير'!$C$6),COUNT(AA$4:AA379)+1,"")</f>
        <v/>
      </c>
      <c r="AB380">
        <f>IF(AND($A380&lt;&gt;"",$B380&lt;&gt;"",$R380='تقرير فبراير'!$C$4,$P380='تقرير فبراير'!$C$6),COUNT(AB$4:AB379)+1,"")</f>
        <v/>
      </c>
      <c r="AC380">
        <f>IF(AND($A380&lt;&gt;"",$B380&lt;&gt;"",$R380='تقرير مارس'!$C$4,$P380='تقرير مارس'!$C$6),COUNT(AC$4:AC379)+1,"")</f>
        <v/>
      </c>
      <c r="AD380">
        <f>IF(AND($A380&lt;&gt;"",$B380&lt;&gt;"",$R380='تقرير أبريل'!$C$4,$P380='تقرير أبريل'!$C$6),COUNT(AD$4:AD379)+1,"")</f>
        <v/>
      </c>
      <c r="AE380">
        <f>IF(AND($A380&lt;&gt;"",$B380&lt;&gt;"",$R380='تقرير مايو'!$C$4,$P380='تقرير مايو'!$C$6),COUNT(AE$4:AE379)+1,"")</f>
        <v/>
      </c>
    </row>
    <row r="381">
      <c r="A381" s="16" t="n"/>
      <c r="B381" s="17" t="n"/>
      <c r="C381" s="17" t="n"/>
      <c r="D381" s="18" t="n"/>
      <c r="E381" s="17" t="n"/>
      <c r="F381" s="17" t="n"/>
      <c r="G381" s="19" t="n"/>
      <c r="H381" s="17" t="n"/>
      <c r="I381" s="17" t="n"/>
      <c r="J381" s="17" t="n"/>
      <c r="K381" s="20">
        <f>IF($B381="","",IFERROR(INDEX(الموظفات!$A$5:$A$304,MATCH($B381,الموظفات!$B$5:$B$304,0))&amp;"",""))</f>
        <v/>
      </c>
      <c r="L381" s="21">
        <f>IF($B381="","",IFERROR(INDEX(الموظفات!$C$5:$C$304,MATCH($B381,الموظفات!$B$5:$B$304,0))&amp;"",""))</f>
        <v/>
      </c>
      <c r="M381" s="20">
        <f>IF($B381="","",IFERROR(INDEX(الموظفات!$D$5:$D$304,MATCH($B381,الموظفات!$B$5:$B$304,0))&amp;"",""))</f>
        <v/>
      </c>
      <c r="N381" s="20">
        <f>IF($B381="","",IFERROR(INDEX(الموظفات!$E$5:$E$304,MATCH($B381,الموظفات!$B$5:$B$304,0))&amp;"",""))</f>
        <v/>
      </c>
      <c r="O381" s="21">
        <f>IF(C381="","",IFERROR(INDEX(الإعدادات!$D$7:$D$35,MATCH(C381,الإعدادات!$A$7:$A$35,0))&amp;"",""))</f>
        <v/>
      </c>
      <c r="P381" s="20">
        <f>IF(A381="","",INDEX(الإعدادات!$H$7:$H$18,MONTH(A381)))</f>
        <v/>
      </c>
      <c r="Q381" s="20">
        <f>IF(A381="","",INDEX(الإعدادات!$I$7:$I$18,MONTH(A381)))</f>
        <v/>
      </c>
      <c r="R381" s="20">
        <f>IF(A381="","",IF(MONTH(A381)&gt;=8,YEAR(A381)&amp;"-"&amp;(YEAR(A381)+1),(YEAR(A381)-1)&amp;"-"&amp;YEAR(A381)))</f>
        <v/>
      </c>
      <c r="S381" s="20">
        <f>IF(OR(A381="",B381=""),0,IF(AND(R381=التقارير!$C$4,OR(التقارير!$C$5="سنوي",AND(التقارير!$C$5="شهري",P381=التقارير!$C$6),AND(التقارير!$C$5="فصلي",Q381=التقارير!$C$7))),1,0))</f>
        <v/>
      </c>
      <c r="T381" s="20">
        <f>IF(S381=1,COUNTIF($S$5:S381,1),"")</f>
        <v/>
      </c>
      <c r="U381">
        <f>IF(AND($A381&lt;&gt;"",$B381&lt;&gt;"",$R381='تقرير الفصل الأول'!$C$4,$Q381='تقرير الفصل الأول'!$C$7),COUNT(U$4:U380)+1,"")</f>
        <v/>
      </c>
      <c r="V381">
        <f>IF(AND($A381&lt;&gt;"",$B381&lt;&gt;"",$R381='تقرير الفصل الثاني'!$C$4,$Q381='تقرير الفصل الثاني'!$C$7),COUNT(V$4:V380)+1,"")</f>
        <v/>
      </c>
      <c r="W381">
        <f>IF(AND($A381&lt;&gt;"",$B381&lt;&gt;"",$R381='تقرير سبتمبر'!$C$4,$P381='تقرير سبتمبر'!$C$6),COUNT(W$4:W380)+1,"")</f>
        <v/>
      </c>
      <c r="X381">
        <f>IF(AND($A381&lt;&gt;"",$B381&lt;&gt;"",$R381='تقرير أكتوبر'!$C$4,$P381='تقرير أكتوبر'!$C$6),COUNT(X$4:X380)+1,"")</f>
        <v/>
      </c>
      <c r="Y381">
        <f>IF(AND($A381&lt;&gt;"",$B381&lt;&gt;"",$R381='تقرير نوفمبر'!$C$4,$P381='تقرير نوفمبر'!$C$6),COUNT(Y$4:Y380)+1,"")</f>
        <v/>
      </c>
      <c r="Z381">
        <f>IF(AND($A381&lt;&gt;"",$B381&lt;&gt;"",$R381='تقرير ديسمبر'!$C$4,$P381='تقرير ديسمبر'!$C$6),COUNT(Z$4:Z380)+1,"")</f>
        <v/>
      </c>
      <c r="AA381">
        <f>IF(AND($A381&lt;&gt;"",$B381&lt;&gt;"",$R381='تقرير يناير'!$C$4,$P381='تقرير يناير'!$C$6),COUNT(AA$4:AA380)+1,"")</f>
        <v/>
      </c>
      <c r="AB381">
        <f>IF(AND($A381&lt;&gt;"",$B381&lt;&gt;"",$R381='تقرير فبراير'!$C$4,$P381='تقرير فبراير'!$C$6),COUNT(AB$4:AB380)+1,"")</f>
        <v/>
      </c>
      <c r="AC381">
        <f>IF(AND($A381&lt;&gt;"",$B381&lt;&gt;"",$R381='تقرير مارس'!$C$4,$P381='تقرير مارس'!$C$6),COUNT(AC$4:AC380)+1,"")</f>
        <v/>
      </c>
      <c r="AD381">
        <f>IF(AND($A381&lt;&gt;"",$B381&lt;&gt;"",$R381='تقرير أبريل'!$C$4,$P381='تقرير أبريل'!$C$6),COUNT(AD$4:AD380)+1,"")</f>
        <v/>
      </c>
      <c r="AE381">
        <f>IF(AND($A381&lt;&gt;"",$B381&lt;&gt;"",$R381='تقرير مايو'!$C$4,$P381='تقرير مايو'!$C$6),COUNT(AE$4:AE380)+1,"")</f>
        <v/>
      </c>
    </row>
    <row r="382">
      <c r="A382" s="16" t="n"/>
      <c r="B382" s="17" t="n"/>
      <c r="C382" s="17" t="n"/>
      <c r="D382" s="18" t="n"/>
      <c r="E382" s="17" t="n"/>
      <c r="F382" s="17" t="n"/>
      <c r="G382" s="19" t="n"/>
      <c r="H382" s="17" t="n"/>
      <c r="I382" s="17" t="n"/>
      <c r="J382" s="17" t="n"/>
      <c r="K382" s="20">
        <f>IF($B382="","",IFERROR(INDEX(الموظفات!$A$5:$A$304,MATCH($B382,الموظفات!$B$5:$B$304,0))&amp;"",""))</f>
        <v/>
      </c>
      <c r="L382" s="21">
        <f>IF($B382="","",IFERROR(INDEX(الموظفات!$C$5:$C$304,MATCH($B382,الموظفات!$B$5:$B$304,0))&amp;"",""))</f>
        <v/>
      </c>
      <c r="M382" s="20">
        <f>IF($B382="","",IFERROR(INDEX(الموظفات!$D$5:$D$304,MATCH($B382,الموظفات!$B$5:$B$304,0))&amp;"",""))</f>
        <v/>
      </c>
      <c r="N382" s="20">
        <f>IF($B382="","",IFERROR(INDEX(الموظفات!$E$5:$E$304,MATCH($B382,الموظفات!$B$5:$B$304,0))&amp;"",""))</f>
        <v/>
      </c>
      <c r="O382" s="21">
        <f>IF(C382="","",IFERROR(INDEX(الإعدادات!$D$7:$D$35,MATCH(C382,الإعدادات!$A$7:$A$35,0))&amp;"",""))</f>
        <v/>
      </c>
      <c r="P382" s="20">
        <f>IF(A382="","",INDEX(الإعدادات!$H$7:$H$18,MONTH(A382)))</f>
        <v/>
      </c>
      <c r="Q382" s="20">
        <f>IF(A382="","",INDEX(الإعدادات!$I$7:$I$18,MONTH(A382)))</f>
        <v/>
      </c>
      <c r="R382" s="20">
        <f>IF(A382="","",IF(MONTH(A382)&gt;=8,YEAR(A382)&amp;"-"&amp;(YEAR(A382)+1),(YEAR(A382)-1)&amp;"-"&amp;YEAR(A382)))</f>
        <v/>
      </c>
      <c r="S382" s="20">
        <f>IF(OR(A382="",B382=""),0,IF(AND(R382=التقارير!$C$4,OR(التقارير!$C$5="سنوي",AND(التقارير!$C$5="شهري",P382=التقارير!$C$6),AND(التقارير!$C$5="فصلي",Q382=التقارير!$C$7))),1,0))</f>
        <v/>
      </c>
      <c r="T382" s="20">
        <f>IF(S382=1,COUNTIF($S$5:S382,1),"")</f>
        <v/>
      </c>
      <c r="U382">
        <f>IF(AND($A382&lt;&gt;"",$B382&lt;&gt;"",$R382='تقرير الفصل الأول'!$C$4,$Q382='تقرير الفصل الأول'!$C$7),COUNT(U$4:U381)+1,"")</f>
        <v/>
      </c>
      <c r="V382">
        <f>IF(AND($A382&lt;&gt;"",$B382&lt;&gt;"",$R382='تقرير الفصل الثاني'!$C$4,$Q382='تقرير الفصل الثاني'!$C$7),COUNT(V$4:V381)+1,"")</f>
        <v/>
      </c>
      <c r="W382">
        <f>IF(AND($A382&lt;&gt;"",$B382&lt;&gt;"",$R382='تقرير سبتمبر'!$C$4,$P382='تقرير سبتمبر'!$C$6),COUNT(W$4:W381)+1,"")</f>
        <v/>
      </c>
      <c r="X382">
        <f>IF(AND($A382&lt;&gt;"",$B382&lt;&gt;"",$R382='تقرير أكتوبر'!$C$4,$P382='تقرير أكتوبر'!$C$6),COUNT(X$4:X381)+1,"")</f>
        <v/>
      </c>
      <c r="Y382">
        <f>IF(AND($A382&lt;&gt;"",$B382&lt;&gt;"",$R382='تقرير نوفمبر'!$C$4,$P382='تقرير نوفمبر'!$C$6),COUNT(Y$4:Y381)+1,"")</f>
        <v/>
      </c>
      <c r="Z382">
        <f>IF(AND($A382&lt;&gt;"",$B382&lt;&gt;"",$R382='تقرير ديسمبر'!$C$4,$P382='تقرير ديسمبر'!$C$6),COUNT(Z$4:Z381)+1,"")</f>
        <v/>
      </c>
      <c r="AA382">
        <f>IF(AND($A382&lt;&gt;"",$B382&lt;&gt;"",$R382='تقرير يناير'!$C$4,$P382='تقرير يناير'!$C$6),COUNT(AA$4:AA381)+1,"")</f>
        <v/>
      </c>
      <c r="AB382">
        <f>IF(AND($A382&lt;&gt;"",$B382&lt;&gt;"",$R382='تقرير فبراير'!$C$4,$P382='تقرير فبراير'!$C$6),COUNT(AB$4:AB381)+1,"")</f>
        <v/>
      </c>
      <c r="AC382">
        <f>IF(AND($A382&lt;&gt;"",$B382&lt;&gt;"",$R382='تقرير مارس'!$C$4,$P382='تقرير مارس'!$C$6),COUNT(AC$4:AC381)+1,"")</f>
        <v/>
      </c>
      <c r="AD382">
        <f>IF(AND($A382&lt;&gt;"",$B382&lt;&gt;"",$R382='تقرير أبريل'!$C$4,$P382='تقرير أبريل'!$C$6),COUNT(AD$4:AD381)+1,"")</f>
        <v/>
      </c>
      <c r="AE382">
        <f>IF(AND($A382&lt;&gt;"",$B382&lt;&gt;"",$R382='تقرير مايو'!$C$4,$P382='تقرير مايو'!$C$6),COUNT(AE$4:AE381)+1,"")</f>
        <v/>
      </c>
    </row>
    <row r="383">
      <c r="A383" s="16" t="n"/>
      <c r="B383" s="17" t="n"/>
      <c r="C383" s="17" t="n"/>
      <c r="D383" s="18" t="n"/>
      <c r="E383" s="17" t="n"/>
      <c r="F383" s="17" t="n"/>
      <c r="G383" s="19" t="n"/>
      <c r="H383" s="17" t="n"/>
      <c r="I383" s="17" t="n"/>
      <c r="J383" s="17" t="n"/>
      <c r="K383" s="20">
        <f>IF($B383="","",IFERROR(INDEX(الموظفات!$A$5:$A$304,MATCH($B383,الموظفات!$B$5:$B$304,0))&amp;"",""))</f>
        <v/>
      </c>
      <c r="L383" s="21">
        <f>IF($B383="","",IFERROR(INDEX(الموظفات!$C$5:$C$304,MATCH($B383,الموظفات!$B$5:$B$304,0))&amp;"",""))</f>
        <v/>
      </c>
      <c r="M383" s="20">
        <f>IF($B383="","",IFERROR(INDEX(الموظفات!$D$5:$D$304,MATCH($B383,الموظفات!$B$5:$B$304,0))&amp;"",""))</f>
        <v/>
      </c>
      <c r="N383" s="20">
        <f>IF($B383="","",IFERROR(INDEX(الموظفات!$E$5:$E$304,MATCH($B383,الموظفات!$B$5:$B$304,0))&amp;"",""))</f>
        <v/>
      </c>
      <c r="O383" s="21">
        <f>IF(C383="","",IFERROR(INDEX(الإعدادات!$D$7:$D$35,MATCH(C383,الإعدادات!$A$7:$A$35,0))&amp;"",""))</f>
        <v/>
      </c>
      <c r="P383" s="20">
        <f>IF(A383="","",INDEX(الإعدادات!$H$7:$H$18,MONTH(A383)))</f>
        <v/>
      </c>
      <c r="Q383" s="20">
        <f>IF(A383="","",INDEX(الإعدادات!$I$7:$I$18,MONTH(A383)))</f>
        <v/>
      </c>
      <c r="R383" s="20">
        <f>IF(A383="","",IF(MONTH(A383)&gt;=8,YEAR(A383)&amp;"-"&amp;(YEAR(A383)+1),(YEAR(A383)-1)&amp;"-"&amp;YEAR(A383)))</f>
        <v/>
      </c>
      <c r="S383" s="20">
        <f>IF(OR(A383="",B383=""),0,IF(AND(R383=التقارير!$C$4,OR(التقارير!$C$5="سنوي",AND(التقارير!$C$5="شهري",P383=التقارير!$C$6),AND(التقارير!$C$5="فصلي",Q383=التقارير!$C$7))),1,0))</f>
        <v/>
      </c>
      <c r="T383" s="20">
        <f>IF(S383=1,COUNTIF($S$5:S383,1),"")</f>
        <v/>
      </c>
      <c r="U383">
        <f>IF(AND($A383&lt;&gt;"",$B383&lt;&gt;"",$R383='تقرير الفصل الأول'!$C$4,$Q383='تقرير الفصل الأول'!$C$7),COUNT(U$4:U382)+1,"")</f>
        <v/>
      </c>
      <c r="V383">
        <f>IF(AND($A383&lt;&gt;"",$B383&lt;&gt;"",$R383='تقرير الفصل الثاني'!$C$4,$Q383='تقرير الفصل الثاني'!$C$7),COUNT(V$4:V382)+1,"")</f>
        <v/>
      </c>
      <c r="W383">
        <f>IF(AND($A383&lt;&gt;"",$B383&lt;&gt;"",$R383='تقرير سبتمبر'!$C$4,$P383='تقرير سبتمبر'!$C$6),COUNT(W$4:W382)+1,"")</f>
        <v/>
      </c>
      <c r="X383">
        <f>IF(AND($A383&lt;&gt;"",$B383&lt;&gt;"",$R383='تقرير أكتوبر'!$C$4,$P383='تقرير أكتوبر'!$C$6),COUNT(X$4:X382)+1,"")</f>
        <v/>
      </c>
      <c r="Y383">
        <f>IF(AND($A383&lt;&gt;"",$B383&lt;&gt;"",$R383='تقرير نوفمبر'!$C$4,$P383='تقرير نوفمبر'!$C$6),COUNT(Y$4:Y382)+1,"")</f>
        <v/>
      </c>
      <c r="Z383">
        <f>IF(AND($A383&lt;&gt;"",$B383&lt;&gt;"",$R383='تقرير ديسمبر'!$C$4,$P383='تقرير ديسمبر'!$C$6),COUNT(Z$4:Z382)+1,"")</f>
        <v/>
      </c>
      <c r="AA383">
        <f>IF(AND($A383&lt;&gt;"",$B383&lt;&gt;"",$R383='تقرير يناير'!$C$4,$P383='تقرير يناير'!$C$6),COUNT(AA$4:AA382)+1,"")</f>
        <v/>
      </c>
      <c r="AB383">
        <f>IF(AND($A383&lt;&gt;"",$B383&lt;&gt;"",$R383='تقرير فبراير'!$C$4,$P383='تقرير فبراير'!$C$6),COUNT(AB$4:AB382)+1,"")</f>
        <v/>
      </c>
      <c r="AC383">
        <f>IF(AND($A383&lt;&gt;"",$B383&lt;&gt;"",$R383='تقرير مارس'!$C$4,$P383='تقرير مارس'!$C$6),COUNT(AC$4:AC382)+1,"")</f>
        <v/>
      </c>
      <c r="AD383">
        <f>IF(AND($A383&lt;&gt;"",$B383&lt;&gt;"",$R383='تقرير أبريل'!$C$4,$P383='تقرير أبريل'!$C$6),COUNT(AD$4:AD382)+1,"")</f>
        <v/>
      </c>
      <c r="AE383">
        <f>IF(AND($A383&lt;&gt;"",$B383&lt;&gt;"",$R383='تقرير مايو'!$C$4,$P383='تقرير مايو'!$C$6),COUNT(AE$4:AE382)+1,"")</f>
        <v/>
      </c>
    </row>
    <row r="384">
      <c r="A384" s="16" t="n"/>
      <c r="B384" s="17" t="n"/>
      <c r="C384" s="17" t="n"/>
      <c r="D384" s="18" t="n"/>
      <c r="E384" s="17" t="n"/>
      <c r="F384" s="17" t="n"/>
      <c r="G384" s="19" t="n"/>
      <c r="H384" s="17" t="n"/>
      <c r="I384" s="17" t="n"/>
      <c r="J384" s="17" t="n"/>
      <c r="K384" s="20">
        <f>IF($B384="","",IFERROR(INDEX(الموظفات!$A$5:$A$304,MATCH($B384,الموظفات!$B$5:$B$304,0))&amp;"",""))</f>
        <v/>
      </c>
      <c r="L384" s="21">
        <f>IF($B384="","",IFERROR(INDEX(الموظفات!$C$5:$C$304,MATCH($B384,الموظفات!$B$5:$B$304,0))&amp;"",""))</f>
        <v/>
      </c>
      <c r="M384" s="20">
        <f>IF($B384="","",IFERROR(INDEX(الموظفات!$D$5:$D$304,MATCH($B384,الموظفات!$B$5:$B$304,0))&amp;"",""))</f>
        <v/>
      </c>
      <c r="N384" s="20">
        <f>IF($B384="","",IFERROR(INDEX(الموظفات!$E$5:$E$304,MATCH($B384,الموظفات!$B$5:$B$304,0))&amp;"",""))</f>
        <v/>
      </c>
      <c r="O384" s="21">
        <f>IF(C384="","",IFERROR(INDEX(الإعدادات!$D$7:$D$35,MATCH(C384,الإعدادات!$A$7:$A$35,0))&amp;"",""))</f>
        <v/>
      </c>
      <c r="P384" s="20">
        <f>IF(A384="","",INDEX(الإعدادات!$H$7:$H$18,MONTH(A384)))</f>
        <v/>
      </c>
      <c r="Q384" s="20">
        <f>IF(A384="","",INDEX(الإعدادات!$I$7:$I$18,MONTH(A384)))</f>
        <v/>
      </c>
      <c r="R384" s="20">
        <f>IF(A384="","",IF(MONTH(A384)&gt;=8,YEAR(A384)&amp;"-"&amp;(YEAR(A384)+1),(YEAR(A384)-1)&amp;"-"&amp;YEAR(A384)))</f>
        <v/>
      </c>
      <c r="S384" s="20">
        <f>IF(OR(A384="",B384=""),0,IF(AND(R384=التقارير!$C$4,OR(التقارير!$C$5="سنوي",AND(التقارير!$C$5="شهري",P384=التقارير!$C$6),AND(التقارير!$C$5="فصلي",Q384=التقارير!$C$7))),1,0))</f>
        <v/>
      </c>
      <c r="T384" s="20">
        <f>IF(S384=1,COUNTIF($S$5:S384,1),"")</f>
        <v/>
      </c>
      <c r="U384">
        <f>IF(AND($A384&lt;&gt;"",$B384&lt;&gt;"",$R384='تقرير الفصل الأول'!$C$4,$Q384='تقرير الفصل الأول'!$C$7),COUNT(U$4:U383)+1,"")</f>
        <v/>
      </c>
      <c r="V384">
        <f>IF(AND($A384&lt;&gt;"",$B384&lt;&gt;"",$R384='تقرير الفصل الثاني'!$C$4,$Q384='تقرير الفصل الثاني'!$C$7),COUNT(V$4:V383)+1,"")</f>
        <v/>
      </c>
      <c r="W384">
        <f>IF(AND($A384&lt;&gt;"",$B384&lt;&gt;"",$R384='تقرير سبتمبر'!$C$4,$P384='تقرير سبتمبر'!$C$6),COUNT(W$4:W383)+1,"")</f>
        <v/>
      </c>
      <c r="X384">
        <f>IF(AND($A384&lt;&gt;"",$B384&lt;&gt;"",$R384='تقرير أكتوبر'!$C$4,$P384='تقرير أكتوبر'!$C$6),COUNT(X$4:X383)+1,"")</f>
        <v/>
      </c>
      <c r="Y384">
        <f>IF(AND($A384&lt;&gt;"",$B384&lt;&gt;"",$R384='تقرير نوفمبر'!$C$4,$P384='تقرير نوفمبر'!$C$6),COUNT(Y$4:Y383)+1,"")</f>
        <v/>
      </c>
      <c r="Z384">
        <f>IF(AND($A384&lt;&gt;"",$B384&lt;&gt;"",$R384='تقرير ديسمبر'!$C$4,$P384='تقرير ديسمبر'!$C$6),COUNT(Z$4:Z383)+1,"")</f>
        <v/>
      </c>
      <c r="AA384">
        <f>IF(AND($A384&lt;&gt;"",$B384&lt;&gt;"",$R384='تقرير يناير'!$C$4,$P384='تقرير يناير'!$C$6),COUNT(AA$4:AA383)+1,"")</f>
        <v/>
      </c>
      <c r="AB384">
        <f>IF(AND($A384&lt;&gt;"",$B384&lt;&gt;"",$R384='تقرير فبراير'!$C$4,$P384='تقرير فبراير'!$C$6),COUNT(AB$4:AB383)+1,"")</f>
        <v/>
      </c>
      <c r="AC384">
        <f>IF(AND($A384&lt;&gt;"",$B384&lt;&gt;"",$R384='تقرير مارس'!$C$4,$P384='تقرير مارس'!$C$6),COUNT(AC$4:AC383)+1,"")</f>
        <v/>
      </c>
      <c r="AD384">
        <f>IF(AND($A384&lt;&gt;"",$B384&lt;&gt;"",$R384='تقرير أبريل'!$C$4,$P384='تقرير أبريل'!$C$6),COUNT(AD$4:AD383)+1,"")</f>
        <v/>
      </c>
      <c r="AE384">
        <f>IF(AND($A384&lt;&gt;"",$B384&lt;&gt;"",$R384='تقرير مايو'!$C$4,$P384='تقرير مايو'!$C$6),COUNT(AE$4:AE383)+1,"")</f>
        <v/>
      </c>
    </row>
    <row r="385">
      <c r="A385" s="16" t="n"/>
      <c r="B385" s="17" t="n"/>
      <c r="C385" s="17" t="n"/>
      <c r="D385" s="18" t="n"/>
      <c r="E385" s="17" t="n"/>
      <c r="F385" s="17" t="n"/>
      <c r="G385" s="19" t="n"/>
      <c r="H385" s="17" t="n"/>
      <c r="I385" s="17" t="n"/>
      <c r="J385" s="17" t="n"/>
      <c r="K385" s="20">
        <f>IF($B385="","",IFERROR(INDEX(الموظفات!$A$5:$A$304,MATCH($B385,الموظفات!$B$5:$B$304,0))&amp;"",""))</f>
        <v/>
      </c>
      <c r="L385" s="21">
        <f>IF($B385="","",IFERROR(INDEX(الموظفات!$C$5:$C$304,MATCH($B385,الموظفات!$B$5:$B$304,0))&amp;"",""))</f>
        <v/>
      </c>
      <c r="M385" s="20">
        <f>IF($B385="","",IFERROR(INDEX(الموظفات!$D$5:$D$304,MATCH($B385,الموظفات!$B$5:$B$304,0))&amp;"",""))</f>
        <v/>
      </c>
      <c r="N385" s="20">
        <f>IF($B385="","",IFERROR(INDEX(الموظفات!$E$5:$E$304,MATCH($B385,الموظفات!$B$5:$B$304,0))&amp;"",""))</f>
        <v/>
      </c>
      <c r="O385" s="21">
        <f>IF(C385="","",IFERROR(INDEX(الإعدادات!$D$7:$D$35,MATCH(C385,الإعدادات!$A$7:$A$35,0))&amp;"",""))</f>
        <v/>
      </c>
      <c r="P385" s="20">
        <f>IF(A385="","",INDEX(الإعدادات!$H$7:$H$18,MONTH(A385)))</f>
        <v/>
      </c>
      <c r="Q385" s="20">
        <f>IF(A385="","",INDEX(الإعدادات!$I$7:$I$18,MONTH(A385)))</f>
        <v/>
      </c>
      <c r="R385" s="20">
        <f>IF(A385="","",IF(MONTH(A385)&gt;=8,YEAR(A385)&amp;"-"&amp;(YEAR(A385)+1),(YEAR(A385)-1)&amp;"-"&amp;YEAR(A385)))</f>
        <v/>
      </c>
      <c r="S385" s="20">
        <f>IF(OR(A385="",B385=""),0,IF(AND(R385=التقارير!$C$4,OR(التقارير!$C$5="سنوي",AND(التقارير!$C$5="شهري",P385=التقارير!$C$6),AND(التقارير!$C$5="فصلي",Q385=التقارير!$C$7))),1,0))</f>
        <v/>
      </c>
      <c r="T385" s="20">
        <f>IF(S385=1,COUNTIF($S$5:S385,1),"")</f>
        <v/>
      </c>
      <c r="U385">
        <f>IF(AND($A385&lt;&gt;"",$B385&lt;&gt;"",$R385='تقرير الفصل الأول'!$C$4,$Q385='تقرير الفصل الأول'!$C$7),COUNT(U$4:U384)+1,"")</f>
        <v/>
      </c>
      <c r="V385">
        <f>IF(AND($A385&lt;&gt;"",$B385&lt;&gt;"",$R385='تقرير الفصل الثاني'!$C$4,$Q385='تقرير الفصل الثاني'!$C$7),COUNT(V$4:V384)+1,"")</f>
        <v/>
      </c>
      <c r="W385">
        <f>IF(AND($A385&lt;&gt;"",$B385&lt;&gt;"",$R385='تقرير سبتمبر'!$C$4,$P385='تقرير سبتمبر'!$C$6),COUNT(W$4:W384)+1,"")</f>
        <v/>
      </c>
      <c r="X385">
        <f>IF(AND($A385&lt;&gt;"",$B385&lt;&gt;"",$R385='تقرير أكتوبر'!$C$4,$P385='تقرير أكتوبر'!$C$6),COUNT(X$4:X384)+1,"")</f>
        <v/>
      </c>
      <c r="Y385">
        <f>IF(AND($A385&lt;&gt;"",$B385&lt;&gt;"",$R385='تقرير نوفمبر'!$C$4,$P385='تقرير نوفمبر'!$C$6),COUNT(Y$4:Y384)+1,"")</f>
        <v/>
      </c>
      <c r="Z385">
        <f>IF(AND($A385&lt;&gt;"",$B385&lt;&gt;"",$R385='تقرير ديسمبر'!$C$4,$P385='تقرير ديسمبر'!$C$6),COUNT(Z$4:Z384)+1,"")</f>
        <v/>
      </c>
      <c r="AA385">
        <f>IF(AND($A385&lt;&gt;"",$B385&lt;&gt;"",$R385='تقرير يناير'!$C$4,$P385='تقرير يناير'!$C$6),COUNT(AA$4:AA384)+1,"")</f>
        <v/>
      </c>
      <c r="AB385">
        <f>IF(AND($A385&lt;&gt;"",$B385&lt;&gt;"",$R385='تقرير فبراير'!$C$4,$P385='تقرير فبراير'!$C$6),COUNT(AB$4:AB384)+1,"")</f>
        <v/>
      </c>
      <c r="AC385">
        <f>IF(AND($A385&lt;&gt;"",$B385&lt;&gt;"",$R385='تقرير مارس'!$C$4,$P385='تقرير مارس'!$C$6),COUNT(AC$4:AC384)+1,"")</f>
        <v/>
      </c>
      <c r="AD385">
        <f>IF(AND($A385&lt;&gt;"",$B385&lt;&gt;"",$R385='تقرير أبريل'!$C$4,$P385='تقرير أبريل'!$C$6),COUNT(AD$4:AD384)+1,"")</f>
        <v/>
      </c>
      <c r="AE385">
        <f>IF(AND($A385&lt;&gt;"",$B385&lt;&gt;"",$R385='تقرير مايو'!$C$4,$P385='تقرير مايو'!$C$6),COUNT(AE$4:AE384)+1,"")</f>
        <v/>
      </c>
    </row>
    <row r="386">
      <c r="A386" s="16" t="n"/>
      <c r="B386" s="17" t="n"/>
      <c r="C386" s="17" t="n"/>
      <c r="D386" s="18" t="n"/>
      <c r="E386" s="17" t="n"/>
      <c r="F386" s="17" t="n"/>
      <c r="G386" s="19" t="n"/>
      <c r="H386" s="17" t="n"/>
      <c r="I386" s="17" t="n"/>
      <c r="J386" s="17" t="n"/>
      <c r="K386" s="20">
        <f>IF($B386="","",IFERROR(INDEX(الموظفات!$A$5:$A$304,MATCH($B386,الموظفات!$B$5:$B$304,0))&amp;"",""))</f>
        <v/>
      </c>
      <c r="L386" s="21">
        <f>IF($B386="","",IFERROR(INDEX(الموظفات!$C$5:$C$304,MATCH($B386,الموظفات!$B$5:$B$304,0))&amp;"",""))</f>
        <v/>
      </c>
      <c r="M386" s="20">
        <f>IF($B386="","",IFERROR(INDEX(الموظفات!$D$5:$D$304,MATCH($B386,الموظفات!$B$5:$B$304,0))&amp;"",""))</f>
        <v/>
      </c>
      <c r="N386" s="20">
        <f>IF($B386="","",IFERROR(INDEX(الموظفات!$E$5:$E$304,MATCH($B386,الموظفات!$B$5:$B$304,0))&amp;"",""))</f>
        <v/>
      </c>
      <c r="O386" s="21">
        <f>IF(C386="","",IFERROR(INDEX(الإعدادات!$D$7:$D$35,MATCH(C386,الإعدادات!$A$7:$A$35,0))&amp;"",""))</f>
        <v/>
      </c>
      <c r="P386" s="20">
        <f>IF(A386="","",INDEX(الإعدادات!$H$7:$H$18,MONTH(A386)))</f>
        <v/>
      </c>
      <c r="Q386" s="20">
        <f>IF(A386="","",INDEX(الإعدادات!$I$7:$I$18,MONTH(A386)))</f>
        <v/>
      </c>
      <c r="R386" s="20">
        <f>IF(A386="","",IF(MONTH(A386)&gt;=8,YEAR(A386)&amp;"-"&amp;(YEAR(A386)+1),(YEAR(A386)-1)&amp;"-"&amp;YEAR(A386)))</f>
        <v/>
      </c>
      <c r="S386" s="20">
        <f>IF(OR(A386="",B386=""),0,IF(AND(R386=التقارير!$C$4,OR(التقارير!$C$5="سنوي",AND(التقارير!$C$5="شهري",P386=التقارير!$C$6),AND(التقارير!$C$5="فصلي",Q386=التقارير!$C$7))),1,0))</f>
        <v/>
      </c>
      <c r="T386" s="20">
        <f>IF(S386=1,COUNTIF($S$5:S386,1),"")</f>
        <v/>
      </c>
      <c r="U386">
        <f>IF(AND($A386&lt;&gt;"",$B386&lt;&gt;"",$R386='تقرير الفصل الأول'!$C$4,$Q386='تقرير الفصل الأول'!$C$7),COUNT(U$4:U385)+1,"")</f>
        <v/>
      </c>
      <c r="V386">
        <f>IF(AND($A386&lt;&gt;"",$B386&lt;&gt;"",$R386='تقرير الفصل الثاني'!$C$4,$Q386='تقرير الفصل الثاني'!$C$7),COUNT(V$4:V385)+1,"")</f>
        <v/>
      </c>
      <c r="W386">
        <f>IF(AND($A386&lt;&gt;"",$B386&lt;&gt;"",$R386='تقرير سبتمبر'!$C$4,$P386='تقرير سبتمبر'!$C$6),COUNT(W$4:W385)+1,"")</f>
        <v/>
      </c>
      <c r="X386">
        <f>IF(AND($A386&lt;&gt;"",$B386&lt;&gt;"",$R386='تقرير أكتوبر'!$C$4,$P386='تقرير أكتوبر'!$C$6),COUNT(X$4:X385)+1,"")</f>
        <v/>
      </c>
      <c r="Y386">
        <f>IF(AND($A386&lt;&gt;"",$B386&lt;&gt;"",$R386='تقرير نوفمبر'!$C$4,$P386='تقرير نوفمبر'!$C$6),COUNT(Y$4:Y385)+1,"")</f>
        <v/>
      </c>
      <c r="Z386">
        <f>IF(AND($A386&lt;&gt;"",$B386&lt;&gt;"",$R386='تقرير ديسمبر'!$C$4,$P386='تقرير ديسمبر'!$C$6),COUNT(Z$4:Z385)+1,"")</f>
        <v/>
      </c>
      <c r="AA386">
        <f>IF(AND($A386&lt;&gt;"",$B386&lt;&gt;"",$R386='تقرير يناير'!$C$4,$P386='تقرير يناير'!$C$6),COUNT(AA$4:AA385)+1,"")</f>
        <v/>
      </c>
      <c r="AB386">
        <f>IF(AND($A386&lt;&gt;"",$B386&lt;&gt;"",$R386='تقرير فبراير'!$C$4,$P386='تقرير فبراير'!$C$6),COUNT(AB$4:AB385)+1,"")</f>
        <v/>
      </c>
      <c r="AC386">
        <f>IF(AND($A386&lt;&gt;"",$B386&lt;&gt;"",$R386='تقرير مارس'!$C$4,$P386='تقرير مارس'!$C$6),COUNT(AC$4:AC385)+1,"")</f>
        <v/>
      </c>
      <c r="AD386">
        <f>IF(AND($A386&lt;&gt;"",$B386&lt;&gt;"",$R386='تقرير أبريل'!$C$4,$P386='تقرير أبريل'!$C$6),COUNT(AD$4:AD385)+1,"")</f>
        <v/>
      </c>
      <c r="AE386">
        <f>IF(AND($A386&lt;&gt;"",$B386&lt;&gt;"",$R386='تقرير مايو'!$C$4,$P386='تقرير مايو'!$C$6),COUNT(AE$4:AE385)+1,"")</f>
        <v/>
      </c>
    </row>
    <row r="387">
      <c r="A387" s="16" t="n"/>
      <c r="B387" s="17" t="n"/>
      <c r="C387" s="17" t="n"/>
      <c r="D387" s="18" t="n"/>
      <c r="E387" s="17" t="n"/>
      <c r="F387" s="17" t="n"/>
      <c r="G387" s="19" t="n"/>
      <c r="H387" s="17" t="n"/>
      <c r="I387" s="17" t="n"/>
      <c r="J387" s="17" t="n"/>
      <c r="K387" s="20">
        <f>IF($B387="","",IFERROR(INDEX(الموظفات!$A$5:$A$304,MATCH($B387,الموظفات!$B$5:$B$304,0))&amp;"",""))</f>
        <v/>
      </c>
      <c r="L387" s="21">
        <f>IF($B387="","",IFERROR(INDEX(الموظفات!$C$5:$C$304,MATCH($B387,الموظفات!$B$5:$B$304,0))&amp;"",""))</f>
        <v/>
      </c>
      <c r="M387" s="20">
        <f>IF($B387="","",IFERROR(INDEX(الموظفات!$D$5:$D$304,MATCH($B387,الموظفات!$B$5:$B$304,0))&amp;"",""))</f>
        <v/>
      </c>
      <c r="N387" s="20">
        <f>IF($B387="","",IFERROR(INDEX(الموظفات!$E$5:$E$304,MATCH($B387,الموظفات!$B$5:$B$304,0))&amp;"",""))</f>
        <v/>
      </c>
      <c r="O387" s="21">
        <f>IF(C387="","",IFERROR(INDEX(الإعدادات!$D$7:$D$35,MATCH(C387,الإعدادات!$A$7:$A$35,0))&amp;"",""))</f>
        <v/>
      </c>
      <c r="P387" s="20">
        <f>IF(A387="","",INDEX(الإعدادات!$H$7:$H$18,MONTH(A387)))</f>
        <v/>
      </c>
      <c r="Q387" s="20">
        <f>IF(A387="","",INDEX(الإعدادات!$I$7:$I$18,MONTH(A387)))</f>
        <v/>
      </c>
      <c r="R387" s="20">
        <f>IF(A387="","",IF(MONTH(A387)&gt;=8,YEAR(A387)&amp;"-"&amp;(YEAR(A387)+1),(YEAR(A387)-1)&amp;"-"&amp;YEAR(A387)))</f>
        <v/>
      </c>
      <c r="S387" s="20">
        <f>IF(OR(A387="",B387=""),0,IF(AND(R387=التقارير!$C$4,OR(التقارير!$C$5="سنوي",AND(التقارير!$C$5="شهري",P387=التقارير!$C$6),AND(التقارير!$C$5="فصلي",Q387=التقارير!$C$7))),1,0))</f>
        <v/>
      </c>
      <c r="T387" s="20">
        <f>IF(S387=1,COUNTIF($S$5:S387,1),"")</f>
        <v/>
      </c>
      <c r="U387">
        <f>IF(AND($A387&lt;&gt;"",$B387&lt;&gt;"",$R387='تقرير الفصل الأول'!$C$4,$Q387='تقرير الفصل الأول'!$C$7),COUNT(U$4:U386)+1,"")</f>
        <v/>
      </c>
      <c r="V387">
        <f>IF(AND($A387&lt;&gt;"",$B387&lt;&gt;"",$R387='تقرير الفصل الثاني'!$C$4,$Q387='تقرير الفصل الثاني'!$C$7),COUNT(V$4:V386)+1,"")</f>
        <v/>
      </c>
      <c r="W387">
        <f>IF(AND($A387&lt;&gt;"",$B387&lt;&gt;"",$R387='تقرير سبتمبر'!$C$4,$P387='تقرير سبتمبر'!$C$6),COUNT(W$4:W386)+1,"")</f>
        <v/>
      </c>
      <c r="X387">
        <f>IF(AND($A387&lt;&gt;"",$B387&lt;&gt;"",$R387='تقرير أكتوبر'!$C$4,$P387='تقرير أكتوبر'!$C$6),COUNT(X$4:X386)+1,"")</f>
        <v/>
      </c>
      <c r="Y387">
        <f>IF(AND($A387&lt;&gt;"",$B387&lt;&gt;"",$R387='تقرير نوفمبر'!$C$4,$P387='تقرير نوفمبر'!$C$6),COUNT(Y$4:Y386)+1,"")</f>
        <v/>
      </c>
      <c r="Z387">
        <f>IF(AND($A387&lt;&gt;"",$B387&lt;&gt;"",$R387='تقرير ديسمبر'!$C$4,$P387='تقرير ديسمبر'!$C$6),COUNT(Z$4:Z386)+1,"")</f>
        <v/>
      </c>
      <c r="AA387">
        <f>IF(AND($A387&lt;&gt;"",$B387&lt;&gt;"",$R387='تقرير يناير'!$C$4,$P387='تقرير يناير'!$C$6),COUNT(AA$4:AA386)+1,"")</f>
        <v/>
      </c>
      <c r="AB387">
        <f>IF(AND($A387&lt;&gt;"",$B387&lt;&gt;"",$R387='تقرير فبراير'!$C$4,$P387='تقرير فبراير'!$C$6),COUNT(AB$4:AB386)+1,"")</f>
        <v/>
      </c>
      <c r="AC387">
        <f>IF(AND($A387&lt;&gt;"",$B387&lt;&gt;"",$R387='تقرير مارس'!$C$4,$P387='تقرير مارس'!$C$6),COUNT(AC$4:AC386)+1,"")</f>
        <v/>
      </c>
      <c r="AD387">
        <f>IF(AND($A387&lt;&gt;"",$B387&lt;&gt;"",$R387='تقرير أبريل'!$C$4,$P387='تقرير أبريل'!$C$6),COUNT(AD$4:AD386)+1,"")</f>
        <v/>
      </c>
      <c r="AE387">
        <f>IF(AND($A387&lt;&gt;"",$B387&lt;&gt;"",$R387='تقرير مايو'!$C$4,$P387='تقرير مايو'!$C$6),COUNT(AE$4:AE386)+1,"")</f>
        <v/>
      </c>
    </row>
    <row r="388">
      <c r="A388" s="16" t="n"/>
      <c r="B388" s="17" t="n"/>
      <c r="C388" s="17" t="n"/>
      <c r="D388" s="18" t="n"/>
      <c r="E388" s="17" t="n"/>
      <c r="F388" s="17" t="n"/>
      <c r="G388" s="19" t="n"/>
      <c r="H388" s="17" t="n"/>
      <c r="I388" s="17" t="n"/>
      <c r="J388" s="17" t="n"/>
      <c r="K388" s="20">
        <f>IF($B388="","",IFERROR(INDEX(الموظفات!$A$5:$A$304,MATCH($B388,الموظفات!$B$5:$B$304,0))&amp;"",""))</f>
        <v/>
      </c>
      <c r="L388" s="21">
        <f>IF($B388="","",IFERROR(INDEX(الموظفات!$C$5:$C$304,MATCH($B388,الموظفات!$B$5:$B$304,0))&amp;"",""))</f>
        <v/>
      </c>
      <c r="M388" s="20">
        <f>IF($B388="","",IFERROR(INDEX(الموظفات!$D$5:$D$304,MATCH($B388,الموظفات!$B$5:$B$304,0))&amp;"",""))</f>
        <v/>
      </c>
      <c r="N388" s="20">
        <f>IF($B388="","",IFERROR(INDEX(الموظفات!$E$5:$E$304,MATCH($B388,الموظفات!$B$5:$B$304,0))&amp;"",""))</f>
        <v/>
      </c>
      <c r="O388" s="21">
        <f>IF(C388="","",IFERROR(INDEX(الإعدادات!$D$7:$D$35,MATCH(C388,الإعدادات!$A$7:$A$35,0))&amp;"",""))</f>
        <v/>
      </c>
      <c r="P388" s="20">
        <f>IF(A388="","",INDEX(الإعدادات!$H$7:$H$18,MONTH(A388)))</f>
        <v/>
      </c>
      <c r="Q388" s="20">
        <f>IF(A388="","",INDEX(الإعدادات!$I$7:$I$18,MONTH(A388)))</f>
        <v/>
      </c>
      <c r="R388" s="20">
        <f>IF(A388="","",IF(MONTH(A388)&gt;=8,YEAR(A388)&amp;"-"&amp;(YEAR(A388)+1),(YEAR(A388)-1)&amp;"-"&amp;YEAR(A388)))</f>
        <v/>
      </c>
      <c r="S388" s="20">
        <f>IF(OR(A388="",B388=""),0,IF(AND(R388=التقارير!$C$4,OR(التقارير!$C$5="سنوي",AND(التقارير!$C$5="شهري",P388=التقارير!$C$6),AND(التقارير!$C$5="فصلي",Q388=التقارير!$C$7))),1,0))</f>
        <v/>
      </c>
      <c r="T388" s="20">
        <f>IF(S388=1,COUNTIF($S$5:S388,1),"")</f>
        <v/>
      </c>
      <c r="U388">
        <f>IF(AND($A388&lt;&gt;"",$B388&lt;&gt;"",$R388='تقرير الفصل الأول'!$C$4,$Q388='تقرير الفصل الأول'!$C$7),COUNT(U$4:U387)+1,"")</f>
        <v/>
      </c>
      <c r="V388">
        <f>IF(AND($A388&lt;&gt;"",$B388&lt;&gt;"",$R388='تقرير الفصل الثاني'!$C$4,$Q388='تقرير الفصل الثاني'!$C$7),COUNT(V$4:V387)+1,"")</f>
        <v/>
      </c>
      <c r="W388">
        <f>IF(AND($A388&lt;&gt;"",$B388&lt;&gt;"",$R388='تقرير سبتمبر'!$C$4,$P388='تقرير سبتمبر'!$C$6),COUNT(W$4:W387)+1,"")</f>
        <v/>
      </c>
      <c r="X388">
        <f>IF(AND($A388&lt;&gt;"",$B388&lt;&gt;"",$R388='تقرير أكتوبر'!$C$4,$P388='تقرير أكتوبر'!$C$6),COUNT(X$4:X387)+1,"")</f>
        <v/>
      </c>
      <c r="Y388">
        <f>IF(AND($A388&lt;&gt;"",$B388&lt;&gt;"",$R388='تقرير نوفمبر'!$C$4,$P388='تقرير نوفمبر'!$C$6),COUNT(Y$4:Y387)+1,"")</f>
        <v/>
      </c>
      <c r="Z388">
        <f>IF(AND($A388&lt;&gt;"",$B388&lt;&gt;"",$R388='تقرير ديسمبر'!$C$4,$P388='تقرير ديسمبر'!$C$6),COUNT(Z$4:Z387)+1,"")</f>
        <v/>
      </c>
      <c r="AA388">
        <f>IF(AND($A388&lt;&gt;"",$B388&lt;&gt;"",$R388='تقرير يناير'!$C$4,$P388='تقرير يناير'!$C$6),COUNT(AA$4:AA387)+1,"")</f>
        <v/>
      </c>
      <c r="AB388">
        <f>IF(AND($A388&lt;&gt;"",$B388&lt;&gt;"",$R388='تقرير فبراير'!$C$4,$P388='تقرير فبراير'!$C$6),COUNT(AB$4:AB387)+1,"")</f>
        <v/>
      </c>
      <c r="AC388">
        <f>IF(AND($A388&lt;&gt;"",$B388&lt;&gt;"",$R388='تقرير مارس'!$C$4,$P388='تقرير مارس'!$C$6),COUNT(AC$4:AC387)+1,"")</f>
        <v/>
      </c>
      <c r="AD388">
        <f>IF(AND($A388&lt;&gt;"",$B388&lt;&gt;"",$R388='تقرير أبريل'!$C$4,$P388='تقرير أبريل'!$C$6),COUNT(AD$4:AD387)+1,"")</f>
        <v/>
      </c>
      <c r="AE388">
        <f>IF(AND($A388&lt;&gt;"",$B388&lt;&gt;"",$R388='تقرير مايو'!$C$4,$P388='تقرير مايو'!$C$6),COUNT(AE$4:AE387)+1,"")</f>
        <v/>
      </c>
    </row>
    <row r="389">
      <c r="A389" s="16" t="n"/>
      <c r="B389" s="17" t="n"/>
      <c r="C389" s="17" t="n"/>
      <c r="D389" s="18" t="n"/>
      <c r="E389" s="17" t="n"/>
      <c r="F389" s="17" t="n"/>
      <c r="G389" s="19" t="n"/>
      <c r="H389" s="17" t="n"/>
      <c r="I389" s="17" t="n"/>
      <c r="J389" s="17" t="n"/>
      <c r="K389" s="20">
        <f>IF($B389="","",IFERROR(INDEX(الموظفات!$A$5:$A$304,MATCH($B389,الموظفات!$B$5:$B$304,0))&amp;"",""))</f>
        <v/>
      </c>
      <c r="L389" s="21">
        <f>IF($B389="","",IFERROR(INDEX(الموظفات!$C$5:$C$304,MATCH($B389,الموظفات!$B$5:$B$304,0))&amp;"",""))</f>
        <v/>
      </c>
      <c r="M389" s="20">
        <f>IF($B389="","",IFERROR(INDEX(الموظفات!$D$5:$D$304,MATCH($B389,الموظفات!$B$5:$B$304,0))&amp;"",""))</f>
        <v/>
      </c>
      <c r="N389" s="20">
        <f>IF($B389="","",IFERROR(INDEX(الموظفات!$E$5:$E$304,MATCH($B389,الموظفات!$B$5:$B$304,0))&amp;"",""))</f>
        <v/>
      </c>
      <c r="O389" s="21">
        <f>IF(C389="","",IFERROR(INDEX(الإعدادات!$D$7:$D$35,MATCH(C389,الإعدادات!$A$7:$A$35,0))&amp;"",""))</f>
        <v/>
      </c>
      <c r="P389" s="20">
        <f>IF(A389="","",INDEX(الإعدادات!$H$7:$H$18,MONTH(A389)))</f>
        <v/>
      </c>
      <c r="Q389" s="20">
        <f>IF(A389="","",INDEX(الإعدادات!$I$7:$I$18,MONTH(A389)))</f>
        <v/>
      </c>
      <c r="R389" s="20">
        <f>IF(A389="","",IF(MONTH(A389)&gt;=8,YEAR(A389)&amp;"-"&amp;(YEAR(A389)+1),(YEAR(A389)-1)&amp;"-"&amp;YEAR(A389)))</f>
        <v/>
      </c>
      <c r="S389" s="20">
        <f>IF(OR(A389="",B389=""),0,IF(AND(R389=التقارير!$C$4,OR(التقارير!$C$5="سنوي",AND(التقارير!$C$5="شهري",P389=التقارير!$C$6),AND(التقارير!$C$5="فصلي",Q389=التقارير!$C$7))),1,0))</f>
        <v/>
      </c>
      <c r="T389" s="20">
        <f>IF(S389=1,COUNTIF($S$5:S389,1),"")</f>
        <v/>
      </c>
      <c r="U389">
        <f>IF(AND($A389&lt;&gt;"",$B389&lt;&gt;"",$R389='تقرير الفصل الأول'!$C$4,$Q389='تقرير الفصل الأول'!$C$7),COUNT(U$4:U388)+1,"")</f>
        <v/>
      </c>
      <c r="V389">
        <f>IF(AND($A389&lt;&gt;"",$B389&lt;&gt;"",$R389='تقرير الفصل الثاني'!$C$4,$Q389='تقرير الفصل الثاني'!$C$7),COUNT(V$4:V388)+1,"")</f>
        <v/>
      </c>
      <c r="W389">
        <f>IF(AND($A389&lt;&gt;"",$B389&lt;&gt;"",$R389='تقرير سبتمبر'!$C$4,$P389='تقرير سبتمبر'!$C$6),COUNT(W$4:W388)+1,"")</f>
        <v/>
      </c>
      <c r="X389">
        <f>IF(AND($A389&lt;&gt;"",$B389&lt;&gt;"",$R389='تقرير أكتوبر'!$C$4,$P389='تقرير أكتوبر'!$C$6),COUNT(X$4:X388)+1,"")</f>
        <v/>
      </c>
      <c r="Y389">
        <f>IF(AND($A389&lt;&gt;"",$B389&lt;&gt;"",$R389='تقرير نوفمبر'!$C$4,$P389='تقرير نوفمبر'!$C$6),COUNT(Y$4:Y388)+1,"")</f>
        <v/>
      </c>
      <c r="Z389">
        <f>IF(AND($A389&lt;&gt;"",$B389&lt;&gt;"",$R389='تقرير ديسمبر'!$C$4,$P389='تقرير ديسمبر'!$C$6),COUNT(Z$4:Z388)+1,"")</f>
        <v/>
      </c>
      <c r="AA389">
        <f>IF(AND($A389&lt;&gt;"",$B389&lt;&gt;"",$R389='تقرير يناير'!$C$4,$P389='تقرير يناير'!$C$6),COUNT(AA$4:AA388)+1,"")</f>
        <v/>
      </c>
      <c r="AB389">
        <f>IF(AND($A389&lt;&gt;"",$B389&lt;&gt;"",$R389='تقرير فبراير'!$C$4,$P389='تقرير فبراير'!$C$6),COUNT(AB$4:AB388)+1,"")</f>
        <v/>
      </c>
      <c r="AC389">
        <f>IF(AND($A389&lt;&gt;"",$B389&lt;&gt;"",$R389='تقرير مارس'!$C$4,$P389='تقرير مارس'!$C$6),COUNT(AC$4:AC388)+1,"")</f>
        <v/>
      </c>
      <c r="AD389">
        <f>IF(AND($A389&lt;&gt;"",$B389&lt;&gt;"",$R389='تقرير أبريل'!$C$4,$P389='تقرير أبريل'!$C$6),COUNT(AD$4:AD388)+1,"")</f>
        <v/>
      </c>
      <c r="AE389">
        <f>IF(AND($A389&lt;&gt;"",$B389&lt;&gt;"",$R389='تقرير مايو'!$C$4,$P389='تقرير مايو'!$C$6),COUNT(AE$4:AE388)+1,"")</f>
        <v/>
      </c>
    </row>
    <row r="390">
      <c r="A390" s="16" t="n"/>
      <c r="B390" s="17" t="n"/>
      <c r="C390" s="17" t="n"/>
      <c r="D390" s="18" t="n"/>
      <c r="E390" s="17" t="n"/>
      <c r="F390" s="17" t="n"/>
      <c r="G390" s="19" t="n"/>
      <c r="H390" s="17" t="n"/>
      <c r="I390" s="17" t="n"/>
      <c r="J390" s="17" t="n"/>
      <c r="K390" s="20">
        <f>IF($B390="","",IFERROR(INDEX(الموظفات!$A$5:$A$304,MATCH($B390,الموظفات!$B$5:$B$304,0))&amp;"",""))</f>
        <v/>
      </c>
      <c r="L390" s="21">
        <f>IF($B390="","",IFERROR(INDEX(الموظفات!$C$5:$C$304,MATCH($B390,الموظفات!$B$5:$B$304,0))&amp;"",""))</f>
        <v/>
      </c>
      <c r="M390" s="20">
        <f>IF($B390="","",IFERROR(INDEX(الموظفات!$D$5:$D$304,MATCH($B390,الموظفات!$B$5:$B$304,0))&amp;"",""))</f>
        <v/>
      </c>
      <c r="N390" s="20">
        <f>IF($B390="","",IFERROR(INDEX(الموظفات!$E$5:$E$304,MATCH($B390,الموظفات!$B$5:$B$304,0))&amp;"",""))</f>
        <v/>
      </c>
      <c r="O390" s="21">
        <f>IF(C390="","",IFERROR(INDEX(الإعدادات!$D$7:$D$35,MATCH(C390,الإعدادات!$A$7:$A$35,0))&amp;"",""))</f>
        <v/>
      </c>
      <c r="P390" s="20">
        <f>IF(A390="","",INDEX(الإعدادات!$H$7:$H$18,MONTH(A390)))</f>
        <v/>
      </c>
      <c r="Q390" s="20">
        <f>IF(A390="","",INDEX(الإعدادات!$I$7:$I$18,MONTH(A390)))</f>
        <v/>
      </c>
      <c r="R390" s="20">
        <f>IF(A390="","",IF(MONTH(A390)&gt;=8,YEAR(A390)&amp;"-"&amp;(YEAR(A390)+1),(YEAR(A390)-1)&amp;"-"&amp;YEAR(A390)))</f>
        <v/>
      </c>
      <c r="S390" s="20">
        <f>IF(OR(A390="",B390=""),0,IF(AND(R390=التقارير!$C$4,OR(التقارير!$C$5="سنوي",AND(التقارير!$C$5="شهري",P390=التقارير!$C$6),AND(التقارير!$C$5="فصلي",Q390=التقارير!$C$7))),1,0))</f>
        <v/>
      </c>
      <c r="T390" s="20">
        <f>IF(S390=1,COUNTIF($S$5:S390,1),"")</f>
        <v/>
      </c>
      <c r="U390">
        <f>IF(AND($A390&lt;&gt;"",$B390&lt;&gt;"",$R390='تقرير الفصل الأول'!$C$4,$Q390='تقرير الفصل الأول'!$C$7),COUNT(U$4:U389)+1,"")</f>
        <v/>
      </c>
      <c r="V390">
        <f>IF(AND($A390&lt;&gt;"",$B390&lt;&gt;"",$R390='تقرير الفصل الثاني'!$C$4,$Q390='تقرير الفصل الثاني'!$C$7),COUNT(V$4:V389)+1,"")</f>
        <v/>
      </c>
      <c r="W390">
        <f>IF(AND($A390&lt;&gt;"",$B390&lt;&gt;"",$R390='تقرير سبتمبر'!$C$4,$P390='تقرير سبتمبر'!$C$6),COUNT(W$4:W389)+1,"")</f>
        <v/>
      </c>
      <c r="X390">
        <f>IF(AND($A390&lt;&gt;"",$B390&lt;&gt;"",$R390='تقرير أكتوبر'!$C$4,$P390='تقرير أكتوبر'!$C$6),COUNT(X$4:X389)+1,"")</f>
        <v/>
      </c>
      <c r="Y390">
        <f>IF(AND($A390&lt;&gt;"",$B390&lt;&gt;"",$R390='تقرير نوفمبر'!$C$4,$P390='تقرير نوفمبر'!$C$6),COUNT(Y$4:Y389)+1,"")</f>
        <v/>
      </c>
      <c r="Z390">
        <f>IF(AND($A390&lt;&gt;"",$B390&lt;&gt;"",$R390='تقرير ديسمبر'!$C$4,$P390='تقرير ديسمبر'!$C$6),COUNT(Z$4:Z389)+1,"")</f>
        <v/>
      </c>
      <c r="AA390">
        <f>IF(AND($A390&lt;&gt;"",$B390&lt;&gt;"",$R390='تقرير يناير'!$C$4,$P390='تقرير يناير'!$C$6),COUNT(AA$4:AA389)+1,"")</f>
        <v/>
      </c>
      <c r="AB390">
        <f>IF(AND($A390&lt;&gt;"",$B390&lt;&gt;"",$R390='تقرير فبراير'!$C$4,$P390='تقرير فبراير'!$C$6),COUNT(AB$4:AB389)+1,"")</f>
        <v/>
      </c>
      <c r="AC390">
        <f>IF(AND($A390&lt;&gt;"",$B390&lt;&gt;"",$R390='تقرير مارس'!$C$4,$P390='تقرير مارس'!$C$6),COUNT(AC$4:AC389)+1,"")</f>
        <v/>
      </c>
      <c r="AD390">
        <f>IF(AND($A390&lt;&gt;"",$B390&lt;&gt;"",$R390='تقرير أبريل'!$C$4,$P390='تقرير أبريل'!$C$6),COUNT(AD$4:AD389)+1,"")</f>
        <v/>
      </c>
      <c r="AE390">
        <f>IF(AND($A390&lt;&gt;"",$B390&lt;&gt;"",$R390='تقرير مايو'!$C$4,$P390='تقرير مايو'!$C$6),COUNT(AE$4:AE389)+1,"")</f>
        <v/>
      </c>
    </row>
    <row r="391">
      <c r="A391" s="16" t="n"/>
      <c r="B391" s="17" t="n"/>
      <c r="C391" s="17" t="n"/>
      <c r="D391" s="18" t="n"/>
      <c r="E391" s="17" t="n"/>
      <c r="F391" s="17" t="n"/>
      <c r="G391" s="19" t="n"/>
      <c r="H391" s="17" t="n"/>
      <c r="I391" s="17" t="n"/>
      <c r="J391" s="17" t="n"/>
      <c r="K391" s="20">
        <f>IF($B391="","",IFERROR(INDEX(الموظفات!$A$5:$A$304,MATCH($B391,الموظفات!$B$5:$B$304,0))&amp;"",""))</f>
        <v/>
      </c>
      <c r="L391" s="21">
        <f>IF($B391="","",IFERROR(INDEX(الموظفات!$C$5:$C$304,MATCH($B391,الموظفات!$B$5:$B$304,0))&amp;"",""))</f>
        <v/>
      </c>
      <c r="M391" s="20">
        <f>IF($B391="","",IFERROR(INDEX(الموظفات!$D$5:$D$304,MATCH($B391,الموظفات!$B$5:$B$304,0))&amp;"",""))</f>
        <v/>
      </c>
      <c r="N391" s="20">
        <f>IF($B391="","",IFERROR(INDEX(الموظفات!$E$5:$E$304,MATCH($B391,الموظفات!$B$5:$B$304,0))&amp;"",""))</f>
        <v/>
      </c>
      <c r="O391" s="21">
        <f>IF(C391="","",IFERROR(INDEX(الإعدادات!$D$7:$D$35,MATCH(C391,الإعدادات!$A$7:$A$35,0))&amp;"",""))</f>
        <v/>
      </c>
      <c r="P391" s="20">
        <f>IF(A391="","",INDEX(الإعدادات!$H$7:$H$18,MONTH(A391)))</f>
        <v/>
      </c>
      <c r="Q391" s="20">
        <f>IF(A391="","",INDEX(الإعدادات!$I$7:$I$18,MONTH(A391)))</f>
        <v/>
      </c>
      <c r="R391" s="20">
        <f>IF(A391="","",IF(MONTH(A391)&gt;=8,YEAR(A391)&amp;"-"&amp;(YEAR(A391)+1),(YEAR(A391)-1)&amp;"-"&amp;YEAR(A391)))</f>
        <v/>
      </c>
      <c r="S391" s="20">
        <f>IF(OR(A391="",B391=""),0,IF(AND(R391=التقارير!$C$4,OR(التقارير!$C$5="سنوي",AND(التقارير!$C$5="شهري",P391=التقارير!$C$6),AND(التقارير!$C$5="فصلي",Q391=التقارير!$C$7))),1,0))</f>
        <v/>
      </c>
      <c r="T391" s="20">
        <f>IF(S391=1,COUNTIF($S$5:S391,1),"")</f>
        <v/>
      </c>
      <c r="U391">
        <f>IF(AND($A391&lt;&gt;"",$B391&lt;&gt;"",$R391='تقرير الفصل الأول'!$C$4,$Q391='تقرير الفصل الأول'!$C$7),COUNT(U$4:U390)+1,"")</f>
        <v/>
      </c>
      <c r="V391">
        <f>IF(AND($A391&lt;&gt;"",$B391&lt;&gt;"",$R391='تقرير الفصل الثاني'!$C$4,$Q391='تقرير الفصل الثاني'!$C$7),COUNT(V$4:V390)+1,"")</f>
        <v/>
      </c>
      <c r="W391">
        <f>IF(AND($A391&lt;&gt;"",$B391&lt;&gt;"",$R391='تقرير سبتمبر'!$C$4,$P391='تقرير سبتمبر'!$C$6),COUNT(W$4:W390)+1,"")</f>
        <v/>
      </c>
      <c r="X391">
        <f>IF(AND($A391&lt;&gt;"",$B391&lt;&gt;"",$R391='تقرير أكتوبر'!$C$4,$P391='تقرير أكتوبر'!$C$6),COUNT(X$4:X390)+1,"")</f>
        <v/>
      </c>
      <c r="Y391">
        <f>IF(AND($A391&lt;&gt;"",$B391&lt;&gt;"",$R391='تقرير نوفمبر'!$C$4,$P391='تقرير نوفمبر'!$C$6),COUNT(Y$4:Y390)+1,"")</f>
        <v/>
      </c>
      <c r="Z391">
        <f>IF(AND($A391&lt;&gt;"",$B391&lt;&gt;"",$R391='تقرير ديسمبر'!$C$4,$P391='تقرير ديسمبر'!$C$6),COUNT(Z$4:Z390)+1,"")</f>
        <v/>
      </c>
      <c r="AA391">
        <f>IF(AND($A391&lt;&gt;"",$B391&lt;&gt;"",$R391='تقرير يناير'!$C$4,$P391='تقرير يناير'!$C$6),COUNT(AA$4:AA390)+1,"")</f>
        <v/>
      </c>
      <c r="AB391">
        <f>IF(AND($A391&lt;&gt;"",$B391&lt;&gt;"",$R391='تقرير فبراير'!$C$4,$P391='تقرير فبراير'!$C$6),COUNT(AB$4:AB390)+1,"")</f>
        <v/>
      </c>
      <c r="AC391">
        <f>IF(AND($A391&lt;&gt;"",$B391&lt;&gt;"",$R391='تقرير مارس'!$C$4,$P391='تقرير مارس'!$C$6),COUNT(AC$4:AC390)+1,"")</f>
        <v/>
      </c>
      <c r="AD391">
        <f>IF(AND($A391&lt;&gt;"",$B391&lt;&gt;"",$R391='تقرير أبريل'!$C$4,$P391='تقرير أبريل'!$C$6),COUNT(AD$4:AD390)+1,"")</f>
        <v/>
      </c>
      <c r="AE391">
        <f>IF(AND($A391&lt;&gt;"",$B391&lt;&gt;"",$R391='تقرير مايو'!$C$4,$P391='تقرير مايو'!$C$6),COUNT(AE$4:AE390)+1,"")</f>
        <v/>
      </c>
    </row>
    <row r="392">
      <c r="A392" s="16" t="n"/>
      <c r="B392" s="17" t="n"/>
      <c r="C392" s="17" t="n"/>
      <c r="D392" s="18" t="n"/>
      <c r="E392" s="17" t="n"/>
      <c r="F392" s="17" t="n"/>
      <c r="G392" s="19" t="n"/>
      <c r="H392" s="17" t="n"/>
      <c r="I392" s="17" t="n"/>
      <c r="J392" s="17" t="n"/>
      <c r="K392" s="20">
        <f>IF($B392="","",IFERROR(INDEX(الموظفات!$A$5:$A$304,MATCH($B392,الموظفات!$B$5:$B$304,0))&amp;"",""))</f>
        <v/>
      </c>
      <c r="L392" s="21">
        <f>IF($B392="","",IFERROR(INDEX(الموظفات!$C$5:$C$304,MATCH($B392,الموظفات!$B$5:$B$304,0))&amp;"",""))</f>
        <v/>
      </c>
      <c r="M392" s="20">
        <f>IF($B392="","",IFERROR(INDEX(الموظفات!$D$5:$D$304,MATCH($B392,الموظفات!$B$5:$B$304,0))&amp;"",""))</f>
        <v/>
      </c>
      <c r="N392" s="20">
        <f>IF($B392="","",IFERROR(INDEX(الموظفات!$E$5:$E$304,MATCH($B392,الموظفات!$B$5:$B$304,0))&amp;"",""))</f>
        <v/>
      </c>
      <c r="O392" s="21">
        <f>IF(C392="","",IFERROR(INDEX(الإعدادات!$D$7:$D$35,MATCH(C392,الإعدادات!$A$7:$A$35,0))&amp;"",""))</f>
        <v/>
      </c>
      <c r="P392" s="20">
        <f>IF(A392="","",INDEX(الإعدادات!$H$7:$H$18,MONTH(A392)))</f>
        <v/>
      </c>
      <c r="Q392" s="20">
        <f>IF(A392="","",INDEX(الإعدادات!$I$7:$I$18,MONTH(A392)))</f>
        <v/>
      </c>
      <c r="R392" s="20">
        <f>IF(A392="","",IF(MONTH(A392)&gt;=8,YEAR(A392)&amp;"-"&amp;(YEAR(A392)+1),(YEAR(A392)-1)&amp;"-"&amp;YEAR(A392)))</f>
        <v/>
      </c>
      <c r="S392" s="20">
        <f>IF(OR(A392="",B392=""),0,IF(AND(R392=التقارير!$C$4,OR(التقارير!$C$5="سنوي",AND(التقارير!$C$5="شهري",P392=التقارير!$C$6),AND(التقارير!$C$5="فصلي",Q392=التقارير!$C$7))),1,0))</f>
        <v/>
      </c>
      <c r="T392" s="20">
        <f>IF(S392=1,COUNTIF($S$5:S392,1),"")</f>
        <v/>
      </c>
      <c r="U392">
        <f>IF(AND($A392&lt;&gt;"",$B392&lt;&gt;"",$R392='تقرير الفصل الأول'!$C$4,$Q392='تقرير الفصل الأول'!$C$7),COUNT(U$4:U391)+1,"")</f>
        <v/>
      </c>
      <c r="V392">
        <f>IF(AND($A392&lt;&gt;"",$B392&lt;&gt;"",$R392='تقرير الفصل الثاني'!$C$4,$Q392='تقرير الفصل الثاني'!$C$7),COUNT(V$4:V391)+1,"")</f>
        <v/>
      </c>
      <c r="W392">
        <f>IF(AND($A392&lt;&gt;"",$B392&lt;&gt;"",$R392='تقرير سبتمبر'!$C$4,$P392='تقرير سبتمبر'!$C$6),COUNT(W$4:W391)+1,"")</f>
        <v/>
      </c>
      <c r="X392">
        <f>IF(AND($A392&lt;&gt;"",$B392&lt;&gt;"",$R392='تقرير أكتوبر'!$C$4,$P392='تقرير أكتوبر'!$C$6),COUNT(X$4:X391)+1,"")</f>
        <v/>
      </c>
      <c r="Y392">
        <f>IF(AND($A392&lt;&gt;"",$B392&lt;&gt;"",$R392='تقرير نوفمبر'!$C$4,$P392='تقرير نوفمبر'!$C$6),COUNT(Y$4:Y391)+1,"")</f>
        <v/>
      </c>
      <c r="Z392">
        <f>IF(AND($A392&lt;&gt;"",$B392&lt;&gt;"",$R392='تقرير ديسمبر'!$C$4,$P392='تقرير ديسمبر'!$C$6),COUNT(Z$4:Z391)+1,"")</f>
        <v/>
      </c>
      <c r="AA392">
        <f>IF(AND($A392&lt;&gt;"",$B392&lt;&gt;"",$R392='تقرير يناير'!$C$4,$P392='تقرير يناير'!$C$6),COUNT(AA$4:AA391)+1,"")</f>
        <v/>
      </c>
      <c r="AB392">
        <f>IF(AND($A392&lt;&gt;"",$B392&lt;&gt;"",$R392='تقرير فبراير'!$C$4,$P392='تقرير فبراير'!$C$6),COUNT(AB$4:AB391)+1,"")</f>
        <v/>
      </c>
      <c r="AC392">
        <f>IF(AND($A392&lt;&gt;"",$B392&lt;&gt;"",$R392='تقرير مارس'!$C$4,$P392='تقرير مارس'!$C$6),COUNT(AC$4:AC391)+1,"")</f>
        <v/>
      </c>
      <c r="AD392">
        <f>IF(AND($A392&lt;&gt;"",$B392&lt;&gt;"",$R392='تقرير أبريل'!$C$4,$P392='تقرير أبريل'!$C$6),COUNT(AD$4:AD391)+1,"")</f>
        <v/>
      </c>
      <c r="AE392">
        <f>IF(AND($A392&lt;&gt;"",$B392&lt;&gt;"",$R392='تقرير مايو'!$C$4,$P392='تقرير مايو'!$C$6),COUNT(AE$4:AE391)+1,"")</f>
        <v/>
      </c>
    </row>
    <row r="393">
      <c r="A393" s="16" t="n"/>
      <c r="B393" s="17" t="n"/>
      <c r="C393" s="17" t="n"/>
      <c r="D393" s="18" t="n"/>
      <c r="E393" s="17" t="n"/>
      <c r="F393" s="17" t="n"/>
      <c r="G393" s="19" t="n"/>
      <c r="H393" s="17" t="n"/>
      <c r="I393" s="17" t="n"/>
      <c r="J393" s="17" t="n"/>
      <c r="K393" s="20">
        <f>IF($B393="","",IFERROR(INDEX(الموظفات!$A$5:$A$304,MATCH($B393,الموظفات!$B$5:$B$304,0))&amp;"",""))</f>
        <v/>
      </c>
      <c r="L393" s="21">
        <f>IF($B393="","",IFERROR(INDEX(الموظفات!$C$5:$C$304,MATCH($B393,الموظفات!$B$5:$B$304,0))&amp;"",""))</f>
        <v/>
      </c>
      <c r="M393" s="20">
        <f>IF($B393="","",IFERROR(INDEX(الموظفات!$D$5:$D$304,MATCH($B393,الموظفات!$B$5:$B$304,0))&amp;"",""))</f>
        <v/>
      </c>
      <c r="N393" s="20">
        <f>IF($B393="","",IFERROR(INDEX(الموظفات!$E$5:$E$304,MATCH($B393,الموظفات!$B$5:$B$304,0))&amp;"",""))</f>
        <v/>
      </c>
      <c r="O393" s="21">
        <f>IF(C393="","",IFERROR(INDEX(الإعدادات!$D$7:$D$35,MATCH(C393,الإعدادات!$A$7:$A$35,0))&amp;"",""))</f>
        <v/>
      </c>
      <c r="P393" s="20">
        <f>IF(A393="","",INDEX(الإعدادات!$H$7:$H$18,MONTH(A393)))</f>
        <v/>
      </c>
      <c r="Q393" s="20">
        <f>IF(A393="","",INDEX(الإعدادات!$I$7:$I$18,MONTH(A393)))</f>
        <v/>
      </c>
      <c r="R393" s="20">
        <f>IF(A393="","",IF(MONTH(A393)&gt;=8,YEAR(A393)&amp;"-"&amp;(YEAR(A393)+1),(YEAR(A393)-1)&amp;"-"&amp;YEAR(A393)))</f>
        <v/>
      </c>
      <c r="S393" s="20">
        <f>IF(OR(A393="",B393=""),0,IF(AND(R393=التقارير!$C$4,OR(التقارير!$C$5="سنوي",AND(التقارير!$C$5="شهري",P393=التقارير!$C$6),AND(التقارير!$C$5="فصلي",Q393=التقارير!$C$7))),1,0))</f>
        <v/>
      </c>
      <c r="T393" s="20">
        <f>IF(S393=1,COUNTIF($S$5:S393,1),"")</f>
        <v/>
      </c>
      <c r="U393">
        <f>IF(AND($A393&lt;&gt;"",$B393&lt;&gt;"",$R393='تقرير الفصل الأول'!$C$4,$Q393='تقرير الفصل الأول'!$C$7),COUNT(U$4:U392)+1,"")</f>
        <v/>
      </c>
      <c r="V393">
        <f>IF(AND($A393&lt;&gt;"",$B393&lt;&gt;"",$R393='تقرير الفصل الثاني'!$C$4,$Q393='تقرير الفصل الثاني'!$C$7),COUNT(V$4:V392)+1,"")</f>
        <v/>
      </c>
      <c r="W393">
        <f>IF(AND($A393&lt;&gt;"",$B393&lt;&gt;"",$R393='تقرير سبتمبر'!$C$4,$P393='تقرير سبتمبر'!$C$6),COUNT(W$4:W392)+1,"")</f>
        <v/>
      </c>
      <c r="X393">
        <f>IF(AND($A393&lt;&gt;"",$B393&lt;&gt;"",$R393='تقرير أكتوبر'!$C$4,$P393='تقرير أكتوبر'!$C$6),COUNT(X$4:X392)+1,"")</f>
        <v/>
      </c>
      <c r="Y393">
        <f>IF(AND($A393&lt;&gt;"",$B393&lt;&gt;"",$R393='تقرير نوفمبر'!$C$4,$P393='تقرير نوفمبر'!$C$6),COUNT(Y$4:Y392)+1,"")</f>
        <v/>
      </c>
      <c r="Z393">
        <f>IF(AND($A393&lt;&gt;"",$B393&lt;&gt;"",$R393='تقرير ديسمبر'!$C$4,$P393='تقرير ديسمبر'!$C$6),COUNT(Z$4:Z392)+1,"")</f>
        <v/>
      </c>
      <c r="AA393">
        <f>IF(AND($A393&lt;&gt;"",$B393&lt;&gt;"",$R393='تقرير يناير'!$C$4,$P393='تقرير يناير'!$C$6),COUNT(AA$4:AA392)+1,"")</f>
        <v/>
      </c>
      <c r="AB393">
        <f>IF(AND($A393&lt;&gt;"",$B393&lt;&gt;"",$R393='تقرير فبراير'!$C$4,$P393='تقرير فبراير'!$C$6),COUNT(AB$4:AB392)+1,"")</f>
        <v/>
      </c>
      <c r="AC393">
        <f>IF(AND($A393&lt;&gt;"",$B393&lt;&gt;"",$R393='تقرير مارس'!$C$4,$P393='تقرير مارس'!$C$6),COUNT(AC$4:AC392)+1,"")</f>
        <v/>
      </c>
      <c r="AD393">
        <f>IF(AND($A393&lt;&gt;"",$B393&lt;&gt;"",$R393='تقرير أبريل'!$C$4,$P393='تقرير أبريل'!$C$6),COUNT(AD$4:AD392)+1,"")</f>
        <v/>
      </c>
      <c r="AE393">
        <f>IF(AND($A393&lt;&gt;"",$B393&lt;&gt;"",$R393='تقرير مايو'!$C$4,$P393='تقرير مايو'!$C$6),COUNT(AE$4:AE392)+1,"")</f>
        <v/>
      </c>
    </row>
    <row r="394">
      <c r="A394" s="16" t="n"/>
      <c r="B394" s="17" t="n"/>
      <c r="C394" s="17" t="n"/>
      <c r="D394" s="18" t="n"/>
      <c r="E394" s="17" t="n"/>
      <c r="F394" s="17" t="n"/>
      <c r="G394" s="19" t="n"/>
      <c r="H394" s="17" t="n"/>
      <c r="I394" s="17" t="n"/>
      <c r="J394" s="17" t="n"/>
      <c r="K394" s="20">
        <f>IF($B394="","",IFERROR(INDEX(الموظفات!$A$5:$A$304,MATCH($B394,الموظفات!$B$5:$B$304,0))&amp;"",""))</f>
        <v/>
      </c>
      <c r="L394" s="21">
        <f>IF($B394="","",IFERROR(INDEX(الموظفات!$C$5:$C$304,MATCH($B394,الموظفات!$B$5:$B$304,0))&amp;"",""))</f>
        <v/>
      </c>
      <c r="M394" s="20">
        <f>IF($B394="","",IFERROR(INDEX(الموظفات!$D$5:$D$304,MATCH($B394,الموظفات!$B$5:$B$304,0))&amp;"",""))</f>
        <v/>
      </c>
      <c r="N394" s="20">
        <f>IF($B394="","",IFERROR(INDEX(الموظفات!$E$5:$E$304,MATCH($B394,الموظفات!$B$5:$B$304,0))&amp;"",""))</f>
        <v/>
      </c>
      <c r="O394" s="21">
        <f>IF(C394="","",IFERROR(INDEX(الإعدادات!$D$7:$D$35,MATCH(C394,الإعدادات!$A$7:$A$35,0))&amp;"",""))</f>
        <v/>
      </c>
      <c r="P394" s="20">
        <f>IF(A394="","",INDEX(الإعدادات!$H$7:$H$18,MONTH(A394)))</f>
        <v/>
      </c>
      <c r="Q394" s="20">
        <f>IF(A394="","",INDEX(الإعدادات!$I$7:$I$18,MONTH(A394)))</f>
        <v/>
      </c>
      <c r="R394" s="20">
        <f>IF(A394="","",IF(MONTH(A394)&gt;=8,YEAR(A394)&amp;"-"&amp;(YEAR(A394)+1),(YEAR(A394)-1)&amp;"-"&amp;YEAR(A394)))</f>
        <v/>
      </c>
      <c r="S394" s="20">
        <f>IF(OR(A394="",B394=""),0,IF(AND(R394=التقارير!$C$4,OR(التقارير!$C$5="سنوي",AND(التقارير!$C$5="شهري",P394=التقارير!$C$6),AND(التقارير!$C$5="فصلي",Q394=التقارير!$C$7))),1,0))</f>
        <v/>
      </c>
      <c r="T394" s="20">
        <f>IF(S394=1,COUNTIF($S$5:S394,1),"")</f>
        <v/>
      </c>
      <c r="U394">
        <f>IF(AND($A394&lt;&gt;"",$B394&lt;&gt;"",$R394='تقرير الفصل الأول'!$C$4,$Q394='تقرير الفصل الأول'!$C$7),COUNT(U$4:U393)+1,"")</f>
        <v/>
      </c>
      <c r="V394">
        <f>IF(AND($A394&lt;&gt;"",$B394&lt;&gt;"",$R394='تقرير الفصل الثاني'!$C$4,$Q394='تقرير الفصل الثاني'!$C$7),COUNT(V$4:V393)+1,"")</f>
        <v/>
      </c>
      <c r="W394">
        <f>IF(AND($A394&lt;&gt;"",$B394&lt;&gt;"",$R394='تقرير سبتمبر'!$C$4,$P394='تقرير سبتمبر'!$C$6),COUNT(W$4:W393)+1,"")</f>
        <v/>
      </c>
      <c r="X394">
        <f>IF(AND($A394&lt;&gt;"",$B394&lt;&gt;"",$R394='تقرير أكتوبر'!$C$4,$P394='تقرير أكتوبر'!$C$6),COUNT(X$4:X393)+1,"")</f>
        <v/>
      </c>
      <c r="Y394">
        <f>IF(AND($A394&lt;&gt;"",$B394&lt;&gt;"",$R394='تقرير نوفمبر'!$C$4,$P394='تقرير نوفمبر'!$C$6),COUNT(Y$4:Y393)+1,"")</f>
        <v/>
      </c>
      <c r="Z394">
        <f>IF(AND($A394&lt;&gt;"",$B394&lt;&gt;"",$R394='تقرير ديسمبر'!$C$4,$P394='تقرير ديسمبر'!$C$6),COUNT(Z$4:Z393)+1,"")</f>
        <v/>
      </c>
      <c r="AA394">
        <f>IF(AND($A394&lt;&gt;"",$B394&lt;&gt;"",$R394='تقرير يناير'!$C$4,$P394='تقرير يناير'!$C$6),COUNT(AA$4:AA393)+1,"")</f>
        <v/>
      </c>
      <c r="AB394">
        <f>IF(AND($A394&lt;&gt;"",$B394&lt;&gt;"",$R394='تقرير فبراير'!$C$4,$P394='تقرير فبراير'!$C$6),COUNT(AB$4:AB393)+1,"")</f>
        <v/>
      </c>
      <c r="AC394">
        <f>IF(AND($A394&lt;&gt;"",$B394&lt;&gt;"",$R394='تقرير مارس'!$C$4,$P394='تقرير مارس'!$C$6),COUNT(AC$4:AC393)+1,"")</f>
        <v/>
      </c>
      <c r="AD394">
        <f>IF(AND($A394&lt;&gt;"",$B394&lt;&gt;"",$R394='تقرير أبريل'!$C$4,$P394='تقرير أبريل'!$C$6),COUNT(AD$4:AD393)+1,"")</f>
        <v/>
      </c>
      <c r="AE394">
        <f>IF(AND($A394&lt;&gt;"",$B394&lt;&gt;"",$R394='تقرير مايو'!$C$4,$P394='تقرير مايو'!$C$6),COUNT(AE$4:AE393)+1,"")</f>
        <v/>
      </c>
    </row>
    <row r="395">
      <c r="A395" s="16" t="n"/>
      <c r="B395" s="17" t="n"/>
      <c r="C395" s="17" t="n"/>
      <c r="D395" s="18" t="n"/>
      <c r="E395" s="17" t="n"/>
      <c r="F395" s="17" t="n"/>
      <c r="G395" s="19" t="n"/>
      <c r="H395" s="17" t="n"/>
      <c r="I395" s="17" t="n"/>
      <c r="J395" s="17" t="n"/>
      <c r="K395" s="20">
        <f>IF($B395="","",IFERROR(INDEX(الموظفات!$A$5:$A$304,MATCH($B395,الموظفات!$B$5:$B$304,0))&amp;"",""))</f>
        <v/>
      </c>
      <c r="L395" s="21">
        <f>IF($B395="","",IFERROR(INDEX(الموظفات!$C$5:$C$304,MATCH($B395,الموظفات!$B$5:$B$304,0))&amp;"",""))</f>
        <v/>
      </c>
      <c r="M395" s="20">
        <f>IF($B395="","",IFERROR(INDEX(الموظفات!$D$5:$D$304,MATCH($B395,الموظفات!$B$5:$B$304,0))&amp;"",""))</f>
        <v/>
      </c>
      <c r="N395" s="20">
        <f>IF($B395="","",IFERROR(INDEX(الموظفات!$E$5:$E$304,MATCH($B395,الموظفات!$B$5:$B$304,0))&amp;"",""))</f>
        <v/>
      </c>
      <c r="O395" s="21">
        <f>IF(C395="","",IFERROR(INDEX(الإعدادات!$D$7:$D$35,MATCH(C395,الإعدادات!$A$7:$A$35,0))&amp;"",""))</f>
        <v/>
      </c>
      <c r="P395" s="20">
        <f>IF(A395="","",INDEX(الإعدادات!$H$7:$H$18,MONTH(A395)))</f>
        <v/>
      </c>
      <c r="Q395" s="20">
        <f>IF(A395="","",INDEX(الإعدادات!$I$7:$I$18,MONTH(A395)))</f>
        <v/>
      </c>
      <c r="R395" s="20">
        <f>IF(A395="","",IF(MONTH(A395)&gt;=8,YEAR(A395)&amp;"-"&amp;(YEAR(A395)+1),(YEAR(A395)-1)&amp;"-"&amp;YEAR(A395)))</f>
        <v/>
      </c>
      <c r="S395" s="20">
        <f>IF(OR(A395="",B395=""),0,IF(AND(R395=التقارير!$C$4,OR(التقارير!$C$5="سنوي",AND(التقارير!$C$5="شهري",P395=التقارير!$C$6),AND(التقارير!$C$5="فصلي",Q395=التقارير!$C$7))),1,0))</f>
        <v/>
      </c>
      <c r="T395" s="20">
        <f>IF(S395=1,COUNTIF($S$5:S395,1),"")</f>
        <v/>
      </c>
      <c r="U395">
        <f>IF(AND($A395&lt;&gt;"",$B395&lt;&gt;"",$R395='تقرير الفصل الأول'!$C$4,$Q395='تقرير الفصل الأول'!$C$7),COUNT(U$4:U394)+1,"")</f>
        <v/>
      </c>
      <c r="V395">
        <f>IF(AND($A395&lt;&gt;"",$B395&lt;&gt;"",$R395='تقرير الفصل الثاني'!$C$4,$Q395='تقرير الفصل الثاني'!$C$7),COUNT(V$4:V394)+1,"")</f>
        <v/>
      </c>
      <c r="W395">
        <f>IF(AND($A395&lt;&gt;"",$B395&lt;&gt;"",$R395='تقرير سبتمبر'!$C$4,$P395='تقرير سبتمبر'!$C$6),COUNT(W$4:W394)+1,"")</f>
        <v/>
      </c>
      <c r="X395">
        <f>IF(AND($A395&lt;&gt;"",$B395&lt;&gt;"",$R395='تقرير أكتوبر'!$C$4,$P395='تقرير أكتوبر'!$C$6),COUNT(X$4:X394)+1,"")</f>
        <v/>
      </c>
      <c r="Y395">
        <f>IF(AND($A395&lt;&gt;"",$B395&lt;&gt;"",$R395='تقرير نوفمبر'!$C$4,$P395='تقرير نوفمبر'!$C$6),COUNT(Y$4:Y394)+1,"")</f>
        <v/>
      </c>
      <c r="Z395">
        <f>IF(AND($A395&lt;&gt;"",$B395&lt;&gt;"",$R395='تقرير ديسمبر'!$C$4,$P395='تقرير ديسمبر'!$C$6),COUNT(Z$4:Z394)+1,"")</f>
        <v/>
      </c>
      <c r="AA395">
        <f>IF(AND($A395&lt;&gt;"",$B395&lt;&gt;"",$R395='تقرير يناير'!$C$4,$P395='تقرير يناير'!$C$6),COUNT(AA$4:AA394)+1,"")</f>
        <v/>
      </c>
      <c r="AB395">
        <f>IF(AND($A395&lt;&gt;"",$B395&lt;&gt;"",$R395='تقرير فبراير'!$C$4,$P395='تقرير فبراير'!$C$6),COUNT(AB$4:AB394)+1,"")</f>
        <v/>
      </c>
      <c r="AC395">
        <f>IF(AND($A395&lt;&gt;"",$B395&lt;&gt;"",$R395='تقرير مارس'!$C$4,$P395='تقرير مارس'!$C$6),COUNT(AC$4:AC394)+1,"")</f>
        <v/>
      </c>
      <c r="AD395">
        <f>IF(AND($A395&lt;&gt;"",$B395&lt;&gt;"",$R395='تقرير أبريل'!$C$4,$P395='تقرير أبريل'!$C$6),COUNT(AD$4:AD394)+1,"")</f>
        <v/>
      </c>
      <c r="AE395">
        <f>IF(AND($A395&lt;&gt;"",$B395&lt;&gt;"",$R395='تقرير مايو'!$C$4,$P395='تقرير مايو'!$C$6),COUNT(AE$4:AE394)+1,"")</f>
        <v/>
      </c>
    </row>
    <row r="396">
      <c r="A396" s="16" t="n"/>
      <c r="B396" s="17" t="n"/>
      <c r="C396" s="17" t="n"/>
      <c r="D396" s="18" t="n"/>
      <c r="E396" s="17" t="n"/>
      <c r="F396" s="17" t="n"/>
      <c r="G396" s="19" t="n"/>
      <c r="H396" s="17" t="n"/>
      <c r="I396" s="17" t="n"/>
      <c r="J396" s="17" t="n"/>
      <c r="K396" s="20">
        <f>IF($B396="","",IFERROR(INDEX(الموظفات!$A$5:$A$304,MATCH($B396,الموظفات!$B$5:$B$304,0))&amp;"",""))</f>
        <v/>
      </c>
      <c r="L396" s="21">
        <f>IF($B396="","",IFERROR(INDEX(الموظفات!$C$5:$C$304,MATCH($B396,الموظفات!$B$5:$B$304,0))&amp;"",""))</f>
        <v/>
      </c>
      <c r="M396" s="20">
        <f>IF($B396="","",IFERROR(INDEX(الموظفات!$D$5:$D$304,MATCH($B396,الموظفات!$B$5:$B$304,0))&amp;"",""))</f>
        <v/>
      </c>
      <c r="N396" s="20">
        <f>IF($B396="","",IFERROR(INDEX(الموظفات!$E$5:$E$304,MATCH($B396,الموظفات!$B$5:$B$304,0))&amp;"",""))</f>
        <v/>
      </c>
      <c r="O396" s="21">
        <f>IF(C396="","",IFERROR(INDEX(الإعدادات!$D$7:$D$35,MATCH(C396,الإعدادات!$A$7:$A$35,0))&amp;"",""))</f>
        <v/>
      </c>
      <c r="P396" s="20">
        <f>IF(A396="","",INDEX(الإعدادات!$H$7:$H$18,MONTH(A396)))</f>
        <v/>
      </c>
      <c r="Q396" s="20">
        <f>IF(A396="","",INDEX(الإعدادات!$I$7:$I$18,MONTH(A396)))</f>
        <v/>
      </c>
      <c r="R396" s="20">
        <f>IF(A396="","",IF(MONTH(A396)&gt;=8,YEAR(A396)&amp;"-"&amp;(YEAR(A396)+1),(YEAR(A396)-1)&amp;"-"&amp;YEAR(A396)))</f>
        <v/>
      </c>
      <c r="S396" s="20">
        <f>IF(OR(A396="",B396=""),0,IF(AND(R396=التقارير!$C$4,OR(التقارير!$C$5="سنوي",AND(التقارير!$C$5="شهري",P396=التقارير!$C$6),AND(التقارير!$C$5="فصلي",Q396=التقارير!$C$7))),1,0))</f>
        <v/>
      </c>
      <c r="T396" s="20">
        <f>IF(S396=1,COUNTIF($S$5:S396,1),"")</f>
        <v/>
      </c>
      <c r="U396">
        <f>IF(AND($A396&lt;&gt;"",$B396&lt;&gt;"",$R396='تقرير الفصل الأول'!$C$4,$Q396='تقرير الفصل الأول'!$C$7),COUNT(U$4:U395)+1,"")</f>
        <v/>
      </c>
      <c r="V396">
        <f>IF(AND($A396&lt;&gt;"",$B396&lt;&gt;"",$R396='تقرير الفصل الثاني'!$C$4,$Q396='تقرير الفصل الثاني'!$C$7),COUNT(V$4:V395)+1,"")</f>
        <v/>
      </c>
      <c r="W396">
        <f>IF(AND($A396&lt;&gt;"",$B396&lt;&gt;"",$R396='تقرير سبتمبر'!$C$4,$P396='تقرير سبتمبر'!$C$6),COUNT(W$4:W395)+1,"")</f>
        <v/>
      </c>
      <c r="X396">
        <f>IF(AND($A396&lt;&gt;"",$B396&lt;&gt;"",$R396='تقرير أكتوبر'!$C$4,$P396='تقرير أكتوبر'!$C$6),COUNT(X$4:X395)+1,"")</f>
        <v/>
      </c>
      <c r="Y396">
        <f>IF(AND($A396&lt;&gt;"",$B396&lt;&gt;"",$R396='تقرير نوفمبر'!$C$4,$P396='تقرير نوفمبر'!$C$6),COUNT(Y$4:Y395)+1,"")</f>
        <v/>
      </c>
      <c r="Z396">
        <f>IF(AND($A396&lt;&gt;"",$B396&lt;&gt;"",$R396='تقرير ديسمبر'!$C$4,$P396='تقرير ديسمبر'!$C$6),COUNT(Z$4:Z395)+1,"")</f>
        <v/>
      </c>
      <c r="AA396">
        <f>IF(AND($A396&lt;&gt;"",$B396&lt;&gt;"",$R396='تقرير يناير'!$C$4,$P396='تقرير يناير'!$C$6),COUNT(AA$4:AA395)+1,"")</f>
        <v/>
      </c>
      <c r="AB396">
        <f>IF(AND($A396&lt;&gt;"",$B396&lt;&gt;"",$R396='تقرير فبراير'!$C$4,$P396='تقرير فبراير'!$C$6),COUNT(AB$4:AB395)+1,"")</f>
        <v/>
      </c>
      <c r="AC396">
        <f>IF(AND($A396&lt;&gt;"",$B396&lt;&gt;"",$R396='تقرير مارس'!$C$4,$P396='تقرير مارس'!$C$6),COUNT(AC$4:AC395)+1,"")</f>
        <v/>
      </c>
      <c r="AD396">
        <f>IF(AND($A396&lt;&gt;"",$B396&lt;&gt;"",$R396='تقرير أبريل'!$C$4,$P396='تقرير أبريل'!$C$6),COUNT(AD$4:AD395)+1,"")</f>
        <v/>
      </c>
      <c r="AE396">
        <f>IF(AND($A396&lt;&gt;"",$B396&lt;&gt;"",$R396='تقرير مايو'!$C$4,$P396='تقرير مايو'!$C$6),COUNT(AE$4:AE395)+1,"")</f>
        <v/>
      </c>
    </row>
    <row r="397">
      <c r="A397" s="16" t="n"/>
      <c r="B397" s="17" t="n"/>
      <c r="C397" s="17" t="n"/>
      <c r="D397" s="18" t="n"/>
      <c r="E397" s="17" t="n"/>
      <c r="F397" s="17" t="n"/>
      <c r="G397" s="19" t="n"/>
      <c r="H397" s="17" t="n"/>
      <c r="I397" s="17" t="n"/>
      <c r="J397" s="17" t="n"/>
      <c r="K397" s="20">
        <f>IF($B397="","",IFERROR(INDEX(الموظفات!$A$5:$A$304,MATCH($B397,الموظفات!$B$5:$B$304,0))&amp;"",""))</f>
        <v/>
      </c>
      <c r="L397" s="21">
        <f>IF($B397="","",IFERROR(INDEX(الموظفات!$C$5:$C$304,MATCH($B397,الموظفات!$B$5:$B$304,0))&amp;"",""))</f>
        <v/>
      </c>
      <c r="M397" s="20">
        <f>IF($B397="","",IFERROR(INDEX(الموظفات!$D$5:$D$304,MATCH($B397,الموظفات!$B$5:$B$304,0))&amp;"",""))</f>
        <v/>
      </c>
      <c r="N397" s="20">
        <f>IF($B397="","",IFERROR(INDEX(الموظفات!$E$5:$E$304,MATCH($B397,الموظفات!$B$5:$B$304,0))&amp;"",""))</f>
        <v/>
      </c>
      <c r="O397" s="21">
        <f>IF(C397="","",IFERROR(INDEX(الإعدادات!$D$7:$D$35,MATCH(C397,الإعدادات!$A$7:$A$35,0))&amp;"",""))</f>
        <v/>
      </c>
      <c r="P397" s="20">
        <f>IF(A397="","",INDEX(الإعدادات!$H$7:$H$18,MONTH(A397)))</f>
        <v/>
      </c>
      <c r="Q397" s="20">
        <f>IF(A397="","",INDEX(الإعدادات!$I$7:$I$18,MONTH(A397)))</f>
        <v/>
      </c>
      <c r="R397" s="20">
        <f>IF(A397="","",IF(MONTH(A397)&gt;=8,YEAR(A397)&amp;"-"&amp;(YEAR(A397)+1),(YEAR(A397)-1)&amp;"-"&amp;YEAR(A397)))</f>
        <v/>
      </c>
      <c r="S397" s="20">
        <f>IF(OR(A397="",B397=""),0,IF(AND(R397=التقارير!$C$4,OR(التقارير!$C$5="سنوي",AND(التقارير!$C$5="شهري",P397=التقارير!$C$6),AND(التقارير!$C$5="فصلي",Q397=التقارير!$C$7))),1,0))</f>
        <v/>
      </c>
      <c r="T397" s="20">
        <f>IF(S397=1,COUNTIF($S$5:S397,1),"")</f>
        <v/>
      </c>
      <c r="U397">
        <f>IF(AND($A397&lt;&gt;"",$B397&lt;&gt;"",$R397='تقرير الفصل الأول'!$C$4,$Q397='تقرير الفصل الأول'!$C$7),COUNT(U$4:U396)+1,"")</f>
        <v/>
      </c>
      <c r="V397">
        <f>IF(AND($A397&lt;&gt;"",$B397&lt;&gt;"",$R397='تقرير الفصل الثاني'!$C$4,$Q397='تقرير الفصل الثاني'!$C$7),COUNT(V$4:V396)+1,"")</f>
        <v/>
      </c>
      <c r="W397">
        <f>IF(AND($A397&lt;&gt;"",$B397&lt;&gt;"",$R397='تقرير سبتمبر'!$C$4,$P397='تقرير سبتمبر'!$C$6),COUNT(W$4:W396)+1,"")</f>
        <v/>
      </c>
      <c r="X397">
        <f>IF(AND($A397&lt;&gt;"",$B397&lt;&gt;"",$R397='تقرير أكتوبر'!$C$4,$P397='تقرير أكتوبر'!$C$6),COUNT(X$4:X396)+1,"")</f>
        <v/>
      </c>
      <c r="Y397">
        <f>IF(AND($A397&lt;&gt;"",$B397&lt;&gt;"",$R397='تقرير نوفمبر'!$C$4,$P397='تقرير نوفمبر'!$C$6),COUNT(Y$4:Y396)+1,"")</f>
        <v/>
      </c>
      <c r="Z397">
        <f>IF(AND($A397&lt;&gt;"",$B397&lt;&gt;"",$R397='تقرير ديسمبر'!$C$4,$P397='تقرير ديسمبر'!$C$6),COUNT(Z$4:Z396)+1,"")</f>
        <v/>
      </c>
      <c r="AA397">
        <f>IF(AND($A397&lt;&gt;"",$B397&lt;&gt;"",$R397='تقرير يناير'!$C$4,$P397='تقرير يناير'!$C$6),COUNT(AA$4:AA396)+1,"")</f>
        <v/>
      </c>
      <c r="AB397">
        <f>IF(AND($A397&lt;&gt;"",$B397&lt;&gt;"",$R397='تقرير فبراير'!$C$4,$P397='تقرير فبراير'!$C$6),COUNT(AB$4:AB396)+1,"")</f>
        <v/>
      </c>
      <c r="AC397">
        <f>IF(AND($A397&lt;&gt;"",$B397&lt;&gt;"",$R397='تقرير مارس'!$C$4,$P397='تقرير مارس'!$C$6),COUNT(AC$4:AC396)+1,"")</f>
        <v/>
      </c>
      <c r="AD397">
        <f>IF(AND($A397&lt;&gt;"",$B397&lt;&gt;"",$R397='تقرير أبريل'!$C$4,$P397='تقرير أبريل'!$C$6),COUNT(AD$4:AD396)+1,"")</f>
        <v/>
      </c>
      <c r="AE397">
        <f>IF(AND($A397&lt;&gt;"",$B397&lt;&gt;"",$R397='تقرير مايو'!$C$4,$P397='تقرير مايو'!$C$6),COUNT(AE$4:AE396)+1,"")</f>
        <v/>
      </c>
    </row>
    <row r="398">
      <c r="A398" s="16" t="n"/>
      <c r="B398" s="17" t="n"/>
      <c r="C398" s="17" t="n"/>
      <c r="D398" s="18" t="n"/>
      <c r="E398" s="17" t="n"/>
      <c r="F398" s="17" t="n"/>
      <c r="G398" s="19" t="n"/>
      <c r="H398" s="17" t="n"/>
      <c r="I398" s="17" t="n"/>
      <c r="J398" s="17" t="n"/>
      <c r="K398" s="20">
        <f>IF($B398="","",IFERROR(INDEX(الموظفات!$A$5:$A$304,MATCH($B398,الموظفات!$B$5:$B$304,0))&amp;"",""))</f>
        <v/>
      </c>
      <c r="L398" s="21">
        <f>IF($B398="","",IFERROR(INDEX(الموظفات!$C$5:$C$304,MATCH($B398,الموظفات!$B$5:$B$304,0))&amp;"",""))</f>
        <v/>
      </c>
      <c r="M398" s="20">
        <f>IF($B398="","",IFERROR(INDEX(الموظفات!$D$5:$D$304,MATCH($B398,الموظفات!$B$5:$B$304,0))&amp;"",""))</f>
        <v/>
      </c>
      <c r="N398" s="20">
        <f>IF($B398="","",IFERROR(INDEX(الموظفات!$E$5:$E$304,MATCH($B398,الموظفات!$B$5:$B$304,0))&amp;"",""))</f>
        <v/>
      </c>
      <c r="O398" s="21">
        <f>IF(C398="","",IFERROR(INDEX(الإعدادات!$D$7:$D$35,MATCH(C398,الإعدادات!$A$7:$A$35,0))&amp;"",""))</f>
        <v/>
      </c>
      <c r="P398" s="20">
        <f>IF(A398="","",INDEX(الإعدادات!$H$7:$H$18,MONTH(A398)))</f>
        <v/>
      </c>
      <c r="Q398" s="20">
        <f>IF(A398="","",INDEX(الإعدادات!$I$7:$I$18,MONTH(A398)))</f>
        <v/>
      </c>
      <c r="R398" s="20">
        <f>IF(A398="","",IF(MONTH(A398)&gt;=8,YEAR(A398)&amp;"-"&amp;(YEAR(A398)+1),(YEAR(A398)-1)&amp;"-"&amp;YEAR(A398)))</f>
        <v/>
      </c>
      <c r="S398" s="20">
        <f>IF(OR(A398="",B398=""),0,IF(AND(R398=التقارير!$C$4,OR(التقارير!$C$5="سنوي",AND(التقارير!$C$5="شهري",P398=التقارير!$C$6),AND(التقارير!$C$5="فصلي",Q398=التقارير!$C$7))),1,0))</f>
        <v/>
      </c>
      <c r="T398" s="20">
        <f>IF(S398=1,COUNTIF($S$5:S398,1),"")</f>
        <v/>
      </c>
      <c r="U398">
        <f>IF(AND($A398&lt;&gt;"",$B398&lt;&gt;"",$R398='تقرير الفصل الأول'!$C$4,$Q398='تقرير الفصل الأول'!$C$7),COUNT(U$4:U397)+1,"")</f>
        <v/>
      </c>
      <c r="V398">
        <f>IF(AND($A398&lt;&gt;"",$B398&lt;&gt;"",$R398='تقرير الفصل الثاني'!$C$4,$Q398='تقرير الفصل الثاني'!$C$7),COUNT(V$4:V397)+1,"")</f>
        <v/>
      </c>
      <c r="W398">
        <f>IF(AND($A398&lt;&gt;"",$B398&lt;&gt;"",$R398='تقرير سبتمبر'!$C$4,$P398='تقرير سبتمبر'!$C$6),COUNT(W$4:W397)+1,"")</f>
        <v/>
      </c>
      <c r="X398">
        <f>IF(AND($A398&lt;&gt;"",$B398&lt;&gt;"",$R398='تقرير أكتوبر'!$C$4,$P398='تقرير أكتوبر'!$C$6),COUNT(X$4:X397)+1,"")</f>
        <v/>
      </c>
      <c r="Y398">
        <f>IF(AND($A398&lt;&gt;"",$B398&lt;&gt;"",$R398='تقرير نوفمبر'!$C$4,$P398='تقرير نوفمبر'!$C$6),COUNT(Y$4:Y397)+1,"")</f>
        <v/>
      </c>
      <c r="Z398">
        <f>IF(AND($A398&lt;&gt;"",$B398&lt;&gt;"",$R398='تقرير ديسمبر'!$C$4,$P398='تقرير ديسمبر'!$C$6),COUNT(Z$4:Z397)+1,"")</f>
        <v/>
      </c>
      <c r="AA398">
        <f>IF(AND($A398&lt;&gt;"",$B398&lt;&gt;"",$R398='تقرير يناير'!$C$4,$P398='تقرير يناير'!$C$6),COUNT(AA$4:AA397)+1,"")</f>
        <v/>
      </c>
      <c r="AB398">
        <f>IF(AND($A398&lt;&gt;"",$B398&lt;&gt;"",$R398='تقرير فبراير'!$C$4,$P398='تقرير فبراير'!$C$6),COUNT(AB$4:AB397)+1,"")</f>
        <v/>
      </c>
      <c r="AC398">
        <f>IF(AND($A398&lt;&gt;"",$B398&lt;&gt;"",$R398='تقرير مارس'!$C$4,$P398='تقرير مارس'!$C$6),COUNT(AC$4:AC397)+1,"")</f>
        <v/>
      </c>
      <c r="AD398">
        <f>IF(AND($A398&lt;&gt;"",$B398&lt;&gt;"",$R398='تقرير أبريل'!$C$4,$P398='تقرير أبريل'!$C$6),COUNT(AD$4:AD397)+1,"")</f>
        <v/>
      </c>
      <c r="AE398">
        <f>IF(AND($A398&lt;&gt;"",$B398&lt;&gt;"",$R398='تقرير مايو'!$C$4,$P398='تقرير مايو'!$C$6),COUNT(AE$4:AE397)+1,"")</f>
        <v/>
      </c>
    </row>
    <row r="399">
      <c r="A399" s="16" t="n"/>
      <c r="B399" s="17" t="n"/>
      <c r="C399" s="17" t="n"/>
      <c r="D399" s="18" t="n"/>
      <c r="E399" s="17" t="n"/>
      <c r="F399" s="17" t="n"/>
      <c r="G399" s="19" t="n"/>
      <c r="H399" s="17" t="n"/>
      <c r="I399" s="17" t="n"/>
      <c r="J399" s="17" t="n"/>
      <c r="K399" s="20">
        <f>IF($B399="","",IFERROR(INDEX(الموظفات!$A$5:$A$304,MATCH($B399,الموظفات!$B$5:$B$304,0))&amp;"",""))</f>
        <v/>
      </c>
      <c r="L399" s="21">
        <f>IF($B399="","",IFERROR(INDEX(الموظفات!$C$5:$C$304,MATCH($B399,الموظفات!$B$5:$B$304,0))&amp;"",""))</f>
        <v/>
      </c>
      <c r="M399" s="20">
        <f>IF($B399="","",IFERROR(INDEX(الموظفات!$D$5:$D$304,MATCH($B399,الموظفات!$B$5:$B$304,0))&amp;"",""))</f>
        <v/>
      </c>
      <c r="N399" s="20">
        <f>IF($B399="","",IFERROR(INDEX(الموظفات!$E$5:$E$304,MATCH($B399,الموظفات!$B$5:$B$304,0))&amp;"",""))</f>
        <v/>
      </c>
      <c r="O399" s="21">
        <f>IF(C399="","",IFERROR(INDEX(الإعدادات!$D$7:$D$35,MATCH(C399,الإعدادات!$A$7:$A$35,0))&amp;"",""))</f>
        <v/>
      </c>
      <c r="P399" s="20">
        <f>IF(A399="","",INDEX(الإعدادات!$H$7:$H$18,MONTH(A399)))</f>
        <v/>
      </c>
      <c r="Q399" s="20">
        <f>IF(A399="","",INDEX(الإعدادات!$I$7:$I$18,MONTH(A399)))</f>
        <v/>
      </c>
      <c r="R399" s="20">
        <f>IF(A399="","",IF(MONTH(A399)&gt;=8,YEAR(A399)&amp;"-"&amp;(YEAR(A399)+1),(YEAR(A399)-1)&amp;"-"&amp;YEAR(A399)))</f>
        <v/>
      </c>
      <c r="S399" s="20">
        <f>IF(OR(A399="",B399=""),0,IF(AND(R399=التقارير!$C$4,OR(التقارير!$C$5="سنوي",AND(التقارير!$C$5="شهري",P399=التقارير!$C$6),AND(التقارير!$C$5="فصلي",Q399=التقارير!$C$7))),1,0))</f>
        <v/>
      </c>
      <c r="T399" s="20">
        <f>IF(S399=1,COUNTIF($S$5:S399,1),"")</f>
        <v/>
      </c>
      <c r="U399">
        <f>IF(AND($A399&lt;&gt;"",$B399&lt;&gt;"",$R399='تقرير الفصل الأول'!$C$4,$Q399='تقرير الفصل الأول'!$C$7),COUNT(U$4:U398)+1,"")</f>
        <v/>
      </c>
      <c r="V399">
        <f>IF(AND($A399&lt;&gt;"",$B399&lt;&gt;"",$R399='تقرير الفصل الثاني'!$C$4,$Q399='تقرير الفصل الثاني'!$C$7),COUNT(V$4:V398)+1,"")</f>
        <v/>
      </c>
      <c r="W399">
        <f>IF(AND($A399&lt;&gt;"",$B399&lt;&gt;"",$R399='تقرير سبتمبر'!$C$4,$P399='تقرير سبتمبر'!$C$6),COUNT(W$4:W398)+1,"")</f>
        <v/>
      </c>
      <c r="X399">
        <f>IF(AND($A399&lt;&gt;"",$B399&lt;&gt;"",$R399='تقرير أكتوبر'!$C$4,$P399='تقرير أكتوبر'!$C$6),COUNT(X$4:X398)+1,"")</f>
        <v/>
      </c>
      <c r="Y399">
        <f>IF(AND($A399&lt;&gt;"",$B399&lt;&gt;"",$R399='تقرير نوفمبر'!$C$4,$P399='تقرير نوفمبر'!$C$6),COUNT(Y$4:Y398)+1,"")</f>
        <v/>
      </c>
      <c r="Z399">
        <f>IF(AND($A399&lt;&gt;"",$B399&lt;&gt;"",$R399='تقرير ديسمبر'!$C$4,$P399='تقرير ديسمبر'!$C$6),COUNT(Z$4:Z398)+1,"")</f>
        <v/>
      </c>
      <c r="AA399">
        <f>IF(AND($A399&lt;&gt;"",$B399&lt;&gt;"",$R399='تقرير يناير'!$C$4,$P399='تقرير يناير'!$C$6),COUNT(AA$4:AA398)+1,"")</f>
        <v/>
      </c>
      <c r="AB399">
        <f>IF(AND($A399&lt;&gt;"",$B399&lt;&gt;"",$R399='تقرير فبراير'!$C$4,$P399='تقرير فبراير'!$C$6),COUNT(AB$4:AB398)+1,"")</f>
        <v/>
      </c>
      <c r="AC399">
        <f>IF(AND($A399&lt;&gt;"",$B399&lt;&gt;"",$R399='تقرير مارس'!$C$4,$P399='تقرير مارس'!$C$6),COUNT(AC$4:AC398)+1,"")</f>
        <v/>
      </c>
      <c r="AD399">
        <f>IF(AND($A399&lt;&gt;"",$B399&lt;&gt;"",$R399='تقرير أبريل'!$C$4,$P399='تقرير أبريل'!$C$6),COUNT(AD$4:AD398)+1,"")</f>
        <v/>
      </c>
      <c r="AE399">
        <f>IF(AND($A399&lt;&gt;"",$B399&lt;&gt;"",$R399='تقرير مايو'!$C$4,$P399='تقرير مايو'!$C$6),COUNT(AE$4:AE398)+1,"")</f>
        <v/>
      </c>
    </row>
    <row r="400">
      <c r="A400" s="16" t="n"/>
      <c r="B400" s="17" t="n"/>
      <c r="C400" s="17" t="n"/>
      <c r="D400" s="18" t="n"/>
      <c r="E400" s="17" t="n"/>
      <c r="F400" s="17" t="n"/>
      <c r="G400" s="19" t="n"/>
      <c r="H400" s="17" t="n"/>
      <c r="I400" s="17" t="n"/>
      <c r="J400" s="17" t="n"/>
      <c r="K400" s="20">
        <f>IF($B400="","",IFERROR(INDEX(الموظفات!$A$5:$A$304,MATCH($B400,الموظفات!$B$5:$B$304,0))&amp;"",""))</f>
        <v/>
      </c>
      <c r="L400" s="21">
        <f>IF($B400="","",IFERROR(INDEX(الموظفات!$C$5:$C$304,MATCH($B400,الموظفات!$B$5:$B$304,0))&amp;"",""))</f>
        <v/>
      </c>
      <c r="M400" s="20">
        <f>IF($B400="","",IFERROR(INDEX(الموظفات!$D$5:$D$304,MATCH($B400,الموظفات!$B$5:$B$304,0))&amp;"",""))</f>
        <v/>
      </c>
      <c r="N400" s="20">
        <f>IF($B400="","",IFERROR(INDEX(الموظفات!$E$5:$E$304,MATCH($B400,الموظفات!$B$5:$B$304,0))&amp;"",""))</f>
        <v/>
      </c>
      <c r="O400" s="21">
        <f>IF(C400="","",IFERROR(INDEX(الإعدادات!$D$7:$D$35,MATCH(C400,الإعدادات!$A$7:$A$35,0))&amp;"",""))</f>
        <v/>
      </c>
      <c r="P400" s="20">
        <f>IF(A400="","",INDEX(الإعدادات!$H$7:$H$18,MONTH(A400)))</f>
        <v/>
      </c>
      <c r="Q400" s="20">
        <f>IF(A400="","",INDEX(الإعدادات!$I$7:$I$18,MONTH(A400)))</f>
        <v/>
      </c>
      <c r="R400" s="20">
        <f>IF(A400="","",IF(MONTH(A400)&gt;=8,YEAR(A400)&amp;"-"&amp;(YEAR(A400)+1),(YEAR(A400)-1)&amp;"-"&amp;YEAR(A400)))</f>
        <v/>
      </c>
      <c r="S400" s="20">
        <f>IF(OR(A400="",B400=""),0,IF(AND(R400=التقارير!$C$4,OR(التقارير!$C$5="سنوي",AND(التقارير!$C$5="شهري",P400=التقارير!$C$6),AND(التقارير!$C$5="فصلي",Q400=التقارير!$C$7))),1,0))</f>
        <v/>
      </c>
      <c r="T400" s="20">
        <f>IF(S400=1,COUNTIF($S$5:S400,1),"")</f>
        <v/>
      </c>
      <c r="U400">
        <f>IF(AND($A400&lt;&gt;"",$B400&lt;&gt;"",$R400='تقرير الفصل الأول'!$C$4,$Q400='تقرير الفصل الأول'!$C$7),COUNT(U$4:U399)+1,"")</f>
        <v/>
      </c>
      <c r="V400">
        <f>IF(AND($A400&lt;&gt;"",$B400&lt;&gt;"",$R400='تقرير الفصل الثاني'!$C$4,$Q400='تقرير الفصل الثاني'!$C$7),COUNT(V$4:V399)+1,"")</f>
        <v/>
      </c>
      <c r="W400">
        <f>IF(AND($A400&lt;&gt;"",$B400&lt;&gt;"",$R400='تقرير سبتمبر'!$C$4,$P400='تقرير سبتمبر'!$C$6),COUNT(W$4:W399)+1,"")</f>
        <v/>
      </c>
      <c r="X400">
        <f>IF(AND($A400&lt;&gt;"",$B400&lt;&gt;"",$R400='تقرير أكتوبر'!$C$4,$P400='تقرير أكتوبر'!$C$6),COUNT(X$4:X399)+1,"")</f>
        <v/>
      </c>
      <c r="Y400">
        <f>IF(AND($A400&lt;&gt;"",$B400&lt;&gt;"",$R400='تقرير نوفمبر'!$C$4,$P400='تقرير نوفمبر'!$C$6),COUNT(Y$4:Y399)+1,"")</f>
        <v/>
      </c>
      <c r="Z400">
        <f>IF(AND($A400&lt;&gt;"",$B400&lt;&gt;"",$R400='تقرير ديسمبر'!$C$4,$P400='تقرير ديسمبر'!$C$6),COUNT(Z$4:Z399)+1,"")</f>
        <v/>
      </c>
      <c r="AA400">
        <f>IF(AND($A400&lt;&gt;"",$B400&lt;&gt;"",$R400='تقرير يناير'!$C$4,$P400='تقرير يناير'!$C$6),COUNT(AA$4:AA399)+1,"")</f>
        <v/>
      </c>
      <c r="AB400">
        <f>IF(AND($A400&lt;&gt;"",$B400&lt;&gt;"",$R400='تقرير فبراير'!$C$4,$P400='تقرير فبراير'!$C$6),COUNT(AB$4:AB399)+1,"")</f>
        <v/>
      </c>
      <c r="AC400">
        <f>IF(AND($A400&lt;&gt;"",$B400&lt;&gt;"",$R400='تقرير مارس'!$C$4,$P400='تقرير مارس'!$C$6),COUNT(AC$4:AC399)+1,"")</f>
        <v/>
      </c>
      <c r="AD400">
        <f>IF(AND($A400&lt;&gt;"",$B400&lt;&gt;"",$R400='تقرير أبريل'!$C$4,$P400='تقرير أبريل'!$C$6),COUNT(AD$4:AD399)+1,"")</f>
        <v/>
      </c>
      <c r="AE400">
        <f>IF(AND($A400&lt;&gt;"",$B400&lt;&gt;"",$R400='تقرير مايو'!$C$4,$P400='تقرير مايو'!$C$6),COUNT(AE$4:AE399)+1,"")</f>
        <v/>
      </c>
    </row>
    <row r="401">
      <c r="A401" s="16" t="n"/>
      <c r="B401" s="17" t="n"/>
      <c r="C401" s="17" t="n"/>
      <c r="D401" s="18" t="n"/>
      <c r="E401" s="17" t="n"/>
      <c r="F401" s="17" t="n"/>
      <c r="G401" s="19" t="n"/>
      <c r="H401" s="17" t="n"/>
      <c r="I401" s="17" t="n"/>
      <c r="J401" s="17" t="n"/>
      <c r="K401" s="20">
        <f>IF($B401="","",IFERROR(INDEX(الموظفات!$A$5:$A$304,MATCH($B401,الموظفات!$B$5:$B$304,0))&amp;"",""))</f>
        <v/>
      </c>
      <c r="L401" s="21">
        <f>IF($B401="","",IFERROR(INDEX(الموظفات!$C$5:$C$304,MATCH($B401,الموظفات!$B$5:$B$304,0))&amp;"",""))</f>
        <v/>
      </c>
      <c r="M401" s="20">
        <f>IF($B401="","",IFERROR(INDEX(الموظفات!$D$5:$D$304,MATCH($B401,الموظفات!$B$5:$B$304,0))&amp;"",""))</f>
        <v/>
      </c>
      <c r="N401" s="20">
        <f>IF($B401="","",IFERROR(INDEX(الموظفات!$E$5:$E$304,MATCH($B401,الموظفات!$B$5:$B$304,0))&amp;"",""))</f>
        <v/>
      </c>
      <c r="O401" s="21">
        <f>IF(C401="","",IFERROR(INDEX(الإعدادات!$D$7:$D$35,MATCH(C401,الإعدادات!$A$7:$A$35,0))&amp;"",""))</f>
        <v/>
      </c>
      <c r="P401" s="20">
        <f>IF(A401="","",INDEX(الإعدادات!$H$7:$H$18,MONTH(A401)))</f>
        <v/>
      </c>
      <c r="Q401" s="20">
        <f>IF(A401="","",INDEX(الإعدادات!$I$7:$I$18,MONTH(A401)))</f>
        <v/>
      </c>
      <c r="R401" s="20">
        <f>IF(A401="","",IF(MONTH(A401)&gt;=8,YEAR(A401)&amp;"-"&amp;(YEAR(A401)+1),(YEAR(A401)-1)&amp;"-"&amp;YEAR(A401)))</f>
        <v/>
      </c>
      <c r="S401" s="20">
        <f>IF(OR(A401="",B401=""),0,IF(AND(R401=التقارير!$C$4,OR(التقارير!$C$5="سنوي",AND(التقارير!$C$5="شهري",P401=التقارير!$C$6),AND(التقارير!$C$5="فصلي",Q401=التقارير!$C$7))),1,0))</f>
        <v/>
      </c>
      <c r="T401" s="20">
        <f>IF(S401=1,COUNTIF($S$5:S401,1),"")</f>
        <v/>
      </c>
      <c r="U401">
        <f>IF(AND($A401&lt;&gt;"",$B401&lt;&gt;"",$R401='تقرير الفصل الأول'!$C$4,$Q401='تقرير الفصل الأول'!$C$7),COUNT(U$4:U400)+1,"")</f>
        <v/>
      </c>
      <c r="V401">
        <f>IF(AND($A401&lt;&gt;"",$B401&lt;&gt;"",$R401='تقرير الفصل الثاني'!$C$4,$Q401='تقرير الفصل الثاني'!$C$7),COUNT(V$4:V400)+1,"")</f>
        <v/>
      </c>
      <c r="W401">
        <f>IF(AND($A401&lt;&gt;"",$B401&lt;&gt;"",$R401='تقرير سبتمبر'!$C$4,$P401='تقرير سبتمبر'!$C$6),COUNT(W$4:W400)+1,"")</f>
        <v/>
      </c>
      <c r="X401">
        <f>IF(AND($A401&lt;&gt;"",$B401&lt;&gt;"",$R401='تقرير أكتوبر'!$C$4,$P401='تقرير أكتوبر'!$C$6),COUNT(X$4:X400)+1,"")</f>
        <v/>
      </c>
      <c r="Y401">
        <f>IF(AND($A401&lt;&gt;"",$B401&lt;&gt;"",$R401='تقرير نوفمبر'!$C$4,$P401='تقرير نوفمبر'!$C$6),COUNT(Y$4:Y400)+1,"")</f>
        <v/>
      </c>
      <c r="Z401">
        <f>IF(AND($A401&lt;&gt;"",$B401&lt;&gt;"",$R401='تقرير ديسمبر'!$C$4,$P401='تقرير ديسمبر'!$C$6),COUNT(Z$4:Z400)+1,"")</f>
        <v/>
      </c>
      <c r="AA401">
        <f>IF(AND($A401&lt;&gt;"",$B401&lt;&gt;"",$R401='تقرير يناير'!$C$4,$P401='تقرير يناير'!$C$6),COUNT(AA$4:AA400)+1,"")</f>
        <v/>
      </c>
      <c r="AB401">
        <f>IF(AND($A401&lt;&gt;"",$B401&lt;&gt;"",$R401='تقرير فبراير'!$C$4,$P401='تقرير فبراير'!$C$6),COUNT(AB$4:AB400)+1,"")</f>
        <v/>
      </c>
      <c r="AC401">
        <f>IF(AND($A401&lt;&gt;"",$B401&lt;&gt;"",$R401='تقرير مارس'!$C$4,$P401='تقرير مارس'!$C$6),COUNT(AC$4:AC400)+1,"")</f>
        <v/>
      </c>
      <c r="AD401">
        <f>IF(AND($A401&lt;&gt;"",$B401&lt;&gt;"",$R401='تقرير أبريل'!$C$4,$P401='تقرير أبريل'!$C$6),COUNT(AD$4:AD400)+1,"")</f>
        <v/>
      </c>
      <c r="AE401">
        <f>IF(AND($A401&lt;&gt;"",$B401&lt;&gt;"",$R401='تقرير مايو'!$C$4,$P401='تقرير مايو'!$C$6),COUNT(AE$4:AE400)+1,"")</f>
        <v/>
      </c>
    </row>
    <row r="402">
      <c r="A402" s="16" t="n"/>
      <c r="B402" s="17" t="n"/>
      <c r="C402" s="17" t="n"/>
      <c r="D402" s="18" t="n"/>
      <c r="E402" s="17" t="n"/>
      <c r="F402" s="17" t="n"/>
      <c r="G402" s="19" t="n"/>
      <c r="H402" s="17" t="n"/>
      <c r="I402" s="17" t="n"/>
      <c r="J402" s="17" t="n"/>
      <c r="K402" s="20">
        <f>IF($B402="","",IFERROR(INDEX(الموظفات!$A$5:$A$304,MATCH($B402,الموظفات!$B$5:$B$304,0))&amp;"",""))</f>
        <v/>
      </c>
      <c r="L402" s="21">
        <f>IF($B402="","",IFERROR(INDEX(الموظفات!$C$5:$C$304,MATCH($B402,الموظفات!$B$5:$B$304,0))&amp;"",""))</f>
        <v/>
      </c>
      <c r="M402" s="20">
        <f>IF($B402="","",IFERROR(INDEX(الموظفات!$D$5:$D$304,MATCH($B402,الموظفات!$B$5:$B$304,0))&amp;"",""))</f>
        <v/>
      </c>
      <c r="N402" s="20">
        <f>IF($B402="","",IFERROR(INDEX(الموظفات!$E$5:$E$304,MATCH($B402,الموظفات!$B$5:$B$304,0))&amp;"",""))</f>
        <v/>
      </c>
      <c r="O402" s="21">
        <f>IF(C402="","",IFERROR(INDEX(الإعدادات!$D$7:$D$35,MATCH(C402,الإعدادات!$A$7:$A$35,0))&amp;"",""))</f>
        <v/>
      </c>
      <c r="P402" s="20">
        <f>IF(A402="","",INDEX(الإعدادات!$H$7:$H$18,MONTH(A402)))</f>
        <v/>
      </c>
      <c r="Q402" s="20">
        <f>IF(A402="","",INDEX(الإعدادات!$I$7:$I$18,MONTH(A402)))</f>
        <v/>
      </c>
      <c r="R402" s="20">
        <f>IF(A402="","",IF(MONTH(A402)&gt;=8,YEAR(A402)&amp;"-"&amp;(YEAR(A402)+1),(YEAR(A402)-1)&amp;"-"&amp;YEAR(A402)))</f>
        <v/>
      </c>
      <c r="S402" s="20">
        <f>IF(OR(A402="",B402=""),0,IF(AND(R402=التقارير!$C$4,OR(التقارير!$C$5="سنوي",AND(التقارير!$C$5="شهري",P402=التقارير!$C$6),AND(التقارير!$C$5="فصلي",Q402=التقارير!$C$7))),1,0))</f>
        <v/>
      </c>
      <c r="T402" s="20">
        <f>IF(S402=1,COUNTIF($S$5:S402,1),"")</f>
        <v/>
      </c>
      <c r="U402">
        <f>IF(AND($A402&lt;&gt;"",$B402&lt;&gt;"",$R402='تقرير الفصل الأول'!$C$4,$Q402='تقرير الفصل الأول'!$C$7),COUNT(U$4:U401)+1,"")</f>
        <v/>
      </c>
      <c r="V402">
        <f>IF(AND($A402&lt;&gt;"",$B402&lt;&gt;"",$R402='تقرير الفصل الثاني'!$C$4,$Q402='تقرير الفصل الثاني'!$C$7),COUNT(V$4:V401)+1,"")</f>
        <v/>
      </c>
      <c r="W402">
        <f>IF(AND($A402&lt;&gt;"",$B402&lt;&gt;"",$R402='تقرير سبتمبر'!$C$4,$P402='تقرير سبتمبر'!$C$6),COUNT(W$4:W401)+1,"")</f>
        <v/>
      </c>
      <c r="X402">
        <f>IF(AND($A402&lt;&gt;"",$B402&lt;&gt;"",$R402='تقرير أكتوبر'!$C$4,$P402='تقرير أكتوبر'!$C$6),COUNT(X$4:X401)+1,"")</f>
        <v/>
      </c>
      <c r="Y402">
        <f>IF(AND($A402&lt;&gt;"",$B402&lt;&gt;"",$R402='تقرير نوفمبر'!$C$4,$P402='تقرير نوفمبر'!$C$6),COUNT(Y$4:Y401)+1,"")</f>
        <v/>
      </c>
      <c r="Z402">
        <f>IF(AND($A402&lt;&gt;"",$B402&lt;&gt;"",$R402='تقرير ديسمبر'!$C$4,$P402='تقرير ديسمبر'!$C$6),COUNT(Z$4:Z401)+1,"")</f>
        <v/>
      </c>
      <c r="AA402">
        <f>IF(AND($A402&lt;&gt;"",$B402&lt;&gt;"",$R402='تقرير يناير'!$C$4,$P402='تقرير يناير'!$C$6),COUNT(AA$4:AA401)+1,"")</f>
        <v/>
      </c>
      <c r="AB402">
        <f>IF(AND($A402&lt;&gt;"",$B402&lt;&gt;"",$R402='تقرير فبراير'!$C$4,$P402='تقرير فبراير'!$C$6),COUNT(AB$4:AB401)+1,"")</f>
        <v/>
      </c>
      <c r="AC402">
        <f>IF(AND($A402&lt;&gt;"",$B402&lt;&gt;"",$R402='تقرير مارس'!$C$4,$P402='تقرير مارس'!$C$6),COUNT(AC$4:AC401)+1,"")</f>
        <v/>
      </c>
      <c r="AD402">
        <f>IF(AND($A402&lt;&gt;"",$B402&lt;&gt;"",$R402='تقرير أبريل'!$C$4,$P402='تقرير أبريل'!$C$6),COUNT(AD$4:AD401)+1,"")</f>
        <v/>
      </c>
      <c r="AE402">
        <f>IF(AND($A402&lt;&gt;"",$B402&lt;&gt;"",$R402='تقرير مايو'!$C$4,$P402='تقرير مايو'!$C$6),COUNT(AE$4:AE401)+1,"")</f>
        <v/>
      </c>
    </row>
    <row r="403">
      <c r="A403" s="16" t="n"/>
      <c r="B403" s="17" t="n"/>
      <c r="C403" s="17" t="n"/>
      <c r="D403" s="18" t="n"/>
      <c r="E403" s="17" t="n"/>
      <c r="F403" s="17" t="n"/>
      <c r="G403" s="19" t="n"/>
      <c r="H403" s="17" t="n"/>
      <c r="I403" s="17" t="n"/>
      <c r="J403" s="17" t="n"/>
      <c r="K403" s="20">
        <f>IF($B403="","",IFERROR(INDEX(الموظفات!$A$5:$A$304,MATCH($B403,الموظفات!$B$5:$B$304,0))&amp;"",""))</f>
        <v/>
      </c>
      <c r="L403" s="21">
        <f>IF($B403="","",IFERROR(INDEX(الموظفات!$C$5:$C$304,MATCH($B403,الموظفات!$B$5:$B$304,0))&amp;"",""))</f>
        <v/>
      </c>
      <c r="M403" s="20">
        <f>IF($B403="","",IFERROR(INDEX(الموظفات!$D$5:$D$304,MATCH($B403,الموظفات!$B$5:$B$304,0))&amp;"",""))</f>
        <v/>
      </c>
      <c r="N403" s="20">
        <f>IF($B403="","",IFERROR(INDEX(الموظفات!$E$5:$E$304,MATCH($B403,الموظفات!$B$5:$B$304,0))&amp;"",""))</f>
        <v/>
      </c>
      <c r="O403" s="21">
        <f>IF(C403="","",IFERROR(INDEX(الإعدادات!$D$7:$D$35,MATCH(C403,الإعدادات!$A$7:$A$35,0))&amp;"",""))</f>
        <v/>
      </c>
      <c r="P403" s="20">
        <f>IF(A403="","",INDEX(الإعدادات!$H$7:$H$18,MONTH(A403)))</f>
        <v/>
      </c>
      <c r="Q403" s="20">
        <f>IF(A403="","",INDEX(الإعدادات!$I$7:$I$18,MONTH(A403)))</f>
        <v/>
      </c>
      <c r="R403" s="20">
        <f>IF(A403="","",IF(MONTH(A403)&gt;=8,YEAR(A403)&amp;"-"&amp;(YEAR(A403)+1),(YEAR(A403)-1)&amp;"-"&amp;YEAR(A403)))</f>
        <v/>
      </c>
      <c r="S403" s="20">
        <f>IF(OR(A403="",B403=""),0,IF(AND(R403=التقارير!$C$4,OR(التقارير!$C$5="سنوي",AND(التقارير!$C$5="شهري",P403=التقارير!$C$6),AND(التقارير!$C$5="فصلي",Q403=التقارير!$C$7))),1,0))</f>
        <v/>
      </c>
      <c r="T403" s="20">
        <f>IF(S403=1,COUNTIF($S$5:S403,1),"")</f>
        <v/>
      </c>
      <c r="U403">
        <f>IF(AND($A403&lt;&gt;"",$B403&lt;&gt;"",$R403='تقرير الفصل الأول'!$C$4,$Q403='تقرير الفصل الأول'!$C$7),COUNT(U$4:U402)+1,"")</f>
        <v/>
      </c>
      <c r="V403">
        <f>IF(AND($A403&lt;&gt;"",$B403&lt;&gt;"",$R403='تقرير الفصل الثاني'!$C$4,$Q403='تقرير الفصل الثاني'!$C$7),COUNT(V$4:V402)+1,"")</f>
        <v/>
      </c>
      <c r="W403">
        <f>IF(AND($A403&lt;&gt;"",$B403&lt;&gt;"",$R403='تقرير سبتمبر'!$C$4,$P403='تقرير سبتمبر'!$C$6),COUNT(W$4:W402)+1,"")</f>
        <v/>
      </c>
      <c r="X403">
        <f>IF(AND($A403&lt;&gt;"",$B403&lt;&gt;"",$R403='تقرير أكتوبر'!$C$4,$P403='تقرير أكتوبر'!$C$6),COUNT(X$4:X402)+1,"")</f>
        <v/>
      </c>
      <c r="Y403">
        <f>IF(AND($A403&lt;&gt;"",$B403&lt;&gt;"",$R403='تقرير نوفمبر'!$C$4,$P403='تقرير نوفمبر'!$C$6),COUNT(Y$4:Y402)+1,"")</f>
        <v/>
      </c>
      <c r="Z403">
        <f>IF(AND($A403&lt;&gt;"",$B403&lt;&gt;"",$R403='تقرير ديسمبر'!$C$4,$P403='تقرير ديسمبر'!$C$6),COUNT(Z$4:Z402)+1,"")</f>
        <v/>
      </c>
      <c r="AA403">
        <f>IF(AND($A403&lt;&gt;"",$B403&lt;&gt;"",$R403='تقرير يناير'!$C$4,$P403='تقرير يناير'!$C$6),COUNT(AA$4:AA402)+1,"")</f>
        <v/>
      </c>
      <c r="AB403">
        <f>IF(AND($A403&lt;&gt;"",$B403&lt;&gt;"",$R403='تقرير فبراير'!$C$4,$P403='تقرير فبراير'!$C$6),COUNT(AB$4:AB402)+1,"")</f>
        <v/>
      </c>
      <c r="AC403">
        <f>IF(AND($A403&lt;&gt;"",$B403&lt;&gt;"",$R403='تقرير مارس'!$C$4,$P403='تقرير مارس'!$C$6),COUNT(AC$4:AC402)+1,"")</f>
        <v/>
      </c>
      <c r="AD403">
        <f>IF(AND($A403&lt;&gt;"",$B403&lt;&gt;"",$R403='تقرير أبريل'!$C$4,$P403='تقرير أبريل'!$C$6),COUNT(AD$4:AD402)+1,"")</f>
        <v/>
      </c>
      <c r="AE403">
        <f>IF(AND($A403&lt;&gt;"",$B403&lt;&gt;"",$R403='تقرير مايو'!$C$4,$P403='تقرير مايو'!$C$6),COUNT(AE$4:AE402)+1,"")</f>
        <v/>
      </c>
    </row>
    <row r="404">
      <c r="A404" s="16" t="n"/>
      <c r="B404" s="17" t="n"/>
      <c r="C404" s="17" t="n"/>
      <c r="D404" s="18" t="n"/>
      <c r="E404" s="17" t="n"/>
      <c r="F404" s="17" t="n"/>
      <c r="G404" s="19" t="n"/>
      <c r="H404" s="17" t="n"/>
      <c r="I404" s="17" t="n"/>
      <c r="J404" s="17" t="n"/>
      <c r="K404" s="20">
        <f>IF($B404="","",IFERROR(INDEX(الموظفات!$A$5:$A$304,MATCH($B404,الموظفات!$B$5:$B$304,0))&amp;"",""))</f>
        <v/>
      </c>
      <c r="L404" s="21">
        <f>IF($B404="","",IFERROR(INDEX(الموظفات!$C$5:$C$304,MATCH($B404,الموظفات!$B$5:$B$304,0))&amp;"",""))</f>
        <v/>
      </c>
      <c r="M404" s="20">
        <f>IF($B404="","",IFERROR(INDEX(الموظفات!$D$5:$D$304,MATCH($B404,الموظفات!$B$5:$B$304,0))&amp;"",""))</f>
        <v/>
      </c>
      <c r="N404" s="20">
        <f>IF($B404="","",IFERROR(INDEX(الموظفات!$E$5:$E$304,MATCH($B404,الموظفات!$B$5:$B$304,0))&amp;"",""))</f>
        <v/>
      </c>
      <c r="O404" s="21">
        <f>IF(C404="","",IFERROR(INDEX(الإعدادات!$D$7:$D$35,MATCH(C404,الإعدادات!$A$7:$A$35,0))&amp;"",""))</f>
        <v/>
      </c>
      <c r="P404" s="20">
        <f>IF(A404="","",INDEX(الإعدادات!$H$7:$H$18,MONTH(A404)))</f>
        <v/>
      </c>
      <c r="Q404" s="20">
        <f>IF(A404="","",INDEX(الإعدادات!$I$7:$I$18,MONTH(A404)))</f>
        <v/>
      </c>
      <c r="R404" s="20">
        <f>IF(A404="","",IF(MONTH(A404)&gt;=8,YEAR(A404)&amp;"-"&amp;(YEAR(A404)+1),(YEAR(A404)-1)&amp;"-"&amp;YEAR(A404)))</f>
        <v/>
      </c>
      <c r="S404" s="20">
        <f>IF(OR(A404="",B404=""),0,IF(AND(R404=التقارير!$C$4,OR(التقارير!$C$5="سنوي",AND(التقارير!$C$5="شهري",P404=التقارير!$C$6),AND(التقارير!$C$5="فصلي",Q404=التقارير!$C$7))),1,0))</f>
        <v/>
      </c>
      <c r="T404" s="20">
        <f>IF(S404=1,COUNTIF($S$5:S404,1),"")</f>
        <v/>
      </c>
      <c r="U404">
        <f>IF(AND($A404&lt;&gt;"",$B404&lt;&gt;"",$R404='تقرير الفصل الأول'!$C$4,$Q404='تقرير الفصل الأول'!$C$7),COUNT(U$4:U403)+1,"")</f>
        <v/>
      </c>
      <c r="V404">
        <f>IF(AND($A404&lt;&gt;"",$B404&lt;&gt;"",$R404='تقرير الفصل الثاني'!$C$4,$Q404='تقرير الفصل الثاني'!$C$7),COUNT(V$4:V403)+1,"")</f>
        <v/>
      </c>
      <c r="W404">
        <f>IF(AND($A404&lt;&gt;"",$B404&lt;&gt;"",$R404='تقرير سبتمبر'!$C$4,$P404='تقرير سبتمبر'!$C$6),COUNT(W$4:W403)+1,"")</f>
        <v/>
      </c>
      <c r="X404">
        <f>IF(AND($A404&lt;&gt;"",$B404&lt;&gt;"",$R404='تقرير أكتوبر'!$C$4,$P404='تقرير أكتوبر'!$C$6),COUNT(X$4:X403)+1,"")</f>
        <v/>
      </c>
      <c r="Y404">
        <f>IF(AND($A404&lt;&gt;"",$B404&lt;&gt;"",$R404='تقرير نوفمبر'!$C$4,$P404='تقرير نوفمبر'!$C$6),COUNT(Y$4:Y403)+1,"")</f>
        <v/>
      </c>
      <c r="Z404">
        <f>IF(AND($A404&lt;&gt;"",$B404&lt;&gt;"",$R404='تقرير ديسمبر'!$C$4,$P404='تقرير ديسمبر'!$C$6),COUNT(Z$4:Z403)+1,"")</f>
        <v/>
      </c>
      <c r="AA404">
        <f>IF(AND($A404&lt;&gt;"",$B404&lt;&gt;"",$R404='تقرير يناير'!$C$4,$P404='تقرير يناير'!$C$6),COUNT(AA$4:AA403)+1,"")</f>
        <v/>
      </c>
      <c r="AB404">
        <f>IF(AND($A404&lt;&gt;"",$B404&lt;&gt;"",$R404='تقرير فبراير'!$C$4,$P404='تقرير فبراير'!$C$6),COUNT(AB$4:AB403)+1,"")</f>
        <v/>
      </c>
      <c r="AC404">
        <f>IF(AND($A404&lt;&gt;"",$B404&lt;&gt;"",$R404='تقرير مارس'!$C$4,$P404='تقرير مارس'!$C$6),COUNT(AC$4:AC403)+1,"")</f>
        <v/>
      </c>
      <c r="AD404">
        <f>IF(AND($A404&lt;&gt;"",$B404&lt;&gt;"",$R404='تقرير أبريل'!$C$4,$P404='تقرير أبريل'!$C$6),COUNT(AD$4:AD403)+1,"")</f>
        <v/>
      </c>
      <c r="AE404">
        <f>IF(AND($A404&lt;&gt;"",$B404&lt;&gt;"",$R404='تقرير مايو'!$C$4,$P404='تقرير مايو'!$C$6),COUNT(AE$4:AE403)+1,"")</f>
        <v/>
      </c>
    </row>
    <row r="405">
      <c r="A405" s="16" t="n"/>
      <c r="B405" s="17" t="n"/>
      <c r="C405" s="17" t="n"/>
      <c r="D405" s="18" t="n"/>
      <c r="E405" s="17" t="n"/>
      <c r="F405" s="17" t="n"/>
      <c r="G405" s="19" t="n"/>
      <c r="H405" s="17" t="n"/>
      <c r="I405" s="17" t="n"/>
      <c r="J405" s="17" t="n"/>
      <c r="K405" s="20">
        <f>IF($B405="","",IFERROR(INDEX(الموظفات!$A$5:$A$304,MATCH($B405,الموظفات!$B$5:$B$304,0))&amp;"",""))</f>
        <v/>
      </c>
      <c r="L405" s="21">
        <f>IF($B405="","",IFERROR(INDEX(الموظفات!$C$5:$C$304,MATCH($B405,الموظفات!$B$5:$B$304,0))&amp;"",""))</f>
        <v/>
      </c>
      <c r="M405" s="20">
        <f>IF($B405="","",IFERROR(INDEX(الموظفات!$D$5:$D$304,MATCH($B405,الموظفات!$B$5:$B$304,0))&amp;"",""))</f>
        <v/>
      </c>
      <c r="N405" s="20">
        <f>IF($B405="","",IFERROR(INDEX(الموظفات!$E$5:$E$304,MATCH($B405,الموظفات!$B$5:$B$304,0))&amp;"",""))</f>
        <v/>
      </c>
      <c r="O405" s="21">
        <f>IF(C405="","",IFERROR(INDEX(الإعدادات!$D$7:$D$35,MATCH(C405,الإعدادات!$A$7:$A$35,0))&amp;"",""))</f>
        <v/>
      </c>
      <c r="P405" s="20">
        <f>IF(A405="","",INDEX(الإعدادات!$H$7:$H$18,MONTH(A405)))</f>
        <v/>
      </c>
      <c r="Q405" s="20">
        <f>IF(A405="","",INDEX(الإعدادات!$I$7:$I$18,MONTH(A405)))</f>
        <v/>
      </c>
      <c r="R405" s="20">
        <f>IF(A405="","",IF(MONTH(A405)&gt;=8,YEAR(A405)&amp;"-"&amp;(YEAR(A405)+1),(YEAR(A405)-1)&amp;"-"&amp;YEAR(A405)))</f>
        <v/>
      </c>
      <c r="S405" s="20">
        <f>IF(OR(A405="",B405=""),0,IF(AND(R405=التقارير!$C$4,OR(التقارير!$C$5="سنوي",AND(التقارير!$C$5="شهري",P405=التقارير!$C$6),AND(التقارير!$C$5="فصلي",Q405=التقارير!$C$7))),1,0))</f>
        <v/>
      </c>
      <c r="T405" s="20">
        <f>IF(S405=1,COUNTIF($S$5:S405,1),"")</f>
        <v/>
      </c>
      <c r="U405">
        <f>IF(AND($A405&lt;&gt;"",$B405&lt;&gt;"",$R405='تقرير الفصل الأول'!$C$4,$Q405='تقرير الفصل الأول'!$C$7),COUNT(U$4:U404)+1,"")</f>
        <v/>
      </c>
      <c r="V405">
        <f>IF(AND($A405&lt;&gt;"",$B405&lt;&gt;"",$R405='تقرير الفصل الثاني'!$C$4,$Q405='تقرير الفصل الثاني'!$C$7),COUNT(V$4:V404)+1,"")</f>
        <v/>
      </c>
      <c r="W405">
        <f>IF(AND($A405&lt;&gt;"",$B405&lt;&gt;"",$R405='تقرير سبتمبر'!$C$4,$P405='تقرير سبتمبر'!$C$6),COUNT(W$4:W404)+1,"")</f>
        <v/>
      </c>
      <c r="X405">
        <f>IF(AND($A405&lt;&gt;"",$B405&lt;&gt;"",$R405='تقرير أكتوبر'!$C$4,$P405='تقرير أكتوبر'!$C$6),COUNT(X$4:X404)+1,"")</f>
        <v/>
      </c>
      <c r="Y405">
        <f>IF(AND($A405&lt;&gt;"",$B405&lt;&gt;"",$R405='تقرير نوفمبر'!$C$4,$P405='تقرير نوفمبر'!$C$6),COUNT(Y$4:Y404)+1,"")</f>
        <v/>
      </c>
      <c r="Z405">
        <f>IF(AND($A405&lt;&gt;"",$B405&lt;&gt;"",$R405='تقرير ديسمبر'!$C$4,$P405='تقرير ديسمبر'!$C$6),COUNT(Z$4:Z404)+1,"")</f>
        <v/>
      </c>
      <c r="AA405">
        <f>IF(AND($A405&lt;&gt;"",$B405&lt;&gt;"",$R405='تقرير يناير'!$C$4,$P405='تقرير يناير'!$C$6),COUNT(AA$4:AA404)+1,"")</f>
        <v/>
      </c>
      <c r="AB405">
        <f>IF(AND($A405&lt;&gt;"",$B405&lt;&gt;"",$R405='تقرير فبراير'!$C$4,$P405='تقرير فبراير'!$C$6),COUNT(AB$4:AB404)+1,"")</f>
        <v/>
      </c>
      <c r="AC405">
        <f>IF(AND($A405&lt;&gt;"",$B405&lt;&gt;"",$R405='تقرير مارس'!$C$4,$P405='تقرير مارس'!$C$6),COUNT(AC$4:AC404)+1,"")</f>
        <v/>
      </c>
      <c r="AD405">
        <f>IF(AND($A405&lt;&gt;"",$B405&lt;&gt;"",$R405='تقرير أبريل'!$C$4,$P405='تقرير أبريل'!$C$6),COUNT(AD$4:AD404)+1,"")</f>
        <v/>
      </c>
      <c r="AE405">
        <f>IF(AND($A405&lt;&gt;"",$B405&lt;&gt;"",$R405='تقرير مايو'!$C$4,$P405='تقرير مايو'!$C$6),COUNT(AE$4:AE404)+1,"")</f>
        <v/>
      </c>
    </row>
    <row r="406">
      <c r="A406" s="16" t="n"/>
      <c r="B406" s="17" t="n"/>
      <c r="C406" s="17" t="n"/>
      <c r="D406" s="18" t="n"/>
      <c r="E406" s="17" t="n"/>
      <c r="F406" s="17" t="n"/>
      <c r="G406" s="19" t="n"/>
      <c r="H406" s="17" t="n"/>
      <c r="I406" s="17" t="n"/>
      <c r="J406" s="17" t="n"/>
      <c r="K406" s="20">
        <f>IF($B406="","",IFERROR(INDEX(الموظفات!$A$5:$A$304,MATCH($B406,الموظفات!$B$5:$B$304,0))&amp;"",""))</f>
        <v/>
      </c>
      <c r="L406" s="21">
        <f>IF($B406="","",IFERROR(INDEX(الموظفات!$C$5:$C$304,MATCH($B406,الموظفات!$B$5:$B$304,0))&amp;"",""))</f>
        <v/>
      </c>
      <c r="M406" s="20">
        <f>IF($B406="","",IFERROR(INDEX(الموظفات!$D$5:$D$304,MATCH($B406,الموظفات!$B$5:$B$304,0))&amp;"",""))</f>
        <v/>
      </c>
      <c r="N406" s="20">
        <f>IF($B406="","",IFERROR(INDEX(الموظفات!$E$5:$E$304,MATCH($B406,الموظفات!$B$5:$B$304,0))&amp;"",""))</f>
        <v/>
      </c>
      <c r="O406" s="21">
        <f>IF(C406="","",IFERROR(INDEX(الإعدادات!$D$7:$D$35,MATCH(C406,الإعدادات!$A$7:$A$35,0))&amp;"",""))</f>
        <v/>
      </c>
      <c r="P406" s="20">
        <f>IF(A406="","",INDEX(الإعدادات!$H$7:$H$18,MONTH(A406)))</f>
        <v/>
      </c>
      <c r="Q406" s="20">
        <f>IF(A406="","",INDEX(الإعدادات!$I$7:$I$18,MONTH(A406)))</f>
        <v/>
      </c>
      <c r="R406" s="20">
        <f>IF(A406="","",IF(MONTH(A406)&gt;=8,YEAR(A406)&amp;"-"&amp;(YEAR(A406)+1),(YEAR(A406)-1)&amp;"-"&amp;YEAR(A406)))</f>
        <v/>
      </c>
      <c r="S406" s="20">
        <f>IF(OR(A406="",B406=""),0,IF(AND(R406=التقارير!$C$4,OR(التقارير!$C$5="سنوي",AND(التقارير!$C$5="شهري",P406=التقارير!$C$6),AND(التقارير!$C$5="فصلي",Q406=التقارير!$C$7))),1,0))</f>
        <v/>
      </c>
      <c r="T406" s="20">
        <f>IF(S406=1,COUNTIF($S$5:S406,1),"")</f>
        <v/>
      </c>
      <c r="U406">
        <f>IF(AND($A406&lt;&gt;"",$B406&lt;&gt;"",$R406='تقرير الفصل الأول'!$C$4,$Q406='تقرير الفصل الأول'!$C$7),COUNT(U$4:U405)+1,"")</f>
        <v/>
      </c>
      <c r="V406">
        <f>IF(AND($A406&lt;&gt;"",$B406&lt;&gt;"",$R406='تقرير الفصل الثاني'!$C$4,$Q406='تقرير الفصل الثاني'!$C$7),COUNT(V$4:V405)+1,"")</f>
        <v/>
      </c>
      <c r="W406">
        <f>IF(AND($A406&lt;&gt;"",$B406&lt;&gt;"",$R406='تقرير سبتمبر'!$C$4,$P406='تقرير سبتمبر'!$C$6),COUNT(W$4:W405)+1,"")</f>
        <v/>
      </c>
      <c r="X406">
        <f>IF(AND($A406&lt;&gt;"",$B406&lt;&gt;"",$R406='تقرير أكتوبر'!$C$4,$P406='تقرير أكتوبر'!$C$6),COUNT(X$4:X405)+1,"")</f>
        <v/>
      </c>
      <c r="Y406">
        <f>IF(AND($A406&lt;&gt;"",$B406&lt;&gt;"",$R406='تقرير نوفمبر'!$C$4,$P406='تقرير نوفمبر'!$C$6),COUNT(Y$4:Y405)+1,"")</f>
        <v/>
      </c>
      <c r="Z406">
        <f>IF(AND($A406&lt;&gt;"",$B406&lt;&gt;"",$R406='تقرير ديسمبر'!$C$4,$P406='تقرير ديسمبر'!$C$6),COUNT(Z$4:Z405)+1,"")</f>
        <v/>
      </c>
      <c r="AA406">
        <f>IF(AND($A406&lt;&gt;"",$B406&lt;&gt;"",$R406='تقرير يناير'!$C$4,$P406='تقرير يناير'!$C$6),COUNT(AA$4:AA405)+1,"")</f>
        <v/>
      </c>
      <c r="AB406">
        <f>IF(AND($A406&lt;&gt;"",$B406&lt;&gt;"",$R406='تقرير فبراير'!$C$4,$P406='تقرير فبراير'!$C$6),COUNT(AB$4:AB405)+1,"")</f>
        <v/>
      </c>
      <c r="AC406">
        <f>IF(AND($A406&lt;&gt;"",$B406&lt;&gt;"",$R406='تقرير مارس'!$C$4,$P406='تقرير مارس'!$C$6),COUNT(AC$4:AC405)+1,"")</f>
        <v/>
      </c>
      <c r="AD406">
        <f>IF(AND($A406&lt;&gt;"",$B406&lt;&gt;"",$R406='تقرير أبريل'!$C$4,$P406='تقرير أبريل'!$C$6),COUNT(AD$4:AD405)+1,"")</f>
        <v/>
      </c>
      <c r="AE406">
        <f>IF(AND($A406&lt;&gt;"",$B406&lt;&gt;"",$R406='تقرير مايو'!$C$4,$P406='تقرير مايو'!$C$6),COUNT(AE$4:AE405)+1,"")</f>
        <v/>
      </c>
    </row>
    <row r="407">
      <c r="A407" s="16" t="n"/>
      <c r="B407" s="17" t="n"/>
      <c r="C407" s="17" t="n"/>
      <c r="D407" s="18" t="n"/>
      <c r="E407" s="17" t="n"/>
      <c r="F407" s="17" t="n"/>
      <c r="G407" s="19" t="n"/>
      <c r="H407" s="17" t="n"/>
      <c r="I407" s="17" t="n"/>
      <c r="J407" s="17" t="n"/>
      <c r="K407" s="20">
        <f>IF($B407="","",IFERROR(INDEX(الموظفات!$A$5:$A$304,MATCH($B407,الموظفات!$B$5:$B$304,0))&amp;"",""))</f>
        <v/>
      </c>
      <c r="L407" s="21">
        <f>IF($B407="","",IFERROR(INDEX(الموظفات!$C$5:$C$304,MATCH($B407,الموظفات!$B$5:$B$304,0))&amp;"",""))</f>
        <v/>
      </c>
      <c r="M407" s="20">
        <f>IF($B407="","",IFERROR(INDEX(الموظفات!$D$5:$D$304,MATCH($B407,الموظفات!$B$5:$B$304,0))&amp;"",""))</f>
        <v/>
      </c>
      <c r="N407" s="20">
        <f>IF($B407="","",IFERROR(INDEX(الموظفات!$E$5:$E$304,MATCH($B407,الموظفات!$B$5:$B$304,0))&amp;"",""))</f>
        <v/>
      </c>
      <c r="O407" s="21">
        <f>IF(C407="","",IFERROR(INDEX(الإعدادات!$D$7:$D$35,MATCH(C407,الإعدادات!$A$7:$A$35,0))&amp;"",""))</f>
        <v/>
      </c>
      <c r="P407" s="20">
        <f>IF(A407="","",INDEX(الإعدادات!$H$7:$H$18,MONTH(A407)))</f>
        <v/>
      </c>
      <c r="Q407" s="20">
        <f>IF(A407="","",INDEX(الإعدادات!$I$7:$I$18,MONTH(A407)))</f>
        <v/>
      </c>
      <c r="R407" s="20">
        <f>IF(A407="","",IF(MONTH(A407)&gt;=8,YEAR(A407)&amp;"-"&amp;(YEAR(A407)+1),(YEAR(A407)-1)&amp;"-"&amp;YEAR(A407)))</f>
        <v/>
      </c>
      <c r="S407" s="20">
        <f>IF(OR(A407="",B407=""),0,IF(AND(R407=التقارير!$C$4,OR(التقارير!$C$5="سنوي",AND(التقارير!$C$5="شهري",P407=التقارير!$C$6),AND(التقارير!$C$5="فصلي",Q407=التقارير!$C$7))),1,0))</f>
        <v/>
      </c>
      <c r="T407" s="20">
        <f>IF(S407=1,COUNTIF($S$5:S407,1),"")</f>
        <v/>
      </c>
      <c r="U407">
        <f>IF(AND($A407&lt;&gt;"",$B407&lt;&gt;"",$R407='تقرير الفصل الأول'!$C$4,$Q407='تقرير الفصل الأول'!$C$7),COUNT(U$4:U406)+1,"")</f>
        <v/>
      </c>
      <c r="V407">
        <f>IF(AND($A407&lt;&gt;"",$B407&lt;&gt;"",$R407='تقرير الفصل الثاني'!$C$4,$Q407='تقرير الفصل الثاني'!$C$7),COUNT(V$4:V406)+1,"")</f>
        <v/>
      </c>
      <c r="W407">
        <f>IF(AND($A407&lt;&gt;"",$B407&lt;&gt;"",$R407='تقرير سبتمبر'!$C$4,$P407='تقرير سبتمبر'!$C$6),COUNT(W$4:W406)+1,"")</f>
        <v/>
      </c>
      <c r="X407">
        <f>IF(AND($A407&lt;&gt;"",$B407&lt;&gt;"",$R407='تقرير أكتوبر'!$C$4,$P407='تقرير أكتوبر'!$C$6),COUNT(X$4:X406)+1,"")</f>
        <v/>
      </c>
      <c r="Y407">
        <f>IF(AND($A407&lt;&gt;"",$B407&lt;&gt;"",$R407='تقرير نوفمبر'!$C$4,$P407='تقرير نوفمبر'!$C$6),COUNT(Y$4:Y406)+1,"")</f>
        <v/>
      </c>
      <c r="Z407">
        <f>IF(AND($A407&lt;&gt;"",$B407&lt;&gt;"",$R407='تقرير ديسمبر'!$C$4,$P407='تقرير ديسمبر'!$C$6),COUNT(Z$4:Z406)+1,"")</f>
        <v/>
      </c>
      <c r="AA407">
        <f>IF(AND($A407&lt;&gt;"",$B407&lt;&gt;"",$R407='تقرير يناير'!$C$4,$P407='تقرير يناير'!$C$6),COUNT(AA$4:AA406)+1,"")</f>
        <v/>
      </c>
      <c r="AB407">
        <f>IF(AND($A407&lt;&gt;"",$B407&lt;&gt;"",$R407='تقرير فبراير'!$C$4,$P407='تقرير فبراير'!$C$6),COUNT(AB$4:AB406)+1,"")</f>
        <v/>
      </c>
      <c r="AC407">
        <f>IF(AND($A407&lt;&gt;"",$B407&lt;&gt;"",$R407='تقرير مارس'!$C$4,$P407='تقرير مارس'!$C$6),COUNT(AC$4:AC406)+1,"")</f>
        <v/>
      </c>
      <c r="AD407">
        <f>IF(AND($A407&lt;&gt;"",$B407&lt;&gt;"",$R407='تقرير أبريل'!$C$4,$P407='تقرير أبريل'!$C$6),COUNT(AD$4:AD406)+1,"")</f>
        <v/>
      </c>
      <c r="AE407">
        <f>IF(AND($A407&lt;&gt;"",$B407&lt;&gt;"",$R407='تقرير مايو'!$C$4,$P407='تقرير مايو'!$C$6),COUNT(AE$4:AE406)+1,"")</f>
        <v/>
      </c>
    </row>
    <row r="408">
      <c r="A408" s="16" t="n"/>
      <c r="B408" s="17" t="n"/>
      <c r="C408" s="17" t="n"/>
      <c r="D408" s="18" t="n"/>
      <c r="E408" s="17" t="n"/>
      <c r="F408" s="17" t="n"/>
      <c r="G408" s="19" t="n"/>
      <c r="H408" s="17" t="n"/>
      <c r="I408" s="17" t="n"/>
      <c r="J408" s="17" t="n"/>
      <c r="K408" s="20">
        <f>IF($B408="","",IFERROR(INDEX(الموظفات!$A$5:$A$304,MATCH($B408,الموظفات!$B$5:$B$304,0))&amp;"",""))</f>
        <v/>
      </c>
      <c r="L408" s="21">
        <f>IF($B408="","",IFERROR(INDEX(الموظفات!$C$5:$C$304,MATCH($B408,الموظفات!$B$5:$B$304,0))&amp;"",""))</f>
        <v/>
      </c>
      <c r="M408" s="20">
        <f>IF($B408="","",IFERROR(INDEX(الموظفات!$D$5:$D$304,MATCH($B408,الموظفات!$B$5:$B$304,0))&amp;"",""))</f>
        <v/>
      </c>
      <c r="N408" s="20">
        <f>IF($B408="","",IFERROR(INDEX(الموظفات!$E$5:$E$304,MATCH($B408,الموظفات!$B$5:$B$304,0))&amp;"",""))</f>
        <v/>
      </c>
      <c r="O408" s="21">
        <f>IF(C408="","",IFERROR(INDEX(الإعدادات!$D$7:$D$35,MATCH(C408,الإعدادات!$A$7:$A$35,0))&amp;"",""))</f>
        <v/>
      </c>
      <c r="P408" s="20">
        <f>IF(A408="","",INDEX(الإعدادات!$H$7:$H$18,MONTH(A408)))</f>
        <v/>
      </c>
      <c r="Q408" s="20">
        <f>IF(A408="","",INDEX(الإعدادات!$I$7:$I$18,MONTH(A408)))</f>
        <v/>
      </c>
      <c r="R408" s="20">
        <f>IF(A408="","",IF(MONTH(A408)&gt;=8,YEAR(A408)&amp;"-"&amp;(YEAR(A408)+1),(YEAR(A408)-1)&amp;"-"&amp;YEAR(A408)))</f>
        <v/>
      </c>
      <c r="S408" s="20">
        <f>IF(OR(A408="",B408=""),0,IF(AND(R408=التقارير!$C$4,OR(التقارير!$C$5="سنوي",AND(التقارير!$C$5="شهري",P408=التقارير!$C$6),AND(التقارير!$C$5="فصلي",Q408=التقارير!$C$7))),1,0))</f>
        <v/>
      </c>
      <c r="T408" s="20">
        <f>IF(S408=1,COUNTIF($S$5:S408,1),"")</f>
        <v/>
      </c>
      <c r="U408">
        <f>IF(AND($A408&lt;&gt;"",$B408&lt;&gt;"",$R408='تقرير الفصل الأول'!$C$4,$Q408='تقرير الفصل الأول'!$C$7),COUNT(U$4:U407)+1,"")</f>
        <v/>
      </c>
      <c r="V408">
        <f>IF(AND($A408&lt;&gt;"",$B408&lt;&gt;"",$R408='تقرير الفصل الثاني'!$C$4,$Q408='تقرير الفصل الثاني'!$C$7),COUNT(V$4:V407)+1,"")</f>
        <v/>
      </c>
      <c r="W408">
        <f>IF(AND($A408&lt;&gt;"",$B408&lt;&gt;"",$R408='تقرير سبتمبر'!$C$4,$P408='تقرير سبتمبر'!$C$6),COUNT(W$4:W407)+1,"")</f>
        <v/>
      </c>
      <c r="X408">
        <f>IF(AND($A408&lt;&gt;"",$B408&lt;&gt;"",$R408='تقرير أكتوبر'!$C$4,$P408='تقرير أكتوبر'!$C$6),COUNT(X$4:X407)+1,"")</f>
        <v/>
      </c>
      <c r="Y408">
        <f>IF(AND($A408&lt;&gt;"",$B408&lt;&gt;"",$R408='تقرير نوفمبر'!$C$4,$P408='تقرير نوفمبر'!$C$6),COUNT(Y$4:Y407)+1,"")</f>
        <v/>
      </c>
      <c r="Z408">
        <f>IF(AND($A408&lt;&gt;"",$B408&lt;&gt;"",$R408='تقرير ديسمبر'!$C$4,$P408='تقرير ديسمبر'!$C$6),COUNT(Z$4:Z407)+1,"")</f>
        <v/>
      </c>
      <c r="AA408">
        <f>IF(AND($A408&lt;&gt;"",$B408&lt;&gt;"",$R408='تقرير يناير'!$C$4,$P408='تقرير يناير'!$C$6),COUNT(AA$4:AA407)+1,"")</f>
        <v/>
      </c>
      <c r="AB408">
        <f>IF(AND($A408&lt;&gt;"",$B408&lt;&gt;"",$R408='تقرير فبراير'!$C$4,$P408='تقرير فبراير'!$C$6),COUNT(AB$4:AB407)+1,"")</f>
        <v/>
      </c>
      <c r="AC408">
        <f>IF(AND($A408&lt;&gt;"",$B408&lt;&gt;"",$R408='تقرير مارس'!$C$4,$P408='تقرير مارس'!$C$6),COUNT(AC$4:AC407)+1,"")</f>
        <v/>
      </c>
      <c r="AD408">
        <f>IF(AND($A408&lt;&gt;"",$B408&lt;&gt;"",$R408='تقرير أبريل'!$C$4,$P408='تقرير أبريل'!$C$6),COUNT(AD$4:AD407)+1,"")</f>
        <v/>
      </c>
      <c r="AE408">
        <f>IF(AND($A408&lt;&gt;"",$B408&lt;&gt;"",$R408='تقرير مايو'!$C$4,$P408='تقرير مايو'!$C$6),COUNT(AE$4:AE407)+1,"")</f>
        <v/>
      </c>
    </row>
    <row r="409">
      <c r="A409" s="16" t="n"/>
      <c r="B409" s="17" t="n"/>
      <c r="C409" s="17" t="n"/>
      <c r="D409" s="18" t="n"/>
      <c r="E409" s="17" t="n"/>
      <c r="F409" s="17" t="n"/>
      <c r="G409" s="19" t="n"/>
      <c r="H409" s="17" t="n"/>
      <c r="I409" s="17" t="n"/>
      <c r="J409" s="17" t="n"/>
      <c r="K409" s="20">
        <f>IF($B409="","",IFERROR(INDEX(الموظفات!$A$5:$A$304,MATCH($B409,الموظفات!$B$5:$B$304,0))&amp;"",""))</f>
        <v/>
      </c>
      <c r="L409" s="21">
        <f>IF($B409="","",IFERROR(INDEX(الموظفات!$C$5:$C$304,MATCH($B409,الموظفات!$B$5:$B$304,0))&amp;"",""))</f>
        <v/>
      </c>
      <c r="M409" s="20">
        <f>IF($B409="","",IFERROR(INDEX(الموظفات!$D$5:$D$304,MATCH($B409,الموظفات!$B$5:$B$304,0))&amp;"",""))</f>
        <v/>
      </c>
      <c r="N409" s="20">
        <f>IF($B409="","",IFERROR(INDEX(الموظفات!$E$5:$E$304,MATCH($B409,الموظفات!$B$5:$B$304,0))&amp;"",""))</f>
        <v/>
      </c>
      <c r="O409" s="21">
        <f>IF(C409="","",IFERROR(INDEX(الإعدادات!$D$7:$D$35,MATCH(C409,الإعدادات!$A$7:$A$35,0))&amp;"",""))</f>
        <v/>
      </c>
      <c r="P409" s="20">
        <f>IF(A409="","",INDEX(الإعدادات!$H$7:$H$18,MONTH(A409)))</f>
        <v/>
      </c>
      <c r="Q409" s="20">
        <f>IF(A409="","",INDEX(الإعدادات!$I$7:$I$18,MONTH(A409)))</f>
        <v/>
      </c>
      <c r="R409" s="20">
        <f>IF(A409="","",IF(MONTH(A409)&gt;=8,YEAR(A409)&amp;"-"&amp;(YEAR(A409)+1),(YEAR(A409)-1)&amp;"-"&amp;YEAR(A409)))</f>
        <v/>
      </c>
      <c r="S409" s="20">
        <f>IF(OR(A409="",B409=""),0,IF(AND(R409=التقارير!$C$4,OR(التقارير!$C$5="سنوي",AND(التقارير!$C$5="شهري",P409=التقارير!$C$6),AND(التقارير!$C$5="فصلي",Q409=التقارير!$C$7))),1,0))</f>
        <v/>
      </c>
      <c r="T409" s="20">
        <f>IF(S409=1,COUNTIF($S$5:S409,1),"")</f>
        <v/>
      </c>
      <c r="U409">
        <f>IF(AND($A409&lt;&gt;"",$B409&lt;&gt;"",$R409='تقرير الفصل الأول'!$C$4,$Q409='تقرير الفصل الأول'!$C$7),COUNT(U$4:U408)+1,"")</f>
        <v/>
      </c>
      <c r="V409">
        <f>IF(AND($A409&lt;&gt;"",$B409&lt;&gt;"",$R409='تقرير الفصل الثاني'!$C$4,$Q409='تقرير الفصل الثاني'!$C$7),COUNT(V$4:V408)+1,"")</f>
        <v/>
      </c>
      <c r="W409">
        <f>IF(AND($A409&lt;&gt;"",$B409&lt;&gt;"",$R409='تقرير سبتمبر'!$C$4,$P409='تقرير سبتمبر'!$C$6),COUNT(W$4:W408)+1,"")</f>
        <v/>
      </c>
      <c r="X409">
        <f>IF(AND($A409&lt;&gt;"",$B409&lt;&gt;"",$R409='تقرير أكتوبر'!$C$4,$P409='تقرير أكتوبر'!$C$6),COUNT(X$4:X408)+1,"")</f>
        <v/>
      </c>
      <c r="Y409">
        <f>IF(AND($A409&lt;&gt;"",$B409&lt;&gt;"",$R409='تقرير نوفمبر'!$C$4,$P409='تقرير نوفمبر'!$C$6),COUNT(Y$4:Y408)+1,"")</f>
        <v/>
      </c>
      <c r="Z409">
        <f>IF(AND($A409&lt;&gt;"",$B409&lt;&gt;"",$R409='تقرير ديسمبر'!$C$4,$P409='تقرير ديسمبر'!$C$6),COUNT(Z$4:Z408)+1,"")</f>
        <v/>
      </c>
      <c r="AA409">
        <f>IF(AND($A409&lt;&gt;"",$B409&lt;&gt;"",$R409='تقرير يناير'!$C$4,$P409='تقرير يناير'!$C$6),COUNT(AA$4:AA408)+1,"")</f>
        <v/>
      </c>
      <c r="AB409">
        <f>IF(AND($A409&lt;&gt;"",$B409&lt;&gt;"",$R409='تقرير فبراير'!$C$4,$P409='تقرير فبراير'!$C$6),COUNT(AB$4:AB408)+1,"")</f>
        <v/>
      </c>
      <c r="AC409">
        <f>IF(AND($A409&lt;&gt;"",$B409&lt;&gt;"",$R409='تقرير مارس'!$C$4,$P409='تقرير مارس'!$C$6),COUNT(AC$4:AC408)+1,"")</f>
        <v/>
      </c>
      <c r="AD409">
        <f>IF(AND($A409&lt;&gt;"",$B409&lt;&gt;"",$R409='تقرير أبريل'!$C$4,$P409='تقرير أبريل'!$C$6),COUNT(AD$4:AD408)+1,"")</f>
        <v/>
      </c>
      <c r="AE409">
        <f>IF(AND($A409&lt;&gt;"",$B409&lt;&gt;"",$R409='تقرير مايو'!$C$4,$P409='تقرير مايو'!$C$6),COUNT(AE$4:AE408)+1,"")</f>
        <v/>
      </c>
    </row>
    <row r="410">
      <c r="A410" s="16" t="n"/>
      <c r="B410" s="17" t="n"/>
      <c r="C410" s="17" t="n"/>
      <c r="D410" s="18" t="n"/>
      <c r="E410" s="17" t="n"/>
      <c r="F410" s="17" t="n"/>
      <c r="G410" s="19" t="n"/>
      <c r="H410" s="17" t="n"/>
      <c r="I410" s="17" t="n"/>
      <c r="J410" s="17" t="n"/>
      <c r="K410" s="20">
        <f>IF($B410="","",IFERROR(INDEX(الموظفات!$A$5:$A$304,MATCH($B410,الموظفات!$B$5:$B$304,0))&amp;"",""))</f>
        <v/>
      </c>
      <c r="L410" s="21">
        <f>IF($B410="","",IFERROR(INDEX(الموظفات!$C$5:$C$304,MATCH($B410,الموظفات!$B$5:$B$304,0))&amp;"",""))</f>
        <v/>
      </c>
      <c r="M410" s="20">
        <f>IF($B410="","",IFERROR(INDEX(الموظفات!$D$5:$D$304,MATCH($B410,الموظفات!$B$5:$B$304,0))&amp;"",""))</f>
        <v/>
      </c>
      <c r="N410" s="20">
        <f>IF($B410="","",IFERROR(INDEX(الموظفات!$E$5:$E$304,MATCH($B410,الموظفات!$B$5:$B$304,0))&amp;"",""))</f>
        <v/>
      </c>
      <c r="O410" s="21">
        <f>IF(C410="","",IFERROR(INDEX(الإعدادات!$D$7:$D$35,MATCH(C410,الإعدادات!$A$7:$A$35,0))&amp;"",""))</f>
        <v/>
      </c>
      <c r="P410" s="20">
        <f>IF(A410="","",INDEX(الإعدادات!$H$7:$H$18,MONTH(A410)))</f>
        <v/>
      </c>
      <c r="Q410" s="20">
        <f>IF(A410="","",INDEX(الإعدادات!$I$7:$I$18,MONTH(A410)))</f>
        <v/>
      </c>
      <c r="R410" s="20">
        <f>IF(A410="","",IF(MONTH(A410)&gt;=8,YEAR(A410)&amp;"-"&amp;(YEAR(A410)+1),(YEAR(A410)-1)&amp;"-"&amp;YEAR(A410)))</f>
        <v/>
      </c>
      <c r="S410" s="20">
        <f>IF(OR(A410="",B410=""),0,IF(AND(R410=التقارير!$C$4,OR(التقارير!$C$5="سنوي",AND(التقارير!$C$5="شهري",P410=التقارير!$C$6),AND(التقارير!$C$5="فصلي",Q410=التقارير!$C$7))),1,0))</f>
        <v/>
      </c>
      <c r="T410" s="20">
        <f>IF(S410=1,COUNTIF($S$5:S410,1),"")</f>
        <v/>
      </c>
      <c r="U410">
        <f>IF(AND($A410&lt;&gt;"",$B410&lt;&gt;"",$R410='تقرير الفصل الأول'!$C$4,$Q410='تقرير الفصل الأول'!$C$7),COUNT(U$4:U409)+1,"")</f>
        <v/>
      </c>
      <c r="V410">
        <f>IF(AND($A410&lt;&gt;"",$B410&lt;&gt;"",$R410='تقرير الفصل الثاني'!$C$4,$Q410='تقرير الفصل الثاني'!$C$7),COUNT(V$4:V409)+1,"")</f>
        <v/>
      </c>
      <c r="W410">
        <f>IF(AND($A410&lt;&gt;"",$B410&lt;&gt;"",$R410='تقرير سبتمبر'!$C$4,$P410='تقرير سبتمبر'!$C$6),COUNT(W$4:W409)+1,"")</f>
        <v/>
      </c>
      <c r="X410">
        <f>IF(AND($A410&lt;&gt;"",$B410&lt;&gt;"",$R410='تقرير أكتوبر'!$C$4,$P410='تقرير أكتوبر'!$C$6),COUNT(X$4:X409)+1,"")</f>
        <v/>
      </c>
      <c r="Y410">
        <f>IF(AND($A410&lt;&gt;"",$B410&lt;&gt;"",$R410='تقرير نوفمبر'!$C$4,$P410='تقرير نوفمبر'!$C$6),COUNT(Y$4:Y409)+1,"")</f>
        <v/>
      </c>
      <c r="Z410">
        <f>IF(AND($A410&lt;&gt;"",$B410&lt;&gt;"",$R410='تقرير ديسمبر'!$C$4,$P410='تقرير ديسمبر'!$C$6),COUNT(Z$4:Z409)+1,"")</f>
        <v/>
      </c>
      <c r="AA410">
        <f>IF(AND($A410&lt;&gt;"",$B410&lt;&gt;"",$R410='تقرير يناير'!$C$4,$P410='تقرير يناير'!$C$6),COUNT(AA$4:AA409)+1,"")</f>
        <v/>
      </c>
      <c r="AB410">
        <f>IF(AND($A410&lt;&gt;"",$B410&lt;&gt;"",$R410='تقرير فبراير'!$C$4,$P410='تقرير فبراير'!$C$6),COUNT(AB$4:AB409)+1,"")</f>
        <v/>
      </c>
      <c r="AC410">
        <f>IF(AND($A410&lt;&gt;"",$B410&lt;&gt;"",$R410='تقرير مارس'!$C$4,$P410='تقرير مارس'!$C$6),COUNT(AC$4:AC409)+1,"")</f>
        <v/>
      </c>
      <c r="AD410">
        <f>IF(AND($A410&lt;&gt;"",$B410&lt;&gt;"",$R410='تقرير أبريل'!$C$4,$P410='تقرير أبريل'!$C$6),COUNT(AD$4:AD409)+1,"")</f>
        <v/>
      </c>
      <c r="AE410">
        <f>IF(AND($A410&lt;&gt;"",$B410&lt;&gt;"",$R410='تقرير مايو'!$C$4,$P410='تقرير مايو'!$C$6),COUNT(AE$4:AE409)+1,"")</f>
        <v/>
      </c>
    </row>
    <row r="411">
      <c r="A411" s="16" t="n"/>
      <c r="B411" s="17" t="n"/>
      <c r="C411" s="17" t="n"/>
      <c r="D411" s="18" t="n"/>
      <c r="E411" s="17" t="n"/>
      <c r="F411" s="17" t="n"/>
      <c r="G411" s="19" t="n"/>
      <c r="H411" s="17" t="n"/>
      <c r="I411" s="17" t="n"/>
      <c r="J411" s="17" t="n"/>
      <c r="K411" s="20">
        <f>IF($B411="","",IFERROR(INDEX(الموظفات!$A$5:$A$304,MATCH($B411,الموظفات!$B$5:$B$304,0))&amp;"",""))</f>
        <v/>
      </c>
      <c r="L411" s="21">
        <f>IF($B411="","",IFERROR(INDEX(الموظفات!$C$5:$C$304,MATCH($B411,الموظفات!$B$5:$B$304,0))&amp;"",""))</f>
        <v/>
      </c>
      <c r="M411" s="20">
        <f>IF($B411="","",IFERROR(INDEX(الموظفات!$D$5:$D$304,MATCH($B411,الموظفات!$B$5:$B$304,0))&amp;"",""))</f>
        <v/>
      </c>
      <c r="N411" s="20">
        <f>IF($B411="","",IFERROR(INDEX(الموظفات!$E$5:$E$304,MATCH($B411,الموظفات!$B$5:$B$304,0))&amp;"",""))</f>
        <v/>
      </c>
      <c r="O411" s="21">
        <f>IF(C411="","",IFERROR(INDEX(الإعدادات!$D$7:$D$35,MATCH(C411,الإعدادات!$A$7:$A$35,0))&amp;"",""))</f>
        <v/>
      </c>
      <c r="P411" s="20">
        <f>IF(A411="","",INDEX(الإعدادات!$H$7:$H$18,MONTH(A411)))</f>
        <v/>
      </c>
      <c r="Q411" s="20">
        <f>IF(A411="","",INDEX(الإعدادات!$I$7:$I$18,MONTH(A411)))</f>
        <v/>
      </c>
      <c r="R411" s="20">
        <f>IF(A411="","",IF(MONTH(A411)&gt;=8,YEAR(A411)&amp;"-"&amp;(YEAR(A411)+1),(YEAR(A411)-1)&amp;"-"&amp;YEAR(A411)))</f>
        <v/>
      </c>
      <c r="S411" s="20">
        <f>IF(OR(A411="",B411=""),0,IF(AND(R411=التقارير!$C$4,OR(التقارير!$C$5="سنوي",AND(التقارير!$C$5="شهري",P411=التقارير!$C$6),AND(التقارير!$C$5="فصلي",Q411=التقارير!$C$7))),1,0))</f>
        <v/>
      </c>
      <c r="T411" s="20">
        <f>IF(S411=1,COUNTIF($S$5:S411,1),"")</f>
        <v/>
      </c>
      <c r="U411">
        <f>IF(AND($A411&lt;&gt;"",$B411&lt;&gt;"",$R411='تقرير الفصل الأول'!$C$4,$Q411='تقرير الفصل الأول'!$C$7),COUNT(U$4:U410)+1,"")</f>
        <v/>
      </c>
      <c r="V411">
        <f>IF(AND($A411&lt;&gt;"",$B411&lt;&gt;"",$R411='تقرير الفصل الثاني'!$C$4,$Q411='تقرير الفصل الثاني'!$C$7),COUNT(V$4:V410)+1,"")</f>
        <v/>
      </c>
      <c r="W411">
        <f>IF(AND($A411&lt;&gt;"",$B411&lt;&gt;"",$R411='تقرير سبتمبر'!$C$4,$P411='تقرير سبتمبر'!$C$6),COUNT(W$4:W410)+1,"")</f>
        <v/>
      </c>
      <c r="X411">
        <f>IF(AND($A411&lt;&gt;"",$B411&lt;&gt;"",$R411='تقرير أكتوبر'!$C$4,$P411='تقرير أكتوبر'!$C$6),COUNT(X$4:X410)+1,"")</f>
        <v/>
      </c>
      <c r="Y411">
        <f>IF(AND($A411&lt;&gt;"",$B411&lt;&gt;"",$R411='تقرير نوفمبر'!$C$4,$P411='تقرير نوفمبر'!$C$6),COUNT(Y$4:Y410)+1,"")</f>
        <v/>
      </c>
      <c r="Z411">
        <f>IF(AND($A411&lt;&gt;"",$B411&lt;&gt;"",$R411='تقرير ديسمبر'!$C$4,$P411='تقرير ديسمبر'!$C$6),COUNT(Z$4:Z410)+1,"")</f>
        <v/>
      </c>
      <c r="AA411">
        <f>IF(AND($A411&lt;&gt;"",$B411&lt;&gt;"",$R411='تقرير يناير'!$C$4,$P411='تقرير يناير'!$C$6),COUNT(AA$4:AA410)+1,"")</f>
        <v/>
      </c>
      <c r="AB411">
        <f>IF(AND($A411&lt;&gt;"",$B411&lt;&gt;"",$R411='تقرير فبراير'!$C$4,$P411='تقرير فبراير'!$C$6),COUNT(AB$4:AB410)+1,"")</f>
        <v/>
      </c>
      <c r="AC411">
        <f>IF(AND($A411&lt;&gt;"",$B411&lt;&gt;"",$R411='تقرير مارس'!$C$4,$P411='تقرير مارس'!$C$6),COUNT(AC$4:AC410)+1,"")</f>
        <v/>
      </c>
      <c r="AD411">
        <f>IF(AND($A411&lt;&gt;"",$B411&lt;&gt;"",$R411='تقرير أبريل'!$C$4,$P411='تقرير أبريل'!$C$6),COUNT(AD$4:AD410)+1,"")</f>
        <v/>
      </c>
      <c r="AE411">
        <f>IF(AND($A411&lt;&gt;"",$B411&lt;&gt;"",$R411='تقرير مايو'!$C$4,$P411='تقرير مايو'!$C$6),COUNT(AE$4:AE410)+1,"")</f>
        <v/>
      </c>
    </row>
    <row r="412">
      <c r="A412" s="16" t="n"/>
      <c r="B412" s="17" t="n"/>
      <c r="C412" s="17" t="n"/>
      <c r="D412" s="18" t="n"/>
      <c r="E412" s="17" t="n"/>
      <c r="F412" s="17" t="n"/>
      <c r="G412" s="19" t="n"/>
      <c r="H412" s="17" t="n"/>
      <c r="I412" s="17" t="n"/>
      <c r="J412" s="17" t="n"/>
      <c r="K412" s="20">
        <f>IF($B412="","",IFERROR(INDEX(الموظفات!$A$5:$A$304,MATCH($B412,الموظفات!$B$5:$B$304,0))&amp;"",""))</f>
        <v/>
      </c>
      <c r="L412" s="21">
        <f>IF($B412="","",IFERROR(INDEX(الموظفات!$C$5:$C$304,MATCH($B412,الموظفات!$B$5:$B$304,0))&amp;"",""))</f>
        <v/>
      </c>
      <c r="M412" s="20">
        <f>IF($B412="","",IFERROR(INDEX(الموظفات!$D$5:$D$304,MATCH($B412,الموظفات!$B$5:$B$304,0))&amp;"",""))</f>
        <v/>
      </c>
      <c r="N412" s="20">
        <f>IF($B412="","",IFERROR(INDEX(الموظفات!$E$5:$E$304,MATCH($B412,الموظفات!$B$5:$B$304,0))&amp;"",""))</f>
        <v/>
      </c>
      <c r="O412" s="21">
        <f>IF(C412="","",IFERROR(INDEX(الإعدادات!$D$7:$D$35,MATCH(C412,الإعدادات!$A$7:$A$35,0))&amp;"",""))</f>
        <v/>
      </c>
      <c r="P412" s="20">
        <f>IF(A412="","",INDEX(الإعدادات!$H$7:$H$18,MONTH(A412)))</f>
        <v/>
      </c>
      <c r="Q412" s="20">
        <f>IF(A412="","",INDEX(الإعدادات!$I$7:$I$18,MONTH(A412)))</f>
        <v/>
      </c>
      <c r="R412" s="20">
        <f>IF(A412="","",IF(MONTH(A412)&gt;=8,YEAR(A412)&amp;"-"&amp;(YEAR(A412)+1),(YEAR(A412)-1)&amp;"-"&amp;YEAR(A412)))</f>
        <v/>
      </c>
      <c r="S412" s="20">
        <f>IF(OR(A412="",B412=""),0,IF(AND(R412=التقارير!$C$4,OR(التقارير!$C$5="سنوي",AND(التقارير!$C$5="شهري",P412=التقارير!$C$6),AND(التقارير!$C$5="فصلي",Q412=التقارير!$C$7))),1,0))</f>
        <v/>
      </c>
      <c r="T412" s="20">
        <f>IF(S412=1,COUNTIF($S$5:S412,1),"")</f>
        <v/>
      </c>
      <c r="U412">
        <f>IF(AND($A412&lt;&gt;"",$B412&lt;&gt;"",$R412='تقرير الفصل الأول'!$C$4,$Q412='تقرير الفصل الأول'!$C$7),COUNT(U$4:U411)+1,"")</f>
        <v/>
      </c>
      <c r="V412">
        <f>IF(AND($A412&lt;&gt;"",$B412&lt;&gt;"",$R412='تقرير الفصل الثاني'!$C$4,$Q412='تقرير الفصل الثاني'!$C$7),COUNT(V$4:V411)+1,"")</f>
        <v/>
      </c>
      <c r="W412">
        <f>IF(AND($A412&lt;&gt;"",$B412&lt;&gt;"",$R412='تقرير سبتمبر'!$C$4,$P412='تقرير سبتمبر'!$C$6),COUNT(W$4:W411)+1,"")</f>
        <v/>
      </c>
      <c r="X412">
        <f>IF(AND($A412&lt;&gt;"",$B412&lt;&gt;"",$R412='تقرير أكتوبر'!$C$4,$P412='تقرير أكتوبر'!$C$6),COUNT(X$4:X411)+1,"")</f>
        <v/>
      </c>
      <c r="Y412">
        <f>IF(AND($A412&lt;&gt;"",$B412&lt;&gt;"",$R412='تقرير نوفمبر'!$C$4,$P412='تقرير نوفمبر'!$C$6),COUNT(Y$4:Y411)+1,"")</f>
        <v/>
      </c>
      <c r="Z412">
        <f>IF(AND($A412&lt;&gt;"",$B412&lt;&gt;"",$R412='تقرير ديسمبر'!$C$4,$P412='تقرير ديسمبر'!$C$6),COUNT(Z$4:Z411)+1,"")</f>
        <v/>
      </c>
      <c r="AA412">
        <f>IF(AND($A412&lt;&gt;"",$B412&lt;&gt;"",$R412='تقرير يناير'!$C$4,$P412='تقرير يناير'!$C$6),COUNT(AA$4:AA411)+1,"")</f>
        <v/>
      </c>
      <c r="AB412">
        <f>IF(AND($A412&lt;&gt;"",$B412&lt;&gt;"",$R412='تقرير فبراير'!$C$4,$P412='تقرير فبراير'!$C$6),COUNT(AB$4:AB411)+1,"")</f>
        <v/>
      </c>
      <c r="AC412">
        <f>IF(AND($A412&lt;&gt;"",$B412&lt;&gt;"",$R412='تقرير مارس'!$C$4,$P412='تقرير مارس'!$C$6),COUNT(AC$4:AC411)+1,"")</f>
        <v/>
      </c>
      <c r="AD412">
        <f>IF(AND($A412&lt;&gt;"",$B412&lt;&gt;"",$R412='تقرير أبريل'!$C$4,$P412='تقرير أبريل'!$C$6),COUNT(AD$4:AD411)+1,"")</f>
        <v/>
      </c>
      <c r="AE412">
        <f>IF(AND($A412&lt;&gt;"",$B412&lt;&gt;"",$R412='تقرير مايو'!$C$4,$P412='تقرير مايو'!$C$6),COUNT(AE$4:AE411)+1,"")</f>
        <v/>
      </c>
    </row>
    <row r="413">
      <c r="A413" s="16" t="n"/>
      <c r="B413" s="17" t="n"/>
      <c r="C413" s="17" t="n"/>
      <c r="D413" s="18" t="n"/>
      <c r="E413" s="17" t="n"/>
      <c r="F413" s="17" t="n"/>
      <c r="G413" s="19" t="n"/>
      <c r="H413" s="17" t="n"/>
      <c r="I413" s="17" t="n"/>
      <c r="J413" s="17" t="n"/>
      <c r="K413" s="20">
        <f>IF($B413="","",IFERROR(INDEX(الموظفات!$A$5:$A$304,MATCH($B413,الموظفات!$B$5:$B$304,0))&amp;"",""))</f>
        <v/>
      </c>
      <c r="L413" s="21">
        <f>IF($B413="","",IFERROR(INDEX(الموظفات!$C$5:$C$304,MATCH($B413,الموظفات!$B$5:$B$304,0))&amp;"",""))</f>
        <v/>
      </c>
      <c r="M413" s="20">
        <f>IF($B413="","",IFERROR(INDEX(الموظفات!$D$5:$D$304,MATCH($B413,الموظفات!$B$5:$B$304,0))&amp;"",""))</f>
        <v/>
      </c>
      <c r="N413" s="20">
        <f>IF($B413="","",IFERROR(INDEX(الموظفات!$E$5:$E$304,MATCH($B413,الموظفات!$B$5:$B$304,0))&amp;"",""))</f>
        <v/>
      </c>
      <c r="O413" s="21">
        <f>IF(C413="","",IFERROR(INDEX(الإعدادات!$D$7:$D$35,MATCH(C413,الإعدادات!$A$7:$A$35,0))&amp;"",""))</f>
        <v/>
      </c>
      <c r="P413" s="20">
        <f>IF(A413="","",INDEX(الإعدادات!$H$7:$H$18,MONTH(A413)))</f>
        <v/>
      </c>
      <c r="Q413" s="20">
        <f>IF(A413="","",INDEX(الإعدادات!$I$7:$I$18,MONTH(A413)))</f>
        <v/>
      </c>
      <c r="R413" s="20">
        <f>IF(A413="","",IF(MONTH(A413)&gt;=8,YEAR(A413)&amp;"-"&amp;(YEAR(A413)+1),(YEAR(A413)-1)&amp;"-"&amp;YEAR(A413)))</f>
        <v/>
      </c>
      <c r="S413" s="20">
        <f>IF(OR(A413="",B413=""),0,IF(AND(R413=التقارير!$C$4,OR(التقارير!$C$5="سنوي",AND(التقارير!$C$5="شهري",P413=التقارير!$C$6),AND(التقارير!$C$5="فصلي",Q413=التقارير!$C$7))),1,0))</f>
        <v/>
      </c>
      <c r="T413" s="20">
        <f>IF(S413=1,COUNTIF($S$5:S413,1),"")</f>
        <v/>
      </c>
      <c r="U413">
        <f>IF(AND($A413&lt;&gt;"",$B413&lt;&gt;"",$R413='تقرير الفصل الأول'!$C$4,$Q413='تقرير الفصل الأول'!$C$7),COUNT(U$4:U412)+1,"")</f>
        <v/>
      </c>
      <c r="V413">
        <f>IF(AND($A413&lt;&gt;"",$B413&lt;&gt;"",$R413='تقرير الفصل الثاني'!$C$4,$Q413='تقرير الفصل الثاني'!$C$7),COUNT(V$4:V412)+1,"")</f>
        <v/>
      </c>
      <c r="W413">
        <f>IF(AND($A413&lt;&gt;"",$B413&lt;&gt;"",$R413='تقرير سبتمبر'!$C$4,$P413='تقرير سبتمبر'!$C$6),COUNT(W$4:W412)+1,"")</f>
        <v/>
      </c>
      <c r="X413">
        <f>IF(AND($A413&lt;&gt;"",$B413&lt;&gt;"",$R413='تقرير أكتوبر'!$C$4,$P413='تقرير أكتوبر'!$C$6),COUNT(X$4:X412)+1,"")</f>
        <v/>
      </c>
      <c r="Y413">
        <f>IF(AND($A413&lt;&gt;"",$B413&lt;&gt;"",$R413='تقرير نوفمبر'!$C$4,$P413='تقرير نوفمبر'!$C$6),COUNT(Y$4:Y412)+1,"")</f>
        <v/>
      </c>
      <c r="Z413">
        <f>IF(AND($A413&lt;&gt;"",$B413&lt;&gt;"",$R413='تقرير ديسمبر'!$C$4,$P413='تقرير ديسمبر'!$C$6),COUNT(Z$4:Z412)+1,"")</f>
        <v/>
      </c>
      <c r="AA413">
        <f>IF(AND($A413&lt;&gt;"",$B413&lt;&gt;"",$R413='تقرير يناير'!$C$4,$P413='تقرير يناير'!$C$6),COUNT(AA$4:AA412)+1,"")</f>
        <v/>
      </c>
      <c r="AB413">
        <f>IF(AND($A413&lt;&gt;"",$B413&lt;&gt;"",$R413='تقرير فبراير'!$C$4,$P413='تقرير فبراير'!$C$6),COUNT(AB$4:AB412)+1,"")</f>
        <v/>
      </c>
      <c r="AC413">
        <f>IF(AND($A413&lt;&gt;"",$B413&lt;&gt;"",$R413='تقرير مارس'!$C$4,$P413='تقرير مارس'!$C$6),COUNT(AC$4:AC412)+1,"")</f>
        <v/>
      </c>
      <c r="AD413">
        <f>IF(AND($A413&lt;&gt;"",$B413&lt;&gt;"",$R413='تقرير أبريل'!$C$4,$P413='تقرير أبريل'!$C$6),COUNT(AD$4:AD412)+1,"")</f>
        <v/>
      </c>
      <c r="AE413">
        <f>IF(AND($A413&lt;&gt;"",$B413&lt;&gt;"",$R413='تقرير مايو'!$C$4,$P413='تقرير مايو'!$C$6),COUNT(AE$4:AE412)+1,"")</f>
        <v/>
      </c>
    </row>
    <row r="414">
      <c r="A414" s="16" t="n"/>
      <c r="B414" s="17" t="n"/>
      <c r="C414" s="17" t="n"/>
      <c r="D414" s="18" t="n"/>
      <c r="E414" s="17" t="n"/>
      <c r="F414" s="17" t="n"/>
      <c r="G414" s="19" t="n"/>
      <c r="H414" s="17" t="n"/>
      <c r="I414" s="17" t="n"/>
      <c r="J414" s="17" t="n"/>
      <c r="K414" s="20">
        <f>IF($B414="","",IFERROR(INDEX(الموظفات!$A$5:$A$304,MATCH($B414,الموظفات!$B$5:$B$304,0))&amp;"",""))</f>
        <v/>
      </c>
      <c r="L414" s="21">
        <f>IF($B414="","",IFERROR(INDEX(الموظفات!$C$5:$C$304,MATCH($B414,الموظفات!$B$5:$B$304,0))&amp;"",""))</f>
        <v/>
      </c>
      <c r="M414" s="20">
        <f>IF($B414="","",IFERROR(INDEX(الموظفات!$D$5:$D$304,MATCH($B414,الموظفات!$B$5:$B$304,0))&amp;"",""))</f>
        <v/>
      </c>
      <c r="N414" s="20">
        <f>IF($B414="","",IFERROR(INDEX(الموظفات!$E$5:$E$304,MATCH($B414,الموظفات!$B$5:$B$304,0))&amp;"",""))</f>
        <v/>
      </c>
      <c r="O414" s="21">
        <f>IF(C414="","",IFERROR(INDEX(الإعدادات!$D$7:$D$35,MATCH(C414,الإعدادات!$A$7:$A$35,0))&amp;"",""))</f>
        <v/>
      </c>
      <c r="P414" s="20">
        <f>IF(A414="","",INDEX(الإعدادات!$H$7:$H$18,MONTH(A414)))</f>
        <v/>
      </c>
      <c r="Q414" s="20">
        <f>IF(A414="","",INDEX(الإعدادات!$I$7:$I$18,MONTH(A414)))</f>
        <v/>
      </c>
      <c r="R414" s="20">
        <f>IF(A414="","",IF(MONTH(A414)&gt;=8,YEAR(A414)&amp;"-"&amp;(YEAR(A414)+1),(YEAR(A414)-1)&amp;"-"&amp;YEAR(A414)))</f>
        <v/>
      </c>
      <c r="S414" s="20">
        <f>IF(OR(A414="",B414=""),0,IF(AND(R414=التقارير!$C$4,OR(التقارير!$C$5="سنوي",AND(التقارير!$C$5="شهري",P414=التقارير!$C$6),AND(التقارير!$C$5="فصلي",Q414=التقارير!$C$7))),1,0))</f>
        <v/>
      </c>
      <c r="T414" s="20">
        <f>IF(S414=1,COUNTIF($S$5:S414,1),"")</f>
        <v/>
      </c>
      <c r="U414">
        <f>IF(AND($A414&lt;&gt;"",$B414&lt;&gt;"",$R414='تقرير الفصل الأول'!$C$4,$Q414='تقرير الفصل الأول'!$C$7),COUNT(U$4:U413)+1,"")</f>
        <v/>
      </c>
      <c r="V414">
        <f>IF(AND($A414&lt;&gt;"",$B414&lt;&gt;"",$R414='تقرير الفصل الثاني'!$C$4,$Q414='تقرير الفصل الثاني'!$C$7),COUNT(V$4:V413)+1,"")</f>
        <v/>
      </c>
      <c r="W414">
        <f>IF(AND($A414&lt;&gt;"",$B414&lt;&gt;"",$R414='تقرير سبتمبر'!$C$4,$P414='تقرير سبتمبر'!$C$6),COUNT(W$4:W413)+1,"")</f>
        <v/>
      </c>
      <c r="X414">
        <f>IF(AND($A414&lt;&gt;"",$B414&lt;&gt;"",$R414='تقرير أكتوبر'!$C$4,$P414='تقرير أكتوبر'!$C$6),COUNT(X$4:X413)+1,"")</f>
        <v/>
      </c>
      <c r="Y414">
        <f>IF(AND($A414&lt;&gt;"",$B414&lt;&gt;"",$R414='تقرير نوفمبر'!$C$4,$P414='تقرير نوفمبر'!$C$6),COUNT(Y$4:Y413)+1,"")</f>
        <v/>
      </c>
      <c r="Z414">
        <f>IF(AND($A414&lt;&gt;"",$B414&lt;&gt;"",$R414='تقرير ديسمبر'!$C$4,$P414='تقرير ديسمبر'!$C$6),COUNT(Z$4:Z413)+1,"")</f>
        <v/>
      </c>
      <c r="AA414">
        <f>IF(AND($A414&lt;&gt;"",$B414&lt;&gt;"",$R414='تقرير يناير'!$C$4,$P414='تقرير يناير'!$C$6),COUNT(AA$4:AA413)+1,"")</f>
        <v/>
      </c>
      <c r="AB414">
        <f>IF(AND($A414&lt;&gt;"",$B414&lt;&gt;"",$R414='تقرير فبراير'!$C$4,$P414='تقرير فبراير'!$C$6),COUNT(AB$4:AB413)+1,"")</f>
        <v/>
      </c>
      <c r="AC414">
        <f>IF(AND($A414&lt;&gt;"",$B414&lt;&gt;"",$R414='تقرير مارس'!$C$4,$P414='تقرير مارس'!$C$6),COUNT(AC$4:AC413)+1,"")</f>
        <v/>
      </c>
      <c r="AD414">
        <f>IF(AND($A414&lt;&gt;"",$B414&lt;&gt;"",$R414='تقرير أبريل'!$C$4,$P414='تقرير أبريل'!$C$6),COUNT(AD$4:AD413)+1,"")</f>
        <v/>
      </c>
      <c r="AE414">
        <f>IF(AND($A414&lt;&gt;"",$B414&lt;&gt;"",$R414='تقرير مايو'!$C$4,$P414='تقرير مايو'!$C$6),COUNT(AE$4:AE413)+1,"")</f>
        <v/>
      </c>
    </row>
    <row r="415">
      <c r="A415" s="16" t="n"/>
      <c r="B415" s="17" t="n"/>
      <c r="C415" s="17" t="n"/>
      <c r="D415" s="18" t="n"/>
      <c r="E415" s="17" t="n"/>
      <c r="F415" s="17" t="n"/>
      <c r="G415" s="19" t="n"/>
      <c r="H415" s="17" t="n"/>
      <c r="I415" s="17" t="n"/>
      <c r="J415" s="17" t="n"/>
      <c r="K415" s="20">
        <f>IF($B415="","",IFERROR(INDEX(الموظفات!$A$5:$A$304,MATCH($B415,الموظفات!$B$5:$B$304,0))&amp;"",""))</f>
        <v/>
      </c>
      <c r="L415" s="21">
        <f>IF($B415="","",IFERROR(INDEX(الموظفات!$C$5:$C$304,MATCH($B415,الموظفات!$B$5:$B$304,0))&amp;"",""))</f>
        <v/>
      </c>
      <c r="M415" s="20">
        <f>IF($B415="","",IFERROR(INDEX(الموظفات!$D$5:$D$304,MATCH($B415,الموظفات!$B$5:$B$304,0))&amp;"",""))</f>
        <v/>
      </c>
      <c r="N415" s="20">
        <f>IF($B415="","",IFERROR(INDEX(الموظفات!$E$5:$E$304,MATCH($B415,الموظفات!$B$5:$B$304,0))&amp;"",""))</f>
        <v/>
      </c>
      <c r="O415" s="21">
        <f>IF(C415="","",IFERROR(INDEX(الإعدادات!$D$7:$D$35,MATCH(C415,الإعدادات!$A$7:$A$35,0))&amp;"",""))</f>
        <v/>
      </c>
      <c r="P415" s="20">
        <f>IF(A415="","",INDEX(الإعدادات!$H$7:$H$18,MONTH(A415)))</f>
        <v/>
      </c>
      <c r="Q415" s="20">
        <f>IF(A415="","",INDEX(الإعدادات!$I$7:$I$18,MONTH(A415)))</f>
        <v/>
      </c>
      <c r="R415" s="20">
        <f>IF(A415="","",IF(MONTH(A415)&gt;=8,YEAR(A415)&amp;"-"&amp;(YEAR(A415)+1),(YEAR(A415)-1)&amp;"-"&amp;YEAR(A415)))</f>
        <v/>
      </c>
      <c r="S415" s="20">
        <f>IF(OR(A415="",B415=""),0,IF(AND(R415=التقارير!$C$4,OR(التقارير!$C$5="سنوي",AND(التقارير!$C$5="شهري",P415=التقارير!$C$6),AND(التقارير!$C$5="فصلي",Q415=التقارير!$C$7))),1,0))</f>
        <v/>
      </c>
      <c r="T415" s="20">
        <f>IF(S415=1,COUNTIF($S$5:S415,1),"")</f>
        <v/>
      </c>
      <c r="U415">
        <f>IF(AND($A415&lt;&gt;"",$B415&lt;&gt;"",$R415='تقرير الفصل الأول'!$C$4,$Q415='تقرير الفصل الأول'!$C$7),COUNT(U$4:U414)+1,"")</f>
        <v/>
      </c>
      <c r="V415">
        <f>IF(AND($A415&lt;&gt;"",$B415&lt;&gt;"",$R415='تقرير الفصل الثاني'!$C$4,$Q415='تقرير الفصل الثاني'!$C$7),COUNT(V$4:V414)+1,"")</f>
        <v/>
      </c>
      <c r="W415">
        <f>IF(AND($A415&lt;&gt;"",$B415&lt;&gt;"",$R415='تقرير سبتمبر'!$C$4,$P415='تقرير سبتمبر'!$C$6),COUNT(W$4:W414)+1,"")</f>
        <v/>
      </c>
      <c r="X415">
        <f>IF(AND($A415&lt;&gt;"",$B415&lt;&gt;"",$R415='تقرير أكتوبر'!$C$4,$P415='تقرير أكتوبر'!$C$6),COUNT(X$4:X414)+1,"")</f>
        <v/>
      </c>
      <c r="Y415">
        <f>IF(AND($A415&lt;&gt;"",$B415&lt;&gt;"",$R415='تقرير نوفمبر'!$C$4,$P415='تقرير نوفمبر'!$C$6),COUNT(Y$4:Y414)+1,"")</f>
        <v/>
      </c>
      <c r="Z415">
        <f>IF(AND($A415&lt;&gt;"",$B415&lt;&gt;"",$R415='تقرير ديسمبر'!$C$4,$P415='تقرير ديسمبر'!$C$6),COUNT(Z$4:Z414)+1,"")</f>
        <v/>
      </c>
      <c r="AA415">
        <f>IF(AND($A415&lt;&gt;"",$B415&lt;&gt;"",$R415='تقرير يناير'!$C$4,$P415='تقرير يناير'!$C$6),COUNT(AA$4:AA414)+1,"")</f>
        <v/>
      </c>
      <c r="AB415">
        <f>IF(AND($A415&lt;&gt;"",$B415&lt;&gt;"",$R415='تقرير فبراير'!$C$4,$P415='تقرير فبراير'!$C$6),COUNT(AB$4:AB414)+1,"")</f>
        <v/>
      </c>
      <c r="AC415">
        <f>IF(AND($A415&lt;&gt;"",$B415&lt;&gt;"",$R415='تقرير مارس'!$C$4,$P415='تقرير مارس'!$C$6),COUNT(AC$4:AC414)+1,"")</f>
        <v/>
      </c>
      <c r="AD415">
        <f>IF(AND($A415&lt;&gt;"",$B415&lt;&gt;"",$R415='تقرير أبريل'!$C$4,$P415='تقرير أبريل'!$C$6),COUNT(AD$4:AD414)+1,"")</f>
        <v/>
      </c>
      <c r="AE415">
        <f>IF(AND($A415&lt;&gt;"",$B415&lt;&gt;"",$R415='تقرير مايو'!$C$4,$P415='تقرير مايو'!$C$6),COUNT(AE$4:AE414)+1,"")</f>
        <v/>
      </c>
    </row>
    <row r="416">
      <c r="A416" s="16" t="n"/>
      <c r="B416" s="17" t="n"/>
      <c r="C416" s="17" t="n"/>
      <c r="D416" s="18" t="n"/>
      <c r="E416" s="17" t="n"/>
      <c r="F416" s="17" t="n"/>
      <c r="G416" s="19" t="n"/>
      <c r="H416" s="17" t="n"/>
      <c r="I416" s="17" t="n"/>
      <c r="J416" s="17" t="n"/>
      <c r="K416" s="20">
        <f>IF($B416="","",IFERROR(INDEX(الموظفات!$A$5:$A$304,MATCH($B416,الموظفات!$B$5:$B$304,0))&amp;"",""))</f>
        <v/>
      </c>
      <c r="L416" s="21">
        <f>IF($B416="","",IFERROR(INDEX(الموظفات!$C$5:$C$304,MATCH($B416,الموظفات!$B$5:$B$304,0))&amp;"",""))</f>
        <v/>
      </c>
      <c r="M416" s="20">
        <f>IF($B416="","",IFERROR(INDEX(الموظفات!$D$5:$D$304,MATCH($B416,الموظفات!$B$5:$B$304,0))&amp;"",""))</f>
        <v/>
      </c>
      <c r="N416" s="20">
        <f>IF($B416="","",IFERROR(INDEX(الموظفات!$E$5:$E$304,MATCH($B416,الموظفات!$B$5:$B$304,0))&amp;"",""))</f>
        <v/>
      </c>
      <c r="O416" s="21">
        <f>IF(C416="","",IFERROR(INDEX(الإعدادات!$D$7:$D$35,MATCH(C416,الإعدادات!$A$7:$A$35,0))&amp;"",""))</f>
        <v/>
      </c>
      <c r="P416" s="20">
        <f>IF(A416="","",INDEX(الإعدادات!$H$7:$H$18,MONTH(A416)))</f>
        <v/>
      </c>
      <c r="Q416" s="20">
        <f>IF(A416="","",INDEX(الإعدادات!$I$7:$I$18,MONTH(A416)))</f>
        <v/>
      </c>
      <c r="R416" s="20">
        <f>IF(A416="","",IF(MONTH(A416)&gt;=8,YEAR(A416)&amp;"-"&amp;(YEAR(A416)+1),(YEAR(A416)-1)&amp;"-"&amp;YEAR(A416)))</f>
        <v/>
      </c>
      <c r="S416" s="20">
        <f>IF(OR(A416="",B416=""),0,IF(AND(R416=التقارير!$C$4,OR(التقارير!$C$5="سنوي",AND(التقارير!$C$5="شهري",P416=التقارير!$C$6),AND(التقارير!$C$5="فصلي",Q416=التقارير!$C$7))),1,0))</f>
        <v/>
      </c>
      <c r="T416" s="20">
        <f>IF(S416=1,COUNTIF($S$5:S416,1),"")</f>
        <v/>
      </c>
      <c r="U416">
        <f>IF(AND($A416&lt;&gt;"",$B416&lt;&gt;"",$R416='تقرير الفصل الأول'!$C$4,$Q416='تقرير الفصل الأول'!$C$7),COUNT(U$4:U415)+1,"")</f>
        <v/>
      </c>
      <c r="V416">
        <f>IF(AND($A416&lt;&gt;"",$B416&lt;&gt;"",$R416='تقرير الفصل الثاني'!$C$4,$Q416='تقرير الفصل الثاني'!$C$7),COUNT(V$4:V415)+1,"")</f>
        <v/>
      </c>
      <c r="W416">
        <f>IF(AND($A416&lt;&gt;"",$B416&lt;&gt;"",$R416='تقرير سبتمبر'!$C$4,$P416='تقرير سبتمبر'!$C$6),COUNT(W$4:W415)+1,"")</f>
        <v/>
      </c>
      <c r="X416">
        <f>IF(AND($A416&lt;&gt;"",$B416&lt;&gt;"",$R416='تقرير أكتوبر'!$C$4,$P416='تقرير أكتوبر'!$C$6),COUNT(X$4:X415)+1,"")</f>
        <v/>
      </c>
      <c r="Y416">
        <f>IF(AND($A416&lt;&gt;"",$B416&lt;&gt;"",$R416='تقرير نوفمبر'!$C$4,$P416='تقرير نوفمبر'!$C$6),COUNT(Y$4:Y415)+1,"")</f>
        <v/>
      </c>
      <c r="Z416">
        <f>IF(AND($A416&lt;&gt;"",$B416&lt;&gt;"",$R416='تقرير ديسمبر'!$C$4,$P416='تقرير ديسمبر'!$C$6),COUNT(Z$4:Z415)+1,"")</f>
        <v/>
      </c>
      <c r="AA416">
        <f>IF(AND($A416&lt;&gt;"",$B416&lt;&gt;"",$R416='تقرير يناير'!$C$4,$P416='تقرير يناير'!$C$6),COUNT(AA$4:AA415)+1,"")</f>
        <v/>
      </c>
      <c r="AB416">
        <f>IF(AND($A416&lt;&gt;"",$B416&lt;&gt;"",$R416='تقرير فبراير'!$C$4,$P416='تقرير فبراير'!$C$6),COUNT(AB$4:AB415)+1,"")</f>
        <v/>
      </c>
      <c r="AC416">
        <f>IF(AND($A416&lt;&gt;"",$B416&lt;&gt;"",$R416='تقرير مارس'!$C$4,$P416='تقرير مارس'!$C$6),COUNT(AC$4:AC415)+1,"")</f>
        <v/>
      </c>
      <c r="AD416">
        <f>IF(AND($A416&lt;&gt;"",$B416&lt;&gt;"",$R416='تقرير أبريل'!$C$4,$P416='تقرير أبريل'!$C$6),COUNT(AD$4:AD415)+1,"")</f>
        <v/>
      </c>
      <c r="AE416">
        <f>IF(AND($A416&lt;&gt;"",$B416&lt;&gt;"",$R416='تقرير مايو'!$C$4,$P416='تقرير مايو'!$C$6),COUNT(AE$4:AE415)+1,"")</f>
        <v/>
      </c>
    </row>
    <row r="417">
      <c r="A417" s="16" t="n"/>
      <c r="B417" s="17" t="n"/>
      <c r="C417" s="17" t="n"/>
      <c r="D417" s="18" t="n"/>
      <c r="E417" s="17" t="n"/>
      <c r="F417" s="17" t="n"/>
      <c r="G417" s="19" t="n"/>
      <c r="H417" s="17" t="n"/>
      <c r="I417" s="17" t="n"/>
      <c r="J417" s="17" t="n"/>
      <c r="K417" s="20">
        <f>IF($B417="","",IFERROR(INDEX(الموظفات!$A$5:$A$304,MATCH($B417,الموظفات!$B$5:$B$304,0))&amp;"",""))</f>
        <v/>
      </c>
      <c r="L417" s="21">
        <f>IF($B417="","",IFERROR(INDEX(الموظفات!$C$5:$C$304,MATCH($B417,الموظفات!$B$5:$B$304,0))&amp;"",""))</f>
        <v/>
      </c>
      <c r="M417" s="20">
        <f>IF($B417="","",IFERROR(INDEX(الموظفات!$D$5:$D$304,MATCH($B417,الموظفات!$B$5:$B$304,0))&amp;"",""))</f>
        <v/>
      </c>
      <c r="N417" s="20">
        <f>IF($B417="","",IFERROR(INDEX(الموظفات!$E$5:$E$304,MATCH($B417,الموظفات!$B$5:$B$304,0))&amp;"",""))</f>
        <v/>
      </c>
      <c r="O417" s="21">
        <f>IF(C417="","",IFERROR(INDEX(الإعدادات!$D$7:$D$35,MATCH(C417,الإعدادات!$A$7:$A$35,0))&amp;"",""))</f>
        <v/>
      </c>
      <c r="P417" s="20">
        <f>IF(A417="","",INDEX(الإعدادات!$H$7:$H$18,MONTH(A417)))</f>
        <v/>
      </c>
      <c r="Q417" s="20">
        <f>IF(A417="","",INDEX(الإعدادات!$I$7:$I$18,MONTH(A417)))</f>
        <v/>
      </c>
      <c r="R417" s="20">
        <f>IF(A417="","",IF(MONTH(A417)&gt;=8,YEAR(A417)&amp;"-"&amp;(YEAR(A417)+1),(YEAR(A417)-1)&amp;"-"&amp;YEAR(A417)))</f>
        <v/>
      </c>
      <c r="S417" s="20">
        <f>IF(OR(A417="",B417=""),0,IF(AND(R417=التقارير!$C$4,OR(التقارير!$C$5="سنوي",AND(التقارير!$C$5="شهري",P417=التقارير!$C$6),AND(التقارير!$C$5="فصلي",Q417=التقارير!$C$7))),1,0))</f>
        <v/>
      </c>
      <c r="T417" s="20">
        <f>IF(S417=1,COUNTIF($S$5:S417,1),"")</f>
        <v/>
      </c>
      <c r="U417">
        <f>IF(AND($A417&lt;&gt;"",$B417&lt;&gt;"",$R417='تقرير الفصل الأول'!$C$4,$Q417='تقرير الفصل الأول'!$C$7),COUNT(U$4:U416)+1,"")</f>
        <v/>
      </c>
      <c r="V417">
        <f>IF(AND($A417&lt;&gt;"",$B417&lt;&gt;"",$R417='تقرير الفصل الثاني'!$C$4,$Q417='تقرير الفصل الثاني'!$C$7),COUNT(V$4:V416)+1,"")</f>
        <v/>
      </c>
      <c r="W417">
        <f>IF(AND($A417&lt;&gt;"",$B417&lt;&gt;"",$R417='تقرير سبتمبر'!$C$4,$P417='تقرير سبتمبر'!$C$6),COUNT(W$4:W416)+1,"")</f>
        <v/>
      </c>
      <c r="X417">
        <f>IF(AND($A417&lt;&gt;"",$B417&lt;&gt;"",$R417='تقرير أكتوبر'!$C$4,$P417='تقرير أكتوبر'!$C$6),COUNT(X$4:X416)+1,"")</f>
        <v/>
      </c>
      <c r="Y417">
        <f>IF(AND($A417&lt;&gt;"",$B417&lt;&gt;"",$R417='تقرير نوفمبر'!$C$4,$P417='تقرير نوفمبر'!$C$6),COUNT(Y$4:Y416)+1,"")</f>
        <v/>
      </c>
      <c r="Z417">
        <f>IF(AND($A417&lt;&gt;"",$B417&lt;&gt;"",$R417='تقرير ديسمبر'!$C$4,$P417='تقرير ديسمبر'!$C$6),COUNT(Z$4:Z416)+1,"")</f>
        <v/>
      </c>
      <c r="AA417">
        <f>IF(AND($A417&lt;&gt;"",$B417&lt;&gt;"",$R417='تقرير يناير'!$C$4,$P417='تقرير يناير'!$C$6),COUNT(AA$4:AA416)+1,"")</f>
        <v/>
      </c>
      <c r="AB417">
        <f>IF(AND($A417&lt;&gt;"",$B417&lt;&gt;"",$R417='تقرير فبراير'!$C$4,$P417='تقرير فبراير'!$C$6),COUNT(AB$4:AB416)+1,"")</f>
        <v/>
      </c>
      <c r="AC417">
        <f>IF(AND($A417&lt;&gt;"",$B417&lt;&gt;"",$R417='تقرير مارس'!$C$4,$P417='تقرير مارس'!$C$6),COUNT(AC$4:AC416)+1,"")</f>
        <v/>
      </c>
      <c r="AD417">
        <f>IF(AND($A417&lt;&gt;"",$B417&lt;&gt;"",$R417='تقرير أبريل'!$C$4,$P417='تقرير أبريل'!$C$6),COUNT(AD$4:AD416)+1,"")</f>
        <v/>
      </c>
      <c r="AE417">
        <f>IF(AND($A417&lt;&gt;"",$B417&lt;&gt;"",$R417='تقرير مايو'!$C$4,$P417='تقرير مايو'!$C$6),COUNT(AE$4:AE416)+1,"")</f>
        <v/>
      </c>
    </row>
    <row r="418">
      <c r="A418" s="16" t="n"/>
      <c r="B418" s="17" t="n"/>
      <c r="C418" s="17" t="n"/>
      <c r="D418" s="18" t="n"/>
      <c r="E418" s="17" t="n"/>
      <c r="F418" s="17" t="n"/>
      <c r="G418" s="19" t="n"/>
      <c r="H418" s="17" t="n"/>
      <c r="I418" s="17" t="n"/>
      <c r="J418" s="17" t="n"/>
      <c r="K418" s="20">
        <f>IF($B418="","",IFERROR(INDEX(الموظفات!$A$5:$A$304,MATCH($B418,الموظفات!$B$5:$B$304,0))&amp;"",""))</f>
        <v/>
      </c>
      <c r="L418" s="21">
        <f>IF($B418="","",IFERROR(INDEX(الموظفات!$C$5:$C$304,MATCH($B418,الموظفات!$B$5:$B$304,0))&amp;"",""))</f>
        <v/>
      </c>
      <c r="M418" s="20">
        <f>IF($B418="","",IFERROR(INDEX(الموظفات!$D$5:$D$304,MATCH($B418,الموظفات!$B$5:$B$304,0))&amp;"",""))</f>
        <v/>
      </c>
      <c r="N418" s="20">
        <f>IF($B418="","",IFERROR(INDEX(الموظفات!$E$5:$E$304,MATCH($B418,الموظفات!$B$5:$B$304,0))&amp;"",""))</f>
        <v/>
      </c>
      <c r="O418" s="21">
        <f>IF(C418="","",IFERROR(INDEX(الإعدادات!$D$7:$D$35,MATCH(C418,الإعدادات!$A$7:$A$35,0))&amp;"",""))</f>
        <v/>
      </c>
      <c r="P418" s="20">
        <f>IF(A418="","",INDEX(الإعدادات!$H$7:$H$18,MONTH(A418)))</f>
        <v/>
      </c>
      <c r="Q418" s="20">
        <f>IF(A418="","",INDEX(الإعدادات!$I$7:$I$18,MONTH(A418)))</f>
        <v/>
      </c>
      <c r="R418" s="20">
        <f>IF(A418="","",IF(MONTH(A418)&gt;=8,YEAR(A418)&amp;"-"&amp;(YEAR(A418)+1),(YEAR(A418)-1)&amp;"-"&amp;YEAR(A418)))</f>
        <v/>
      </c>
      <c r="S418" s="20">
        <f>IF(OR(A418="",B418=""),0,IF(AND(R418=التقارير!$C$4,OR(التقارير!$C$5="سنوي",AND(التقارير!$C$5="شهري",P418=التقارير!$C$6),AND(التقارير!$C$5="فصلي",Q418=التقارير!$C$7))),1,0))</f>
        <v/>
      </c>
      <c r="T418" s="20">
        <f>IF(S418=1,COUNTIF($S$5:S418,1),"")</f>
        <v/>
      </c>
      <c r="U418">
        <f>IF(AND($A418&lt;&gt;"",$B418&lt;&gt;"",$R418='تقرير الفصل الأول'!$C$4,$Q418='تقرير الفصل الأول'!$C$7),COUNT(U$4:U417)+1,"")</f>
        <v/>
      </c>
      <c r="V418">
        <f>IF(AND($A418&lt;&gt;"",$B418&lt;&gt;"",$R418='تقرير الفصل الثاني'!$C$4,$Q418='تقرير الفصل الثاني'!$C$7),COUNT(V$4:V417)+1,"")</f>
        <v/>
      </c>
      <c r="W418">
        <f>IF(AND($A418&lt;&gt;"",$B418&lt;&gt;"",$R418='تقرير سبتمبر'!$C$4,$P418='تقرير سبتمبر'!$C$6),COUNT(W$4:W417)+1,"")</f>
        <v/>
      </c>
      <c r="X418">
        <f>IF(AND($A418&lt;&gt;"",$B418&lt;&gt;"",$R418='تقرير أكتوبر'!$C$4,$P418='تقرير أكتوبر'!$C$6),COUNT(X$4:X417)+1,"")</f>
        <v/>
      </c>
      <c r="Y418">
        <f>IF(AND($A418&lt;&gt;"",$B418&lt;&gt;"",$R418='تقرير نوفمبر'!$C$4,$P418='تقرير نوفمبر'!$C$6),COUNT(Y$4:Y417)+1,"")</f>
        <v/>
      </c>
      <c r="Z418">
        <f>IF(AND($A418&lt;&gt;"",$B418&lt;&gt;"",$R418='تقرير ديسمبر'!$C$4,$P418='تقرير ديسمبر'!$C$6),COUNT(Z$4:Z417)+1,"")</f>
        <v/>
      </c>
      <c r="AA418">
        <f>IF(AND($A418&lt;&gt;"",$B418&lt;&gt;"",$R418='تقرير يناير'!$C$4,$P418='تقرير يناير'!$C$6),COUNT(AA$4:AA417)+1,"")</f>
        <v/>
      </c>
      <c r="AB418">
        <f>IF(AND($A418&lt;&gt;"",$B418&lt;&gt;"",$R418='تقرير فبراير'!$C$4,$P418='تقرير فبراير'!$C$6),COUNT(AB$4:AB417)+1,"")</f>
        <v/>
      </c>
      <c r="AC418">
        <f>IF(AND($A418&lt;&gt;"",$B418&lt;&gt;"",$R418='تقرير مارس'!$C$4,$P418='تقرير مارس'!$C$6),COUNT(AC$4:AC417)+1,"")</f>
        <v/>
      </c>
      <c r="AD418">
        <f>IF(AND($A418&lt;&gt;"",$B418&lt;&gt;"",$R418='تقرير أبريل'!$C$4,$P418='تقرير أبريل'!$C$6),COUNT(AD$4:AD417)+1,"")</f>
        <v/>
      </c>
      <c r="AE418">
        <f>IF(AND($A418&lt;&gt;"",$B418&lt;&gt;"",$R418='تقرير مايو'!$C$4,$P418='تقرير مايو'!$C$6),COUNT(AE$4:AE417)+1,"")</f>
        <v/>
      </c>
    </row>
    <row r="419">
      <c r="A419" s="16" t="n"/>
      <c r="B419" s="17" t="n"/>
      <c r="C419" s="17" t="n"/>
      <c r="D419" s="18" t="n"/>
      <c r="E419" s="17" t="n"/>
      <c r="F419" s="17" t="n"/>
      <c r="G419" s="19" t="n"/>
      <c r="H419" s="17" t="n"/>
      <c r="I419" s="17" t="n"/>
      <c r="J419" s="17" t="n"/>
      <c r="K419" s="20">
        <f>IF($B419="","",IFERROR(INDEX(الموظفات!$A$5:$A$304,MATCH($B419,الموظفات!$B$5:$B$304,0))&amp;"",""))</f>
        <v/>
      </c>
      <c r="L419" s="21">
        <f>IF($B419="","",IFERROR(INDEX(الموظفات!$C$5:$C$304,MATCH($B419,الموظفات!$B$5:$B$304,0))&amp;"",""))</f>
        <v/>
      </c>
      <c r="M419" s="20">
        <f>IF($B419="","",IFERROR(INDEX(الموظفات!$D$5:$D$304,MATCH($B419,الموظفات!$B$5:$B$304,0))&amp;"",""))</f>
        <v/>
      </c>
      <c r="N419" s="20">
        <f>IF($B419="","",IFERROR(INDEX(الموظفات!$E$5:$E$304,MATCH($B419,الموظفات!$B$5:$B$304,0))&amp;"",""))</f>
        <v/>
      </c>
      <c r="O419" s="21">
        <f>IF(C419="","",IFERROR(INDEX(الإعدادات!$D$7:$D$35,MATCH(C419,الإعدادات!$A$7:$A$35,0))&amp;"",""))</f>
        <v/>
      </c>
      <c r="P419" s="20">
        <f>IF(A419="","",INDEX(الإعدادات!$H$7:$H$18,MONTH(A419)))</f>
        <v/>
      </c>
      <c r="Q419" s="20">
        <f>IF(A419="","",INDEX(الإعدادات!$I$7:$I$18,MONTH(A419)))</f>
        <v/>
      </c>
      <c r="R419" s="20">
        <f>IF(A419="","",IF(MONTH(A419)&gt;=8,YEAR(A419)&amp;"-"&amp;(YEAR(A419)+1),(YEAR(A419)-1)&amp;"-"&amp;YEAR(A419)))</f>
        <v/>
      </c>
      <c r="S419" s="20">
        <f>IF(OR(A419="",B419=""),0,IF(AND(R419=التقارير!$C$4,OR(التقارير!$C$5="سنوي",AND(التقارير!$C$5="شهري",P419=التقارير!$C$6),AND(التقارير!$C$5="فصلي",Q419=التقارير!$C$7))),1,0))</f>
        <v/>
      </c>
      <c r="T419" s="20">
        <f>IF(S419=1,COUNTIF($S$5:S419,1),"")</f>
        <v/>
      </c>
      <c r="U419">
        <f>IF(AND($A419&lt;&gt;"",$B419&lt;&gt;"",$R419='تقرير الفصل الأول'!$C$4,$Q419='تقرير الفصل الأول'!$C$7),COUNT(U$4:U418)+1,"")</f>
        <v/>
      </c>
      <c r="V419">
        <f>IF(AND($A419&lt;&gt;"",$B419&lt;&gt;"",$R419='تقرير الفصل الثاني'!$C$4,$Q419='تقرير الفصل الثاني'!$C$7),COUNT(V$4:V418)+1,"")</f>
        <v/>
      </c>
      <c r="W419">
        <f>IF(AND($A419&lt;&gt;"",$B419&lt;&gt;"",$R419='تقرير سبتمبر'!$C$4,$P419='تقرير سبتمبر'!$C$6),COUNT(W$4:W418)+1,"")</f>
        <v/>
      </c>
      <c r="X419">
        <f>IF(AND($A419&lt;&gt;"",$B419&lt;&gt;"",$R419='تقرير أكتوبر'!$C$4,$P419='تقرير أكتوبر'!$C$6),COUNT(X$4:X418)+1,"")</f>
        <v/>
      </c>
      <c r="Y419">
        <f>IF(AND($A419&lt;&gt;"",$B419&lt;&gt;"",$R419='تقرير نوفمبر'!$C$4,$P419='تقرير نوفمبر'!$C$6),COUNT(Y$4:Y418)+1,"")</f>
        <v/>
      </c>
      <c r="Z419">
        <f>IF(AND($A419&lt;&gt;"",$B419&lt;&gt;"",$R419='تقرير ديسمبر'!$C$4,$P419='تقرير ديسمبر'!$C$6),COUNT(Z$4:Z418)+1,"")</f>
        <v/>
      </c>
      <c r="AA419">
        <f>IF(AND($A419&lt;&gt;"",$B419&lt;&gt;"",$R419='تقرير يناير'!$C$4,$P419='تقرير يناير'!$C$6),COUNT(AA$4:AA418)+1,"")</f>
        <v/>
      </c>
      <c r="AB419">
        <f>IF(AND($A419&lt;&gt;"",$B419&lt;&gt;"",$R419='تقرير فبراير'!$C$4,$P419='تقرير فبراير'!$C$6),COUNT(AB$4:AB418)+1,"")</f>
        <v/>
      </c>
      <c r="AC419">
        <f>IF(AND($A419&lt;&gt;"",$B419&lt;&gt;"",$R419='تقرير مارس'!$C$4,$P419='تقرير مارس'!$C$6),COUNT(AC$4:AC418)+1,"")</f>
        <v/>
      </c>
      <c r="AD419">
        <f>IF(AND($A419&lt;&gt;"",$B419&lt;&gt;"",$R419='تقرير أبريل'!$C$4,$P419='تقرير أبريل'!$C$6),COUNT(AD$4:AD418)+1,"")</f>
        <v/>
      </c>
      <c r="AE419">
        <f>IF(AND($A419&lt;&gt;"",$B419&lt;&gt;"",$R419='تقرير مايو'!$C$4,$P419='تقرير مايو'!$C$6),COUNT(AE$4:AE418)+1,"")</f>
        <v/>
      </c>
    </row>
    <row r="420">
      <c r="A420" s="16" t="n"/>
      <c r="B420" s="17" t="n"/>
      <c r="C420" s="17" t="n"/>
      <c r="D420" s="18" t="n"/>
      <c r="E420" s="17" t="n"/>
      <c r="F420" s="17" t="n"/>
      <c r="G420" s="19" t="n"/>
      <c r="H420" s="17" t="n"/>
      <c r="I420" s="17" t="n"/>
      <c r="J420" s="17" t="n"/>
      <c r="K420" s="20">
        <f>IF($B420="","",IFERROR(INDEX(الموظفات!$A$5:$A$304,MATCH($B420,الموظفات!$B$5:$B$304,0))&amp;"",""))</f>
        <v/>
      </c>
      <c r="L420" s="21">
        <f>IF($B420="","",IFERROR(INDEX(الموظفات!$C$5:$C$304,MATCH($B420,الموظفات!$B$5:$B$304,0))&amp;"",""))</f>
        <v/>
      </c>
      <c r="M420" s="20">
        <f>IF($B420="","",IFERROR(INDEX(الموظفات!$D$5:$D$304,MATCH($B420,الموظفات!$B$5:$B$304,0))&amp;"",""))</f>
        <v/>
      </c>
      <c r="N420" s="20">
        <f>IF($B420="","",IFERROR(INDEX(الموظفات!$E$5:$E$304,MATCH($B420,الموظفات!$B$5:$B$304,0))&amp;"",""))</f>
        <v/>
      </c>
      <c r="O420" s="21">
        <f>IF(C420="","",IFERROR(INDEX(الإعدادات!$D$7:$D$35,MATCH(C420,الإعدادات!$A$7:$A$35,0))&amp;"",""))</f>
        <v/>
      </c>
      <c r="P420" s="20">
        <f>IF(A420="","",INDEX(الإعدادات!$H$7:$H$18,MONTH(A420)))</f>
        <v/>
      </c>
      <c r="Q420" s="20">
        <f>IF(A420="","",INDEX(الإعدادات!$I$7:$I$18,MONTH(A420)))</f>
        <v/>
      </c>
      <c r="R420" s="20">
        <f>IF(A420="","",IF(MONTH(A420)&gt;=8,YEAR(A420)&amp;"-"&amp;(YEAR(A420)+1),(YEAR(A420)-1)&amp;"-"&amp;YEAR(A420)))</f>
        <v/>
      </c>
      <c r="S420" s="20">
        <f>IF(OR(A420="",B420=""),0,IF(AND(R420=التقارير!$C$4,OR(التقارير!$C$5="سنوي",AND(التقارير!$C$5="شهري",P420=التقارير!$C$6),AND(التقارير!$C$5="فصلي",Q420=التقارير!$C$7))),1,0))</f>
        <v/>
      </c>
      <c r="T420" s="20">
        <f>IF(S420=1,COUNTIF($S$5:S420,1),"")</f>
        <v/>
      </c>
      <c r="U420">
        <f>IF(AND($A420&lt;&gt;"",$B420&lt;&gt;"",$R420='تقرير الفصل الأول'!$C$4,$Q420='تقرير الفصل الأول'!$C$7),COUNT(U$4:U419)+1,"")</f>
        <v/>
      </c>
      <c r="V420">
        <f>IF(AND($A420&lt;&gt;"",$B420&lt;&gt;"",$R420='تقرير الفصل الثاني'!$C$4,$Q420='تقرير الفصل الثاني'!$C$7),COUNT(V$4:V419)+1,"")</f>
        <v/>
      </c>
      <c r="W420">
        <f>IF(AND($A420&lt;&gt;"",$B420&lt;&gt;"",$R420='تقرير سبتمبر'!$C$4,$P420='تقرير سبتمبر'!$C$6),COUNT(W$4:W419)+1,"")</f>
        <v/>
      </c>
      <c r="X420">
        <f>IF(AND($A420&lt;&gt;"",$B420&lt;&gt;"",$R420='تقرير أكتوبر'!$C$4,$P420='تقرير أكتوبر'!$C$6),COUNT(X$4:X419)+1,"")</f>
        <v/>
      </c>
      <c r="Y420">
        <f>IF(AND($A420&lt;&gt;"",$B420&lt;&gt;"",$R420='تقرير نوفمبر'!$C$4,$P420='تقرير نوفمبر'!$C$6),COUNT(Y$4:Y419)+1,"")</f>
        <v/>
      </c>
      <c r="Z420">
        <f>IF(AND($A420&lt;&gt;"",$B420&lt;&gt;"",$R420='تقرير ديسمبر'!$C$4,$P420='تقرير ديسمبر'!$C$6),COUNT(Z$4:Z419)+1,"")</f>
        <v/>
      </c>
      <c r="AA420">
        <f>IF(AND($A420&lt;&gt;"",$B420&lt;&gt;"",$R420='تقرير يناير'!$C$4,$P420='تقرير يناير'!$C$6),COUNT(AA$4:AA419)+1,"")</f>
        <v/>
      </c>
      <c r="AB420">
        <f>IF(AND($A420&lt;&gt;"",$B420&lt;&gt;"",$R420='تقرير فبراير'!$C$4,$P420='تقرير فبراير'!$C$6),COUNT(AB$4:AB419)+1,"")</f>
        <v/>
      </c>
      <c r="AC420">
        <f>IF(AND($A420&lt;&gt;"",$B420&lt;&gt;"",$R420='تقرير مارس'!$C$4,$P420='تقرير مارس'!$C$6),COUNT(AC$4:AC419)+1,"")</f>
        <v/>
      </c>
      <c r="AD420">
        <f>IF(AND($A420&lt;&gt;"",$B420&lt;&gt;"",$R420='تقرير أبريل'!$C$4,$P420='تقرير أبريل'!$C$6),COUNT(AD$4:AD419)+1,"")</f>
        <v/>
      </c>
      <c r="AE420">
        <f>IF(AND($A420&lt;&gt;"",$B420&lt;&gt;"",$R420='تقرير مايو'!$C$4,$P420='تقرير مايو'!$C$6),COUNT(AE$4:AE419)+1,"")</f>
        <v/>
      </c>
    </row>
    <row r="421">
      <c r="A421" s="16" t="n"/>
      <c r="B421" s="17" t="n"/>
      <c r="C421" s="17" t="n"/>
      <c r="D421" s="18" t="n"/>
      <c r="E421" s="17" t="n"/>
      <c r="F421" s="17" t="n"/>
      <c r="G421" s="19" t="n"/>
      <c r="H421" s="17" t="n"/>
      <c r="I421" s="17" t="n"/>
      <c r="J421" s="17" t="n"/>
      <c r="K421" s="20">
        <f>IF($B421="","",IFERROR(INDEX(الموظفات!$A$5:$A$304,MATCH($B421,الموظفات!$B$5:$B$304,0))&amp;"",""))</f>
        <v/>
      </c>
      <c r="L421" s="21">
        <f>IF($B421="","",IFERROR(INDEX(الموظفات!$C$5:$C$304,MATCH($B421,الموظفات!$B$5:$B$304,0))&amp;"",""))</f>
        <v/>
      </c>
      <c r="M421" s="20">
        <f>IF($B421="","",IFERROR(INDEX(الموظفات!$D$5:$D$304,MATCH($B421,الموظفات!$B$5:$B$304,0))&amp;"",""))</f>
        <v/>
      </c>
      <c r="N421" s="20">
        <f>IF($B421="","",IFERROR(INDEX(الموظفات!$E$5:$E$304,MATCH($B421,الموظفات!$B$5:$B$304,0))&amp;"",""))</f>
        <v/>
      </c>
      <c r="O421" s="21">
        <f>IF(C421="","",IFERROR(INDEX(الإعدادات!$D$7:$D$35,MATCH(C421,الإعدادات!$A$7:$A$35,0))&amp;"",""))</f>
        <v/>
      </c>
      <c r="P421" s="20">
        <f>IF(A421="","",INDEX(الإعدادات!$H$7:$H$18,MONTH(A421)))</f>
        <v/>
      </c>
      <c r="Q421" s="20">
        <f>IF(A421="","",INDEX(الإعدادات!$I$7:$I$18,MONTH(A421)))</f>
        <v/>
      </c>
      <c r="R421" s="20">
        <f>IF(A421="","",IF(MONTH(A421)&gt;=8,YEAR(A421)&amp;"-"&amp;(YEAR(A421)+1),(YEAR(A421)-1)&amp;"-"&amp;YEAR(A421)))</f>
        <v/>
      </c>
      <c r="S421" s="20">
        <f>IF(OR(A421="",B421=""),0,IF(AND(R421=التقارير!$C$4,OR(التقارير!$C$5="سنوي",AND(التقارير!$C$5="شهري",P421=التقارير!$C$6),AND(التقارير!$C$5="فصلي",Q421=التقارير!$C$7))),1,0))</f>
        <v/>
      </c>
      <c r="T421" s="20">
        <f>IF(S421=1,COUNTIF($S$5:S421,1),"")</f>
        <v/>
      </c>
      <c r="U421">
        <f>IF(AND($A421&lt;&gt;"",$B421&lt;&gt;"",$R421='تقرير الفصل الأول'!$C$4,$Q421='تقرير الفصل الأول'!$C$7),COUNT(U$4:U420)+1,"")</f>
        <v/>
      </c>
      <c r="V421">
        <f>IF(AND($A421&lt;&gt;"",$B421&lt;&gt;"",$R421='تقرير الفصل الثاني'!$C$4,$Q421='تقرير الفصل الثاني'!$C$7),COUNT(V$4:V420)+1,"")</f>
        <v/>
      </c>
      <c r="W421">
        <f>IF(AND($A421&lt;&gt;"",$B421&lt;&gt;"",$R421='تقرير سبتمبر'!$C$4,$P421='تقرير سبتمبر'!$C$6),COUNT(W$4:W420)+1,"")</f>
        <v/>
      </c>
      <c r="X421">
        <f>IF(AND($A421&lt;&gt;"",$B421&lt;&gt;"",$R421='تقرير أكتوبر'!$C$4,$P421='تقرير أكتوبر'!$C$6),COUNT(X$4:X420)+1,"")</f>
        <v/>
      </c>
      <c r="Y421">
        <f>IF(AND($A421&lt;&gt;"",$B421&lt;&gt;"",$R421='تقرير نوفمبر'!$C$4,$P421='تقرير نوفمبر'!$C$6),COUNT(Y$4:Y420)+1,"")</f>
        <v/>
      </c>
      <c r="Z421">
        <f>IF(AND($A421&lt;&gt;"",$B421&lt;&gt;"",$R421='تقرير ديسمبر'!$C$4,$P421='تقرير ديسمبر'!$C$6),COUNT(Z$4:Z420)+1,"")</f>
        <v/>
      </c>
      <c r="AA421">
        <f>IF(AND($A421&lt;&gt;"",$B421&lt;&gt;"",$R421='تقرير يناير'!$C$4,$P421='تقرير يناير'!$C$6),COUNT(AA$4:AA420)+1,"")</f>
        <v/>
      </c>
      <c r="AB421">
        <f>IF(AND($A421&lt;&gt;"",$B421&lt;&gt;"",$R421='تقرير فبراير'!$C$4,$P421='تقرير فبراير'!$C$6),COUNT(AB$4:AB420)+1,"")</f>
        <v/>
      </c>
      <c r="AC421">
        <f>IF(AND($A421&lt;&gt;"",$B421&lt;&gt;"",$R421='تقرير مارس'!$C$4,$P421='تقرير مارس'!$C$6),COUNT(AC$4:AC420)+1,"")</f>
        <v/>
      </c>
      <c r="AD421">
        <f>IF(AND($A421&lt;&gt;"",$B421&lt;&gt;"",$R421='تقرير أبريل'!$C$4,$P421='تقرير أبريل'!$C$6),COUNT(AD$4:AD420)+1,"")</f>
        <v/>
      </c>
      <c r="AE421">
        <f>IF(AND($A421&lt;&gt;"",$B421&lt;&gt;"",$R421='تقرير مايو'!$C$4,$P421='تقرير مايو'!$C$6),COUNT(AE$4:AE420)+1,"")</f>
        <v/>
      </c>
    </row>
    <row r="422">
      <c r="A422" s="16" t="n"/>
      <c r="B422" s="17" t="n"/>
      <c r="C422" s="17" t="n"/>
      <c r="D422" s="18" t="n"/>
      <c r="E422" s="17" t="n"/>
      <c r="F422" s="17" t="n"/>
      <c r="G422" s="19" t="n"/>
      <c r="H422" s="17" t="n"/>
      <c r="I422" s="17" t="n"/>
      <c r="J422" s="17" t="n"/>
      <c r="K422" s="20">
        <f>IF($B422="","",IFERROR(INDEX(الموظفات!$A$5:$A$304,MATCH($B422,الموظفات!$B$5:$B$304,0))&amp;"",""))</f>
        <v/>
      </c>
      <c r="L422" s="21">
        <f>IF($B422="","",IFERROR(INDEX(الموظفات!$C$5:$C$304,MATCH($B422,الموظفات!$B$5:$B$304,0))&amp;"",""))</f>
        <v/>
      </c>
      <c r="M422" s="20">
        <f>IF($B422="","",IFERROR(INDEX(الموظفات!$D$5:$D$304,MATCH($B422,الموظفات!$B$5:$B$304,0))&amp;"",""))</f>
        <v/>
      </c>
      <c r="N422" s="20">
        <f>IF($B422="","",IFERROR(INDEX(الموظفات!$E$5:$E$304,MATCH($B422,الموظفات!$B$5:$B$304,0))&amp;"",""))</f>
        <v/>
      </c>
      <c r="O422" s="21">
        <f>IF(C422="","",IFERROR(INDEX(الإعدادات!$D$7:$D$35,MATCH(C422,الإعدادات!$A$7:$A$35,0))&amp;"",""))</f>
        <v/>
      </c>
      <c r="P422" s="20">
        <f>IF(A422="","",INDEX(الإعدادات!$H$7:$H$18,MONTH(A422)))</f>
        <v/>
      </c>
      <c r="Q422" s="20">
        <f>IF(A422="","",INDEX(الإعدادات!$I$7:$I$18,MONTH(A422)))</f>
        <v/>
      </c>
      <c r="R422" s="20">
        <f>IF(A422="","",IF(MONTH(A422)&gt;=8,YEAR(A422)&amp;"-"&amp;(YEAR(A422)+1),(YEAR(A422)-1)&amp;"-"&amp;YEAR(A422)))</f>
        <v/>
      </c>
      <c r="S422" s="20">
        <f>IF(OR(A422="",B422=""),0,IF(AND(R422=التقارير!$C$4,OR(التقارير!$C$5="سنوي",AND(التقارير!$C$5="شهري",P422=التقارير!$C$6),AND(التقارير!$C$5="فصلي",Q422=التقارير!$C$7))),1,0))</f>
        <v/>
      </c>
      <c r="T422" s="20">
        <f>IF(S422=1,COUNTIF($S$5:S422,1),"")</f>
        <v/>
      </c>
      <c r="U422">
        <f>IF(AND($A422&lt;&gt;"",$B422&lt;&gt;"",$R422='تقرير الفصل الأول'!$C$4,$Q422='تقرير الفصل الأول'!$C$7),COUNT(U$4:U421)+1,"")</f>
        <v/>
      </c>
      <c r="V422">
        <f>IF(AND($A422&lt;&gt;"",$B422&lt;&gt;"",$R422='تقرير الفصل الثاني'!$C$4,$Q422='تقرير الفصل الثاني'!$C$7),COUNT(V$4:V421)+1,"")</f>
        <v/>
      </c>
      <c r="W422">
        <f>IF(AND($A422&lt;&gt;"",$B422&lt;&gt;"",$R422='تقرير سبتمبر'!$C$4,$P422='تقرير سبتمبر'!$C$6),COUNT(W$4:W421)+1,"")</f>
        <v/>
      </c>
      <c r="X422">
        <f>IF(AND($A422&lt;&gt;"",$B422&lt;&gt;"",$R422='تقرير أكتوبر'!$C$4,$P422='تقرير أكتوبر'!$C$6),COUNT(X$4:X421)+1,"")</f>
        <v/>
      </c>
      <c r="Y422">
        <f>IF(AND($A422&lt;&gt;"",$B422&lt;&gt;"",$R422='تقرير نوفمبر'!$C$4,$P422='تقرير نوفمبر'!$C$6),COUNT(Y$4:Y421)+1,"")</f>
        <v/>
      </c>
      <c r="Z422">
        <f>IF(AND($A422&lt;&gt;"",$B422&lt;&gt;"",$R422='تقرير ديسمبر'!$C$4,$P422='تقرير ديسمبر'!$C$6),COUNT(Z$4:Z421)+1,"")</f>
        <v/>
      </c>
      <c r="AA422">
        <f>IF(AND($A422&lt;&gt;"",$B422&lt;&gt;"",$R422='تقرير يناير'!$C$4,$P422='تقرير يناير'!$C$6),COUNT(AA$4:AA421)+1,"")</f>
        <v/>
      </c>
      <c r="AB422">
        <f>IF(AND($A422&lt;&gt;"",$B422&lt;&gt;"",$R422='تقرير فبراير'!$C$4,$P422='تقرير فبراير'!$C$6),COUNT(AB$4:AB421)+1,"")</f>
        <v/>
      </c>
      <c r="AC422">
        <f>IF(AND($A422&lt;&gt;"",$B422&lt;&gt;"",$R422='تقرير مارس'!$C$4,$P422='تقرير مارس'!$C$6),COUNT(AC$4:AC421)+1,"")</f>
        <v/>
      </c>
      <c r="AD422">
        <f>IF(AND($A422&lt;&gt;"",$B422&lt;&gt;"",$R422='تقرير أبريل'!$C$4,$P422='تقرير أبريل'!$C$6),COUNT(AD$4:AD421)+1,"")</f>
        <v/>
      </c>
      <c r="AE422">
        <f>IF(AND($A422&lt;&gt;"",$B422&lt;&gt;"",$R422='تقرير مايو'!$C$4,$P422='تقرير مايو'!$C$6),COUNT(AE$4:AE421)+1,"")</f>
        <v/>
      </c>
    </row>
    <row r="423">
      <c r="A423" s="16" t="n"/>
      <c r="B423" s="17" t="n"/>
      <c r="C423" s="17" t="n"/>
      <c r="D423" s="18" t="n"/>
      <c r="E423" s="17" t="n"/>
      <c r="F423" s="17" t="n"/>
      <c r="G423" s="19" t="n"/>
      <c r="H423" s="17" t="n"/>
      <c r="I423" s="17" t="n"/>
      <c r="J423" s="17" t="n"/>
      <c r="K423" s="20">
        <f>IF($B423="","",IFERROR(INDEX(الموظفات!$A$5:$A$304,MATCH($B423,الموظفات!$B$5:$B$304,0))&amp;"",""))</f>
        <v/>
      </c>
      <c r="L423" s="21">
        <f>IF($B423="","",IFERROR(INDEX(الموظفات!$C$5:$C$304,MATCH($B423,الموظفات!$B$5:$B$304,0))&amp;"",""))</f>
        <v/>
      </c>
      <c r="M423" s="20">
        <f>IF($B423="","",IFERROR(INDEX(الموظفات!$D$5:$D$304,MATCH($B423,الموظفات!$B$5:$B$304,0))&amp;"",""))</f>
        <v/>
      </c>
      <c r="N423" s="20">
        <f>IF($B423="","",IFERROR(INDEX(الموظفات!$E$5:$E$304,MATCH($B423,الموظفات!$B$5:$B$304,0))&amp;"",""))</f>
        <v/>
      </c>
      <c r="O423" s="21">
        <f>IF(C423="","",IFERROR(INDEX(الإعدادات!$D$7:$D$35,MATCH(C423,الإعدادات!$A$7:$A$35,0))&amp;"",""))</f>
        <v/>
      </c>
      <c r="P423" s="20">
        <f>IF(A423="","",INDEX(الإعدادات!$H$7:$H$18,MONTH(A423)))</f>
        <v/>
      </c>
      <c r="Q423" s="20">
        <f>IF(A423="","",INDEX(الإعدادات!$I$7:$I$18,MONTH(A423)))</f>
        <v/>
      </c>
      <c r="R423" s="20">
        <f>IF(A423="","",IF(MONTH(A423)&gt;=8,YEAR(A423)&amp;"-"&amp;(YEAR(A423)+1),(YEAR(A423)-1)&amp;"-"&amp;YEAR(A423)))</f>
        <v/>
      </c>
      <c r="S423" s="20">
        <f>IF(OR(A423="",B423=""),0,IF(AND(R423=التقارير!$C$4,OR(التقارير!$C$5="سنوي",AND(التقارير!$C$5="شهري",P423=التقارير!$C$6),AND(التقارير!$C$5="فصلي",Q423=التقارير!$C$7))),1,0))</f>
        <v/>
      </c>
      <c r="T423" s="20">
        <f>IF(S423=1,COUNTIF($S$5:S423,1),"")</f>
        <v/>
      </c>
      <c r="U423">
        <f>IF(AND($A423&lt;&gt;"",$B423&lt;&gt;"",$R423='تقرير الفصل الأول'!$C$4,$Q423='تقرير الفصل الأول'!$C$7),COUNT(U$4:U422)+1,"")</f>
        <v/>
      </c>
      <c r="V423">
        <f>IF(AND($A423&lt;&gt;"",$B423&lt;&gt;"",$R423='تقرير الفصل الثاني'!$C$4,$Q423='تقرير الفصل الثاني'!$C$7),COUNT(V$4:V422)+1,"")</f>
        <v/>
      </c>
      <c r="W423">
        <f>IF(AND($A423&lt;&gt;"",$B423&lt;&gt;"",$R423='تقرير سبتمبر'!$C$4,$P423='تقرير سبتمبر'!$C$6),COUNT(W$4:W422)+1,"")</f>
        <v/>
      </c>
      <c r="X423">
        <f>IF(AND($A423&lt;&gt;"",$B423&lt;&gt;"",$R423='تقرير أكتوبر'!$C$4,$P423='تقرير أكتوبر'!$C$6),COUNT(X$4:X422)+1,"")</f>
        <v/>
      </c>
      <c r="Y423">
        <f>IF(AND($A423&lt;&gt;"",$B423&lt;&gt;"",$R423='تقرير نوفمبر'!$C$4,$P423='تقرير نوفمبر'!$C$6),COUNT(Y$4:Y422)+1,"")</f>
        <v/>
      </c>
      <c r="Z423">
        <f>IF(AND($A423&lt;&gt;"",$B423&lt;&gt;"",$R423='تقرير ديسمبر'!$C$4,$P423='تقرير ديسمبر'!$C$6),COUNT(Z$4:Z422)+1,"")</f>
        <v/>
      </c>
      <c r="AA423">
        <f>IF(AND($A423&lt;&gt;"",$B423&lt;&gt;"",$R423='تقرير يناير'!$C$4,$P423='تقرير يناير'!$C$6),COUNT(AA$4:AA422)+1,"")</f>
        <v/>
      </c>
      <c r="AB423">
        <f>IF(AND($A423&lt;&gt;"",$B423&lt;&gt;"",$R423='تقرير فبراير'!$C$4,$P423='تقرير فبراير'!$C$6),COUNT(AB$4:AB422)+1,"")</f>
        <v/>
      </c>
      <c r="AC423">
        <f>IF(AND($A423&lt;&gt;"",$B423&lt;&gt;"",$R423='تقرير مارس'!$C$4,$P423='تقرير مارس'!$C$6),COUNT(AC$4:AC422)+1,"")</f>
        <v/>
      </c>
      <c r="AD423">
        <f>IF(AND($A423&lt;&gt;"",$B423&lt;&gt;"",$R423='تقرير أبريل'!$C$4,$P423='تقرير أبريل'!$C$6),COUNT(AD$4:AD422)+1,"")</f>
        <v/>
      </c>
      <c r="AE423">
        <f>IF(AND($A423&lt;&gt;"",$B423&lt;&gt;"",$R423='تقرير مايو'!$C$4,$P423='تقرير مايو'!$C$6),COUNT(AE$4:AE422)+1,"")</f>
        <v/>
      </c>
    </row>
    <row r="424">
      <c r="A424" s="16" t="n"/>
      <c r="B424" s="17" t="n"/>
      <c r="C424" s="17" t="n"/>
      <c r="D424" s="18" t="n"/>
      <c r="E424" s="17" t="n"/>
      <c r="F424" s="17" t="n"/>
      <c r="G424" s="19" t="n"/>
      <c r="H424" s="17" t="n"/>
      <c r="I424" s="17" t="n"/>
      <c r="J424" s="17" t="n"/>
      <c r="K424" s="20">
        <f>IF($B424="","",IFERROR(INDEX(الموظفات!$A$5:$A$304,MATCH($B424,الموظفات!$B$5:$B$304,0))&amp;"",""))</f>
        <v/>
      </c>
      <c r="L424" s="21">
        <f>IF($B424="","",IFERROR(INDEX(الموظفات!$C$5:$C$304,MATCH($B424,الموظفات!$B$5:$B$304,0))&amp;"",""))</f>
        <v/>
      </c>
      <c r="M424" s="20">
        <f>IF($B424="","",IFERROR(INDEX(الموظفات!$D$5:$D$304,MATCH($B424,الموظفات!$B$5:$B$304,0))&amp;"",""))</f>
        <v/>
      </c>
      <c r="N424" s="20">
        <f>IF($B424="","",IFERROR(INDEX(الموظفات!$E$5:$E$304,MATCH($B424,الموظفات!$B$5:$B$304,0))&amp;"",""))</f>
        <v/>
      </c>
      <c r="O424" s="21">
        <f>IF(C424="","",IFERROR(INDEX(الإعدادات!$D$7:$D$35,MATCH(C424,الإعدادات!$A$7:$A$35,0))&amp;"",""))</f>
        <v/>
      </c>
      <c r="P424" s="20">
        <f>IF(A424="","",INDEX(الإعدادات!$H$7:$H$18,MONTH(A424)))</f>
        <v/>
      </c>
      <c r="Q424" s="20">
        <f>IF(A424="","",INDEX(الإعدادات!$I$7:$I$18,MONTH(A424)))</f>
        <v/>
      </c>
      <c r="R424" s="20">
        <f>IF(A424="","",IF(MONTH(A424)&gt;=8,YEAR(A424)&amp;"-"&amp;(YEAR(A424)+1),(YEAR(A424)-1)&amp;"-"&amp;YEAR(A424)))</f>
        <v/>
      </c>
      <c r="S424" s="20">
        <f>IF(OR(A424="",B424=""),0,IF(AND(R424=التقارير!$C$4,OR(التقارير!$C$5="سنوي",AND(التقارير!$C$5="شهري",P424=التقارير!$C$6),AND(التقارير!$C$5="فصلي",Q424=التقارير!$C$7))),1,0))</f>
        <v/>
      </c>
      <c r="T424" s="20">
        <f>IF(S424=1,COUNTIF($S$5:S424,1),"")</f>
        <v/>
      </c>
      <c r="U424">
        <f>IF(AND($A424&lt;&gt;"",$B424&lt;&gt;"",$R424='تقرير الفصل الأول'!$C$4,$Q424='تقرير الفصل الأول'!$C$7),COUNT(U$4:U423)+1,"")</f>
        <v/>
      </c>
      <c r="V424">
        <f>IF(AND($A424&lt;&gt;"",$B424&lt;&gt;"",$R424='تقرير الفصل الثاني'!$C$4,$Q424='تقرير الفصل الثاني'!$C$7),COUNT(V$4:V423)+1,"")</f>
        <v/>
      </c>
      <c r="W424">
        <f>IF(AND($A424&lt;&gt;"",$B424&lt;&gt;"",$R424='تقرير سبتمبر'!$C$4,$P424='تقرير سبتمبر'!$C$6),COUNT(W$4:W423)+1,"")</f>
        <v/>
      </c>
      <c r="X424">
        <f>IF(AND($A424&lt;&gt;"",$B424&lt;&gt;"",$R424='تقرير أكتوبر'!$C$4,$P424='تقرير أكتوبر'!$C$6),COUNT(X$4:X423)+1,"")</f>
        <v/>
      </c>
      <c r="Y424">
        <f>IF(AND($A424&lt;&gt;"",$B424&lt;&gt;"",$R424='تقرير نوفمبر'!$C$4,$P424='تقرير نوفمبر'!$C$6),COUNT(Y$4:Y423)+1,"")</f>
        <v/>
      </c>
      <c r="Z424">
        <f>IF(AND($A424&lt;&gt;"",$B424&lt;&gt;"",$R424='تقرير ديسمبر'!$C$4,$P424='تقرير ديسمبر'!$C$6),COUNT(Z$4:Z423)+1,"")</f>
        <v/>
      </c>
      <c r="AA424">
        <f>IF(AND($A424&lt;&gt;"",$B424&lt;&gt;"",$R424='تقرير يناير'!$C$4,$P424='تقرير يناير'!$C$6),COUNT(AA$4:AA423)+1,"")</f>
        <v/>
      </c>
      <c r="AB424">
        <f>IF(AND($A424&lt;&gt;"",$B424&lt;&gt;"",$R424='تقرير فبراير'!$C$4,$P424='تقرير فبراير'!$C$6),COUNT(AB$4:AB423)+1,"")</f>
        <v/>
      </c>
      <c r="AC424">
        <f>IF(AND($A424&lt;&gt;"",$B424&lt;&gt;"",$R424='تقرير مارس'!$C$4,$P424='تقرير مارس'!$C$6),COUNT(AC$4:AC423)+1,"")</f>
        <v/>
      </c>
      <c r="AD424">
        <f>IF(AND($A424&lt;&gt;"",$B424&lt;&gt;"",$R424='تقرير أبريل'!$C$4,$P424='تقرير أبريل'!$C$6),COUNT(AD$4:AD423)+1,"")</f>
        <v/>
      </c>
      <c r="AE424">
        <f>IF(AND($A424&lt;&gt;"",$B424&lt;&gt;"",$R424='تقرير مايو'!$C$4,$P424='تقرير مايو'!$C$6),COUNT(AE$4:AE423)+1,"")</f>
        <v/>
      </c>
    </row>
    <row r="425">
      <c r="A425" s="16" t="n"/>
      <c r="B425" s="17" t="n"/>
      <c r="C425" s="17" t="n"/>
      <c r="D425" s="18" t="n"/>
      <c r="E425" s="17" t="n"/>
      <c r="F425" s="17" t="n"/>
      <c r="G425" s="19" t="n"/>
      <c r="H425" s="17" t="n"/>
      <c r="I425" s="17" t="n"/>
      <c r="J425" s="17" t="n"/>
      <c r="K425" s="20">
        <f>IF($B425="","",IFERROR(INDEX(الموظفات!$A$5:$A$304,MATCH($B425,الموظفات!$B$5:$B$304,0))&amp;"",""))</f>
        <v/>
      </c>
      <c r="L425" s="21">
        <f>IF($B425="","",IFERROR(INDEX(الموظفات!$C$5:$C$304,MATCH($B425,الموظفات!$B$5:$B$304,0))&amp;"",""))</f>
        <v/>
      </c>
      <c r="M425" s="20">
        <f>IF($B425="","",IFERROR(INDEX(الموظفات!$D$5:$D$304,MATCH($B425,الموظفات!$B$5:$B$304,0))&amp;"",""))</f>
        <v/>
      </c>
      <c r="N425" s="20">
        <f>IF($B425="","",IFERROR(INDEX(الموظفات!$E$5:$E$304,MATCH($B425,الموظفات!$B$5:$B$304,0))&amp;"",""))</f>
        <v/>
      </c>
      <c r="O425" s="21">
        <f>IF(C425="","",IFERROR(INDEX(الإعدادات!$D$7:$D$35,MATCH(C425,الإعدادات!$A$7:$A$35,0))&amp;"",""))</f>
        <v/>
      </c>
      <c r="P425" s="20">
        <f>IF(A425="","",INDEX(الإعدادات!$H$7:$H$18,MONTH(A425)))</f>
        <v/>
      </c>
      <c r="Q425" s="20">
        <f>IF(A425="","",INDEX(الإعدادات!$I$7:$I$18,MONTH(A425)))</f>
        <v/>
      </c>
      <c r="R425" s="20">
        <f>IF(A425="","",IF(MONTH(A425)&gt;=8,YEAR(A425)&amp;"-"&amp;(YEAR(A425)+1),(YEAR(A425)-1)&amp;"-"&amp;YEAR(A425)))</f>
        <v/>
      </c>
      <c r="S425" s="20">
        <f>IF(OR(A425="",B425=""),0,IF(AND(R425=التقارير!$C$4,OR(التقارير!$C$5="سنوي",AND(التقارير!$C$5="شهري",P425=التقارير!$C$6),AND(التقارير!$C$5="فصلي",Q425=التقارير!$C$7))),1,0))</f>
        <v/>
      </c>
      <c r="T425" s="20">
        <f>IF(S425=1,COUNTIF($S$5:S425,1),"")</f>
        <v/>
      </c>
      <c r="U425">
        <f>IF(AND($A425&lt;&gt;"",$B425&lt;&gt;"",$R425='تقرير الفصل الأول'!$C$4,$Q425='تقرير الفصل الأول'!$C$7),COUNT(U$4:U424)+1,"")</f>
        <v/>
      </c>
      <c r="V425">
        <f>IF(AND($A425&lt;&gt;"",$B425&lt;&gt;"",$R425='تقرير الفصل الثاني'!$C$4,$Q425='تقرير الفصل الثاني'!$C$7),COUNT(V$4:V424)+1,"")</f>
        <v/>
      </c>
      <c r="W425">
        <f>IF(AND($A425&lt;&gt;"",$B425&lt;&gt;"",$R425='تقرير سبتمبر'!$C$4,$P425='تقرير سبتمبر'!$C$6),COUNT(W$4:W424)+1,"")</f>
        <v/>
      </c>
      <c r="X425">
        <f>IF(AND($A425&lt;&gt;"",$B425&lt;&gt;"",$R425='تقرير أكتوبر'!$C$4,$P425='تقرير أكتوبر'!$C$6),COUNT(X$4:X424)+1,"")</f>
        <v/>
      </c>
      <c r="Y425">
        <f>IF(AND($A425&lt;&gt;"",$B425&lt;&gt;"",$R425='تقرير نوفمبر'!$C$4,$P425='تقرير نوفمبر'!$C$6),COUNT(Y$4:Y424)+1,"")</f>
        <v/>
      </c>
      <c r="Z425">
        <f>IF(AND($A425&lt;&gt;"",$B425&lt;&gt;"",$R425='تقرير ديسمبر'!$C$4,$P425='تقرير ديسمبر'!$C$6),COUNT(Z$4:Z424)+1,"")</f>
        <v/>
      </c>
      <c r="AA425">
        <f>IF(AND($A425&lt;&gt;"",$B425&lt;&gt;"",$R425='تقرير يناير'!$C$4,$P425='تقرير يناير'!$C$6),COUNT(AA$4:AA424)+1,"")</f>
        <v/>
      </c>
      <c r="AB425">
        <f>IF(AND($A425&lt;&gt;"",$B425&lt;&gt;"",$R425='تقرير فبراير'!$C$4,$P425='تقرير فبراير'!$C$6),COUNT(AB$4:AB424)+1,"")</f>
        <v/>
      </c>
      <c r="AC425">
        <f>IF(AND($A425&lt;&gt;"",$B425&lt;&gt;"",$R425='تقرير مارس'!$C$4,$P425='تقرير مارس'!$C$6),COUNT(AC$4:AC424)+1,"")</f>
        <v/>
      </c>
      <c r="AD425">
        <f>IF(AND($A425&lt;&gt;"",$B425&lt;&gt;"",$R425='تقرير أبريل'!$C$4,$P425='تقرير أبريل'!$C$6),COUNT(AD$4:AD424)+1,"")</f>
        <v/>
      </c>
      <c r="AE425">
        <f>IF(AND($A425&lt;&gt;"",$B425&lt;&gt;"",$R425='تقرير مايو'!$C$4,$P425='تقرير مايو'!$C$6),COUNT(AE$4:AE424)+1,"")</f>
        <v/>
      </c>
    </row>
    <row r="426">
      <c r="A426" s="16" t="n"/>
      <c r="B426" s="17" t="n"/>
      <c r="C426" s="17" t="n"/>
      <c r="D426" s="18" t="n"/>
      <c r="E426" s="17" t="n"/>
      <c r="F426" s="17" t="n"/>
      <c r="G426" s="19" t="n"/>
      <c r="H426" s="17" t="n"/>
      <c r="I426" s="17" t="n"/>
      <c r="J426" s="17" t="n"/>
      <c r="K426" s="20">
        <f>IF($B426="","",IFERROR(INDEX(الموظفات!$A$5:$A$304,MATCH($B426,الموظفات!$B$5:$B$304,0))&amp;"",""))</f>
        <v/>
      </c>
      <c r="L426" s="21">
        <f>IF($B426="","",IFERROR(INDEX(الموظفات!$C$5:$C$304,MATCH($B426,الموظفات!$B$5:$B$304,0))&amp;"",""))</f>
        <v/>
      </c>
      <c r="M426" s="20">
        <f>IF($B426="","",IFERROR(INDEX(الموظفات!$D$5:$D$304,MATCH($B426,الموظفات!$B$5:$B$304,0))&amp;"",""))</f>
        <v/>
      </c>
      <c r="N426" s="20">
        <f>IF($B426="","",IFERROR(INDEX(الموظفات!$E$5:$E$304,MATCH($B426,الموظفات!$B$5:$B$304,0))&amp;"",""))</f>
        <v/>
      </c>
      <c r="O426" s="21">
        <f>IF(C426="","",IFERROR(INDEX(الإعدادات!$D$7:$D$35,MATCH(C426,الإعدادات!$A$7:$A$35,0))&amp;"",""))</f>
        <v/>
      </c>
      <c r="P426" s="20">
        <f>IF(A426="","",INDEX(الإعدادات!$H$7:$H$18,MONTH(A426)))</f>
        <v/>
      </c>
      <c r="Q426" s="20">
        <f>IF(A426="","",INDEX(الإعدادات!$I$7:$I$18,MONTH(A426)))</f>
        <v/>
      </c>
      <c r="R426" s="20">
        <f>IF(A426="","",IF(MONTH(A426)&gt;=8,YEAR(A426)&amp;"-"&amp;(YEAR(A426)+1),(YEAR(A426)-1)&amp;"-"&amp;YEAR(A426)))</f>
        <v/>
      </c>
      <c r="S426" s="20">
        <f>IF(OR(A426="",B426=""),0,IF(AND(R426=التقارير!$C$4,OR(التقارير!$C$5="سنوي",AND(التقارير!$C$5="شهري",P426=التقارير!$C$6),AND(التقارير!$C$5="فصلي",Q426=التقارير!$C$7))),1,0))</f>
        <v/>
      </c>
      <c r="T426" s="20">
        <f>IF(S426=1,COUNTIF($S$5:S426,1),"")</f>
        <v/>
      </c>
      <c r="U426">
        <f>IF(AND($A426&lt;&gt;"",$B426&lt;&gt;"",$R426='تقرير الفصل الأول'!$C$4,$Q426='تقرير الفصل الأول'!$C$7),COUNT(U$4:U425)+1,"")</f>
        <v/>
      </c>
      <c r="V426">
        <f>IF(AND($A426&lt;&gt;"",$B426&lt;&gt;"",$R426='تقرير الفصل الثاني'!$C$4,$Q426='تقرير الفصل الثاني'!$C$7),COUNT(V$4:V425)+1,"")</f>
        <v/>
      </c>
      <c r="W426">
        <f>IF(AND($A426&lt;&gt;"",$B426&lt;&gt;"",$R426='تقرير سبتمبر'!$C$4,$P426='تقرير سبتمبر'!$C$6),COUNT(W$4:W425)+1,"")</f>
        <v/>
      </c>
      <c r="X426">
        <f>IF(AND($A426&lt;&gt;"",$B426&lt;&gt;"",$R426='تقرير أكتوبر'!$C$4,$P426='تقرير أكتوبر'!$C$6),COUNT(X$4:X425)+1,"")</f>
        <v/>
      </c>
      <c r="Y426">
        <f>IF(AND($A426&lt;&gt;"",$B426&lt;&gt;"",$R426='تقرير نوفمبر'!$C$4,$P426='تقرير نوفمبر'!$C$6),COUNT(Y$4:Y425)+1,"")</f>
        <v/>
      </c>
      <c r="Z426">
        <f>IF(AND($A426&lt;&gt;"",$B426&lt;&gt;"",$R426='تقرير ديسمبر'!$C$4,$P426='تقرير ديسمبر'!$C$6),COUNT(Z$4:Z425)+1,"")</f>
        <v/>
      </c>
      <c r="AA426">
        <f>IF(AND($A426&lt;&gt;"",$B426&lt;&gt;"",$R426='تقرير يناير'!$C$4,$P426='تقرير يناير'!$C$6),COUNT(AA$4:AA425)+1,"")</f>
        <v/>
      </c>
      <c r="AB426">
        <f>IF(AND($A426&lt;&gt;"",$B426&lt;&gt;"",$R426='تقرير فبراير'!$C$4,$P426='تقرير فبراير'!$C$6),COUNT(AB$4:AB425)+1,"")</f>
        <v/>
      </c>
      <c r="AC426">
        <f>IF(AND($A426&lt;&gt;"",$B426&lt;&gt;"",$R426='تقرير مارس'!$C$4,$P426='تقرير مارس'!$C$6),COUNT(AC$4:AC425)+1,"")</f>
        <v/>
      </c>
      <c r="AD426">
        <f>IF(AND($A426&lt;&gt;"",$B426&lt;&gt;"",$R426='تقرير أبريل'!$C$4,$P426='تقرير أبريل'!$C$6),COUNT(AD$4:AD425)+1,"")</f>
        <v/>
      </c>
      <c r="AE426">
        <f>IF(AND($A426&lt;&gt;"",$B426&lt;&gt;"",$R426='تقرير مايو'!$C$4,$P426='تقرير مايو'!$C$6),COUNT(AE$4:AE425)+1,"")</f>
        <v/>
      </c>
    </row>
    <row r="427">
      <c r="A427" s="16" t="n"/>
      <c r="B427" s="17" t="n"/>
      <c r="C427" s="17" t="n"/>
      <c r="D427" s="18" t="n"/>
      <c r="E427" s="17" t="n"/>
      <c r="F427" s="17" t="n"/>
      <c r="G427" s="19" t="n"/>
      <c r="H427" s="17" t="n"/>
      <c r="I427" s="17" t="n"/>
      <c r="J427" s="17" t="n"/>
      <c r="K427" s="20">
        <f>IF($B427="","",IFERROR(INDEX(الموظفات!$A$5:$A$304,MATCH($B427,الموظفات!$B$5:$B$304,0))&amp;"",""))</f>
        <v/>
      </c>
      <c r="L427" s="21">
        <f>IF($B427="","",IFERROR(INDEX(الموظفات!$C$5:$C$304,MATCH($B427,الموظفات!$B$5:$B$304,0))&amp;"",""))</f>
        <v/>
      </c>
      <c r="M427" s="20">
        <f>IF($B427="","",IFERROR(INDEX(الموظفات!$D$5:$D$304,MATCH($B427,الموظفات!$B$5:$B$304,0))&amp;"",""))</f>
        <v/>
      </c>
      <c r="N427" s="20">
        <f>IF($B427="","",IFERROR(INDEX(الموظفات!$E$5:$E$304,MATCH($B427,الموظفات!$B$5:$B$304,0))&amp;"",""))</f>
        <v/>
      </c>
      <c r="O427" s="21">
        <f>IF(C427="","",IFERROR(INDEX(الإعدادات!$D$7:$D$35,MATCH(C427,الإعدادات!$A$7:$A$35,0))&amp;"",""))</f>
        <v/>
      </c>
      <c r="P427" s="20">
        <f>IF(A427="","",INDEX(الإعدادات!$H$7:$H$18,MONTH(A427)))</f>
        <v/>
      </c>
      <c r="Q427" s="20">
        <f>IF(A427="","",INDEX(الإعدادات!$I$7:$I$18,MONTH(A427)))</f>
        <v/>
      </c>
      <c r="R427" s="20">
        <f>IF(A427="","",IF(MONTH(A427)&gt;=8,YEAR(A427)&amp;"-"&amp;(YEAR(A427)+1),(YEAR(A427)-1)&amp;"-"&amp;YEAR(A427)))</f>
        <v/>
      </c>
      <c r="S427" s="20">
        <f>IF(OR(A427="",B427=""),0,IF(AND(R427=التقارير!$C$4,OR(التقارير!$C$5="سنوي",AND(التقارير!$C$5="شهري",P427=التقارير!$C$6),AND(التقارير!$C$5="فصلي",Q427=التقارير!$C$7))),1,0))</f>
        <v/>
      </c>
      <c r="T427" s="20">
        <f>IF(S427=1,COUNTIF($S$5:S427,1),"")</f>
        <v/>
      </c>
      <c r="U427">
        <f>IF(AND($A427&lt;&gt;"",$B427&lt;&gt;"",$R427='تقرير الفصل الأول'!$C$4,$Q427='تقرير الفصل الأول'!$C$7),COUNT(U$4:U426)+1,"")</f>
        <v/>
      </c>
      <c r="V427">
        <f>IF(AND($A427&lt;&gt;"",$B427&lt;&gt;"",$R427='تقرير الفصل الثاني'!$C$4,$Q427='تقرير الفصل الثاني'!$C$7),COUNT(V$4:V426)+1,"")</f>
        <v/>
      </c>
      <c r="W427">
        <f>IF(AND($A427&lt;&gt;"",$B427&lt;&gt;"",$R427='تقرير سبتمبر'!$C$4,$P427='تقرير سبتمبر'!$C$6),COUNT(W$4:W426)+1,"")</f>
        <v/>
      </c>
      <c r="X427">
        <f>IF(AND($A427&lt;&gt;"",$B427&lt;&gt;"",$R427='تقرير أكتوبر'!$C$4,$P427='تقرير أكتوبر'!$C$6),COUNT(X$4:X426)+1,"")</f>
        <v/>
      </c>
      <c r="Y427">
        <f>IF(AND($A427&lt;&gt;"",$B427&lt;&gt;"",$R427='تقرير نوفمبر'!$C$4,$P427='تقرير نوفمبر'!$C$6),COUNT(Y$4:Y426)+1,"")</f>
        <v/>
      </c>
      <c r="Z427">
        <f>IF(AND($A427&lt;&gt;"",$B427&lt;&gt;"",$R427='تقرير ديسمبر'!$C$4,$P427='تقرير ديسمبر'!$C$6),COUNT(Z$4:Z426)+1,"")</f>
        <v/>
      </c>
      <c r="AA427">
        <f>IF(AND($A427&lt;&gt;"",$B427&lt;&gt;"",$R427='تقرير يناير'!$C$4,$P427='تقرير يناير'!$C$6),COUNT(AA$4:AA426)+1,"")</f>
        <v/>
      </c>
      <c r="AB427">
        <f>IF(AND($A427&lt;&gt;"",$B427&lt;&gt;"",$R427='تقرير فبراير'!$C$4,$P427='تقرير فبراير'!$C$6),COUNT(AB$4:AB426)+1,"")</f>
        <v/>
      </c>
      <c r="AC427">
        <f>IF(AND($A427&lt;&gt;"",$B427&lt;&gt;"",$R427='تقرير مارس'!$C$4,$P427='تقرير مارس'!$C$6),COUNT(AC$4:AC426)+1,"")</f>
        <v/>
      </c>
      <c r="AD427">
        <f>IF(AND($A427&lt;&gt;"",$B427&lt;&gt;"",$R427='تقرير أبريل'!$C$4,$P427='تقرير أبريل'!$C$6),COUNT(AD$4:AD426)+1,"")</f>
        <v/>
      </c>
      <c r="AE427">
        <f>IF(AND($A427&lt;&gt;"",$B427&lt;&gt;"",$R427='تقرير مايو'!$C$4,$P427='تقرير مايو'!$C$6),COUNT(AE$4:AE426)+1,"")</f>
        <v/>
      </c>
    </row>
    <row r="428">
      <c r="A428" s="16" t="n"/>
      <c r="B428" s="17" t="n"/>
      <c r="C428" s="17" t="n"/>
      <c r="D428" s="18" t="n"/>
      <c r="E428" s="17" t="n"/>
      <c r="F428" s="17" t="n"/>
      <c r="G428" s="19" t="n"/>
      <c r="H428" s="17" t="n"/>
      <c r="I428" s="17" t="n"/>
      <c r="J428" s="17" t="n"/>
      <c r="K428" s="20">
        <f>IF($B428="","",IFERROR(INDEX(الموظفات!$A$5:$A$304,MATCH($B428,الموظفات!$B$5:$B$304,0))&amp;"",""))</f>
        <v/>
      </c>
      <c r="L428" s="21">
        <f>IF($B428="","",IFERROR(INDEX(الموظفات!$C$5:$C$304,MATCH($B428,الموظفات!$B$5:$B$304,0))&amp;"",""))</f>
        <v/>
      </c>
      <c r="M428" s="20">
        <f>IF($B428="","",IFERROR(INDEX(الموظفات!$D$5:$D$304,MATCH($B428,الموظفات!$B$5:$B$304,0))&amp;"",""))</f>
        <v/>
      </c>
      <c r="N428" s="20">
        <f>IF($B428="","",IFERROR(INDEX(الموظفات!$E$5:$E$304,MATCH($B428,الموظفات!$B$5:$B$304,0))&amp;"",""))</f>
        <v/>
      </c>
      <c r="O428" s="21">
        <f>IF(C428="","",IFERROR(INDEX(الإعدادات!$D$7:$D$35,MATCH(C428,الإعدادات!$A$7:$A$35,0))&amp;"",""))</f>
        <v/>
      </c>
      <c r="P428" s="20">
        <f>IF(A428="","",INDEX(الإعدادات!$H$7:$H$18,MONTH(A428)))</f>
        <v/>
      </c>
      <c r="Q428" s="20">
        <f>IF(A428="","",INDEX(الإعدادات!$I$7:$I$18,MONTH(A428)))</f>
        <v/>
      </c>
      <c r="R428" s="20">
        <f>IF(A428="","",IF(MONTH(A428)&gt;=8,YEAR(A428)&amp;"-"&amp;(YEAR(A428)+1),(YEAR(A428)-1)&amp;"-"&amp;YEAR(A428)))</f>
        <v/>
      </c>
      <c r="S428" s="20">
        <f>IF(OR(A428="",B428=""),0,IF(AND(R428=التقارير!$C$4,OR(التقارير!$C$5="سنوي",AND(التقارير!$C$5="شهري",P428=التقارير!$C$6),AND(التقارير!$C$5="فصلي",Q428=التقارير!$C$7))),1,0))</f>
        <v/>
      </c>
      <c r="T428" s="20">
        <f>IF(S428=1,COUNTIF($S$5:S428,1),"")</f>
        <v/>
      </c>
      <c r="U428">
        <f>IF(AND($A428&lt;&gt;"",$B428&lt;&gt;"",$R428='تقرير الفصل الأول'!$C$4,$Q428='تقرير الفصل الأول'!$C$7),COUNT(U$4:U427)+1,"")</f>
        <v/>
      </c>
      <c r="V428">
        <f>IF(AND($A428&lt;&gt;"",$B428&lt;&gt;"",$R428='تقرير الفصل الثاني'!$C$4,$Q428='تقرير الفصل الثاني'!$C$7),COUNT(V$4:V427)+1,"")</f>
        <v/>
      </c>
      <c r="W428">
        <f>IF(AND($A428&lt;&gt;"",$B428&lt;&gt;"",$R428='تقرير سبتمبر'!$C$4,$P428='تقرير سبتمبر'!$C$6),COUNT(W$4:W427)+1,"")</f>
        <v/>
      </c>
      <c r="X428">
        <f>IF(AND($A428&lt;&gt;"",$B428&lt;&gt;"",$R428='تقرير أكتوبر'!$C$4,$P428='تقرير أكتوبر'!$C$6),COUNT(X$4:X427)+1,"")</f>
        <v/>
      </c>
      <c r="Y428">
        <f>IF(AND($A428&lt;&gt;"",$B428&lt;&gt;"",$R428='تقرير نوفمبر'!$C$4,$P428='تقرير نوفمبر'!$C$6),COUNT(Y$4:Y427)+1,"")</f>
        <v/>
      </c>
      <c r="Z428">
        <f>IF(AND($A428&lt;&gt;"",$B428&lt;&gt;"",$R428='تقرير ديسمبر'!$C$4,$P428='تقرير ديسمبر'!$C$6),COUNT(Z$4:Z427)+1,"")</f>
        <v/>
      </c>
      <c r="AA428">
        <f>IF(AND($A428&lt;&gt;"",$B428&lt;&gt;"",$R428='تقرير يناير'!$C$4,$P428='تقرير يناير'!$C$6),COUNT(AA$4:AA427)+1,"")</f>
        <v/>
      </c>
      <c r="AB428">
        <f>IF(AND($A428&lt;&gt;"",$B428&lt;&gt;"",$R428='تقرير فبراير'!$C$4,$P428='تقرير فبراير'!$C$6),COUNT(AB$4:AB427)+1,"")</f>
        <v/>
      </c>
      <c r="AC428">
        <f>IF(AND($A428&lt;&gt;"",$B428&lt;&gt;"",$R428='تقرير مارس'!$C$4,$P428='تقرير مارس'!$C$6),COUNT(AC$4:AC427)+1,"")</f>
        <v/>
      </c>
      <c r="AD428">
        <f>IF(AND($A428&lt;&gt;"",$B428&lt;&gt;"",$R428='تقرير أبريل'!$C$4,$P428='تقرير أبريل'!$C$6),COUNT(AD$4:AD427)+1,"")</f>
        <v/>
      </c>
      <c r="AE428">
        <f>IF(AND($A428&lt;&gt;"",$B428&lt;&gt;"",$R428='تقرير مايو'!$C$4,$P428='تقرير مايو'!$C$6),COUNT(AE$4:AE427)+1,"")</f>
        <v/>
      </c>
    </row>
    <row r="429">
      <c r="A429" s="16" t="n"/>
      <c r="B429" s="17" t="n"/>
      <c r="C429" s="17" t="n"/>
      <c r="D429" s="18" t="n"/>
      <c r="E429" s="17" t="n"/>
      <c r="F429" s="17" t="n"/>
      <c r="G429" s="19" t="n"/>
      <c r="H429" s="17" t="n"/>
      <c r="I429" s="17" t="n"/>
      <c r="J429" s="17" t="n"/>
      <c r="K429" s="20">
        <f>IF($B429="","",IFERROR(INDEX(الموظفات!$A$5:$A$304,MATCH($B429,الموظفات!$B$5:$B$304,0))&amp;"",""))</f>
        <v/>
      </c>
      <c r="L429" s="21">
        <f>IF($B429="","",IFERROR(INDEX(الموظفات!$C$5:$C$304,MATCH($B429,الموظفات!$B$5:$B$304,0))&amp;"",""))</f>
        <v/>
      </c>
      <c r="M429" s="20">
        <f>IF($B429="","",IFERROR(INDEX(الموظفات!$D$5:$D$304,MATCH($B429,الموظفات!$B$5:$B$304,0))&amp;"",""))</f>
        <v/>
      </c>
      <c r="N429" s="20">
        <f>IF($B429="","",IFERROR(INDEX(الموظفات!$E$5:$E$304,MATCH($B429,الموظفات!$B$5:$B$304,0))&amp;"",""))</f>
        <v/>
      </c>
      <c r="O429" s="21">
        <f>IF(C429="","",IFERROR(INDEX(الإعدادات!$D$7:$D$35,MATCH(C429,الإعدادات!$A$7:$A$35,0))&amp;"",""))</f>
        <v/>
      </c>
      <c r="P429" s="20">
        <f>IF(A429="","",INDEX(الإعدادات!$H$7:$H$18,MONTH(A429)))</f>
        <v/>
      </c>
      <c r="Q429" s="20">
        <f>IF(A429="","",INDEX(الإعدادات!$I$7:$I$18,MONTH(A429)))</f>
        <v/>
      </c>
      <c r="R429" s="20">
        <f>IF(A429="","",IF(MONTH(A429)&gt;=8,YEAR(A429)&amp;"-"&amp;(YEAR(A429)+1),(YEAR(A429)-1)&amp;"-"&amp;YEAR(A429)))</f>
        <v/>
      </c>
      <c r="S429" s="20">
        <f>IF(OR(A429="",B429=""),0,IF(AND(R429=التقارير!$C$4,OR(التقارير!$C$5="سنوي",AND(التقارير!$C$5="شهري",P429=التقارير!$C$6),AND(التقارير!$C$5="فصلي",Q429=التقارير!$C$7))),1,0))</f>
        <v/>
      </c>
      <c r="T429" s="20">
        <f>IF(S429=1,COUNTIF($S$5:S429,1),"")</f>
        <v/>
      </c>
      <c r="U429">
        <f>IF(AND($A429&lt;&gt;"",$B429&lt;&gt;"",$R429='تقرير الفصل الأول'!$C$4,$Q429='تقرير الفصل الأول'!$C$7),COUNT(U$4:U428)+1,"")</f>
        <v/>
      </c>
      <c r="V429">
        <f>IF(AND($A429&lt;&gt;"",$B429&lt;&gt;"",$R429='تقرير الفصل الثاني'!$C$4,$Q429='تقرير الفصل الثاني'!$C$7),COUNT(V$4:V428)+1,"")</f>
        <v/>
      </c>
      <c r="W429">
        <f>IF(AND($A429&lt;&gt;"",$B429&lt;&gt;"",$R429='تقرير سبتمبر'!$C$4,$P429='تقرير سبتمبر'!$C$6),COUNT(W$4:W428)+1,"")</f>
        <v/>
      </c>
      <c r="X429">
        <f>IF(AND($A429&lt;&gt;"",$B429&lt;&gt;"",$R429='تقرير أكتوبر'!$C$4,$P429='تقرير أكتوبر'!$C$6),COUNT(X$4:X428)+1,"")</f>
        <v/>
      </c>
      <c r="Y429">
        <f>IF(AND($A429&lt;&gt;"",$B429&lt;&gt;"",$R429='تقرير نوفمبر'!$C$4,$P429='تقرير نوفمبر'!$C$6),COUNT(Y$4:Y428)+1,"")</f>
        <v/>
      </c>
      <c r="Z429">
        <f>IF(AND($A429&lt;&gt;"",$B429&lt;&gt;"",$R429='تقرير ديسمبر'!$C$4,$P429='تقرير ديسمبر'!$C$6),COUNT(Z$4:Z428)+1,"")</f>
        <v/>
      </c>
      <c r="AA429">
        <f>IF(AND($A429&lt;&gt;"",$B429&lt;&gt;"",$R429='تقرير يناير'!$C$4,$P429='تقرير يناير'!$C$6),COUNT(AA$4:AA428)+1,"")</f>
        <v/>
      </c>
      <c r="AB429">
        <f>IF(AND($A429&lt;&gt;"",$B429&lt;&gt;"",$R429='تقرير فبراير'!$C$4,$P429='تقرير فبراير'!$C$6),COUNT(AB$4:AB428)+1,"")</f>
        <v/>
      </c>
      <c r="AC429">
        <f>IF(AND($A429&lt;&gt;"",$B429&lt;&gt;"",$R429='تقرير مارس'!$C$4,$P429='تقرير مارس'!$C$6),COUNT(AC$4:AC428)+1,"")</f>
        <v/>
      </c>
      <c r="AD429">
        <f>IF(AND($A429&lt;&gt;"",$B429&lt;&gt;"",$R429='تقرير أبريل'!$C$4,$P429='تقرير أبريل'!$C$6),COUNT(AD$4:AD428)+1,"")</f>
        <v/>
      </c>
      <c r="AE429">
        <f>IF(AND($A429&lt;&gt;"",$B429&lt;&gt;"",$R429='تقرير مايو'!$C$4,$P429='تقرير مايو'!$C$6),COUNT(AE$4:AE428)+1,"")</f>
        <v/>
      </c>
    </row>
    <row r="430">
      <c r="A430" s="16" t="n"/>
      <c r="B430" s="17" t="n"/>
      <c r="C430" s="17" t="n"/>
      <c r="D430" s="18" t="n"/>
      <c r="E430" s="17" t="n"/>
      <c r="F430" s="17" t="n"/>
      <c r="G430" s="19" t="n"/>
      <c r="H430" s="17" t="n"/>
      <c r="I430" s="17" t="n"/>
      <c r="J430" s="17" t="n"/>
      <c r="K430" s="20">
        <f>IF($B430="","",IFERROR(INDEX(الموظفات!$A$5:$A$304,MATCH($B430,الموظفات!$B$5:$B$304,0))&amp;"",""))</f>
        <v/>
      </c>
      <c r="L430" s="21">
        <f>IF($B430="","",IFERROR(INDEX(الموظفات!$C$5:$C$304,MATCH($B430,الموظفات!$B$5:$B$304,0))&amp;"",""))</f>
        <v/>
      </c>
      <c r="M430" s="20">
        <f>IF($B430="","",IFERROR(INDEX(الموظفات!$D$5:$D$304,MATCH($B430,الموظفات!$B$5:$B$304,0))&amp;"",""))</f>
        <v/>
      </c>
      <c r="N430" s="20">
        <f>IF($B430="","",IFERROR(INDEX(الموظفات!$E$5:$E$304,MATCH($B430,الموظفات!$B$5:$B$304,0))&amp;"",""))</f>
        <v/>
      </c>
      <c r="O430" s="21">
        <f>IF(C430="","",IFERROR(INDEX(الإعدادات!$D$7:$D$35,MATCH(C430,الإعدادات!$A$7:$A$35,0))&amp;"",""))</f>
        <v/>
      </c>
      <c r="P430" s="20">
        <f>IF(A430="","",INDEX(الإعدادات!$H$7:$H$18,MONTH(A430)))</f>
        <v/>
      </c>
      <c r="Q430" s="20">
        <f>IF(A430="","",INDEX(الإعدادات!$I$7:$I$18,MONTH(A430)))</f>
        <v/>
      </c>
      <c r="R430" s="20">
        <f>IF(A430="","",IF(MONTH(A430)&gt;=8,YEAR(A430)&amp;"-"&amp;(YEAR(A430)+1),(YEAR(A430)-1)&amp;"-"&amp;YEAR(A430)))</f>
        <v/>
      </c>
      <c r="S430" s="20">
        <f>IF(OR(A430="",B430=""),0,IF(AND(R430=التقارير!$C$4,OR(التقارير!$C$5="سنوي",AND(التقارير!$C$5="شهري",P430=التقارير!$C$6),AND(التقارير!$C$5="فصلي",Q430=التقارير!$C$7))),1,0))</f>
        <v/>
      </c>
      <c r="T430" s="20">
        <f>IF(S430=1,COUNTIF($S$5:S430,1),"")</f>
        <v/>
      </c>
      <c r="U430">
        <f>IF(AND($A430&lt;&gt;"",$B430&lt;&gt;"",$R430='تقرير الفصل الأول'!$C$4,$Q430='تقرير الفصل الأول'!$C$7),COUNT(U$4:U429)+1,"")</f>
        <v/>
      </c>
      <c r="V430">
        <f>IF(AND($A430&lt;&gt;"",$B430&lt;&gt;"",$R430='تقرير الفصل الثاني'!$C$4,$Q430='تقرير الفصل الثاني'!$C$7),COUNT(V$4:V429)+1,"")</f>
        <v/>
      </c>
      <c r="W430">
        <f>IF(AND($A430&lt;&gt;"",$B430&lt;&gt;"",$R430='تقرير سبتمبر'!$C$4,$P430='تقرير سبتمبر'!$C$6),COUNT(W$4:W429)+1,"")</f>
        <v/>
      </c>
      <c r="X430">
        <f>IF(AND($A430&lt;&gt;"",$B430&lt;&gt;"",$R430='تقرير أكتوبر'!$C$4,$P430='تقرير أكتوبر'!$C$6),COUNT(X$4:X429)+1,"")</f>
        <v/>
      </c>
      <c r="Y430">
        <f>IF(AND($A430&lt;&gt;"",$B430&lt;&gt;"",$R430='تقرير نوفمبر'!$C$4,$P430='تقرير نوفمبر'!$C$6),COUNT(Y$4:Y429)+1,"")</f>
        <v/>
      </c>
      <c r="Z430">
        <f>IF(AND($A430&lt;&gt;"",$B430&lt;&gt;"",$R430='تقرير ديسمبر'!$C$4,$P430='تقرير ديسمبر'!$C$6),COUNT(Z$4:Z429)+1,"")</f>
        <v/>
      </c>
      <c r="AA430">
        <f>IF(AND($A430&lt;&gt;"",$B430&lt;&gt;"",$R430='تقرير يناير'!$C$4,$P430='تقرير يناير'!$C$6),COUNT(AA$4:AA429)+1,"")</f>
        <v/>
      </c>
      <c r="AB430">
        <f>IF(AND($A430&lt;&gt;"",$B430&lt;&gt;"",$R430='تقرير فبراير'!$C$4,$P430='تقرير فبراير'!$C$6),COUNT(AB$4:AB429)+1,"")</f>
        <v/>
      </c>
      <c r="AC430">
        <f>IF(AND($A430&lt;&gt;"",$B430&lt;&gt;"",$R430='تقرير مارس'!$C$4,$P430='تقرير مارس'!$C$6),COUNT(AC$4:AC429)+1,"")</f>
        <v/>
      </c>
      <c r="AD430">
        <f>IF(AND($A430&lt;&gt;"",$B430&lt;&gt;"",$R430='تقرير أبريل'!$C$4,$P430='تقرير أبريل'!$C$6),COUNT(AD$4:AD429)+1,"")</f>
        <v/>
      </c>
      <c r="AE430">
        <f>IF(AND($A430&lt;&gt;"",$B430&lt;&gt;"",$R430='تقرير مايو'!$C$4,$P430='تقرير مايو'!$C$6),COUNT(AE$4:AE429)+1,"")</f>
        <v/>
      </c>
    </row>
    <row r="431">
      <c r="A431" s="16" t="n"/>
      <c r="B431" s="17" t="n"/>
      <c r="C431" s="17" t="n"/>
      <c r="D431" s="18" t="n"/>
      <c r="E431" s="17" t="n"/>
      <c r="F431" s="17" t="n"/>
      <c r="G431" s="19" t="n"/>
      <c r="H431" s="17" t="n"/>
      <c r="I431" s="17" t="n"/>
      <c r="J431" s="17" t="n"/>
      <c r="K431" s="20">
        <f>IF($B431="","",IFERROR(INDEX(الموظفات!$A$5:$A$304,MATCH($B431,الموظفات!$B$5:$B$304,0))&amp;"",""))</f>
        <v/>
      </c>
      <c r="L431" s="21">
        <f>IF($B431="","",IFERROR(INDEX(الموظفات!$C$5:$C$304,MATCH($B431,الموظفات!$B$5:$B$304,0))&amp;"",""))</f>
        <v/>
      </c>
      <c r="M431" s="20">
        <f>IF($B431="","",IFERROR(INDEX(الموظفات!$D$5:$D$304,MATCH($B431,الموظفات!$B$5:$B$304,0))&amp;"",""))</f>
        <v/>
      </c>
      <c r="N431" s="20">
        <f>IF($B431="","",IFERROR(INDEX(الموظفات!$E$5:$E$304,MATCH($B431,الموظفات!$B$5:$B$304,0))&amp;"",""))</f>
        <v/>
      </c>
      <c r="O431" s="21">
        <f>IF(C431="","",IFERROR(INDEX(الإعدادات!$D$7:$D$35,MATCH(C431,الإعدادات!$A$7:$A$35,0))&amp;"",""))</f>
        <v/>
      </c>
      <c r="P431" s="20">
        <f>IF(A431="","",INDEX(الإعدادات!$H$7:$H$18,MONTH(A431)))</f>
        <v/>
      </c>
      <c r="Q431" s="20">
        <f>IF(A431="","",INDEX(الإعدادات!$I$7:$I$18,MONTH(A431)))</f>
        <v/>
      </c>
      <c r="R431" s="20">
        <f>IF(A431="","",IF(MONTH(A431)&gt;=8,YEAR(A431)&amp;"-"&amp;(YEAR(A431)+1),(YEAR(A431)-1)&amp;"-"&amp;YEAR(A431)))</f>
        <v/>
      </c>
      <c r="S431" s="20">
        <f>IF(OR(A431="",B431=""),0,IF(AND(R431=التقارير!$C$4,OR(التقارير!$C$5="سنوي",AND(التقارير!$C$5="شهري",P431=التقارير!$C$6),AND(التقارير!$C$5="فصلي",Q431=التقارير!$C$7))),1,0))</f>
        <v/>
      </c>
      <c r="T431" s="20">
        <f>IF(S431=1,COUNTIF($S$5:S431,1),"")</f>
        <v/>
      </c>
      <c r="U431">
        <f>IF(AND($A431&lt;&gt;"",$B431&lt;&gt;"",$R431='تقرير الفصل الأول'!$C$4,$Q431='تقرير الفصل الأول'!$C$7),COUNT(U$4:U430)+1,"")</f>
        <v/>
      </c>
      <c r="V431">
        <f>IF(AND($A431&lt;&gt;"",$B431&lt;&gt;"",$R431='تقرير الفصل الثاني'!$C$4,$Q431='تقرير الفصل الثاني'!$C$7),COUNT(V$4:V430)+1,"")</f>
        <v/>
      </c>
      <c r="W431">
        <f>IF(AND($A431&lt;&gt;"",$B431&lt;&gt;"",$R431='تقرير سبتمبر'!$C$4,$P431='تقرير سبتمبر'!$C$6),COUNT(W$4:W430)+1,"")</f>
        <v/>
      </c>
      <c r="X431">
        <f>IF(AND($A431&lt;&gt;"",$B431&lt;&gt;"",$R431='تقرير أكتوبر'!$C$4,$P431='تقرير أكتوبر'!$C$6),COUNT(X$4:X430)+1,"")</f>
        <v/>
      </c>
      <c r="Y431">
        <f>IF(AND($A431&lt;&gt;"",$B431&lt;&gt;"",$R431='تقرير نوفمبر'!$C$4,$P431='تقرير نوفمبر'!$C$6),COUNT(Y$4:Y430)+1,"")</f>
        <v/>
      </c>
      <c r="Z431">
        <f>IF(AND($A431&lt;&gt;"",$B431&lt;&gt;"",$R431='تقرير ديسمبر'!$C$4,$P431='تقرير ديسمبر'!$C$6),COUNT(Z$4:Z430)+1,"")</f>
        <v/>
      </c>
      <c r="AA431">
        <f>IF(AND($A431&lt;&gt;"",$B431&lt;&gt;"",$R431='تقرير يناير'!$C$4,$P431='تقرير يناير'!$C$6),COUNT(AA$4:AA430)+1,"")</f>
        <v/>
      </c>
      <c r="AB431">
        <f>IF(AND($A431&lt;&gt;"",$B431&lt;&gt;"",$R431='تقرير فبراير'!$C$4,$P431='تقرير فبراير'!$C$6),COUNT(AB$4:AB430)+1,"")</f>
        <v/>
      </c>
      <c r="AC431">
        <f>IF(AND($A431&lt;&gt;"",$B431&lt;&gt;"",$R431='تقرير مارس'!$C$4,$P431='تقرير مارس'!$C$6),COUNT(AC$4:AC430)+1,"")</f>
        <v/>
      </c>
      <c r="AD431">
        <f>IF(AND($A431&lt;&gt;"",$B431&lt;&gt;"",$R431='تقرير أبريل'!$C$4,$P431='تقرير أبريل'!$C$6),COUNT(AD$4:AD430)+1,"")</f>
        <v/>
      </c>
      <c r="AE431">
        <f>IF(AND($A431&lt;&gt;"",$B431&lt;&gt;"",$R431='تقرير مايو'!$C$4,$P431='تقرير مايو'!$C$6),COUNT(AE$4:AE430)+1,"")</f>
        <v/>
      </c>
    </row>
    <row r="432">
      <c r="A432" s="16" t="n"/>
      <c r="B432" s="17" t="n"/>
      <c r="C432" s="17" t="n"/>
      <c r="D432" s="18" t="n"/>
      <c r="E432" s="17" t="n"/>
      <c r="F432" s="17" t="n"/>
      <c r="G432" s="19" t="n"/>
      <c r="H432" s="17" t="n"/>
      <c r="I432" s="17" t="n"/>
      <c r="J432" s="17" t="n"/>
      <c r="K432" s="20">
        <f>IF($B432="","",IFERROR(INDEX(الموظفات!$A$5:$A$304,MATCH($B432,الموظفات!$B$5:$B$304,0))&amp;"",""))</f>
        <v/>
      </c>
      <c r="L432" s="21">
        <f>IF($B432="","",IFERROR(INDEX(الموظفات!$C$5:$C$304,MATCH($B432,الموظفات!$B$5:$B$304,0))&amp;"",""))</f>
        <v/>
      </c>
      <c r="M432" s="20">
        <f>IF($B432="","",IFERROR(INDEX(الموظفات!$D$5:$D$304,MATCH($B432,الموظفات!$B$5:$B$304,0))&amp;"",""))</f>
        <v/>
      </c>
      <c r="N432" s="20">
        <f>IF($B432="","",IFERROR(INDEX(الموظفات!$E$5:$E$304,MATCH($B432,الموظفات!$B$5:$B$304,0))&amp;"",""))</f>
        <v/>
      </c>
      <c r="O432" s="21">
        <f>IF(C432="","",IFERROR(INDEX(الإعدادات!$D$7:$D$35,MATCH(C432,الإعدادات!$A$7:$A$35,0))&amp;"",""))</f>
        <v/>
      </c>
      <c r="P432" s="20">
        <f>IF(A432="","",INDEX(الإعدادات!$H$7:$H$18,MONTH(A432)))</f>
        <v/>
      </c>
      <c r="Q432" s="20">
        <f>IF(A432="","",INDEX(الإعدادات!$I$7:$I$18,MONTH(A432)))</f>
        <v/>
      </c>
      <c r="R432" s="20">
        <f>IF(A432="","",IF(MONTH(A432)&gt;=8,YEAR(A432)&amp;"-"&amp;(YEAR(A432)+1),(YEAR(A432)-1)&amp;"-"&amp;YEAR(A432)))</f>
        <v/>
      </c>
      <c r="S432" s="20">
        <f>IF(OR(A432="",B432=""),0,IF(AND(R432=التقارير!$C$4,OR(التقارير!$C$5="سنوي",AND(التقارير!$C$5="شهري",P432=التقارير!$C$6),AND(التقارير!$C$5="فصلي",Q432=التقارير!$C$7))),1,0))</f>
        <v/>
      </c>
      <c r="T432" s="20">
        <f>IF(S432=1,COUNTIF($S$5:S432,1),"")</f>
        <v/>
      </c>
      <c r="U432">
        <f>IF(AND($A432&lt;&gt;"",$B432&lt;&gt;"",$R432='تقرير الفصل الأول'!$C$4,$Q432='تقرير الفصل الأول'!$C$7),COUNT(U$4:U431)+1,"")</f>
        <v/>
      </c>
      <c r="V432">
        <f>IF(AND($A432&lt;&gt;"",$B432&lt;&gt;"",$R432='تقرير الفصل الثاني'!$C$4,$Q432='تقرير الفصل الثاني'!$C$7),COUNT(V$4:V431)+1,"")</f>
        <v/>
      </c>
      <c r="W432">
        <f>IF(AND($A432&lt;&gt;"",$B432&lt;&gt;"",$R432='تقرير سبتمبر'!$C$4,$P432='تقرير سبتمبر'!$C$6),COUNT(W$4:W431)+1,"")</f>
        <v/>
      </c>
      <c r="X432">
        <f>IF(AND($A432&lt;&gt;"",$B432&lt;&gt;"",$R432='تقرير أكتوبر'!$C$4,$P432='تقرير أكتوبر'!$C$6),COUNT(X$4:X431)+1,"")</f>
        <v/>
      </c>
      <c r="Y432">
        <f>IF(AND($A432&lt;&gt;"",$B432&lt;&gt;"",$R432='تقرير نوفمبر'!$C$4,$P432='تقرير نوفمبر'!$C$6),COUNT(Y$4:Y431)+1,"")</f>
        <v/>
      </c>
      <c r="Z432">
        <f>IF(AND($A432&lt;&gt;"",$B432&lt;&gt;"",$R432='تقرير ديسمبر'!$C$4,$P432='تقرير ديسمبر'!$C$6),COUNT(Z$4:Z431)+1,"")</f>
        <v/>
      </c>
      <c r="AA432">
        <f>IF(AND($A432&lt;&gt;"",$B432&lt;&gt;"",$R432='تقرير يناير'!$C$4,$P432='تقرير يناير'!$C$6),COUNT(AA$4:AA431)+1,"")</f>
        <v/>
      </c>
      <c r="AB432">
        <f>IF(AND($A432&lt;&gt;"",$B432&lt;&gt;"",$R432='تقرير فبراير'!$C$4,$P432='تقرير فبراير'!$C$6),COUNT(AB$4:AB431)+1,"")</f>
        <v/>
      </c>
      <c r="AC432">
        <f>IF(AND($A432&lt;&gt;"",$B432&lt;&gt;"",$R432='تقرير مارس'!$C$4,$P432='تقرير مارس'!$C$6),COUNT(AC$4:AC431)+1,"")</f>
        <v/>
      </c>
      <c r="AD432">
        <f>IF(AND($A432&lt;&gt;"",$B432&lt;&gt;"",$R432='تقرير أبريل'!$C$4,$P432='تقرير أبريل'!$C$6),COUNT(AD$4:AD431)+1,"")</f>
        <v/>
      </c>
      <c r="AE432">
        <f>IF(AND($A432&lt;&gt;"",$B432&lt;&gt;"",$R432='تقرير مايو'!$C$4,$P432='تقرير مايو'!$C$6),COUNT(AE$4:AE431)+1,"")</f>
        <v/>
      </c>
    </row>
    <row r="433">
      <c r="A433" s="16" t="n"/>
      <c r="B433" s="17" t="n"/>
      <c r="C433" s="17" t="n"/>
      <c r="D433" s="18" t="n"/>
      <c r="E433" s="17" t="n"/>
      <c r="F433" s="17" t="n"/>
      <c r="G433" s="19" t="n"/>
      <c r="H433" s="17" t="n"/>
      <c r="I433" s="17" t="n"/>
      <c r="J433" s="17" t="n"/>
      <c r="K433" s="20">
        <f>IF($B433="","",IFERROR(INDEX(الموظفات!$A$5:$A$304,MATCH($B433,الموظفات!$B$5:$B$304,0))&amp;"",""))</f>
        <v/>
      </c>
      <c r="L433" s="21">
        <f>IF($B433="","",IFERROR(INDEX(الموظفات!$C$5:$C$304,MATCH($B433,الموظفات!$B$5:$B$304,0))&amp;"",""))</f>
        <v/>
      </c>
      <c r="M433" s="20">
        <f>IF($B433="","",IFERROR(INDEX(الموظفات!$D$5:$D$304,MATCH($B433,الموظفات!$B$5:$B$304,0))&amp;"",""))</f>
        <v/>
      </c>
      <c r="N433" s="20">
        <f>IF($B433="","",IFERROR(INDEX(الموظفات!$E$5:$E$304,MATCH($B433,الموظفات!$B$5:$B$304,0))&amp;"",""))</f>
        <v/>
      </c>
      <c r="O433" s="21">
        <f>IF(C433="","",IFERROR(INDEX(الإعدادات!$D$7:$D$35,MATCH(C433,الإعدادات!$A$7:$A$35,0))&amp;"",""))</f>
        <v/>
      </c>
      <c r="P433" s="20">
        <f>IF(A433="","",INDEX(الإعدادات!$H$7:$H$18,MONTH(A433)))</f>
        <v/>
      </c>
      <c r="Q433" s="20">
        <f>IF(A433="","",INDEX(الإعدادات!$I$7:$I$18,MONTH(A433)))</f>
        <v/>
      </c>
      <c r="R433" s="20">
        <f>IF(A433="","",IF(MONTH(A433)&gt;=8,YEAR(A433)&amp;"-"&amp;(YEAR(A433)+1),(YEAR(A433)-1)&amp;"-"&amp;YEAR(A433)))</f>
        <v/>
      </c>
      <c r="S433" s="20">
        <f>IF(OR(A433="",B433=""),0,IF(AND(R433=التقارير!$C$4,OR(التقارير!$C$5="سنوي",AND(التقارير!$C$5="شهري",P433=التقارير!$C$6),AND(التقارير!$C$5="فصلي",Q433=التقارير!$C$7))),1,0))</f>
        <v/>
      </c>
      <c r="T433" s="20">
        <f>IF(S433=1,COUNTIF($S$5:S433,1),"")</f>
        <v/>
      </c>
      <c r="U433">
        <f>IF(AND($A433&lt;&gt;"",$B433&lt;&gt;"",$R433='تقرير الفصل الأول'!$C$4,$Q433='تقرير الفصل الأول'!$C$7),COUNT(U$4:U432)+1,"")</f>
        <v/>
      </c>
      <c r="V433">
        <f>IF(AND($A433&lt;&gt;"",$B433&lt;&gt;"",$R433='تقرير الفصل الثاني'!$C$4,$Q433='تقرير الفصل الثاني'!$C$7),COUNT(V$4:V432)+1,"")</f>
        <v/>
      </c>
      <c r="W433">
        <f>IF(AND($A433&lt;&gt;"",$B433&lt;&gt;"",$R433='تقرير سبتمبر'!$C$4,$P433='تقرير سبتمبر'!$C$6),COUNT(W$4:W432)+1,"")</f>
        <v/>
      </c>
      <c r="X433">
        <f>IF(AND($A433&lt;&gt;"",$B433&lt;&gt;"",$R433='تقرير أكتوبر'!$C$4,$P433='تقرير أكتوبر'!$C$6),COUNT(X$4:X432)+1,"")</f>
        <v/>
      </c>
      <c r="Y433">
        <f>IF(AND($A433&lt;&gt;"",$B433&lt;&gt;"",$R433='تقرير نوفمبر'!$C$4,$P433='تقرير نوفمبر'!$C$6),COUNT(Y$4:Y432)+1,"")</f>
        <v/>
      </c>
      <c r="Z433">
        <f>IF(AND($A433&lt;&gt;"",$B433&lt;&gt;"",$R433='تقرير ديسمبر'!$C$4,$P433='تقرير ديسمبر'!$C$6),COUNT(Z$4:Z432)+1,"")</f>
        <v/>
      </c>
      <c r="AA433">
        <f>IF(AND($A433&lt;&gt;"",$B433&lt;&gt;"",$R433='تقرير يناير'!$C$4,$P433='تقرير يناير'!$C$6),COUNT(AA$4:AA432)+1,"")</f>
        <v/>
      </c>
      <c r="AB433">
        <f>IF(AND($A433&lt;&gt;"",$B433&lt;&gt;"",$R433='تقرير فبراير'!$C$4,$P433='تقرير فبراير'!$C$6),COUNT(AB$4:AB432)+1,"")</f>
        <v/>
      </c>
      <c r="AC433">
        <f>IF(AND($A433&lt;&gt;"",$B433&lt;&gt;"",$R433='تقرير مارس'!$C$4,$P433='تقرير مارس'!$C$6),COUNT(AC$4:AC432)+1,"")</f>
        <v/>
      </c>
      <c r="AD433">
        <f>IF(AND($A433&lt;&gt;"",$B433&lt;&gt;"",$R433='تقرير أبريل'!$C$4,$P433='تقرير أبريل'!$C$6),COUNT(AD$4:AD432)+1,"")</f>
        <v/>
      </c>
      <c r="AE433">
        <f>IF(AND($A433&lt;&gt;"",$B433&lt;&gt;"",$R433='تقرير مايو'!$C$4,$P433='تقرير مايو'!$C$6),COUNT(AE$4:AE432)+1,"")</f>
        <v/>
      </c>
    </row>
    <row r="434">
      <c r="A434" s="16" t="n"/>
      <c r="B434" s="17" t="n"/>
      <c r="C434" s="17" t="n"/>
      <c r="D434" s="18" t="n"/>
      <c r="E434" s="17" t="n"/>
      <c r="F434" s="17" t="n"/>
      <c r="G434" s="19" t="n"/>
      <c r="H434" s="17" t="n"/>
      <c r="I434" s="17" t="n"/>
      <c r="J434" s="17" t="n"/>
      <c r="K434" s="20">
        <f>IF($B434="","",IFERROR(INDEX(الموظفات!$A$5:$A$304,MATCH($B434,الموظفات!$B$5:$B$304,0))&amp;"",""))</f>
        <v/>
      </c>
      <c r="L434" s="21">
        <f>IF($B434="","",IFERROR(INDEX(الموظفات!$C$5:$C$304,MATCH($B434,الموظفات!$B$5:$B$304,0))&amp;"",""))</f>
        <v/>
      </c>
      <c r="M434" s="20">
        <f>IF($B434="","",IFERROR(INDEX(الموظفات!$D$5:$D$304,MATCH($B434,الموظفات!$B$5:$B$304,0))&amp;"",""))</f>
        <v/>
      </c>
      <c r="N434" s="20">
        <f>IF($B434="","",IFERROR(INDEX(الموظفات!$E$5:$E$304,MATCH($B434,الموظفات!$B$5:$B$304,0))&amp;"",""))</f>
        <v/>
      </c>
      <c r="O434" s="21">
        <f>IF(C434="","",IFERROR(INDEX(الإعدادات!$D$7:$D$35,MATCH(C434,الإعدادات!$A$7:$A$35,0))&amp;"",""))</f>
        <v/>
      </c>
      <c r="P434" s="20">
        <f>IF(A434="","",INDEX(الإعدادات!$H$7:$H$18,MONTH(A434)))</f>
        <v/>
      </c>
      <c r="Q434" s="20">
        <f>IF(A434="","",INDEX(الإعدادات!$I$7:$I$18,MONTH(A434)))</f>
        <v/>
      </c>
      <c r="R434" s="20">
        <f>IF(A434="","",IF(MONTH(A434)&gt;=8,YEAR(A434)&amp;"-"&amp;(YEAR(A434)+1),(YEAR(A434)-1)&amp;"-"&amp;YEAR(A434)))</f>
        <v/>
      </c>
      <c r="S434" s="20">
        <f>IF(OR(A434="",B434=""),0,IF(AND(R434=التقارير!$C$4,OR(التقارير!$C$5="سنوي",AND(التقارير!$C$5="شهري",P434=التقارير!$C$6),AND(التقارير!$C$5="فصلي",Q434=التقارير!$C$7))),1,0))</f>
        <v/>
      </c>
      <c r="T434" s="20">
        <f>IF(S434=1,COUNTIF($S$5:S434,1),"")</f>
        <v/>
      </c>
      <c r="U434">
        <f>IF(AND($A434&lt;&gt;"",$B434&lt;&gt;"",$R434='تقرير الفصل الأول'!$C$4,$Q434='تقرير الفصل الأول'!$C$7),COUNT(U$4:U433)+1,"")</f>
        <v/>
      </c>
      <c r="V434">
        <f>IF(AND($A434&lt;&gt;"",$B434&lt;&gt;"",$R434='تقرير الفصل الثاني'!$C$4,$Q434='تقرير الفصل الثاني'!$C$7),COUNT(V$4:V433)+1,"")</f>
        <v/>
      </c>
      <c r="W434">
        <f>IF(AND($A434&lt;&gt;"",$B434&lt;&gt;"",$R434='تقرير سبتمبر'!$C$4,$P434='تقرير سبتمبر'!$C$6),COUNT(W$4:W433)+1,"")</f>
        <v/>
      </c>
      <c r="X434">
        <f>IF(AND($A434&lt;&gt;"",$B434&lt;&gt;"",$R434='تقرير أكتوبر'!$C$4,$P434='تقرير أكتوبر'!$C$6),COUNT(X$4:X433)+1,"")</f>
        <v/>
      </c>
      <c r="Y434">
        <f>IF(AND($A434&lt;&gt;"",$B434&lt;&gt;"",$R434='تقرير نوفمبر'!$C$4,$P434='تقرير نوفمبر'!$C$6),COUNT(Y$4:Y433)+1,"")</f>
        <v/>
      </c>
      <c r="Z434">
        <f>IF(AND($A434&lt;&gt;"",$B434&lt;&gt;"",$R434='تقرير ديسمبر'!$C$4,$P434='تقرير ديسمبر'!$C$6),COUNT(Z$4:Z433)+1,"")</f>
        <v/>
      </c>
      <c r="AA434">
        <f>IF(AND($A434&lt;&gt;"",$B434&lt;&gt;"",$R434='تقرير يناير'!$C$4,$P434='تقرير يناير'!$C$6),COUNT(AA$4:AA433)+1,"")</f>
        <v/>
      </c>
      <c r="AB434">
        <f>IF(AND($A434&lt;&gt;"",$B434&lt;&gt;"",$R434='تقرير فبراير'!$C$4,$P434='تقرير فبراير'!$C$6),COUNT(AB$4:AB433)+1,"")</f>
        <v/>
      </c>
      <c r="AC434">
        <f>IF(AND($A434&lt;&gt;"",$B434&lt;&gt;"",$R434='تقرير مارس'!$C$4,$P434='تقرير مارس'!$C$6),COUNT(AC$4:AC433)+1,"")</f>
        <v/>
      </c>
      <c r="AD434">
        <f>IF(AND($A434&lt;&gt;"",$B434&lt;&gt;"",$R434='تقرير أبريل'!$C$4,$P434='تقرير أبريل'!$C$6),COUNT(AD$4:AD433)+1,"")</f>
        <v/>
      </c>
      <c r="AE434">
        <f>IF(AND($A434&lt;&gt;"",$B434&lt;&gt;"",$R434='تقرير مايو'!$C$4,$P434='تقرير مايو'!$C$6),COUNT(AE$4:AE433)+1,"")</f>
        <v/>
      </c>
    </row>
    <row r="435">
      <c r="A435" s="16" t="n"/>
      <c r="B435" s="17" t="n"/>
      <c r="C435" s="17" t="n"/>
      <c r="D435" s="18" t="n"/>
      <c r="E435" s="17" t="n"/>
      <c r="F435" s="17" t="n"/>
      <c r="G435" s="19" t="n"/>
      <c r="H435" s="17" t="n"/>
      <c r="I435" s="17" t="n"/>
      <c r="J435" s="17" t="n"/>
      <c r="K435" s="20">
        <f>IF($B435="","",IFERROR(INDEX(الموظفات!$A$5:$A$304,MATCH($B435,الموظفات!$B$5:$B$304,0))&amp;"",""))</f>
        <v/>
      </c>
      <c r="L435" s="21">
        <f>IF($B435="","",IFERROR(INDEX(الموظفات!$C$5:$C$304,MATCH($B435,الموظفات!$B$5:$B$304,0))&amp;"",""))</f>
        <v/>
      </c>
      <c r="M435" s="20">
        <f>IF($B435="","",IFERROR(INDEX(الموظفات!$D$5:$D$304,MATCH($B435,الموظفات!$B$5:$B$304,0))&amp;"",""))</f>
        <v/>
      </c>
      <c r="N435" s="20">
        <f>IF($B435="","",IFERROR(INDEX(الموظفات!$E$5:$E$304,MATCH($B435,الموظفات!$B$5:$B$304,0))&amp;"",""))</f>
        <v/>
      </c>
      <c r="O435" s="21">
        <f>IF(C435="","",IFERROR(INDEX(الإعدادات!$D$7:$D$35,MATCH(C435,الإعدادات!$A$7:$A$35,0))&amp;"",""))</f>
        <v/>
      </c>
      <c r="P435" s="20">
        <f>IF(A435="","",INDEX(الإعدادات!$H$7:$H$18,MONTH(A435)))</f>
        <v/>
      </c>
      <c r="Q435" s="20">
        <f>IF(A435="","",INDEX(الإعدادات!$I$7:$I$18,MONTH(A435)))</f>
        <v/>
      </c>
      <c r="R435" s="20">
        <f>IF(A435="","",IF(MONTH(A435)&gt;=8,YEAR(A435)&amp;"-"&amp;(YEAR(A435)+1),(YEAR(A435)-1)&amp;"-"&amp;YEAR(A435)))</f>
        <v/>
      </c>
      <c r="S435" s="20">
        <f>IF(OR(A435="",B435=""),0,IF(AND(R435=التقارير!$C$4,OR(التقارير!$C$5="سنوي",AND(التقارير!$C$5="شهري",P435=التقارير!$C$6),AND(التقارير!$C$5="فصلي",Q435=التقارير!$C$7))),1,0))</f>
        <v/>
      </c>
      <c r="T435" s="20">
        <f>IF(S435=1,COUNTIF($S$5:S435,1),"")</f>
        <v/>
      </c>
      <c r="U435">
        <f>IF(AND($A435&lt;&gt;"",$B435&lt;&gt;"",$R435='تقرير الفصل الأول'!$C$4,$Q435='تقرير الفصل الأول'!$C$7),COUNT(U$4:U434)+1,"")</f>
        <v/>
      </c>
      <c r="V435">
        <f>IF(AND($A435&lt;&gt;"",$B435&lt;&gt;"",$R435='تقرير الفصل الثاني'!$C$4,$Q435='تقرير الفصل الثاني'!$C$7),COUNT(V$4:V434)+1,"")</f>
        <v/>
      </c>
      <c r="W435">
        <f>IF(AND($A435&lt;&gt;"",$B435&lt;&gt;"",$R435='تقرير سبتمبر'!$C$4,$P435='تقرير سبتمبر'!$C$6),COUNT(W$4:W434)+1,"")</f>
        <v/>
      </c>
      <c r="X435">
        <f>IF(AND($A435&lt;&gt;"",$B435&lt;&gt;"",$R435='تقرير أكتوبر'!$C$4,$P435='تقرير أكتوبر'!$C$6),COUNT(X$4:X434)+1,"")</f>
        <v/>
      </c>
      <c r="Y435">
        <f>IF(AND($A435&lt;&gt;"",$B435&lt;&gt;"",$R435='تقرير نوفمبر'!$C$4,$P435='تقرير نوفمبر'!$C$6),COUNT(Y$4:Y434)+1,"")</f>
        <v/>
      </c>
      <c r="Z435">
        <f>IF(AND($A435&lt;&gt;"",$B435&lt;&gt;"",$R435='تقرير ديسمبر'!$C$4,$P435='تقرير ديسمبر'!$C$6),COUNT(Z$4:Z434)+1,"")</f>
        <v/>
      </c>
      <c r="AA435">
        <f>IF(AND($A435&lt;&gt;"",$B435&lt;&gt;"",$R435='تقرير يناير'!$C$4,$P435='تقرير يناير'!$C$6),COUNT(AA$4:AA434)+1,"")</f>
        <v/>
      </c>
      <c r="AB435">
        <f>IF(AND($A435&lt;&gt;"",$B435&lt;&gt;"",$R435='تقرير فبراير'!$C$4,$P435='تقرير فبراير'!$C$6),COUNT(AB$4:AB434)+1,"")</f>
        <v/>
      </c>
      <c r="AC435">
        <f>IF(AND($A435&lt;&gt;"",$B435&lt;&gt;"",$R435='تقرير مارس'!$C$4,$P435='تقرير مارس'!$C$6),COUNT(AC$4:AC434)+1,"")</f>
        <v/>
      </c>
      <c r="AD435">
        <f>IF(AND($A435&lt;&gt;"",$B435&lt;&gt;"",$R435='تقرير أبريل'!$C$4,$P435='تقرير أبريل'!$C$6),COUNT(AD$4:AD434)+1,"")</f>
        <v/>
      </c>
      <c r="AE435">
        <f>IF(AND($A435&lt;&gt;"",$B435&lt;&gt;"",$R435='تقرير مايو'!$C$4,$P435='تقرير مايو'!$C$6),COUNT(AE$4:AE434)+1,"")</f>
        <v/>
      </c>
    </row>
    <row r="436">
      <c r="A436" s="16" t="n"/>
      <c r="B436" s="17" t="n"/>
      <c r="C436" s="17" t="n"/>
      <c r="D436" s="18" t="n"/>
      <c r="E436" s="17" t="n"/>
      <c r="F436" s="17" t="n"/>
      <c r="G436" s="19" t="n"/>
      <c r="H436" s="17" t="n"/>
      <c r="I436" s="17" t="n"/>
      <c r="J436" s="17" t="n"/>
      <c r="K436" s="20">
        <f>IF($B436="","",IFERROR(INDEX(الموظفات!$A$5:$A$304,MATCH($B436,الموظفات!$B$5:$B$304,0))&amp;"",""))</f>
        <v/>
      </c>
      <c r="L436" s="21">
        <f>IF($B436="","",IFERROR(INDEX(الموظفات!$C$5:$C$304,MATCH($B436,الموظفات!$B$5:$B$304,0))&amp;"",""))</f>
        <v/>
      </c>
      <c r="M436" s="20">
        <f>IF($B436="","",IFERROR(INDEX(الموظفات!$D$5:$D$304,MATCH($B436,الموظفات!$B$5:$B$304,0))&amp;"",""))</f>
        <v/>
      </c>
      <c r="N436" s="20">
        <f>IF($B436="","",IFERROR(INDEX(الموظفات!$E$5:$E$304,MATCH($B436,الموظفات!$B$5:$B$304,0))&amp;"",""))</f>
        <v/>
      </c>
      <c r="O436" s="21">
        <f>IF(C436="","",IFERROR(INDEX(الإعدادات!$D$7:$D$35,MATCH(C436,الإعدادات!$A$7:$A$35,0))&amp;"",""))</f>
        <v/>
      </c>
      <c r="P436" s="20">
        <f>IF(A436="","",INDEX(الإعدادات!$H$7:$H$18,MONTH(A436)))</f>
        <v/>
      </c>
      <c r="Q436" s="20">
        <f>IF(A436="","",INDEX(الإعدادات!$I$7:$I$18,MONTH(A436)))</f>
        <v/>
      </c>
      <c r="R436" s="20">
        <f>IF(A436="","",IF(MONTH(A436)&gt;=8,YEAR(A436)&amp;"-"&amp;(YEAR(A436)+1),(YEAR(A436)-1)&amp;"-"&amp;YEAR(A436)))</f>
        <v/>
      </c>
      <c r="S436" s="20">
        <f>IF(OR(A436="",B436=""),0,IF(AND(R436=التقارير!$C$4,OR(التقارير!$C$5="سنوي",AND(التقارير!$C$5="شهري",P436=التقارير!$C$6),AND(التقارير!$C$5="فصلي",Q436=التقارير!$C$7))),1,0))</f>
        <v/>
      </c>
      <c r="T436" s="20">
        <f>IF(S436=1,COUNTIF($S$5:S436,1),"")</f>
        <v/>
      </c>
      <c r="U436">
        <f>IF(AND($A436&lt;&gt;"",$B436&lt;&gt;"",$R436='تقرير الفصل الأول'!$C$4,$Q436='تقرير الفصل الأول'!$C$7),COUNT(U$4:U435)+1,"")</f>
        <v/>
      </c>
      <c r="V436">
        <f>IF(AND($A436&lt;&gt;"",$B436&lt;&gt;"",$R436='تقرير الفصل الثاني'!$C$4,$Q436='تقرير الفصل الثاني'!$C$7),COUNT(V$4:V435)+1,"")</f>
        <v/>
      </c>
      <c r="W436">
        <f>IF(AND($A436&lt;&gt;"",$B436&lt;&gt;"",$R436='تقرير سبتمبر'!$C$4,$P436='تقرير سبتمبر'!$C$6),COUNT(W$4:W435)+1,"")</f>
        <v/>
      </c>
      <c r="X436">
        <f>IF(AND($A436&lt;&gt;"",$B436&lt;&gt;"",$R436='تقرير أكتوبر'!$C$4,$P436='تقرير أكتوبر'!$C$6),COUNT(X$4:X435)+1,"")</f>
        <v/>
      </c>
      <c r="Y436">
        <f>IF(AND($A436&lt;&gt;"",$B436&lt;&gt;"",$R436='تقرير نوفمبر'!$C$4,$P436='تقرير نوفمبر'!$C$6),COUNT(Y$4:Y435)+1,"")</f>
        <v/>
      </c>
      <c r="Z436">
        <f>IF(AND($A436&lt;&gt;"",$B436&lt;&gt;"",$R436='تقرير ديسمبر'!$C$4,$P436='تقرير ديسمبر'!$C$6),COUNT(Z$4:Z435)+1,"")</f>
        <v/>
      </c>
      <c r="AA436">
        <f>IF(AND($A436&lt;&gt;"",$B436&lt;&gt;"",$R436='تقرير يناير'!$C$4,$P436='تقرير يناير'!$C$6),COUNT(AA$4:AA435)+1,"")</f>
        <v/>
      </c>
      <c r="AB436">
        <f>IF(AND($A436&lt;&gt;"",$B436&lt;&gt;"",$R436='تقرير فبراير'!$C$4,$P436='تقرير فبراير'!$C$6),COUNT(AB$4:AB435)+1,"")</f>
        <v/>
      </c>
      <c r="AC436">
        <f>IF(AND($A436&lt;&gt;"",$B436&lt;&gt;"",$R436='تقرير مارس'!$C$4,$P436='تقرير مارس'!$C$6),COUNT(AC$4:AC435)+1,"")</f>
        <v/>
      </c>
      <c r="AD436">
        <f>IF(AND($A436&lt;&gt;"",$B436&lt;&gt;"",$R436='تقرير أبريل'!$C$4,$P436='تقرير أبريل'!$C$6),COUNT(AD$4:AD435)+1,"")</f>
        <v/>
      </c>
      <c r="AE436">
        <f>IF(AND($A436&lt;&gt;"",$B436&lt;&gt;"",$R436='تقرير مايو'!$C$4,$P436='تقرير مايو'!$C$6),COUNT(AE$4:AE435)+1,"")</f>
        <v/>
      </c>
    </row>
    <row r="437">
      <c r="A437" s="16" t="n"/>
      <c r="B437" s="17" t="n"/>
      <c r="C437" s="17" t="n"/>
      <c r="D437" s="18" t="n"/>
      <c r="E437" s="17" t="n"/>
      <c r="F437" s="17" t="n"/>
      <c r="G437" s="19" t="n"/>
      <c r="H437" s="17" t="n"/>
      <c r="I437" s="17" t="n"/>
      <c r="J437" s="17" t="n"/>
      <c r="K437" s="20">
        <f>IF($B437="","",IFERROR(INDEX(الموظفات!$A$5:$A$304,MATCH($B437,الموظفات!$B$5:$B$304,0))&amp;"",""))</f>
        <v/>
      </c>
      <c r="L437" s="21">
        <f>IF($B437="","",IFERROR(INDEX(الموظفات!$C$5:$C$304,MATCH($B437,الموظفات!$B$5:$B$304,0))&amp;"",""))</f>
        <v/>
      </c>
      <c r="M437" s="20">
        <f>IF($B437="","",IFERROR(INDEX(الموظفات!$D$5:$D$304,MATCH($B437,الموظفات!$B$5:$B$304,0))&amp;"",""))</f>
        <v/>
      </c>
      <c r="N437" s="20">
        <f>IF($B437="","",IFERROR(INDEX(الموظفات!$E$5:$E$304,MATCH($B437,الموظفات!$B$5:$B$304,0))&amp;"",""))</f>
        <v/>
      </c>
      <c r="O437" s="21">
        <f>IF(C437="","",IFERROR(INDEX(الإعدادات!$D$7:$D$35,MATCH(C437,الإعدادات!$A$7:$A$35,0))&amp;"",""))</f>
        <v/>
      </c>
      <c r="P437" s="20">
        <f>IF(A437="","",INDEX(الإعدادات!$H$7:$H$18,MONTH(A437)))</f>
        <v/>
      </c>
      <c r="Q437" s="20">
        <f>IF(A437="","",INDEX(الإعدادات!$I$7:$I$18,MONTH(A437)))</f>
        <v/>
      </c>
      <c r="R437" s="20">
        <f>IF(A437="","",IF(MONTH(A437)&gt;=8,YEAR(A437)&amp;"-"&amp;(YEAR(A437)+1),(YEAR(A437)-1)&amp;"-"&amp;YEAR(A437)))</f>
        <v/>
      </c>
      <c r="S437" s="20">
        <f>IF(OR(A437="",B437=""),0,IF(AND(R437=التقارير!$C$4,OR(التقارير!$C$5="سنوي",AND(التقارير!$C$5="شهري",P437=التقارير!$C$6),AND(التقارير!$C$5="فصلي",Q437=التقارير!$C$7))),1,0))</f>
        <v/>
      </c>
      <c r="T437" s="20">
        <f>IF(S437=1,COUNTIF($S$5:S437,1),"")</f>
        <v/>
      </c>
      <c r="U437">
        <f>IF(AND($A437&lt;&gt;"",$B437&lt;&gt;"",$R437='تقرير الفصل الأول'!$C$4,$Q437='تقرير الفصل الأول'!$C$7),COUNT(U$4:U436)+1,"")</f>
        <v/>
      </c>
      <c r="V437">
        <f>IF(AND($A437&lt;&gt;"",$B437&lt;&gt;"",$R437='تقرير الفصل الثاني'!$C$4,$Q437='تقرير الفصل الثاني'!$C$7),COUNT(V$4:V436)+1,"")</f>
        <v/>
      </c>
      <c r="W437">
        <f>IF(AND($A437&lt;&gt;"",$B437&lt;&gt;"",$R437='تقرير سبتمبر'!$C$4,$P437='تقرير سبتمبر'!$C$6),COUNT(W$4:W436)+1,"")</f>
        <v/>
      </c>
      <c r="X437">
        <f>IF(AND($A437&lt;&gt;"",$B437&lt;&gt;"",$R437='تقرير أكتوبر'!$C$4,$P437='تقرير أكتوبر'!$C$6),COUNT(X$4:X436)+1,"")</f>
        <v/>
      </c>
      <c r="Y437">
        <f>IF(AND($A437&lt;&gt;"",$B437&lt;&gt;"",$R437='تقرير نوفمبر'!$C$4,$P437='تقرير نوفمبر'!$C$6),COUNT(Y$4:Y436)+1,"")</f>
        <v/>
      </c>
      <c r="Z437">
        <f>IF(AND($A437&lt;&gt;"",$B437&lt;&gt;"",$R437='تقرير ديسمبر'!$C$4,$P437='تقرير ديسمبر'!$C$6),COUNT(Z$4:Z436)+1,"")</f>
        <v/>
      </c>
      <c r="AA437">
        <f>IF(AND($A437&lt;&gt;"",$B437&lt;&gt;"",$R437='تقرير يناير'!$C$4,$P437='تقرير يناير'!$C$6),COUNT(AA$4:AA436)+1,"")</f>
        <v/>
      </c>
      <c r="AB437">
        <f>IF(AND($A437&lt;&gt;"",$B437&lt;&gt;"",$R437='تقرير فبراير'!$C$4,$P437='تقرير فبراير'!$C$6),COUNT(AB$4:AB436)+1,"")</f>
        <v/>
      </c>
      <c r="AC437">
        <f>IF(AND($A437&lt;&gt;"",$B437&lt;&gt;"",$R437='تقرير مارس'!$C$4,$P437='تقرير مارس'!$C$6),COUNT(AC$4:AC436)+1,"")</f>
        <v/>
      </c>
      <c r="AD437">
        <f>IF(AND($A437&lt;&gt;"",$B437&lt;&gt;"",$R437='تقرير أبريل'!$C$4,$P437='تقرير أبريل'!$C$6),COUNT(AD$4:AD436)+1,"")</f>
        <v/>
      </c>
      <c r="AE437">
        <f>IF(AND($A437&lt;&gt;"",$B437&lt;&gt;"",$R437='تقرير مايو'!$C$4,$P437='تقرير مايو'!$C$6),COUNT(AE$4:AE436)+1,"")</f>
        <v/>
      </c>
    </row>
    <row r="438">
      <c r="A438" s="16" t="n"/>
      <c r="B438" s="17" t="n"/>
      <c r="C438" s="17" t="n"/>
      <c r="D438" s="18" t="n"/>
      <c r="E438" s="17" t="n"/>
      <c r="F438" s="17" t="n"/>
      <c r="G438" s="19" t="n"/>
      <c r="H438" s="17" t="n"/>
      <c r="I438" s="17" t="n"/>
      <c r="J438" s="17" t="n"/>
      <c r="K438" s="20">
        <f>IF($B438="","",IFERROR(INDEX(الموظفات!$A$5:$A$304,MATCH($B438,الموظفات!$B$5:$B$304,0))&amp;"",""))</f>
        <v/>
      </c>
      <c r="L438" s="21">
        <f>IF($B438="","",IFERROR(INDEX(الموظفات!$C$5:$C$304,MATCH($B438,الموظفات!$B$5:$B$304,0))&amp;"",""))</f>
        <v/>
      </c>
      <c r="M438" s="20">
        <f>IF($B438="","",IFERROR(INDEX(الموظفات!$D$5:$D$304,MATCH($B438,الموظفات!$B$5:$B$304,0))&amp;"",""))</f>
        <v/>
      </c>
      <c r="N438" s="20">
        <f>IF($B438="","",IFERROR(INDEX(الموظفات!$E$5:$E$304,MATCH($B438,الموظفات!$B$5:$B$304,0))&amp;"",""))</f>
        <v/>
      </c>
      <c r="O438" s="21">
        <f>IF(C438="","",IFERROR(INDEX(الإعدادات!$D$7:$D$35,MATCH(C438,الإعدادات!$A$7:$A$35,0))&amp;"",""))</f>
        <v/>
      </c>
      <c r="P438" s="20">
        <f>IF(A438="","",INDEX(الإعدادات!$H$7:$H$18,MONTH(A438)))</f>
        <v/>
      </c>
      <c r="Q438" s="20">
        <f>IF(A438="","",INDEX(الإعدادات!$I$7:$I$18,MONTH(A438)))</f>
        <v/>
      </c>
      <c r="R438" s="20">
        <f>IF(A438="","",IF(MONTH(A438)&gt;=8,YEAR(A438)&amp;"-"&amp;(YEAR(A438)+1),(YEAR(A438)-1)&amp;"-"&amp;YEAR(A438)))</f>
        <v/>
      </c>
      <c r="S438" s="20">
        <f>IF(OR(A438="",B438=""),0,IF(AND(R438=التقارير!$C$4,OR(التقارير!$C$5="سنوي",AND(التقارير!$C$5="شهري",P438=التقارير!$C$6),AND(التقارير!$C$5="فصلي",Q438=التقارير!$C$7))),1,0))</f>
        <v/>
      </c>
      <c r="T438" s="20">
        <f>IF(S438=1,COUNTIF($S$5:S438,1),"")</f>
        <v/>
      </c>
      <c r="U438">
        <f>IF(AND($A438&lt;&gt;"",$B438&lt;&gt;"",$R438='تقرير الفصل الأول'!$C$4,$Q438='تقرير الفصل الأول'!$C$7),COUNT(U$4:U437)+1,"")</f>
        <v/>
      </c>
      <c r="V438">
        <f>IF(AND($A438&lt;&gt;"",$B438&lt;&gt;"",$R438='تقرير الفصل الثاني'!$C$4,$Q438='تقرير الفصل الثاني'!$C$7),COUNT(V$4:V437)+1,"")</f>
        <v/>
      </c>
      <c r="W438">
        <f>IF(AND($A438&lt;&gt;"",$B438&lt;&gt;"",$R438='تقرير سبتمبر'!$C$4,$P438='تقرير سبتمبر'!$C$6),COUNT(W$4:W437)+1,"")</f>
        <v/>
      </c>
      <c r="X438">
        <f>IF(AND($A438&lt;&gt;"",$B438&lt;&gt;"",$R438='تقرير أكتوبر'!$C$4,$P438='تقرير أكتوبر'!$C$6),COUNT(X$4:X437)+1,"")</f>
        <v/>
      </c>
      <c r="Y438">
        <f>IF(AND($A438&lt;&gt;"",$B438&lt;&gt;"",$R438='تقرير نوفمبر'!$C$4,$P438='تقرير نوفمبر'!$C$6),COUNT(Y$4:Y437)+1,"")</f>
        <v/>
      </c>
      <c r="Z438">
        <f>IF(AND($A438&lt;&gt;"",$B438&lt;&gt;"",$R438='تقرير ديسمبر'!$C$4,$P438='تقرير ديسمبر'!$C$6),COUNT(Z$4:Z437)+1,"")</f>
        <v/>
      </c>
      <c r="AA438">
        <f>IF(AND($A438&lt;&gt;"",$B438&lt;&gt;"",$R438='تقرير يناير'!$C$4,$P438='تقرير يناير'!$C$6),COUNT(AA$4:AA437)+1,"")</f>
        <v/>
      </c>
      <c r="AB438">
        <f>IF(AND($A438&lt;&gt;"",$B438&lt;&gt;"",$R438='تقرير فبراير'!$C$4,$P438='تقرير فبراير'!$C$6),COUNT(AB$4:AB437)+1,"")</f>
        <v/>
      </c>
      <c r="AC438">
        <f>IF(AND($A438&lt;&gt;"",$B438&lt;&gt;"",$R438='تقرير مارس'!$C$4,$P438='تقرير مارس'!$C$6),COUNT(AC$4:AC437)+1,"")</f>
        <v/>
      </c>
      <c r="AD438">
        <f>IF(AND($A438&lt;&gt;"",$B438&lt;&gt;"",$R438='تقرير أبريل'!$C$4,$P438='تقرير أبريل'!$C$6),COUNT(AD$4:AD437)+1,"")</f>
        <v/>
      </c>
      <c r="AE438">
        <f>IF(AND($A438&lt;&gt;"",$B438&lt;&gt;"",$R438='تقرير مايو'!$C$4,$P438='تقرير مايو'!$C$6),COUNT(AE$4:AE437)+1,"")</f>
        <v/>
      </c>
    </row>
    <row r="439">
      <c r="A439" s="16" t="n"/>
      <c r="B439" s="17" t="n"/>
      <c r="C439" s="17" t="n"/>
      <c r="D439" s="18" t="n"/>
      <c r="E439" s="17" t="n"/>
      <c r="F439" s="17" t="n"/>
      <c r="G439" s="19" t="n"/>
      <c r="H439" s="17" t="n"/>
      <c r="I439" s="17" t="n"/>
      <c r="J439" s="17" t="n"/>
      <c r="K439" s="20">
        <f>IF($B439="","",IFERROR(INDEX(الموظفات!$A$5:$A$304,MATCH($B439,الموظفات!$B$5:$B$304,0))&amp;"",""))</f>
        <v/>
      </c>
      <c r="L439" s="21">
        <f>IF($B439="","",IFERROR(INDEX(الموظفات!$C$5:$C$304,MATCH($B439,الموظفات!$B$5:$B$304,0))&amp;"",""))</f>
        <v/>
      </c>
      <c r="M439" s="20">
        <f>IF($B439="","",IFERROR(INDEX(الموظفات!$D$5:$D$304,MATCH($B439,الموظفات!$B$5:$B$304,0))&amp;"",""))</f>
        <v/>
      </c>
      <c r="N439" s="20">
        <f>IF($B439="","",IFERROR(INDEX(الموظفات!$E$5:$E$304,MATCH($B439,الموظفات!$B$5:$B$304,0))&amp;"",""))</f>
        <v/>
      </c>
      <c r="O439" s="21">
        <f>IF(C439="","",IFERROR(INDEX(الإعدادات!$D$7:$D$35,MATCH(C439,الإعدادات!$A$7:$A$35,0))&amp;"",""))</f>
        <v/>
      </c>
      <c r="P439" s="20">
        <f>IF(A439="","",INDEX(الإعدادات!$H$7:$H$18,MONTH(A439)))</f>
        <v/>
      </c>
      <c r="Q439" s="20">
        <f>IF(A439="","",INDEX(الإعدادات!$I$7:$I$18,MONTH(A439)))</f>
        <v/>
      </c>
      <c r="R439" s="20">
        <f>IF(A439="","",IF(MONTH(A439)&gt;=8,YEAR(A439)&amp;"-"&amp;(YEAR(A439)+1),(YEAR(A439)-1)&amp;"-"&amp;YEAR(A439)))</f>
        <v/>
      </c>
      <c r="S439" s="20">
        <f>IF(OR(A439="",B439=""),0,IF(AND(R439=التقارير!$C$4,OR(التقارير!$C$5="سنوي",AND(التقارير!$C$5="شهري",P439=التقارير!$C$6),AND(التقارير!$C$5="فصلي",Q439=التقارير!$C$7))),1,0))</f>
        <v/>
      </c>
      <c r="T439" s="20">
        <f>IF(S439=1,COUNTIF($S$5:S439,1),"")</f>
        <v/>
      </c>
      <c r="U439">
        <f>IF(AND($A439&lt;&gt;"",$B439&lt;&gt;"",$R439='تقرير الفصل الأول'!$C$4,$Q439='تقرير الفصل الأول'!$C$7),COUNT(U$4:U438)+1,"")</f>
        <v/>
      </c>
      <c r="V439">
        <f>IF(AND($A439&lt;&gt;"",$B439&lt;&gt;"",$R439='تقرير الفصل الثاني'!$C$4,$Q439='تقرير الفصل الثاني'!$C$7),COUNT(V$4:V438)+1,"")</f>
        <v/>
      </c>
      <c r="W439">
        <f>IF(AND($A439&lt;&gt;"",$B439&lt;&gt;"",$R439='تقرير سبتمبر'!$C$4,$P439='تقرير سبتمبر'!$C$6),COUNT(W$4:W438)+1,"")</f>
        <v/>
      </c>
      <c r="X439">
        <f>IF(AND($A439&lt;&gt;"",$B439&lt;&gt;"",$R439='تقرير أكتوبر'!$C$4,$P439='تقرير أكتوبر'!$C$6),COUNT(X$4:X438)+1,"")</f>
        <v/>
      </c>
      <c r="Y439">
        <f>IF(AND($A439&lt;&gt;"",$B439&lt;&gt;"",$R439='تقرير نوفمبر'!$C$4,$P439='تقرير نوفمبر'!$C$6),COUNT(Y$4:Y438)+1,"")</f>
        <v/>
      </c>
      <c r="Z439">
        <f>IF(AND($A439&lt;&gt;"",$B439&lt;&gt;"",$R439='تقرير ديسمبر'!$C$4,$P439='تقرير ديسمبر'!$C$6),COUNT(Z$4:Z438)+1,"")</f>
        <v/>
      </c>
      <c r="AA439">
        <f>IF(AND($A439&lt;&gt;"",$B439&lt;&gt;"",$R439='تقرير يناير'!$C$4,$P439='تقرير يناير'!$C$6),COUNT(AA$4:AA438)+1,"")</f>
        <v/>
      </c>
      <c r="AB439">
        <f>IF(AND($A439&lt;&gt;"",$B439&lt;&gt;"",$R439='تقرير فبراير'!$C$4,$P439='تقرير فبراير'!$C$6),COUNT(AB$4:AB438)+1,"")</f>
        <v/>
      </c>
      <c r="AC439">
        <f>IF(AND($A439&lt;&gt;"",$B439&lt;&gt;"",$R439='تقرير مارس'!$C$4,$P439='تقرير مارس'!$C$6),COUNT(AC$4:AC438)+1,"")</f>
        <v/>
      </c>
      <c r="AD439">
        <f>IF(AND($A439&lt;&gt;"",$B439&lt;&gt;"",$R439='تقرير أبريل'!$C$4,$P439='تقرير أبريل'!$C$6),COUNT(AD$4:AD438)+1,"")</f>
        <v/>
      </c>
      <c r="AE439">
        <f>IF(AND($A439&lt;&gt;"",$B439&lt;&gt;"",$R439='تقرير مايو'!$C$4,$P439='تقرير مايو'!$C$6),COUNT(AE$4:AE438)+1,"")</f>
        <v/>
      </c>
    </row>
    <row r="440">
      <c r="A440" s="16" t="n"/>
      <c r="B440" s="17" t="n"/>
      <c r="C440" s="17" t="n"/>
      <c r="D440" s="18" t="n"/>
      <c r="E440" s="17" t="n"/>
      <c r="F440" s="17" t="n"/>
      <c r="G440" s="19" t="n"/>
      <c r="H440" s="17" t="n"/>
      <c r="I440" s="17" t="n"/>
      <c r="J440" s="17" t="n"/>
      <c r="K440" s="20">
        <f>IF($B440="","",IFERROR(INDEX(الموظفات!$A$5:$A$304,MATCH($B440,الموظفات!$B$5:$B$304,0))&amp;"",""))</f>
        <v/>
      </c>
      <c r="L440" s="21">
        <f>IF($B440="","",IFERROR(INDEX(الموظفات!$C$5:$C$304,MATCH($B440,الموظفات!$B$5:$B$304,0))&amp;"",""))</f>
        <v/>
      </c>
      <c r="M440" s="20">
        <f>IF($B440="","",IFERROR(INDEX(الموظفات!$D$5:$D$304,MATCH($B440,الموظفات!$B$5:$B$304,0))&amp;"",""))</f>
        <v/>
      </c>
      <c r="N440" s="20">
        <f>IF($B440="","",IFERROR(INDEX(الموظفات!$E$5:$E$304,MATCH($B440,الموظفات!$B$5:$B$304,0))&amp;"",""))</f>
        <v/>
      </c>
      <c r="O440" s="21">
        <f>IF(C440="","",IFERROR(INDEX(الإعدادات!$D$7:$D$35,MATCH(C440,الإعدادات!$A$7:$A$35,0))&amp;"",""))</f>
        <v/>
      </c>
      <c r="P440" s="20">
        <f>IF(A440="","",INDEX(الإعدادات!$H$7:$H$18,MONTH(A440)))</f>
        <v/>
      </c>
      <c r="Q440" s="20">
        <f>IF(A440="","",INDEX(الإعدادات!$I$7:$I$18,MONTH(A440)))</f>
        <v/>
      </c>
      <c r="R440" s="20">
        <f>IF(A440="","",IF(MONTH(A440)&gt;=8,YEAR(A440)&amp;"-"&amp;(YEAR(A440)+1),(YEAR(A440)-1)&amp;"-"&amp;YEAR(A440)))</f>
        <v/>
      </c>
      <c r="S440" s="20">
        <f>IF(OR(A440="",B440=""),0,IF(AND(R440=التقارير!$C$4,OR(التقارير!$C$5="سنوي",AND(التقارير!$C$5="شهري",P440=التقارير!$C$6),AND(التقارير!$C$5="فصلي",Q440=التقارير!$C$7))),1,0))</f>
        <v/>
      </c>
      <c r="T440" s="20">
        <f>IF(S440=1,COUNTIF($S$5:S440,1),"")</f>
        <v/>
      </c>
      <c r="U440">
        <f>IF(AND($A440&lt;&gt;"",$B440&lt;&gt;"",$R440='تقرير الفصل الأول'!$C$4,$Q440='تقرير الفصل الأول'!$C$7),COUNT(U$4:U439)+1,"")</f>
        <v/>
      </c>
      <c r="V440">
        <f>IF(AND($A440&lt;&gt;"",$B440&lt;&gt;"",$R440='تقرير الفصل الثاني'!$C$4,$Q440='تقرير الفصل الثاني'!$C$7),COUNT(V$4:V439)+1,"")</f>
        <v/>
      </c>
      <c r="W440">
        <f>IF(AND($A440&lt;&gt;"",$B440&lt;&gt;"",$R440='تقرير سبتمبر'!$C$4,$P440='تقرير سبتمبر'!$C$6),COUNT(W$4:W439)+1,"")</f>
        <v/>
      </c>
      <c r="X440">
        <f>IF(AND($A440&lt;&gt;"",$B440&lt;&gt;"",$R440='تقرير أكتوبر'!$C$4,$P440='تقرير أكتوبر'!$C$6),COUNT(X$4:X439)+1,"")</f>
        <v/>
      </c>
      <c r="Y440">
        <f>IF(AND($A440&lt;&gt;"",$B440&lt;&gt;"",$R440='تقرير نوفمبر'!$C$4,$P440='تقرير نوفمبر'!$C$6),COUNT(Y$4:Y439)+1,"")</f>
        <v/>
      </c>
      <c r="Z440">
        <f>IF(AND($A440&lt;&gt;"",$B440&lt;&gt;"",$R440='تقرير ديسمبر'!$C$4,$P440='تقرير ديسمبر'!$C$6),COUNT(Z$4:Z439)+1,"")</f>
        <v/>
      </c>
      <c r="AA440">
        <f>IF(AND($A440&lt;&gt;"",$B440&lt;&gt;"",$R440='تقرير يناير'!$C$4,$P440='تقرير يناير'!$C$6),COUNT(AA$4:AA439)+1,"")</f>
        <v/>
      </c>
      <c r="AB440">
        <f>IF(AND($A440&lt;&gt;"",$B440&lt;&gt;"",$R440='تقرير فبراير'!$C$4,$P440='تقرير فبراير'!$C$6),COUNT(AB$4:AB439)+1,"")</f>
        <v/>
      </c>
      <c r="AC440">
        <f>IF(AND($A440&lt;&gt;"",$B440&lt;&gt;"",$R440='تقرير مارس'!$C$4,$P440='تقرير مارس'!$C$6),COUNT(AC$4:AC439)+1,"")</f>
        <v/>
      </c>
      <c r="AD440">
        <f>IF(AND($A440&lt;&gt;"",$B440&lt;&gt;"",$R440='تقرير أبريل'!$C$4,$P440='تقرير أبريل'!$C$6),COUNT(AD$4:AD439)+1,"")</f>
        <v/>
      </c>
      <c r="AE440">
        <f>IF(AND($A440&lt;&gt;"",$B440&lt;&gt;"",$R440='تقرير مايو'!$C$4,$P440='تقرير مايو'!$C$6),COUNT(AE$4:AE439)+1,"")</f>
        <v/>
      </c>
    </row>
    <row r="441">
      <c r="A441" s="16" t="n"/>
      <c r="B441" s="17" t="n"/>
      <c r="C441" s="17" t="n"/>
      <c r="D441" s="18" t="n"/>
      <c r="E441" s="17" t="n"/>
      <c r="F441" s="17" t="n"/>
      <c r="G441" s="19" t="n"/>
      <c r="H441" s="17" t="n"/>
      <c r="I441" s="17" t="n"/>
      <c r="J441" s="17" t="n"/>
      <c r="K441" s="20">
        <f>IF($B441="","",IFERROR(INDEX(الموظفات!$A$5:$A$304,MATCH($B441,الموظفات!$B$5:$B$304,0))&amp;"",""))</f>
        <v/>
      </c>
      <c r="L441" s="21">
        <f>IF($B441="","",IFERROR(INDEX(الموظفات!$C$5:$C$304,MATCH($B441,الموظفات!$B$5:$B$304,0))&amp;"",""))</f>
        <v/>
      </c>
      <c r="M441" s="20">
        <f>IF($B441="","",IFERROR(INDEX(الموظفات!$D$5:$D$304,MATCH($B441,الموظفات!$B$5:$B$304,0))&amp;"",""))</f>
        <v/>
      </c>
      <c r="N441" s="20">
        <f>IF($B441="","",IFERROR(INDEX(الموظفات!$E$5:$E$304,MATCH($B441,الموظفات!$B$5:$B$304,0))&amp;"",""))</f>
        <v/>
      </c>
      <c r="O441" s="21">
        <f>IF(C441="","",IFERROR(INDEX(الإعدادات!$D$7:$D$35,MATCH(C441,الإعدادات!$A$7:$A$35,0))&amp;"",""))</f>
        <v/>
      </c>
      <c r="P441" s="20">
        <f>IF(A441="","",INDEX(الإعدادات!$H$7:$H$18,MONTH(A441)))</f>
        <v/>
      </c>
      <c r="Q441" s="20">
        <f>IF(A441="","",INDEX(الإعدادات!$I$7:$I$18,MONTH(A441)))</f>
        <v/>
      </c>
      <c r="R441" s="20">
        <f>IF(A441="","",IF(MONTH(A441)&gt;=8,YEAR(A441)&amp;"-"&amp;(YEAR(A441)+1),(YEAR(A441)-1)&amp;"-"&amp;YEAR(A441)))</f>
        <v/>
      </c>
      <c r="S441" s="20">
        <f>IF(OR(A441="",B441=""),0,IF(AND(R441=التقارير!$C$4,OR(التقارير!$C$5="سنوي",AND(التقارير!$C$5="شهري",P441=التقارير!$C$6),AND(التقارير!$C$5="فصلي",Q441=التقارير!$C$7))),1,0))</f>
        <v/>
      </c>
      <c r="T441" s="20">
        <f>IF(S441=1,COUNTIF($S$5:S441,1),"")</f>
        <v/>
      </c>
      <c r="U441">
        <f>IF(AND($A441&lt;&gt;"",$B441&lt;&gt;"",$R441='تقرير الفصل الأول'!$C$4,$Q441='تقرير الفصل الأول'!$C$7),COUNT(U$4:U440)+1,"")</f>
        <v/>
      </c>
      <c r="V441">
        <f>IF(AND($A441&lt;&gt;"",$B441&lt;&gt;"",$R441='تقرير الفصل الثاني'!$C$4,$Q441='تقرير الفصل الثاني'!$C$7),COUNT(V$4:V440)+1,"")</f>
        <v/>
      </c>
      <c r="W441">
        <f>IF(AND($A441&lt;&gt;"",$B441&lt;&gt;"",$R441='تقرير سبتمبر'!$C$4,$P441='تقرير سبتمبر'!$C$6),COUNT(W$4:W440)+1,"")</f>
        <v/>
      </c>
      <c r="X441">
        <f>IF(AND($A441&lt;&gt;"",$B441&lt;&gt;"",$R441='تقرير أكتوبر'!$C$4,$P441='تقرير أكتوبر'!$C$6),COUNT(X$4:X440)+1,"")</f>
        <v/>
      </c>
      <c r="Y441">
        <f>IF(AND($A441&lt;&gt;"",$B441&lt;&gt;"",$R441='تقرير نوفمبر'!$C$4,$P441='تقرير نوفمبر'!$C$6),COUNT(Y$4:Y440)+1,"")</f>
        <v/>
      </c>
      <c r="Z441">
        <f>IF(AND($A441&lt;&gt;"",$B441&lt;&gt;"",$R441='تقرير ديسمبر'!$C$4,$P441='تقرير ديسمبر'!$C$6),COUNT(Z$4:Z440)+1,"")</f>
        <v/>
      </c>
      <c r="AA441">
        <f>IF(AND($A441&lt;&gt;"",$B441&lt;&gt;"",$R441='تقرير يناير'!$C$4,$P441='تقرير يناير'!$C$6),COUNT(AA$4:AA440)+1,"")</f>
        <v/>
      </c>
      <c r="AB441">
        <f>IF(AND($A441&lt;&gt;"",$B441&lt;&gt;"",$R441='تقرير فبراير'!$C$4,$P441='تقرير فبراير'!$C$6),COUNT(AB$4:AB440)+1,"")</f>
        <v/>
      </c>
      <c r="AC441">
        <f>IF(AND($A441&lt;&gt;"",$B441&lt;&gt;"",$R441='تقرير مارس'!$C$4,$P441='تقرير مارس'!$C$6),COUNT(AC$4:AC440)+1,"")</f>
        <v/>
      </c>
      <c r="AD441">
        <f>IF(AND($A441&lt;&gt;"",$B441&lt;&gt;"",$R441='تقرير أبريل'!$C$4,$P441='تقرير أبريل'!$C$6),COUNT(AD$4:AD440)+1,"")</f>
        <v/>
      </c>
      <c r="AE441">
        <f>IF(AND($A441&lt;&gt;"",$B441&lt;&gt;"",$R441='تقرير مايو'!$C$4,$P441='تقرير مايو'!$C$6),COUNT(AE$4:AE440)+1,"")</f>
        <v/>
      </c>
    </row>
    <row r="442">
      <c r="A442" s="16" t="n"/>
      <c r="B442" s="17" t="n"/>
      <c r="C442" s="17" t="n"/>
      <c r="D442" s="18" t="n"/>
      <c r="E442" s="17" t="n"/>
      <c r="F442" s="17" t="n"/>
      <c r="G442" s="19" t="n"/>
      <c r="H442" s="17" t="n"/>
      <c r="I442" s="17" t="n"/>
      <c r="J442" s="17" t="n"/>
      <c r="K442" s="20">
        <f>IF($B442="","",IFERROR(INDEX(الموظفات!$A$5:$A$304,MATCH($B442,الموظفات!$B$5:$B$304,0))&amp;"",""))</f>
        <v/>
      </c>
      <c r="L442" s="21">
        <f>IF($B442="","",IFERROR(INDEX(الموظفات!$C$5:$C$304,MATCH($B442,الموظفات!$B$5:$B$304,0))&amp;"",""))</f>
        <v/>
      </c>
      <c r="M442" s="20">
        <f>IF($B442="","",IFERROR(INDEX(الموظفات!$D$5:$D$304,MATCH($B442,الموظفات!$B$5:$B$304,0))&amp;"",""))</f>
        <v/>
      </c>
      <c r="N442" s="20">
        <f>IF($B442="","",IFERROR(INDEX(الموظفات!$E$5:$E$304,MATCH($B442,الموظفات!$B$5:$B$304,0))&amp;"",""))</f>
        <v/>
      </c>
      <c r="O442" s="21">
        <f>IF(C442="","",IFERROR(INDEX(الإعدادات!$D$7:$D$35,MATCH(C442,الإعدادات!$A$7:$A$35,0))&amp;"",""))</f>
        <v/>
      </c>
      <c r="P442" s="20">
        <f>IF(A442="","",INDEX(الإعدادات!$H$7:$H$18,MONTH(A442)))</f>
        <v/>
      </c>
      <c r="Q442" s="20">
        <f>IF(A442="","",INDEX(الإعدادات!$I$7:$I$18,MONTH(A442)))</f>
        <v/>
      </c>
      <c r="R442" s="20">
        <f>IF(A442="","",IF(MONTH(A442)&gt;=8,YEAR(A442)&amp;"-"&amp;(YEAR(A442)+1),(YEAR(A442)-1)&amp;"-"&amp;YEAR(A442)))</f>
        <v/>
      </c>
      <c r="S442" s="20">
        <f>IF(OR(A442="",B442=""),0,IF(AND(R442=التقارير!$C$4,OR(التقارير!$C$5="سنوي",AND(التقارير!$C$5="شهري",P442=التقارير!$C$6),AND(التقارير!$C$5="فصلي",Q442=التقارير!$C$7))),1,0))</f>
        <v/>
      </c>
      <c r="T442" s="20">
        <f>IF(S442=1,COUNTIF($S$5:S442,1),"")</f>
        <v/>
      </c>
      <c r="U442">
        <f>IF(AND($A442&lt;&gt;"",$B442&lt;&gt;"",$R442='تقرير الفصل الأول'!$C$4,$Q442='تقرير الفصل الأول'!$C$7),COUNT(U$4:U441)+1,"")</f>
        <v/>
      </c>
      <c r="V442">
        <f>IF(AND($A442&lt;&gt;"",$B442&lt;&gt;"",$R442='تقرير الفصل الثاني'!$C$4,$Q442='تقرير الفصل الثاني'!$C$7),COUNT(V$4:V441)+1,"")</f>
        <v/>
      </c>
      <c r="W442">
        <f>IF(AND($A442&lt;&gt;"",$B442&lt;&gt;"",$R442='تقرير سبتمبر'!$C$4,$P442='تقرير سبتمبر'!$C$6),COUNT(W$4:W441)+1,"")</f>
        <v/>
      </c>
      <c r="X442">
        <f>IF(AND($A442&lt;&gt;"",$B442&lt;&gt;"",$R442='تقرير أكتوبر'!$C$4,$P442='تقرير أكتوبر'!$C$6),COUNT(X$4:X441)+1,"")</f>
        <v/>
      </c>
      <c r="Y442">
        <f>IF(AND($A442&lt;&gt;"",$B442&lt;&gt;"",$R442='تقرير نوفمبر'!$C$4,$P442='تقرير نوفمبر'!$C$6),COUNT(Y$4:Y441)+1,"")</f>
        <v/>
      </c>
      <c r="Z442">
        <f>IF(AND($A442&lt;&gt;"",$B442&lt;&gt;"",$R442='تقرير ديسمبر'!$C$4,$P442='تقرير ديسمبر'!$C$6),COUNT(Z$4:Z441)+1,"")</f>
        <v/>
      </c>
      <c r="AA442">
        <f>IF(AND($A442&lt;&gt;"",$B442&lt;&gt;"",$R442='تقرير يناير'!$C$4,$P442='تقرير يناير'!$C$6),COUNT(AA$4:AA441)+1,"")</f>
        <v/>
      </c>
      <c r="AB442">
        <f>IF(AND($A442&lt;&gt;"",$B442&lt;&gt;"",$R442='تقرير فبراير'!$C$4,$P442='تقرير فبراير'!$C$6),COUNT(AB$4:AB441)+1,"")</f>
        <v/>
      </c>
      <c r="AC442">
        <f>IF(AND($A442&lt;&gt;"",$B442&lt;&gt;"",$R442='تقرير مارس'!$C$4,$P442='تقرير مارس'!$C$6),COUNT(AC$4:AC441)+1,"")</f>
        <v/>
      </c>
      <c r="AD442">
        <f>IF(AND($A442&lt;&gt;"",$B442&lt;&gt;"",$R442='تقرير أبريل'!$C$4,$P442='تقرير أبريل'!$C$6),COUNT(AD$4:AD441)+1,"")</f>
        <v/>
      </c>
      <c r="AE442">
        <f>IF(AND($A442&lt;&gt;"",$B442&lt;&gt;"",$R442='تقرير مايو'!$C$4,$P442='تقرير مايو'!$C$6),COUNT(AE$4:AE441)+1,"")</f>
        <v/>
      </c>
    </row>
    <row r="443">
      <c r="A443" s="16" t="n"/>
      <c r="B443" s="17" t="n"/>
      <c r="C443" s="17" t="n"/>
      <c r="D443" s="18" t="n"/>
      <c r="E443" s="17" t="n"/>
      <c r="F443" s="17" t="n"/>
      <c r="G443" s="19" t="n"/>
      <c r="H443" s="17" t="n"/>
      <c r="I443" s="17" t="n"/>
      <c r="J443" s="17" t="n"/>
      <c r="K443" s="20">
        <f>IF($B443="","",IFERROR(INDEX(الموظفات!$A$5:$A$304,MATCH($B443,الموظفات!$B$5:$B$304,0))&amp;"",""))</f>
        <v/>
      </c>
      <c r="L443" s="21">
        <f>IF($B443="","",IFERROR(INDEX(الموظفات!$C$5:$C$304,MATCH($B443,الموظفات!$B$5:$B$304,0))&amp;"",""))</f>
        <v/>
      </c>
      <c r="M443" s="20">
        <f>IF($B443="","",IFERROR(INDEX(الموظفات!$D$5:$D$304,MATCH($B443,الموظفات!$B$5:$B$304,0))&amp;"",""))</f>
        <v/>
      </c>
      <c r="N443" s="20">
        <f>IF($B443="","",IFERROR(INDEX(الموظفات!$E$5:$E$304,MATCH($B443,الموظفات!$B$5:$B$304,0))&amp;"",""))</f>
        <v/>
      </c>
      <c r="O443" s="21">
        <f>IF(C443="","",IFERROR(INDEX(الإعدادات!$D$7:$D$35,MATCH(C443,الإعدادات!$A$7:$A$35,0))&amp;"",""))</f>
        <v/>
      </c>
      <c r="P443" s="20">
        <f>IF(A443="","",INDEX(الإعدادات!$H$7:$H$18,MONTH(A443)))</f>
        <v/>
      </c>
      <c r="Q443" s="20">
        <f>IF(A443="","",INDEX(الإعدادات!$I$7:$I$18,MONTH(A443)))</f>
        <v/>
      </c>
      <c r="R443" s="20">
        <f>IF(A443="","",IF(MONTH(A443)&gt;=8,YEAR(A443)&amp;"-"&amp;(YEAR(A443)+1),(YEAR(A443)-1)&amp;"-"&amp;YEAR(A443)))</f>
        <v/>
      </c>
      <c r="S443" s="20">
        <f>IF(OR(A443="",B443=""),0,IF(AND(R443=التقارير!$C$4,OR(التقارير!$C$5="سنوي",AND(التقارير!$C$5="شهري",P443=التقارير!$C$6),AND(التقارير!$C$5="فصلي",Q443=التقارير!$C$7))),1,0))</f>
        <v/>
      </c>
      <c r="T443" s="20">
        <f>IF(S443=1,COUNTIF($S$5:S443,1),"")</f>
        <v/>
      </c>
      <c r="U443">
        <f>IF(AND($A443&lt;&gt;"",$B443&lt;&gt;"",$R443='تقرير الفصل الأول'!$C$4,$Q443='تقرير الفصل الأول'!$C$7),COUNT(U$4:U442)+1,"")</f>
        <v/>
      </c>
      <c r="V443">
        <f>IF(AND($A443&lt;&gt;"",$B443&lt;&gt;"",$R443='تقرير الفصل الثاني'!$C$4,$Q443='تقرير الفصل الثاني'!$C$7),COUNT(V$4:V442)+1,"")</f>
        <v/>
      </c>
      <c r="W443">
        <f>IF(AND($A443&lt;&gt;"",$B443&lt;&gt;"",$R443='تقرير سبتمبر'!$C$4,$P443='تقرير سبتمبر'!$C$6),COUNT(W$4:W442)+1,"")</f>
        <v/>
      </c>
      <c r="X443">
        <f>IF(AND($A443&lt;&gt;"",$B443&lt;&gt;"",$R443='تقرير أكتوبر'!$C$4,$P443='تقرير أكتوبر'!$C$6),COUNT(X$4:X442)+1,"")</f>
        <v/>
      </c>
      <c r="Y443">
        <f>IF(AND($A443&lt;&gt;"",$B443&lt;&gt;"",$R443='تقرير نوفمبر'!$C$4,$P443='تقرير نوفمبر'!$C$6),COUNT(Y$4:Y442)+1,"")</f>
        <v/>
      </c>
      <c r="Z443">
        <f>IF(AND($A443&lt;&gt;"",$B443&lt;&gt;"",$R443='تقرير ديسمبر'!$C$4,$P443='تقرير ديسمبر'!$C$6),COUNT(Z$4:Z442)+1,"")</f>
        <v/>
      </c>
      <c r="AA443">
        <f>IF(AND($A443&lt;&gt;"",$B443&lt;&gt;"",$R443='تقرير يناير'!$C$4,$P443='تقرير يناير'!$C$6),COUNT(AA$4:AA442)+1,"")</f>
        <v/>
      </c>
      <c r="AB443">
        <f>IF(AND($A443&lt;&gt;"",$B443&lt;&gt;"",$R443='تقرير فبراير'!$C$4,$P443='تقرير فبراير'!$C$6),COUNT(AB$4:AB442)+1,"")</f>
        <v/>
      </c>
      <c r="AC443">
        <f>IF(AND($A443&lt;&gt;"",$B443&lt;&gt;"",$R443='تقرير مارس'!$C$4,$P443='تقرير مارس'!$C$6),COUNT(AC$4:AC442)+1,"")</f>
        <v/>
      </c>
      <c r="AD443">
        <f>IF(AND($A443&lt;&gt;"",$B443&lt;&gt;"",$R443='تقرير أبريل'!$C$4,$P443='تقرير أبريل'!$C$6),COUNT(AD$4:AD442)+1,"")</f>
        <v/>
      </c>
      <c r="AE443">
        <f>IF(AND($A443&lt;&gt;"",$B443&lt;&gt;"",$R443='تقرير مايو'!$C$4,$P443='تقرير مايو'!$C$6),COUNT(AE$4:AE442)+1,"")</f>
        <v/>
      </c>
    </row>
    <row r="444">
      <c r="A444" s="16" t="n"/>
      <c r="B444" s="17" t="n"/>
      <c r="C444" s="17" t="n"/>
      <c r="D444" s="18" t="n"/>
      <c r="E444" s="17" t="n"/>
      <c r="F444" s="17" t="n"/>
      <c r="G444" s="19" t="n"/>
      <c r="H444" s="17" t="n"/>
      <c r="I444" s="17" t="n"/>
      <c r="J444" s="17" t="n"/>
      <c r="K444" s="20">
        <f>IF($B444="","",IFERROR(INDEX(الموظفات!$A$5:$A$304,MATCH($B444,الموظفات!$B$5:$B$304,0))&amp;"",""))</f>
        <v/>
      </c>
      <c r="L444" s="21">
        <f>IF($B444="","",IFERROR(INDEX(الموظفات!$C$5:$C$304,MATCH($B444,الموظفات!$B$5:$B$304,0))&amp;"",""))</f>
        <v/>
      </c>
      <c r="M444" s="20">
        <f>IF($B444="","",IFERROR(INDEX(الموظفات!$D$5:$D$304,MATCH($B444,الموظفات!$B$5:$B$304,0))&amp;"",""))</f>
        <v/>
      </c>
      <c r="N444" s="20">
        <f>IF($B444="","",IFERROR(INDEX(الموظفات!$E$5:$E$304,MATCH($B444,الموظفات!$B$5:$B$304,0))&amp;"",""))</f>
        <v/>
      </c>
      <c r="O444" s="21">
        <f>IF(C444="","",IFERROR(INDEX(الإعدادات!$D$7:$D$35,MATCH(C444,الإعدادات!$A$7:$A$35,0))&amp;"",""))</f>
        <v/>
      </c>
      <c r="P444" s="20">
        <f>IF(A444="","",INDEX(الإعدادات!$H$7:$H$18,MONTH(A444)))</f>
        <v/>
      </c>
      <c r="Q444" s="20">
        <f>IF(A444="","",INDEX(الإعدادات!$I$7:$I$18,MONTH(A444)))</f>
        <v/>
      </c>
      <c r="R444" s="20">
        <f>IF(A444="","",IF(MONTH(A444)&gt;=8,YEAR(A444)&amp;"-"&amp;(YEAR(A444)+1),(YEAR(A444)-1)&amp;"-"&amp;YEAR(A444)))</f>
        <v/>
      </c>
      <c r="S444" s="20">
        <f>IF(OR(A444="",B444=""),0,IF(AND(R444=التقارير!$C$4,OR(التقارير!$C$5="سنوي",AND(التقارير!$C$5="شهري",P444=التقارير!$C$6),AND(التقارير!$C$5="فصلي",Q444=التقارير!$C$7))),1,0))</f>
        <v/>
      </c>
      <c r="T444" s="20">
        <f>IF(S444=1,COUNTIF($S$5:S444,1),"")</f>
        <v/>
      </c>
      <c r="U444">
        <f>IF(AND($A444&lt;&gt;"",$B444&lt;&gt;"",$R444='تقرير الفصل الأول'!$C$4,$Q444='تقرير الفصل الأول'!$C$7),COUNT(U$4:U443)+1,"")</f>
        <v/>
      </c>
      <c r="V444">
        <f>IF(AND($A444&lt;&gt;"",$B444&lt;&gt;"",$R444='تقرير الفصل الثاني'!$C$4,$Q444='تقرير الفصل الثاني'!$C$7),COUNT(V$4:V443)+1,"")</f>
        <v/>
      </c>
      <c r="W444">
        <f>IF(AND($A444&lt;&gt;"",$B444&lt;&gt;"",$R444='تقرير سبتمبر'!$C$4,$P444='تقرير سبتمبر'!$C$6),COUNT(W$4:W443)+1,"")</f>
        <v/>
      </c>
      <c r="X444">
        <f>IF(AND($A444&lt;&gt;"",$B444&lt;&gt;"",$R444='تقرير أكتوبر'!$C$4,$P444='تقرير أكتوبر'!$C$6),COUNT(X$4:X443)+1,"")</f>
        <v/>
      </c>
      <c r="Y444">
        <f>IF(AND($A444&lt;&gt;"",$B444&lt;&gt;"",$R444='تقرير نوفمبر'!$C$4,$P444='تقرير نوفمبر'!$C$6),COUNT(Y$4:Y443)+1,"")</f>
        <v/>
      </c>
      <c r="Z444">
        <f>IF(AND($A444&lt;&gt;"",$B444&lt;&gt;"",$R444='تقرير ديسمبر'!$C$4,$P444='تقرير ديسمبر'!$C$6),COUNT(Z$4:Z443)+1,"")</f>
        <v/>
      </c>
      <c r="AA444">
        <f>IF(AND($A444&lt;&gt;"",$B444&lt;&gt;"",$R444='تقرير يناير'!$C$4,$P444='تقرير يناير'!$C$6),COUNT(AA$4:AA443)+1,"")</f>
        <v/>
      </c>
      <c r="AB444">
        <f>IF(AND($A444&lt;&gt;"",$B444&lt;&gt;"",$R444='تقرير فبراير'!$C$4,$P444='تقرير فبراير'!$C$6),COUNT(AB$4:AB443)+1,"")</f>
        <v/>
      </c>
      <c r="AC444">
        <f>IF(AND($A444&lt;&gt;"",$B444&lt;&gt;"",$R444='تقرير مارس'!$C$4,$P444='تقرير مارس'!$C$6),COUNT(AC$4:AC443)+1,"")</f>
        <v/>
      </c>
      <c r="AD444">
        <f>IF(AND($A444&lt;&gt;"",$B444&lt;&gt;"",$R444='تقرير أبريل'!$C$4,$P444='تقرير أبريل'!$C$6),COUNT(AD$4:AD443)+1,"")</f>
        <v/>
      </c>
      <c r="AE444">
        <f>IF(AND($A444&lt;&gt;"",$B444&lt;&gt;"",$R444='تقرير مايو'!$C$4,$P444='تقرير مايو'!$C$6),COUNT(AE$4:AE443)+1,"")</f>
        <v/>
      </c>
    </row>
    <row r="445">
      <c r="A445" s="16" t="n"/>
      <c r="B445" s="17" t="n"/>
      <c r="C445" s="17" t="n"/>
      <c r="D445" s="18" t="n"/>
      <c r="E445" s="17" t="n"/>
      <c r="F445" s="17" t="n"/>
      <c r="G445" s="19" t="n"/>
      <c r="H445" s="17" t="n"/>
      <c r="I445" s="17" t="n"/>
      <c r="J445" s="17" t="n"/>
      <c r="K445" s="20">
        <f>IF($B445="","",IFERROR(INDEX(الموظفات!$A$5:$A$304,MATCH($B445,الموظفات!$B$5:$B$304,0))&amp;"",""))</f>
        <v/>
      </c>
      <c r="L445" s="21">
        <f>IF($B445="","",IFERROR(INDEX(الموظفات!$C$5:$C$304,MATCH($B445,الموظفات!$B$5:$B$304,0))&amp;"",""))</f>
        <v/>
      </c>
      <c r="M445" s="20">
        <f>IF($B445="","",IFERROR(INDEX(الموظفات!$D$5:$D$304,MATCH($B445,الموظفات!$B$5:$B$304,0))&amp;"",""))</f>
        <v/>
      </c>
      <c r="N445" s="20">
        <f>IF($B445="","",IFERROR(INDEX(الموظفات!$E$5:$E$304,MATCH($B445,الموظفات!$B$5:$B$304,0))&amp;"",""))</f>
        <v/>
      </c>
      <c r="O445" s="21">
        <f>IF(C445="","",IFERROR(INDEX(الإعدادات!$D$7:$D$35,MATCH(C445,الإعدادات!$A$7:$A$35,0))&amp;"",""))</f>
        <v/>
      </c>
      <c r="P445" s="20">
        <f>IF(A445="","",INDEX(الإعدادات!$H$7:$H$18,MONTH(A445)))</f>
        <v/>
      </c>
      <c r="Q445" s="20">
        <f>IF(A445="","",INDEX(الإعدادات!$I$7:$I$18,MONTH(A445)))</f>
        <v/>
      </c>
      <c r="R445" s="20">
        <f>IF(A445="","",IF(MONTH(A445)&gt;=8,YEAR(A445)&amp;"-"&amp;(YEAR(A445)+1),(YEAR(A445)-1)&amp;"-"&amp;YEAR(A445)))</f>
        <v/>
      </c>
      <c r="S445" s="20">
        <f>IF(OR(A445="",B445=""),0,IF(AND(R445=التقارير!$C$4,OR(التقارير!$C$5="سنوي",AND(التقارير!$C$5="شهري",P445=التقارير!$C$6),AND(التقارير!$C$5="فصلي",Q445=التقارير!$C$7))),1,0))</f>
        <v/>
      </c>
      <c r="T445" s="20">
        <f>IF(S445=1,COUNTIF($S$5:S445,1),"")</f>
        <v/>
      </c>
      <c r="U445">
        <f>IF(AND($A445&lt;&gt;"",$B445&lt;&gt;"",$R445='تقرير الفصل الأول'!$C$4,$Q445='تقرير الفصل الأول'!$C$7),COUNT(U$4:U444)+1,"")</f>
        <v/>
      </c>
      <c r="V445">
        <f>IF(AND($A445&lt;&gt;"",$B445&lt;&gt;"",$R445='تقرير الفصل الثاني'!$C$4,$Q445='تقرير الفصل الثاني'!$C$7),COUNT(V$4:V444)+1,"")</f>
        <v/>
      </c>
      <c r="W445">
        <f>IF(AND($A445&lt;&gt;"",$B445&lt;&gt;"",$R445='تقرير سبتمبر'!$C$4,$P445='تقرير سبتمبر'!$C$6),COUNT(W$4:W444)+1,"")</f>
        <v/>
      </c>
      <c r="X445">
        <f>IF(AND($A445&lt;&gt;"",$B445&lt;&gt;"",$R445='تقرير أكتوبر'!$C$4,$P445='تقرير أكتوبر'!$C$6),COUNT(X$4:X444)+1,"")</f>
        <v/>
      </c>
      <c r="Y445">
        <f>IF(AND($A445&lt;&gt;"",$B445&lt;&gt;"",$R445='تقرير نوفمبر'!$C$4,$P445='تقرير نوفمبر'!$C$6),COUNT(Y$4:Y444)+1,"")</f>
        <v/>
      </c>
      <c r="Z445">
        <f>IF(AND($A445&lt;&gt;"",$B445&lt;&gt;"",$R445='تقرير ديسمبر'!$C$4,$P445='تقرير ديسمبر'!$C$6),COUNT(Z$4:Z444)+1,"")</f>
        <v/>
      </c>
      <c r="AA445">
        <f>IF(AND($A445&lt;&gt;"",$B445&lt;&gt;"",$R445='تقرير يناير'!$C$4,$P445='تقرير يناير'!$C$6),COUNT(AA$4:AA444)+1,"")</f>
        <v/>
      </c>
      <c r="AB445">
        <f>IF(AND($A445&lt;&gt;"",$B445&lt;&gt;"",$R445='تقرير فبراير'!$C$4,$P445='تقرير فبراير'!$C$6),COUNT(AB$4:AB444)+1,"")</f>
        <v/>
      </c>
      <c r="AC445">
        <f>IF(AND($A445&lt;&gt;"",$B445&lt;&gt;"",$R445='تقرير مارس'!$C$4,$P445='تقرير مارس'!$C$6),COUNT(AC$4:AC444)+1,"")</f>
        <v/>
      </c>
      <c r="AD445">
        <f>IF(AND($A445&lt;&gt;"",$B445&lt;&gt;"",$R445='تقرير أبريل'!$C$4,$P445='تقرير أبريل'!$C$6),COUNT(AD$4:AD444)+1,"")</f>
        <v/>
      </c>
      <c r="AE445">
        <f>IF(AND($A445&lt;&gt;"",$B445&lt;&gt;"",$R445='تقرير مايو'!$C$4,$P445='تقرير مايو'!$C$6),COUNT(AE$4:AE444)+1,"")</f>
        <v/>
      </c>
    </row>
    <row r="446">
      <c r="A446" s="16" t="n"/>
      <c r="B446" s="17" t="n"/>
      <c r="C446" s="17" t="n"/>
      <c r="D446" s="18" t="n"/>
      <c r="E446" s="17" t="n"/>
      <c r="F446" s="17" t="n"/>
      <c r="G446" s="19" t="n"/>
      <c r="H446" s="17" t="n"/>
      <c r="I446" s="17" t="n"/>
      <c r="J446" s="17" t="n"/>
      <c r="K446" s="20">
        <f>IF($B446="","",IFERROR(INDEX(الموظفات!$A$5:$A$304,MATCH($B446,الموظفات!$B$5:$B$304,0))&amp;"",""))</f>
        <v/>
      </c>
      <c r="L446" s="21">
        <f>IF($B446="","",IFERROR(INDEX(الموظفات!$C$5:$C$304,MATCH($B446,الموظفات!$B$5:$B$304,0))&amp;"",""))</f>
        <v/>
      </c>
      <c r="M446" s="20">
        <f>IF($B446="","",IFERROR(INDEX(الموظفات!$D$5:$D$304,MATCH($B446,الموظفات!$B$5:$B$304,0))&amp;"",""))</f>
        <v/>
      </c>
      <c r="N446" s="20">
        <f>IF($B446="","",IFERROR(INDEX(الموظفات!$E$5:$E$304,MATCH($B446,الموظفات!$B$5:$B$304,0))&amp;"",""))</f>
        <v/>
      </c>
      <c r="O446" s="21">
        <f>IF(C446="","",IFERROR(INDEX(الإعدادات!$D$7:$D$35,MATCH(C446,الإعدادات!$A$7:$A$35,0))&amp;"",""))</f>
        <v/>
      </c>
      <c r="P446" s="20">
        <f>IF(A446="","",INDEX(الإعدادات!$H$7:$H$18,MONTH(A446)))</f>
        <v/>
      </c>
      <c r="Q446" s="20">
        <f>IF(A446="","",INDEX(الإعدادات!$I$7:$I$18,MONTH(A446)))</f>
        <v/>
      </c>
      <c r="R446" s="20">
        <f>IF(A446="","",IF(MONTH(A446)&gt;=8,YEAR(A446)&amp;"-"&amp;(YEAR(A446)+1),(YEAR(A446)-1)&amp;"-"&amp;YEAR(A446)))</f>
        <v/>
      </c>
      <c r="S446" s="20">
        <f>IF(OR(A446="",B446=""),0,IF(AND(R446=التقارير!$C$4,OR(التقارير!$C$5="سنوي",AND(التقارير!$C$5="شهري",P446=التقارير!$C$6),AND(التقارير!$C$5="فصلي",Q446=التقارير!$C$7))),1,0))</f>
        <v/>
      </c>
      <c r="T446" s="20">
        <f>IF(S446=1,COUNTIF($S$5:S446,1),"")</f>
        <v/>
      </c>
      <c r="U446">
        <f>IF(AND($A446&lt;&gt;"",$B446&lt;&gt;"",$R446='تقرير الفصل الأول'!$C$4,$Q446='تقرير الفصل الأول'!$C$7),COUNT(U$4:U445)+1,"")</f>
        <v/>
      </c>
      <c r="V446">
        <f>IF(AND($A446&lt;&gt;"",$B446&lt;&gt;"",$R446='تقرير الفصل الثاني'!$C$4,$Q446='تقرير الفصل الثاني'!$C$7),COUNT(V$4:V445)+1,"")</f>
        <v/>
      </c>
      <c r="W446">
        <f>IF(AND($A446&lt;&gt;"",$B446&lt;&gt;"",$R446='تقرير سبتمبر'!$C$4,$P446='تقرير سبتمبر'!$C$6),COUNT(W$4:W445)+1,"")</f>
        <v/>
      </c>
      <c r="X446">
        <f>IF(AND($A446&lt;&gt;"",$B446&lt;&gt;"",$R446='تقرير أكتوبر'!$C$4,$P446='تقرير أكتوبر'!$C$6),COUNT(X$4:X445)+1,"")</f>
        <v/>
      </c>
      <c r="Y446">
        <f>IF(AND($A446&lt;&gt;"",$B446&lt;&gt;"",$R446='تقرير نوفمبر'!$C$4,$P446='تقرير نوفمبر'!$C$6),COUNT(Y$4:Y445)+1,"")</f>
        <v/>
      </c>
      <c r="Z446">
        <f>IF(AND($A446&lt;&gt;"",$B446&lt;&gt;"",$R446='تقرير ديسمبر'!$C$4,$P446='تقرير ديسمبر'!$C$6),COUNT(Z$4:Z445)+1,"")</f>
        <v/>
      </c>
      <c r="AA446">
        <f>IF(AND($A446&lt;&gt;"",$B446&lt;&gt;"",$R446='تقرير يناير'!$C$4,$P446='تقرير يناير'!$C$6),COUNT(AA$4:AA445)+1,"")</f>
        <v/>
      </c>
      <c r="AB446">
        <f>IF(AND($A446&lt;&gt;"",$B446&lt;&gt;"",$R446='تقرير فبراير'!$C$4,$P446='تقرير فبراير'!$C$6),COUNT(AB$4:AB445)+1,"")</f>
        <v/>
      </c>
      <c r="AC446">
        <f>IF(AND($A446&lt;&gt;"",$B446&lt;&gt;"",$R446='تقرير مارس'!$C$4,$P446='تقرير مارس'!$C$6),COUNT(AC$4:AC445)+1,"")</f>
        <v/>
      </c>
      <c r="AD446">
        <f>IF(AND($A446&lt;&gt;"",$B446&lt;&gt;"",$R446='تقرير أبريل'!$C$4,$P446='تقرير أبريل'!$C$6),COUNT(AD$4:AD445)+1,"")</f>
        <v/>
      </c>
      <c r="AE446">
        <f>IF(AND($A446&lt;&gt;"",$B446&lt;&gt;"",$R446='تقرير مايو'!$C$4,$P446='تقرير مايو'!$C$6),COUNT(AE$4:AE445)+1,"")</f>
        <v/>
      </c>
    </row>
    <row r="447">
      <c r="A447" s="16" t="n"/>
      <c r="B447" s="17" t="n"/>
      <c r="C447" s="17" t="n"/>
      <c r="D447" s="18" t="n"/>
      <c r="E447" s="17" t="n"/>
      <c r="F447" s="17" t="n"/>
      <c r="G447" s="19" t="n"/>
      <c r="H447" s="17" t="n"/>
      <c r="I447" s="17" t="n"/>
      <c r="J447" s="17" t="n"/>
      <c r="K447" s="20">
        <f>IF($B447="","",IFERROR(INDEX(الموظفات!$A$5:$A$304,MATCH($B447,الموظفات!$B$5:$B$304,0))&amp;"",""))</f>
        <v/>
      </c>
      <c r="L447" s="21">
        <f>IF($B447="","",IFERROR(INDEX(الموظفات!$C$5:$C$304,MATCH($B447,الموظفات!$B$5:$B$304,0))&amp;"",""))</f>
        <v/>
      </c>
      <c r="M447" s="20">
        <f>IF($B447="","",IFERROR(INDEX(الموظفات!$D$5:$D$304,MATCH($B447,الموظفات!$B$5:$B$304,0))&amp;"",""))</f>
        <v/>
      </c>
      <c r="N447" s="20">
        <f>IF($B447="","",IFERROR(INDEX(الموظفات!$E$5:$E$304,MATCH($B447,الموظفات!$B$5:$B$304,0))&amp;"",""))</f>
        <v/>
      </c>
      <c r="O447" s="21">
        <f>IF(C447="","",IFERROR(INDEX(الإعدادات!$D$7:$D$35,MATCH(C447,الإعدادات!$A$7:$A$35,0))&amp;"",""))</f>
        <v/>
      </c>
      <c r="P447" s="20">
        <f>IF(A447="","",INDEX(الإعدادات!$H$7:$H$18,MONTH(A447)))</f>
        <v/>
      </c>
      <c r="Q447" s="20">
        <f>IF(A447="","",INDEX(الإعدادات!$I$7:$I$18,MONTH(A447)))</f>
        <v/>
      </c>
      <c r="R447" s="20">
        <f>IF(A447="","",IF(MONTH(A447)&gt;=8,YEAR(A447)&amp;"-"&amp;(YEAR(A447)+1),(YEAR(A447)-1)&amp;"-"&amp;YEAR(A447)))</f>
        <v/>
      </c>
      <c r="S447" s="20">
        <f>IF(OR(A447="",B447=""),0,IF(AND(R447=التقارير!$C$4,OR(التقارير!$C$5="سنوي",AND(التقارير!$C$5="شهري",P447=التقارير!$C$6),AND(التقارير!$C$5="فصلي",Q447=التقارير!$C$7))),1,0))</f>
        <v/>
      </c>
      <c r="T447" s="20">
        <f>IF(S447=1,COUNTIF($S$5:S447,1),"")</f>
        <v/>
      </c>
      <c r="U447">
        <f>IF(AND($A447&lt;&gt;"",$B447&lt;&gt;"",$R447='تقرير الفصل الأول'!$C$4,$Q447='تقرير الفصل الأول'!$C$7),COUNT(U$4:U446)+1,"")</f>
        <v/>
      </c>
      <c r="V447">
        <f>IF(AND($A447&lt;&gt;"",$B447&lt;&gt;"",$R447='تقرير الفصل الثاني'!$C$4,$Q447='تقرير الفصل الثاني'!$C$7),COUNT(V$4:V446)+1,"")</f>
        <v/>
      </c>
      <c r="W447">
        <f>IF(AND($A447&lt;&gt;"",$B447&lt;&gt;"",$R447='تقرير سبتمبر'!$C$4,$P447='تقرير سبتمبر'!$C$6),COUNT(W$4:W446)+1,"")</f>
        <v/>
      </c>
      <c r="X447">
        <f>IF(AND($A447&lt;&gt;"",$B447&lt;&gt;"",$R447='تقرير أكتوبر'!$C$4,$P447='تقرير أكتوبر'!$C$6),COUNT(X$4:X446)+1,"")</f>
        <v/>
      </c>
      <c r="Y447">
        <f>IF(AND($A447&lt;&gt;"",$B447&lt;&gt;"",$R447='تقرير نوفمبر'!$C$4,$P447='تقرير نوفمبر'!$C$6),COUNT(Y$4:Y446)+1,"")</f>
        <v/>
      </c>
      <c r="Z447">
        <f>IF(AND($A447&lt;&gt;"",$B447&lt;&gt;"",$R447='تقرير ديسمبر'!$C$4,$P447='تقرير ديسمبر'!$C$6),COUNT(Z$4:Z446)+1,"")</f>
        <v/>
      </c>
      <c r="AA447">
        <f>IF(AND($A447&lt;&gt;"",$B447&lt;&gt;"",$R447='تقرير يناير'!$C$4,$P447='تقرير يناير'!$C$6),COUNT(AA$4:AA446)+1,"")</f>
        <v/>
      </c>
      <c r="AB447">
        <f>IF(AND($A447&lt;&gt;"",$B447&lt;&gt;"",$R447='تقرير فبراير'!$C$4,$P447='تقرير فبراير'!$C$6),COUNT(AB$4:AB446)+1,"")</f>
        <v/>
      </c>
      <c r="AC447">
        <f>IF(AND($A447&lt;&gt;"",$B447&lt;&gt;"",$R447='تقرير مارس'!$C$4,$P447='تقرير مارس'!$C$6),COUNT(AC$4:AC446)+1,"")</f>
        <v/>
      </c>
      <c r="AD447">
        <f>IF(AND($A447&lt;&gt;"",$B447&lt;&gt;"",$R447='تقرير أبريل'!$C$4,$P447='تقرير أبريل'!$C$6),COUNT(AD$4:AD446)+1,"")</f>
        <v/>
      </c>
      <c r="AE447">
        <f>IF(AND($A447&lt;&gt;"",$B447&lt;&gt;"",$R447='تقرير مايو'!$C$4,$P447='تقرير مايو'!$C$6),COUNT(AE$4:AE446)+1,"")</f>
        <v/>
      </c>
    </row>
    <row r="448">
      <c r="A448" s="16" t="n"/>
      <c r="B448" s="17" t="n"/>
      <c r="C448" s="17" t="n"/>
      <c r="D448" s="18" t="n"/>
      <c r="E448" s="17" t="n"/>
      <c r="F448" s="17" t="n"/>
      <c r="G448" s="19" t="n"/>
      <c r="H448" s="17" t="n"/>
      <c r="I448" s="17" t="n"/>
      <c r="J448" s="17" t="n"/>
      <c r="K448" s="20">
        <f>IF($B448="","",IFERROR(INDEX(الموظفات!$A$5:$A$304,MATCH($B448,الموظفات!$B$5:$B$304,0))&amp;"",""))</f>
        <v/>
      </c>
      <c r="L448" s="21">
        <f>IF($B448="","",IFERROR(INDEX(الموظفات!$C$5:$C$304,MATCH($B448,الموظفات!$B$5:$B$304,0))&amp;"",""))</f>
        <v/>
      </c>
      <c r="M448" s="20">
        <f>IF($B448="","",IFERROR(INDEX(الموظفات!$D$5:$D$304,MATCH($B448,الموظفات!$B$5:$B$304,0))&amp;"",""))</f>
        <v/>
      </c>
      <c r="N448" s="20">
        <f>IF($B448="","",IFERROR(INDEX(الموظفات!$E$5:$E$304,MATCH($B448,الموظفات!$B$5:$B$304,0))&amp;"",""))</f>
        <v/>
      </c>
      <c r="O448" s="21">
        <f>IF(C448="","",IFERROR(INDEX(الإعدادات!$D$7:$D$35,MATCH(C448,الإعدادات!$A$7:$A$35,0))&amp;"",""))</f>
        <v/>
      </c>
      <c r="P448" s="20">
        <f>IF(A448="","",INDEX(الإعدادات!$H$7:$H$18,MONTH(A448)))</f>
        <v/>
      </c>
      <c r="Q448" s="20">
        <f>IF(A448="","",INDEX(الإعدادات!$I$7:$I$18,MONTH(A448)))</f>
        <v/>
      </c>
      <c r="R448" s="20">
        <f>IF(A448="","",IF(MONTH(A448)&gt;=8,YEAR(A448)&amp;"-"&amp;(YEAR(A448)+1),(YEAR(A448)-1)&amp;"-"&amp;YEAR(A448)))</f>
        <v/>
      </c>
      <c r="S448" s="20">
        <f>IF(OR(A448="",B448=""),0,IF(AND(R448=التقارير!$C$4,OR(التقارير!$C$5="سنوي",AND(التقارير!$C$5="شهري",P448=التقارير!$C$6),AND(التقارير!$C$5="فصلي",Q448=التقارير!$C$7))),1,0))</f>
        <v/>
      </c>
      <c r="T448" s="20">
        <f>IF(S448=1,COUNTIF($S$5:S448,1),"")</f>
        <v/>
      </c>
      <c r="U448">
        <f>IF(AND($A448&lt;&gt;"",$B448&lt;&gt;"",$R448='تقرير الفصل الأول'!$C$4,$Q448='تقرير الفصل الأول'!$C$7),COUNT(U$4:U447)+1,"")</f>
        <v/>
      </c>
      <c r="V448">
        <f>IF(AND($A448&lt;&gt;"",$B448&lt;&gt;"",$R448='تقرير الفصل الثاني'!$C$4,$Q448='تقرير الفصل الثاني'!$C$7),COUNT(V$4:V447)+1,"")</f>
        <v/>
      </c>
      <c r="W448">
        <f>IF(AND($A448&lt;&gt;"",$B448&lt;&gt;"",$R448='تقرير سبتمبر'!$C$4,$P448='تقرير سبتمبر'!$C$6),COUNT(W$4:W447)+1,"")</f>
        <v/>
      </c>
      <c r="X448">
        <f>IF(AND($A448&lt;&gt;"",$B448&lt;&gt;"",$R448='تقرير أكتوبر'!$C$4,$P448='تقرير أكتوبر'!$C$6),COUNT(X$4:X447)+1,"")</f>
        <v/>
      </c>
      <c r="Y448">
        <f>IF(AND($A448&lt;&gt;"",$B448&lt;&gt;"",$R448='تقرير نوفمبر'!$C$4,$P448='تقرير نوفمبر'!$C$6),COUNT(Y$4:Y447)+1,"")</f>
        <v/>
      </c>
      <c r="Z448">
        <f>IF(AND($A448&lt;&gt;"",$B448&lt;&gt;"",$R448='تقرير ديسمبر'!$C$4,$P448='تقرير ديسمبر'!$C$6),COUNT(Z$4:Z447)+1,"")</f>
        <v/>
      </c>
      <c r="AA448">
        <f>IF(AND($A448&lt;&gt;"",$B448&lt;&gt;"",$R448='تقرير يناير'!$C$4,$P448='تقرير يناير'!$C$6),COUNT(AA$4:AA447)+1,"")</f>
        <v/>
      </c>
      <c r="AB448">
        <f>IF(AND($A448&lt;&gt;"",$B448&lt;&gt;"",$R448='تقرير فبراير'!$C$4,$P448='تقرير فبراير'!$C$6),COUNT(AB$4:AB447)+1,"")</f>
        <v/>
      </c>
      <c r="AC448">
        <f>IF(AND($A448&lt;&gt;"",$B448&lt;&gt;"",$R448='تقرير مارس'!$C$4,$P448='تقرير مارس'!$C$6),COUNT(AC$4:AC447)+1,"")</f>
        <v/>
      </c>
      <c r="AD448">
        <f>IF(AND($A448&lt;&gt;"",$B448&lt;&gt;"",$R448='تقرير أبريل'!$C$4,$P448='تقرير أبريل'!$C$6),COUNT(AD$4:AD447)+1,"")</f>
        <v/>
      </c>
      <c r="AE448">
        <f>IF(AND($A448&lt;&gt;"",$B448&lt;&gt;"",$R448='تقرير مايو'!$C$4,$P448='تقرير مايو'!$C$6),COUNT(AE$4:AE447)+1,"")</f>
        <v/>
      </c>
    </row>
    <row r="449">
      <c r="A449" s="16" t="n"/>
      <c r="B449" s="17" t="n"/>
      <c r="C449" s="17" t="n"/>
      <c r="D449" s="18" t="n"/>
      <c r="E449" s="17" t="n"/>
      <c r="F449" s="17" t="n"/>
      <c r="G449" s="19" t="n"/>
      <c r="H449" s="17" t="n"/>
      <c r="I449" s="17" t="n"/>
      <c r="J449" s="17" t="n"/>
      <c r="K449" s="20">
        <f>IF($B449="","",IFERROR(INDEX(الموظفات!$A$5:$A$304,MATCH($B449,الموظفات!$B$5:$B$304,0))&amp;"",""))</f>
        <v/>
      </c>
      <c r="L449" s="21">
        <f>IF($B449="","",IFERROR(INDEX(الموظفات!$C$5:$C$304,MATCH($B449,الموظفات!$B$5:$B$304,0))&amp;"",""))</f>
        <v/>
      </c>
      <c r="M449" s="20">
        <f>IF($B449="","",IFERROR(INDEX(الموظفات!$D$5:$D$304,MATCH($B449,الموظفات!$B$5:$B$304,0))&amp;"",""))</f>
        <v/>
      </c>
      <c r="N449" s="20">
        <f>IF($B449="","",IFERROR(INDEX(الموظفات!$E$5:$E$304,MATCH($B449,الموظفات!$B$5:$B$304,0))&amp;"",""))</f>
        <v/>
      </c>
      <c r="O449" s="21">
        <f>IF(C449="","",IFERROR(INDEX(الإعدادات!$D$7:$D$35,MATCH(C449,الإعدادات!$A$7:$A$35,0))&amp;"",""))</f>
        <v/>
      </c>
      <c r="P449" s="20">
        <f>IF(A449="","",INDEX(الإعدادات!$H$7:$H$18,MONTH(A449)))</f>
        <v/>
      </c>
      <c r="Q449" s="20">
        <f>IF(A449="","",INDEX(الإعدادات!$I$7:$I$18,MONTH(A449)))</f>
        <v/>
      </c>
      <c r="R449" s="20">
        <f>IF(A449="","",IF(MONTH(A449)&gt;=8,YEAR(A449)&amp;"-"&amp;(YEAR(A449)+1),(YEAR(A449)-1)&amp;"-"&amp;YEAR(A449)))</f>
        <v/>
      </c>
      <c r="S449" s="20">
        <f>IF(OR(A449="",B449=""),0,IF(AND(R449=التقارير!$C$4,OR(التقارير!$C$5="سنوي",AND(التقارير!$C$5="شهري",P449=التقارير!$C$6),AND(التقارير!$C$5="فصلي",Q449=التقارير!$C$7))),1,0))</f>
        <v/>
      </c>
      <c r="T449" s="20">
        <f>IF(S449=1,COUNTIF($S$5:S449,1),"")</f>
        <v/>
      </c>
      <c r="U449">
        <f>IF(AND($A449&lt;&gt;"",$B449&lt;&gt;"",$R449='تقرير الفصل الأول'!$C$4,$Q449='تقرير الفصل الأول'!$C$7),COUNT(U$4:U448)+1,"")</f>
        <v/>
      </c>
      <c r="V449">
        <f>IF(AND($A449&lt;&gt;"",$B449&lt;&gt;"",$R449='تقرير الفصل الثاني'!$C$4,$Q449='تقرير الفصل الثاني'!$C$7),COUNT(V$4:V448)+1,"")</f>
        <v/>
      </c>
      <c r="W449">
        <f>IF(AND($A449&lt;&gt;"",$B449&lt;&gt;"",$R449='تقرير سبتمبر'!$C$4,$P449='تقرير سبتمبر'!$C$6),COUNT(W$4:W448)+1,"")</f>
        <v/>
      </c>
      <c r="X449">
        <f>IF(AND($A449&lt;&gt;"",$B449&lt;&gt;"",$R449='تقرير أكتوبر'!$C$4,$P449='تقرير أكتوبر'!$C$6),COUNT(X$4:X448)+1,"")</f>
        <v/>
      </c>
      <c r="Y449">
        <f>IF(AND($A449&lt;&gt;"",$B449&lt;&gt;"",$R449='تقرير نوفمبر'!$C$4,$P449='تقرير نوفمبر'!$C$6),COUNT(Y$4:Y448)+1,"")</f>
        <v/>
      </c>
      <c r="Z449">
        <f>IF(AND($A449&lt;&gt;"",$B449&lt;&gt;"",$R449='تقرير ديسمبر'!$C$4,$P449='تقرير ديسمبر'!$C$6),COUNT(Z$4:Z448)+1,"")</f>
        <v/>
      </c>
      <c r="AA449">
        <f>IF(AND($A449&lt;&gt;"",$B449&lt;&gt;"",$R449='تقرير يناير'!$C$4,$P449='تقرير يناير'!$C$6),COUNT(AA$4:AA448)+1,"")</f>
        <v/>
      </c>
      <c r="AB449">
        <f>IF(AND($A449&lt;&gt;"",$B449&lt;&gt;"",$R449='تقرير فبراير'!$C$4,$P449='تقرير فبراير'!$C$6),COUNT(AB$4:AB448)+1,"")</f>
        <v/>
      </c>
      <c r="AC449">
        <f>IF(AND($A449&lt;&gt;"",$B449&lt;&gt;"",$R449='تقرير مارس'!$C$4,$P449='تقرير مارس'!$C$6),COUNT(AC$4:AC448)+1,"")</f>
        <v/>
      </c>
      <c r="AD449">
        <f>IF(AND($A449&lt;&gt;"",$B449&lt;&gt;"",$R449='تقرير أبريل'!$C$4,$P449='تقرير أبريل'!$C$6),COUNT(AD$4:AD448)+1,"")</f>
        <v/>
      </c>
      <c r="AE449">
        <f>IF(AND($A449&lt;&gt;"",$B449&lt;&gt;"",$R449='تقرير مايو'!$C$4,$P449='تقرير مايو'!$C$6),COUNT(AE$4:AE448)+1,"")</f>
        <v/>
      </c>
    </row>
    <row r="450">
      <c r="A450" s="16" t="n"/>
      <c r="B450" s="17" t="n"/>
      <c r="C450" s="17" t="n"/>
      <c r="D450" s="18" t="n"/>
      <c r="E450" s="17" t="n"/>
      <c r="F450" s="17" t="n"/>
      <c r="G450" s="19" t="n"/>
      <c r="H450" s="17" t="n"/>
      <c r="I450" s="17" t="n"/>
      <c r="J450" s="17" t="n"/>
      <c r="K450" s="20">
        <f>IF($B450="","",IFERROR(INDEX(الموظفات!$A$5:$A$304,MATCH($B450,الموظفات!$B$5:$B$304,0))&amp;"",""))</f>
        <v/>
      </c>
      <c r="L450" s="21">
        <f>IF($B450="","",IFERROR(INDEX(الموظفات!$C$5:$C$304,MATCH($B450,الموظفات!$B$5:$B$304,0))&amp;"",""))</f>
        <v/>
      </c>
      <c r="M450" s="20">
        <f>IF($B450="","",IFERROR(INDEX(الموظفات!$D$5:$D$304,MATCH($B450,الموظفات!$B$5:$B$304,0))&amp;"",""))</f>
        <v/>
      </c>
      <c r="N450" s="20">
        <f>IF($B450="","",IFERROR(INDEX(الموظفات!$E$5:$E$304,MATCH($B450,الموظفات!$B$5:$B$304,0))&amp;"",""))</f>
        <v/>
      </c>
      <c r="O450" s="21">
        <f>IF(C450="","",IFERROR(INDEX(الإعدادات!$D$7:$D$35,MATCH(C450,الإعدادات!$A$7:$A$35,0))&amp;"",""))</f>
        <v/>
      </c>
      <c r="P450" s="20">
        <f>IF(A450="","",INDEX(الإعدادات!$H$7:$H$18,MONTH(A450)))</f>
        <v/>
      </c>
      <c r="Q450" s="20">
        <f>IF(A450="","",INDEX(الإعدادات!$I$7:$I$18,MONTH(A450)))</f>
        <v/>
      </c>
      <c r="R450" s="20">
        <f>IF(A450="","",IF(MONTH(A450)&gt;=8,YEAR(A450)&amp;"-"&amp;(YEAR(A450)+1),(YEAR(A450)-1)&amp;"-"&amp;YEAR(A450)))</f>
        <v/>
      </c>
      <c r="S450" s="20">
        <f>IF(OR(A450="",B450=""),0,IF(AND(R450=التقارير!$C$4,OR(التقارير!$C$5="سنوي",AND(التقارير!$C$5="شهري",P450=التقارير!$C$6),AND(التقارير!$C$5="فصلي",Q450=التقارير!$C$7))),1,0))</f>
        <v/>
      </c>
      <c r="T450" s="20">
        <f>IF(S450=1,COUNTIF($S$5:S450,1),"")</f>
        <v/>
      </c>
      <c r="U450">
        <f>IF(AND($A450&lt;&gt;"",$B450&lt;&gt;"",$R450='تقرير الفصل الأول'!$C$4,$Q450='تقرير الفصل الأول'!$C$7),COUNT(U$4:U449)+1,"")</f>
        <v/>
      </c>
      <c r="V450">
        <f>IF(AND($A450&lt;&gt;"",$B450&lt;&gt;"",$R450='تقرير الفصل الثاني'!$C$4,$Q450='تقرير الفصل الثاني'!$C$7),COUNT(V$4:V449)+1,"")</f>
        <v/>
      </c>
      <c r="W450">
        <f>IF(AND($A450&lt;&gt;"",$B450&lt;&gt;"",$R450='تقرير سبتمبر'!$C$4,$P450='تقرير سبتمبر'!$C$6),COUNT(W$4:W449)+1,"")</f>
        <v/>
      </c>
      <c r="X450">
        <f>IF(AND($A450&lt;&gt;"",$B450&lt;&gt;"",$R450='تقرير أكتوبر'!$C$4,$P450='تقرير أكتوبر'!$C$6),COUNT(X$4:X449)+1,"")</f>
        <v/>
      </c>
      <c r="Y450">
        <f>IF(AND($A450&lt;&gt;"",$B450&lt;&gt;"",$R450='تقرير نوفمبر'!$C$4,$P450='تقرير نوفمبر'!$C$6),COUNT(Y$4:Y449)+1,"")</f>
        <v/>
      </c>
      <c r="Z450">
        <f>IF(AND($A450&lt;&gt;"",$B450&lt;&gt;"",$R450='تقرير ديسمبر'!$C$4,$P450='تقرير ديسمبر'!$C$6),COUNT(Z$4:Z449)+1,"")</f>
        <v/>
      </c>
      <c r="AA450">
        <f>IF(AND($A450&lt;&gt;"",$B450&lt;&gt;"",$R450='تقرير يناير'!$C$4,$P450='تقرير يناير'!$C$6),COUNT(AA$4:AA449)+1,"")</f>
        <v/>
      </c>
      <c r="AB450">
        <f>IF(AND($A450&lt;&gt;"",$B450&lt;&gt;"",$R450='تقرير فبراير'!$C$4,$P450='تقرير فبراير'!$C$6),COUNT(AB$4:AB449)+1,"")</f>
        <v/>
      </c>
      <c r="AC450">
        <f>IF(AND($A450&lt;&gt;"",$B450&lt;&gt;"",$R450='تقرير مارس'!$C$4,$P450='تقرير مارس'!$C$6),COUNT(AC$4:AC449)+1,"")</f>
        <v/>
      </c>
      <c r="AD450">
        <f>IF(AND($A450&lt;&gt;"",$B450&lt;&gt;"",$R450='تقرير أبريل'!$C$4,$P450='تقرير أبريل'!$C$6),COUNT(AD$4:AD449)+1,"")</f>
        <v/>
      </c>
      <c r="AE450">
        <f>IF(AND($A450&lt;&gt;"",$B450&lt;&gt;"",$R450='تقرير مايو'!$C$4,$P450='تقرير مايو'!$C$6),COUNT(AE$4:AE449)+1,"")</f>
        <v/>
      </c>
    </row>
    <row r="451">
      <c r="A451" s="16" t="n"/>
      <c r="B451" s="17" t="n"/>
      <c r="C451" s="17" t="n"/>
      <c r="D451" s="18" t="n"/>
      <c r="E451" s="17" t="n"/>
      <c r="F451" s="17" t="n"/>
      <c r="G451" s="19" t="n"/>
      <c r="H451" s="17" t="n"/>
      <c r="I451" s="17" t="n"/>
      <c r="J451" s="17" t="n"/>
      <c r="K451" s="20">
        <f>IF($B451="","",IFERROR(INDEX(الموظفات!$A$5:$A$304,MATCH($B451,الموظفات!$B$5:$B$304,0))&amp;"",""))</f>
        <v/>
      </c>
      <c r="L451" s="21">
        <f>IF($B451="","",IFERROR(INDEX(الموظفات!$C$5:$C$304,MATCH($B451,الموظفات!$B$5:$B$304,0))&amp;"",""))</f>
        <v/>
      </c>
      <c r="M451" s="20">
        <f>IF($B451="","",IFERROR(INDEX(الموظفات!$D$5:$D$304,MATCH($B451,الموظفات!$B$5:$B$304,0))&amp;"",""))</f>
        <v/>
      </c>
      <c r="N451" s="20">
        <f>IF($B451="","",IFERROR(INDEX(الموظفات!$E$5:$E$304,MATCH($B451,الموظفات!$B$5:$B$304,0))&amp;"",""))</f>
        <v/>
      </c>
      <c r="O451" s="21">
        <f>IF(C451="","",IFERROR(INDEX(الإعدادات!$D$7:$D$35,MATCH(C451,الإعدادات!$A$7:$A$35,0))&amp;"",""))</f>
        <v/>
      </c>
      <c r="P451" s="20">
        <f>IF(A451="","",INDEX(الإعدادات!$H$7:$H$18,MONTH(A451)))</f>
        <v/>
      </c>
      <c r="Q451" s="20">
        <f>IF(A451="","",INDEX(الإعدادات!$I$7:$I$18,MONTH(A451)))</f>
        <v/>
      </c>
      <c r="R451" s="20">
        <f>IF(A451="","",IF(MONTH(A451)&gt;=8,YEAR(A451)&amp;"-"&amp;(YEAR(A451)+1),(YEAR(A451)-1)&amp;"-"&amp;YEAR(A451)))</f>
        <v/>
      </c>
      <c r="S451" s="20">
        <f>IF(OR(A451="",B451=""),0,IF(AND(R451=التقارير!$C$4,OR(التقارير!$C$5="سنوي",AND(التقارير!$C$5="شهري",P451=التقارير!$C$6),AND(التقارير!$C$5="فصلي",Q451=التقارير!$C$7))),1,0))</f>
        <v/>
      </c>
      <c r="T451" s="20">
        <f>IF(S451=1,COUNTIF($S$5:S451,1),"")</f>
        <v/>
      </c>
      <c r="U451">
        <f>IF(AND($A451&lt;&gt;"",$B451&lt;&gt;"",$R451='تقرير الفصل الأول'!$C$4,$Q451='تقرير الفصل الأول'!$C$7),COUNT(U$4:U450)+1,"")</f>
        <v/>
      </c>
      <c r="V451">
        <f>IF(AND($A451&lt;&gt;"",$B451&lt;&gt;"",$R451='تقرير الفصل الثاني'!$C$4,$Q451='تقرير الفصل الثاني'!$C$7),COUNT(V$4:V450)+1,"")</f>
        <v/>
      </c>
      <c r="W451">
        <f>IF(AND($A451&lt;&gt;"",$B451&lt;&gt;"",$R451='تقرير سبتمبر'!$C$4,$P451='تقرير سبتمبر'!$C$6),COUNT(W$4:W450)+1,"")</f>
        <v/>
      </c>
      <c r="X451">
        <f>IF(AND($A451&lt;&gt;"",$B451&lt;&gt;"",$R451='تقرير أكتوبر'!$C$4,$P451='تقرير أكتوبر'!$C$6),COUNT(X$4:X450)+1,"")</f>
        <v/>
      </c>
      <c r="Y451">
        <f>IF(AND($A451&lt;&gt;"",$B451&lt;&gt;"",$R451='تقرير نوفمبر'!$C$4,$P451='تقرير نوفمبر'!$C$6),COUNT(Y$4:Y450)+1,"")</f>
        <v/>
      </c>
      <c r="Z451">
        <f>IF(AND($A451&lt;&gt;"",$B451&lt;&gt;"",$R451='تقرير ديسمبر'!$C$4,$P451='تقرير ديسمبر'!$C$6),COUNT(Z$4:Z450)+1,"")</f>
        <v/>
      </c>
      <c r="AA451">
        <f>IF(AND($A451&lt;&gt;"",$B451&lt;&gt;"",$R451='تقرير يناير'!$C$4,$P451='تقرير يناير'!$C$6),COUNT(AA$4:AA450)+1,"")</f>
        <v/>
      </c>
      <c r="AB451">
        <f>IF(AND($A451&lt;&gt;"",$B451&lt;&gt;"",$R451='تقرير فبراير'!$C$4,$P451='تقرير فبراير'!$C$6),COUNT(AB$4:AB450)+1,"")</f>
        <v/>
      </c>
      <c r="AC451">
        <f>IF(AND($A451&lt;&gt;"",$B451&lt;&gt;"",$R451='تقرير مارس'!$C$4,$P451='تقرير مارس'!$C$6),COUNT(AC$4:AC450)+1,"")</f>
        <v/>
      </c>
      <c r="AD451">
        <f>IF(AND($A451&lt;&gt;"",$B451&lt;&gt;"",$R451='تقرير أبريل'!$C$4,$P451='تقرير أبريل'!$C$6),COUNT(AD$4:AD450)+1,"")</f>
        <v/>
      </c>
      <c r="AE451">
        <f>IF(AND($A451&lt;&gt;"",$B451&lt;&gt;"",$R451='تقرير مايو'!$C$4,$P451='تقرير مايو'!$C$6),COUNT(AE$4:AE450)+1,"")</f>
        <v/>
      </c>
    </row>
    <row r="452">
      <c r="A452" s="16" t="n"/>
      <c r="B452" s="17" t="n"/>
      <c r="C452" s="17" t="n"/>
      <c r="D452" s="18" t="n"/>
      <c r="E452" s="17" t="n"/>
      <c r="F452" s="17" t="n"/>
      <c r="G452" s="19" t="n"/>
      <c r="H452" s="17" t="n"/>
      <c r="I452" s="17" t="n"/>
      <c r="J452" s="17" t="n"/>
      <c r="K452" s="20">
        <f>IF($B452="","",IFERROR(INDEX(الموظفات!$A$5:$A$304,MATCH($B452,الموظفات!$B$5:$B$304,0))&amp;"",""))</f>
        <v/>
      </c>
      <c r="L452" s="21">
        <f>IF($B452="","",IFERROR(INDEX(الموظفات!$C$5:$C$304,MATCH($B452,الموظفات!$B$5:$B$304,0))&amp;"",""))</f>
        <v/>
      </c>
      <c r="M452" s="20">
        <f>IF($B452="","",IFERROR(INDEX(الموظفات!$D$5:$D$304,MATCH($B452,الموظفات!$B$5:$B$304,0))&amp;"",""))</f>
        <v/>
      </c>
      <c r="N452" s="20">
        <f>IF($B452="","",IFERROR(INDEX(الموظفات!$E$5:$E$304,MATCH($B452,الموظفات!$B$5:$B$304,0))&amp;"",""))</f>
        <v/>
      </c>
      <c r="O452" s="21">
        <f>IF(C452="","",IFERROR(INDEX(الإعدادات!$D$7:$D$35,MATCH(C452,الإعدادات!$A$7:$A$35,0))&amp;"",""))</f>
        <v/>
      </c>
      <c r="P452" s="20">
        <f>IF(A452="","",INDEX(الإعدادات!$H$7:$H$18,MONTH(A452)))</f>
        <v/>
      </c>
      <c r="Q452" s="20">
        <f>IF(A452="","",INDEX(الإعدادات!$I$7:$I$18,MONTH(A452)))</f>
        <v/>
      </c>
      <c r="R452" s="20">
        <f>IF(A452="","",IF(MONTH(A452)&gt;=8,YEAR(A452)&amp;"-"&amp;(YEAR(A452)+1),(YEAR(A452)-1)&amp;"-"&amp;YEAR(A452)))</f>
        <v/>
      </c>
      <c r="S452" s="20">
        <f>IF(OR(A452="",B452=""),0,IF(AND(R452=التقارير!$C$4,OR(التقارير!$C$5="سنوي",AND(التقارير!$C$5="شهري",P452=التقارير!$C$6),AND(التقارير!$C$5="فصلي",Q452=التقارير!$C$7))),1,0))</f>
        <v/>
      </c>
      <c r="T452" s="20">
        <f>IF(S452=1,COUNTIF($S$5:S452,1),"")</f>
        <v/>
      </c>
      <c r="U452">
        <f>IF(AND($A452&lt;&gt;"",$B452&lt;&gt;"",$R452='تقرير الفصل الأول'!$C$4,$Q452='تقرير الفصل الأول'!$C$7),COUNT(U$4:U451)+1,"")</f>
        <v/>
      </c>
      <c r="V452">
        <f>IF(AND($A452&lt;&gt;"",$B452&lt;&gt;"",$R452='تقرير الفصل الثاني'!$C$4,$Q452='تقرير الفصل الثاني'!$C$7),COUNT(V$4:V451)+1,"")</f>
        <v/>
      </c>
      <c r="W452">
        <f>IF(AND($A452&lt;&gt;"",$B452&lt;&gt;"",$R452='تقرير سبتمبر'!$C$4,$P452='تقرير سبتمبر'!$C$6),COUNT(W$4:W451)+1,"")</f>
        <v/>
      </c>
      <c r="X452">
        <f>IF(AND($A452&lt;&gt;"",$B452&lt;&gt;"",$R452='تقرير أكتوبر'!$C$4,$P452='تقرير أكتوبر'!$C$6),COUNT(X$4:X451)+1,"")</f>
        <v/>
      </c>
      <c r="Y452">
        <f>IF(AND($A452&lt;&gt;"",$B452&lt;&gt;"",$R452='تقرير نوفمبر'!$C$4,$P452='تقرير نوفمبر'!$C$6),COUNT(Y$4:Y451)+1,"")</f>
        <v/>
      </c>
      <c r="Z452">
        <f>IF(AND($A452&lt;&gt;"",$B452&lt;&gt;"",$R452='تقرير ديسمبر'!$C$4,$P452='تقرير ديسمبر'!$C$6),COUNT(Z$4:Z451)+1,"")</f>
        <v/>
      </c>
      <c r="AA452">
        <f>IF(AND($A452&lt;&gt;"",$B452&lt;&gt;"",$R452='تقرير يناير'!$C$4,$P452='تقرير يناير'!$C$6),COUNT(AA$4:AA451)+1,"")</f>
        <v/>
      </c>
      <c r="AB452">
        <f>IF(AND($A452&lt;&gt;"",$B452&lt;&gt;"",$R452='تقرير فبراير'!$C$4,$P452='تقرير فبراير'!$C$6),COUNT(AB$4:AB451)+1,"")</f>
        <v/>
      </c>
      <c r="AC452">
        <f>IF(AND($A452&lt;&gt;"",$B452&lt;&gt;"",$R452='تقرير مارس'!$C$4,$P452='تقرير مارس'!$C$6),COUNT(AC$4:AC451)+1,"")</f>
        <v/>
      </c>
      <c r="AD452">
        <f>IF(AND($A452&lt;&gt;"",$B452&lt;&gt;"",$R452='تقرير أبريل'!$C$4,$P452='تقرير أبريل'!$C$6),COUNT(AD$4:AD451)+1,"")</f>
        <v/>
      </c>
      <c r="AE452">
        <f>IF(AND($A452&lt;&gt;"",$B452&lt;&gt;"",$R452='تقرير مايو'!$C$4,$P452='تقرير مايو'!$C$6),COUNT(AE$4:AE451)+1,"")</f>
        <v/>
      </c>
    </row>
    <row r="453">
      <c r="A453" s="16" t="n"/>
      <c r="B453" s="17" t="n"/>
      <c r="C453" s="17" t="n"/>
      <c r="D453" s="18" t="n"/>
      <c r="E453" s="17" t="n"/>
      <c r="F453" s="17" t="n"/>
      <c r="G453" s="19" t="n"/>
      <c r="H453" s="17" t="n"/>
      <c r="I453" s="17" t="n"/>
      <c r="J453" s="17" t="n"/>
      <c r="K453" s="20">
        <f>IF($B453="","",IFERROR(INDEX(الموظفات!$A$5:$A$304,MATCH($B453,الموظفات!$B$5:$B$304,0))&amp;"",""))</f>
        <v/>
      </c>
      <c r="L453" s="21">
        <f>IF($B453="","",IFERROR(INDEX(الموظفات!$C$5:$C$304,MATCH($B453,الموظفات!$B$5:$B$304,0))&amp;"",""))</f>
        <v/>
      </c>
      <c r="M453" s="20">
        <f>IF($B453="","",IFERROR(INDEX(الموظفات!$D$5:$D$304,MATCH($B453,الموظفات!$B$5:$B$304,0))&amp;"",""))</f>
        <v/>
      </c>
      <c r="N453" s="20">
        <f>IF($B453="","",IFERROR(INDEX(الموظفات!$E$5:$E$304,MATCH($B453,الموظفات!$B$5:$B$304,0))&amp;"",""))</f>
        <v/>
      </c>
      <c r="O453" s="21">
        <f>IF(C453="","",IFERROR(INDEX(الإعدادات!$D$7:$D$35,MATCH(C453,الإعدادات!$A$7:$A$35,0))&amp;"",""))</f>
        <v/>
      </c>
      <c r="P453" s="20">
        <f>IF(A453="","",INDEX(الإعدادات!$H$7:$H$18,MONTH(A453)))</f>
        <v/>
      </c>
      <c r="Q453" s="20">
        <f>IF(A453="","",INDEX(الإعدادات!$I$7:$I$18,MONTH(A453)))</f>
        <v/>
      </c>
      <c r="R453" s="20">
        <f>IF(A453="","",IF(MONTH(A453)&gt;=8,YEAR(A453)&amp;"-"&amp;(YEAR(A453)+1),(YEAR(A453)-1)&amp;"-"&amp;YEAR(A453)))</f>
        <v/>
      </c>
      <c r="S453" s="20">
        <f>IF(OR(A453="",B453=""),0,IF(AND(R453=التقارير!$C$4,OR(التقارير!$C$5="سنوي",AND(التقارير!$C$5="شهري",P453=التقارير!$C$6),AND(التقارير!$C$5="فصلي",Q453=التقارير!$C$7))),1,0))</f>
        <v/>
      </c>
      <c r="T453" s="20">
        <f>IF(S453=1,COUNTIF($S$5:S453,1),"")</f>
        <v/>
      </c>
      <c r="U453">
        <f>IF(AND($A453&lt;&gt;"",$B453&lt;&gt;"",$R453='تقرير الفصل الأول'!$C$4,$Q453='تقرير الفصل الأول'!$C$7),COUNT(U$4:U452)+1,"")</f>
        <v/>
      </c>
      <c r="V453">
        <f>IF(AND($A453&lt;&gt;"",$B453&lt;&gt;"",$R453='تقرير الفصل الثاني'!$C$4,$Q453='تقرير الفصل الثاني'!$C$7),COUNT(V$4:V452)+1,"")</f>
        <v/>
      </c>
      <c r="W453">
        <f>IF(AND($A453&lt;&gt;"",$B453&lt;&gt;"",$R453='تقرير سبتمبر'!$C$4,$P453='تقرير سبتمبر'!$C$6),COUNT(W$4:W452)+1,"")</f>
        <v/>
      </c>
      <c r="X453">
        <f>IF(AND($A453&lt;&gt;"",$B453&lt;&gt;"",$R453='تقرير أكتوبر'!$C$4,$P453='تقرير أكتوبر'!$C$6),COUNT(X$4:X452)+1,"")</f>
        <v/>
      </c>
      <c r="Y453">
        <f>IF(AND($A453&lt;&gt;"",$B453&lt;&gt;"",$R453='تقرير نوفمبر'!$C$4,$P453='تقرير نوفمبر'!$C$6),COUNT(Y$4:Y452)+1,"")</f>
        <v/>
      </c>
      <c r="Z453">
        <f>IF(AND($A453&lt;&gt;"",$B453&lt;&gt;"",$R453='تقرير ديسمبر'!$C$4,$P453='تقرير ديسمبر'!$C$6),COUNT(Z$4:Z452)+1,"")</f>
        <v/>
      </c>
      <c r="AA453">
        <f>IF(AND($A453&lt;&gt;"",$B453&lt;&gt;"",$R453='تقرير يناير'!$C$4,$P453='تقرير يناير'!$C$6),COUNT(AA$4:AA452)+1,"")</f>
        <v/>
      </c>
      <c r="AB453">
        <f>IF(AND($A453&lt;&gt;"",$B453&lt;&gt;"",$R453='تقرير فبراير'!$C$4,$P453='تقرير فبراير'!$C$6),COUNT(AB$4:AB452)+1,"")</f>
        <v/>
      </c>
      <c r="AC453">
        <f>IF(AND($A453&lt;&gt;"",$B453&lt;&gt;"",$R453='تقرير مارس'!$C$4,$P453='تقرير مارس'!$C$6),COUNT(AC$4:AC452)+1,"")</f>
        <v/>
      </c>
      <c r="AD453">
        <f>IF(AND($A453&lt;&gt;"",$B453&lt;&gt;"",$R453='تقرير أبريل'!$C$4,$P453='تقرير أبريل'!$C$6),COUNT(AD$4:AD452)+1,"")</f>
        <v/>
      </c>
      <c r="AE453">
        <f>IF(AND($A453&lt;&gt;"",$B453&lt;&gt;"",$R453='تقرير مايو'!$C$4,$P453='تقرير مايو'!$C$6),COUNT(AE$4:AE452)+1,"")</f>
        <v/>
      </c>
    </row>
    <row r="454">
      <c r="A454" s="16" t="n"/>
      <c r="B454" s="17" t="n"/>
      <c r="C454" s="17" t="n"/>
      <c r="D454" s="18" t="n"/>
      <c r="E454" s="17" t="n"/>
      <c r="F454" s="17" t="n"/>
      <c r="G454" s="19" t="n"/>
      <c r="H454" s="17" t="n"/>
      <c r="I454" s="17" t="n"/>
      <c r="J454" s="17" t="n"/>
      <c r="K454" s="20">
        <f>IF($B454="","",IFERROR(INDEX(الموظفات!$A$5:$A$304,MATCH($B454,الموظفات!$B$5:$B$304,0))&amp;"",""))</f>
        <v/>
      </c>
      <c r="L454" s="21">
        <f>IF($B454="","",IFERROR(INDEX(الموظفات!$C$5:$C$304,MATCH($B454,الموظفات!$B$5:$B$304,0))&amp;"",""))</f>
        <v/>
      </c>
      <c r="M454" s="20">
        <f>IF($B454="","",IFERROR(INDEX(الموظفات!$D$5:$D$304,MATCH($B454,الموظفات!$B$5:$B$304,0))&amp;"",""))</f>
        <v/>
      </c>
      <c r="N454" s="20">
        <f>IF($B454="","",IFERROR(INDEX(الموظفات!$E$5:$E$304,MATCH($B454,الموظفات!$B$5:$B$304,0))&amp;"",""))</f>
        <v/>
      </c>
      <c r="O454" s="21">
        <f>IF(C454="","",IFERROR(INDEX(الإعدادات!$D$7:$D$35,MATCH(C454,الإعدادات!$A$7:$A$35,0))&amp;"",""))</f>
        <v/>
      </c>
      <c r="P454" s="20">
        <f>IF(A454="","",INDEX(الإعدادات!$H$7:$H$18,MONTH(A454)))</f>
        <v/>
      </c>
      <c r="Q454" s="20">
        <f>IF(A454="","",INDEX(الإعدادات!$I$7:$I$18,MONTH(A454)))</f>
        <v/>
      </c>
      <c r="R454" s="20">
        <f>IF(A454="","",IF(MONTH(A454)&gt;=8,YEAR(A454)&amp;"-"&amp;(YEAR(A454)+1),(YEAR(A454)-1)&amp;"-"&amp;YEAR(A454)))</f>
        <v/>
      </c>
      <c r="S454" s="20">
        <f>IF(OR(A454="",B454=""),0,IF(AND(R454=التقارير!$C$4,OR(التقارير!$C$5="سنوي",AND(التقارير!$C$5="شهري",P454=التقارير!$C$6),AND(التقارير!$C$5="فصلي",Q454=التقارير!$C$7))),1,0))</f>
        <v/>
      </c>
      <c r="T454" s="20">
        <f>IF(S454=1,COUNTIF($S$5:S454,1),"")</f>
        <v/>
      </c>
      <c r="U454">
        <f>IF(AND($A454&lt;&gt;"",$B454&lt;&gt;"",$R454='تقرير الفصل الأول'!$C$4,$Q454='تقرير الفصل الأول'!$C$7),COUNT(U$4:U453)+1,"")</f>
        <v/>
      </c>
      <c r="V454">
        <f>IF(AND($A454&lt;&gt;"",$B454&lt;&gt;"",$R454='تقرير الفصل الثاني'!$C$4,$Q454='تقرير الفصل الثاني'!$C$7),COUNT(V$4:V453)+1,"")</f>
        <v/>
      </c>
      <c r="W454">
        <f>IF(AND($A454&lt;&gt;"",$B454&lt;&gt;"",$R454='تقرير سبتمبر'!$C$4,$P454='تقرير سبتمبر'!$C$6),COUNT(W$4:W453)+1,"")</f>
        <v/>
      </c>
      <c r="X454">
        <f>IF(AND($A454&lt;&gt;"",$B454&lt;&gt;"",$R454='تقرير أكتوبر'!$C$4,$P454='تقرير أكتوبر'!$C$6),COUNT(X$4:X453)+1,"")</f>
        <v/>
      </c>
      <c r="Y454">
        <f>IF(AND($A454&lt;&gt;"",$B454&lt;&gt;"",$R454='تقرير نوفمبر'!$C$4,$P454='تقرير نوفمبر'!$C$6),COUNT(Y$4:Y453)+1,"")</f>
        <v/>
      </c>
      <c r="Z454">
        <f>IF(AND($A454&lt;&gt;"",$B454&lt;&gt;"",$R454='تقرير ديسمبر'!$C$4,$P454='تقرير ديسمبر'!$C$6),COUNT(Z$4:Z453)+1,"")</f>
        <v/>
      </c>
      <c r="AA454">
        <f>IF(AND($A454&lt;&gt;"",$B454&lt;&gt;"",$R454='تقرير يناير'!$C$4,$P454='تقرير يناير'!$C$6),COUNT(AA$4:AA453)+1,"")</f>
        <v/>
      </c>
      <c r="AB454">
        <f>IF(AND($A454&lt;&gt;"",$B454&lt;&gt;"",$R454='تقرير فبراير'!$C$4,$P454='تقرير فبراير'!$C$6),COUNT(AB$4:AB453)+1,"")</f>
        <v/>
      </c>
      <c r="AC454">
        <f>IF(AND($A454&lt;&gt;"",$B454&lt;&gt;"",$R454='تقرير مارس'!$C$4,$P454='تقرير مارس'!$C$6),COUNT(AC$4:AC453)+1,"")</f>
        <v/>
      </c>
      <c r="AD454">
        <f>IF(AND($A454&lt;&gt;"",$B454&lt;&gt;"",$R454='تقرير أبريل'!$C$4,$P454='تقرير أبريل'!$C$6),COUNT(AD$4:AD453)+1,"")</f>
        <v/>
      </c>
      <c r="AE454">
        <f>IF(AND($A454&lt;&gt;"",$B454&lt;&gt;"",$R454='تقرير مايو'!$C$4,$P454='تقرير مايو'!$C$6),COUNT(AE$4:AE453)+1,"")</f>
        <v/>
      </c>
    </row>
    <row r="455">
      <c r="A455" s="16" t="n"/>
      <c r="B455" s="17" t="n"/>
      <c r="C455" s="17" t="n"/>
      <c r="D455" s="18" t="n"/>
      <c r="E455" s="17" t="n"/>
      <c r="F455" s="17" t="n"/>
      <c r="G455" s="19" t="n"/>
      <c r="H455" s="17" t="n"/>
      <c r="I455" s="17" t="n"/>
      <c r="J455" s="17" t="n"/>
      <c r="K455" s="20">
        <f>IF($B455="","",IFERROR(INDEX(الموظفات!$A$5:$A$304,MATCH($B455,الموظفات!$B$5:$B$304,0))&amp;"",""))</f>
        <v/>
      </c>
      <c r="L455" s="21">
        <f>IF($B455="","",IFERROR(INDEX(الموظفات!$C$5:$C$304,MATCH($B455,الموظفات!$B$5:$B$304,0))&amp;"",""))</f>
        <v/>
      </c>
      <c r="M455" s="20">
        <f>IF($B455="","",IFERROR(INDEX(الموظفات!$D$5:$D$304,MATCH($B455,الموظفات!$B$5:$B$304,0))&amp;"",""))</f>
        <v/>
      </c>
      <c r="N455" s="20">
        <f>IF($B455="","",IFERROR(INDEX(الموظفات!$E$5:$E$304,MATCH($B455,الموظفات!$B$5:$B$304,0))&amp;"",""))</f>
        <v/>
      </c>
      <c r="O455" s="21">
        <f>IF(C455="","",IFERROR(INDEX(الإعدادات!$D$7:$D$35,MATCH(C455,الإعدادات!$A$7:$A$35,0))&amp;"",""))</f>
        <v/>
      </c>
      <c r="P455" s="20">
        <f>IF(A455="","",INDEX(الإعدادات!$H$7:$H$18,MONTH(A455)))</f>
        <v/>
      </c>
      <c r="Q455" s="20">
        <f>IF(A455="","",INDEX(الإعدادات!$I$7:$I$18,MONTH(A455)))</f>
        <v/>
      </c>
      <c r="R455" s="20">
        <f>IF(A455="","",IF(MONTH(A455)&gt;=8,YEAR(A455)&amp;"-"&amp;(YEAR(A455)+1),(YEAR(A455)-1)&amp;"-"&amp;YEAR(A455)))</f>
        <v/>
      </c>
      <c r="S455" s="20">
        <f>IF(OR(A455="",B455=""),0,IF(AND(R455=التقارير!$C$4,OR(التقارير!$C$5="سنوي",AND(التقارير!$C$5="شهري",P455=التقارير!$C$6),AND(التقارير!$C$5="فصلي",Q455=التقارير!$C$7))),1,0))</f>
        <v/>
      </c>
      <c r="T455" s="20">
        <f>IF(S455=1,COUNTIF($S$5:S455,1),"")</f>
        <v/>
      </c>
      <c r="U455">
        <f>IF(AND($A455&lt;&gt;"",$B455&lt;&gt;"",$R455='تقرير الفصل الأول'!$C$4,$Q455='تقرير الفصل الأول'!$C$7),COUNT(U$4:U454)+1,"")</f>
        <v/>
      </c>
      <c r="V455">
        <f>IF(AND($A455&lt;&gt;"",$B455&lt;&gt;"",$R455='تقرير الفصل الثاني'!$C$4,$Q455='تقرير الفصل الثاني'!$C$7),COUNT(V$4:V454)+1,"")</f>
        <v/>
      </c>
      <c r="W455">
        <f>IF(AND($A455&lt;&gt;"",$B455&lt;&gt;"",$R455='تقرير سبتمبر'!$C$4,$P455='تقرير سبتمبر'!$C$6),COUNT(W$4:W454)+1,"")</f>
        <v/>
      </c>
      <c r="X455">
        <f>IF(AND($A455&lt;&gt;"",$B455&lt;&gt;"",$R455='تقرير أكتوبر'!$C$4,$P455='تقرير أكتوبر'!$C$6),COUNT(X$4:X454)+1,"")</f>
        <v/>
      </c>
      <c r="Y455">
        <f>IF(AND($A455&lt;&gt;"",$B455&lt;&gt;"",$R455='تقرير نوفمبر'!$C$4,$P455='تقرير نوفمبر'!$C$6),COUNT(Y$4:Y454)+1,"")</f>
        <v/>
      </c>
      <c r="Z455">
        <f>IF(AND($A455&lt;&gt;"",$B455&lt;&gt;"",$R455='تقرير ديسمبر'!$C$4,$P455='تقرير ديسمبر'!$C$6),COUNT(Z$4:Z454)+1,"")</f>
        <v/>
      </c>
      <c r="AA455">
        <f>IF(AND($A455&lt;&gt;"",$B455&lt;&gt;"",$R455='تقرير يناير'!$C$4,$P455='تقرير يناير'!$C$6),COUNT(AA$4:AA454)+1,"")</f>
        <v/>
      </c>
      <c r="AB455">
        <f>IF(AND($A455&lt;&gt;"",$B455&lt;&gt;"",$R455='تقرير فبراير'!$C$4,$P455='تقرير فبراير'!$C$6),COUNT(AB$4:AB454)+1,"")</f>
        <v/>
      </c>
      <c r="AC455">
        <f>IF(AND($A455&lt;&gt;"",$B455&lt;&gt;"",$R455='تقرير مارس'!$C$4,$P455='تقرير مارس'!$C$6),COUNT(AC$4:AC454)+1,"")</f>
        <v/>
      </c>
      <c r="AD455">
        <f>IF(AND($A455&lt;&gt;"",$B455&lt;&gt;"",$R455='تقرير أبريل'!$C$4,$P455='تقرير أبريل'!$C$6),COUNT(AD$4:AD454)+1,"")</f>
        <v/>
      </c>
      <c r="AE455">
        <f>IF(AND($A455&lt;&gt;"",$B455&lt;&gt;"",$R455='تقرير مايو'!$C$4,$P455='تقرير مايو'!$C$6),COUNT(AE$4:AE454)+1,"")</f>
        <v/>
      </c>
    </row>
    <row r="456">
      <c r="A456" s="16" t="n"/>
      <c r="B456" s="17" t="n"/>
      <c r="C456" s="17" t="n"/>
      <c r="D456" s="18" t="n"/>
      <c r="E456" s="17" t="n"/>
      <c r="F456" s="17" t="n"/>
      <c r="G456" s="19" t="n"/>
      <c r="H456" s="17" t="n"/>
      <c r="I456" s="17" t="n"/>
      <c r="J456" s="17" t="n"/>
      <c r="K456" s="20">
        <f>IF($B456="","",IFERROR(INDEX(الموظفات!$A$5:$A$304,MATCH($B456,الموظفات!$B$5:$B$304,0))&amp;"",""))</f>
        <v/>
      </c>
      <c r="L456" s="21">
        <f>IF($B456="","",IFERROR(INDEX(الموظفات!$C$5:$C$304,MATCH($B456,الموظفات!$B$5:$B$304,0))&amp;"",""))</f>
        <v/>
      </c>
      <c r="M456" s="20">
        <f>IF($B456="","",IFERROR(INDEX(الموظفات!$D$5:$D$304,MATCH($B456,الموظفات!$B$5:$B$304,0))&amp;"",""))</f>
        <v/>
      </c>
      <c r="N456" s="20">
        <f>IF($B456="","",IFERROR(INDEX(الموظفات!$E$5:$E$304,MATCH($B456,الموظفات!$B$5:$B$304,0))&amp;"",""))</f>
        <v/>
      </c>
      <c r="O456" s="21">
        <f>IF(C456="","",IFERROR(INDEX(الإعدادات!$D$7:$D$35,MATCH(C456,الإعدادات!$A$7:$A$35,0))&amp;"",""))</f>
        <v/>
      </c>
      <c r="P456" s="20">
        <f>IF(A456="","",INDEX(الإعدادات!$H$7:$H$18,MONTH(A456)))</f>
        <v/>
      </c>
      <c r="Q456" s="20">
        <f>IF(A456="","",INDEX(الإعدادات!$I$7:$I$18,MONTH(A456)))</f>
        <v/>
      </c>
      <c r="R456" s="20">
        <f>IF(A456="","",IF(MONTH(A456)&gt;=8,YEAR(A456)&amp;"-"&amp;(YEAR(A456)+1),(YEAR(A456)-1)&amp;"-"&amp;YEAR(A456)))</f>
        <v/>
      </c>
      <c r="S456" s="20">
        <f>IF(OR(A456="",B456=""),0,IF(AND(R456=التقارير!$C$4,OR(التقارير!$C$5="سنوي",AND(التقارير!$C$5="شهري",P456=التقارير!$C$6),AND(التقارير!$C$5="فصلي",Q456=التقارير!$C$7))),1,0))</f>
        <v/>
      </c>
      <c r="T456" s="20">
        <f>IF(S456=1,COUNTIF($S$5:S456,1),"")</f>
        <v/>
      </c>
      <c r="U456">
        <f>IF(AND($A456&lt;&gt;"",$B456&lt;&gt;"",$R456='تقرير الفصل الأول'!$C$4,$Q456='تقرير الفصل الأول'!$C$7),COUNT(U$4:U455)+1,"")</f>
        <v/>
      </c>
      <c r="V456">
        <f>IF(AND($A456&lt;&gt;"",$B456&lt;&gt;"",$R456='تقرير الفصل الثاني'!$C$4,$Q456='تقرير الفصل الثاني'!$C$7),COUNT(V$4:V455)+1,"")</f>
        <v/>
      </c>
      <c r="W456">
        <f>IF(AND($A456&lt;&gt;"",$B456&lt;&gt;"",$R456='تقرير سبتمبر'!$C$4,$P456='تقرير سبتمبر'!$C$6),COUNT(W$4:W455)+1,"")</f>
        <v/>
      </c>
      <c r="X456">
        <f>IF(AND($A456&lt;&gt;"",$B456&lt;&gt;"",$R456='تقرير أكتوبر'!$C$4,$P456='تقرير أكتوبر'!$C$6),COUNT(X$4:X455)+1,"")</f>
        <v/>
      </c>
      <c r="Y456">
        <f>IF(AND($A456&lt;&gt;"",$B456&lt;&gt;"",$R456='تقرير نوفمبر'!$C$4,$P456='تقرير نوفمبر'!$C$6),COUNT(Y$4:Y455)+1,"")</f>
        <v/>
      </c>
      <c r="Z456">
        <f>IF(AND($A456&lt;&gt;"",$B456&lt;&gt;"",$R456='تقرير ديسمبر'!$C$4,$P456='تقرير ديسمبر'!$C$6),COUNT(Z$4:Z455)+1,"")</f>
        <v/>
      </c>
      <c r="AA456">
        <f>IF(AND($A456&lt;&gt;"",$B456&lt;&gt;"",$R456='تقرير يناير'!$C$4,$P456='تقرير يناير'!$C$6),COUNT(AA$4:AA455)+1,"")</f>
        <v/>
      </c>
      <c r="AB456">
        <f>IF(AND($A456&lt;&gt;"",$B456&lt;&gt;"",$R456='تقرير فبراير'!$C$4,$P456='تقرير فبراير'!$C$6),COUNT(AB$4:AB455)+1,"")</f>
        <v/>
      </c>
      <c r="AC456">
        <f>IF(AND($A456&lt;&gt;"",$B456&lt;&gt;"",$R456='تقرير مارس'!$C$4,$P456='تقرير مارس'!$C$6),COUNT(AC$4:AC455)+1,"")</f>
        <v/>
      </c>
      <c r="AD456">
        <f>IF(AND($A456&lt;&gt;"",$B456&lt;&gt;"",$R456='تقرير أبريل'!$C$4,$P456='تقرير أبريل'!$C$6),COUNT(AD$4:AD455)+1,"")</f>
        <v/>
      </c>
      <c r="AE456">
        <f>IF(AND($A456&lt;&gt;"",$B456&lt;&gt;"",$R456='تقرير مايو'!$C$4,$P456='تقرير مايو'!$C$6),COUNT(AE$4:AE455)+1,"")</f>
        <v/>
      </c>
    </row>
    <row r="457">
      <c r="A457" s="16" t="n"/>
      <c r="B457" s="17" t="n"/>
      <c r="C457" s="17" t="n"/>
      <c r="D457" s="18" t="n"/>
      <c r="E457" s="17" t="n"/>
      <c r="F457" s="17" t="n"/>
      <c r="G457" s="19" t="n"/>
      <c r="H457" s="17" t="n"/>
      <c r="I457" s="17" t="n"/>
      <c r="J457" s="17" t="n"/>
      <c r="K457" s="20">
        <f>IF($B457="","",IFERROR(INDEX(الموظفات!$A$5:$A$304,MATCH($B457,الموظفات!$B$5:$B$304,0))&amp;"",""))</f>
        <v/>
      </c>
      <c r="L457" s="21">
        <f>IF($B457="","",IFERROR(INDEX(الموظفات!$C$5:$C$304,MATCH($B457,الموظفات!$B$5:$B$304,0))&amp;"",""))</f>
        <v/>
      </c>
      <c r="M457" s="20">
        <f>IF($B457="","",IFERROR(INDEX(الموظفات!$D$5:$D$304,MATCH($B457,الموظفات!$B$5:$B$304,0))&amp;"",""))</f>
        <v/>
      </c>
      <c r="N457" s="20">
        <f>IF($B457="","",IFERROR(INDEX(الموظفات!$E$5:$E$304,MATCH($B457,الموظفات!$B$5:$B$304,0))&amp;"",""))</f>
        <v/>
      </c>
      <c r="O457" s="21">
        <f>IF(C457="","",IFERROR(INDEX(الإعدادات!$D$7:$D$35,MATCH(C457,الإعدادات!$A$7:$A$35,0))&amp;"",""))</f>
        <v/>
      </c>
      <c r="P457" s="20">
        <f>IF(A457="","",INDEX(الإعدادات!$H$7:$H$18,MONTH(A457)))</f>
        <v/>
      </c>
      <c r="Q457" s="20">
        <f>IF(A457="","",INDEX(الإعدادات!$I$7:$I$18,MONTH(A457)))</f>
        <v/>
      </c>
      <c r="R457" s="20">
        <f>IF(A457="","",IF(MONTH(A457)&gt;=8,YEAR(A457)&amp;"-"&amp;(YEAR(A457)+1),(YEAR(A457)-1)&amp;"-"&amp;YEAR(A457)))</f>
        <v/>
      </c>
      <c r="S457" s="20">
        <f>IF(OR(A457="",B457=""),0,IF(AND(R457=التقارير!$C$4,OR(التقارير!$C$5="سنوي",AND(التقارير!$C$5="شهري",P457=التقارير!$C$6),AND(التقارير!$C$5="فصلي",Q457=التقارير!$C$7))),1,0))</f>
        <v/>
      </c>
      <c r="T457" s="20">
        <f>IF(S457=1,COUNTIF($S$5:S457,1),"")</f>
        <v/>
      </c>
      <c r="U457">
        <f>IF(AND($A457&lt;&gt;"",$B457&lt;&gt;"",$R457='تقرير الفصل الأول'!$C$4,$Q457='تقرير الفصل الأول'!$C$7),COUNT(U$4:U456)+1,"")</f>
        <v/>
      </c>
      <c r="V457">
        <f>IF(AND($A457&lt;&gt;"",$B457&lt;&gt;"",$R457='تقرير الفصل الثاني'!$C$4,$Q457='تقرير الفصل الثاني'!$C$7),COUNT(V$4:V456)+1,"")</f>
        <v/>
      </c>
      <c r="W457">
        <f>IF(AND($A457&lt;&gt;"",$B457&lt;&gt;"",$R457='تقرير سبتمبر'!$C$4,$P457='تقرير سبتمبر'!$C$6),COUNT(W$4:W456)+1,"")</f>
        <v/>
      </c>
      <c r="X457">
        <f>IF(AND($A457&lt;&gt;"",$B457&lt;&gt;"",$R457='تقرير أكتوبر'!$C$4,$P457='تقرير أكتوبر'!$C$6),COUNT(X$4:X456)+1,"")</f>
        <v/>
      </c>
      <c r="Y457">
        <f>IF(AND($A457&lt;&gt;"",$B457&lt;&gt;"",$R457='تقرير نوفمبر'!$C$4,$P457='تقرير نوفمبر'!$C$6),COUNT(Y$4:Y456)+1,"")</f>
        <v/>
      </c>
      <c r="Z457">
        <f>IF(AND($A457&lt;&gt;"",$B457&lt;&gt;"",$R457='تقرير ديسمبر'!$C$4,$P457='تقرير ديسمبر'!$C$6),COUNT(Z$4:Z456)+1,"")</f>
        <v/>
      </c>
      <c r="AA457">
        <f>IF(AND($A457&lt;&gt;"",$B457&lt;&gt;"",$R457='تقرير يناير'!$C$4,$P457='تقرير يناير'!$C$6),COUNT(AA$4:AA456)+1,"")</f>
        <v/>
      </c>
      <c r="AB457">
        <f>IF(AND($A457&lt;&gt;"",$B457&lt;&gt;"",$R457='تقرير فبراير'!$C$4,$P457='تقرير فبراير'!$C$6),COUNT(AB$4:AB456)+1,"")</f>
        <v/>
      </c>
      <c r="AC457">
        <f>IF(AND($A457&lt;&gt;"",$B457&lt;&gt;"",$R457='تقرير مارس'!$C$4,$P457='تقرير مارس'!$C$6),COUNT(AC$4:AC456)+1,"")</f>
        <v/>
      </c>
      <c r="AD457">
        <f>IF(AND($A457&lt;&gt;"",$B457&lt;&gt;"",$R457='تقرير أبريل'!$C$4,$P457='تقرير أبريل'!$C$6),COUNT(AD$4:AD456)+1,"")</f>
        <v/>
      </c>
      <c r="AE457">
        <f>IF(AND($A457&lt;&gt;"",$B457&lt;&gt;"",$R457='تقرير مايو'!$C$4,$P457='تقرير مايو'!$C$6),COUNT(AE$4:AE456)+1,"")</f>
        <v/>
      </c>
    </row>
    <row r="458">
      <c r="A458" s="16" t="n"/>
      <c r="B458" s="17" t="n"/>
      <c r="C458" s="17" t="n"/>
      <c r="D458" s="18" t="n"/>
      <c r="E458" s="17" t="n"/>
      <c r="F458" s="17" t="n"/>
      <c r="G458" s="19" t="n"/>
      <c r="H458" s="17" t="n"/>
      <c r="I458" s="17" t="n"/>
      <c r="J458" s="17" t="n"/>
      <c r="K458" s="20">
        <f>IF($B458="","",IFERROR(INDEX(الموظفات!$A$5:$A$304,MATCH($B458,الموظفات!$B$5:$B$304,0))&amp;"",""))</f>
        <v/>
      </c>
      <c r="L458" s="21">
        <f>IF($B458="","",IFERROR(INDEX(الموظفات!$C$5:$C$304,MATCH($B458,الموظفات!$B$5:$B$304,0))&amp;"",""))</f>
        <v/>
      </c>
      <c r="M458" s="20">
        <f>IF($B458="","",IFERROR(INDEX(الموظفات!$D$5:$D$304,MATCH($B458,الموظفات!$B$5:$B$304,0))&amp;"",""))</f>
        <v/>
      </c>
      <c r="N458" s="20">
        <f>IF($B458="","",IFERROR(INDEX(الموظفات!$E$5:$E$304,MATCH($B458,الموظفات!$B$5:$B$304,0))&amp;"",""))</f>
        <v/>
      </c>
      <c r="O458" s="21">
        <f>IF(C458="","",IFERROR(INDEX(الإعدادات!$D$7:$D$35,MATCH(C458,الإعدادات!$A$7:$A$35,0))&amp;"",""))</f>
        <v/>
      </c>
      <c r="P458" s="20">
        <f>IF(A458="","",INDEX(الإعدادات!$H$7:$H$18,MONTH(A458)))</f>
        <v/>
      </c>
      <c r="Q458" s="20">
        <f>IF(A458="","",INDEX(الإعدادات!$I$7:$I$18,MONTH(A458)))</f>
        <v/>
      </c>
      <c r="R458" s="20">
        <f>IF(A458="","",IF(MONTH(A458)&gt;=8,YEAR(A458)&amp;"-"&amp;(YEAR(A458)+1),(YEAR(A458)-1)&amp;"-"&amp;YEAR(A458)))</f>
        <v/>
      </c>
      <c r="S458" s="20">
        <f>IF(OR(A458="",B458=""),0,IF(AND(R458=التقارير!$C$4,OR(التقارير!$C$5="سنوي",AND(التقارير!$C$5="شهري",P458=التقارير!$C$6),AND(التقارير!$C$5="فصلي",Q458=التقارير!$C$7))),1,0))</f>
        <v/>
      </c>
      <c r="T458" s="20">
        <f>IF(S458=1,COUNTIF($S$5:S458,1),"")</f>
        <v/>
      </c>
      <c r="U458">
        <f>IF(AND($A458&lt;&gt;"",$B458&lt;&gt;"",$R458='تقرير الفصل الأول'!$C$4,$Q458='تقرير الفصل الأول'!$C$7),COUNT(U$4:U457)+1,"")</f>
        <v/>
      </c>
      <c r="V458">
        <f>IF(AND($A458&lt;&gt;"",$B458&lt;&gt;"",$R458='تقرير الفصل الثاني'!$C$4,$Q458='تقرير الفصل الثاني'!$C$7),COUNT(V$4:V457)+1,"")</f>
        <v/>
      </c>
      <c r="W458">
        <f>IF(AND($A458&lt;&gt;"",$B458&lt;&gt;"",$R458='تقرير سبتمبر'!$C$4,$P458='تقرير سبتمبر'!$C$6),COUNT(W$4:W457)+1,"")</f>
        <v/>
      </c>
      <c r="X458">
        <f>IF(AND($A458&lt;&gt;"",$B458&lt;&gt;"",$R458='تقرير أكتوبر'!$C$4,$P458='تقرير أكتوبر'!$C$6),COUNT(X$4:X457)+1,"")</f>
        <v/>
      </c>
      <c r="Y458">
        <f>IF(AND($A458&lt;&gt;"",$B458&lt;&gt;"",$R458='تقرير نوفمبر'!$C$4,$P458='تقرير نوفمبر'!$C$6),COUNT(Y$4:Y457)+1,"")</f>
        <v/>
      </c>
      <c r="Z458">
        <f>IF(AND($A458&lt;&gt;"",$B458&lt;&gt;"",$R458='تقرير ديسمبر'!$C$4,$P458='تقرير ديسمبر'!$C$6),COUNT(Z$4:Z457)+1,"")</f>
        <v/>
      </c>
      <c r="AA458">
        <f>IF(AND($A458&lt;&gt;"",$B458&lt;&gt;"",$R458='تقرير يناير'!$C$4,$P458='تقرير يناير'!$C$6),COUNT(AA$4:AA457)+1,"")</f>
        <v/>
      </c>
      <c r="AB458">
        <f>IF(AND($A458&lt;&gt;"",$B458&lt;&gt;"",$R458='تقرير فبراير'!$C$4,$P458='تقرير فبراير'!$C$6),COUNT(AB$4:AB457)+1,"")</f>
        <v/>
      </c>
      <c r="AC458">
        <f>IF(AND($A458&lt;&gt;"",$B458&lt;&gt;"",$R458='تقرير مارس'!$C$4,$P458='تقرير مارس'!$C$6),COUNT(AC$4:AC457)+1,"")</f>
        <v/>
      </c>
      <c r="AD458">
        <f>IF(AND($A458&lt;&gt;"",$B458&lt;&gt;"",$R458='تقرير أبريل'!$C$4,$P458='تقرير أبريل'!$C$6),COUNT(AD$4:AD457)+1,"")</f>
        <v/>
      </c>
      <c r="AE458">
        <f>IF(AND($A458&lt;&gt;"",$B458&lt;&gt;"",$R458='تقرير مايو'!$C$4,$P458='تقرير مايو'!$C$6),COUNT(AE$4:AE457)+1,"")</f>
        <v/>
      </c>
    </row>
    <row r="459">
      <c r="A459" s="16" t="n"/>
      <c r="B459" s="17" t="n"/>
      <c r="C459" s="17" t="n"/>
      <c r="D459" s="18" t="n"/>
      <c r="E459" s="17" t="n"/>
      <c r="F459" s="17" t="n"/>
      <c r="G459" s="19" t="n"/>
      <c r="H459" s="17" t="n"/>
      <c r="I459" s="17" t="n"/>
      <c r="J459" s="17" t="n"/>
      <c r="K459" s="20">
        <f>IF($B459="","",IFERROR(INDEX(الموظفات!$A$5:$A$304,MATCH($B459,الموظفات!$B$5:$B$304,0))&amp;"",""))</f>
        <v/>
      </c>
      <c r="L459" s="21">
        <f>IF($B459="","",IFERROR(INDEX(الموظفات!$C$5:$C$304,MATCH($B459,الموظفات!$B$5:$B$304,0))&amp;"",""))</f>
        <v/>
      </c>
      <c r="M459" s="20">
        <f>IF($B459="","",IFERROR(INDEX(الموظفات!$D$5:$D$304,MATCH($B459,الموظفات!$B$5:$B$304,0))&amp;"",""))</f>
        <v/>
      </c>
      <c r="N459" s="20">
        <f>IF($B459="","",IFERROR(INDEX(الموظفات!$E$5:$E$304,MATCH($B459,الموظفات!$B$5:$B$304,0))&amp;"",""))</f>
        <v/>
      </c>
      <c r="O459" s="21">
        <f>IF(C459="","",IFERROR(INDEX(الإعدادات!$D$7:$D$35,MATCH(C459,الإعدادات!$A$7:$A$35,0))&amp;"",""))</f>
        <v/>
      </c>
      <c r="P459" s="20">
        <f>IF(A459="","",INDEX(الإعدادات!$H$7:$H$18,MONTH(A459)))</f>
        <v/>
      </c>
      <c r="Q459" s="20">
        <f>IF(A459="","",INDEX(الإعدادات!$I$7:$I$18,MONTH(A459)))</f>
        <v/>
      </c>
      <c r="R459" s="20">
        <f>IF(A459="","",IF(MONTH(A459)&gt;=8,YEAR(A459)&amp;"-"&amp;(YEAR(A459)+1),(YEAR(A459)-1)&amp;"-"&amp;YEAR(A459)))</f>
        <v/>
      </c>
      <c r="S459" s="20">
        <f>IF(OR(A459="",B459=""),0,IF(AND(R459=التقارير!$C$4,OR(التقارير!$C$5="سنوي",AND(التقارير!$C$5="شهري",P459=التقارير!$C$6),AND(التقارير!$C$5="فصلي",Q459=التقارير!$C$7))),1,0))</f>
        <v/>
      </c>
      <c r="T459" s="20">
        <f>IF(S459=1,COUNTIF($S$5:S459,1),"")</f>
        <v/>
      </c>
      <c r="U459">
        <f>IF(AND($A459&lt;&gt;"",$B459&lt;&gt;"",$R459='تقرير الفصل الأول'!$C$4,$Q459='تقرير الفصل الأول'!$C$7),COUNT(U$4:U458)+1,"")</f>
        <v/>
      </c>
      <c r="V459">
        <f>IF(AND($A459&lt;&gt;"",$B459&lt;&gt;"",$R459='تقرير الفصل الثاني'!$C$4,$Q459='تقرير الفصل الثاني'!$C$7),COUNT(V$4:V458)+1,"")</f>
        <v/>
      </c>
      <c r="W459">
        <f>IF(AND($A459&lt;&gt;"",$B459&lt;&gt;"",$R459='تقرير سبتمبر'!$C$4,$P459='تقرير سبتمبر'!$C$6),COUNT(W$4:W458)+1,"")</f>
        <v/>
      </c>
      <c r="X459">
        <f>IF(AND($A459&lt;&gt;"",$B459&lt;&gt;"",$R459='تقرير أكتوبر'!$C$4,$P459='تقرير أكتوبر'!$C$6),COUNT(X$4:X458)+1,"")</f>
        <v/>
      </c>
      <c r="Y459">
        <f>IF(AND($A459&lt;&gt;"",$B459&lt;&gt;"",$R459='تقرير نوفمبر'!$C$4,$P459='تقرير نوفمبر'!$C$6),COUNT(Y$4:Y458)+1,"")</f>
        <v/>
      </c>
      <c r="Z459">
        <f>IF(AND($A459&lt;&gt;"",$B459&lt;&gt;"",$R459='تقرير ديسمبر'!$C$4,$P459='تقرير ديسمبر'!$C$6),COUNT(Z$4:Z458)+1,"")</f>
        <v/>
      </c>
      <c r="AA459">
        <f>IF(AND($A459&lt;&gt;"",$B459&lt;&gt;"",$R459='تقرير يناير'!$C$4,$P459='تقرير يناير'!$C$6),COUNT(AA$4:AA458)+1,"")</f>
        <v/>
      </c>
      <c r="AB459">
        <f>IF(AND($A459&lt;&gt;"",$B459&lt;&gt;"",$R459='تقرير فبراير'!$C$4,$P459='تقرير فبراير'!$C$6),COUNT(AB$4:AB458)+1,"")</f>
        <v/>
      </c>
      <c r="AC459">
        <f>IF(AND($A459&lt;&gt;"",$B459&lt;&gt;"",$R459='تقرير مارس'!$C$4,$P459='تقرير مارس'!$C$6),COUNT(AC$4:AC458)+1,"")</f>
        <v/>
      </c>
      <c r="AD459">
        <f>IF(AND($A459&lt;&gt;"",$B459&lt;&gt;"",$R459='تقرير أبريل'!$C$4,$P459='تقرير أبريل'!$C$6),COUNT(AD$4:AD458)+1,"")</f>
        <v/>
      </c>
      <c r="AE459">
        <f>IF(AND($A459&lt;&gt;"",$B459&lt;&gt;"",$R459='تقرير مايو'!$C$4,$P459='تقرير مايو'!$C$6),COUNT(AE$4:AE458)+1,"")</f>
        <v/>
      </c>
    </row>
    <row r="460">
      <c r="A460" s="16" t="n"/>
      <c r="B460" s="17" t="n"/>
      <c r="C460" s="17" t="n"/>
      <c r="D460" s="18" t="n"/>
      <c r="E460" s="17" t="n"/>
      <c r="F460" s="17" t="n"/>
      <c r="G460" s="19" t="n"/>
      <c r="H460" s="17" t="n"/>
      <c r="I460" s="17" t="n"/>
      <c r="J460" s="17" t="n"/>
      <c r="K460" s="20">
        <f>IF($B460="","",IFERROR(INDEX(الموظفات!$A$5:$A$304,MATCH($B460,الموظفات!$B$5:$B$304,0))&amp;"",""))</f>
        <v/>
      </c>
      <c r="L460" s="21">
        <f>IF($B460="","",IFERROR(INDEX(الموظفات!$C$5:$C$304,MATCH($B460,الموظفات!$B$5:$B$304,0))&amp;"",""))</f>
        <v/>
      </c>
      <c r="M460" s="20">
        <f>IF($B460="","",IFERROR(INDEX(الموظفات!$D$5:$D$304,MATCH($B460,الموظفات!$B$5:$B$304,0))&amp;"",""))</f>
        <v/>
      </c>
      <c r="N460" s="20">
        <f>IF($B460="","",IFERROR(INDEX(الموظفات!$E$5:$E$304,MATCH($B460,الموظفات!$B$5:$B$304,0))&amp;"",""))</f>
        <v/>
      </c>
      <c r="O460" s="21">
        <f>IF(C460="","",IFERROR(INDEX(الإعدادات!$D$7:$D$35,MATCH(C460,الإعدادات!$A$7:$A$35,0))&amp;"",""))</f>
        <v/>
      </c>
      <c r="P460" s="20">
        <f>IF(A460="","",INDEX(الإعدادات!$H$7:$H$18,MONTH(A460)))</f>
        <v/>
      </c>
      <c r="Q460" s="20">
        <f>IF(A460="","",INDEX(الإعدادات!$I$7:$I$18,MONTH(A460)))</f>
        <v/>
      </c>
      <c r="R460" s="20">
        <f>IF(A460="","",IF(MONTH(A460)&gt;=8,YEAR(A460)&amp;"-"&amp;(YEAR(A460)+1),(YEAR(A460)-1)&amp;"-"&amp;YEAR(A460)))</f>
        <v/>
      </c>
      <c r="S460" s="20">
        <f>IF(OR(A460="",B460=""),0,IF(AND(R460=التقارير!$C$4,OR(التقارير!$C$5="سنوي",AND(التقارير!$C$5="شهري",P460=التقارير!$C$6),AND(التقارير!$C$5="فصلي",Q460=التقارير!$C$7))),1,0))</f>
        <v/>
      </c>
      <c r="T460" s="20">
        <f>IF(S460=1,COUNTIF($S$5:S460,1),"")</f>
        <v/>
      </c>
      <c r="U460">
        <f>IF(AND($A460&lt;&gt;"",$B460&lt;&gt;"",$R460='تقرير الفصل الأول'!$C$4,$Q460='تقرير الفصل الأول'!$C$7),COUNT(U$4:U459)+1,"")</f>
        <v/>
      </c>
      <c r="V460">
        <f>IF(AND($A460&lt;&gt;"",$B460&lt;&gt;"",$R460='تقرير الفصل الثاني'!$C$4,$Q460='تقرير الفصل الثاني'!$C$7),COUNT(V$4:V459)+1,"")</f>
        <v/>
      </c>
      <c r="W460">
        <f>IF(AND($A460&lt;&gt;"",$B460&lt;&gt;"",$R460='تقرير سبتمبر'!$C$4,$P460='تقرير سبتمبر'!$C$6),COUNT(W$4:W459)+1,"")</f>
        <v/>
      </c>
      <c r="X460">
        <f>IF(AND($A460&lt;&gt;"",$B460&lt;&gt;"",$R460='تقرير أكتوبر'!$C$4,$P460='تقرير أكتوبر'!$C$6),COUNT(X$4:X459)+1,"")</f>
        <v/>
      </c>
      <c r="Y460">
        <f>IF(AND($A460&lt;&gt;"",$B460&lt;&gt;"",$R460='تقرير نوفمبر'!$C$4,$P460='تقرير نوفمبر'!$C$6),COUNT(Y$4:Y459)+1,"")</f>
        <v/>
      </c>
      <c r="Z460">
        <f>IF(AND($A460&lt;&gt;"",$B460&lt;&gt;"",$R460='تقرير ديسمبر'!$C$4,$P460='تقرير ديسمبر'!$C$6),COUNT(Z$4:Z459)+1,"")</f>
        <v/>
      </c>
      <c r="AA460">
        <f>IF(AND($A460&lt;&gt;"",$B460&lt;&gt;"",$R460='تقرير يناير'!$C$4,$P460='تقرير يناير'!$C$6),COUNT(AA$4:AA459)+1,"")</f>
        <v/>
      </c>
      <c r="AB460">
        <f>IF(AND($A460&lt;&gt;"",$B460&lt;&gt;"",$R460='تقرير فبراير'!$C$4,$P460='تقرير فبراير'!$C$6),COUNT(AB$4:AB459)+1,"")</f>
        <v/>
      </c>
      <c r="AC460">
        <f>IF(AND($A460&lt;&gt;"",$B460&lt;&gt;"",$R460='تقرير مارس'!$C$4,$P460='تقرير مارس'!$C$6),COUNT(AC$4:AC459)+1,"")</f>
        <v/>
      </c>
      <c r="AD460">
        <f>IF(AND($A460&lt;&gt;"",$B460&lt;&gt;"",$R460='تقرير أبريل'!$C$4,$P460='تقرير أبريل'!$C$6),COUNT(AD$4:AD459)+1,"")</f>
        <v/>
      </c>
      <c r="AE460">
        <f>IF(AND($A460&lt;&gt;"",$B460&lt;&gt;"",$R460='تقرير مايو'!$C$4,$P460='تقرير مايو'!$C$6),COUNT(AE$4:AE459)+1,"")</f>
        <v/>
      </c>
    </row>
    <row r="461">
      <c r="A461" s="16" t="n"/>
      <c r="B461" s="17" t="n"/>
      <c r="C461" s="17" t="n"/>
      <c r="D461" s="18" t="n"/>
      <c r="E461" s="17" t="n"/>
      <c r="F461" s="17" t="n"/>
      <c r="G461" s="19" t="n"/>
      <c r="H461" s="17" t="n"/>
      <c r="I461" s="17" t="n"/>
      <c r="J461" s="17" t="n"/>
      <c r="K461" s="20">
        <f>IF($B461="","",IFERROR(INDEX(الموظفات!$A$5:$A$304,MATCH($B461,الموظفات!$B$5:$B$304,0))&amp;"",""))</f>
        <v/>
      </c>
      <c r="L461" s="21">
        <f>IF($B461="","",IFERROR(INDEX(الموظفات!$C$5:$C$304,MATCH($B461,الموظفات!$B$5:$B$304,0))&amp;"",""))</f>
        <v/>
      </c>
      <c r="M461" s="20">
        <f>IF($B461="","",IFERROR(INDEX(الموظفات!$D$5:$D$304,MATCH($B461,الموظفات!$B$5:$B$304,0))&amp;"",""))</f>
        <v/>
      </c>
      <c r="N461" s="20">
        <f>IF($B461="","",IFERROR(INDEX(الموظفات!$E$5:$E$304,MATCH($B461,الموظفات!$B$5:$B$304,0))&amp;"",""))</f>
        <v/>
      </c>
      <c r="O461" s="21">
        <f>IF(C461="","",IFERROR(INDEX(الإعدادات!$D$7:$D$35,MATCH(C461,الإعدادات!$A$7:$A$35,0))&amp;"",""))</f>
        <v/>
      </c>
      <c r="P461" s="20">
        <f>IF(A461="","",INDEX(الإعدادات!$H$7:$H$18,MONTH(A461)))</f>
        <v/>
      </c>
      <c r="Q461" s="20">
        <f>IF(A461="","",INDEX(الإعدادات!$I$7:$I$18,MONTH(A461)))</f>
        <v/>
      </c>
      <c r="R461" s="20">
        <f>IF(A461="","",IF(MONTH(A461)&gt;=8,YEAR(A461)&amp;"-"&amp;(YEAR(A461)+1),(YEAR(A461)-1)&amp;"-"&amp;YEAR(A461)))</f>
        <v/>
      </c>
      <c r="S461" s="20">
        <f>IF(OR(A461="",B461=""),0,IF(AND(R461=التقارير!$C$4,OR(التقارير!$C$5="سنوي",AND(التقارير!$C$5="شهري",P461=التقارير!$C$6),AND(التقارير!$C$5="فصلي",Q461=التقارير!$C$7))),1,0))</f>
        <v/>
      </c>
      <c r="T461" s="20">
        <f>IF(S461=1,COUNTIF($S$5:S461,1),"")</f>
        <v/>
      </c>
      <c r="U461">
        <f>IF(AND($A461&lt;&gt;"",$B461&lt;&gt;"",$R461='تقرير الفصل الأول'!$C$4,$Q461='تقرير الفصل الأول'!$C$7),COUNT(U$4:U460)+1,"")</f>
        <v/>
      </c>
      <c r="V461">
        <f>IF(AND($A461&lt;&gt;"",$B461&lt;&gt;"",$R461='تقرير الفصل الثاني'!$C$4,$Q461='تقرير الفصل الثاني'!$C$7),COUNT(V$4:V460)+1,"")</f>
        <v/>
      </c>
      <c r="W461">
        <f>IF(AND($A461&lt;&gt;"",$B461&lt;&gt;"",$R461='تقرير سبتمبر'!$C$4,$P461='تقرير سبتمبر'!$C$6),COUNT(W$4:W460)+1,"")</f>
        <v/>
      </c>
      <c r="X461">
        <f>IF(AND($A461&lt;&gt;"",$B461&lt;&gt;"",$R461='تقرير أكتوبر'!$C$4,$P461='تقرير أكتوبر'!$C$6),COUNT(X$4:X460)+1,"")</f>
        <v/>
      </c>
      <c r="Y461">
        <f>IF(AND($A461&lt;&gt;"",$B461&lt;&gt;"",$R461='تقرير نوفمبر'!$C$4,$P461='تقرير نوفمبر'!$C$6),COUNT(Y$4:Y460)+1,"")</f>
        <v/>
      </c>
      <c r="Z461">
        <f>IF(AND($A461&lt;&gt;"",$B461&lt;&gt;"",$R461='تقرير ديسمبر'!$C$4,$P461='تقرير ديسمبر'!$C$6),COUNT(Z$4:Z460)+1,"")</f>
        <v/>
      </c>
      <c r="AA461">
        <f>IF(AND($A461&lt;&gt;"",$B461&lt;&gt;"",$R461='تقرير يناير'!$C$4,$P461='تقرير يناير'!$C$6),COUNT(AA$4:AA460)+1,"")</f>
        <v/>
      </c>
      <c r="AB461">
        <f>IF(AND($A461&lt;&gt;"",$B461&lt;&gt;"",$R461='تقرير فبراير'!$C$4,$P461='تقرير فبراير'!$C$6),COUNT(AB$4:AB460)+1,"")</f>
        <v/>
      </c>
      <c r="AC461">
        <f>IF(AND($A461&lt;&gt;"",$B461&lt;&gt;"",$R461='تقرير مارس'!$C$4,$P461='تقرير مارس'!$C$6),COUNT(AC$4:AC460)+1,"")</f>
        <v/>
      </c>
      <c r="AD461">
        <f>IF(AND($A461&lt;&gt;"",$B461&lt;&gt;"",$R461='تقرير أبريل'!$C$4,$P461='تقرير أبريل'!$C$6),COUNT(AD$4:AD460)+1,"")</f>
        <v/>
      </c>
      <c r="AE461">
        <f>IF(AND($A461&lt;&gt;"",$B461&lt;&gt;"",$R461='تقرير مايو'!$C$4,$P461='تقرير مايو'!$C$6),COUNT(AE$4:AE460)+1,"")</f>
        <v/>
      </c>
    </row>
    <row r="462">
      <c r="A462" s="16" t="n"/>
      <c r="B462" s="17" t="n"/>
      <c r="C462" s="17" t="n"/>
      <c r="D462" s="18" t="n"/>
      <c r="E462" s="17" t="n"/>
      <c r="F462" s="17" t="n"/>
      <c r="G462" s="19" t="n"/>
      <c r="H462" s="17" t="n"/>
      <c r="I462" s="17" t="n"/>
      <c r="J462" s="17" t="n"/>
      <c r="K462" s="20">
        <f>IF($B462="","",IFERROR(INDEX(الموظفات!$A$5:$A$304,MATCH($B462,الموظفات!$B$5:$B$304,0))&amp;"",""))</f>
        <v/>
      </c>
      <c r="L462" s="21">
        <f>IF($B462="","",IFERROR(INDEX(الموظفات!$C$5:$C$304,MATCH($B462,الموظفات!$B$5:$B$304,0))&amp;"",""))</f>
        <v/>
      </c>
      <c r="M462" s="20">
        <f>IF($B462="","",IFERROR(INDEX(الموظفات!$D$5:$D$304,MATCH($B462,الموظفات!$B$5:$B$304,0))&amp;"",""))</f>
        <v/>
      </c>
      <c r="N462" s="20">
        <f>IF($B462="","",IFERROR(INDEX(الموظفات!$E$5:$E$304,MATCH($B462,الموظفات!$B$5:$B$304,0))&amp;"",""))</f>
        <v/>
      </c>
      <c r="O462" s="21">
        <f>IF(C462="","",IFERROR(INDEX(الإعدادات!$D$7:$D$35,MATCH(C462,الإعدادات!$A$7:$A$35,0))&amp;"",""))</f>
        <v/>
      </c>
      <c r="P462" s="20">
        <f>IF(A462="","",INDEX(الإعدادات!$H$7:$H$18,MONTH(A462)))</f>
        <v/>
      </c>
      <c r="Q462" s="20">
        <f>IF(A462="","",INDEX(الإعدادات!$I$7:$I$18,MONTH(A462)))</f>
        <v/>
      </c>
      <c r="R462" s="20">
        <f>IF(A462="","",IF(MONTH(A462)&gt;=8,YEAR(A462)&amp;"-"&amp;(YEAR(A462)+1),(YEAR(A462)-1)&amp;"-"&amp;YEAR(A462)))</f>
        <v/>
      </c>
      <c r="S462" s="20">
        <f>IF(OR(A462="",B462=""),0,IF(AND(R462=التقارير!$C$4,OR(التقارير!$C$5="سنوي",AND(التقارير!$C$5="شهري",P462=التقارير!$C$6),AND(التقارير!$C$5="فصلي",Q462=التقارير!$C$7))),1,0))</f>
        <v/>
      </c>
      <c r="T462" s="20">
        <f>IF(S462=1,COUNTIF($S$5:S462,1),"")</f>
        <v/>
      </c>
      <c r="U462">
        <f>IF(AND($A462&lt;&gt;"",$B462&lt;&gt;"",$R462='تقرير الفصل الأول'!$C$4,$Q462='تقرير الفصل الأول'!$C$7),COUNT(U$4:U461)+1,"")</f>
        <v/>
      </c>
      <c r="V462">
        <f>IF(AND($A462&lt;&gt;"",$B462&lt;&gt;"",$R462='تقرير الفصل الثاني'!$C$4,$Q462='تقرير الفصل الثاني'!$C$7),COUNT(V$4:V461)+1,"")</f>
        <v/>
      </c>
      <c r="W462">
        <f>IF(AND($A462&lt;&gt;"",$B462&lt;&gt;"",$R462='تقرير سبتمبر'!$C$4,$P462='تقرير سبتمبر'!$C$6),COUNT(W$4:W461)+1,"")</f>
        <v/>
      </c>
      <c r="X462">
        <f>IF(AND($A462&lt;&gt;"",$B462&lt;&gt;"",$R462='تقرير أكتوبر'!$C$4,$P462='تقرير أكتوبر'!$C$6),COUNT(X$4:X461)+1,"")</f>
        <v/>
      </c>
      <c r="Y462">
        <f>IF(AND($A462&lt;&gt;"",$B462&lt;&gt;"",$R462='تقرير نوفمبر'!$C$4,$P462='تقرير نوفمبر'!$C$6),COUNT(Y$4:Y461)+1,"")</f>
        <v/>
      </c>
      <c r="Z462">
        <f>IF(AND($A462&lt;&gt;"",$B462&lt;&gt;"",$R462='تقرير ديسمبر'!$C$4,$P462='تقرير ديسمبر'!$C$6),COUNT(Z$4:Z461)+1,"")</f>
        <v/>
      </c>
      <c r="AA462">
        <f>IF(AND($A462&lt;&gt;"",$B462&lt;&gt;"",$R462='تقرير يناير'!$C$4,$P462='تقرير يناير'!$C$6),COUNT(AA$4:AA461)+1,"")</f>
        <v/>
      </c>
      <c r="AB462">
        <f>IF(AND($A462&lt;&gt;"",$B462&lt;&gt;"",$R462='تقرير فبراير'!$C$4,$P462='تقرير فبراير'!$C$6),COUNT(AB$4:AB461)+1,"")</f>
        <v/>
      </c>
      <c r="AC462">
        <f>IF(AND($A462&lt;&gt;"",$B462&lt;&gt;"",$R462='تقرير مارس'!$C$4,$P462='تقرير مارس'!$C$6),COUNT(AC$4:AC461)+1,"")</f>
        <v/>
      </c>
      <c r="AD462">
        <f>IF(AND($A462&lt;&gt;"",$B462&lt;&gt;"",$R462='تقرير أبريل'!$C$4,$P462='تقرير أبريل'!$C$6),COUNT(AD$4:AD461)+1,"")</f>
        <v/>
      </c>
      <c r="AE462">
        <f>IF(AND($A462&lt;&gt;"",$B462&lt;&gt;"",$R462='تقرير مايو'!$C$4,$P462='تقرير مايو'!$C$6),COUNT(AE$4:AE461)+1,"")</f>
        <v/>
      </c>
    </row>
    <row r="463">
      <c r="A463" s="16" t="n"/>
      <c r="B463" s="17" t="n"/>
      <c r="C463" s="17" t="n"/>
      <c r="D463" s="18" t="n"/>
      <c r="E463" s="17" t="n"/>
      <c r="F463" s="17" t="n"/>
      <c r="G463" s="19" t="n"/>
      <c r="H463" s="17" t="n"/>
      <c r="I463" s="17" t="n"/>
      <c r="J463" s="17" t="n"/>
      <c r="K463" s="20">
        <f>IF($B463="","",IFERROR(INDEX(الموظفات!$A$5:$A$304,MATCH($B463,الموظفات!$B$5:$B$304,0))&amp;"",""))</f>
        <v/>
      </c>
      <c r="L463" s="21">
        <f>IF($B463="","",IFERROR(INDEX(الموظفات!$C$5:$C$304,MATCH($B463,الموظفات!$B$5:$B$304,0))&amp;"",""))</f>
        <v/>
      </c>
      <c r="M463" s="20">
        <f>IF($B463="","",IFERROR(INDEX(الموظفات!$D$5:$D$304,MATCH($B463,الموظفات!$B$5:$B$304,0))&amp;"",""))</f>
        <v/>
      </c>
      <c r="N463" s="20">
        <f>IF($B463="","",IFERROR(INDEX(الموظفات!$E$5:$E$304,MATCH($B463,الموظفات!$B$5:$B$304,0))&amp;"",""))</f>
        <v/>
      </c>
      <c r="O463" s="21">
        <f>IF(C463="","",IFERROR(INDEX(الإعدادات!$D$7:$D$35,MATCH(C463,الإعدادات!$A$7:$A$35,0))&amp;"",""))</f>
        <v/>
      </c>
      <c r="P463" s="20">
        <f>IF(A463="","",INDEX(الإعدادات!$H$7:$H$18,MONTH(A463)))</f>
        <v/>
      </c>
      <c r="Q463" s="20">
        <f>IF(A463="","",INDEX(الإعدادات!$I$7:$I$18,MONTH(A463)))</f>
        <v/>
      </c>
      <c r="R463" s="20">
        <f>IF(A463="","",IF(MONTH(A463)&gt;=8,YEAR(A463)&amp;"-"&amp;(YEAR(A463)+1),(YEAR(A463)-1)&amp;"-"&amp;YEAR(A463)))</f>
        <v/>
      </c>
      <c r="S463" s="20">
        <f>IF(OR(A463="",B463=""),0,IF(AND(R463=التقارير!$C$4,OR(التقارير!$C$5="سنوي",AND(التقارير!$C$5="شهري",P463=التقارير!$C$6),AND(التقارير!$C$5="فصلي",Q463=التقارير!$C$7))),1,0))</f>
        <v/>
      </c>
      <c r="T463" s="20">
        <f>IF(S463=1,COUNTIF($S$5:S463,1),"")</f>
        <v/>
      </c>
      <c r="U463">
        <f>IF(AND($A463&lt;&gt;"",$B463&lt;&gt;"",$R463='تقرير الفصل الأول'!$C$4,$Q463='تقرير الفصل الأول'!$C$7),COUNT(U$4:U462)+1,"")</f>
        <v/>
      </c>
      <c r="V463">
        <f>IF(AND($A463&lt;&gt;"",$B463&lt;&gt;"",$R463='تقرير الفصل الثاني'!$C$4,$Q463='تقرير الفصل الثاني'!$C$7),COUNT(V$4:V462)+1,"")</f>
        <v/>
      </c>
      <c r="W463">
        <f>IF(AND($A463&lt;&gt;"",$B463&lt;&gt;"",$R463='تقرير سبتمبر'!$C$4,$P463='تقرير سبتمبر'!$C$6),COUNT(W$4:W462)+1,"")</f>
        <v/>
      </c>
      <c r="X463">
        <f>IF(AND($A463&lt;&gt;"",$B463&lt;&gt;"",$R463='تقرير أكتوبر'!$C$4,$P463='تقرير أكتوبر'!$C$6),COUNT(X$4:X462)+1,"")</f>
        <v/>
      </c>
      <c r="Y463">
        <f>IF(AND($A463&lt;&gt;"",$B463&lt;&gt;"",$R463='تقرير نوفمبر'!$C$4,$P463='تقرير نوفمبر'!$C$6),COUNT(Y$4:Y462)+1,"")</f>
        <v/>
      </c>
      <c r="Z463">
        <f>IF(AND($A463&lt;&gt;"",$B463&lt;&gt;"",$R463='تقرير ديسمبر'!$C$4,$P463='تقرير ديسمبر'!$C$6),COUNT(Z$4:Z462)+1,"")</f>
        <v/>
      </c>
      <c r="AA463">
        <f>IF(AND($A463&lt;&gt;"",$B463&lt;&gt;"",$R463='تقرير يناير'!$C$4,$P463='تقرير يناير'!$C$6),COUNT(AA$4:AA462)+1,"")</f>
        <v/>
      </c>
      <c r="AB463">
        <f>IF(AND($A463&lt;&gt;"",$B463&lt;&gt;"",$R463='تقرير فبراير'!$C$4,$P463='تقرير فبراير'!$C$6),COUNT(AB$4:AB462)+1,"")</f>
        <v/>
      </c>
      <c r="AC463">
        <f>IF(AND($A463&lt;&gt;"",$B463&lt;&gt;"",$R463='تقرير مارس'!$C$4,$P463='تقرير مارس'!$C$6),COUNT(AC$4:AC462)+1,"")</f>
        <v/>
      </c>
      <c r="AD463">
        <f>IF(AND($A463&lt;&gt;"",$B463&lt;&gt;"",$R463='تقرير أبريل'!$C$4,$P463='تقرير أبريل'!$C$6),COUNT(AD$4:AD462)+1,"")</f>
        <v/>
      </c>
      <c r="AE463">
        <f>IF(AND($A463&lt;&gt;"",$B463&lt;&gt;"",$R463='تقرير مايو'!$C$4,$P463='تقرير مايو'!$C$6),COUNT(AE$4:AE462)+1,"")</f>
        <v/>
      </c>
    </row>
    <row r="464">
      <c r="A464" s="16" t="n"/>
      <c r="B464" s="17" t="n"/>
      <c r="C464" s="17" t="n"/>
      <c r="D464" s="18" t="n"/>
      <c r="E464" s="17" t="n"/>
      <c r="F464" s="17" t="n"/>
      <c r="G464" s="19" t="n"/>
      <c r="H464" s="17" t="n"/>
      <c r="I464" s="17" t="n"/>
      <c r="J464" s="17" t="n"/>
      <c r="K464" s="20">
        <f>IF($B464="","",IFERROR(INDEX(الموظفات!$A$5:$A$304,MATCH($B464,الموظفات!$B$5:$B$304,0))&amp;"",""))</f>
        <v/>
      </c>
      <c r="L464" s="21">
        <f>IF($B464="","",IFERROR(INDEX(الموظفات!$C$5:$C$304,MATCH($B464,الموظفات!$B$5:$B$304,0))&amp;"",""))</f>
        <v/>
      </c>
      <c r="M464" s="20">
        <f>IF($B464="","",IFERROR(INDEX(الموظفات!$D$5:$D$304,MATCH($B464,الموظفات!$B$5:$B$304,0))&amp;"",""))</f>
        <v/>
      </c>
      <c r="N464" s="20">
        <f>IF($B464="","",IFERROR(INDEX(الموظفات!$E$5:$E$304,MATCH($B464,الموظفات!$B$5:$B$304,0))&amp;"",""))</f>
        <v/>
      </c>
      <c r="O464" s="21">
        <f>IF(C464="","",IFERROR(INDEX(الإعدادات!$D$7:$D$35,MATCH(C464,الإعدادات!$A$7:$A$35,0))&amp;"",""))</f>
        <v/>
      </c>
      <c r="P464" s="20">
        <f>IF(A464="","",INDEX(الإعدادات!$H$7:$H$18,MONTH(A464)))</f>
        <v/>
      </c>
      <c r="Q464" s="20">
        <f>IF(A464="","",INDEX(الإعدادات!$I$7:$I$18,MONTH(A464)))</f>
        <v/>
      </c>
      <c r="R464" s="20">
        <f>IF(A464="","",IF(MONTH(A464)&gt;=8,YEAR(A464)&amp;"-"&amp;(YEAR(A464)+1),(YEAR(A464)-1)&amp;"-"&amp;YEAR(A464)))</f>
        <v/>
      </c>
      <c r="S464" s="20">
        <f>IF(OR(A464="",B464=""),0,IF(AND(R464=التقارير!$C$4,OR(التقارير!$C$5="سنوي",AND(التقارير!$C$5="شهري",P464=التقارير!$C$6),AND(التقارير!$C$5="فصلي",Q464=التقارير!$C$7))),1,0))</f>
        <v/>
      </c>
      <c r="T464" s="20">
        <f>IF(S464=1,COUNTIF($S$5:S464,1),"")</f>
        <v/>
      </c>
      <c r="U464">
        <f>IF(AND($A464&lt;&gt;"",$B464&lt;&gt;"",$R464='تقرير الفصل الأول'!$C$4,$Q464='تقرير الفصل الأول'!$C$7),COUNT(U$4:U463)+1,"")</f>
        <v/>
      </c>
      <c r="V464">
        <f>IF(AND($A464&lt;&gt;"",$B464&lt;&gt;"",$R464='تقرير الفصل الثاني'!$C$4,$Q464='تقرير الفصل الثاني'!$C$7),COUNT(V$4:V463)+1,"")</f>
        <v/>
      </c>
      <c r="W464">
        <f>IF(AND($A464&lt;&gt;"",$B464&lt;&gt;"",$R464='تقرير سبتمبر'!$C$4,$P464='تقرير سبتمبر'!$C$6),COUNT(W$4:W463)+1,"")</f>
        <v/>
      </c>
      <c r="X464">
        <f>IF(AND($A464&lt;&gt;"",$B464&lt;&gt;"",$R464='تقرير أكتوبر'!$C$4,$P464='تقرير أكتوبر'!$C$6),COUNT(X$4:X463)+1,"")</f>
        <v/>
      </c>
      <c r="Y464">
        <f>IF(AND($A464&lt;&gt;"",$B464&lt;&gt;"",$R464='تقرير نوفمبر'!$C$4,$P464='تقرير نوفمبر'!$C$6),COUNT(Y$4:Y463)+1,"")</f>
        <v/>
      </c>
      <c r="Z464">
        <f>IF(AND($A464&lt;&gt;"",$B464&lt;&gt;"",$R464='تقرير ديسمبر'!$C$4,$P464='تقرير ديسمبر'!$C$6),COUNT(Z$4:Z463)+1,"")</f>
        <v/>
      </c>
      <c r="AA464">
        <f>IF(AND($A464&lt;&gt;"",$B464&lt;&gt;"",$R464='تقرير يناير'!$C$4,$P464='تقرير يناير'!$C$6),COUNT(AA$4:AA463)+1,"")</f>
        <v/>
      </c>
      <c r="AB464">
        <f>IF(AND($A464&lt;&gt;"",$B464&lt;&gt;"",$R464='تقرير فبراير'!$C$4,$P464='تقرير فبراير'!$C$6),COUNT(AB$4:AB463)+1,"")</f>
        <v/>
      </c>
      <c r="AC464">
        <f>IF(AND($A464&lt;&gt;"",$B464&lt;&gt;"",$R464='تقرير مارس'!$C$4,$P464='تقرير مارس'!$C$6),COUNT(AC$4:AC463)+1,"")</f>
        <v/>
      </c>
      <c r="AD464">
        <f>IF(AND($A464&lt;&gt;"",$B464&lt;&gt;"",$R464='تقرير أبريل'!$C$4,$P464='تقرير أبريل'!$C$6),COUNT(AD$4:AD463)+1,"")</f>
        <v/>
      </c>
      <c r="AE464">
        <f>IF(AND($A464&lt;&gt;"",$B464&lt;&gt;"",$R464='تقرير مايو'!$C$4,$P464='تقرير مايو'!$C$6),COUNT(AE$4:AE463)+1,"")</f>
        <v/>
      </c>
    </row>
    <row r="465">
      <c r="A465" s="16" t="n"/>
      <c r="B465" s="17" t="n"/>
      <c r="C465" s="17" t="n"/>
      <c r="D465" s="18" t="n"/>
      <c r="E465" s="17" t="n"/>
      <c r="F465" s="17" t="n"/>
      <c r="G465" s="19" t="n"/>
      <c r="H465" s="17" t="n"/>
      <c r="I465" s="17" t="n"/>
      <c r="J465" s="17" t="n"/>
      <c r="K465" s="20">
        <f>IF($B465="","",IFERROR(INDEX(الموظفات!$A$5:$A$304,MATCH($B465,الموظفات!$B$5:$B$304,0))&amp;"",""))</f>
        <v/>
      </c>
      <c r="L465" s="21">
        <f>IF($B465="","",IFERROR(INDEX(الموظفات!$C$5:$C$304,MATCH($B465,الموظفات!$B$5:$B$304,0))&amp;"",""))</f>
        <v/>
      </c>
      <c r="M465" s="20">
        <f>IF($B465="","",IFERROR(INDEX(الموظفات!$D$5:$D$304,MATCH($B465,الموظفات!$B$5:$B$304,0))&amp;"",""))</f>
        <v/>
      </c>
      <c r="N465" s="20">
        <f>IF($B465="","",IFERROR(INDEX(الموظفات!$E$5:$E$304,MATCH($B465,الموظفات!$B$5:$B$304,0))&amp;"",""))</f>
        <v/>
      </c>
      <c r="O465" s="21">
        <f>IF(C465="","",IFERROR(INDEX(الإعدادات!$D$7:$D$35,MATCH(C465,الإعدادات!$A$7:$A$35,0))&amp;"",""))</f>
        <v/>
      </c>
      <c r="P465" s="20">
        <f>IF(A465="","",INDEX(الإعدادات!$H$7:$H$18,MONTH(A465)))</f>
        <v/>
      </c>
      <c r="Q465" s="20">
        <f>IF(A465="","",INDEX(الإعدادات!$I$7:$I$18,MONTH(A465)))</f>
        <v/>
      </c>
      <c r="R465" s="20">
        <f>IF(A465="","",IF(MONTH(A465)&gt;=8,YEAR(A465)&amp;"-"&amp;(YEAR(A465)+1),(YEAR(A465)-1)&amp;"-"&amp;YEAR(A465)))</f>
        <v/>
      </c>
      <c r="S465" s="20">
        <f>IF(OR(A465="",B465=""),0,IF(AND(R465=التقارير!$C$4,OR(التقارير!$C$5="سنوي",AND(التقارير!$C$5="شهري",P465=التقارير!$C$6),AND(التقارير!$C$5="فصلي",Q465=التقارير!$C$7))),1,0))</f>
        <v/>
      </c>
      <c r="T465" s="20">
        <f>IF(S465=1,COUNTIF($S$5:S465,1),"")</f>
        <v/>
      </c>
      <c r="U465">
        <f>IF(AND($A465&lt;&gt;"",$B465&lt;&gt;"",$R465='تقرير الفصل الأول'!$C$4,$Q465='تقرير الفصل الأول'!$C$7),COUNT(U$4:U464)+1,"")</f>
        <v/>
      </c>
      <c r="V465">
        <f>IF(AND($A465&lt;&gt;"",$B465&lt;&gt;"",$R465='تقرير الفصل الثاني'!$C$4,$Q465='تقرير الفصل الثاني'!$C$7),COUNT(V$4:V464)+1,"")</f>
        <v/>
      </c>
      <c r="W465">
        <f>IF(AND($A465&lt;&gt;"",$B465&lt;&gt;"",$R465='تقرير سبتمبر'!$C$4,$P465='تقرير سبتمبر'!$C$6),COUNT(W$4:W464)+1,"")</f>
        <v/>
      </c>
      <c r="X465">
        <f>IF(AND($A465&lt;&gt;"",$B465&lt;&gt;"",$R465='تقرير أكتوبر'!$C$4,$P465='تقرير أكتوبر'!$C$6),COUNT(X$4:X464)+1,"")</f>
        <v/>
      </c>
      <c r="Y465">
        <f>IF(AND($A465&lt;&gt;"",$B465&lt;&gt;"",$R465='تقرير نوفمبر'!$C$4,$P465='تقرير نوفمبر'!$C$6),COUNT(Y$4:Y464)+1,"")</f>
        <v/>
      </c>
      <c r="Z465">
        <f>IF(AND($A465&lt;&gt;"",$B465&lt;&gt;"",$R465='تقرير ديسمبر'!$C$4,$P465='تقرير ديسمبر'!$C$6),COUNT(Z$4:Z464)+1,"")</f>
        <v/>
      </c>
      <c r="AA465">
        <f>IF(AND($A465&lt;&gt;"",$B465&lt;&gt;"",$R465='تقرير يناير'!$C$4,$P465='تقرير يناير'!$C$6),COUNT(AA$4:AA464)+1,"")</f>
        <v/>
      </c>
      <c r="AB465">
        <f>IF(AND($A465&lt;&gt;"",$B465&lt;&gt;"",$R465='تقرير فبراير'!$C$4,$P465='تقرير فبراير'!$C$6),COUNT(AB$4:AB464)+1,"")</f>
        <v/>
      </c>
      <c r="AC465">
        <f>IF(AND($A465&lt;&gt;"",$B465&lt;&gt;"",$R465='تقرير مارس'!$C$4,$P465='تقرير مارس'!$C$6),COUNT(AC$4:AC464)+1,"")</f>
        <v/>
      </c>
      <c r="AD465">
        <f>IF(AND($A465&lt;&gt;"",$B465&lt;&gt;"",$R465='تقرير أبريل'!$C$4,$P465='تقرير أبريل'!$C$6),COUNT(AD$4:AD464)+1,"")</f>
        <v/>
      </c>
      <c r="AE465">
        <f>IF(AND($A465&lt;&gt;"",$B465&lt;&gt;"",$R465='تقرير مايو'!$C$4,$P465='تقرير مايو'!$C$6),COUNT(AE$4:AE464)+1,"")</f>
        <v/>
      </c>
    </row>
    <row r="466">
      <c r="A466" s="16" t="n"/>
      <c r="B466" s="17" t="n"/>
      <c r="C466" s="17" t="n"/>
      <c r="D466" s="18" t="n"/>
      <c r="E466" s="17" t="n"/>
      <c r="F466" s="17" t="n"/>
      <c r="G466" s="19" t="n"/>
      <c r="H466" s="17" t="n"/>
      <c r="I466" s="17" t="n"/>
      <c r="J466" s="17" t="n"/>
      <c r="K466" s="20">
        <f>IF($B466="","",IFERROR(INDEX(الموظفات!$A$5:$A$304,MATCH($B466,الموظفات!$B$5:$B$304,0))&amp;"",""))</f>
        <v/>
      </c>
      <c r="L466" s="21">
        <f>IF($B466="","",IFERROR(INDEX(الموظفات!$C$5:$C$304,MATCH($B466,الموظفات!$B$5:$B$304,0))&amp;"",""))</f>
        <v/>
      </c>
      <c r="M466" s="20">
        <f>IF($B466="","",IFERROR(INDEX(الموظفات!$D$5:$D$304,MATCH($B466,الموظفات!$B$5:$B$304,0))&amp;"",""))</f>
        <v/>
      </c>
      <c r="N466" s="20">
        <f>IF($B466="","",IFERROR(INDEX(الموظفات!$E$5:$E$304,MATCH($B466,الموظفات!$B$5:$B$304,0))&amp;"",""))</f>
        <v/>
      </c>
      <c r="O466" s="21">
        <f>IF(C466="","",IFERROR(INDEX(الإعدادات!$D$7:$D$35,MATCH(C466,الإعدادات!$A$7:$A$35,0))&amp;"",""))</f>
        <v/>
      </c>
      <c r="P466" s="20">
        <f>IF(A466="","",INDEX(الإعدادات!$H$7:$H$18,MONTH(A466)))</f>
        <v/>
      </c>
      <c r="Q466" s="20">
        <f>IF(A466="","",INDEX(الإعدادات!$I$7:$I$18,MONTH(A466)))</f>
        <v/>
      </c>
      <c r="R466" s="20">
        <f>IF(A466="","",IF(MONTH(A466)&gt;=8,YEAR(A466)&amp;"-"&amp;(YEAR(A466)+1),(YEAR(A466)-1)&amp;"-"&amp;YEAR(A466)))</f>
        <v/>
      </c>
      <c r="S466" s="20">
        <f>IF(OR(A466="",B466=""),0,IF(AND(R466=التقارير!$C$4,OR(التقارير!$C$5="سنوي",AND(التقارير!$C$5="شهري",P466=التقارير!$C$6),AND(التقارير!$C$5="فصلي",Q466=التقارير!$C$7))),1,0))</f>
        <v/>
      </c>
      <c r="T466" s="20">
        <f>IF(S466=1,COUNTIF($S$5:S466,1),"")</f>
        <v/>
      </c>
      <c r="U466">
        <f>IF(AND($A466&lt;&gt;"",$B466&lt;&gt;"",$R466='تقرير الفصل الأول'!$C$4,$Q466='تقرير الفصل الأول'!$C$7),COUNT(U$4:U465)+1,"")</f>
        <v/>
      </c>
      <c r="V466">
        <f>IF(AND($A466&lt;&gt;"",$B466&lt;&gt;"",$R466='تقرير الفصل الثاني'!$C$4,$Q466='تقرير الفصل الثاني'!$C$7),COUNT(V$4:V465)+1,"")</f>
        <v/>
      </c>
      <c r="W466">
        <f>IF(AND($A466&lt;&gt;"",$B466&lt;&gt;"",$R466='تقرير سبتمبر'!$C$4,$P466='تقرير سبتمبر'!$C$6),COUNT(W$4:W465)+1,"")</f>
        <v/>
      </c>
      <c r="X466">
        <f>IF(AND($A466&lt;&gt;"",$B466&lt;&gt;"",$R466='تقرير أكتوبر'!$C$4,$P466='تقرير أكتوبر'!$C$6),COUNT(X$4:X465)+1,"")</f>
        <v/>
      </c>
      <c r="Y466">
        <f>IF(AND($A466&lt;&gt;"",$B466&lt;&gt;"",$R466='تقرير نوفمبر'!$C$4,$P466='تقرير نوفمبر'!$C$6),COUNT(Y$4:Y465)+1,"")</f>
        <v/>
      </c>
      <c r="Z466">
        <f>IF(AND($A466&lt;&gt;"",$B466&lt;&gt;"",$R466='تقرير ديسمبر'!$C$4,$P466='تقرير ديسمبر'!$C$6),COUNT(Z$4:Z465)+1,"")</f>
        <v/>
      </c>
      <c r="AA466">
        <f>IF(AND($A466&lt;&gt;"",$B466&lt;&gt;"",$R466='تقرير يناير'!$C$4,$P466='تقرير يناير'!$C$6),COUNT(AA$4:AA465)+1,"")</f>
        <v/>
      </c>
      <c r="AB466">
        <f>IF(AND($A466&lt;&gt;"",$B466&lt;&gt;"",$R466='تقرير فبراير'!$C$4,$P466='تقرير فبراير'!$C$6),COUNT(AB$4:AB465)+1,"")</f>
        <v/>
      </c>
      <c r="AC466">
        <f>IF(AND($A466&lt;&gt;"",$B466&lt;&gt;"",$R466='تقرير مارس'!$C$4,$P466='تقرير مارس'!$C$6),COUNT(AC$4:AC465)+1,"")</f>
        <v/>
      </c>
      <c r="AD466">
        <f>IF(AND($A466&lt;&gt;"",$B466&lt;&gt;"",$R466='تقرير أبريل'!$C$4,$P466='تقرير أبريل'!$C$6),COUNT(AD$4:AD465)+1,"")</f>
        <v/>
      </c>
      <c r="AE466">
        <f>IF(AND($A466&lt;&gt;"",$B466&lt;&gt;"",$R466='تقرير مايو'!$C$4,$P466='تقرير مايو'!$C$6),COUNT(AE$4:AE465)+1,"")</f>
        <v/>
      </c>
    </row>
    <row r="467">
      <c r="A467" s="16" t="n"/>
      <c r="B467" s="17" t="n"/>
      <c r="C467" s="17" t="n"/>
      <c r="D467" s="18" t="n"/>
      <c r="E467" s="17" t="n"/>
      <c r="F467" s="17" t="n"/>
      <c r="G467" s="19" t="n"/>
      <c r="H467" s="17" t="n"/>
      <c r="I467" s="17" t="n"/>
      <c r="J467" s="17" t="n"/>
      <c r="K467" s="20">
        <f>IF($B467="","",IFERROR(INDEX(الموظفات!$A$5:$A$304,MATCH($B467,الموظفات!$B$5:$B$304,0))&amp;"",""))</f>
        <v/>
      </c>
      <c r="L467" s="21">
        <f>IF($B467="","",IFERROR(INDEX(الموظفات!$C$5:$C$304,MATCH($B467,الموظفات!$B$5:$B$304,0))&amp;"",""))</f>
        <v/>
      </c>
      <c r="M467" s="20">
        <f>IF($B467="","",IFERROR(INDEX(الموظفات!$D$5:$D$304,MATCH($B467,الموظفات!$B$5:$B$304,0))&amp;"",""))</f>
        <v/>
      </c>
      <c r="N467" s="20">
        <f>IF($B467="","",IFERROR(INDEX(الموظفات!$E$5:$E$304,MATCH($B467,الموظفات!$B$5:$B$304,0))&amp;"",""))</f>
        <v/>
      </c>
      <c r="O467" s="21">
        <f>IF(C467="","",IFERROR(INDEX(الإعدادات!$D$7:$D$35,MATCH(C467,الإعدادات!$A$7:$A$35,0))&amp;"",""))</f>
        <v/>
      </c>
      <c r="P467" s="20">
        <f>IF(A467="","",INDEX(الإعدادات!$H$7:$H$18,MONTH(A467)))</f>
        <v/>
      </c>
      <c r="Q467" s="20">
        <f>IF(A467="","",INDEX(الإعدادات!$I$7:$I$18,MONTH(A467)))</f>
        <v/>
      </c>
      <c r="R467" s="20">
        <f>IF(A467="","",IF(MONTH(A467)&gt;=8,YEAR(A467)&amp;"-"&amp;(YEAR(A467)+1),(YEAR(A467)-1)&amp;"-"&amp;YEAR(A467)))</f>
        <v/>
      </c>
      <c r="S467" s="20">
        <f>IF(OR(A467="",B467=""),0,IF(AND(R467=التقارير!$C$4,OR(التقارير!$C$5="سنوي",AND(التقارير!$C$5="شهري",P467=التقارير!$C$6),AND(التقارير!$C$5="فصلي",Q467=التقارير!$C$7))),1,0))</f>
        <v/>
      </c>
      <c r="T467" s="20">
        <f>IF(S467=1,COUNTIF($S$5:S467,1),"")</f>
        <v/>
      </c>
      <c r="U467">
        <f>IF(AND($A467&lt;&gt;"",$B467&lt;&gt;"",$R467='تقرير الفصل الأول'!$C$4,$Q467='تقرير الفصل الأول'!$C$7),COUNT(U$4:U466)+1,"")</f>
        <v/>
      </c>
      <c r="V467">
        <f>IF(AND($A467&lt;&gt;"",$B467&lt;&gt;"",$R467='تقرير الفصل الثاني'!$C$4,$Q467='تقرير الفصل الثاني'!$C$7),COUNT(V$4:V466)+1,"")</f>
        <v/>
      </c>
      <c r="W467">
        <f>IF(AND($A467&lt;&gt;"",$B467&lt;&gt;"",$R467='تقرير سبتمبر'!$C$4,$P467='تقرير سبتمبر'!$C$6),COUNT(W$4:W466)+1,"")</f>
        <v/>
      </c>
      <c r="X467">
        <f>IF(AND($A467&lt;&gt;"",$B467&lt;&gt;"",$R467='تقرير أكتوبر'!$C$4,$P467='تقرير أكتوبر'!$C$6),COUNT(X$4:X466)+1,"")</f>
        <v/>
      </c>
      <c r="Y467">
        <f>IF(AND($A467&lt;&gt;"",$B467&lt;&gt;"",$R467='تقرير نوفمبر'!$C$4,$P467='تقرير نوفمبر'!$C$6),COUNT(Y$4:Y466)+1,"")</f>
        <v/>
      </c>
      <c r="Z467">
        <f>IF(AND($A467&lt;&gt;"",$B467&lt;&gt;"",$R467='تقرير ديسمبر'!$C$4,$P467='تقرير ديسمبر'!$C$6),COUNT(Z$4:Z466)+1,"")</f>
        <v/>
      </c>
      <c r="AA467">
        <f>IF(AND($A467&lt;&gt;"",$B467&lt;&gt;"",$R467='تقرير يناير'!$C$4,$P467='تقرير يناير'!$C$6),COUNT(AA$4:AA466)+1,"")</f>
        <v/>
      </c>
      <c r="AB467">
        <f>IF(AND($A467&lt;&gt;"",$B467&lt;&gt;"",$R467='تقرير فبراير'!$C$4,$P467='تقرير فبراير'!$C$6),COUNT(AB$4:AB466)+1,"")</f>
        <v/>
      </c>
      <c r="AC467">
        <f>IF(AND($A467&lt;&gt;"",$B467&lt;&gt;"",$R467='تقرير مارس'!$C$4,$P467='تقرير مارس'!$C$6),COUNT(AC$4:AC466)+1,"")</f>
        <v/>
      </c>
      <c r="AD467">
        <f>IF(AND($A467&lt;&gt;"",$B467&lt;&gt;"",$R467='تقرير أبريل'!$C$4,$P467='تقرير أبريل'!$C$6),COUNT(AD$4:AD466)+1,"")</f>
        <v/>
      </c>
      <c r="AE467">
        <f>IF(AND($A467&lt;&gt;"",$B467&lt;&gt;"",$R467='تقرير مايو'!$C$4,$P467='تقرير مايو'!$C$6),COUNT(AE$4:AE466)+1,"")</f>
        <v/>
      </c>
    </row>
    <row r="468">
      <c r="A468" s="16" t="n"/>
      <c r="B468" s="17" t="n"/>
      <c r="C468" s="17" t="n"/>
      <c r="D468" s="18" t="n"/>
      <c r="E468" s="17" t="n"/>
      <c r="F468" s="17" t="n"/>
      <c r="G468" s="19" t="n"/>
      <c r="H468" s="17" t="n"/>
      <c r="I468" s="17" t="n"/>
      <c r="J468" s="17" t="n"/>
      <c r="K468" s="20">
        <f>IF($B468="","",IFERROR(INDEX(الموظفات!$A$5:$A$304,MATCH($B468,الموظفات!$B$5:$B$304,0))&amp;"",""))</f>
        <v/>
      </c>
      <c r="L468" s="21">
        <f>IF($B468="","",IFERROR(INDEX(الموظفات!$C$5:$C$304,MATCH($B468,الموظفات!$B$5:$B$304,0))&amp;"",""))</f>
        <v/>
      </c>
      <c r="M468" s="20">
        <f>IF($B468="","",IFERROR(INDEX(الموظفات!$D$5:$D$304,MATCH($B468,الموظفات!$B$5:$B$304,0))&amp;"",""))</f>
        <v/>
      </c>
      <c r="N468" s="20">
        <f>IF($B468="","",IFERROR(INDEX(الموظفات!$E$5:$E$304,MATCH($B468,الموظفات!$B$5:$B$304,0))&amp;"",""))</f>
        <v/>
      </c>
      <c r="O468" s="21">
        <f>IF(C468="","",IFERROR(INDEX(الإعدادات!$D$7:$D$35,MATCH(C468,الإعدادات!$A$7:$A$35,0))&amp;"",""))</f>
        <v/>
      </c>
      <c r="P468" s="20">
        <f>IF(A468="","",INDEX(الإعدادات!$H$7:$H$18,MONTH(A468)))</f>
        <v/>
      </c>
      <c r="Q468" s="20">
        <f>IF(A468="","",INDEX(الإعدادات!$I$7:$I$18,MONTH(A468)))</f>
        <v/>
      </c>
      <c r="R468" s="20">
        <f>IF(A468="","",IF(MONTH(A468)&gt;=8,YEAR(A468)&amp;"-"&amp;(YEAR(A468)+1),(YEAR(A468)-1)&amp;"-"&amp;YEAR(A468)))</f>
        <v/>
      </c>
      <c r="S468" s="20">
        <f>IF(OR(A468="",B468=""),0,IF(AND(R468=التقارير!$C$4,OR(التقارير!$C$5="سنوي",AND(التقارير!$C$5="شهري",P468=التقارير!$C$6),AND(التقارير!$C$5="فصلي",Q468=التقارير!$C$7))),1,0))</f>
        <v/>
      </c>
      <c r="T468" s="20">
        <f>IF(S468=1,COUNTIF($S$5:S468,1),"")</f>
        <v/>
      </c>
      <c r="U468">
        <f>IF(AND($A468&lt;&gt;"",$B468&lt;&gt;"",$R468='تقرير الفصل الأول'!$C$4,$Q468='تقرير الفصل الأول'!$C$7),COUNT(U$4:U467)+1,"")</f>
        <v/>
      </c>
      <c r="V468">
        <f>IF(AND($A468&lt;&gt;"",$B468&lt;&gt;"",$R468='تقرير الفصل الثاني'!$C$4,$Q468='تقرير الفصل الثاني'!$C$7),COUNT(V$4:V467)+1,"")</f>
        <v/>
      </c>
      <c r="W468">
        <f>IF(AND($A468&lt;&gt;"",$B468&lt;&gt;"",$R468='تقرير سبتمبر'!$C$4,$P468='تقرير سبتمبر'!$C$6),COUNT(W$4:W467)+1,"")</f>
        <v/>
      </c>
      <c r="X468">
        <f>IF(AND($A468&lt;&gt;"",$B468&lt;&gt;"",$R468='تقرير أكتوبر'!$C$4,$P468='تقرير أكتوبر'!$C$6),COUNT(X$4:X467)+1,"")</f>
        <v/>
      </c>
      <c r="Y468">
        <f>IF(AND($A468&lt;&gt;"",$B468&lt;&gt;"",$R468='تقرير نوفمبر'!$C$4,$P468='تقرير نوفمبر'!$C$6),COUNT(Y$4:Y467)+1,"")</f>
        <v/>
      </c>
      <c r="Z468">
        <f>IF(AND($A468&lt;&gt;"",$B468&lt;&gt;"",$R468='تقرير ديسمبر'!$C$4,$P468='تقرير ديسمبر'!$C$6),COUNT(Z$4:Z467)+1,"")</f>
        <v/>
      </c>
      <c r="AA468">
        <f>IF(AND($A468&lt;&gt;"",$B468&lt;&gt;"",$R468='تقرير يناير'!$C$4,$P468='تقرير يناير'!$C$6),COUNT(AA$4:AA467)+1,"")</f>
        <v/>
      </c>
      <c r="AB468">
        <f>IF(AND($A468&lt;&gt;"",$B468&lt;&gt;"",$R468='تقرير فبراير'!$C$4,$P468='تقرير فبراير'!$C$6),COUNT(AB$4:AB467)+1,"")</f>
        <v/>
      </c>
      <c r="AC468">
        <f>IF(AND($A468&lt;&gt;"",$B468&lt;&gt;"",$R468='تقرير مارس'!$C$4,$P468='تقرير مارس'!$C$6),COUNT(AC$4:AC467)+1,"")</f>
        <v/>
      </c>
      <c r="AD468">
        <f>IF(AND($A468&lt;&gt;"",$B468&lt;&gt;"",$R468='تقرير أبريل'!$C$4,$P468='تقرير أبريل'!$C$6),COUNT(AD$4:AD467)+1,"")</f>
        <v/>
      </c>
      <c r="AE468">
        <f>IF(AND($A468&lt;&gt;"",$B468&lt;&gt;"",$R468='تقرير مايو'!$C$4,$P468='تقرير مايو'!$C$6),COUNT(AE$4:AE467)+1,"")</f>
        <v/>
      </c>
    </row>
    <row r="469">
      <c r="A469" s="16" t="n"/>
      <c r="B469" s="17" t="n"/>
      <c r="C469" s="17" t="n"/>
      <c r="D469" s="18" t="n"/>
      <c r="E469" s="17" t="n"/>
      <c r="F469" s="17" t="n"/>
      <c r="G469" s="19" t="n"/>
      <c r="H469" s="17" t="n"/>
      <c r="I469" s="17" t="n"/>
      <c r="J469" s="17" t="n"/>
      <c r="K469" s="20">
        <f>IF($B469="","",IFERROR(INDEX(الموظفات!$A$5:$A$304,MATCH($B469,الموظفات!$B$5:$B$304,0))&amp;"",""))</f>
        <v/>
      </c>
      <c r="L469" s="21">
        <f>IF($B469="","",IFERROR(INDEX(الموظفات!$C$5:$C$304,MATCH($B469,الموظفات!$B$5:$B$304,0))&amp;"",""))</f>
        <v/>
      </c>
      <c r="M469" s="20">
        <f>IF($B469="","",IFERROR(INDEX(الموظفات!$D$5:$D$304,MATCH($B469,الموظفات!$B$5:$B$304,0))&amp;"",""))</f>
        <v/>
      </c>
      <c r="N469" s="20">
        <f>IF($B469="","",IFERROR(INDEX(الموظفات!$E$5:$E$304,MATCH($B469,الموظفات!$B$5:$B$304,0))&amp;"",""))</f>
        <v/>
      </c>
      <c r="O469" s="21">
        <f>IF(C469="","",IFERROR(INDEX(الإعدادات!$D$7:$D$35,MATCH(C469,الإعدادات!$A$7:$A$35,0))&amp;"",""))</f>
        <v/>
      </c>
      <c r="P469" s="20">
        <f>IF(A469="","",INDEX(الإعدادات!$H$7:$H$18,MONTH(A469)))</f>
        <v/>
      </c>
      <c r="Q469" s="20">
        <f>IF(A469="","",INDEX(الإعدادات!$I$7:$I$18,MONTH(A469)))</f>
        <v/>
      </c>
      <c r="R469" s="20">
        <f>IF(A469="","",IF(MONTH(A469)&gt;=8,YEAR(A469)&amp;"-"&amp;(YEAR(A469)+1),(YEAR(A469)-1)&amp;"-"&amp;YEAR(A469)))</f>
        <v/>
      </c>
      <c r="S469" s="20">
        <f>IF(OR(A469="",B469=""),0,IF(AND(R469=التقارير!$C$4,OR(التقارير!$C$5="سنوي",AND(التقارير!$C$5="شهري",P469=التقارير!$C$6),AND(التقارير!$C$5="فصلي",Q469=التقارير!$C$7))),1,0))</f>
        <v/>
      </c>
      <c r="T469" s="20">
        <f>IF(S469=1,COUNTIF($S$5:S469,1),"")</f>
        <v/>
      </c>
      <c r="U469">
        <f>IF(AND($A469&lt;&gt;"",$B469&lt;&gt;"",$R469='تقرير الفصل الأول'!$C$4,$Q469='تقرير الفصل الأول'!$C$7),COUNT(U$4:U468)+1,"")</f>
        <v/>
      </c>
      <c r="V469">
        <f>IF(AND($A469&lt;&gt;"",$B469&lt;&gt;"",$R469='تقرير الفصل الثاني'!$C$4,$Q469='تقرير الفصل الثاني'!$C$7),COUNT(V$4:V468)+1,"")</f>
        <v/>
      </c>
      <c r="W469">
        <f>IF(AND($A469&lt;&gt;"",$B469&lt;&gt;"",$R469='تقرير سبتمبر'!$C$4,$P469='تقرير سبتمبر'!$C$6),COUNT(W$4:W468)+1,"")</f>
        <v/>
      </c>
      <c r="X469">
        <f>IF(AND($A469&lt;&gt;"",$B469&lt;&gt;"",$R469='تقرير أكتوبر'!$C$4,$P469='تقرير أكتوبر'!$C$6),COUNT(X$4:X468)+1,"")</f>
        <v/>
      </c>
      <c r="Y469">
        <f>IF(AND($A469&lt;&gt;"",$B469&lt;&gt;"",$R469='تقرير نوفمبر'!$C$4,$P469='تقرير نوفمبر'!$C$6),COUNT(Y$4:Y468)+1,"")</f>
        <v/>
      </c>
      <c r="Z469">
        <f>IF(AND($A469&lt;&gt;"",$B469&lt;&gt;"",$R469='تقرير ديسمبر'!$C$4,$P469='تقرير ديسمبر'!$C$6),COUNT(Z$4:Z468)+1,"")</f>
        <v/>
      </c>
      <c r="AA469">
        <f>IF(AND($A469&lt;&gt;"",$B469&lt;&gt;"",$R469='تقرير يناير'!$C$4,$P469='تقرير يناير'!$C$6),COUNT(AA$4:AA468)+1,"")</f>
        <v/>
      </c>
      <c r="AB469">
        <f>IF(AND($A469&lt;&gt;"",$B469&lt;&gt;"",$R469='تقرير فبراير'!$C$4,$P469='تقرير فبراير'!$C$6),COUNT(AB$4:AB468)+1,"")</f>
        <v/>
      </c>
      <c r="AC469">
        <f>IF(AND($A469&lt;&gt;"",$B469&lt;&gt;"",$R469='تقرير مارس'!$C$4,$P469='تقرير مارس'!$C$6),COUNT(AC$4:AC468)+1,"")</f>
        <v/>
      </c>
      <c r="AD469">
        <f>IF(AND($A469&lt;&gt;"",$B469&lt;&gt;"",$R469='تقرير أبريل'!$C$4,$P469='تقرير أبريل'!$C$6),COUNT(AD$4:AD468)+1,"")</f>
        <v/>
      </c>
      <c r="AE469">
        <f>IF(AND($A469&lt;&gt;"",$B469&lt;&gt;"",$R469='تقرير مايو'!$C$4,$P469='تقرير مايو'!$C$6),COUNT(AE$4:AE468)+1,"")</f>
        <v/>
      </c>
    </row>
    <row r="470">
      <c r="A470" s="16" t="n"/>
      <c r="B470" s="17" t="n"/>
      <c r="C470" s="17" t="n"/>
      <c r="D470" s="18" t="n"/>
      <c r="E470" s="17" t="n"/>
      <c r="F470" s="17" t="n"/>
      <c r="G470" s="19" t="n"/>
      <c r="H470" s="17" t="n"/>
      <c r="I470" s="17" t="n"/>
      <c r="J470" s="17" t="n"/>
      <c r="K470" s="20">
        <f>IF($B470="","",IFERROR(INDEX(الموظفات!$A$5:$A$304,MATCH($B470,الموظفات!$B$5:$B$304,0))&amp;"",""))</f>
        <v/>
      </c>
      <c r="L470" s="21">
        <f>IF($B470="","",IFERROR(INDEX(الموظفات!$C$5:$C$304,MATCH($B470,الموظفات!$B$5:$B$304,0))&amp;"",""))</f>
        <v/>
      </c>
      <c r="M470" s="20">
        <f>IF($B470="","",IFERROR(INDEX(الموظفات!$D$5:$D$304,MATCH($B470,الموظفات!$B$5:$B$304,0))&amp;"",""))</f>
        <v/>
      </c>
      <c r="N470" s="20">
        <f>IF($B470="","",IFERROR(INDEX(الموظفات!$E$5:$E$304,MATCH($B470,الموظفات!$B$5:$B$304,0))&amp;"",""))</f>
        <v/>
      </c>
      <c r="O470" s="21">
        <f>IF(C470="","",IFERROR(INDEX(الإعدادات!$D$7:$D$35,MATCH(C470,الإعدادات!$A$7:$A$35,0))&amp;"",""))</f>
        <v/>
      </c>
      <c r="P470" s="20">
        <f>IF(A470="","",INDEX(الإعدادات!$H$7:$H$18,MONTH(A470)))</f>
        <v/>
      </c>
      <c r="Q470" s="20">
        <f>IF(A470="","",INDEX(الإعدادات!$I$7:$I$18,MONTH(A470)))</f>
        <v/>
      </c>
      <c r="R470" s="20">
        <f>IF(A470="","",IF(MONTH(A470)&gt;=8,YEAR(A470)&amp;"-"&amp;(YEAR(A470)+1),(YEAR(A470)-1)&amp;"-"&amp;YEAR(A470)))</f>
        <v/>
      </c>
      <c r="S470" s="20">
        <f>IF(OR(A470="",B470=""),0,IF(AND(R470=التقارير!$C$4,OR(التقارير!$C$5="سنوي",AND(التقارير!$C$5="شهري",P470=التقارير!$C$6),AND(التقارير!$C$5="فصلي",Q470=التقارير!$C$7))),1,0))</f>
        <v/>
      </c>
      <c r="T470" s="20">
        <f>IF(S470=1,COUNTIF($S$5:S470,1),"")</f>
        <v/>
      </c>
      <c r="U470">
        <f>IF(AND($A470&lt;&gt;"",$B470&lt;&gt;"",$R470='تقرير الفصل الأول'!$C$4,$Q470='تقرير الفصل الأول'!$C$7),COUNT(U$4:U469)+1,"")</f>
        <v/>
      </c>
      <c r="V470">
        <f>IF(AND($A470&lt;&gt;"",$B470&lt;&gt;"",$R470='تقرير الفصل الثاني'!$C$4,$Q470='تقرير الفصل الثاني'!$C$7),COUNT(V$4:V469)+1,"")</f>
        <v/>
      </c>
      <c r="W470">
        <f>IF(AND($A470&lt;&gt;"",$B470&lt;&gt;"",$R470='تقرير سبتمبر'!$C$4,$P470='تقرير سبتمبر'!$C$6),COUNT(W$4:W469)+1,"")</f>
        <v/>
      </c>
      <c r="X470">
        <f>IF(AND($A470&lt;&gt;"",$B470&lt;&gt;"",$R470='تقرير أكتوبر'!$C$4,$P470='تقرير أكتوبر'!$C$6),COUNT(X$4:X469)+1,"")</f>
        <v/>
      </c>
      <c r="Y470">
        <f>IF(AND($A470&lt;&gt;"",$B470&lt;&gt;"",$R470='تقرير نوفمبر'!$C$4,$P470='تقرير نوفمبر'!$C$6),COUNT(Y$4:Y469)+1,"")</f>
        <v/>
      </c>
      <c r="Z470">
        <f>IF(AND($A470&lt;&gt;"",$B470&lt;&gt;"",$R470='تقرير ديسمبر'!$C$4,$P470='تقرير ديسمبر'!$C$6),COUNT(Z$4:Z469)+1,"")</f>
        <v/>
      </c>
      <c r="AA470">
        <f>IF(AND($A470&lt;&gt;"",$B470&lt;&gt;"",$R470='تقرير يناير'!$C$4,$P470='تقرير يناير'!$C$6),COUNT(AA$4:AA469)+1,"")</f>
        <v/>
      </c>
      <c r="AB470">
        <f>IF(AND($A470&lt;&gt;"",$B470&lt;&gt;"",$R470='تقرير فبراير'!$C$4,$P470='تقرير فبراير'!$C$6),COUNT(AB$4:AB469)+1,"")</f>
        <v/>
      </c>
      <c r="AC470">
        <f>IF(AND($A470&lt;&gt;"",$B470&lt;&gt;"",$R470='تقرير مارس'!$C$4,$P470='تقرير مارس'!$C$6),COUNT(AC$4:AC469)+1,"")</f>
        <v/>
      </c>
      <c r="AD470">
        <f>IF(AND($A470&lt;&gt;"",$B470&lt;&gt;"",$R470='تقرير أبريل'!$C$4,$P470='تقرير أبريل'!$C$6),COUNT(AD$4:AD469)+1,"")</f>
        <v/>
      </c>
      <c r="AE470">
        <f>IF(AND($A470&lt;&gt;"",$B470&lt;&gt;"",$R470='تقرير مايو'!$C$4,$P470='تقرير مايو'!$C$6),COUNT(AE$4:AE469)+1,"")</f>
        <v/>
      </c>
    </row>
    <row r="471">
      <c r="A471" s="16" t="n"/>
      <c r="B471" s="17" t="n"/>
      <c r="C471" s="17" t="n"/>
      <c r="D471" s="18" t="n"/>
      <c r="E471" s="17" t="n"/>
      <c r="F471" s="17" t="n"/>
      <c r="G471" s="19" t="n"/>
      <c r="H471" s="17" t="n"/>
      <c r="I471" s="17" t="n"/>
      <c r="J471" s="17" t="n"/>
      <c r="K471" s="20">
        <f>IF($B471="","",IFERROR(INDEX(الموظفات!$A$5:$A$304,MATCH($B471,الموظفات!$B$5:$B$304,0))&amp;"",""))</f>
        <v/>
      </c>
      <c r="L471" s="21">
        <f>IF($B471="","",IFERROR(INDEX(الموظفات!$C$5:$C$304,MATCH($B471,الموظفات!$B$5:$B$304,0))&amp;"",""))</f>
        <v/>
      </c>
      <c r="M471" s="20">
        <f>IF($B471="","",IFERROR(INDEX(الموظفات!$D$5:$D$304,MATCH($B471,الموظفات!$B$5:$B$304,0))&amp;"",""))</f>
        <v/>
      </c>
      <c r="N471" s="20">
        <f>IF($B471="","",IFERROR(INDEX(الموظفات!$E$5:$E$304,MATCH($B471,الموظفات!$B$5:$B$304,0))&amp;"",""))</f>
        <v/>
      </c>
      <c r="O471" s="21">
        <f>IF(C471="","",IFERROR(INDEX(الإعدادات!$D$7:$D$35,MATCH(C471,الإعدادات!$A$7:$A$35,0))&amp;"",""))</f>
        <v/>
      </c>
      <c r="P471" s="20">
        <f>IF(A471="","",INDEX(الإعدادات!$H$7:$H$18,MONTH(A471)))</f>
        <v/>
      </c>
      <c r="Q471" s="20">
        <f>IF(A471="","",INDEX(الإعدادات!$I$7:$I$18,MONTH(A471)))</f>
        <v/>
      </c>
      <c r="R471" s="20">
        <f>IF(A471="","",IF(MONTH(A471)&gt;=8,YEAR(A471)&amp;"-"&amp;(YEAR(A471)+1),(YEAR(A471)-1)&amp;"-"&amp;YEAR(A471)))</f>
        <v/>
      </c>
      <c r="S471" s="20">
        <f>IF(OR(A471="",B471=""),0,IF(AND(R471=التقارير!$C$4,OR(التقارير!$C$5="سنوي",AND(التقارير!$C$5="شهري",P471=التقارير!$C$6),AND(التقارير!$C$5="فصلي",Q471=التقارير!$C$7))),1,0))</f>
        <v/>
      </c>
      <c r="T471" s="20">
        <f>IF(S471=1,COUNTIF($S$5:S471,1),"")</f>
        <v/>
      </c>
      <c r="U471">
        <f>IF(AND($A471&lt;&gt;"",$B471&lt;&gt;"",$R471='تقرير الفصل الأول'!$C$4,$Q471='تقرير الفصل الأول'!$C$7),COUNT(U$4:U470)+1,"")</f>
        <v/>
      </c>
      <c r="V471">
        <f>IF(AND($A471&lt;&gt;"",$B471&lt;&gt;"",$R471='تقرير الفصل الثاني'!$C$4,$Q471='تقرير الفصل الثاني'!$C$7),COUNT(V$4:V470)+1,"")</f>
        <v/>
      </c>
      <c r="W471">
        <f>IF(AND($A471&lt;&gt;"",$B471&lt;&gt;"",$R471='تقرير سبتمبر'!$C$4,$P471='تقرير سبتمبر'!$C$6),COUNT(W$4:W470)+1,"")</f>
        <v/>
      </c>
      <c r="X471">
        <f>IF(AND($A471&lt;&gt;"",$B471&lt;&gt;"",$R471='تقرير أكتوبر'!$C$4,$P471='تقرير أكتوبر'!$C$6),COUNT(X$4:X470)+1,"")</f>
        <v/>
      </c>
      <c r="Y471">
        <f>IF(AND($A471&lt;&gt;"",$B471&lt;&gt;"",$R471='تقرير نوفمبر'!$C$4,$P471='تقرير نوفمبر'!$C$6),COUNT(Y$4:Y470)+1,"")</f>
        <v/>
      </c>
      <c r="Z471">
        <f>IF(AND($A471&lt;&gt;"",$B471&lt;&gt;"",$R471='تقرير ديسمبر'!$C$4,$P471='تقرير ديسمبر'!$C$6),COUNT(Z$4:Z470)+1,"")</f>
        <v/>
      </c>
      <c r="AA471">
        <f>IF(AND($A471&lt;&gt;"",$B471&lt;&gt;"",$R471='تقرير يناير'!$C$4,$P471='تقرير يناير'!$C$6),COUNT(AA$4:AA470)+1,"")</f>
        <v/>
      </c>
      <c r="AB471">
        <f>IF(AND($A471&lt;&gt;"",$B471&lt;&gt;"",$R471='تقرير فبراير'!$C$4,$P471='تقرير فبراير'!$C$6),COUNT(AB$4:AB470)+1,"")</f>
        <v/>
      </c>
      <c r="AC471">
        <f>IF(AND($A471&lt;&gt;"",$B471&lt;&gt;"",$R471='تقرير مارس'!$C$4,$P471='تقرير مارس'!$C$6),COUNT(AC$4:AC470)+1,"")</f>
        <v/>
      </c>
      <c r="AD471">
        <f>IF(AND($A471&lt;&gt;"",$B471&lt;&gt;"",$R471='تقرير أبريل'!$C$4,$P471='تقرير أبريل'!$C$6),COUNT(AD$4:AD470)+1,"")</f>
        <v/>
      </c>
      <c r="AE471">
        <f>IF(AND($A471&lt;&gt;"",$B471&lt;&gt;"",$R471='تقرير مايو'!$C$4,$P471='تقرير مايو'!$C$6),COUNT(AE$4:AE470)+1,"")</f>
        <v/>
      </c>
    </row>
    <row r="472">
      <c r="A472" s="16" t="n"/>
      <c r="B472" s="17" t="n"/>
      <c r="C472" s="17" t="n"/>
      <c r="D472" s="18" t="n"/>
      <c r="E472" s="17" t="n"/>
      <c r="F472" s="17" t="n"/>
      <c r="G472" s="19" t="n"/>
      <c r="H472" s="17" t="n"/>
      <c r="I472" s="17" t="n"/>
      <c r="J472" s="17" t="n"/>
      <c r="K472" s="20">
        <f>IF($B472="","",IFERROR(INDEX(الموظفات!$A$5:$A$304,MATCH($B472,الموظفات!$B$5:$B$304,0))&amp;"",""))</f>
        <v/>
      </c>
      <c r="L472" s="21">
        <f>IF($B472="","",IFERROR(INDEX(الموظفات!$C$5:$C$304,MATCH($B472,الموظفات!$B$5:$B$304,0))&amp;"",""))</f>
        <v/>
      </c>
      <c r="M472" s="20">
        <f>IF($B472="","",IFERROR(INDEX(الموظفات!$D$5:$D$304,MATCH($B472,الموظفات!$B$5:$B$304,0))&amp;"",""))</f>
        <v/>
      </c>
      <c r="N472" s="20">
        <f>IF($B472="","",IFERROR(INDEX(الموظفات!$E$5:$E$304,MATCH($B472,الموظفات!$B$5:$B$304,0))&amp;"",""))</f>
        <v/>
      </c>
      <c r="O472" s="21">
        <f>IF(C472="","",IFERROR(INDEX(الإعدادات!$D$7:$D$35,MATCH(C472,الإعدادات!$A$7:$A$35,0))&amp;"",""))</f>
        <v/>
      </c>
      <c r="P472" s="20">
        <f>IF(A472="","",INDEX(الإعدادات!$H$7:$H$18,MONTH(A472)))</f>
        <v/>
      </c>
      <c r="Q472" s="20">
        <f>IF(A472="","",INDEX(الإعدادات!$I$7:$I$18,MONTH(A472)))</f>
        <v/>
      </c>
      <c r="R472" s="20">
        <f>IF(A472="","",IF(MONTH(A472)&gt;=8,YEAR(A472)&amp;"-"&amp;(YEAR(A472)+1),(YEAR(A472)-1)&amp;"-"&amp;YEAR(A472)))</f>
        <v/>
      </c>
      <c r="S472" s="20">
        <f>IF(OR(A472="",B472=""),0,IF(AND(R472=التقارير!$C$4,OR(التقارير!$C$5="سنوي",AND(التقارير!$C$5="شهري",P472=التقارير!$C$6),AND(التقارير!$C$5="فصلي",Q472=التقارير!$C$7))),1,0))</f>
        <v/>
      </c>
      <c r="T472" s="20">
        <f>IF(S472=1,COUNTIF($S$5:S472,1),"")</f>
        <v/>
      </c>
      <c r="U472">
        <f>IF(AND($A472&lt;&gt;"",$B472&lt;&gt;"",$R472='تقرير الفصل الأول'!$C$4,$Q472='تقرير الفصل الأول'!$C$7),COUNT(U$4:U471)+1,"")</f>
        <v/>
      </c>
      <c r="V472">
        <f>IF(AND($A472&lt;&gt;"",$B472&lt;&gt;"",$R472='تقرير الفصل الثاني'!$C$4,$Q472='تقرير الفصل الثاني'!$C$7),COUNT(V$4:V471)+1,"")</f>
        <v/>
      </c>
      <c r="W472">
        <f>IF(AND($A472&lt;&gt;"",$B472&lt;&gt;"",$R472='تقرير سبتمبر'!$C$4,$P472='تقرير سبتمبر'!$C$6),COUNT(W$4:W471)+1,"")</f>
        <v/>
      </c>
      <c r="X472">
        <f>IF(AND($A472&lt;&gt;"",$B472&lt;&gt;"",$R472='تقرير أكتوبر'!$C$4,$P472='تقرير أكتوبر'!$C$6),COUNT(X$4:X471)+1,"")</f>
        <v/>
      </c>
      <c r="Y472">
        <f>IF(AND($A472&lt;&gt;"",$B472&lt;&gt;"",$R472='تقرير نوفمبر'!$C$4,$P472='تقرير نوفمبر'!$C$6),COUNT(Y$4:Y471)+1,"")</f>
        <v/>
      </c>
      <c r="Z472">
        <f>IF(AND($A472&lt;&gt;"",$B472&lt;&gt;"",$R472='تقرير ديسمبر'!$C$4,$P472='تقرير ديسمبر'!$C$6),COUNT(Z$4:Z471)+1,"")</f>
        <v/>
      </c>
      <c r="AA472">
        <f>IF(AND($A472&lt;&gt;"",$B472&lt;&gt;"",$R472='تقرير يناير'!$C$4,$P472='تقرير يناير'!$C$6),COUNT(AA$4:AA471)+1,"")</f>
        <v/>
      </c>
      <c r="AB472">
        <f>IF(AND($A472&lt;&gt;"",$B472&lt;&gt;"",$R472='تقرير فبراير'!$C$4,$P472='تقرير فبراير'!$C$6),COUNT(AB$4:AB471)+1,"")</f>
        <v/>
      </c>
      <c r="AC472">
        <f>IF(AND($A472&lt;&gt;"",$B472&lt;&gt;"",$R472='تقرير مارس'!$C$4,$P472='تقرير مارس'!$C$6),COUNT(AC$4:AC471)+1,"")</f>
        <v/>
      </c>
      <c r="AD472">
        <f>IF(AND($A472&lt;&gt;"",$B472&lt;&gt;"",$R472='تقرير أبريل'!$C$4,$P472='تقرير أبريل'!$C$6),COUNT(AD$4:AD471)+1,"")</f>
        <v/>
      </c>
      <c r="AE472">
        <f>IF(AND($A472&lt;&gt;"",$B472&lt;&gt;"",$R472='تقرير مايو'!$C$4,$P472='تقرير مايو'!$C$6),COUNT(AE$4:AE471)+1,"")</f>
        <v/>
      </c>
    </row>
    <row r="473">
      <c r="A473" s="16" t="n"/>
      <c r="B473" s="17" t="n"/>
      <c r="C473" s="17" t="n"/>
      <c r="D473" s="18" t="n"/>
      <c r="E473" s="17" t="n"/>
      <c r="F473" s="17" t="n"/>
      <c r="G473" s="19" t="n"/>
      <c r="H473" s="17" t="n"/>
      <c r="I473" s="17" t="n"/>
      <c r="J473" s="17" t="n"/>
      <c r="K473" s="20">
        <f>IF($B473="","",IFERROR(INDEX(الموظفات!$A$5:$A$304,MATCH($B473,الموظفات!$B$5:$B$304,0))&amp;"",""))</f>
        <v/>
      </c>
      <c r="L473" s="21">
        <f>IF($B473="","",IFERROR(INDEX(الموظفات!$C$5:$C$304,MATCH($B473,الموظفات!$B$5:$B$304,0))&amp;"",""))</f>
        <v/>
      </c>
      <c r="M473" s="20">
        <f>IF($B473="","",IFERROR(INDEX(الموظفات!$D$5:$D$304,MATCH($B473,الموظفات!$B$5:$B$304,0))&amp;"",""))</f>
        <v/>
      </c>
      <c r="N473" s="20">
        <f>IF($B473="","",IFERROR(INDEX(الموظفات!$E$5:$E$304,MATCH($B473,الموظفات!$B$5:$B$304,0))&amp;"",""))</f>
        <v/>
      </c>
      <c r="O473" s="21">
        <f>IF(C473="","",IFERROR(INDEX(الإعدادات!$D$7:$D$35,MATCH(C473,الإعدادات!$A$7:$A$35,0))&amp;"",""))</f>
        <v/>
      </c>
      <c r="P473" s="20">
        <f>IF(A473="","",INDEX(الإعدادات!$H$7:$H$18,MONTH(A473)))</f>
        <v/>
      </c>
      <c r="Q473" s="20">
        <f>IF(A473="","",INDEX(الإعدادات!$I$7:$I$18,MONTH(A473)))</f>
        <v/>
      </c>
      <c r="R473" s="20">
        <f>IF(A473="","",IF(MONTH(A473)&gt;=8,YEAR(A473)&amp;"-"&amp;(YEAR(A473)+1),(YEAR(A473)-1)&amp;"-"&amp;YEAR(A473)))</f>
        <v/>
      </c>
      <c r="S473" s="20">
        <f>IF(OR(A473="",B473=""),0,IF(AND(R473=التقارير!$C$4,OR(التقارير!$C$5="سنوي",AND(التقارير!$C$5="شهري",P473=التقارير!$C$6),AND(التقارير!$C$5="فصلي",Q473=التقارير!$C$7))),1,0))</f>
        <v/>
      </c>
      <c r="T473" s="20">
        <f>IF(S473=1,COUNTIF($S$5:S473,1),"")</f>
        <v/>
      </c>
      <c r="U473">
        <f>IF(AND($A473&lt;&gt;"",$B473&lt;&gt;"",$R473='تقرير الفصل الأول'!$C$4,$Q473='تقرير الفصل الأول'!$C$7),COUNT(U$4:U472)+1,"")</f>
        <v/>
      </c>
      <c r="V473">
        <f>IF(AND($A473&lt;&gt;"",$B473&lt;&gt;"",$R473='تقرير الفصل الثاني'!$C$4,$Q473='تقرير الفصل الثاني'!$C$7),COUNT(V$4:V472)+1,"")</f>
        <v/>
      </c>
      <c r="W473">
        <f>IF(AND($A473&lt;&gt;"",$B473&lt;&gt;"",$R473='تقرير سبتمبر'!$C$4,$P473='تقرير سبتمبر'!$C$6),COUNT(W$4:W472)+1,"")</f>
        <v/>
      </c>
      <c r="X473">
        <f>IF(AND($A473&lt;&gt;"",$B473&lt;&gt;"",$R473='تقرير أكتوبر'!$C$4,$P473='تقرير أكتوبر'!$C$6),COUNT(X$4:X472)+1,"")</f>
        <v/>
      </c>
      <c r="Y473">
        <f>IF(AND($A473&lt;&gt;"",$B473&lt;&gt;"",$R473='تقرير نوفمبر'!$C$4,$P473='تقرير نوفمبر'!$C$6),COUNT(Y$4:Y472)+1,"")</f>
        <v/>
      </c>
      <c r="Z473">
        <f>IF(AND($A473&lt;&gt;"",$B473&lt;&gt;"",$R473='تقرير ديسمبر'!$C$4,$P473='تقرير ديسمبر'!$C$6),COUNT(Z$4:Z472)+1,"")</f>
        <v/>
      </c>
      <c r="AA473">
        <f>IF(AND($A473&lt;&gt;"",$B473&lt;&gt;"",$R473='تقرير يناير'!$C$4,$P473='تقرير يناير'!$C$6),COUNT(AA$4:AA472)+1,"")</f>
        <v/>
      </c>
      <c r="AB473">
        <f>IF(AND($A473&lt;&gt;"",$B473&lt;&gt;"",$R473='تقرير فبراير'!$C$4,$P473='تقرير فبراير'!$C$6),COUNT(AB$4:AB472)+1,"")</f>
        <v/>
      </c>
      <c r="AC473">
        <f>IF(AND($A473&lt;&gt;"",$B473&lt;&gt;"",$R473='تقرير مارس'!$C$4,$P473='تقرير مارس'!$C$6),COUNT(AC$4:AC472)+1,"")</f>
        <v/>
      </c>
      <c r="AD473">
        <f>IF(AND($A473&lt;&gt;"",$B473&lt;&gt;"",$R473='تقرير أبريل'!$C$4,$P473='تقرير أبريل'!$C$6),COUNT(AD$4:AD472)+1,"")</f>
        <v/>
      </c>
      <c r="AE473">
        <f>IF(AND($A473&lt;&gt;"",$B473&lt;&gt;"",$R473='تقرير مايو'!$C$4,$P473='تقرير مايو'!$C$6),COUNT(AE$4:AE472)+1,"")</f>
        <v/>
      </c>
    </row>
    <row r="474">
      <c r="A474" s="16" t="n"/>
      <c r="B474" s="17" t="n"/>
      <c r="C474" s="17" t="n"/>
      <c r="D474" s="18" t="n"/>
      <c r="E474" s="17" t="n"/>
      <c r="F474" s="17" t="n"/>
      <c r="G474" s="19" t="n"/>
      <c r="H474" s="17" t="n"/>
      <c r="I474" s="17" t="n"/>
      <c r="J474" s="17" t="n"/>
      <c r="K474" s="20">
        <f>IF($B474="","",IFERROR(INDEX(الموظفات!$A$5:$A$304,MATCH($B474,الموظفات!$B$5:$B$304,0))&amp;"",""))</f>
        <v/>
      </c>
      <c r="L474" s="21">
        <f>IF($B474="","",IFERROR(INDEX(الموظفات!$C$5:$C$304,MATCH($B474,الموظفات!$B$5:$B$304,0))&amp;"",""))</f>
        <v/>
      </c>
      <c r="M474" s="20">
        <f>IF($B474="","",IFERROR(INDEX(الموظفات!$D$5:$D$304,MATCH($B474,الموظفات!$B$5:$B$304,0))&amp;"",""))</f>
        <v/>
      </c>
      <c r="N474" s="20">
        <f>IF($B474="","",IFERROR(INDEX(الموظفات!$E$5:$E$304,MATCH($B474,الموظفات!$B$5:$B$304,0))&amp;"",""))</f>
        <v/>
      </c>
      <c r="O474" s="21">
        <f>IF(C474="","",IFERROR(INDEX(الإعدادات!$D$7:$D$35,MATCH(C474,الإعدادات!$A$7:$A$35,0))&amp;"",""))</f>
        <v/>
      </c>
      <c r="P474" s="20">
        <f>IF(A474="","",INDEX(الإعدادات!$H$7:$H$18,MONTH(A474)))</f>
        <v/>
      </c>
      <c r="Q474" s="20">
        <f>IF(A474="","",INDEX(الإعدادات!$I$7:$I$18,MONTH(A474)))</f>
        <v/>
      </c>
      <c r="R474" s="20">
        <f>IF(A474="","",IF(MONTH(A474)&gt;=8,YEAR(A474)&amp;"-"&amp;(YEAR(A474)+1),(YEAR(A474)-1)&amp;"-"&amp;YEAR(A474)))</f>
        <v/>
      </c>
      <c r="S474" s="20">
        <f>IF(OR(A474="",B474=""),0,IF(AND(R474=التقارير!$C$4,OR(التقارير!$C$5="سنوي",AND(التقارير!$C$5="شهري",P474=التقارير!$C$6),AND(التقارير!$C$5="فصلي",Q474=التقارير!$C$7))),1,0))</f>
        <v/>
      </c>
      <c r="T474" s="20">
        <f>IF(S474=1,COUNTIF($S$5:S474,1),"")</f>
        <v/>
      </c>
      <c r="U474">
        <f>IF(AND($A474&lt;&gt;"",$B474&lt;&gt;"",$R474='تقرير الفصل الأول'!$C$4,$Q474='تقرير الفصل الأول'!$C$7),COUNT(U$4:U473)+1,"")</f>
        <v/>
      </c>
      <c r="V474">
        <f>IF(AND($A474&lt;&gt;"",$B474&lt;&gt;"",$R474='تقرير الفصل الثاني'!$C$4,$Q474='تقرير الفصل الثاني'!$C$7),COUNT(V$4:V473)+1,"")</f>
        <v/>
      </c>
      <c r="W474">
        <f>IF(AND($A474&lt;&gt;"",$B474&lt;&gt;"",$R474='تقرير سبتمبر'!$C$4,$P474='تقرير سبتمبر'!$C$6),COUNT(W$4:W473)+1,"")</f>
        <v/>
      </c>
      <c r="X474">
        <f>IF(AND($A474&lt;&gt;"",$B474&lt;&gt;"",$R474='تقرير أكتوبر'!$C$4,$P474='تقرير أكتوبر'!$C$6),COUNT(X$4:X473)+1,"")</f>
        <v/>
      </c>
      <c r="Y474">
        <f>IF(AND($A474&lt;&gt;"",$B474&lt;&gt;"",$R474='تقرير نوفمبر'!$C$4,$P474='تقرير نوفمبر'!$C$6),COUNT(Y$4:Y473)+1,"")</f>
        <v/>
      </c>
      <c r="Z474">
        <f>IF(AND($A474&lt;&gt;"",$B474&lt;&gt;"",$R474='تقرير ديسمبر'!$C$4,$P474='تقرير ديسمبر'!$C$6),COUNT(Z$4:Z473)+1,"")</f>
        <v/>
      </c>
      <c r="AA474">
        <f>IF(AND($A474&lt;&gt;"",$B474&lt;&gt;"",$R474='تقرير يناير'!$C$4,$P474='تقرير يناير'!$C$6),COUNT(AA$4:AA473)+1,"")</f>
        <v/>
      </c>
      <c r="AB474">
        <f>IF(AND($A474&lt;&gt;"",$B474&lt;&gt;"",$R474='تقرير فبراير'!$C$4,$P474='تقرير فبراير'!$C$6),COUNT(AB$4:AB473)+1,"")</f>
        <v/>
      </c>
      <c r="AC474">
        <f>IF(AND($A474&lt;&gt;"",$B474&lt;&gt;"",$R474='تقرير مارس'!$C$4,$P474='تقرير مارس'!$C$6),COUNT(AC$4:AC473)+1,"")</f>
        <v/>
      </c>
      <c r="AD474">
        <f>IF(AND($A474&lt;&gt;"",$B474&lt;&gt;"",$R474='تقرير أبريل'!$C$4,$P474='تقرير أبريل'!$C$6),COUNT(AD$4:AD473)+1,"")</f>
        <v/>
      </c>
      <c r="AE474">
        <f>IF(AND($A474&lt;&gt;"",$B474&lt;&gt;"",$R474='تقرير مايو'!$C$4,$P474='تقرير مايو'!$C$6),COUNT(AE$4:AE473)+1,"")</f>
        <v/>
      </c>
    </row>
    <row r="475">
      <c r="A475" s="16" t="n"/>
      <c r="B475" s="17" t="n"/>
      <c r="C475" s="17" t="n"/>
      <c r="D475" s="18" t="n"/>
      <c r="E475" s="17" t="n"/>
      <c r="F475" s="17" t="n"/>
      <c r="G475" s="19" t="n"/>
      <c r="H475" s="17" t="n"/>
      <c r="I475" s="17" t="n"/>
      <c r="J475" s="17" t="n"/>
      <c r="K475" s="20">
        <f>IF($B475="","",IFERROR(INDEX(الموظفات!$A$5:$A$304,MATCH($B475,الموظفات!$B$5:$B$304,0))&amp;"",""))</f>
        <v/>
      </c>
      <c r="L475" s="21">
        <f>IF($B475="","",IFERROR(INDEX(الموظفات!$C$5:$C$304,MATCH($B475,الموظفات!$B$5:$B$304,0))&amp;"",""))</f>
        <v/>
      </c>
      <c r="M475" s="20">
        <f>IF($B475="","",IFERROR(INDEX(الموظفات!$D$5:$D$304,MATCH($B475,الموظفات!$B$5:$B$304,0))&amp;"",""))</f>
        <v/>
      </c>
      <c r="N475" s="20">
        <f>IF($B475="","",IFERROR(INDEX(الموظفات!$E$5:$E$304,MATCH($B475,الموظفات!$B$5:$B$304,0))&amp;"",""))</f>
        <v/>
      </c>
      <c r="O475" s="21">
        <f>IF(C475="","",IFERROR(INDEX(الإعدادات!$D$7:$D$35,MATCH(C475,الإعدادات!$A$7:$A$35,0))&amp;"",""))</f>
        <v/>
      </c>
      <c r="P475" s="20">
        <f>IF(A475="","",INDEX(الإعدادات!$H$7:$H$18,MONTH(A475)))</f>
        <v/>
      </c>
      <c r="Q475" s="20">
        <f>IF(A475="","",INDEX(الإعدادات!$I$7:$I$18,MONTH(A475)))</f>
        <v/>
      </c>
      <c r="R475" s="20">
        <f>IF(A475="","",IF(MONTH(A475)&gt;=8,YEAR(A475)&amp;"-"&amp;(YEAR(A475)+1),(YEAR(A475)-1)&amp;"-"&amp;YEAR(A475)))</f>
        <v/>
      </c>
      <c r="S475" s="20">
        <f>IF(OR(A475="",B475=""),0,IF(AND(R475=التقارير!$C$4,OR(التقارير!$C$5="سنوي",AND(التقارير!$C$5="شهري",P475=التقارير!$C$6),AND(التقارير!$C$5="فصلي",Q475=التقارير!$C$7))),1,0))</f>
        <v/>
      </c>
      <c r="T475" s="20">
        <f>IF(S475=1,COUNTIF($S$5:S475,1),"")</f>
        <v/>
      </c>
      <c r="U475">
        <f>IF(AND($A475&lt;&gt;"",$B475&lt;&gt;"",$R475='تقرير الفصل الأول'!$C$4,$Q475='تقرير الفصل الأول'!$C$7),COUNT(U$4:U474)+1,"")</f>
        <v/>
      </c>
      <c r="V475">
        <f>IF(AND($A475&lt;&gt;"",$B475&lt;&gt;"",$R475='تقرير الفصل الثاني'!$C$4,$Q475='تقرير الفصل الثاني'!$C$7),COUNT(V$4:V474)+1,"")</f>
        <v/>
      </c>
      <c r="W475">
        <f>IF(AND($A475&lt;&gt;"",$B475&lt;&gt;"",$R475='تقرير سبتمبر'!$C$4,$P475='تقرير سبتمبر'!$C$6),COUNT(W$4:W474)+1,"")</f>
        <v/>
      </c>
      <c r="X475">
        <f>IF(AND($A475&lt;&gt;"",$B475&lt;&gt;"",$R475='تقرير أكتوبر'!$C$4,$P475='تقرير أكتوبر'!$C$6),COUNT(X$4:X474)+1,"")</f>
        <v/>
      </c>
      <c r="Y475">
        <f>IF(AND($A475&lt;&gt;"",$B475&lt;&gt;"",$R475='تقرير نوفمبر'!$C$4,$P475='تقرير نوفمبر'!$C$6),COUNT(Y$4:Y474)+1,"")</f>
        <v/>
      </c>
      <c r="Z475">
        <f>IF(AND($A475&lt;&gt;"",$B475&lt;&gt;"",$R475='تقرير ديسمبر'!$C$4,$P475='تقرير ديسمبر'!$C$6),COUNT(Z$4:Z474)+1,"")</f>
        <v/>
      </c>
      <c r="AA475">
        <f>IF(AND($A475&lt;&gt;"",$B475&lt;&gt;"",$R475='تقرير يناير'!$C$4,$P475='تقرير يناير'!$C$6),COUNT(AA$4:AA474)+1,"")</f>
        <v/>
      </c>
      <c r="AB475">
        <f>IF(AND($A475&lt;&gt;"",$B475&lt;&gt;"",$R475='تقرير فبراير'!$C$4,$P475='تقرير فبراير'!$C$6),COUNT(AB$4:AB474)+1,"")</f>
        <v/>
      </c>
      <c r="AC475">
        <f>IF(AND($A475&lt;&gt;"",$B475&lt;&gt;"",$R475='تقرير مارس'!$C$4,$P475='تقرير مارس'!$C$6),COUNT(AC$4:AC474)+1,"")</f>
        <v/>
      </c>
      <c r="AD475">
        <f>IF(AND($A475&lt;&gt;"",$B475&lt;&gt;"",$R475='تقرير أبريل'!$C$4,$P475='تقرير أبريل'!$C$6),COUNT(AD$4:AD474)+1,"")</f>
        <v/>
      </c>
      <c r="AE475">
        <f>IF(AND($A475&lt;&gt;"",$B475&lt;&gt;"",$R475='تقرير مايو'!$C$4,$P475='تقرير مايو'!$C$6),COUNT(AE$4:AE474)+1,"")</f>
        <v/>
      </c>
    </row>
    <row r="476">
      <c r="A476" s="16" t="n"/>
      <c r="B476" s="17" t="n"/>
      <c r="C476" s="17" t="n"/>
      <c r="D476" s="18" t="n"/>
      <c r="E476" s="17" t="n"/>
      <c r="F476" s="17" t="n"/>
      <c r="G476" s="19" t="n"/>
      <c r="H476" s="17" t="n"/>
      <c r="I476" s="17" t="n"/>
      <c r="J476" s="17" t="n"/>
      <c r="K476" s="20">
        <f>IF($B476="","",IFERROR(INDEX(الموظفات!$A$5:$A$304,MATCH($B476,الموظفات!$B$5:$B$304,0))&amp;"",""))</f>
        <v/>
      </c>
      <c r="L476" s="21">
        <f>IF($B476="","",IFERROR(INDEX(الموظفات!$C$5:$C$304,MATCH($B476,الموظفات!$B$5:$B$304,0))&amp;"",""))</f>
        <v/>
      </c>
      <c r="M476" s="20">
        <f>IF($B476="","",IFERROR(INDEX(الموظفات!$D$5:$D$304,MATCH($B476,الموظفات!$B$5:$B$304,0))&amp;"",""))</f>
        <v/>
      </c>
      <c r="N476" s="20">
        <f>IF($B476="","",IFERROR(INDEX(الموظفات!$E$5:$E$304,MATCH($B476,الموظفات!$B$5:$B$304,0))&amp;"",""))</f>
        <v/>
      </c>
      <c r="O476" s="21">
        <f>IF(C476="","",IFERROR(INDEX(الإعدادات!$D$7:$D$35,MATCH(C476,الإعدادات!$A$7:$A$35,0))&amp;"",""))</f>
        <v/>
      </c>
      <c r="P476" s="20">
        <f>IF(A476="","",INDEX(الإعدادات!$H$7:$H$18,MONTH(A476)))</f>
        <v/>
      </c>
      <c r="Q476" s="20">
        <f>IF(A476="","",INDEX(الإعدادات!$I$7:$I$18,MONTH(A476)))</f>
        <v/>
      </c>
      <c r="R476" s="20">
        <f>IF(A476="","",IF(MONTH(A476)&gt;=8,YEAR(A476)&amp;"-"&amp;(YEAR(A476)+1),(YEAR(A476)-1)&amp;"-"&amp;YEAR(A476)))</f>
        <v/>
      </c>
      <c r="S476" s="20">
        <f>IF(OR(A476="",B476=""),0,IF(AND(R476=التقارير!$C$4,OR(التقارير!$C$5="سنوي",AND(التقارير!$C$5="شهري",P476=التقارير!$C$6),AND(التقارير!$C$5="فصلي",Q476=التقارير!$C$7))),1,0))</f>
        <v/>
      </c>
      <c r="T476" s="20">
        <f>IF(S476=1,COUNTIF($S$5:S476,1),"")</f>
        <v/>
      </c>
      <c r="U476">
        <f>IF(AND($A476&lt;&gt;"",$B476&lt;&gt;"",$R476='تقرير الفصل الأول'!$C$4,$Q476='تقرير الفصل الأول'!$C$7),COUNT(U$4:U475)+1,"")</f>
        <v/>
      </c>
      <c r="V476">
        <f>IF(AND($A476&lt;&gt;"",$B476&lt;&gt;"",$R476='تقرير الفصل الثاني'!$C$4,$Q476='تقرير الفصل الثاني'!$C$7),COUNT(V$4:V475)+1,"")</f>
        <v/>
      </c>
      <c r="W476">
        <f>IF(AND($A476&lt;&gt;"",$B476&lt;&gt;"",$R476='تقرير سبتمبر'!$C$4,$P476='تقرير سبتمبر'!$C$6),COUNT(W$4:W475)+1,"")</f>
        <v/>
      </c>
      <c r="X476">
        <f>IF(AND($A476&lt;&gt;"",$B476&lt;&gt;"",$R476='تقرير أكتوبر'!$C$4,$P476='تقرير أكتوبر'!$C$6),COUNT(X$4:X475)+1,"")</f>
        <v/>
      </c>
      <c r="Y476">
        <f>IF(AND($A476&lt;&gt;"",$B476&lt;&gt;"",$R476='تقرير نوفمبر'!$C$4,$P476='تقرير نوفمبر'!$C$6),COUNT(Y$4:Y475)+1,"")</f>
        <v/>
      </c>
      <c r="Z476">
        <f>IF(AND($A476&lt;&gt;"",$B476&lt;&gt;"",$R476='تقرير ديسمبر'!$C$4,$P476='تقرير ديسمبر'!$C$6),COUNT(Z$4:Z475)+1,"")</f>
        <v/>
      </c>
      <c r="AA476">
        <f>IF(AND($A476&lt;&gt;"",$B476&lt;&gt;"",$R476='تقرير يناير'!$C$4,$P476='تقرير يناير'!$C$6),COUNT(AA$4:AA475)+1,"")</f>
        <v/>
      </c>
      <c r="AB476">
        <f>IF(AND($A476&lt;&gt;"",$B476&lt;&gt;"",$R476='تقرير فبراير'!$C$4,$P476='تقرير فبراير'!$C$6),COUNT(AB$4:AB475)+1,"")</f>
        <v/>
      </c>
      <c r="AC476">
        <f>IF(AND($A476&lt;&gt;"",$B476&lt;&gt;"",$R476='تقرير مارس'!$C$4,$P476='تقرير مارس'!$C$6),COUNT(AC$4:AC475)+1,"")</f>
        <v/>
      </c>
      <c r="AD476">
        <f>IF(AND($A476&lt;&gt;"",$B476&lt;&gt;"",$R476='تقرير أبريل'!$C$4,$P476='تقرير أبريل'!$C$6),COUNT(AD$4:AD475)+1,"")</f>
        <v/>
      </c>
      <c r="AE476">
        <f>IF(AND($A476&lt;&gt;"",$B476&lt;&gt;"",$R476='تقرير مايو'!$C$4,$P476='تقرير مايو'!$C$6),COUNT(AE$4:AE475)+1,"")</f>
        <v/>
      </c>
    </row>
    <row r="477">
      <c r="A477" s="16" t="n"/>
      <c r="B477" s="17" t="n"/>
      <c r="C477" s="17" t="n"/>
      <c r="D477" s="18" t="n"/>
      <c r="E477" s="17" t="n"/>
      <c r="F477" s="17" t="n"/>
      <c r="G477" s="19" t="n"/>
      <c r="H477" s="17" t="n"/>
      <c r="I477" s="17" t="n"/>
      <c r="J477" s="17" t="n"/>
      <c r="K477" s="20">
        <f>IF($B477="","",IFERROR(INDEX(الموظفات!$A$5:$A$304,MATCH($B477,الموظفات!$B$5:$B$304,0))&amp;"",""))</f>
        <v/>
      </c>
      <c r="L477" s="21">
        <f>IF($B477="","",IFERROR(INDEX(الموظفات!$C$5:$C$304,MATCH($B477,الموظفات!$B$5:$B$304,0))&amp;"",""))</f>
        <v/>
      </c>
      <c r="M477" s="20">
        <f>IF($B477="","",IFERROR(INDEX(الموظفات!$D$5:$D$304,MATCH($B477,الموظفات!$B$5:$B$304,0))&amp;"",""))</f>
        <v/>
      </c>
      <c r="N477" s="20">
        <f>IF($B477="","",IFERROR(INDEX(الموظفات!$E$5:$E$304,MATCH($B477,الموظفات!$B$5:$B$304,0))&amp;"",""))</f>
        <v/>
      </c>
      <c r="O477" s="21">
        <f>IF(C477="","",IFERROR(INDEX(الإعدادات!$D$7:$D$35,MATCH(C477,الإعدادات!$A$7:$A$35,0))&amp;"",""))</f>
        <v/>
      </c>
      <c r="P477" s="20">
        <f>IF(A477="","",INDEX(الإعدادات!$H$7:$H$18,MONTH(A477)))</f>
        <v/>
      </c>
      <c r="Q477" s="20">
        <f>IF(A477="","",INDEX(الإعدادات!$I$7:$I$18,MONTH(A477)))</f>
        <v/>
      </c>
      <c r="R477" s="20">
        <f>IF(A477="","",IF(MONTH(A477)&gt;=8,YEAR(A477)&amp;"-"&amp;(YEAR(A477)+1),(YEAR(A477)-1)&amp;"-"&amp;YEAR(A477)))</f>
        <v/>
      </c>
      <c r="S477" s="20">
        <f>IF(OR(A477="",B477=""),0,IF(AND(R477=التقارير!$C$4,OR(التقارير!$C$5="سنوي",AND(التقارير!$C$5="شهري",P477=التقارير!$C$6),AND(التقارير!$C$5="فصلي",Q477=التقارير!$C$7))),1,0))</f>
        <v/>
      </c>
      <c r="T477" s="20">
        <f>IF(S477=1,COUNTIF($S$5:S477,1),"")</f>
        <v/>
      </c>
      <c r="U477">
        <f>IF(AND($A477&lt;&gt;"",$B477&lt;&gt;"",$R477='تقرير الفصل الأول'!$C$4,$Q477='تقرير الفصل الأول'!$C$7),COUNT(U$4:U476)+1,"")</f>
        <v/>
      </c>
      <c r="V477">
        <f>IF(AND($A477&lt;&gt;"",$B477&lt;&gt;"",$R477='تقرير الفصل الثاني'!$C$4,$Q477='تقرير الفصل الثاني'!$C$7),COUNT(V$4:V476)+1,"")</f>
        <v/>
      </c>
      <c r="W477">
        <f>IF(AND($A477&lt;&gt;"",$B477&lt;&gt;"",$R477='تقرير سبتمبر'!$C$4,$P477='تقرير سبتمبر'!$C$6),COUNT(W$4:W476)+1,"")</f>
        <v/>
      </c>
      <c r="X477">
        <f>IF(AND($A477&lt;&gt;"",$B477&lt;&gt;"",$R477='تقرير أكتوبر'!$C$4,$P477='تقرير أكتوبر'!$C$6),COUNT(X$4:X476)+1,"")</f>
        <v/>
      </c>
      <c r="Y477">
        <f>IF(AND($A477&lt;&gt;"",$B477&lt;&gt;"",$R477='تقرير نوفمبر'!$C$4,$P477='تقرير نوفمبر'!$C$6),COUNT(Y$4:Y476)+1,"")</f>
        <v/>
      </c>
      <c r="Z477">
        <f>IF(AND($A477&lt;&gt;"",$B477&lt;&gt;"",$R477='تقرير ديسمبر'!$C$4,$P477='تقرير ديسمبر'!$C$6),COUNT(Z$4:Z476)+1,"")</f>
        <v/>
      </c>
      <c r="AA477">
        <f>IF(AND($A477&lt;&gt;"",$B477&lt;&gt;"",$R477='تقرير يناير'!$C$4,$P477='تقرير يناير'!$C$6),COUNT(AA$4:AA476)+1,"")</f>
        <v/>
      </c>
      <c r="AB477">
        <f>IF(AND($A477&lt;&gt;"",$B477&lt;&gt;"",$R477='تقرير فبراير'!$C$4,$P477='تقرير فبراير'!$C$6),COUNT(AB$4:AB476)+1,"")</f>
        <v/>
      </c>
      <c r="AC477">
        <f>IF(AND($A477&lt;&gt;"",$B477&lt;&gt;"",$R477='تقرير مارس'!$C$4,$P477='تقرير مارس'!$C$6),COUNT(AC$4:AC476)+1,"")</f>
        <v/>
      </c>
      <c r="AD477">
        <f>IF(AND($A477&lt;&gt;"",$B477&lt;&gt;"",$R477='تقرير أبريل'!$C$4,$P477='تقرير أبريل'!$C$6),COUNT(AD$4:AD476)+1,"")</f>
        <v/>
      </c>
      <c r="AE477">
        <f>IF(AND($A477&lt;&gt;"",$B477&lt;&gt;"",$R477='تقرير مايو'!$C$4,$P477='تقرير مايو'!$C$6),COUNT(AE$4:AE476)+1,"")</f>
        <v/>
      </c>
    </row>
    <row r="478">
      <c r="A478" s="16" t="n"/>
      <c r="B478" s="17" t="n"/>
      <c r="C478" s="17" t="n"/>
      <c r="D478" s="18" t="n"/>
      <c r="E478" s="17" t="n"/>
      <c r="F478" s="17" t="n"/>
      <c r="G478" s="19" t="n"/>
      <c r="H478" s="17" t="n"/>
      <c r="I478" s="17" t="n"/>
      <c r="J478" s="17" t="n"/>
      <c r="K478" s="20">
        <f>IF($B478="","",IFERROR(INDEX(الموظفات!$A$5:$A$304,MATCH($B478,الموظفات!$B$5:$B$304,0))&amp;"",""))</f>
        <v/>
      </c>
      <c r="L478" s="21">
        <f>IF($B478="","",IFERROR(INDEX(الموظفات!$C$5:$C$304,MATCH($B478,الموظفات!$B$5:$B$304,0))&amp;"",""))</f>
        <v/>
      </c>
      <c r="M478" s="20">
        <f>IF($B478="","",IFERROR(INDEX(الموظفات!$D$5:$D$304,MATCH($B478,الموظفات!$B$5:$B$304,0))&amp;"",""))</f>
        <v/>
      </c>
      <c r="N478" s="20">
        <f>IF($B478="","",IFERROR(INDEX(الموظفات!$E$5:$E$304,MATCH($B478,الموظفات!$B$5:$B$304,0))&amp;"",""))</f>
        <v/>
      </c>
      <c r="O478" s="21">
        <f>IF(C478="","",IFERROR(INDEX(الإعدادات!$D$7:$D$35,MATCH(C478,الإعدادات!$A$7:$A$35,0))&amp;"",""))</f>
        <v/>
      </c>
      <c r="P478" s="20">
        <f>IF(A478="","",INDEX(الإعدادات!$H$7:$H$18,MONTH(A478)))</f>
        <v/>
      </c>
      <c r="Q478" s="20">
        <f>IF(A478="","",INDEX(الإعدادات!$I$7:$I$18,MONTH(A478)))</f>
        <v/>
      </c>
      <c r="R478" s="20">
        <f>IF(A478="","",IF(MONTH(A478)&gt;=8,YEAR(A478)&amp;"-"&amp;(YEAR(A478)+1),(YEAR(A478)-1)&amp;"-"&amp;YEAR(A478)))</f>
        <v/>
      </c>
      <c r="S478" s="20">
        <f>IF(OR(A478="",B478=""),0,IF(AND(R478=التقارير!$C$4,OR(التقارير!$C$5="سنوي",AND(التقارير!$C$5="شهري",P478=التقارير!$C$6),AND(التقارير!$C$5="فصلي",Q478=التقارير!$C$7))),1,0))</f>
        <v/>
      </c>
      <c r="T478" s="20">
        <f>IF(S478=1,COUNTIF($S$5:S478,1),"")</f>
        <v/>
      </c>
      <c r="U478">
        <f>IF(AND($A478&lt;&gt;"",$B478&lt;&gt;"",$R478='تقرير الفصل الأول'!$C$4,$Q478='تقرير الفصل الأول'!$C$7),COUNT(U$4:U477)+1,"")</f>
        <v/>
      </c>
      <c r="V478">
        <f>IF(AND($A478&lt;&gt;"",$B478&lt;&gt;"",$R478='تقرير الفصل الثاني'!$C$4,$Q478='تقرير الفصل الثاني'!$C$7),COUNT(V$4:V477)+1,"")</f>
        <v/>
      </c>
      <c r="W478">
        <f>IF(AND($A478&lt;&gt;"",$B478&lt;&gt;"",$R478='تقرير سبتمبر'!$C$4,$P478='تقرير سبتمبر'!$C$6),COUNT(W$4:W477)+1,"")</f>
        <v/>
      </c>
      <c r="X478">
        <f>IF(AND($A478&lt;&gt;"",$B478&lt;&gt;"",$R478='تقرير أكتوبر'!$C$4,$P478='تقرير أكتوبر'!$C$6),COUNT(X$4:X477)+1,"")</f>
        <v/>
      </c>
      <c r="Y478">
        <f>IF(AND($A478&lt;&gt;"",$B478&lt;&gt;"",$R478='تقرير نوفمبر'!$C$4,$P478='تقرير نوفمبر'!$C$6),COUNT(Y$4:Y477)+1,"")</f>
        <v/>
      </c>
      <c r="Z478">
        <f>IF(AND($A478&lt;&gt;"",$B478&lt;&gt;"",$R478='تقرير ديسمبر'!$C$4,$P478='تقرير ديسمبر'!$C$6),COUNT(Z$4:Z477)+1,"")</f>
        <v/>
      </c>
      <c r="AA478">
        <f>IF(AND($A478&lt;&gt;"",$B478&lt;&gt;"",$R478='تقرير يناير'!$C$4,$P478='تقرير يناير'!$C$6),COUNT(AA$4:AA477)+1,"")</f>
        <v/>
      </c>
      <c r="AB478">
        <f>IF(AND($A478&lt;&gt;"",$B478&lt;&gt;"",$R478='تقرير فبراير'!$C$4,$P478='تقرير فبراير'!$C$6),COUNT(AB$4:AB477)+1,"")</f>
        <v/>
      </c>
      <c r="AC478">
        <f>IF(AND($A478&lt;&gt;"",$B478&lt;&gt;"",$R478='تقرير مارس'!$C$4,$P478='تقرير مارس'!$C$6),COUNT(AC$4:AC477)+1,"")</f>
        <v/>
      </c>
      <c r="AD478">
        <f>IF(AND($A478&lt;&gt;"",$B478&lt;&gt;"",$R478='تقرير أبريل'!$C$4,$P478='تقرير أبريل'!$C$6),COUNT(AD$4:AD477)+1,"")</f>
        <v/>
      </c>
      <c r="AE478">
        <f>IF(AND($A478&lt;&gt;"",$B478&lt;&gt;"",$R478='تقرير مايو'!$C$4,$P478='تقرير مايو'!$C$6),COUNT(AE$4:AE477)+1,"")</f>
        <v/>
      </c>
    </row>
    <row r="479">
      <c r="A479" s="16" t="n"/>
      <c r="B479" s="17" t="n"/>
      <c r="C479" s="17" t="n"/>
      <c r="D479" s="18" t="n"/>
      <c r="E479" s="17" t="n"/>
      <c r="F479" s="17" t="n"/>
      <c r="G479" s="19" t="n"/>
      <c r="H479" s="17" t="n"/>
      <c r="I479" s="17" t="n"/>
      <c r="J479" s="17" t="n"/>
      <c r="K479" s="20">
        <f>IF($B479="","",IFERROR(INDEX(الموظفات!$A$5:$A$304,MATCH($B479,الموظفات!$B$5:$B$304,0))&amp;"",""))</f>
        <v/>
      </c>
      <c r="L479" s="21">
        <f>IF($B479="","",IFERROR(INDEX(الموظفات!$C$5:$C$304,MATCH($B479,الموظفات!$B$5:$B$304,0))&amp;"",""))</f>
        <v/>
      </c>
      <c r="M479" s="20">
        <f>IF($B479="","",IFERROR(INDEX(الموظفات!$D$5:$D$304,MATCH($B479,الموظفات!$B$5:$B$304,0))&amp;"",""))</f>
        <v/>
      </c>
      <c r="N479" s="20">
        <f>IF($B479="","",IFERROR(INDEX(الموظفات!$E$5:$E$304,MATCH($B479,الموظفات!$B$5:$B$304,0))&amp;"",""))</f>
        <v/>
      </c>
      <c r="O479" s="21">
        <f>IF(C479="","",IFERROR(INDEX(الإعدادات!$D$7:$D$35,MATCH(C479,الإعدادات!$A$7:$A$35,0))&amp;"",""))</f>
        <v/>
      </c>
      <c r="P479" s="20">
        <f>IF(A479="","",INDEX(الإعدادات!$H$7:$H$18,MONTH(A479)))</f>
        <v/>
      </c>
      <c r="Q479" s="20">
        <f>IF(A479="","",INDEX(الإعدادات!$I$7:$I$18,MONTH(A479)))</f>
        <v/>
      </c>
      <c r="R479" s="20">
        <f>IF(A479="","",IF(MONTH(A479)&gt;=8,YEAR(A479)&amp;"-"&amp;(YEAR(A479)+1),(YEAR(A479)-1)&amp;"-"&amp;YEAR(A479)))</f>
        <v/>
      </c>
      <c r="S479" s="20">
        <f>IF(OR(A479="",B479=""),0,IF(AND(R479=التقارير!$C$4,OR(التقارير!$C$5="سنوي",AND(التقارير!$C$5="شهري",P479=التقارير!$C$6),AND(التقارير!$C$5="فصلي",Q479=التقارير!$C$7))),1,0))</f>
        <v/>
      </c>
      <c r="T479" s="20">
        <f>IF(S479=1,COUNTIF($S$5:S479,1),"")</f>
        <v/>
      </c>
      <c r="U479">
        <f>IF(AND($A479&lt;&gt;"",$B479&lt;&gt;"",$R479='تقرير الفصل الأول'!$C$4,$Q479='تقرير الفصل الأول'!$C$7),COUNT(U$4:U478)+1,"")</f>
        <v/>
      </c>
      <c r="V479">
        <f>IF(AND($A479&lt;&gt;"",$B479&lt;&gt;"",$R479='تقرير الفصل الثاني'!$C$4,$Q479='تقرير الفصل الثاني'!$C$7),COUNT(V$4:V478)+1,"")</f>
        <v/>
      </c>
      <c r="W479">
        <f>IF(AND($A479&lt;&gt;"",$B479&lt;&gt;"",$R479='تقرير سبتمبر'!$C$4,$P479='تقرير سبتمبر'!$C$6),COUNT(W$4:W478)+1,"")</f>
        <v/>
      </c>
      <c r="X479">
        <f>IF(AND($A479&lt;&gt;"",$B479&lt;&gt;"",$R479='تقرير أكتوبر'!$C$4,$P479='تقرير أكتوبر'!$C$6),COUNT(X$4:X478)+1,"")</f>
        <v/>
      </c>
      <c r="Y479">
        <f>IF(AND($A479&lt;&gt;"",$B479&lt;&gt;"",$R479='تقرير نوفمبر'!$C$4,$P479='تقرير نوفمبر'!$C$6),COUNT(Y$4:Y478)+1,"")</f>
        <v/>
      </c>
      <c r="Z479">
        <f>IF(AND($A479&lt;&gt;"",$B479&lt;&gt;"",$R479='تقرير ديسمبر'!$C$4,$P479='تقرير ديسمبر'!$C$6),COUNT(Z$4:Z478)+1,"")</f>
        <v/>
      </c>
      <c r="AA479">
        <f>IF(AND($A479&lt;&gt;"",$B479&lt;&gt;"",$R479='تقرير يناير'!$C$4,$P479='تقرير يناير'!$C$6),COUNT(AA$4:AA478)+1,"")</f>
        <v/>
      </c>
      <c r="AB479">
        <f>IF(AND($A479&lt;&gt;"",$B479&lt;&gt;"",$R479='تقرير فبراير'!$C$4,$P479='تقرير فبراير'!$C$6),COUNT(AB$4:AB478)+1,"")</f>
        <v/>
      </c>
      <c r="AC479">
        <f>IF(AND($A479&lt;&gt;"",$B479&lt;&gt;"",$R479='تقرير مارس'!$C$4,$P479='تقرير مارس'!$C$6),COUNT(AC$4:AC478)+1,"")</f>
        <v/>
      </c>
      <c r="AD479">
        <f>IF(AND($A479&lt;&gt;"",$B479&lt;&gt;"",$R479='تقرير أبريل'!$C$4,$P479='تقرير أبريل'!$C$6),COUNT(AD$4:AD478)+1,"")</f>
        <v/>
      </c>
      <c r="AE479">
        <f>IF(AND($A479&lt;&gt;"",$B479&lt;&gt;"",$R479='تقرير مايو'!$C$4,$P479='تقرير مايو'!$C$6),COUNT(AE$4:AE478)+1,"")</f>
        <v/>
      </c>
    </row>
    <row r="480">
      <c r="A480" s="16" t="n"/>
      <c r="B480" s="17" t="n"/>
      <c r="C480" s="17" t="n"/>
      <c r="D480" s="18" t="n"/>
      <c r="E480" s="17" t="n"/>
      <c r="F480" s="17" t="n"/>
      <c r="G480" s="19" t="n"/>
      <c r="H480" s="17" t="n"/>
      <c r="I480" s="17" t="n"/>
      <c r="J480" s="17" t="n"/>
      <c r="K480" s="20">
        <f>IF($B480="","",IFERROR(INDEX(الموظفات!$A$5:$A$304,MATCH($B480,الموظفات!$B$5:$B$304,0))&amp;"",""))</f>
        <v/>
      </c>
      <c r="L480" s="21">
        <f>IF($B480="","",IFERROR(INDEX(الموظفات!$C$5:$C$304,MATCH($B480,الموظفات!$B$5:$B$304,0))&amp;"",""))</f>
        <v/>
      </c>
      <c r="M480" s="20">
        <f>IF($B480="","",IFERROR(INDEX(الموظفات!$D$5:$D$304,MATCH($B480,الموظفات!$B$5:$B$304,0))&amp;"",""))</f>
        <v/>
      </c>
      <c r="N480" s="20">
        <f>IF($B480="","",IFERROR(INDEX(الموظفات!$E$5:$E$304,MATCH($B480,الموظفات!$B$5:$B$304,0))&amp;"",""))</f>
        <v/>
      </c>
      <c r="O480" s="21">
        <f>IF(C480="","",IFERROR(INDEX(الإعدادات!$D$7:$D$35,MATCH(C480,الإعدادات!$A$7:$A$35,0))&amp;"",""))</f>
        <v/>
      </c>
      <c r="P480" s="20">
        <f>IF(A480="","",INDEX(الإعدادات!$H$7:$H$18,MONTH(A480)))</f>
        <v/>
      </c>
      <c r="Q480" s="20">
        <f>IF(A480="","",INDEX(الإعدادات!$I$7:$I$18,MONTH(A480)))</f>
        <v/>
      </c>
      <c r="R480" s="20">
        <f>IF(A480="","",IF(MONTH(A480)&gt;=8,YEAR(A480)&amp;"-"&amp;(YEAR(A480)+1),(YEAR(A480)-1)&amp;"-"&amp;YEAR(A480)))</f>
        <v/>
      </c>
      <c r="S480" s="20">
        <f>IF(OR(A480="",B480=""),0,IF(AND(R480=التقارير!$C$4,OR(التقارير!$C$5="سنوي",AND(التقارير!$C$5="شهري",P480=التقارير!$C$6),AND(التقارير!$C$5="فصلي",Q480=التقارير!$C$7))),1,0))</f>
        <v/>
      </c>
      <c r="T480" s="20">
        <f>IF(S480=1,COUNTIF($S$5:S480,1),"")</f>
        <v/>
      </c>
      <c r="U480">
        <f>IF(AND($A480&lt;&gt;"",$B480&lt;&gt;"",$R480='تقرير الفصل الأول'!$C$4,$Q480='تقرير الفصل الأول'!$C$7),COUNT(U$4:U479)+1,"")</f>
        <v/>
      </c>
      <c r="V480">
        <f>IF(AND($A480&lt;&gt;"",$B480&lt;&gt;"",$R480='تقرير الفصل الثاني'!$C$4,$Q480='تقرير الفصل الثاني'!$C$7),COUNT(V$4:V479)+1,"")</f>
        <v/>
      </c>
      <c r="W480">
        <f>IF(AND($A480&lt;&gt;"",$B480&lt;&gt;"",$R480='تقرير سبتمبر'!$C$4,$P480='تقرير سبتمبر'!$C$6),COUNT(W$4:W479)+1,"")</f>
        <v/>
      </c>
      <c r="X480">
        <f>IF(AND($A480&lt;&gt;"",$B480&lt;&gt;"",$R480='تقرير أكتوبر'!$C$4,$P480='تقرير أكتوبر'!$C$6),COUNT(X$4:X479)+1,"")</f>
        <v/>
      </c>
      <c r="Y480">
        <f>IF(AND($A480&lt;&gt;"",$B480&lt;&gt;"",$R480='تقرير نوفمبر'!$C$4,$P480='تقرير نوفمبر'!$C$6),COUNT(Y$4:Y479)+1,"")</f>
        <v/>
      </c>
      <c r="Z480">
        <f>IF(AND($A480&lt;&gt;"",$B480&lt;&gt;"",$R480='تقرير ديسمبر'!$C$4,$P480='تقرير ديسمبر'!$C$6),COUNT(Z$4:Z479)+1,"")</f>
        <v/>
      </c>
      <c r="AA480">
        <f>IF(AND($A480&lt;&gt;"",$B480&lt;&gt;"",$R480='تقرير يناير'!$C$4,$P480='تقرير يناير'!$C$6),COUNT(AA$4:AA479)+1,"")</f>
        <v/>
      </c>
      <c r="AB480">
        <f>IF(AND($A480&lt;&gt;"",$B480&lt;&gt;"",$R480='تقرير فبراير'!$C$4,$P480='تقرير فبراير'!$C$6),COUNT(AB$4:AB479)+1,"")</f>
        <v/>
      </c>
      <c r="AC480">
        <f>IF(AND($A480&lt;&gt;"",$B480&lt;&gt;"",$R480='تقرير مارس'!$C$4,$P480='تقرير مارس'!$C$6),COUNT(AC$4:AC479)+1,"")</f>
        <v/>
      </c>
      <c r="AD480">
        <f>IF(AND($A480&lt;&gt;"",$B480&lt;&gt;"",$R480='تقرير أبريل'!$C$4,$P480='تقرير أبريل'!$C$6),COUNT(AD$4:AD479)+1,"")</f>
        <v/>
      </c>
      <c r="AE480">
        <f>IF(AND($A480&lt;&gt;"",$B480&lt;&gt;"",$R480='تقرير مايو'!$C$4,$P480='تقرير مايو'!$C$6),COUNT(AE$4:AE479)+1,"")</f>
        <v/>
      </c>
    </row>
    <row r="481">
      <c r="A481" s="16" t="n"/>
      <c r="B481" s="17" t="n"/>
      <c r="C481" s="17" t="n"/>
      <c r="D481" s="18" t="n"/>
      <c r="E481" s="17" t="n"/>
      <c r="F481" s="17" t="n"/>
      <c r="G481" s="19" t="n"/>
      <c r="H481" s="17" t="n"/>
      <c r="I481" s="17" t="n"/>
      <c r="J481" s="17" t="n"/>
      <c r="K481" s="20">
        <f>IF($B481="","",IFERROR(INDEX(الموظفات!$A$5:$A$304,MATCH($B481,الموظفات!$B$5:$B$304,0))&amp;"",""))</f>
        <v/>
      </c>
      <c r="L481" s="21">
        <f>IF($B481="","",IFERROR(INDEX(الموظفات!$C$5:$C$304,MATCH($B481,الموظفات!$B$5:$B$304,0))&amp;"",""))</f>
        <v/>
      </c>
      <c r="M481" s="20">
        <f>IF($B481="","",IFERROR(INDEX(الموظفات!$D$5:$D$304,MATCH($B481,الموظفات!$B$5:$B$304,0))&amp;"",""))</f>
        <v/>
      </c>
      <c r="N481" s="20">
        <f>IF($B481="","",IFERROR(INDEX(الموظفات!$E$5:$E$304,MATCH($B481,الموظفات!$B$5:$B$304,0))&amp;"",""))</f>
        <v/>
      </c>
      <c r="O481" s="21">
        <f>IF(C481="","",IFERROR(INDEX(الإعدادات!$D$7:$D$35,MATCH(C481,الإعدادات!$A$7:$A$35,0))&amp;"",""))</f>
        <v/>
      </c>
      <c r="P481" s="20">
        <f>IF(A481="","",INDEX(الإعدادات!$H$7:$H$18,MONTH(A481)))</f>
        <v/>
      </c>
      <c r="Q481" s="20">
        <f>IF(A481="","",INDEX(الإعدادات!$I$7:$I$18,MONTH(A481)))</f>
        <v/>
      </c>
      <c r="R481" s="20">
        <f>IF(A481="","",IF(MONTH(A481)&gt;=8,YEAR(A481)&amp;"-"&amp;(YEAR(A481)+1),(YEAR(A481)-1)&amp;"-"&amp;YEAR(A481)))</f>
        <v/>
      </c>
      <c r="S481" s="20">
        <f>IF(OR(A481="",B481=""),0,IF(AND(R481=التقارير!$C$4,OR(التقارير!$C$5="سنوي",AND(التقارير!$C$5="شهري",P481=التقارير!$C$6),AND(التقارير!$C$5="فصلي",Q481=التقارير!$C$7))),1,0))</f>
        <v/>
      </c>
      <c r="T481" s="20">
        <f>IF(S481=1,COUNTIF($S$5:S481,1),"")</f>
        <v/>
      </c>
      <c r="U481">
        <f>IF(AND($A481&lt;&gt;"",$B481&lt;&gt;"",$R481='تقرير الفصل الأول'!$C$4,$Q481='تقرير الفصل الأول'!$C$7),COUNT(U$4:U480)+1,"")</f>
        <v/>
      </c>
      <c r="V481">
        <f>IF(AND($A481&lt;&gt;"",$B481&lt;&gt;"",$R481='تقرير الفصل الثاني'!$C$4,$Q481='تقرير الفصل الثاني'!$C$7),COUNT(V$4:V480)+1,"")</f>
        <v/>
      </c>
      <c r="W481">
        <f>IF(AND($A481&lt;&gt;"",$B481&lt;&gt;"",$R481='تقرير سبتمبر'!$C$4,$P481='تقرير سبتمبر'!$C$6),COUNT(W$4:W480)+1,"")</f>
        <v/>
      </c>
      <c r="X481">
        <f>IF(AND($A481&lt;&gt;"",$B481&lt;&gt;"",$R481='تقرير أكتوبر'!$C$4,$P481='تقرير أكتوبر'!$C$6),COUNT(X$4:X480)+1,"")</f>
        <v/>
      </c>
      <c r="Y481">
        <f>IF(AND($A481&lt;&gt;"",$B481&lt;&gt;"",$R481='تقرير نوفمبر'!$C$4,$P481='تقرير نوفمبر'!$C$6),COUNT(Y$4:Y480)+1,"")</f>
        <v/>
      </c>
      <c r="Z481">
        <f>IF(AND($A481&lt;&gt;"",$B481&lt;&gt;"",$R481='تقرير ديسمبر'!$C$4,$P481='تقرير ديسمبر'!$C$6),COUNT(Z$4:Z480)+1,"")</f>
        <v/>
      </c>
      <c r="AA481">
        <f>IF(AND($A481&lt;&gt;"",$B481&lt;&gt;"",$R481='تقرير يناير'!$C$4,$P481='تقرير يناير'!$C$6),COUNT(AA$4:AA480)+1,"")</f>
        <v/>
      </c>
      <c r="AB481">
        <f>IF(AND($A481&lt;&gt;"",$B481&lt;&gt;"",$R481='تقرير فبراير'!$C$4,$P481='تقرير فبراير'!$C$6),COUNT(AB$4:AB480)+1,"")</f>
        <v/>
      </c>
      <c r="AC481">
        <f>IF(AND($A481&lt;&gt;"",$B481&lt;&gt;"",$R481='تقرير مارس'!$C$4,$P481='تقرير مارس'!$C$6),COUNT(AC$4:AC480)+1,"")</f>
        <v/>
      </c>
      <c r="AD481">
        <f>IF(AND($A481&lt;&gt;"",$B481&lt;&gt;"",$R481='تقرير أبريل'!$C$4,$P481='تقرير أبريل'!$C$6),COUNT(AD$4:AD480)+1,"")</f>
        <v/>
      </c>
      <c r="AE481">
        <f>IF(AND($A481&lt;&gt;"",$B481&lt;&gt;"",$R481='تقرير مايو'!$C$4,$P481='تقرير مايو'!$C$6),COUNT(AE$4:AE480)+1,"")</f>
        <v/>
      </c>
    </row>
    <row r="482">
      <c r="A482" s="16" t="n"/>
      <c r="B482" s="17" t="n"/>
      <c r="C482" s="17" t="n"/>
      <c r="D482" s="18" t="n"/>
      <c r="E482" s="17" t="n"/>
      <c r="F482" s="17" t="n"/>
      <c r="G482" s="19" t="n"/>
      <c r="H482" s="17" t="n"/>
      <c r="I482" s="17" t="n"/>
      <c r="J482" s="17" t="n"/>
      <c r="K482" s="20">
        <f>IF($B482="","",IFERROR(INDEX(الموظفات!$A$5:$A$304,MATCH($B482,الموظفات!$B$5:$B$304,0))&amp;"",""))</f>
        <v/>
      </c>
      <c r="L482" s="21">
        <f>IF($B482="","",IFERROR(INDEX(الموظفات!$C$5:$C$304,MATCH($B482,الموظفات!$B$5:$B$304,0))&amp;"",""))</f>
        <v/>
      </c>
      <c r="M482" s="20">
        <f>IF($B482="","",IFERROR(INDEX(الموظفات!$D$5:$D$304,MATCH($B482,الموظفات!$B$5:$B$304,0))&amp;"",""))</f>
        <v/>
      </c>
      <c r="N482" s="20">
        <f>IF($B482="","",IFERROR(INDEX(الموظفات!$E$5:$E$304,MATCH($B482,الموظفات!$B$5:$B$304,0))&amp;"",""))</f>
        <v/>
      </c>
      <c r="O482" s="21">
        <f>IF(C482="","",IFERROR(INDEX(الإعدادات!$D$7:$D$35,MATCH(C482,الإعدادات!$A$7:$A$35,0))&amp;"",""))</f>
        <v/>
      </c>
      <c r="P482" s="20">
        <f>IF(A482="","",INDEX(الإعدادات!$H$7:$H$18,MONTH(A482)))</f>
        <v/>
      </c>
      <c r="Q482" s="20">
        <f>IF(A482="","",INDEX(الإعدادات!$I$7:$I$18,MONTH(A482)))</f>
        <v/>
      </c>
      <c r="R482" s="20">
        <f>IF(A482="","",IF(MONTH(A482)&gt;=8,YEAR(A482)&amp;"-"&amp;(YEAR(A482)+1),(YEAR(A482)-1)&amp;"-"&amp;YEAR(A482)))</f>
        <v/>
      </c>
      <c r="S482" s="20">
        <f>IF(OR(A482="",B482=""),0,IF(AND(R482=التقارير!$C$4,OR(التقارير!$C$5="سنوي",AND(التقارير!$C$5="شهري",P482=التقارير!$C$6),AND(التقارير!$C$5="فصلي",Q482=التقارير!$C$7))),1,0))</f>
        <v/>
      </c>
      <c r="T482" s="20">
        <f>IF(S482=1,COUNTIF($S$5:S482,1),"")</f>
        <v/>
      </c>
      <c r="U482">
        <f>IF(AND($A482&lt;&gt;"",$B482&lt;&gt;"",$R482='تقرير الفصل الأول'!$C$4,$Q482='تقرير الفصل الأول'!$C$7),COUNT(U$4:U481)+1,"")</f>
        <v/>
      </c>
      <c r="V482">
        <f>IF(AND($A482&lt;&gt;"",$B482&lt;&gt;"",$R482='تقرير الفصل الثاني'!$C$4,$Q482='تقرير الفصل الثاني'!$C$7),COUNT(V$4:V481)+1,"")</f>
        <v/>
      </c>
      <c r="W482">
        <f>IF(AND($A482&lt;&gt;"",$B482&lt;&gt;"",$R482='تقرير سبتمبر'!$C$4,$P482='تقرير سبتمبر'!$C$6),COUNT(W$4:W481)+1,"")</f>
        <v/>
      </c>
      <c r="X482">
        <f>IF(AND($A482&lt;&gt;"",$B482&lt;&gt;"",$R482='تقرير أكتوبر'!$C$4,$P482='تقرير أكتوبر'!$C$6),COUNT(X$4:X481)+1,"")</f>
        <v/>
      </c>
      <c r="Y482">
        <f>IF(AND($A482&lt;&gt;"",$B482&lt;&gt;"",$R482='تقرير نوفمبر'!$C$4,$P482='تقرير نوفمبر'!$C$6),COUNT(Y$4:Y481)+1,"")</f>
        <v/>
      </c>
      <c r="Z482">
        <f>IF(AND($A482&lt;&gt;"",$B482&lt;&gt;"",$R482='تقرير ديسمبر'!$C$4,$P482='تقرير ديسمبر'!$C$6),COUNT(Z$4:Z481)+1,"")</f>
        <v/>
      </c>
      <c r="AA482">
        <f>IF(AND($A482&lt;&gt;"",$B482&lt;&gt;"",$R482='تقرير يناير'!$C$4,$P482='تقرير يناير'!$C$6),COUNT(AA$4:AA481)+1,"")</f>
        <v/>
      </c>
      <c r="AB482">
        <f>IF(AND($A482&lt;&gt;"",$B482&lt;&gt;"",$R482='تقرير فبراير'!$C$4,$P482='تقرير فبراير'!$C$6),COUNT(AB$4:AB481)+1,"")</f>
        <v/>
      </c>
      <c r="AC482">
        <f>IF(AND($A482&lt;&gt;"",$B482&lt;&gt;"",$R482='تقرير مارس'!$C$4,$P482='تقرير مارس'!$C$6),COUNT(AC$4:AC481)+1,"")</f>
        <v/>
      </c>
      <c r="AD482">
        <f>IF(AND($A482&lt;&gt;"",$B482&lt;&gt;"",$R482='تقرير أبريل'!$C$4,$P482='تقرير أبريل'!$C$6),COUNT(AD$4:AD481)+1,"")</f>
        <v/>
      </c>
      <c r="AE482">
        <f>IF(AND($A482&lt;&gt;"",$B482&lt;&gt;"",$R482='تقرير مايو'!$C$4,$P482='تقرير مايو'!$C$6),COUNT(AE$4:AE481)+1,"")</f>
        <v/>
      </c>
    </row>
    <row r="483">
      <c r="A483" s="16" t="n"/>
      <c r="B483" s="17" t="n"/>
      <c r="C483" s="17" t="n"/>
      <c r="D483" s="18" t="n"/>
      <c r="E483" s="17" t="n"/>
      <c r="F483" s="17" t="n"/>
      <c r="G483" s="19" t="n"/>
      <c r="H483" s="17" t="n"/>
      <c r="I483" s="17" t="n"/>
      <c r="J483" s="17" t="n"/>
      <c r="K483" s="20">
        <f>IF($B483="","",IFERROR(INDEX(الموظفات!$A$5:$A$304,MATCH($B483,الموظفات!$B$5:$B$304,0))&amp;"",""))</f>
        <v/>
      </c>
      <c r="L483" s="21">
        <f>IF($B483="","",IFERROR(INDEX(الموظفات!$C$5:$C$304,MATCH($B483,الموظفات!$B$5:$B$304,0))&amp;"",""))</f>
        <v/>
      </c>
      <c r="M483" s="20">
        <f>IF($B483="","",IFERROR(INDEX(الموظفات!$D$5:$D$304,MATCH($B483,الموظفات!$B$5:$B$304,0))&amp;"",""))</f>
        <v/>
      </c>
      <c r="N483" s="20">
        <f>IF($B483="","",IFERROR(INDEX(الموظفات!$E$5:$E$304,MATCH($B483,الموظفات!$B$5:$B$304,0))&amp;"",""))</f>
        <v/>
      </c>
      <c r="O483" s="21">
        <f>IF(C483="","",IFERROR(INDEX(الإعدادات!$D$7:$D$35,MATCH(C483,الإعدادات!$A$7:$A$35,0))&amp;"",""))</f>
        <v/>
      </c>
      <c r="P483" s="20">
        <f>IF(A483="","",INDEX(الإعدادات!$H$7:$H$18,MONTH(A483)))</f>
        <v/>
      </c>
      <c r="Q483" s="20">
        <f>IF(A483="","",INDEX(الإعدادات!$I$7:$I$18,MONTH(A483)))</f>
        <v/>
      </c>
      <c r="R483" s="20">
        <f>IF(A483="","",IF(MONTH(A483)&gt;=8,YEAR(A483)&amp;"-"&amp;(YEAR(A483)+1),(YEAR(A483)-1)&amp;"-"&amp;YEAR(A483)))</f>
        <v/>
      </c>
      <c r="S483" s="20">
        <f>IF(OR(A483="",B483=""),0,IF(AND(R483=التقارير!$C$4,OR(التقارير!$C$5="سنوي",AND(التقارير!$C$5="شهري",P483=التقارير!$C$6),AND(التقارير!$C$5="فصلي",Q483=التقارير!$C$7))),1,0))</f>
        <v/>
      </c>
      <c r="T483" s="20">
        <f>IF(S483=1,COUNTIF($S$5:S483,1),"")</f>
        <v/>
      </c>
      <c r="U483">
        <f>IF(AND($A483&lt;&gt;"",$B483&lt;&gt;"",$R483='تقرير الفصل الأول'!$C$4,$Q483='تقرير الفصل الأول'!$C$7),COUNT(U$4:U482)+1,"")</f>
        <v/>
      </c>
      <c r="V483">
        <f>IF(AND($A483&lt;&gt;"",$B483&lt;&gt;"",$R483='تقرير الفصل الثاني'!$C$4,$Q483='تقرير الفصل الثاني'!$C$7),COUNT(V$4:V482)+1,"")</f>
        <v/>
      </c>
      <c r="W483">
        <f>IF(AND($A483&lt;&gt;"",$B483&lt;&gt;"",$R483='تقرير سبتمبر'!$C$4,$P483='تقرير سبتمبر'!$C$6),COUNT(W$4:W482)+1,"")</f>
        <v/>
      </c>
      <c r="X483">
        <f>IF(AND($A483&lt;&gt;"",$B483&lt;&gt;"",$R483='تقرير أكتوبر'!$C$4,$P483='تقرير أكتوبر'!$C$6),COUNT(X$4:X482)+1,"")</f>
        <v/>
      </c>
      <c r="Y483">
        <f>IF(AND($A483&lt;&gt;"",$B483&lt;&gt;"",$R483='تقرير نوفمبر'!$C$4,$P483='تقرير نوفمبر'!$C$6),COUNT(Y$4:Y482)+1,"")</f>
        <v/>
      </c>
      <c r="Z483">
        <f>IF(AND($A483&lt;&gt;"",$B483&lt;&gt;"",$R483='تقرير ديسمبر'!$C$4,$P483='تقرير ديسمبر'!$C$6),COUNT(Z$4:Z482)+1,"")</f>
        <v/>
      </c>
      <c r="AA483">
        <f>IF(AND($A483&lt;&gt;"",$B483&lt;&gt;"",$R483='تقرير يناير'!$C$4,$P483='تقرير يناير'!$C$6),COUNT(AA$4:AA482)+1,"")</f>
        <v/>
      </c>
      <c r="AB483">
        <f>IF(AND($A483&lt;&gt;"",$B483&lt;&gt;"",$R483='تقرير فبراير'!$C$4,$P483='تقرير فبراير'!$C$6),COUNT(AB$4:AB482)+1,"")</f>
        <v/>
      </c>
      <c r="AC483">
        <f>IF(AND($A483&lt;&gt;"",$B483&lt;&gt;"",$R483='تقرير مارس'!$C$4,$P483='تقرير مارس'!$C$6),COUNT(AC$4:AC482)+1,"")</f>
        <v/>
      </c>
      <c r="AD483">
        <f>IF(AND($A483&lt;&gt;"",$B483&lt;&gt;"",$R483='تقرير أبريل'!$C$4,$P483='تقرير أبريل'!$C$6),COUNT(AD$4:AD482)+1,"")</f>
        <v/>
      </c>
      <c r="AE483">
        <f>IF(AND($A483&lt;&gt;"",$B483&lt;&gt;"",$R483='تقرير مايو'!$C$4,$P483='تقرير مايو'!$C$6),COUNT(AE$4:AE482)+1,"")</f>
        <v/>
      </c>
    </row>
    <row r="484">
      <c r="A484" s="16" t="n"/>
      <c r="B484" s="17" t="n"/>
      <c r="C484" s="17" t="n"/>
      <c r="D484" s="18" t="n"/>
      <c r="E484" s="17" t="n"/>
      <c r="F484" s="17" t="n"/>
      <c r="G484" s="19" t="n"/>
      <c r="H484" s="17" t="n"/>
      <c r="I484" s="17" t="n"/>
      <c r="J484" s="17" t="n"/>
      <c r="K484" s="20">
        <f>IF($B484="","",IFERROR(INDEX(الموظفات!$A$5:$A$304,MATCH($B484,الموظفات!$B$5:$B$304,0))&amp;"",""))</f>
        <v/>
      </c>
      <c r="L484" s="21">
        <f>IF($B484="","",IFERROR(INDEX(الموظفات!$C$5:$C$304,MATCH($B484,الموظفات!$B$5:$B$304,0))&amp;"",""))</f>
        <v/>
      </c>
      <c r="M484" s="20">
        <f>IF($B484="","",IFERROR(INDEX(الموظفات!$D$5:$D$304,MATCH($B484,الموظفات!$B$5:$B$304,0))&amp;"",""))</f>
        <v/>
      </c>
      <c r="N484" s="20">
        <f>IF($B484="","",IFERROR(INDEX(الموظفات!$E$5:$E$304,MATCH($B484,الموظفات!$B$5:$B$304,0))&amp;"",""))</f>
        <v/>
      </c>
      <c r="O484" s="21">
        <f>IF(C484="","",IFERROR(INDEX(الإعدادات!$D$7:$D$35,MATCH(C484,الإعدادات!$A$7:$A$35,0))&amp;"",""))</f>
        <v/>
      </c>
      <c r="P484" s="20">
        <f>IF(A484="","",INDEX(الإعدادات!$H$7:$H$18,MONTH(A484)))</f>
        <v/>
      </c>
      <c r="Q484" s="20">
        <f>IF(A484="","",INDEX(الإعدادات!$I$7:$I$18,MONTH(A484)))</f>
        <v/>
      </c>
      <c r="R484" s="20">
        <f>IF(A484="","",IF(MONTH(A484)&gt;=8,YEAR(A484)&amp;"-"&amp;(YEAR(A484)+1),(YEAR(A484)-1)&amp;"-"&amp;YEAR(A484)))</f>
        <v/>
      </c>
      <c r="S484" s="20">
        <f>IF(OR(A484="",B484=""),0,IF(AND(R484=التقارير!$C$4,OR(التقارير!$C$5="سنوي",AND(التقارير!$C$5="شهري",P484=التقارير!$C$6),AND(التقارير!$C$5="فصلي",Q484=التقارير!$C$7))),1,0))</f>
        <v/>
      </c>
      <c r="T484" s="20">
        <f>IF(S484=1,COUNTIF($S$5:S484,1),"")</f>
        <v/>
      </c>
      <c r="U484">
        <f>IF(AND($A484&lt;&gt;"",$B484&lt;&gt;"",$R484='تقرير الفصل الأول'!$C$4,$Q484='تقرير الفصل الأول'!$C$7),COUNT(U$4:U483)+1,"")</f>
        <v/>
      </c>
      <c r="V484">
        <f>IF(AND($A484&lt;&gt;"",$B484&lt;&gt;"",$R484='تقرير الفصل الثاني'!$C$4,$Q484='تقرير الفصل الثاني'!$C$7),COUNT(V$4:V483)+1,"")</f>
        <v/>
      </c>
      <c r="W484">
        <f>IF(AND($A484&lt;&gt;"",$B484&lt;&gt;"",$R484='تقرير سبتمبر'!$C$4,$P484='تقرير سبتمبر'!$C$6),COUNT(W$4:W483)+1,"")</f>
        <v/>
      </c>
      <c r="X484">
        <f>IF(AND($A484&lt;&gt;"",$B484&lt;&gt;"",$R484='تقرير أكتوبر'!$C$4,$P484='تقرير أكتوبر'!$C$6),COUNT(X$4:X483)+1,"")</f>
        <v/>
      </c>
      <c r="Y484">
        <f>IF(AND($A484&lt;&gt;"",$B484&lt;&gt;"",$R484='تقرير نوفمبر'!$C$4,$P484='تقرير نوفمبر'!$C$6),COUNT(Y$4:Y483)+1,"")</f>
        <v/>
      </c>
      <c r="Z484">
        <f>IF(AND($A484&lt;&gt;"",$B484&lt;&gt;"",$R484='تقرير ديسمبر'!$C$4,$P484='تقرير ديسمبر'!$C$6),COUNT(Z$4:Z483)+1,"")</f>
        <v/>
      </c>
      <c r="AA484">
        <f>IF(AND($A484&lt;&gt;"",$B484&lt;&gt;"",$R484='تقرير يناير'!$C$4,$P484='تقرير يناير'!$C$6),COUNT(AA$4:AA483)+1,"")</f>
        <v/>
      </c>
      <c r="AB484">
        <f>IF(AND($A484&lt;&gt;"",$B484&lt;&gt;"",$R484='تقرير فبراير'!$C$4,$P484='تقرير فبراير'!$C$6),COUNT(AB$4:AB483)+1,"")</f>
        <v/>
      </c>
      <c r="AC484">
        <f>IF(AND($A484&lt;&gt;"",$B484&lt;&gt;"",$R484='تقرير مارس'!$C$4,$P484='تقرير مارس'!$C$6),COUNT(AC$4:AC483)+1,"")</f>
        <v/>
      </c>
      <c r="AD484">
        <f>IF(AND($A484&lt;&gt;"",$B484&lt;&gt;"",$R484='تقرير أبريل'!$C$4,$P484='تقرير أبريل'!$C$6),COUNT(AD$4:AD483)+1,"")</f>
        <v/>
      </c>
      <c r="AE484">
        <f>IF(AND($A484&lt;&gt;"",$B484&lt;&gt;"",$R484='تقرير مايو'!$C$4,$P484='تقرير مايو'!$C$6),COUNT(AE$4:AE483)+1,"")</f>
        <v/>
      </c>
    </row>
    <row r="485">
      <c r="A485" s="16" t="n"/>
      <c r="B485" s="17" t="n"/>
      <c r="C485" s="17" t="n"/>
      <c r="D485" s="18" t="n"/>
      <c r="E485" s="17" t="n"/>
      <c r="F485" s="17" t="n"/>
      <c r="G485" s="19" t="n"/>
      <c r="H485" s="17" t="n"/>
      <c r="I485" s="17" t="n"/>
      <c r="J485" s="17" t="n"/>
      <c r="K485" s="20">
        <f>IF($B485="","",IFERROR(INDEX(الموظفات!$A$5:$A$304,MATCH($B485,الموظفات!$B$5:$B$304,0))&amp;"",""))</f>
        <v/>
      </c>
      <c r="L485" s="21">
        <f>IF($B485="","",IFERROR(INDEX(الموظفات!$C$5:$C$304,MATCH($B485,الموظفات!$B$5:$B$304,0))&amp;"",""))</f>
        <v/>
      </c>
      <c r="M485" s="20">
        <f>IF($B485="","",IFERROR(INDEX(الموظفات!$D$5:$D$304,MATCH($B485,الموظفات!$B$5:$B$304,0))&amp;"",""))</f>
        <v/>
      </c>
      <c r="N485" s="20">
        <f>IF($B485="","",IFERROR(INDEX(الموظفات!$E$5:$E$304,MATCH($B485,الموظفات!$B$5:$B$304,0))&amp;"",""))</f>
        <v/>
      </c>
      <c r="O485" s="21">
        <f>IF(C485="","",IFERROR(INDEX(الإعدادات!$D$7:$D$35,MATCH(C485,الإعدادات!$A$7:$A$35,0))&amp;"",""))</f>
        <v/>
      </c>
      <c r="P485" s="20">
        <f>IF(A485="","",INDEX(الإعدادات!$H$7:$H$18,MONTH(A485)))</f>
        <v/>
      </c>
      <c r="Q485" s="20">
        <f>IF(A485="","",INDEX(الإعدادات!$I$7:$I$18,MONTH(A485)))</f>
        <v/>
      </c>
      <c r="R485" s="20">
        <f>IF(A485="","",IF(MONTH(A485)&gt;=8,YEAR(A485)&amp;"-"&amp;(YEAR(A485)+1),(YEAR(A485)-1)&amp;"-"&amp;YEAR(A485)))</f>
        <v/>
      </c>
      <c r="S485" s="20">
        <f>IF(OR(A485="",B485=""),0,IF(AND(R485=التقارير!$C$4,OR(التقارير!$C$5="سنوي",AND(التقارير!$C$5="شهري",P485=التقارير!$C$6),AND(التقارير!$C$5="فصلي",Q485=التقارير!$C$7))),1,0))</f>
        <v/>
      </c>
      <c r="T485" s="20">
        <f>IF(S485=1,COUNTIF($S$5:S485,1),"")</f>
        <v/>
      </c>
      <c r="U485">
        <f>IF(AND($A485&lt;&gt;"",$B485&lt;&gt;"",$R485='تقرير الفصل الأول'!$C$4,$Q485='تقرير الفصل الأول'!$C$7),COUNT(U$4:U484)+1,"")</f>
        <v/>
      </c>
      <c r="V485">
        <f>IF(AND($A485&lt;&gt;"",$B485&lt;&gt;"",$R485='تقرير الفصل الثاني'!$C$4,$Q485='تقرير الفصل الثاني'!$C$7),COUNT(V$4:V484)+1,"")</f>
        <v/>
      </c>
      <c r="W485">
        <f>IF(AND($A485&lt;&gt;"",$B485&lt;&gt;"",$R485='تقرير سبتمبر'!$C$4,$P485='تقرير سبتمبر'!$C$6),COUNT(W$4:W484)+1,"")</f>
        <v/>
      </c>
      <c r="X485">
        <f>IF(AND($A485&lt;&gt;"",$B485&lt;&gt;"",$R485='تقرير أكتوبر'!$C$4,$P485='تقرير أكتوبر'!$C$6),COUNT(X$4:X484)+1,"")</f>
        <v/>
      </c>
      <c r="Y485">
        <f>IF(AND($A485&lt;&gt;"",$B485&lt;&gt;"",$R485='تقرير نوفمبر'!$C$4,$P485='تقرير نوفمبر'!$C$6),COUNT(Y$4:Y484)+1,"")</f>
        <v/>
      </c>
      <c r="Z485">
        <f>IF(AND($A485&lt;&gt;"",$B485&lt;&gt;"",$R485='تقرير ديسمبر'!$C$4,$P485='تقرير ديسمبر'!$C$6),COUNT(Z$4:Z484)+1,"")</f>
        <v/>
      </c>
      <c r="AA485">
        <f>IF(AND($A485&lt;&gt;"",$B485&lt;&gt;"",$R485='تقرير يناير'!$C$4,$P485='تقرير يناير'!$C$6),COUNT(AA$4:AA484)+1,"")</f>
        <v/>
      </c>
      <c r="AB485">
        <f>IF(AND($A485&lt;&gt;"",$B485&lt;&gt;"",$R485='تقرير فبراير'!$C$4,$P485='تقرير فبراير'!$C$6),COUNT(AB$4:AB484)+1,"")</f>
        <v/>
      </c>
      <c r="AC485">
        <f>IF(AND($A485&lt;&gt;"",$B485&lt;&gt;"",$R485='تقرير مارس'!$C$4,$P485='تقرير مارس'!$C$6),COUNT(AC$4:AC484)+1,"")</f>
        <v/>
      </c>
      <c r="AD485">
        <f>IF(AND($A485&lt;&gt;"",$B485&lt;&gt;"",$R485='تقرير أبريل'!$C$4,$P485='تقرير أبريل'!$C$6),COUNT(AD$4:AD484)+1,"")</f>
        <v/>
      </c>
      <c r="AE485">
        <f>IF(AND($A485&lt;&gt;"",$B485&lt;&gt;"",$R485='تقرير مايو'!$C$4,$P485='تقرير مايو'!$C$6),COUNT(AE$4:AE484)+1,"")</f>
        <v/>
      </c>
    </row>
    <row r="486">
      <c r="A486" s="16" t="n"/>
      <c r="B486" s="17" t="n"/>
      <c r="C486" s="17" t="n"/>
      <c r="D486" s="18" t="n"/>
      <c r="E486" s="17" t="n"/>
      <c r="F486" s="17" t="n"/>
      <c r="G486" s="19" t="n"/>
      <c r="H486" s="17" t="n"/>
      <c r="I486" s="17" t="n"/>
      <c r="J486" s="17" t="n"/>
      <c r="K486" s="20">
        <f>IF($B486="","",IFERROR(INDEX(الموظفات!$A$5:$A$304,MATCH($B486,الموظفات!$B$5:$B$304,0))&amp;"",""))</f>
        <v/>
      </c>
      <c r="L486" s="21">
        <f>IF($B486="","",IFERROR(INDEX(الموظفات!$C$5:$C$304,MATCH($B486,الموظفات!$B$5:$B$304,0))&amp;"",""))</f>
        <v/>
      </c>
      <c r="M486" s="20">
        <f>IF($B486="","",IFERROR(INDEX(الموظفات!$D$5:$D$304,MATCH($B486,الموظفات!$B$5:$B$304,0))&amp;"",""))</f>
        <v/>
      </c>
      <c r="N486" s="20">
        <f>IF($B486="","",IFERROR(INDEX(الموظفات!$E$5:$E$304,MATCH($B486,الموظفات!$B$5:$B$304,0))&amp;"",""))</f>
        <v/>
      </c>
      <c r="O486" s="21">
        <f>IF(C486="","",IFERROR(INDEX(الإعدادات!$D$7:$D$35,MATCH(C486,الإعدادات!$A$7:$A$35,0))&amp;"",""))</f>
        <v/>
      </c>
      <c r="P486" s="20">
        <f>IF(A486="","",INDEX(الإعدادات!$H$7:$H$18,MONTH(A486)))</f>
        <v/>
      </c>
      <c r="Q486" s="20">
        <f>IF(A486="","",INDEX(الإعدادات!$I$7:$I$18,MONTH(A486)))</f>
        <v/>
      </c>
      <c r="R486" s="20">
        <f>IF(A486="","",IF(MONTH(A486)&gt;=8,YEAR(A486)&amp;"-"&amp;(YEAR(A486)+1),(YEAR(A486)-1)&amp;"-"&amp;YEAR(A486)))</f>
        <v/>
      </c>
      <c r="S486" s="20">
        <f>IF(OR(A486="",B486=""),0,IF(AND(R486=التقارير!$C$4,OR(التقارير!$C$5="سنوي",AND(التقارير!$C$5="شهري",P486=التقارير!$C$6),AND(التقارير!$C$5="فصلي",Q486=التقارير!$C$7))),1,0))</f>
        <v/>
      </c>
      <c r="T486" s="20">
        <f>IF(S486=1,COUNTIF($S$5:S486,1),"")</f>
        <v/>
      </c>
      <c r="U486">
        <f>IF(AND($A486&lt;&gt;"",$B486&lt;&gt;"",$R486='تقرير الفصل الأول'!$C$4,$Q486='تقرير الفصل الأول'!$C$7),COUNT(U$4:U485)+1,"")</f>
        <v/>
      </c>
      <c r="V486">
        <f>IF(AND($A486&lt;&gt;"",$B486&lt;&gt;"",$R486='تقرير الفصل الثاني'!$C$4,$Q486='تقرير الفصل الثاني'!$C$7),COUNT(V$4:V485)+1,"")</f>
        <v/>
      </c>
      <c r="W486">
        <f>IF(AND($A486&lt;&gt;"",$B486&lt;&gt;"",$R486='تقرير سبتمبر'!$C$4,$P486='تقرير سبتمبر'!$C$6),COUNT(W$4:W485)+1,"")</f>
        <v/>
      </c>
      <c r="X486">
        <f>IF(AND($A486&lt;&gt;"",$B486&lt;&gt;"",$R486='تقرير أكتوبر'!$C$4,$P486='تقرير أكتوبر'!$C$6),COUNT(X$4:X485)+1,"")</f>
        <v/>
      </c>
      <c r="Y486">
        <f>IF(AND($A486&lt;&gt;"",$B486&lt;&gt;"",$R486='تقرير نوفمبر'!$C$4,$P486='تقرير نوفمبر'!$C$6),COUNT(Y$4:Y485)+1,"")</f>
        <v/>
      </c>
      <c r="Z486">
        <f>IF(AND($A486&lt;&gt;"",$B486&lt;&gt;"",$R486='تقرير ديسمبر'!$C$4,$P486='تقرير ديسمبر'!$C$6),COUNT(Z$4:Z485)+1,"")</f>
        <v/>
      </c>
      <c r="AA486">
        <f>IF(AND($A486&lt;&gt;"",$B486&lt;&gt;"",$R486='تقرير يناير'!$C$4,$P486='تقرير يناير'!$C$6),COUNT(AA$4:AA485)+1,"")</f>
        <v/>
      </c>
      <c r="AB486">
        <f>IF(AND($A486&lt;&gt;"",$B486&lt;&gt;"",$R486='تقرير فبراير'!$C$4,$P486='تقرير فبراير'!$C$6),COUNT(AB$4:AB485)+1,"")</f>
        <v/>
      </c>
      <c r="AC486">
        <f>IF(AND($A486&lt;&gt;"",$B486&lt;&gt;"",$R486='تقرير مارس'!$C$4,$P486='تقرير مارس'!$C$6),COUNT(AC$4:AC485)+1,"")</f>
        <v/>
      </c>
      <c r="AD486">
        <f>IF(AND($A486&lt;&gt;"",$B486&lt;&gt;"",$R486='تقرير أبريل'!$C$4,$P486='تقرير أبريل'!$C$6),COUNT(AD$4:AD485)+1,"")</f>
        <v/>
      </c>
      <c r="AE486">
        <f>IF(AND($A486&lt;&gt;"",$B486&lt;&gt;"",$R486='تقرير مايو'!$C$4,$P486='تقرير مايو'!$C$6),COUNT(AE$4:AE485)+1,"")</f>
        <v/>
      </c>
    </row>
    <row r="487">
      <c r="A487" s="16" t="n"/>
      <c r="B487" s="17" t="n"/>
      <c r="C487" s="17" t="n"/>
      <c r="D487" s="18" t="n"/>
      <c r="E487" s="17" t="n"/>
      <c r="F487" s="17" t="n"/>
      <c r="G487" s="19" t="n"/>
      <c r="H487" s="17" t="n"/>
      <c r="I487" s="17" t="n"/>
      <c r="J487" s="17" t="n"/>
      <c r="K487" s="20">
        <f>IF($B487="","",IFERROR(INDEX(الموظفات!$A$5:$A$304,MATCH($B487,الموظفات!$B$5:$B$304,0))&amp;"",""))</f>
        <v/>
      </c>
      <c r="L487" s="21">
        <f>IF($B487="","",IFERROR(INDEX(الموظفات!$C$5:$C$304,MATCH($B487,الموظفات!$B$5:$B$304,0))&amp;"",""))</f>
        <v/>
      </c>
      <c r="M487" s="20">
        <f>IF($B487="","",IFERROR(INDEX(الموظفات!$D$5:$D$304,MATCH($B487,الموظفات!$B$5:$B$304,0))&amp;"",""))</f>
        <v/>
      </c>
      <c r="N487" s="20">
        <f>IF($B487="","",IFERROR(INDEX(الموظفات!$E$5:$E$304,MATCH($B487,الموظفات!$B$5:$B$304,0))&amp;"",""))</f>
        <v/>
      </c>
      <c r="O487" s="21">
        <f>IF(C487="","",IFERROR(INDEX(الإعدادات!$D$7:$D$35,MATCH(C487,الإعدادات!$A$7:$A$35,0))&amp;"",""))</f>
        <v/>
      </c>
      <c r="P487" s="20">
        <f>IF(A487="","",INDEX(الإعدادات!$H$7:$H$18,MONTH(A487)))</f>
        <v/>
      </c>
      <c r="Q487" s="20">
        <f>IF(A487="","",INDEX(الإعدادات!$I$7:$I$18,MONTH(A487)))</f>
        <v/>
      </c>
      <c r="R487" s="20">
        <f>IF(A487="","",IF(MONTH(A487)&gt;=8,YEAR(A487)&amp;"-"&amp;(YEAR(A487)+1),(YEAR(A487)-1)&amp;"-"&amp;YEAR(A487)))</f>
        <v/>
      </c>
      <c r="S487" s="20">
        <f>IF(OR(A487="",B487=""),0,IF(AND(R487=التقارير!$C$4,OR(التقارير!$C$5="سنوي",AND(التقارير!$C$5="شهري",P487=التقارير!$C$6),AND(التقارير!$C$5="فصلي",Q487=التقارير!$C$7))),1,0))</f>
        <v/>
      </c>
      <c r="T487" s="20">
        <f>IF(S487=1,COUNTIF($S$5:S487,1),"")</f>
        <v/>
      </c>
      <c r="U487">
        <f>IF(AND($A487&lt;&gt;"",$B487&lt;&gt;"",$R487='تقرير الفصل الأول'!$C$4,$Q487='تقرير الفصل الأول'!$C$7),COUNT(U$4:U486)+1,"")</f>
        <v/>
      </c>
      <c r="V487">
        <f>IF(AND($A487&lt;&gt;"",$B487&lt;&gt;"",$R487='تقرير الفصل الثاني'!$C$4,$Q487='تقرير الفصل الثاني'!$C$7),COUNT(V$4:V486)+1,"")</f>
        <v/>
      </c>
      <c r="W487">
        <f>IF(AND($A487&lt;&gt;"",$B487&lt;&gt;"",$R487='تقرير سبتمبر'!$C$4,$P487='تقرير سبتمبر'!$C$6),COUNT(W$4:W486)+1,"")</f>
        <v/>
      </c>
      <c r="X487">
        <f>IF(AND($A487&lt;&gt;"",$B487&lt;&gt;"",$R487='تقرير أكتوبر'!$C$4,$P487='تقرير أكتوبر'!$C$6),COUNT(X$4:X486)+1,"")</f>
        <v/>
      </c>
      <c r="Y487">
        <f>IF(AND($A487&lt;&gt;"",$B487&lt;&gt;"",$R487='تقرير نوفمبر'!$C$4,$P487='تقرير نوفمبر'!$C$6),COUNT(Y$4:Y486)+1,"")</f>
        <v/>
      </c>
      <c r="Z487">
        <f>IF(AND($A487&lt;&gt;"",$B487&lt;&gt;"",$R487='تقرير ديسمبر'!$C$4,$P487='تقرير ديسمبر'!$C$6),COUNT(Z$4:Z486)+1,"")</f>
        <v/>
      </c>
      <c r="AA487">
        <f>IF(AND($A487&lt;&gt;"",$B487&lt;&gt;"",$R487='تقرير يناير'!$C$4,$P487='تقرير يناير'!$C$6),COUNT(AA$4:AA486)+1,"")</f>
        <v/>
      </c>
      <c r="AB487">
        <f>IF(AND($A487&lt;&gt;"",$B487&lt;&gt;"",$R487='تقرير فبراير'!$C$4,$P487='تقرير فبراير'!$C$6),COUNT(AB$4:AB486)+1,"")</f>
        <v/>
      </c>
      <c r="AC487">
        <f>IF(AND($A487&lt;&gt;"",$B487&lt;&gt;"",$R487='تقرير مارس'!$C$4,$P487='تقرير مارس'!$C$6),COUNT(AC$4:AC486)+1,"")</f>
        <v/>
      </c>
      <c r="AD487">
        <f>IF(AND($A487&lt;&gt;"",$B487&lt;&gt;"",$R487='تقرير أبريل'!$C$4,$P487='تقرير أبريل'!$C$6),COUNT(AD$4:AD486)+1,"")</f>
        <v/>
      </c>
      <c r="AE487">
        <f>IF(AND($A487&lt;&gt;"",$B487&lt;&gt;"",$R487='تقرير مايو'!$C$4,$P487='تقرير مايو'!$C$6),COUNT(AE$4:AE486)+1,"")</f>
        <v/>
      </c>
    </row>
    <row r="488">
      <c r="A488" s="16" t="n"/>
      <c r="B488" s="17" t="n"/>
      <c r="C488" s="17" t="n"/>
      <c r="D488" s="18" t="n"/>
      <c r="E488" s="17" t="n"/>
      <c r="F488" s="17" t="n"/>
      <c r="G488" s="19" t="n"/>
      <c r="H488" s="17" t="n"/>
      <c r="I488" s="17" t="n"/>
      <c r="J488" s="17" t="n"/>
      <c r="K488" s="20">
        <f>IF($B488="","",IFERROR(INDEX(الموظفات!$A$5:$A$304,MATCH($B488,الموظفات!$B$5:$B$304,0))&amp;"",""))</f>
        <v/>
      </c>
      <c r="L488" s="21">
        <f>IF($B488="","",IFERROR(INDEX(الموظفات!$C$5:$C$304,MATCH($B488,الموظفات!$B$5:$B$304,0))&amp;"",""))</f>
        <v/>
      </c>
      <c r="M488" s="20">
        <f>IF($B488="","",IFERROR(INDEX(الموظفات!$D$5:$D$304,MATCH($B488,الموظفات!$B$5:$B$304,0))&amp;"",""))</f>
        <v/>
      </c>
      <c r="N488" s="20">
        <f>IF($B488="","",IFERROR(INDEX(الموظفات!$E$5:$E$304,MATCH($B488,الموظفات!$B$5:$B$304,0))&amp;"",""))</f>
        <v/>
      </c>
      <c r="O488" s="21">
        <f>IF(C488="","",IFERROR(INDEX(الإعدادات!$D$7:$D$35,MATCH(C488,الإعدادات!$A$7:$A$35,0))&amp;"",""))</f>
        <v/>
      </c>
      <c r="P488" s="20">
        <f>IF(A488="","",INDEX(الإعدادات!$H$7:$H$18,MONTH(A488)))</f>
        <v/>
      </c>
      <c r="Q488" s="20">
        <f>IF(A488="","",INDEX(الإعدادات!$I$7:$I$18,MONTH(A488)))</f>
        <v/>
      </c>
      <c r="R488" s="20">
        <f>IF(A488="","",IF(MONTH(A488)&gt;=8,YEAR(A488)&amp;"-"&amp;(YEAR(A488)+1),(YEAR(A488)-1)&amp;"-"&amp;YEAR(A488)))</f>
        <v/>
      </c>
      <c r="S488" s="20">
        <f>IF(OR(A488="",B488=""),0,IF(AND(R488=التقارير!$C$4,OR(التقارير!$C$5="سنوي",AND(التقارير!$C$5="شهري",P488=التقارير!$C$6),AND(التقارير!$C$5="فصلي",Q488=التقارير!$C$7))),1,0))</f>
        <v/>
      </c>
      <c r="T488" s="20">
        <f>IF(S488=1,COUNTIF($S$5:S488,1),"")</f>
        <v/>
      </c>
      <c r="U488">
        <f>IF(AND($A488&lt;&gt;"",$B488&lt;&gt;"",$R488='تقرير الفصل الأول'!$C$4,$Q488='تقرير الفصل الأول'!$C$7),COUNT(U$4:U487)+1,"")</f>
        <v/>
      </c>
      <c r="V488">
        <f>IF(AND($A488&lt;&gt;"",$B488&lt;&gt;"",$R488='تقرير الفصل الثاني'!$C$4,$Q488='تقرير الفصل الثاني'!$C$7),COUNT(V$4:V487)+1,"")</f>
        <v/>
      </c>
      <c r="W488">
        <f>IF(AND($A488&lt;&gt;"",$B488&lt;&gt;"",$R488='تقرير سبتمبر'!$C$4,$P488='تقرير سبتمبر'!$C$6),COUNT(W$4:W487)+1,"")</f>
        <v/>
      </c>
      <c r="X488">
        <f>IF(AND($A488&lt;&gt;"",$B488&lt;&gt;"",$R488='تقرير أكتوبر'!$C$4,$P488='تقرير أكتوبر'!$C$6),COUNT(X$4:X487)+1,"")</f>
        <v/>
      </c>
      <c r="Y488">
        <f>IF(AND($A488&lt;&gt;"",$B488&lt;&gt;"",$R488='تقرير نوفمبر'!$C$4,$P488='تقرير نوفمبر'!$C$6),COUNT(Y$4:Y487)+1,"")</f>
        <v/>
      </c>
      <c r="Z488">
        <f>IF(AND($A488&lt;&gt;"",$B488&lt;&gt;"",$R488='تقرير ديسمبر'!$C$4,$P488='تقرير ديسمبر'!$C$6),COUNT(Z$4:Z487)+1,"")</f>
        <v/>
      </c>
      <c r="AA488">
        <f>IF(AND($A488&lt;&gt;"",$B488&lt;&gt;"",$R488='تقرير يناير'!$C$4,$P488='تقرير يناير'!$C$6),COUNT(AA$4:AA487)+1,"")</f>
        <v/>
      </c>
      <c r="AB488">
        <f>IF(AND($A488&lt;&gt;"",$B488&lt;&gt;"",$R488='تقرير فبراير'!$C$4,$P488='تقرير فبراير'!$C$6),COUNT(AB$4:AB487)+1,"")</f>
        <v/>
      </c>
      <c r="AC488">
        <f>IF(AND($A488&lt;&gt;"",$B488&lt;&gt;"",$R488='تقرير مارس'!$C$4,$P488='تقرير مارس'!$C$6),COUNT(AC$4:AC487)+1,"")</f>
        <v/>
      </c>
      <c r="AD488">
        <f>IF(AND($A488&lt;&gt;"",$B488&lt;&gt;"",$R488='تقرير أبريل'!$C$4,$P488='تقرير أبريل'!$C$6),COUNT(AD$4:AD487)+1,"")</f>
        <v/>
      </c>
      <c r="AE488">
        <f>IF(AND($A488&lt;&gt;"",$B488&lt;&gt;"",$R488='تقرير مايو'!$C$4,$P488='تقرير مايو'!$C$6),COUNT(AE$4:AE487)+1,"")</f>
        <v/>
      </c>
    </row>
    <row r="489">
      <c r="A489" s="16" t="n"/>
      <c r="B489" s="17" t="n"/>
      <c r="C489" s="17" t="n"/>
      <c r="D489" s="18" t="n"/>
      <c r="E489" s="17" t="n"/>
      <c r="F489" s="17" t="n"/>
      <c r="G489" s="19" t="n"/>
      <c r="H489" s="17" t="n"/>
      <c r="I489" s="17" t="n"/>
      <c r="J489" s="17" t="n"/>
      <c r="K489" s="20">
        <f>IF($B489="","",IFERROR(INDEX(الموظفات!$A$5:$A$304,MATCH($B489,الموظفات!$B$5:$B$304,0))&amp;"",""))</f>
        <v/>
      </c>
      <c r="L489" s="21">
        <f>IF($B489="","",IFERROR(INDEX(الموظفات!$C$5:$C$304,MATCH($B489,الموظفات!$B$5:$B$304,0))&amp;"",""))</f>
        <v/>
      </c>
      <c r="M489" s="20">
        <f>IF($B489="","",IFERROR(INDEX(الموظفات!$D$5:$D$304,MATCH($B489,الموظفات!$B$5:$B$304,0))&amp;"",""))</f>
        <v/>
      </c>
      <c r="N489" s="20">
        <f>IF($B489="","",IFERROR(INDEX(الموظفات!$E$5:$E$304,MATCH($B489,الموظفات!$B$5:$B$304,0))&amp;"",""))</f>
        <v/>
      </c>
      <c r="O489" s="21">
        <f>IF(C489="","",IFERROR(INDEX(الإعدادات!$D$7:$D$35,MATCH(C489,الإعدادات!$A$7:$A$35,0))&amp;"",""))</f>
        <v/>
      </c>
      <c r="P489" s="20">
        <f>IF(A489="","",INDEX(الإعدادات!$H$7:$H$18,MONTH(A489)))</f>
        <v/>
      </c>
      <c r="Q489" s="20">
        <f>IF(A489="","",INDEX(الإعدادات!$I$7:$I$18,MONTH(A489)))</f>
        <v/>
      </c>
      <c r="R489" s="20">
        <f>IF(A489="","",IF(MONTH(A489)&gt;=8,YEAR(A489)&amp;"-"&amp;(YEAR(A489)+1),(YEAR(A489)-1)&amp;"-"&amp;YEAR(A489)))</f>
        <v/>
      </c>
      <c r="S489" s="20">
        <f>IF(OR(A489="",B489=""),0,IF(AND(R489=التقارير!$C$4,OR(التقارير!$C$5="سنوي",AND(التقارير!$C$5="شهري",P489=التقارير!$C$6),AND(التقارير!$C$5="فصلي",Q489=التقارير!$C$7))),1,0))</f>
        <v/>
      </c>
      <c r="T489" s="20">
        <f>IF(S489=1,COUNTIF($S$5:S489,1),"")</f>
        <v/>
      </c>
      <c r="U489">
        <f>IF(AND($A489&lt;&gt;"",$B489&lt;&gt;"",$R489='تقرير الفصل الأول'!$C$4,$Q489='تقرير الفصل الأول'!$C$7),COUNT(U$4:U488)+1,"")</f>
        <v/>
      </c>
      <c r="V489">
        <f>IF(AND($A489&lt;&gt;"",$B489&lt;&gt;"",$R489='تقرير الفصل الثاني'!$C$4,$Q489='تقرير الفصل الثاني'!$C$7),COUNT(V$4:V488)+1,"")</f>
        <v/>
      </c>
      <c r="W489">
        <f>IF(AND($A489&lt;&gt;"",$B489&lt;&gt;"",$R489='تقرير سبتمبر'!$C$4,$P489='تقرير سبتمبر'!$C$6),COUNT(W$4:W488)+1,"")</f>
        <v/>
      </c>
      <c r="X489">
        <f>IF(AND($A489&lt;&gt;"",$B489&lt;&gt;"",$R489='تقرير أكتوبر'!$C$4,$P489='تقرير أكتوبر'!$C$6),COUNT(X$4:X488)+1,"")</f>
        <v/>
      </c>
      <c r="Y489">
        <f>IF(AND($A489&lt;&gt;"",$B489&lt;&gt;"",$R489='تقرير نوفمبر'!$C$4,$P489='تقرير نوفمبر'!$C$6),COUNT(Y$4:Y488)+1,"")</f>
        <v/>
      </c>
      <c r="Z489">
        <f>IF(AND($A489&lt;&gt;"",$B489&lt;&gt;"",$R489='تقرير ديسمبر'!$C$4,$P489='تقرير ديسمبر'!$C$6),COUNT(Z$4:Z488)+1,"")</f>
        <v/>
      </c>
      <c r="AA489">
        <f>IF(AND($A489&lt;&gt;"",$B489&lt;&gt;"",$R489='تقرير يناير'!$C$4,$P489='تقرير يناير'!$C$6),COUNT(AA$4:AA488)+1,"")</f>
        <v/>
      </c>
      <c r="AB489">
        <f>IF(AND($A489&lt;&gt;"",$B489&lt;&gt;"",$R489='تقرير فبراير'!$C$4,$P489='تقرير فبراير'!$C$6),COUNT(AB$4:AB488)+1,"")</f>
        <v/>
      </c>
      <c r="AC489">
        <f>IF(AND($A489&lt;&gt;"",$B489&lt;&gt;"",$R489='تقرير مارس'!$C$4,$P489='تقرير مارس'!$C$6),COUNT(AC$4:AC488)+1,"")</f>
        <v/>
      </c>
      <c r="AD489">
        <f>IF(AND($A489&lt;&gt;"",$B489&lt;&gt;"",$R489='تقرير أبريل'!$C$4,$P489='تقرير أبريل'!$C$6),COUNT(AD$4:AD488)+1,"")</f>
        <v/>
      </c>
      <c r="AE489">
        <f>IF(AND($A489&lt;&gt;"",$B489&lt;&gt;"",$R489='تقرير مايو'!$C$4,$P489='تقرير مايو'!$C$6),COUNT(AE$4:AE488)+1,"")</f>
        <v/>
      </c>
    </row>
    <row r="490">
      <c r="A490" s="16" t="n"/>
      <c r="B490" s="17" t="n"/>
      <c r="C490" s="17" t="n"/>
      <c r="D490" s="18" t="n"/>
      <c r="E490" s="17" t="n"/>
      <c r="F490" s="17" t="n"/>
      <c r="G490" s="19" t="n"/>
      <c r="H490" s="17" t="n"/>
      <c r="I490" s="17" t="n"/>
      <c r="J490" s="17" t="n"/>
      <c r="K490" s="20">
        <f>IF($B490="","",IFERROR(INDEX(الموظفات!$A$5:$A$304,MATCH($B490,الموظفات!$B$5:$B$304,0))&amp;"",""))</f>
        <v/>
      </c>
      <c r="L490" s="21">
        <f>IF($B490="","",IFERROR(INDEX(الموظفات!$C$5:$C$304,MATCH($B490,الموظفات!$B$5:$B$304,0))&amp;"",""))</f>
        <v/>
      </c>
      <c r="M490" s="20">
        <f>IF($B490="","",IFERROR(INDEX(الموظفات!$D$5:$D$304,MATCH($B490,الموظفات!$B$5:$B$304,0))&amp;"",""))</f>
        <v/>
      </c>
      <c r="N490" s="20">
        <f>IF($B490="","",IFERROR(INDEX(الموظفات!$E$5:$E$304,MATCH($B490,الموظفات!$B$5:$B$304,0))&amp;"",""))</f>
        <v/>
      </c>
      <c r="O490" s="21">
        <f>IF(C490="","",IFERROR(INDEX(الإعدادات!$D$7:$D$35,MATCH(C490,الإعدادات!$A$7:$A$35,0))&amp;"",""))</f>
        <v/>
      </c>
      <c r="P490" s="20">
        <f>IF(A490="","",INDEX(الإعدادات!$H$7:$H$18,MONTH(A490)))</f>
        <v/>
      </c>
      <c r="Q490" s="20">
        <f>IF(A490="","",INDEX(الإعدادات!$I$7:$I$18,MONTH(A490)))</f>
        <v/>
      </c>
      <c r="R490" s="20">
        <f>IF(A490="","",IF(MONTH(A490)&gt;=8,YEAR(A490)&amp;"-"&amp;(YEAR(A490)+1),(YEAR(A490)-1)&amp;"-"&amp;YEAR(A490)))</f>
        <v/>
      </c>
      <c r="S490" s="20">
        <f>IF(OR(A490="",B490=""),0,IF(AND(R490=التقارير!$C$4,OR(التقارير!$C$5="سنوي",AND(التقارير!$C$5="شهري",P490=التقارير!$C$6),AND(التقارير!$C$5="فصلي",Q490=التقارير!$C$7))),1,0))</f>
        <v/>
      </c>
      <c r="T490" s="20">
        <f>IF(S490=1,COUNTIF($S$5:S490,1),"")</f>
        <v/>
      </c>
      <c r="U490">
        <f>IF(AND($A490&lt;&gt;"",$B490&lt;&gt;"",$R490='تقرير الفصل الأول'!$C$4,$Q490='تقرير الفصل الأول'!$C$7),COUNT(U$4:U489)+1,"")</f>
        <v/>
      </c>
      <c r="V490">
        <f>IF(AND($A490&lt;&gt;"",$B490&lt;&gt;"",$R490='تقرير الفصل الثاني'!$C$4,$Q490='تقرير الفصل الثاني'!$C$7),COUNT(V$4:V489)+1,"")</f>
        <v/>
      </c>
      <c r="W490">
        <f>IF(AND($A490&lt;&gt;"",$B490&lt;&gt;"",$R490='تقرير سبتمبر'!$C$4,$P490='تقرير سبتمبر'!$C$6),COUNT(W$4:W489)+1,"")</f>
        <v/>
      </c>
      <c r="X490">
        <f>IF(AND($A490&lt;&gt;"",$B490&lt;&gt;"",$R490='تقرير أكتوبر'!$C$4,$P490='تقرير أكتوبر'!$C$6),COUNT(X$4:X489)+1,"")</f>
        <v/>
      </c>
      <c r="Y490">
        <f>IF(AND($A490&lt;&gt;"",$B490&lt;&gt;"",$R490='تقرير نوفمبر'!$C$4,$P490='تقرير نوفمبر'!$C$6),COUNT(Y$4:Y489)+1,"")</f>
        <v/>
      </c>
      <c r="Z490">
        <f>IF(AND($A490&lt;&gt;"",$B490&lt;&gt;"",$R490='تقرير ديسمبر'!$C$4,$P490='تقرير ديسمبر'!$C$6),COUNT(Z$4:Z489)+1,"")</f>
        <v/>
      </c>
      <c r="AA490">
        <f>IF(AND($A490&lt;&gt;"",$B490&lt;&gt;"",$R490='تقرير يناير'!$C$4,$P490='تقرير يناير'!$C$6),COUNT(AA$4:AA489)+1,"")</f>
        <v/>
      </c>
      <c r="AB490">
        <f>IF(AND($A490&lt;&gt;"",$B490&lt;&gt;"",$R490='تقرير فبراير'!$C$4,$P490='تقرير فبراير'!$C$6),COUNT(AB$4:AB489)+1,"")</f>
        <v/>
      </c>
      <c r="AC490">
        <f>IF(AND($A490&lt;&gt;"",$B490&lt;&gt;"",$R490='تقرير مارس'!$C$4,$P490='تقرير مارس'!$C$6),COUNT(AC$4:AC489)+1,"")</f>
        <v/>
      </c>
      <c r="AD490">
        <f>IF(AND($A490&lt;&gt;"",$B490&lt;&gt;"",$R490='تقرير أبريل'!$C$4,$P490='تقرير أبريل'!$C$6),COUNT(AD$4:AD489)+1,"")</f>
        <v/>
      </c>
      <c r="AE490">
        <f>IF(AND($A490&lt;&gt;"",$B490&lt;&gt;"",$R490='تقرير مايو'!$C$4,$P490='تقرير مايو'!$C$6),COUNT(AE$4:AE489)+1,"")</f>
        <v/>
      </c>
    </row>
    <row r="491">
      <c r="A491" s="16" t="n"/>
      <c r="B491" s="17" t="n"/>
      <c r="C491" s="17" t="n"/>
      <c r="D491" s="18" t="n"/>
      <c r="E491" s="17" t="n"/>
      <c r="F491" s="17" t="n"/>
      <c r="G491" s="19" t="n"/>
      <c r="H491" s="17" t="n"/>
      <c r="I491" s="17" t="n"/>
      <c r="J491" s="17" t="n"/>
      <c r="K491" s="20">
        <f>IF($B491="","",IFERROR(INDEX(الموظفات!$A$5:$A$304,MATCH($B491,الموظفات!$B$5:$B$304,0))&amp;"",""))</f>
        <v/>
      </c>
      <c r="L491" s="21">
        <f>IF($B491="","",IFERROR(INDEX(الموظفات!$C$5:$C$304,MATCH($B491,الموظفات!$B$5:$B$304,0))&amp;"",""))</f>
        <v/>
      </c>
      <c r="M491" s="20">
        <f>IF($B491="","",IFERROR(INDEX(الموظفات!$D$5:$D$304,MATCH($B491,الموظفات!$B$5:$B$304,0))&amp;"",""))</f>
        <v/>
      </c>
      <c r="N491" s="20">
        <f>IF($B491="","",IFERROR(INDEX(الموظفات!$E$5:$E$304,MATCH($B491,الموظفات!$B$5:$B$304,0))&amp;"",""))</f>
        <v/>
      </c>
      <c r="O491" s="21">
        <f>IF(C491="","",IFERROR(INDEX(الإعدادات!$D$7:$D$35,MATCH(C491,الإعدادات!$A$7:$A$35,0))&amp;"",""))</f>
        <v/>
      </c>
      <c r="P491" s="20">
        <f>IF(A491="","",INDEX(الإعدادات!$H$7:$H$18,MONTH(A491)))</f>
        <v/>
      </c>
      <c r="Q491" s="20">
        <f>IF(A491="","",INDEX(الإعدادات!$I$7:$I$18,MONTH(A491)))</f>
        <v/>
      </c>
      <c r="R491" s="20">
        <f>IF(A491="","",IF(MONTH(A491)&gt;=8,YEAR(A491)&amp;"-"&amp;(YEAR(A491)+1),(YEAR(A491)-1)&amp;"-"&amp;YEAR(A491)))</f>
        <v/>
      </c>
      <c r="S491" s="20">
        <f>IF(OR(A491="",B491=""),0,IF(AND(R491=التقارير!$C$4,OR(التقارير!$C$5="سنوي",AND(التقارير!$C$5="شهري",P491=التقارير!$C$6),AND(التقارير!$C$5="فصلي",Q491=التقارير!$C$7))),1,0))</f>
        <v/>
      </c>
      <c r="T491" s="20">
        <f>IF(S491=1,COUNTIF($S$5:S491,1),"")</f>
        <v/>
      </c>
      <c r="U491">
        <f>IF(AND($A491&lt;&gt;"",$B491&lt;&gt;"",$R491='تقرير الفصل الأول'!$C$4,$Q491='تقرير الفصل الأول'!$C$7),COUNT(U$4:U490)+1,"")</f>
        <v/>
      </c>
      <c r="V491">
        <f>IF(AND($A491&lt;&gt;"",$B491&lt;&gt;"",$R491='تقرير الفصل الثاني'!$C$4,$Q491='تقرير الفصل الثاني'!$C$7),COUNT(V$4:V490)+1,"")</f>
        <v/>
      </c>
      <c r="W491">
        <f>IF(AND($A491&lt;&gt;"",$B491&lt;&gt;"",$R491='تقرير سبتمبر'!$C$4,$P491='تقرير سبتمبر'!$C$6),COUNT(W$4:W490)+1,"")</f>
        <v/>
      </c>
      <c r="X491">
        <f>IF(AND($A491&lt;&gt;"",$B491&lt;&gt;"",$R491='تقرير أكتوبر'!$C$4,$P491='تقرير أكتوبر'!$C$6),COUNT(X$4:X490)+1,"")</f>
        <v/>
      </c>
      <c r="Y491">
        <f>IF(AND($A491&lt;&gt;"",$B491&lt;&gt;"",$R491='تقرير نوفمبر'!$C$4,$P491='تقرير نوفمبر'!$C$6),COUNT(Y$4:Y490)+1,"")</f>
        <v/>
      </c>
      <c r="Z491">
        <f>IF(AND($A491&lt;&gt;"",$B491&lt;&gt;"",$R491='تقرير ديسمبر'!$C$4,$P491='تقرير ديسمبر'!$C$6),COUNT(Z$4:Z490)+1,"")</f>
        <v/>
      </c>
      <c r="AA491">
        <f>IF(AND($A491&lt;&gt;"",$B491&lt;&gt;"",$R491='تقرير يناير'!$C$4,$P491='تقرير يناير'!$C$6),COUNT(AA$4:AA490)+1,"")</f>
        <v/>
      </c>
      <c r="AB491">
        <f>IF(AND($A491&lt;&gt;"",$B491&lt;&gt;"",$R491='تقرير فبراير'!$C$4,$P491='تقرير فبراير'!$C$6),COUNT(AB$4:AB490)+1,"")</f>
        <v/>
      </c>
      <c r="AC491">
        <f>IF(AND($A491&lt;&gt;"",$B491&lt;&gt;"",$R491='تقرير مارس'!$C$4,$P491='تقرير مارس'!$C$6),COUNT(AC$4:AC490)+1,"")</f>
        <v/>
      </c>
      <c r="AD491">
        <f>IF(AND($A491&lt;&gt;"",$B491&lt;&gt;"",$R491='تقرير أبريل'!$C$4,$P491='تقرير أبريل'!$C$6),COUNT(AD$4:AD490)+1,"")</f>
        <v/>
      </c>
      <c r="AE491">
        <f>IF(AND($A491&lt;&gt;"",$B491&lt;&gt;"",$R491='تقرير مايو'!$C$4,$P491='تقرير مايو'!$C$6),COUNT(AE$4:AE490)+1,"")</f>
        <v/>
      </c>
    </row>
    <row r="492">
      <c r="A492" s="16" t="n"/>
      <c r="B492" s="17" t="n"/>
      <c r="C492" s="17" t="n"/>
      <c r="D492" s="18" t="n"/>
      <c r="E492" s="17" t="n"/>
      <c r="F492" s="17" t="n"/>
      <c r="G492" s="19" t="n"/>
      <c r="H492" s="17" t="n"/>
      <c r="I492" s="17" t="n"/>
      <c r="J492" s="17" t="n"/>
      <c r="K492" s="20">
        <f>IF($B492="","",IFERROR(INDEX(الموظفات!$A$5:$A$304,MATCH($B492,الموظفات!$B$5:$B$304,0))&amp;"",""))</f>
        <v/>
      </c>
      <c r="L492" s="21">
        <f>IF($B492="","",IFERROR(INDEX(الموظفات!$C$5:$C$304,MATCH($B492,الموظفات!$B$5:$B$304,0))&amp;"",""))</f>
        <v/>
      </c>
      <c r="M492" s="20">
        <f>IF($B492="","",IFERROR(INDEX(الموظفات!$D$5:$D$304,MATCH($B492,الموظفات!$B$5:$B$304,0))&amp;"",""))</f>
        <v/>
      </c>
      <c r="N492" s="20">
        <f>IF($B492="","",IFERROR(INDEX(الموظفات!$E$5:$E$304,MATCH($B492,الموظفات!$B$5:$B$304,0))&amp;"",""))</f>
        <v/>
      </c>
      <c r="O492" s="21">
        <f>IF(C492="","",IFERROR(INDEX(الإعدادات!$D$7:$D$35,MATCH(C492,الإعدادات!$A$7:$A$35,0))&amp;"",""))</f>
        <v/>
      </c>
      <c r="P492" s="20">
        <f>IF(A492="","",INDEX(الإعدادات!$H$7:$H$18,MONTH(A492)))</f>
        <v/>
      </c>
      <c r="Q492" s="20">
        <f>IF(A492="","",INDEX(الإعدادات!$I$7:$I$18,MONTH(A492)))</f>
        <v/>
      </c>
      <c r="R492" s="20">
        <f>IF(A492="","",IF(MONTH(A492)&gt;=8,YEAR(A492)&amp;"-"&amp;(YEAR(A492)+1),(YEAR(A492)-1)&amp;"-"&amp;YEAR(A492)))</f>
        <v/>
      </c>
      <c r="S492" s="20">
        <f>IF(OR(A492="",B492=""),0,IF(AND(R492=التقارير!$C$4,OR(التقارير!$C$5="سنوي",AND(التقارير!$C$5="شهري",P492=التقارير!$C$6),AND(التقارير!$C$5="فصلي",Q492=التقارير!$C$7))),1,0))</f>
        <v/>
      </c>
      <c r="T492" s="20">
        <f>IF(S492=1,COUNTIF($S$5:S492,1),"")</f>
        <v/>
      </c>
      <c r="U492">
        <f>IF(AND($A492&lt;&gt;"",$B492&lt;&gt;"",$R492='تقرير الفصل الأول'!$C$4,$Q492='تقرير الفصل الأول'!$C$7),COUNT(U$4:U491)+1,"")</f>
        <v/>
      </c>
      <c r="V492">
        <f>IF(AND($A492&lt;&gt;"",$B492&lt;&gt;"",$R492='تقرير الفصل الثاني'!$C$4,$Q492='تقرير الفصل الثاني'!$C$7),COUNT(V$4:V491)+1,"")</f>
        <v/>
      </c>
      <c r="W492">
        <f>IF(AND($A492&lt;&gt;"",$B492&lt;&gt;"",$R492='تقرير سبتمبر'!$C$4,$P492='تقرير سبتمبر'!$C$6),COUNT(W$4:W491)+1,"")</f>
        <v/>
      </c>
      <c r="X492">
        <f>IF(AND($A492&lt;&gt;"",$B492&lt;&gt;"",$R492='تقرير أكتوبر'!$C$4,$P492='تقرير أكتوبر'!$C$6),COUNT(X$4:X491)+1,"")</f>
        <v/>
      </c>
      <c r="Y492">
        <f>IF(AND($A492&lt;&gt;"",$B492&lt;&gt;"",$R492='تقرير نوفمبر'!$C$4,$P492='تقرير نوفمبر'!$C$6),COUNT(Y$4:Y491)+1,"")</f>
        <v/>
      </c>
      <c r="Z492">
        <f>IF(AND($A492&lt;&gt;"",$B492&lt;&gt;"",$R492='تقرير ديسمبر'!$C$4,$P492='تقرير ديسمبر'!$C$6),COUNT(Z$4:Z491)+1,"")</f>
        <v/>
      </c>
      <c r="AA492">
        <f>IF(AND($A492&lt;&gt;"",$B492&lt;&gt;"",$R492='تقرير يناير'!$C$4,$P492='تقرير يناير'!$C$6),COUNT(AA$4:AA491)+1,"")</f>
        <v/>
      </c>
      <c r="AB492">
        <f>IF(AND($A492&lt;&gt;"",$B492&lt;&gt;"",$R492='تقرير فبراير'!$C$4,$P492='تقرير فبراير'!$C$6),COUNT(AB$4:AB491)+1,"")</f>
        <v/>
      </c>
      <c r="AC492">
        <f>IF(AND($A492&lt;&gt;"",$B492&lt;&gt;"",$R492='تقرير مارس'!$C$4,$P492='تقرير مارس'!$C$6),COUNT(AC$4:AC491)+1,"")</f>
        <v/>
      </c>
      <c r="AD492">
        <f>IF(AND($A492&lt;&gt;"",$B492&lt;&gt;"",$R492='تقرير أبريل'!$C$4,$P492='تقرير أبريل'!$C$6),COUNT(AD$4:AD491)+1,"")</f>
        <v/>
      </c>
      <c r="AE492">
        <f>IF(AND($A492&lt;&gt;"",$B492&lt;&gt;"",$R492='تقرير مايو'!$C$4,$P492='تقرير مايو'!$C$6),COUNT(AE$4:AE491)+1,"")</f>
        <v/>
      </c>
    </row>
    <row r="493">
      <c r="A493" s="16" t="n"/>
      <c r="B493" s="17" t="n"/>
      <c r="C493" s="17" t="n"/>
      <c r="D493" s="18" t="n"/>
      <c r="E493" s="17" t="n"/>
      <c r="F493" s="17" t="n"/>
      <c r="G493" s="19" t="n"/>
      <c r="H493" s="17" t="n"/>
      <c r="I493" s="17" t="n"/>
      <c r="J493" s="17" t="n"/>
      <c r="K493" s="20">
        <f>IF($B493="","",IFERROR(INDEX(الموظفات!$A$5:$A$304,MATCH($B493,الموظفات!$B$5:$B$304,0))&amp;"",""))</f>
        <v/>
      </c>
      <c r="L493" s="21">
        <f>IF($B493="","",IFERROR(INDEX(الموظفات!$C$5:$C$304,MATCH($B493,الموظفات!$B$5:$B$304,0))&amp;"",""))</f>
        <v/>
      </c>
      <c r="M493" s="20">
        <f>IF($B493="","",IFERROR(INDEX(الموظفات!$D$5:$D$304,MATCH($B493,الموظفات!$B$5:$B$304,0))&amp;"",""))</f>
        <v/>
      </c>
      <c r="N493" s="20">
        <f>IF($B493="","",IFERROR(INDEX(الموظفات!$E$5:$E$304,MATCH($B493,الموظفات!$B$5:$B$304,0))&amp;"",""))</f>
        <v/>
      </c>
      <c r="O493" s="21">
        <f>IF(C493="","",IFERROR(INDEX(الإعدادات!$D$7:$D$35,MATCH(C493,الإعدادات!$A$7:$A$35,0))&amp;"",""))</f>
        <v/>
      </c>
      <c r="P493" s="20">
        <f>IF(A493="","",INDEX(الإعدادات!$H$7:$H$18,MONTH(A493)))</f>
        <v/>
      </c>
      <c r="Q493" s="20">
        <f>IF(A493="","",INDEX(الإعدادات!$I$7:$I$18,MONTH(A493)))</f>
        <v/>
      </c>
      <c r="R493" s="20">
        <f>IF(A493="","",IF(MONTH(A493)&gt;=8,YEAR(A493)&amp;"-"&amp;(YEAR(A493)+1),(YEAR(A493)-1)&amp;"-"&amp;YEAR(A493)))</f>
        <v/>
      </c>
      <c r="S493" s="20">
        <f>IF(OR(A493="",B493=""),0,IF(AND(R493=التقارير!$C$4,OR(التقارير!$C$5="سنوي",AND(التقارير!$C$5="شهري",P493=التقارير!$C$6),AND(التقارير!$C$5="فصلي",Q493=التقارير!$C$7))),1,0))</f>
        <v/>
      </c>
      <c r="T493" s="20">
        <f>IF(S493=1,COUNTIF($S$5:S493,1),"")</f>
        <v/>
      </c>
      <c r="U493">
        <f>IF(AND($A493&lt;&gt;"",$B493&lt;&gt;"",$R493='تقرير الفصل الأول'!$C$4,$Q493='تقرير الفصل الأول'!$C$7),COUNT(U$4:U492)+1,"")</f>
        <v/>
      </c>
      <c r="V493">
        <f>IF(AND($A493&lt;&gt;"",$B493&lt;&gt;"",$R493='تقرير الفصل الثاني'!$C$4,$Q493='تقرير الفصل الثاني'!$C$7),COUNT(V$4:V492)+1,"")</f>
        <v/>
      </c>
      <c r="W493">
        <f>IF(AND($A493&lt;&gt;"",$B493&lt;&gt;"",$R493='تقرير سبتمبر'!$C$4,$P493='تقرير سبتمبر'!$C$6),COUNT(W$4:W492)+1,"")</f>
        <v/>
      </c>
      <c r="X493">
        <f>IF(AND($A493&lt;&gt;"",$B493&lt;&gt;"",$R493='تقرير أكتوبر'!$C$4,$P493='تقرير أكتوبر'!$C$6),COUNT(X$4:X492)+1,"")</f>
        <v/>
      </c>
      <c r="Y493">
        <f>IF(AND($A493&lt;&gt;"",$B493&lt;&gt;"",$R493='تقرير نوفمبر'!$C$4,$P493='تقرير نوفمبر'!$C$6),COUNT(Y$4:Y492)+1,"")</f>
        <v/>
      </c>
      <c r="Z493">
        <f>IF(AND($A493&lt;&gt;"",$B493&lt;&gt;"",$R493='تقرير ديسمبر'!$C$4,$P493='تقرير ديسمبر'!$C$6),COUNT(Z$4:Z492)+1,"")</f>
        <v/>
      </c>
      <c r="AA493">
        <f>IF(AND($A493&lt;&gt;"",$B493&lt;&gt;"",$R493='تقرير يناير'!$C$4,$P493='تقرير يناير'!$C$6),COUNT(AA$4:AA492)+1,"")</f>
        <v/>
      </c>
      <c r="AB493">
        <f>IF(AND($A493&lt;&gt;"",$B493&lt;&gt;"",$R493='تقرير فبراير'!$C$4,$P493='تقرير فبراير'!$C$6),COUNT(AB$4:AB492)+1,"")</f>
        <v/>
      </c>
      <c r="AC493">
        <f>IF(AND($A493&lt;&gt;"",$B493&lt;&gt;"",$R493='تقرير مارس'!$C$4,$P493='تقرير مارس'!$C$6),COUNT(AC$4:AC492)+1,"")</f>
        <v/>
      </c>
      <c r="AD493">
        <f>IF(AND($A493&lt;&gt;"",$B493&lt;&gt;"",$R493='تقرير أبريل'!$C$4,$P493='تقرير أبريل'!$C$6),COUNT(AD$4:AD492)+1,"")</f>
        <v/>
      </c>
      <c r="AE493">
        <f>IF(AND($A493&lt;&gt;"",$B493&lt;&gt;"",$R493='تقرير مايو'!$C$4,$P493='تقرير مايو'!$C$6),COUNT(AE$4:AE492)+1,"")</f>
        <v/>
      </c>
    </row>
    <row r="494">
      <c r="A494" s="16" t="n"/>
      <c r="B494" s="17" t="n"/>
      <c r="C494" s="17" t="n"/>
      <c r="D494" s="18" t="n"/>
      <c r="E494" s="17" t="n"/>
      <c r="F494" s="17" t="n"/>
      <c r="G494" s="19" t="n"/>
      <c r="H494" s="17" t="n"/>
      <c r="I494" s="17" t="n"/>
      <c r="J494" s="17" t="n"/>
      <c r="K494" s="20">
        <f>IF($B494="","",IFERROR(INDEX(الموظفات!$A$5:$A$304,MATCH($B494,الموظفات!$B$5:$B$304,0))&amp;"",""))</f>
        <v/>
      </c>
      <c r="L494" s="21">
        <f>IF($B494="","",IFERROR(INDEX(الموظفات!$C$5:$C$304,MATCH($B494,الموظفات!$B$5:$B$304,0))&amp;"",""))</f>
        <v/>
      </c>
      <c r="M494" s="20">
        <f>IF($B494="","",IFERROR(INDEX(الموظفات!$D$5:$D$304,MATCH($B494,الموظفات!$B$5:$B$304,0))&amp;"",""))</f>
        <v/>
      </c>
      <c r="N494" s="20">
        <f>IF($B494="","",IFERROR(INDEX(الموظفات!$E$5:$E$304,MATCH($B494,الموظفات!$B$5:$B$304,0))&amp;"",""))</f>
        <v/>
      </c>
      <c r="O494" s="21">
        <f>IF(C494="","",IFERROR(INDEX(الإعدادات!$D$7:$D$35,MATCH(C494,الإعدادات!$A$7:$A$35,0))&amp;"",""))</f>
        <v/>
      </c>
      <c r="P494" s="20">
        <f>IF(A494="","",INDEX(الإعدادات!$H$7:$H$18,MONTH(A494)))</f>
        <v/>
      </c>
      <c r="Q494" s="20">
        <f>IF(A494="","",INDEX(الإعدادات!$I$7:$I$18,MONTH(A494)))</f>
        <v/>
      </c>
      <c r="R494" s="20">
        <f>IF(A494="","",IF(MONTH(A494)&gt;=8,YEAR(A494)&amp;"-"&amp;(YEAR(A494)+1),(YEAR(A494)-1)&amp;"-"&amp;YEAR(A494)))</f>
        <v/>
      </c>
      <c r="S494" s="20">
        <f>IF(OR(A494="",B494=""),0,IF(AND(R494=التقارير!$C$4,OR(التقارير!$C$5="سنوي",AND(التقارير!$C$5="شهري",P494=التقارير!$C$6),AND(التقارير!$C$5="فصلي",Q494=التقارير!$C$7))),1,0))</f>
        <v/>
      </c>
      <c r="T494" s="20">
        <f>IF(S494=1,COUNTIF($S$5:S494,1),"")</f>
        <v/>
      </c>
      <c r="U494">
        <f>IF(AND($A494&lt;&gt;"",$B494&lt;&gt;"",$R494='تقرير الفصل الأول'!$C$4,$Q494='تقرير الفصل الأول'!$C$7),COUNT(U$4:U493)+1,"")</f>
        <v/>
      </c>
      <c r="V494">
        <f>IF(AND($A494&lt;&gt;"",$B494&lt;&gt;"",$R494='تقرير الفصل الثاني'!$C$4,$Q494='تقرير الفصل الثاني'!$C$7),COUNT(V$4:V493)+1,"")</f>
        <v/>
      </c>
      <c r="W494">
        <f>IF(AND($A494&lt;&gt;"",$B494&lt;&gt;"",$R494='تقرير سبتمبر'!$C$4,$P494='تقرير سبتمبر'!$C$6),COUNT(W$4:W493)+1,"")</f>
        <v/>
      </c>
      <c r="X494">
        <f>IF(AND($A494&lt;&gt;"",$B494&lt;&gt;"",$R494='تقرير أكتوبر'!$C$4,$P494='تقرير أكتوبر'!$C$6),COUNT(X$4:X493)+1,"")</f>
        <v/>
      </c>
      <c r="Y494">
        <f>IF(AND($A494&lt;&gt;"",$B494&lt;&gt;"",$R494='تقرير نوفمبر'!$C$4,$P494='تقرير نوفمبر'!$C$6),COUNT(Y$4:Y493)+1,"")</f>
        <v/>
      </c>
      <c r="Z494">
        <f>IF(AND($A494&lt;&gt;"",$B494&lt;&gt;"",$R494='تقرير ديسمبر'!$C$4,$P494='تقرير ديسمبر'!$C$6),COUNT(Z$4:Z493)+1,"")</f>
        <v/>
      </c>
      <c r="AA494">
        <f>IF(AND($A494&lt;&gt;"",$B494&lt;&gt;"",$R494='تقرير يناير'!$C$4,$P494='تقرير يناير'!$C$6),COUNT(AA$4:AA493)+1,"")</f>
        <v/>
      </c>
      <c r="AB494">
        <f>IF(AND($A494&lt;&gt;"",$B494&lt;&gt;"",$R494='تقرير فبراير'!$C$4,$P494='تقرير فبراير'!$C$6),COUNT(AB$4:AB493)+1,"")</f>
        <v/>
      </c>
      <c r="AC494">
        <f>IF(AND($A494&lt;&gt;"",$B494&lt;&gt;"",$R494='تقرير مارس'!$C$4,$P494='تقرير مارس'!$C$6),COUNT(AC$4:AC493)+1,"")</f>
        <v/>
      </c>
      <c r="AD494">
        <f>IF(AND($A494&lt;&gt;"",$B494&lt;&gt;"",$R494='تقرير أبريل'!$C$4,$P494='تقرير أبريل'!$C$6),COUNT(AD$4:AD493)+1,"")</f>
        <v/>
      </c>
      <c r="AE494">
        <f>IF(AND($A494&lt;&gt;"",$B494&lt;&gt;"",$R494='تقرير مايو'!$C$4,$P494='تقرير مايو'!$C$6),COUNT(AE$4:AE493)+1,"")</f>
        <v/>
      </c>
    </row>
    <row r="495">
      <c r="A495" s="16" t="n"/>
      <c r="B495" s="17" t="n"/>
      <c r="C495" s="17" t="n"/>
      <c r="D495" s="18" t="n"/>
      <c r="E495" s="17" t="n"/>
      <c r="F495" s="17" t="n"/>
      <c r="G495" s="19" t="n"/>
      <c r="H495" s="17" t="n"/>
      <c r="I495" s="17" t="n"/>
      <c r="J495" s="17" t="n"/>
      <c r="K495" s="20">
        <f>IF($B495="","",IFERROR(INDEX(الموظفات!$A$5:$A$304,MATCH($B495,الموظفات!$B$5:$B$304,0))&amp;"",""))</f>
        <v/>
      </c>
      <c r="L495" s="21">
        <f>IF($B495="","",IFERROR(INDEX(الموظفات!$C$5:$C$304,MATCH($B495,الموظفات!$B$5:$B$304,0))&amp;"",""))</f>
        <v/>
      </c>
      <c r="M495" s="20">
        <f>IF($B495="","",IFERROR(INDEX(الموظفات!$D$5:$D$304,MATCH($B495,الموظفات!$B$5:$B$304,0))&amp;"",""))</f>
        <v/>
      </c>
      <c r="N495" s="20">
        <f>IF($B495="","",IFERROR(INDEX(الموظفات!$E$5:$E$304,MATCH($B495,الموظفات!$B$5:$B$304,0))&amp;"",""))</f>
        <v/>
      </c>
      <c r="O495" s="21">
        <f>IF(C495="","",IFERROR(INDEX(الإعدادات!$D$7:$D$35,MATCH(C495,الإعدادات!$A$7:$A$35,0))&amp;"",""))</f>
        <v/>
      </c>
      <c r="P495" s="20">
        <f>IF(A495="","",INDEX(الإعدادات!$H$7:$H$18,MONTH(A495)))</f>
        <v/>
      </c>
      <c r="Q495" s="20">
        <f>IF(A495="","",INDEX(الإعدادات!$I$7:$I$18,MONTH(A495)))</f>
        <v/>
      </c>
      <c r="R495" s="20">
        <f>IF(A495="","",IF(MONTH(A495)&gt;=8,YEAR(A495)&amp;"-"&amp;(YEAR(A495)+1),(YEAR(A495)-1)&amp;"-"&amp;YEAR(A495)))</f>
        <v/>
      </c>
      <c r="S495" s="20">
        <f>IF(OR(A495="",B495=""),0,IF(AND(R495=التقارير!$C$4,OR(التقارير!$C$5="سنوي",AND(التقارير!$C$5="شهري",P495=التقارير!$C$6),AND(التقارير!$C$5="فصلي",Q495=التقارير!$C$7))),1,0))</f>
        <v/>
      </c>
      <c r="T495" s="20">
        <f>IF(S495=1,COUNTIF($S$5:S495,1),"")</f>
        <v/>
      </c>
      <c r="U495">
        <f>IF(AND($A495&lt;&gt;"",$B495&lt;&gt;"",$R495='تقرير الفصل الأول'!$C$4,$Q495='تقرير الفصل الأول'!$C$7),COUNT(U$4:U494)+1,"")</f>
        <v/>
      </c>
      <c r="V495">
        <f>IF(AND($A495&lt;&gt;"",$B495&lt;&gt;"",$R495='تقرير الفصل الثاني'!$C$4,$Q495='تقرير الفصل الثاني'!$C$7),COUNT(V$4:V494)+1,"")</f>
        <v/>
      </c>
      <c r="W495">
        <f>IF(AND($A495&lt;&gt;"",$B495&lt;&gt;"",$R495='تقرير سبتمبر'!$C$4,$P495='تقرير سبتمبر'!$C$6),COUNT(W$4:W494)+1,"")</f>
        <v/>
      </c>
      <c r="X495">
        <f>IF(AND($A495&lt;&gt;"",$B495&lt;&gt;"",$R495='تقرير أكتوبر'!$C$4,$P495='تقرير أكتوبر'!$C$6),COUNT(X$4:X494)+1,"")</f>
        <v/>
      </c>
      <c r="Y495">
        <f>IF(AND($A495&lt;&gt;"",$B495&lt;&gt;"",$R495='تقرير نوفمبر'!$C$4,$P495='تقرير نوفمبر'!$C$6),COUNT(Y$4:Y494)+1,"")</f>
        <v/>
      </c>
      <c r="Z495">
        <f>IF(AND($A495&lt;&gt;"",$B495&lt;&gt;"",$R495='تقرير ديسمبر'!$C$4,$P495='تقرير ديسمبر'!$C$6),COUNT(Z$4:Z494)+1,"")</f>
        <v/>
      </c>
      <c r="AA495">
        <f>IF(AND($A495&lt;&gt;"",$B495&lt;&gt;"",$R495='تقرير يناير'!$C$4,$P495='تقرير يناير'!$C$6),COUNT(AA$4:AA494)+1,"")</f>
        <v/>
      </c>
      <c r="AB495">
        <f>IF(AND($A495&lt;&gt;"",$B495&lt;&gt;"",$R495='تقرير فبراير'!$C$4,$P495='تقرير فبراير'!$C$6),COUNT(AB$4:AB494)+1,"")</f>
        <v/>
      </c>
      <c r="AC495">
        <f>IF(AND($A495&lt;&gt;"",$B495&lt;&gt;"",$R495='تقرير مارس'!$C$4,$P495='تقرير مارس'!$C$6),COUNT(AC$4:AC494)+1,"")</f>
        <v/>
      </c>
      <c r="AD495">
        <f>IF(AND($A495&lt;&gt;"",$B495&lt;&gt;"",$R495='تقرير أبريل'!$C$4,$P495='تقرير أبريل'!$C$6),COUNT(AD$4:AD494)+1,"")</f>
        <v/>
      </c>
      <c r="AE495">
        <f>IF(AND($A495&lt;&gt;"",$B495&lt;&gt;"",$R495='تقرير مايو'!$C$4,$P495='تقرير مايو'!$C$6),COUNT(AE$4:AE494)+1,"")</f>
        <v/>
      </c>
    </row>
    <row r="496">
      <c r="A496" s="16" t="n"/>
      <c r="B496" s="17" t="n"/>
      <c r="C496" s="17" t="n"/>
      <c r="D496" s="18" t="n"/>
      <c r="E496" s="17" t="n"/>
      <c r="F496" s="17" t="n"/>
      <c r="G496" s="19" t="n"/>
      <c r="H496" s="17" t="n"/>
      <c r="I496" s="17" t="n"/>
      <c r="J496" s="17" t="n"/>
      <c r="K496" s="20">
        <f>IF($B496="","",IFERROR(INDEX(الموظفات!$A$5:$A$304,MATCH($B496,الموظفات!$B$5:$B$304,0))&amp;"",""))</f>
        <v/>
      </c>
      <c r="L496" s="21">
        <f>IF($B496="","",IFERROR(INDEX(الموظفات!$C$5:$C$304,MATCH($B496,الموظفات!$B$5:$B$304,0))&amp;"",""))</f>
        <v/>
      </c>
      <c r="M496" s="20">
        <f>IF($B496="","",IFERROR(INDEX(الموظفات!$D$5:$D$304,MATCH($B496,الموظفات!$B$5:$B$304,0))&amp;"",""))</f>
        <v/>
      </c>
      <c r="N496" s="20">
        <f>IF($B496="","",IFERROR(INDEX(الموظفات!$E$5:$E$304,MATCH($B496,الموظفات!$B$5:$B$304,0))&amp;"",""))</f>
        <v/>
      </c>
      <c r="O496" s="21">
        <f>IF(C496="","",IFERROR(INDEX(الإعدادات!$D$7:$D$35,MATCH(C496,الإعدادات!$A$7:$A$35,0))&amp;"",""))</f>
        <v/>
      </c>
      <c r="P496" s="20">
        <f>IF(A496="","",INDEX(الإعدادات!$H$7:$H$18,MONTH(A496)))</f>
        <v/>
      </c>
      <c r="Q496" s="20">
        <f>IF(A496="","",INDEX(الإعدادات!$I$7:$I$18,MONTH(A496)))</f>
        <v/>
      </c>
      <c r="R496" s="20">
        <f>IF(A496="","",IF(MONTH(A496)&gt;=8,YEAR(A496)&amp;"-"&amp;(YEAR(A496)+1),(YEAR(A496)-1)&amp;"-"&amp;YEAR(A496)))</f>
        <v/>
      </c>
      <c r="S496" s="20">
        <f>IF(OR(A496="",B496=""),0,IF(AND(R496=التقارير!$C$4,OR(التقارير!$C$5="سنوي",AND(التقارير!$C$5="شهري",P496=التقارير!$C$6),AND(التقارير!$C$5="فصلي",Q496=التقارير!$C$7))),1,0))</f>
        <v/>
      </c>
      <c r="T496" s="20">
        <f>IF(S496=1,COUNTIF($S$5:S496,1),"")</f>
        <v/>
      </c>
      <c r="U496">
        <f>IF(AND($A496&lt;&gt;"",$B496&lt;&gt;"",$R496='تقرير الفصل الأول'!$C$4,$Q496='تقرير الفصل الأول'!$C$7),COUNT(U$4:U495)+1,"")</f>
        <v/>
      </c>
      <c r="V496">
        <f>IF(AND($A496&lt;&gt;"",$B496&lt;&gt;"",$R496='تقرير الفصل الثاني'!$C$4,$Q496='تقرير الفصل الثاني'!$C$7),COUNT(V$4:V495)+1,"")</f>
        <v/>
      </c>
      <c r="W496">
        <f>IF(AND($A496&lt;&gt;"",$B496&lt;&gt;"",$R496='تقرير سبتمبر'!$C$4,$P496='تقرير سبتمبر'!$C$6),COUNT(W$4:W495)+1,"")</f>
        <v/>
      </c>
      <c r="X496">
        <f>IF(AND($A496&lt;&gt;"",$B496&lt;&gt;"",$R496='تقرير أكتوبر'!$C$4,$P496='تقرير أكتوبر'!$C$6),COUNT(X$4:X495)+1,"")</f>
        <v/>
      </c>
      <c r="Y496">
        <f>IF(AND($A496&lt;&gt;"",$B496&lt;&gt;"",$R496='تقرير نوفمبر'!$C$4,$P496='تقرير نوفمبر'!$C$6),COUNT(Y$4:Y495)+1,"")</f>
        <v/>
      </c>
      <c r="Z496">
        <f>IF(AND($A496&lt;&gt;"",$B496&lt;&gt;"",$R496='تقرير ديسمبر'!$C$4,$P496='تقرير ديسمبر'!$C$6),COUNT(Z$4:Z495)+1,"")</f>
        <v/>
      </c>
      <c r="AA496">
        <f>IF(AND($A496&lt;&gt;"",$B496&lt;&gt;"",$R496='تقرير يناير'!$C$4,$P496='تقرير يناير'!$C$6),COUNT(AA$4:AA495)+1,"")</f>
        <v/>
      </c>
      <c r="AB496">
        <f>IF(AND($A496&lt;&gt;"",$B496&lt;&gt;"",$R496='تقرير فبراير'!$C$4,$P496='تقرير فبراير'!$C$6),COUNT(AB$4:AB495)+1,"")</f>
        <v/>
      </c>
      <c r="AC496">
        <f>IF(AND($A496&lt;&gt;"",$B496&lt;&gt;"",$R496='تقرير مارس'!$C$4,$P496='تقرير مارس'!$C$6),COUNT(AC$4:AC495)+1,"")</f>
        <v/>
      </c>
      <c r="AD496">
        <f>IF(AND($A496&lt;&gt;"",$B496&lt;&gt;"",$R496='تقرير أبريل'!$C$4,$P496='تقرير أبريل'!$C$6),COUNT(AD$4:AD495)+1,"")</f>
        <v/>
      </c>
      <c r="AE496">
        <f>IF(AND($A496&lt;&gt;"",$B496&lt;&gt;"",$R496='تقرير مايو'!$C$4,$P496='تقرير مايو'!$C$6),COUNT(AE$4:AE495)+1,"")</f>
        <v/>
      </c>
    </row>
    <row r="497">
      <c r="A497" s="16" t="n"/>
      <c r="B497" s="17" t="n"/>
      <c r="C497" s="17" t="n"/>
      <c r="D497" s="18" t="n"/>
      <c r="E497" s="17" t="n"/>
      <c r="F497" s="17" t="n"/>
      <c r="G497" s="19" t="n"/>
      <c r="H497" s="17" t="n"/>
      <c r="I497" s="17" t="n"/>
      <c r="J497" s="17" t="n"/>
      <c r="K497" s="20">
        <f>IF($B497="","",IFERROR(INDEX(الموظفات!$A$5:$A$304,MATCH($B497,الموظفات!$B$5:$B$304,0))&amp;"",""))</f>
        <v/>
      </c>
      <c r="L497" s="21">
        <f>IF($B497="","",IFERROR(INDEX(الموظفات!$C$5:$C$304,MATCH($B497,الموظفات!$B$5:$B$304,0))&amp;"",""))</f>
        <v/>
      </c>
      <c r="M497" s="20">
        <f>IF($B497="","",IFERROR(INDEX(الموظفات!$D$5:$D$304,MATCH($B497,الموظفات!$B$5:$B$304,0))&amp;"",""))</f>
        <v/>
      </c>
      <c r="N497" s="20">
        <f>IF($B497="","",IFERROR(INDEX(الموظفات!$E$5:$E$304,MATCH($B497,الموظفات!$B$5:$B$304,0))&amp;"",""))</f>
        <v/>
      </c>
      <c r="O497" s="21">
        <f>IF(C497="","",IFERROR(INDEX(الإعدادات!$D$7:$D$35,MATCH(C497,الإعدادات!$A$7:$A$35,0))&amp;"",""))</f>
        <v/>
      </c>
      <c r="P497" s="20">
        <f>IF(A497="","",INDEX(الإعدادات!$H$7:$H$18,MONTH(A497)))</f>
        <v/>
      </c>
      <c r="Q497" s="20">
        <f>IF(A497="","",INDEX(الإعدادات!$I$7:$I$18,MONTH(A497)))</f>
        <v/>
      </c>
      <c r="R497" s="20">
        <f>IF(A497="","",IF(MONTH(A497)&gt;=8,YEAR(A497)&amp;"-"&amp;(YEAR(A497)+1),(YEAR(A497)-1)&amp;"-"&amp;YEAR(A497)))</f>
        <v/>
      </c>
      <c r="S497" s="20">
        <f>IF(OR(A497="",B497=""),0,IF(AND(R497=التقارير!$C$4,OR(التقارير!$C$5="سنوي",AND(التقارير!$C$5="شهري",P497=التقارير!$C$6),AND(التقارير!$C$5="فصلي",Q497=التقارير!$C$7))),1,0))</f>
        <v/>
      </c>
      <c r="T497" s="20">
        <f>IF(S497=1,COUNTIF($S$5:S497,1),"")</f>
        <v/>
      </c>
      <c r="U497">
        <f>IF(AND($A497&lt;&gt;"",$B497&lt;&gt;"",$R497='تقرير الفصل الأول'!$C$4,$Q497='تقرير الفصل الأول'!$C$7),COUNT(U$4:U496)+1,"")</f>
        <v/>
      </c>
      <c r="V497">
        <f>IF(AND($A497&lt;&gt;"",$B497&lt;&gt;"",$R497='تقرير الفصل الثاني'!$C$4,$Q497='تقرير الفصل الثاني'!$C$7),COUNT(V$4:V496)+1,"")</f>
        <v/>
      </c>
      <c r="W497">
        <f>IF(AND($A497&lt;&gt;"",$B497&lt;&gt;"",$R497='تقرير سبتمبر'!$C$4,$P497='تقرير سبتمبر'!$C$6),COUNT(W$4:W496)+1,"")</f>
        <v/>
      </c>
      <c r="X497">
        <f>IF(AND($A497&lt;&gt;"",$B497&lt;&gt;"",$R497='تقرير أكتوبر'!$C$4,$P497='تقرير أكتوبر'!$C$6),COUNT(X$4:X496)+1,"")</f>
        <v/>
      </c>
      <c r="Y497">
        <f>IF(AND($A497&lt;&gt;"",$B497&lt;&gt;"",$R497='تقرير نوفمبر'!$C$4,$P497='تقرير نوفمبر'!$C$6),COUNT(Y$4:Y496)+1,"")</f>
        <v/>
      </c>
      <c r="Z497">
        <f>IF(AND($A497&lt;&gt;"",$B497&lt;&gt;"",$R497='تقرير ديسمبر'!$C$4,$P497='تقرير ديسمبر'!$C$6),COUNT(Z$4:Z496)+1,"")</f>
        <v/>
      </c>
      <c r="AA497">
        <f>IF(AND($A497&lt;&gt;"",$B497&lt;&gt;"",$R497='تقرير يناير'!$C$4,$P497='تقرير يناير'!$C$6),COUNT(AA$4:AA496)+1,"")</f>
        <v/>
      </c>
      <c r="AB497">
        <f>IF(AND($A497&lt;&gt;"",$B497&lt;&gt;"",$R497='تقرير فبراير'!$C$4,$P497='تقرير فبراير'!$C$6),COUNT(AB$4:AB496)+1,"")</f>
        <v/>
      </c>
      <c r="AC497">
        <f>IF(AND($A497&lt;&gt;"",$B497&lt;&gt;"",$R497='تقرير مارس'!$C$4,$P497='تقرير مارس'!$C$6),COUNT(AC$4:AC496)+1,"")</f>
        <v/>
      </c>
      <c r="AD497">
        <f>IF(AND($A497&lt;&gt;"",$B497&lt;&gt;"",$R497='تقرير أبريل'!$C$4,$P497='تقرير أبريل'!$C$6),COUNT(AD$4:AD496)+1,"")</f>
        <v/>
      </c>
      <c r="AE497">
        <f>IF(AND($A497&lt;&gt;"",$B497&lt;&gt;"",$R497='تقرير مايو'!$C$4,$P497='تقرير مايو'!$C$6),COUNT(AE$4:AE496)+1,"")</f>
        <v/>
      </c>
    </row>
    <row r="498">
      <c r="A498" s="16" t="n"/>
      <c r="B498" s="17" t="n"/>
      <c r="C498" s="17" t="n"/>
      <c r="D498" s="18" t="n"/>
      <c r="E498" s="17" t="n"/>
      <c r="F498" s="17" t="n"/>
      <c r="G498" s="19" t="n"/>
      <c r="H498" s="17" t="n"/>
      <c r="I498" s="17" t="n"/>
      <c r="J498" s="17" t="n"/>
      <c r="K498" s="20">
        <f>IF($B498="","",IFERROR(INDEX(الموظفات!$A$5:$A$304,MATCH($B498,الموظفات!$B$5:$B$304,0))&amp;"",""))</f>
        <v/>
      </c>
      <c r="L498" s="21">
        <f>IF($B498="","",IFERROR(INDEX(الموظفات!$C$5:$C$304,MATCH($B498,الموظفات!$B$5:$B$304,0))&amp;"",""))</f>
        <v/>
      </c>
      <c r="M498" s="20">
        <f>IF($B498="","",IFERROR(INDEX(الموظفات!$D$5:$D$304,MATCH($B498,الموظفات!$B$5:$B$304,0))&amp;"",""))</f>
        <v/>
      </c>
      <c r="N498" s="20">
        <f>IF($B498="","",IFERROR(INDEX(الموظفات!$E$5:$E$304,MATCH($B498,الموظفات!$B$5:$B$304,0))&amp;"",""))</f>
        <v/>
      </c>
      <c r="O498" s="21">
        <f>IF(C498="","",IFERROR(INDEX(الإعدادات!$D$7:$D$35,MATCH(C498,الإعدادات!$A$7:$A$35,0))&amp;"",""))</f>
        <v/>
      </c>
      <c r="P498" s="20">
        <f>IF(A498="","",INDEX(الإعدادات!$H$7:$H$18,MONTH(A498)))</f>
        <v/>
      </c>
      <c r="Q498" s="20">
        <f>IF(A498="","",INDEX(الإعدادات!$I$7:$I$18,MONTH(A498)))</f>
        <v/>
      </c>
      <c r="R498" s="20">
        <f>IF(A498="","",IF(MONTH(A498)&gt;=8,YEAR(A498)&amp;"-"&amp;(YEAR(A498)+1),(YEAR(A498)-1)&amp;"-"&amp;YEAR(A498)))</f>
        <v/>
      </c>
      <c r="S498" s="20">
        <f>IF(OR(A498="",B498=""),0,IF(AND(R498=التقارير!$C$4,OR(التقارير!$C$5="سنوي",AND(التقارير!$C$5="شهري",P498=التقارير!$C$6),AND(التقارير!$C$5="فصلي",Q498=التقارير!$C$7))),1,0))</f>
        <v/>
      </c>
      <c r="T498" s="20">
        <f>IF(S498=1,COUNTIF($S$5:S498,1),"")</f>
        <v/>
      </c>
      <c r="U498">
        <f>IF(AND($A498&lt;&gt;"",$B498&lt;&gt;"",$R498='تقرير الفصل الأول'!$C$4,$Q498='تقرير الفصل الأول'!$C$7),COUNT(U$4:U497)+1,"")</f>
        <v/>
      </c>
      <c r="V498">
        <f>IF(AND($A498&lt;&gt;"",$B498&lt;&gt;"",$R498='تقرير الفصل الثاني'!$C$4,$Q498='تقرير الفصل الثاني'!$C$7),COUNT(V$4:V497)+1,"")</f>
        <v/>
      </c>
      <c r="W498">
        <f>IF(AND($A498&lt;&gt;"",$B498&lt;&gt;"",$R498='تقرير سبتمبر'!$C$4,$P498='تقرير سبتمبر'!$C$6),COUNT(W$4:W497)+1,"")</f>
        <v/>
      </c>
      <c r="X498">
        <f>IF(AND($A498&lt;&gt;"",$B498&lt;&gt;"",$R498='تقرير أكتوبر'!$C$4,$P498='تقرير أكتوبر'!$C$6),COUNT(X$4:X497)+1,"")</f>
        <v/>
      </c>
      <c r="Y498">
        <f>IF(AND($A498&lt;&gt;"",$B498&lt;&gt;"",$R498='تقرير نوفمبر'!$C$4,$P498='تقرير نوفمبر'!$C$6),COUNT(Y$4:Y497)+1,"")</f>
        <v/>
      </c>
      <c r="Z498">
        <f>IF(AND($A498&lt;&gt;"",$B498&lt;&gt;"",$R498='تقرير ديسمبر'!$C$4,$P498='تقرير ديسمبر'!$C$6),COUNT(Z$4:Z497)+1,"")</f>
        <v/>
      </c>
      <c r="AA498">
        <f>IF(AND($A498&lt;&gt;"",$B498&lt;&gt;"",$R498='تقرير يناير'!$C$4,$P498='تقرير يناير'!$C$6),COUNT(AA$4:AA497)+1,"")</f>
        <v/>
      </c>
      <c r="AB498">
        <f>IF(AND($A498&lt;&gt;"",$B498&lt;&gt;"",$R498='تقرير فبراير'!$C$4,$P498='تقرير فبراير'!$C$6),COUNT(AB$4:AB497)+1,"")</f>
        <v/>
      </c>
      <c r="AC498">
        <f>IF(AND($A498&lt;&gt;"",$B498&lt;&gt;"",$R498='تقرير مارس'!$C$4,$P498='تقرير مارس'!$C$6),COUNT(AC$4:AC497)+1,"")</f>
        <v/>
      </c>
      <c r="AD498">
        <f>IF(AND($A498&lt;&gt;"",$B498&lt;&gt;"",$R498='تقرير أبريل'!$C$4,$P498='تقرير أبريل'!$C$6),COUNT(AD$4:AD497)+1,"")</f>
        <v/>
      </c>
      <c r="AE498">
        <f>IF(AND($A498&lt;&gt;"",$B498&lt;&gt;"",$R498='تقرير مايو'!$C$4,$P498='تقرير مايو'!$C$6),COUNT(AE$4:AE497)+1,"")</f>
        <v/>
      </c>
    </row>
    <row r="499">
      <c r="A499" s="16" t="n"/>
      <c r="B499" s="17" t="n"/>
      <c r="C499" s="17" t="n"/>
      <c r="D499" s="18" t="n"/>
      <c r="E499" s="17" t="n"/>
      <c r="F499" s="17" t="n"/>
      <c r="G499" s="19" t="n"/>
      <c r="H499" s="17" t="n"/>
      <c r="I499" s="17" t="n"/>
      <c r="J499" s="17" t="n"/>
      <c r="K499" s="20">
        <f>IF($B499="","",IFERROR(INDEX(الموظفات!$A$5:$A$304,MATCH($B499,الموظفات!$B$5:$B$304,0))&amp;"",""))</f>
        <v/>
      </c>
      <c r="L499" s="21">
        <f>IF($B499="","",IFERROR(INDEX(الموظفات!$C$5:$C$304,MATCH($B499,الموظفات!$B$5:$B$304,0))&amp;"",""))</f>
        <v/>
      </c>
      <c r="M499" s="20">
        <f>IF($B499="","",IFERROR(INDEX(الموظفات!$D$5:$D$304,MATCH($B499,الموظفات!$B$5:$B$304,0))&amp;"",""))</f>
        <v/>
      </c>
      <c r="N499" s="20">
        <f>IF($B499="","",IFERROR(INDEX(الموظفات!$E$5:$E$304,MATCH($B499,الموظفات!$B$5:$B$304,0))&amp;"",""))</f>
        <v/>
      </c>
      <c r="O499" s="21">
        <f>IF(C499="","",IFERROR(INDEX(الإعدادات!$D$7:$D$35,MATCH(C499,الإعدادات!$A$7:$A$35,0))&amp;"",""))</f>
        <v/>
      </c>
      <c r="P499" s="20">
        <f>IF(A499="","",INDEX(الإعدادات!$H$7:$H$18,MONTH(A499)))</f>
        <v/>
      </c>
      <c r="Q499" s="20">
        <f>IF(A499="","",INDEX(الإعدادات!$I$7:$I$18,MONTH(A499)))</f>
        <v/>
      </c>
      <c r="R499" s="20">
        <f>IF(A499="","",IF(MONTH(A499)&gt;=8,YEAR(A499)&amp;"-"&amp;(YEAR(A499)+1),(YEAR(A499)-1)&amp;"-"&amp;YEAR(A499)))</f>
        <v/>
      </c>
      <c r="S499" s="20">
        <f>IF(OR(A499="",B499=""),0,IF(AND(R499=التقارير!$C$4,OR(التقارير!$C$5="سنوي",AND(التقارير!$C$5="شهري",P499=التقارير!$C$6),AND(التقارير!$C$5="فصلي",Q499=التقارير!$C$7))),1,0))</f>
        <v/>
      </c>
      <c r="T499" s="20">
        <f>IF(S499=1,COUNTIF($S$5:S499,1),"")</f>
        <v/>
      </c>
      <c r="U499">
        <f>IF(AND($A499&lt;&gt;"",$B499&lt;&gt;"",$R499='تقرير الفصل الأول'!$C$4,$Q499='تقرير الفصل الأول'!$C$7),COUNT(U$4:U498)+1,"")</f>
        <v/>
      </c>
      <c r="V499">
        <f>IF(AND($A499&lt;&gt;"",$B499&lt;&gt;"",$R499='تقرير الفصل الثاني'!$C$4,$Q499='تقرير الفصل الثاني'!$C$7),COUNT(V$4:V498)+1,"")</f>
        <v/>
      </c>
      <c r="W499">
        <f>IF(AND($A499&lt;&gt;"",$B499&lt;&gt;"",$R499='تقرير سبتمبر'!$C$4,$P499='تقرير سبتمبر'!$C$6),COUNT(W$4:W498)+1,"")</f>
        <v/>
      </c>
      <c r="X499">
        <f>IF(AND($A499&lt;&gt;"",$B499&lt;&gt;"",$R499='تقرير أكتوبر'!$C$4,$P499='تقرير أكتوبر'!$C$6),COUNT(X$4:X498)+1,"")</f>
        <v/>
      </c>
      <c r="Y499">
        <f>IF(AND($A499&lt;&gt;"",$B499&lt;&gt;"",$R499='تقرير نوفمبر'!$C$4,$P499='تقرير نوفمبر'!$C$6),COUNT(Y$4:Y498)+1,"")</f>
        <v/>
      </c>
      <c r="Z499">
        <f>IF(AND($A499&lt;&gt;"",$B499&lt;&gt;"",$R499='تقرير ديسمبر'!$C$4,$P499='تقرير ديسمبر'!$C$6),COUNT(Z$4:Z498)+1,"")</f>
        <v/>
      </c>
      <c r="AA499">
        <f>IF(AND($A499&lt;&gt;"",$B499&lt;&gt;"",$R499='تقرير يناير'!$C$4,$P499='تقرير يناير'!$C$6),COUNT(AA$4:AA498)+1,"")</f>
        <v/>
      </c>
      <c r="AB499">
        <f>IF(AND($A499&lt;&gt;"",$B499&lt;&gt;"",$R499='تقرير فبراير'!$C$4,$P499='تقرير فبراير'!$C$6),COUNT(AB$4:AB498)+1,"")</f>
        <v/>
      </c>
      <c r="AC499">
        <f>IF(AND($A499&lt;&gt;"",$B499&lt;&gt;"",$R499='تقرير مارس'!$C$4,$P499='تقرير مارس'!$C$6),COUNT(AC$4:AC498)+1,"")</f>
        <v/>
      </c>
      <c r="AD499">
        <f>IF(AND($A499&lt;&gt;"",$B499&lt;&gt;"",$R499='تقرير أبريل'!$C$4,$P499='تقرير أبريل'!$C$6),COUNT(AD$4:AD498)+1,"")</f>
        <v/>
      </c>
      <c r="AE499">
        <f>IF(AND($A499&lt;&gt;"",$B499&lt;&gt;"",$R499='تقرير مايو'!$C$4,$P499='تقرير مايو'!$C$6),COUNT(AE$4:AE498)+1,"")</f>
        <v/>
      </c>
    </row>
    <row r="500">
      <c r="A500" s="16" t="n"/>
      <c r="B500" s="17" t="n"/>
      <c r="C500" s="17" t="n"/>
      <c r="D500" s="18" t="n"/>
      <c r="E500" s="17" t="n"/>
      <c r="F500" s="17" t="n"/>
      <c r="G500" s="19" t="n"/>
      <c r="H500" s="17" t="n"/>
      <c r="I500" s="17" t="n"/>
      <c r="J500" s="17" t="n"/>
      <c r="K500" s="20">
        <f>IF($B500="","",IFERROR(INDEX(الموظفات!$A$5:$A$304,MATCH($B500,الموظفات!$B$5:$B$304,0))&amp;"",""))</f>
        <v/>
      </c>
      <c r="L500" s="21">
        <f>IF($B500="","",IFERROR(INDEX(الموظفات!$C$5:$C$304,MATCH($B500,الموظفات!$B$5:$B$304,0))&amp;"",""))</f>
        <v/>
      </c>
      <c r="M500" s="20">
        <f>IF($B500="","",IFERROR(INDEX(الموظفات!$D$5:$D$304,MATCH($B500,الموظفات!$B$5:$B$304,0))&amp;"",""))</f>
        <v/>
      </c>
      <c r="N500" s="20">
        <f>IF($B500="","",IFERROR(INDEX(الموظفات!$E$5:$E$304,MATCH($B500,الموظفات!$B$5:$B$304,0))&amp;"",""))</f>
        <v/>
      </c>
      <c r="O500" s="21">
        <f>IF(C500="","",IFERROR(INDEX(الإعدادات!$D$7:$D$35,MATCH(C500,الإعدادات!$A$7:$A$35,0))&amp;"",""))</f>
        <v/>
      </c>
      <c r="P500" s="20">
        <f>IF(A500="","",INDEX(الإعدادات!$H$7:$H$18,MONTH(A500)))</f>
        <v/>
      </c>
      <c r="Q500" s="20">
        <f>IF(A500="","",INDEX(الإعدادات!$I$7:$I$18,MONTH(A500)))</f>
        <v/>
      </c>
      <c r="R500" s="20">
        <f>IF(A500="","",IF(MONTH(A500)&gt;=8,YEAR(A500)&amp;"-"&amp;(YEAR(A500)+1),(YEAR(A500)-1)&amp;"-"&amp;YEAR(A500)))</f>
        <v/>
      </c>
      <c r="S500" s="20">
        <f>IF(OR(A500="",B500=""),0,IF(AND(R500=التقارير!$C$4,OR(التقارير!$C$5="سنوي",AND(التقارير!$C$5="شهري",P500=التقارير!$C$6),AND(التقارير!$C$5="فصلي",Q500=التقارير!$C$7))),1,0))</f>
        <v/>
      </c>
      <c r="T500" s="20">
        <f>IF(S500=1,COUNTIF($S$5:S500,1),"")</f>
        <v/>
      </c>
      <c r="U500">
        <f>IF(AND($A500&lt;&gt;"",$B500&lt;&gt;"",$R500='تقرير الفصل الأول'!$C$4,$Q500='تقرير الفصل الأول'!$C$7),COUNT(U$4:U499)+1,"")</f>
        <v/>
      </c>
      <c r="V500">
        <f>IF(AND($A500&lt;&gt;"",$B500&lt;&gt;"",$R500='تقرير الفصل الثاني'!$C$4,$Q500='تقرير الفصل الثاني'!$C$7),COUNT(V$4:V499)+1,"")</f>
        <v/>
      </c>
      <c r="W500">
        <f>IF(AND($A500&lt;&gt;"",$B500&lt;&gt;"",$R500='تقرير سبتمبر'!$C$4,$P500='تقرير سبتمبر'!$C$6),COUNT(W$4:W499)+1,"")</f>
        <v/>
      </c>
      <c r="X500">
        <f>IF(AND($A500&lt;&gt;"",$B500&lt;&gt;"",$R500='تقرير أكتوبر'!$C$4,$P500='تقرير أكتوبر'!$C$6),COUNT(X$4:X499)+1,"")</f>
        <v/>
      </c>
      <c r="Y500">
        <f>IF(AND($A500&lt;&gt;"",$B500&lt;&gt;"",$R500='تقرير نوفمبر'!$C$4,$P500='تقرير نوفمبر'!$C$6),COUNT(Y$4:Y499)+1,"")</f>
        <v/>
      </c>
      <c r="Z500">
        <f>IF(AND($A500&lt;&gt;"",$B500&lt;&gt;"",$R500='تقرير ديسمبر'!$C$4,$P500='تقرير ديسمبر'!$C$6),COUNT(Z$4:Z499)+1,"")</f>
        <v/>
      </c>
      <c r="AA500">
        <f>IF(AND($A500&lt;&gt;"",$B500&lt;&gt;"",$R500='تقرير يناير'!$C$4,$P500='تقرير يناير'!$C$6),COUNT(AA$4:AA499)+1,"")</f>
        <v/>
      </c>
      <c r="AB500">
        <f>IF(AND($A500&lt;&gt;"",$B500&lt;&gt;"",$R500='تقرير فبراير'!$C$4,$P500='تقرير فبراير'!$C$6),COUNT(AB$4:AB499)+1,"")</f>
        <v/>
      </c>
      <c r="AC500">
        <f>IF(AND($A500&lt;&gt;"",$B500&lt;&gt;"",$R500='تقرير مارس'!$C$4,$P500='تقرير مارس'!$C$6),COUNT(AC$4:AC499)+1,"")</f>
        <v/>
      </c>
      <c r="AD500">
        <f>IF(AND($A500&lt;&gt;"",$B500&lt;&gt;"",$R500='تقرير أبريل'!$C$4,$P500='تقرير أبريل'!$C$6),COUNT(AD$4:AD499)+1,"")</f>
        <v/>
      </c>
      <c r="AE500">
        <f>IF(AND($A500&lt;&gt;"",$B500&lt;&gt;"",$R500='تقرير مايو'!$C$4,$P500='تقرير مايو'!$C$6),COUNT(AE$4:AE499)+1,"")</f>
        <v/>
      </c>
    </row>
    <row r="501">
      <c r="A501" s="16" t="n"/>
      <c r="B501" s="17" t="n"/>
      <c r="C501" s="17" t="n"/>
      <c r="D501" s="18" t="n"/>
      <c r="E501" s="17" t="n"/>
      <c r="F501" s="17" t="n"/>
      <c r="G501" s="19" t="n"/>
      <c r="H501" s="17" t="n"/>
      <c r="I501" s="17" t="n"/>
      <c r="J501" s="17" t="n"/>
      <c r="K501" s="20">
        <f>IF($B501="","",IFERROR(INDEX(الموظفات!$A$5:$A$304,MATCH($B501,الموظفات!$B$5:$B$304,0))&amp;"",""))</f>
        <v/>
      </c>
      <c r="L501" s="21">
        <f>IF($B501="","",IFERROR(INDEX(الموظفات!$C$5:$C$304,MATCH($B501,الموظفات!$B$5:$B$304,0))&amp;"",""))</f>
        <v/>
      </c>
      <c r="M501" s="20">
        <f>IF($B501="","",IFERROR(INDEX(الموظفات!$D$5:$D$304,MATCH($B501,الموظفات!$B$5:$B$304,0))&amp;"",""))</f>
        <v/>
      </c>
      <c r="N501" s="20">
        <f>IF($B501="","",IFERROR(INDEX(الموظفات!$E$5:$E$304,MATCH($B501,الموظفات!$B$5:$B$304,0))&amp;"",""))</f>
        <v/>
      </c>
      <c r="O501" s="21">
        <f>IF(C501="","",IFERROR(INDEX(الإعدادات!$D$7:$D$35,MATCH(C501,الإعدادات!$A$7:$A$35,0))&amp;"",""))</f>
        <v/>
      </c>
      <c r="P501" s="20">
        <f>IF(A501="","",INDEX(الإعدادات!$H$7:$H$18,MONTH(A501)))</f>
        <v/>
      </c>
      <c r="Q501" s="20">
        <f>IF(A501="","",INDEX(الإعدادات!$I$7:$I$18,MONTH(A501)))</f>
        <v/>
      </c>
      <c r="R501" s="20">
        <f>IF(A501="","",IF(MONTH(A501)&gt;=8,YEAR(A501)&amp;"-"&amp;(YEAR(A501)+1),(YEAR(A501)-1)&amp;"-"&amp;YEAR(A501)))</f>
        <v/>
      </c>
      <c r="S501" s="20">
        <f>IF(OR(A501="",B501=""),0,IF(AND(R501=التقارير!$C$4,OR(التقارير!$C$5="سنوي",AND(التقارير!$C$5="شهري",P501=التقارير!$C$6),AND(التقارير!$C$5="فصلي",Q501=التقارير!$C$7))),1,0))</f>
        <v/>
      </c>
      <c r="T501" s="20">
        <f>IF(S501=1,COUNTIF($S$5:S501,1),"")</f>
        <v/>
      </c>
      <c r="U501">
        <f>IF(AND($A501&lt;&gt;"",$B501&lt;&gt;"",$R501='تقرير الفصل الأول'!$C$4,$Q501='تقرير الفصل الأول'!$C$7),COUNT(U$4:U500)+1,"")</f>
        <v/>
      </c>
      <c r="V501">
        <f>IF(AND($A501&lt;&gt;"",$B501&lt;&gt;"",$R501='تقرير الفصل الثاني'!$C$4,$Q501='تقرير الفصل الثاني'!$C$7),COUNT(V$4:V500)+1,"")</f>
        <v/>
      </c>
      <c r="W501">
        <f>IF(AND($A501&lt;&gt;"",$B501&lt;&gt;"",$R501='تقرير سبتمبر'!$C$4,$P501='تقرير سبتمبر'!$C$6),COUNT(W$4:W500)+1,"")</f>
        <v/>
      </c>
      <c r="X501">
        <f>IF(AND($A501&lt;&gt;"",$B501&lt;&gt;"",$R501='تقرير أكتوبر'!$C$4,$P501='تقرير أكتوبر'!$C$6),COUNT(X$4:X500)+1,"")</f>
        <v/>
      </c>
      <c r="Y501">
        <f>IF(AND($A501&lt;&gt;"",$B501&lt;&gt;"",$R501='تقرير نوفمبر'!$C$4,$P501='تقرير نوفمبر'!$C$6),COUNT(Y$4:Y500)+1,"")</f>
        <v/>
      </c>
      <c r="Z501">
        <f>IF(AND($A501&lt;&gt;"",$B501&lt;&gt;"",$R501='تقرير ديسمبر'!$C$4,$P501='تقرير ديسمبر'!$C$6),COUNT(Z$4:Z500)+1,"")</f>
        <v/>
      </c>
      <c r="AA501">
        <f>IF(AND($A501&lt;&gt;"",$B501&lt;&gt;"",$R501='تقرير يناير'!$C$4,$P501='تقرير يناير'!$C$6),COUNT(AA$4:AA500)+1,"")</f>
        <v/>
      </c>
      <c r="AB501">
        <f>IF(AND($A501&lt;&gt;"",$B501&lt;&gt;"",$R501='تقرير فبراير'!$C$4,$P501='تقرير فبراير'!$C$6),COUNT(AB$4:AB500)+1,"")</f>
        <v/>
      </c>
      <c r="AC501">
        <f>IF(AND($A501&lt;&gt;"",$B501&lt;&gt;"",$R501='تقرير مارس'!$C$4,$P501='تقرير مارس'!$C$6),COUNT(AC$4:AC500)+1,"")</f>
        <v/>
      </c>
      <c r="AD501">
        <f>IF(AND($A501&lt;&gt;"",$B501&lt;&gt;"",$R501='تقرير أبريل'!$C$4,$P501='تقرير أبريل'!$C$6),COUNT(AD$4:AD500)+1,"")</f>
        <v/>
      </c>
      <c r="AE501">
        <f>IF(AND($A501&lt;&gt;"",$B501&lt;&gt;"",$R501='تقرير مايو'!$C$4,$P501='تقرير مايو'!$C$6),COUNT(AE$4:AE500)+1,"")</f>
        <v/>
      </c>
    </row>
    <row r="502">
      <c r="A502" s="16" t="n"/>
      <c r="B502" s="17" t="n"/>
      <c r="C502" s="17" t="n"/>
      <c r="D502" s="18" t="n"/>
      <c r="E502" s="17" t="n"/>
      <c r="F502" s="17" t="n"/>
      <c r="G502" s="19" t="n"/>
      <c r="H502" s="17" t="n"/>
      <c r="I502" s="17" t="n"/>
      <c r="J502" s="17" t="n"/>
      <c r="K502" s="20">
        <f>IF($B502="","",IFERROR(INDEX(الموظفات!$A$5:$A$304,MATCH($B502,الموظفات!$B$5:$B$304,0))&amp;"",""))</f>
        <v/>
      </c>
      <c r="L502" s="21">
        <f>IF($B502="","",IFERROR(INDEX(الموظفات!$C$5:$C$304,MATCH($B502,الموظفات!$B$5:$B$304,0))&amp;"",""))</f>
        <v/>
      </c>
      <c r="M502" s="20">
        <f>IF($B502="","",IFERROR(INDEX(الموظفات!$D$5:$D$304,MATCH($B502,الموظفات!$B$5:$B$304,0))&amp;"",""))</f>
        <v/>
      </c>
      <c r="N502" s="20">
        <f>IF($B502="","",IFERROR(INDEX(الموظفات!$E$5:$E$304,MATCH($B502,الموظفات!$B$5:$B$304,0))&amp;"",""))</f>
        <v/>
      </c>
      <c r="O502" s="21">
        <f>IF(C502="","",IFERROR(INDEX(الإعدادات!$D$7:$D$35,MATCH(C502,الإعدادات!$A$7:$A$35,0))&amp;"",""))</f>
        <v/>
      </c>
      <c r="P502" s="20">
        <f>IF(A502="","",INDEX(الإعدادات!$H$7:$H$18,MONTH(A502)))</f>
        <v/>
      </c>
      <c r="Q502" s="20">
        <f>IF(A502="","",INDEX(الإعدادات!$I$7:$I$18,MONTH(A502)))</f>
        <v/>
      </c>
      <c r="R502" s="20">
        <f>IF(A502="","",IF(MONTH(A502)&gt;=8,YEAR(A502)&amp;"-"&amp;(YEAR(A502)+1),(YEAR(A502)-1)&amp;"-"&amp;YEAR(A502)))</f>
        <v/>
      </c>
      <c r="S502" s="20">
        <f>IF(OR(A502="",B502=""),0,IF(AND(R502=التقارير!$C$4,OR(التقارير!$C$5="سنوي",AND(التقارير!$C$5="شهري",P502=التقارير!$C$6),AND(التقارير!$C$5="فصلي",Q502=التقارير!$C$7))),1,0))</f>
        <v/>
      </c>
      <c r="T502" s="20">
        <f>IF(S502=1,COUNTIF($S$5:S502,1),"")</f>
        <v/>
      </c>
      <c r="U502">
        <f>IF(AND($A502&lt;&gt;"",$B502&lt;&gt;"",$R502='تقرير الفصل الأول'!$C$4,$Q502='تقرير الفصل الأول'!$C$7),COUNT(U$4:U501)+1,"")</f>
        <v/>
      </c>
      <c r="V502">
        <f>IF(AND($A502&lt;&gt;"",$B502&lt;&gt;"",$R502='تقرير الفصل الثاني'!$C$4,$Q502='تقرير الفصل الثاني'!$C$7),COUNT(V$4:V501)+1,"")</f>
        <v/>
      </c>
      <c r="W502">
        <f>IF(AND($A502&lt;&gt;"",$B502&lt;&gt;"",$R502='تقرير سبتمبر'!$C$4,$P502='تقرير سبتمبر'!$C$6),COUNT(W$4:W501)+1,"")</f>
        <v/>
      </c>
      <c r="X502">
        <f>IF(AND($A502&lt;&gt;"",$B502&lt;&gt;"",$R502='تقرير أكتوبر'!$C$4,$P502='تقرير أكتوبر'!$C$6),COUNT(X$4:X501)+1,"")</f>
        <v/>
      </c>
      <c r="Y502">
        <f>IF(AND($A502&lt;&gt;"",$B502&lt;&gt;"",$R502='تقرير نوفمبر'!$C$4,$P502='تقرير نوفمبر'!$C$6),COUNT(Y$4:Y501)+1,"")</f>
        <v/>
      </c>
      <c r="Z502">
        <f>IF(AND($A502&lt;&gt;"",$B502&lt;&gt;"",$R502='تقرير ديسمبر'!$C$4,$P502='تقرير ديسمبر'!$C$6),COUNT(Z$4:Z501)+1,"")</f>
        <v/>
      </c>
      <c r="AA502">
        <f>IF(AND($A502&lt;&gt;"",$B502&lt;&gt;"",$R502='تقرير يناير'!$C$4,$P502='تقرير يناير'!$C$6),COUNT(AA$4:AA501)+1,"")</f>
        <v/>
      </c>
      <c r="AB502">
        <f>IF(AND($A502&lt;&gt;"",$B502&lt;&gt;"",$R502='تقرير فبراير'!$C$4,$P502='تقرير فبراير'!$C$6),COUNT(AB$4:AB501)+1,"")</f>
        <v/>
      </c>
      <c r="AC502">
        <f>IF(AND($A502&lt;&gt;"",$B502&lt;&gt;"",$R502='تقرير مارس'!$C$4,$P502='تقرير مارس'!$C$6),COUNT(AC$4:AC501)+1,"")</f>
        <v/>
      </c>
      <c r="AD502">
        <f>IF(AND($A502&lt;&gt;"",$B502&lt;&gt;"",$R502='تقرير أبريل'!$C$4,$P502='تقرير أبريل'!$C$6),COUNT(AD$4:AD501)+1,"")</f>
        <v/>
      </c>
      <c r="AE502">
        <f>IF(AND($A502&lt;&gt;"",$B502&lt;&gt;"",$R502='تقرير مايو'!$C$4,$P502='تقرير مايو'!$C$6),COUNT(AE$4:AE501)+1,"")</f>
        <v/>
      </c>
    </row>
    <row r="503">
      <c r="A503" s="16" t="n"/>
      <c r="B503" s="17" t="n"/>
      <c r="C503" s="17" t="n"/>
      <c r="D503" s="18" t="n"/>
      <c r="E503" s="17" t="n"/>
      <c r="F503" s="17" t="n"/>
      <c r="G503" s="19" t="n"/>
      <c r="H503" s="17" t="n"/>
      <c r="I503" s="17" t="n"/>
      <c r="J503" s="17" t="n"/>
      <c r="K503" s="20">
        <f>IF($B503="","",IFERROR(INDEX(الموظفات!$A$5:$A$304,MATCH($B503,الموظفات!$B$5:$B$304,0))&amp;"",""))</f>
        <v/>
      </c>
      <c r="L503" s="21">
        <f>IF($B503="","",IFERROR(INDEX(الموظفات!$C$5:$C$304,MATCH($B503,الموظفات!$B$5:$B$304,0))&amp;"",""))</f>
        <v/>
      </c>
      <c r="M503" s="20">
        <f>IF($B503="","",IFERROR(INDEX(الموظفات!$D$5:$D$304,MATCH($B503,الموظفات!$B$5:$B$304,0))&amp;"",""))</f>
        <v/>
      </c>
      <c r="N503" s="20">
        <f>IF($B503="","",IFERROR(INDEX(الموظفات!$E$5:$E$304,MATCH($B503,الموظفات!$B$5:$B$304,0))&amp;"",""))</f>
        <v/>
      </c>
      <c r="O503" s="21">
        <f>IF(C503="","",IFERROR(INDEX(الإعدادات!$D$7:$D$35,MATCH(C503,الإعدادات!$A$7:$A$35,0))&amp;"",""))</f>
        <v/>
      </c>
      <c r="P503" s="20">
        <f>IF(A503="","",INDEX(الإعدادات!$H$7:$H$18,MONTH(A503)))</f>
        <v/>
      </c>
      <c r="Q503" s="20">
        <f>IF(A503="","",INDEX(الإعدادات!$I$7:$I$18,MONTH(A503)))</f>
        <v/>
      </c>
      <c r="R503" s="20">
        <f>IF(A503="","",IF(MONTH(A503)&gt;=8,YEAR(A503)&amp;"-"&amp;(YEAR(A503)+1),(YEAR(A503)-1)&amp;"-"&amp;YEAR(A503)))</f>
        <v/>
      </c>
      <c r="S503" s="20">
        <f>IF(OR(A503="",B503=""),0,IF(AND(R503=التقارير!$C$4,OR(التقارير!$C$5="سنوي",AND(التقارير!$C$5="شهري",P503=التقارير!$C$6),AND(التقارير!$C$5="فصلي",Q503=التقارير!$C$7))),1,0))</f>
        <v/>
      </c>
      <c r="T503" s="20">
        <f>IF(S503=1,COUNTIF($S$5:S503,1),"")</f>
        <v/>
      </c>
      <c r="U503">
        <f>IF(AND($A503&lt;&gt;"",$B503&lt;&gt;"",$R503='تقرير الفصل الأول'!$C$4,$Q503='تقرير الفصل الأول'!$C$7),COUNT(U$4:U502)+1,"")</f>
        <v/>
      </c>
      <c r="V503">
        <f>IF(AND($A503&lt;&gt;"",$B503&lt;&gt;"",$R503='تقرير الفصل الثاني'!$C$4,$Q503='تقرير الفصل الثاني'!$C$7),COUNT(V$4:V502)+1,"")</f>
        <v/>
      </c>
      <c r="W503">
        <f>IF(AND($A503&lt;&gt;"",$B503&lt;&gt;"",$R503='تقرير سبتمبر'!$C$4,$P503='تقرير سبتمبر'!$C$6),COUNT(W$4:W502)+1,"")</f>
        <v/>
      </c>
      <c r="X503">
        <f>IF(AND($A503&lt;&gt;"",$B503&lt;&gt;"",$R503='تقرير أكتوبر'!$C$4,$P503='تقرير أكتوبر'!$C$6),COUNT(X$4:X502)+1,"")</f>
        <v/>
      </c>
      <c r="Y503">
        <f>IF(AND($A503&lt;&gt;"",$B503&lt;&gt;"",$R503='تقرير نوفمبر'!$C$4,$P503='تقرير نوفمبر'!$C$6),COUNT(Y$4:Y502)+1,"")</f>
        <v/>
      </c>
      <c r="Z503">
        <f>IF(AND($A503&lt;&gt;"",$B503&lt;&gt;"",$R503='تقرير ديسمبر'!$C$4,$P503='تقرير ديسمبر'!$C$6),COUNT(Z$4:Z502)+1,"")</f>
        <v/>
      </c>
      <c r="AA503">
        <f>IF(AND($A503&lt;&gt;"",$B503&lt;&gt;"",$R503='تقرير يناير'!$C$4,$P503='تقرير يناير'!$C$6),COUNT(AA$4:AA502)+1,"")</f>
        <v/>
      </c>
      <c r="AB503">
        <f>IF(AND($A503&lt;&gt;"",$B503&lt;&gt;"",$R503='تقرير فبراير'!$C$4,$P503='تقرير فبراير'!$C$6),COUNT(AB$4:AB502)+1,"")</f>
        <v/>
      </c>
      <c r="AC503">
        <f>IF(AND($A503&lt;&gt;"",$B503&lt;&gt;"",$R503='تقرير مارس'!$C$4,$P503='تقرير مارس'!$C$6),COUNT(AC$4:AC502)+1,"")</f>
        <v/>
      </c>
      <c r="AD503">
        <f>IF(AND($A503&lt;&gt;"",$B503&lt;&gt;"",$R503='تقرير أبريل'!$C$4,$P503='تقرير أبريل'!$C$6),COUNT(AD$4:AD502)+1,"")</f>
        <v/>
      </c>
      <c r="AE503">
        <f>IF(AND($A503&lt;&gt;"",$B503&lt;&gt;"",$R503='تقرير مايو'!$C$4,$P503='تقرير مايو'!$C$6),COUNT(AE$4:AE502)+1,"")</f>
        <v/>
      </c>
    </row>
    <row r="504">
      <c r="A504" s="16" t="n"/>
      <c r="B504" s="17" t="n"/>
      <c r="C504" s="17" t="n"/>
      <c r="D504" s="18" t="n"/>
      <c r="E504" s="17" t="n"/>
      <c r="F504" s="17" t="n"/>
      <c r="G504" s="19" t="n"/>
      <c r="H504" s="17" t="n"/>
      <c r="I504" s="17" t="n"/>
      <c r="J504" s="17" t="n"/>
      <c r="K504" s="20">
        <f>IF($B504="","",IFERROR(INDEX(الموظفات!$A$5:$A$304,MATCH($B504,الموظفات!$B$5:$B$304,0))&amp;"",""))</f>
        <v/>
      </c>
      <c r="L504" s="21">
        <f>IF($B504="","",IFERROR(INDEX(الموظفات!$C$5:$C$304,MATCH($B504,الموظفات!$B$5:$B$304,0))&amp;"",""))</f>
        <v/>
      </c>
      <c r="M504" s="20">
        <f>IF($B504="","",IFERROR(INDEX(الموظفات!$D$5:$D$304,MATCH($B504,الموظفات!$B$5:$B$304,0))&amp;"",""))</f>
        <v/>
      </c>
      <c r="N504" s="20">
        <f>IF($B504="","",IFERROR(INDEX(الموظفات!$E$5:$E$304,MATCH($B504,الموظفات!$B$5:$B$304,0))&amp;"",""))</f>
        <v/>
      </c>
      <c r="O504" s="21">
        <f>IF(C504="","",IFERROR(INDEX(الإعدادات!$D$7:$D$35,MATCH(C504,الإعدادات!$A$7:$A$35,0))&amp;"",""))</f>
        <v/>
      </c>
      <c r="P504" s="20">
        <f>IF(A504="","",INDEX(الإعدادات!$H$7:$H$18,MONTH(A504)))</f>
        <v/>
      </c>
      <c r="Q504" s="20">
        <f>IF(A504="","",INDEX(الإعدادات!$I$7:$I$18,MONTH(A504)))</f>
        <v/>
      </c>
      <c r="R504" s="20">
        <f>IF(A504="","",IF(MONTH(A504)&gt;=8,YEAR(A504)&amp;"-"&amp;(YEAR(A504)+1),(YEAR(A504)-1)&amp;"-"&amp;YEAR(A504)))</f>
        <v/>
      </c>
      <c r="S504" s="20">
        <f>IF(OR(A504="",B504=""),0,IF(AND(R504=التقارير!$C$4,OR(التقارير!$C$5="سنوي",AND(التقارير!$C$5="شهري",P504=التقارير!$C$6),AND(التقارير!$C$5="فصلي",Q504=التقارير!$C$7))),1,0))</f>
        <v/>
      </c>
      <c r="T504" s="20">
        <f>IF(S504=1,COUNTIF($S$5:S504,1),"")</f>
        <v/>
      </c>
      <c r="U504">
        <f>IF(AND($A504&lt;&gt;"",$B504&lt;&gt;"",$R504='تقرير الفصل الأول'!$C$4,$Q504='تقرير الفصل الأول'!$C$7),COUNT(U$4:U503)+1,"")</f>
        <v/>
      </c>
      <c r="V504">
        <f>IF(AND($A504&lt;&gt;"",$B504&lt;&gt;"",$R504='تقرير الفصل الثاني'!$C$4,$Q504='تقرير الفصل الثاني'!$C$7),COUNT(V$4:V503)+1,"")</f>
        <v/>
      </c>
      <c r="W504">
        <f>IF(AND($A504&lt;&gt;"",$B504&lt;&gt;"",$R504='تقرير سبتمبر'!$C$4,$P504='تقرير سبتمبر'!$C$6),COUNT(W$4:W503)+1,"")</f>
        <v/>
      </c>
      <c r="X504">
        <f>IF(AND($A504&lt;&gt;"",$B504&lt;&gt;"",$R504='تقرير أكتوبر'!$C$4,$P504='تقرير أكتوبر'!$C$6),COUNT(X$4:X503)+1,"")</f>
        <v/>
      </c>
      <c r="Y504">
        <f>IF(AND($A504&lt;&gt;"",$B504&lt;&gt;"",$R504='تقرير نوفمبر'!$C$4,$P504='تقرير نوفمبر'!$C$6),COUNT(Y$4:Y503)+1,"")</f>
        <v/>
      </c>
      <c r="Z504">
        <f>IF(AND($A504&lt;&gt;"",$B504&lt;&gt;"",$R504='تقرير ديسمبر'!$C$4,$P504='تقرير ديسمبر'!$C$6),COUNT(Z$4:Z503)+1,"")</f>
        <v/>
      </c>
      <c r="AA504">
        <f>IF(AND($A504&lt;&gt;"",$B504&lt;&gt;"",$R504='تقرير يناير'!$C$4,$P504='تقرير يناير'!$C$6),COUNT(AA$4:AA503)+1,"")</f>
        <v/>
      </c>
      <c r="AB504">
        <f>IF(AND($A504&lt;&gt;"",$B504&lt;&gt;"",$R504='تقرير فبراير'!$C$4,$P504='تقرير فبراير'!$C$6),COUNT(AB$4:AB503)+1,"")</f>
        <v/>
      </c>
      <c r="AC504">
        <f>IF(AND($A504&lt;&gt;"",$B504&lt;&gt;"",$R504='تقرير مارس'!$C$4,$P504='تقرير مارس'!$C$6),COUNT(AC$4:AC503)+1,"")</f>
        <v/>
      </c>
      <c r="AD504">
        <f>IF(AND($A504&lt;&gt;"",$B504&lt;&gt;"",$R504='تقرير أبريل'!$C$4,$P504='تقرير أبريل'!$C$6),COUNT(AD$4:AD503)+1,"")</f>
        <v/>
      </c>
      <c r="AE504">
        <f>IF(AND($A504&lt;&gt;"",$B504&lt;&gt;"",$R504='تقرير مايو'!$C$4,$P504='تقرير مايو'!$C$6),COUNT(AE$4:AE503)+1,"")</f>
        <v/>
      </c>
    </row>
    <row r="505">
      <c r="A505" s="16" t="n"/>
      <c r="B505" s="17" t="n"/>
      <c r="C505" s="17" t="n"/>
      <c r="D505" s="18" t="n"/>
      <c r="E505" s="17" t="n"/>
      <c r="F505" s="17" t="n"/>
      <c r="G505" s="19" t="n"/>
      <c r="H505" s="17" t="n"/>
      <c r="I505" s="17" t="n"/>
      <c r="J505" s="17" t="n"/>
      <c r="K505" s="20">
        <f>IF($B505="","",IFERROR(INDEX(الموظفات!$A$5:$A$304,MATCH($B505,الموظفات!$B$5:$B$304,0))&amp;"",""))</f>
        <v/>
      </c>
      <c r="L505" s="21">
        <f>IF($B505="","",IFERROR(INDEX(الموظفات!$C$5:$C$304,MATCH($B505,الموظفات!$B$5:$B$304,0))&amp;"",""))</f>
        <v/>
      </c>
      <c r="M505" s="20">
        <f>IF($B505="","",IFERROR(INDEX(الموظفات!$D$5:$D$304,MATCH($B505,الموظفات!$B$5:$B$304,0))&amp;"",""))</f>
        <v/>
      </c>
      <c r="N505" s="20">
        <f>IF($B505="","",IFERROR(INDEX(الموظفات!$E$5:$E$304,MATCH($B505,الموظفات!$B$5:$B$304,0))&amp;"",""))</f>
        <v/>
      </c>
      <c r="O505" s="21">
        <f>IF(C505="","",IFERROR(INDEX(الإعدادات!$D$7:$D$35,MATCH(C505,الإعدادات!$A$7:$A$35,0))&amp;"",""))</f>
        <v/>
      </c>
      <c r="P505" s="20">
        <f>IF(A505="","",INDEX(الإعدادات!$H$7:$H$18,MONTH(A505)))</f>
        <v/>
      </c>
      <c r="Q505" s="20">
        <f>IF(A505="","",INDEX(الإعدادات!$I$7:$I$18,MONTH(A505)))</f>
        <v/>
      </c>
      <c r="R505" s="20">
        <f>IF(A505="","",IF(MONTH(A505)&gt;=8,YEAR(A505)&amp;"-"&amp;(YEAR(A505)+1),(YEAR(A505)-1)&amp;"-"&amp;YEAR(A505)))</f>
        <v/>
      </c>
      <c r="S505" s="20">
        <f>IF(OR(A505="",B505=""),0,IF(AND(R505=التقارير!$C$4,OR(التقارير!$C$5="سنوي",AND(التقارير!$C$5="شهري",P505=التقارير!$C$6),AND(التقارير!$C$5="فصلي",Q505=التقارير!$C$7))),1,0))</f>
        <v/>
      </c>
      <c r="T505" s="20">
        <f>IF(S505=1,COUNTIF($S$5:S505,1),"")</f>
        <v/>
      </c>
      <c r="U505">
        <f>IF(AND($A505&lt;&gt;"",$B505&lt;&gt;"",$R505='تقرير الفصل الأول'!$C$4,$Q505='تقرير الفصل الأول'!$C$7),COUNT(U$4:U504)+1,"")</f>
        <v/>
      </c>
      <c r="V505">
        <f>IF(AND($A505&lt;&gt;"",$B505&lt;&gt;"",$R505='تقرير الفصل الثاني'!$C$4,$Q505='تقرير الفصل الثاني'!$C$7),COUNT(V$4:V504)+1,"")</f>
        <v/>
      </c>
      <c r="W505">
        <f>IF(AND($A505&lt;&gt;"",$B505&lt;&gt;"",$R505='تقرير سبتمبر'!$C$4,$P505='تقرير سبتمبر'!$C$6),COUNT(W$4:W504)+1,"")</f>
        <v/>
      </c>
      <c r="X505">
        <f>IF(AND($A505&lt;&gt;"",$B505&lt;&gt;"",$R505='تقرير أكتوبر'!$C$4,$P505='تقرير أكتوبر'!$C$6),COUNT(X$4:X504)+1,"")</f>
        <v/>
      </c>
      <c r="Y505">
        <f>IF(AND($A505&lt;&gt;"",$B505&lt;&gt;"",$R505='تقرير نوفمبر'!$C$4,$P505='تقرير نوفمبر'!$C$6),COUNT(Y$4:Y504)+1,"")</f>
        <v/>
      </c>
      <c r="Z505">
        <f>IF(AND($A505&lt;&gt;"",$B505&lt;&gt;"",$R505='تقرير ديسمبر'!$C$4,$P505='تقرير ديسمبر'!$C$6),COUNT(Z$4:Z504)+1,"")</f>
        <v/>
      </c>
      <c r="AA505">
        <f>IF(AND($A505&lt;&gt;"",$B505&lt;&gt;"",$R505='تقرير يناير'!$C$4,$P505='تقرير يناير'!$C$6),COUNT(AA$4:AA504)+1,"")</f>
        <v/>
      </c>
      <c r="AB505">
        <f>IF(AND($A505&lt;&gt;"",$B505&lt;&gt;"",$R505='تقرير فبراير'!$C$4,$P505='تقرير فبراير'!$C$6),COUNT(AB$4:AB504)+1,"")</f>
        <v/>
      </c>
      <c r="AC505">
        <f>IF(AND($A505&lt;&gt;"",$B505&lt;&gt;"",$R505='تقرير مارس'!$C$4,$P505='تقرير مارس'!$C$6),COUNT(AC$4:AC504)+1,"")</f>
        <v/>
      </c>
      <c r="AD505">
        <f>IF(AND($A505&lt;&gt;"",$B505&lt;&gt;"",$R505='تقرير أبريل'!$C$4,$P505='تقرير أبريل'!$C$6),COUNT(AD$4:AD504)+1,"")</f>
        <v/>
      </c>
      <c r="AE505">
        <f>IF(AND($A505&lt;&gt;"",$B505&lt;&gt;"",$R505='تقرير مايو'!$C$4,$P505='تقرير مايو'!$C$6),COUNT(AE$4:AE504)+1,"")</f>
        <v/>
      </c>
    </row>
    <row r="506">
      <c r="A506" s="16" t="n"/>
      <c r="B506" s="17" t="n"/>
      <c r="C506" s="17" t="n"/>
      <c r="D506" s="18" t="n"/>
      <c r="E506" s="17" t="n"/>
      <c r="F506" s="17" t="n"/>
      <c r="G506" s="19" t="n"/>
      <c r="H506" s="17" t="n"/>
      <c r="I506" s="17" t="n"/>
      <c r="J506" s="17" t="n"/>
      <c r="K506" s="20">
        <f>IF($B506="","",IFERROR(INDEX(الموظفات!$A$5:$A$304,MATCH($B506,الموظفات!$B$5:$B$304,0))&amp;"",""))</f>
        <v/>
      </c>
      <c r="L506" s="21">
        <f>IF($B506="","",IFERROR(INDEX(الموظفات!$C$5:$C$304,MATCH($B506,الموظفات!$B$5:$B$304,0))&amp;"",""))</f>
        <v/>
      </c>
      <c r="M506" s="20">
        <f>IF($B506="","",IFERROR(INDEX(الموظفات!$D$5:$D$304,MATCH($B506,الموظفات!$B$5:$B$304,0))&amp;"",""))</f>
        <v/>
      </c>
      <c r="N506" s="20">
        <f>IF($B506="","",IFERROR(INDEX(الموظفات!$E$5:$E$304,MATCH($B506,الموظفات!$B$5:$B$304,0))&amp;"",""))</f>
        <v/>
      </c>
      <c r="O506" s="21">
        <f>IF(C506="","",IFERROR(INDEX(الإعدادات!$D$7:$D$35,MATCH(C506,الإعدادات!$A$7:$A$35,0))&amp;"",""))</f>
        <v/>
      </c>
      <c r="P506" s="20">
        <f>IF(A506="","",INDEX(الإعدادات!$H$7:$H$18,MONTH(A506)))</f>
        <v/>
      </c>
      <c r="Q506" s="20">
        <f>IF(A506="","",INDEX(الإعدادات!$I$7:$I$18,MONTH(A506)))</f>
        <v/>
      </c>
      <c r="R506" s="20">
        <f>IF(A506="","",IF(MONTH(A506)&gt;=8,YEAR(A506)&amp;"-"&amp;(YEAR(A506)+1),(YEAR(A506)-1)&amp;"-"&amp;YEAR(A506)))</f>
        <v/>
      </c>
      <c r="S506" s="20">
        <f>IF(OR(A506="",B506=""),0,IF(AND(R506=التقارير!$C$4,OR(التقارير!$C$5="سنوي",AND(التقارير!$C$5="شهري",P506=التقارير!$C$6),AND(التقارير!$C$5="فصلي",Q506=التقارير!$C$7))),1,0))</f>
        <v/>
      </c>
      <c r="T506" s="20">
        <f>IF(S506=1,COUNTIF($S$5:S506,1),"")</f>
        <v/>
      </c>
      <c r="U506">
        <f>IF(AND($A506&lt;&gt;"",$B506&lt;&gt;"",$R506='تقرير الفصل الأول'!$C$4,$Q506='تقرير الفصل الأول'!$C$7),COUNT(U$4:U505)+1,"")</f>
        <v/>
      </c>
      <c r="V506">
        <f>IF(AND($A506&lt;&gt;"",$B506&lt;&gt;"",$R506='تقرير الفصل الثاني'!$C$4,$Q506='تقرير الفصل الثاني'!$C$7),COUNT(V$4:V505)+1,"")</f>
        <v/>
      </c>
      <c r="W506">
        <f>IF(AND($A506&lt;&gt;"",$B506&lt;&gt;"",$R506='تقرير سبتمبر'!$C$4,$P506='تقرير سبتمبر'!$C$6),COUNT(W$4:W505)+1,"")</f>
        <v/>
      </c>
      <c r="X506">
        <f>IF(AND($A506&lt;&gt;"",$B506&lt;&gt;"",$R506='تقرير أكتوبر'!$C$4,$P506='تقرير أكتوبر'!$C$6),COUNT(X$4:X505)+1,"")</f>
        <v/>
      </c>
      <c r="Y506">
        <f>IF(AND($A506&lt;&gt;"",$B506&lt;&gt;"",$R506='تقرير نوفمبر'!$C$4,$P506='تقرير نوفمبر'!$C$6),COUNT(Y$4:Y505)+1,"")</f>
        <v/>
      </c>
      <c r="Z506">
        <f>IF(AND($A506&lt;&gt;"",$B506&lt;&gt;"",$R506='تقرير ديسمبر'!$C$4,$P506='تقرير ديسمبر'!$C$6),COUNT(Z$4:Z505)+1,"")</f>
        <v/>
      </c>
      <c r="AA506">
        <f>IF(AND($A506&lt;&gt;"",$B506&lt;&gt;"",$R506='تقرير يناير'!$C$4,$P506='تقرير يناير'!$C$6),COUNT(AA$4:AA505)+1,"")</f>
        <v/>
      </c>
      <c r="AB506">
        <f>IF(AND($A506&lt;&gt;"",$B506&lt;&gt;"",$R506='تقرير فبراير'!$C$4,$P506='تقرير فبراير'!$C$6),COUNT(AB$4:AB505)+1,"")</f>
        <v/>
      </c>
      <c r="AC506">
        <f>IF(AND($A506&lt;&gt;"",$B506&lt;&gt;"",$R506='تقرير مارس'!$C$4,$P506='تقرير مارس'!$C$6),COUNT(AC$4:AC505)+1,"")</f>
        <v/>
      </c>
      <c r="AD506">
        <f>IF(AND($A506&lt;&gt;"",$B506&lt;&gt;"",$R506='تقرير أبريل'!$C$4,$P506='تقرير أبريل'!$C$6),COUNT(AD$4:AD505)+1,"")</f>
        <v/>
      </c>
      <c r="AE506">
        <f>IF(AND($A506&lt;&gt;"",$B506&lt;&gt;"",$R506='تقرير مايو'!$C$4,$P506='تقرير مايو'!$C$6),COUNT(AE$4:AE505)+1,"")</f>
        <v/>
      </c>
    </row>
    <row r="507">
      <c r="A507" s="16" t="n"/>
      <c r="B507" s="17" t="n"/>
      <c r="C507" s="17" t="n"/>
      <c r="D507" s="18" t="n"/>
      <c r="E507" s="17" t="n"/>
      <c r="F507" s="17" t="n"/>
      <c r="G507" s="19" t="n"/>
      <c r="H507" s="17" t="n"/>
      <c r="I507" s="17" t="n"/>
      <c r="J507" s="17" t="n"/>
      <c r="K507" s="20">
        <f>IF($B507="","",IFERROR(INDEX(الموظفات!$A$5:$A$304,MATCH($B507,الموظفات!$B$5:$B$304,0))&amp;"",""))</f>
        <v/>
      </c>
      <c r="L507" s="21">
        <f>IF($B507="","",IFERROR(INDEX(الموظفات!$C$5:$C$304,MATCH($B507,الموظفات!$B$5:$B$304,0))&amp;"",""))</f>
        <v/>
      </c>
      <c r="M507" s="20">
        <f>IF($B507="","",IFERROR(INDEX(الموظفات!$D$5:$D$304,MATCH($B507,الموظفات!$B$5:$B$304,0))&amp;"",""))</f>
        <v/>
      </c>
      <c r="N507" s="20">
        <f>IF($B507="","",IFERROR(INDEX(الموظفات!$E$5:$E$304,MATCH($B507,الموظفات!$B$5:$B$304,0))&amp;"",""))</f>
        <v/>
      </c>
      <c r="O507" s="21">
        <f>IF(C507="","",IFERROR(INDEX(الإعدادات!$D$7:$D$35,MATCH(C507,الإعدادات!$A$7:$A$35,0))&amp;"",""))</f>
        <v/>
      </c>
      <c r="P507" s="20">
        <f>IF(A507="","",INDEX(الإعدادات!$H$7:$H$18,MONTH(A507)))</f>
        <v/>
      </c>
      <c r="Q507" s="20">
        <f>IF(A507="","",INDEX(الإعدادات!$I$7:$I$18,MONTH(A507)))</f>
        <v/>
      </c>
      <c r="R507" s="20">
        <f>IF(A507="","",IF(MONTH(A507)&gt;=8,YEAR(A507)&amp;"-"&amp;(YEAR(A507)+1),(YEAR(A507)-1)&amp;"-"&amp;YEAR(A507)))</f>
        <v/>
      </c>
      <c r="S507" s="20">
        <f>IF(OR(A507="",B507=""),0,IF(AND(R507=التقارير!$C$4,OR(التقارير!$C$5="سنوي",AND(التقارير!$C$5="شهري",P507=التقارير!$C$6),AND(التقارير!$C$5="فصلي",Q507=التقارير!$C$7))),1,0))</f>
        <v/>
      </c>
      <c r="T507" s="20">
        <f>IF(S507=1,COUNTIF($S$5:S507,1),"")</f>
        <v/>
      </c>
      <c r="U507">
        <f>IF(AND($A507&lt;&gt;"",$B507&lt;&gt;"",$R507='تقرير الفصل الأول'!$C$4,$Q507='تقرير الفصل الأول'!$C$7),COUNT(U$4:U506)+1,"")</f>
        <v/>
      </c>
      <c r="V507">
        <f>IF(AND($A507&lt;&gt;"",$B507&lt;&gt;"",$R507='تقرير الفصل الثاني'!$C$4,$Q507='تقرير الفصل الثاني'!$C$7),COUNT(V$4:V506)+1,"")</f>
        <v/>
      </c>
      <c r="W507">
        <f>IF(AND($A507&lt;&gt;"",$B507&lt;&gt;"",$R507='تقرير سبتمبر'!$C$4,$P507='تقرير سبتمبر'!$C$6),COUNT(W$4:W506)+1,"")</f>
        <v/>
      </c>
      <c r="X507">
        <f>IF(AND($A507&lt;&gt;"",$B507&lt;&gt;"",$R507='تقرير أكتوبر'!$C$4,$P507='تقرير أكتوبر'!$C$6),COUNT(X$4:X506)+1,"")</f>
        <v/>
      </c>
      <c r="Y507">
        <f>IF(AND($A507&lt;&gt;"",$B507&lt;&gt;"",$R507='تقرير نوفمبر'!$C$4,$P507='تقرير نوفمبر'!$C$6),COUNT(Y$4:Y506)+1,"")</f>
        <v/>
      </c>
      <c r="Z507">
        <f>IF(AND($A507&lt;&gt;"",$B507&lt;&gt;"",$R507='تقرير ديسمبر'!$C$4,$P507='تقرير ديسمبر'!$C$6),COUNT(Z$4:Z506)+1,"")</f>
        <v/>
      </c>
      <c r="AA507">
        <f>IF(AND($A507&lt;&gt;"",$B507&lt;&gt;"",$R507='تقرير يناير'!$C$4,$P507='تقرير يناير'!$C$6),COUNT(AA$4:AA506)+1,"")</f>
        <v/>
      </c>
      <c r="AB507">
        <f>IF(AND($A507&lt;&gt;"",$B507&lt;&gt;"",$R507='تقرير فبراير'!$C$4,$P507='تقرير فبراير'!$C$6),COUNT(AB$4:AB506)+1,"")</f>
        <v/>
      </c>
      <c r="AC507">
        <f>IF(AND($A507&lt;&gt;"",$B507&lt;&gt;"",$R507='تقرير مارس'!$C$4,$P507='تقرير مارس'!$C$6),COUNT(AC$4:AC506)+1,"")</f>
        <v/>
      </c>
      <c r="AD507">
        <f>IF(AND($A507&lt;&gt;"",$B507&lt;&gt;"",$R507='تقرير أبريل'!$C$4,$P507='تقرير أبريل'!$C$6),COUNT(AD$4:AD506)+1,"")</f>
        <v/>
      </c>
      <c r="AE507">
        <f>IF(AND($A507&lt;&gt;"",$B507&lt;&gt;"",$R507='تقرير مايو'!$C$4,$P507='تقرير مايو'!$C$6),COUNT(AE$4:AE506)+1,"")</f>
        <v/>
      </c>
    </row>
    <row r="508">
      <c r="A508" s="16" t="n"/>
      <c r="B508" s="17" t="n"/>
      <c r="C508" s="17" t="n"/>
      <c r="D508" s="18" t="n"/>
      <c r="E508" s="17" t="n"/>
      <c r="F508" s="17" t="n"/>
      <c r="G508" s="19" t="n"/>
      <c r="H508" s="17" t="n"/>
      <c r="I508" s="17" t="n"/>
      <c r="J508" s="17" t="n"/>
      <c r="K508" s="20">
        <f>IF($B508="","",IFERROR(INDEX(الموظفات!$A$5:$A$304,MATCH($B508,الموظفات!$B$5:$B$304,0))&amp;"",""))</f>
        <v/>
      </c>
      <c r="L508" s="21">
        <f>IF($B508="","",IFERROR(INDEX(الموظفات!$C$5:$C$304,MATCH($B508,الموظفات!$B$5:$B$304,0))&amp;"",""))</f>
        <v/>
      </c>
      <c r="M508" s="20">
        <f>IF($B508="","",IFERROR(INDEX(الموظفات!$D$5:$D$304,MATCH($B508,الموظفات!$B$5:$B$304,0))&amp;"",""))</f>
        <v/>
      </c>
      <c r="N508" s="20">
        <f>IF($B508="","",IFERROR(INDEX(الموظفات!$E$5:$E$304,MATCH($B508,الموظفات!$B$5:$B$304,0))&amp;"",""))</f>
        <v/>
      </c>
      <c r="O508" s="21">
        <f>IF(C508="","",IFERROR(INDEX(الإعدادات!$D$7:$D$35,MATCH(C508,الإعدادات!$A$7:$A$35,0))&amp;"",""))</f>
        <v/>
      </c>
      <c r="P508" s="20">
        <f>IF(A508="","",INDEX(الإعدادات!$H$7:$H$18,MONTH(A508)))</f>
        <v/>
      </c>
      <c r="Q508" s="20">
        <f>IF(A508="","",INDEX(الإعدادات!$I$7:$I$18,MONTH(A508)))</f>
        <v/>
      </c>
      <c r="R508" s="20">
        <f>IF(A508="","",IF(MONTH(A508)&gt;=8,YEAR(A508)&amp;"-"&amp;(YEAR(A508)+1),(YEAR(A508)-1)&amp;"-"&amp;YEAR(A508)))</f>
        <v/>
      </c>
      <c r="S508" s="20">
        <f>IF(OR(A508="",B508=""),0,IF(AND(R508=التقارير!$C$4,OR(التقارير!$C$5="سنوي",AND(التقارير!$C$5="شهري",P508=التقارير!$C$6),AND(التقارير!$C$5="فصلي",Q508=التقارير!$C$7))),1,0))</f>
        <v/>
      </c>
      <c r="T508" s="20">
        <f>IF(S508=1,COUNTIF($S$5:S508,1),"")</f>
        <v/>
      </c>
      <c r="U508">
        <f>IF(AND($A508&lt;&gt;"",$B508&lt;&gt;"",$R508='تقرير الفصل الأول'!$C$4,$Q508='تقرير الفصل الأول'!$C$7),COUNT(U$4:U507)+1,"")</f>
        <v/>
      </c>
      <c r="V508">
        <f>IF(AND($A508&lt;&gt;"",$B508&lt;&gt;"",$R508='تقرير الفصل الثاني'!$C$4,$Q508='تقرير الفصل الثاني'!$C$7),COUNT(V$4:V507)+1,"")</f>
        <v/>
      </c>
      <c r="W508">
        <f>IF(AND($A508&lt;&gt;"",$B508&lt;&gt;"",$R508='تقرير سبتمبر'!$C$4,$P508='تقرير سبتمبر'!$C$6),COUNT(W$4:W507)+1,"")</f>
        <v/>
      </c>
      <c r="X508">
        <f>IF(AND($A508&lt;&gt;"",$B508&lt;&gt;"",$R508='تقرير أكتوبر'!$C$4,$P508='تقرير أكتوبر'!$C$6),COUNT(X$4:X507)+1,"")</f>
        <v/>
      </c>
      <c r="Y508">
        <f>IF(AND($A508&lt;&gt;"",$B508&lt;&gt;"",$R508='تقرير نوفمبر'!$C$4,$P508='تقرير نوفمبر'!$C$6),COUNT(Y$4:Y507)+1,"")</f>
        <v/>
      </c>
      <c r="Z508">
        <f>IF(AND($A508&lt;&gt;"",$B508&lt;&gt;"",$R508='تقرير ديسمبر'!$C$4,$P508='تقرير ديسمبر'!$C$6),COUNT(Z$4:Z507)+1,"")</f>
        <v/>
      </c>
      <c r="AA508">
        <f>IF(AND($A508&lt;&gt;"",$B508&lt;&gt;"",$R508='تقرير يناير'!$C$4,$P508='تقرير يناير'!$C$6),COUNT(AA$4:AA507)+1,"")</f>
        <v/>
      </c>
      <c r="AB508">
        <f>IF(AND($A508&lt;&gt;"",$B508&lt;&gt;"",$R508='تقرير فبراير'!$C$4,$P508='تقرير فبراير'!$C$6),COUNT(AB$4:AB507)+1,"")</f>
        <v/>
      </c>
      <c r="AC508">
        <f>IF(AND($A508&lt;&gt;"",$B508&lt;&gt;"",$R508='تقرير مارس'!$C$4,$P508='تقرير مارس'!$C$6),COUNT(AC$4:AC507)+1,"")</f>
        <v/>
      </c>
      <c r="AD508">
        <f>IF(AND($A508&lt;&gt;"",$B508&lt;&gt;"",$R508='تقرير أبريل'!$C$4,$P508='تقرير أبريل'!$C$6),COUNT(AD$4:AD507)+1,"")</f>
        <v/>
      </c>
      <c r="AE508">
        <f>IF(AND($A508&lt;&gt;"",$B508&lt;&gt;"",$R508='تقرير مايو'!$C$4,$P508='تقرير مايو'!$C$6),COUNT(AE$4:AE507)+1,"")</f>
        <v/>
      </c>
    </row>
    <row r="509">
      <c r="A509" s="16" t="n"/>
      <c r="B509" s="17" t="n"/>
      <c r="C509" s="17" t="n"/>
      <c r="D509" s="18" t="n"/>
      <c r="E509" s="17" t="n"/>
      <c r="F509" s="17" t="n"/>
      <c r="G509" s="19" t="n"/>
      <c r="H509" s="17" t="n"/>
      <c r="I509" s="17" t="n"/>
      <c r="J509" s="17" t="n"/>
      <c r="K509" s="20">
        <f>IF($B509="","",IFERROR(INDEX(الموظفات!$A$5:$A$304,MATCH($B509,الموظفات!$B$5:$B$304,0))&amp;"",""))</f>
        <v/>
      </c>
      <c r="L509" s="21">
        <f>IF($B509="","",IFERROR(INDEX(الموظفات!$C$5:$C$304,MATCH($B509,الموظفات!$B$5:$B$304,0))&amp;"",""))</f>
        <v/>
      </c>
      <c r="M509" s="20">
        <f>IF($B509="","",IFERROR(INDEX(الموظفات!$D$5:$D$304,MATCH($B509,الموظفات!$B$5:$B$304,0))&amp;"",""))</f>
        <v/>
      </c>
      <c r="N509" s="20">
        <f>IF($B509="","",IFERROR(INDEX(الموظفات!$E$5:$E$304,MATCH($B509,الموظفات!$B$5:$B$304,0))&amp;"",""))</f>
        <v/>
      </c>
      <c r="O509" s="21">
        <f>IF(C509="","",IFERROR(INDEX(الإعدادات!$D$7:$D$35,MATCH(C509,الإعدادات!$A$7:$A$35,0))&amp;"",""))</f>
        <v/>
      </c>
      <c r="P509" s="20">
        <f>IF(A509="","",INDEX(الإعدادات!$H$7:$H$18,MONTH(A509)))</f>
        <v/>
      </c>
      <c r="Q509" s="20">
        <f>IF(A509="","",INDEX(الإعدادات!$I$7:$I$18,MONTH(A509)))</f>
        <v/>
      </c>
      <c r="R509" s="20">
        <f>IF(A509="","",IF(MONTH(A509)&gt;=8,YEAR(A509)&amp;"-"&amp;(YEAR(A509)+1),(YEAR(A509)-1)&amp;"-"&amp;YEAR(A509)))</f>
        <v/>
      </c>
      <c r="S509" s="20">
        <f>IF(OR(A509="",B509=""),0,IF(AND(R509=التقارير!$C$4,OR(التقارير!$C$5="سنوي",AND(التقارير!$C$5="شهري",P509=التقارير!$C$6),AND(التقارير!$C$5="فصلي",Q509=التقارير!$C$7))),1,0))</f>
        <v/>
      </c>
      <c r="T509" s="20">
        <f>IF(S509=1,COUNTIF($S$5:S509,1),"")</f>
        <v/>
      </c>
      <c r="U509">
        <f>IF(AND($A509&lt;&gt;"",$B509&lt;&gt;"",$R509='تقرير الفصل الأول'!$C$4,$Q509='تقرير الفصل الأول'!$C$7),COUNT(U$4:U508)+1,"")</f>
        <v/>
      </c>
      <c r="V509">
        <f>IF(AND($A509&lt;&gt;"",$B509&lt;&gt;"",$R509='تقرير الفصل الثاني'!$C$4,$Q509='تقرير الفصل الثاني'!$C$7),COUNT(V$4:V508)+1,"")</f>
        <v/>
      </c>
      <c r="W509">
        <f>IF(AND($A509&lt;&gt;"",$B509&lt;&gt;"",$R509='تقرير سبتمبر'!$C$4,$P509='تقرير سبتمبر'!$C$6),COUNT(W$4:W508)+1,"")</f>
        <v/>
      </c>
      <c r="X509">
        <f>IF(AND($A509&lt;&gt;"",$B509&lt;&gt;"",$R509='تقرير أكتوبر'!$C$4,$P509='تقرير أكتوبر'!$C$6),COUNT(X$4:X508)+1,"")</f>
        <v/>
      </c>
      <c r="Y509">
        <f>IF(AND($A509&lt;&gt;"",$B509&lt;&gt;"",$R509='تقرير نوفمبر'!$C$4,$P509='تقرير نوفمبر'!$C$6),COUNT(Y$4:Y508)+1,"")</f>
        <v/>
      </c>
      <c r="Z509">
        <f>IF(AND($A509&lt;&gt;"",$B509&lt;&gt;"",$R509='تقرير ديسمبر'!$C$4,$P509='تقرير ديسمبر'!$C$6),COUNT(Z$4:Z508)+1,"")</f>
        <v/>
      </c>
      <c r="AA509">
        <f>IF(AND($A509&lt;&gt;"",$B509&lt;&gt;"",$R509='تقرير يناير'!$C$4,$P509='تقرير يناير'!$C$6),COUNT(AA$4:AA508)+1,"")</f>
        <v/>
      </c>
      <c r="AB509">
        <f>IF(AND($A509&lt;&gt;"",$B509&lt;&gt;"",$R509='تقرير فبراير'!$C$4,$P509='تقرير فبراير'!$C$6),COUNT(AB$4:AB508)+1,"")</f>
        <v/>
      </c>
      <c r="AC509">
        <f>IF(AND($A509&lt;&gt;"",$B509&lt;&gt;"",$R509='تقرير مارس'!$C$4,$P509='تقرير مارس'!$C$6),COUNT(AC$4:AC508)+1,"")</f>
        <v/>
      </c>
      <c r="AD509">
        <f>IF(AND($A509&lt;&gt;"",$B509&lt;&gt;"",$R509='تقرير أبريل'!$C$4,$P509='تقرير أبريل'!$C$6),COUNT(AD$4:AD508)+1,"")</f>
        <v/>
      </c>
      <c r="AE509">
        <f>IF(AND($A509&lt;&gt;"",$B509&lt;&gt;"",$R509='تقرير مايو'!$C$4,$P509='تقرير مايو'!$C$6),COUNT(AE$4:AE508)+1,"")</f>
        <v/>
      </c>
    </row>
    <row r="510">
      <c r="A510" s="16" t="n"/>
      <c r="B510" s="17" t="n"/>
      <c r="C510" s="17" t="n"/>
      <c r="D510" s="18" t="n"/>
      <c r="E510" s="17" t="n"/>
      <c r="F510" s="17" t="n"/>
      <c r="G510" s="19" t="n"/>
      <c r="H510" s="17" t="n"/>
      <c r="I510" s="17" t="n"/>
      <c r="J510" s="17" t="n"/>
      <c r="K510" s="20">
        <f>IF($B510="","",IFERROR(INDEX(الموظفات!$A$5:$A$304,MATCH($B510,الموظفات!$B$5:$B$304,0))&amp;"",""))</f>
        <v/>
      </c>
      <c r="L510" s="21">
        <f>IF($B510="","",IFERROR(INDEX(الموظفات!$C$5:$C$304,MATCH($B510,الموظفات!$B$5:$B$304,0))&amp;"",""))</f>
        <v/>
      </c>
      <c r="M510" s="20">
        <f>IF($B510="","",IFERROR(INDEX(الموظفات!$D$5:$D$304,MATCH($B510,الموظفات!$B$5:$B$304,0))&amp;"",""))</f>
        <v/>
      </c>
      <c r="N510" s="20">
        <f>IF($B510="","",IFERROR(INDEX(الموظفات!$E$5:$E$304,MATCH($B510,الموظفات!$B$5:$B$304,0))&amp;"",""))</f>
        <v/>
      </c>
      <c r="O510" s="21">
        <f>IF(C510="","",IFERROR(INDEX(الإعدادات!$D$7:$D$35,MATCH(C510,الإعدادات!$A$7:$A$35,0))&amp;"",""))</f>
        <v/>
      </c>
      <c r="P510" s="20">
        <f>IF(A510="","",INDEX(الإعدادات!$H$7:$H$18,MONTH(A510)))</f>
        <v/>
      </c>
      <c r="Q510" s="20">
        <f>IF(A510="","",INDEX(الإعدادات!$I$7:$I$18,MONTH(A510)))</f>
        <v/>
      </c>
      <c r="R510" s="20">
        <f>IF(A510="","",IF(MONTH(A510)&gt;=8,YEAR(A510)&amp;"-"&amp;(YEAR(A510)+1),(YEAR(A510)-1)&amp;"-"&amp;YEAR(A510)))</f>
        <v/>
      </c>
      <c r="S510" s="20">
        <f>IF(OR(A510="",B510=""),0,IF(AND(R510=التقارير!$C$4,OR(التقارير!$C$5="سنوي",AND(التقارير!$C$5="شهري",P510=التقارير!$C$6),AND(التقارير!$C$5="فصلي",Q510=التقارير!$C$7))),1,0))</f>
        <v/>
      </c>
      <c r="T510" s="20">
        <f>IF(S510=1,COUNTIF($S$5:S510,1),"")</f>
        <v/>
      </c>
      <c r="U510">
        <f>IF(AND($A510&lt;&gt;"",$B510&lt;&gt;"",$R510='تقرير الفصل الأول'!$C$4,$Q510='تقرير الفصل الأول'!$C$7),COUNT(U$4:U509)+1,"")</f>
        <v/>
      </c>
      <c r="V510">
        <f>IF(AND($A510&lt;&gt;"",$B510&lt;&gt;"",$R510='تقرير الفصل الثاني'!$C$4,$Q510='تقرير الفصل الثاني'!$C$7),COUNT(V$4:V509)+1,"")</f>
        <v/>
      </c>
      <c r="W510">
        <f>IF(AND($A510&lt;&gt;"",$B510&lt;&gt;"",$R510='تقرير سبتمبر'!$C$4,$P510='تقرير سبتمبر'!$C$6),COUNT(W$4:W509)+1,"")</f>
        <v/>
      </c>
      <c r="X510">
        <f>IF(AND($A510&lt;&gt;"",$B510&lt;&gt;"",$R510='تقرير أكتوبر'!$C$4,$P510='تقرير أكتوبر'!$C$6),COUNT(X$4:X509)+1,"")</f>
        <v/>
      </c>
      <c r="Y510">
        <f>IF(AND($A510&lt;&gt;"",$B510&lt;&gt;"",$R510='تقرير نوفمبر'!$C$4,$P510='تقرير نوفمبر'!$C$6),COUNT(Y$4:Y509)+1,"")</f>
        <v/>
      </c>
      <c r="Z510">
        <f>IF(AND($A510&lt;&gt;"",$B510&lt;&gt;"",$R510='تقرير ديسمبر'!$C$4,$P510='تقرير ديسمبر'!$C$6),COUNT(Z$4:Z509)+1,"")</f>
        <v/>
      </c>
      <c r="AA510">
        <f>IF(AND($A510&lt;&gt;"",$B510&lt;&gt;"",$R510='تقرير يناير'!$C$4,$P510='تقرير يناير'!$C$6),COUNT(AA$4:AA509)+1,"")</f>
        <v/>
      </c>
      <c r="AB510">
        <f>IF(AND($A510&lt;&gt;"",$B510&lt;&gt;"",$R510='تقرير فبراير'!$C$4,$P510='تقرير فبراير'!$C$6),COUNT(AB$4:AB509)+1,"")</f>
        <v/>
      </c>
      <c r="AC510">
        <f>IF(AND($A510&lt;&gt;"",$B510&lt;&gt;"",$R510='تقرير مارس'!$C$4,$P510='تقرير مارس'!$C$6),COUNT(AC$4:AC509)+1,"")</f>
        <v/>
      </c>
      <c r="AD510">
        <f>IF(AND($A510&lt;&gt;"",$B510&lt;&gt;"",$R510='تقرير أبريل'!$C$4,$P510='تقرير أبريل'!$C$6),COUNT(AD$4:AD509)+1,"")</f>
        <v/>
      </c>
      <c r="AE510">
        <f>IF(AND($A510&lt;&gt;"",$B510&lt;&gt;"",$R510='تقرير مايو'!$C$4,$P510='تقرير مايو'!$C$6),COUNT(AE$4:AE509)+1,"")</f>
        <v/>
      </c>
    </row>
    <row r="511">
      <c r="A511" s="16" t="n"/>
      <c r="B511" s="17" t="n"/>
      <c r="C511" s="17" t="n"/>
      <c r="D511" s="18" t="n"/>
      <c r="E511" s="17" t="n"/>
      <c r="F511" s="17" t="n"/>
      <c r="G511" s="19" t="n"/>
      <c r="H511" s="17" t="n"/>
      <c r="I511" s="17" t="n"/>
      <c r="J511" s="17" t="n"/>
      <c r="K511" s="20">
        <f>IF($B511="","",IFERROR(INDEX(الموظفات!$A$5:$A$304,MATCH($B511,الموظفات!$B$5:$B$304,0))&amp;"",""))</f>
        <v/>
      </c>
      <c r="L511" s="21">
        <f>IF($B511="","",IFERROR(INDEX(الموظفات!$C$5:$C$304,MATCH($B511,الموظفات!$B$5:$B$304,0))&amp;"",""))</f>
        <v/>
      </c>
      <c r="M511" s="20">
        <f>IF($B511="","",IFERROR(INDEX(الموظفات!$D$5:$D$304,MATCH($B511,الموظفات!$B$5:$B$304,0))&amp;"",""))</f>
        <v/>
      </c>
      <c r="N511" s="20">
        <f>IF($B511="","",IFERROR(INDEX(الموظفات!$E$5:$E$304,MATCH($B511,الموظفات!$B$5:$B$304,0))&amp;"",""))</f>
        <v/>
      </c>
      <c r="O511" s="21">
        <f>IF(C511="","",IFERROR(INDEX(الإعدادات!$D$7:$D$35,MATCH(C511,الإعدادات!$A$7:$A$35,0))&amp;"",""))</f>
        <v/>
      </c>
      <c r="P511" s="20">
        <f>IF(A511="","",INDEX(الإعدادات!$H$7:$H$18,MONTH(A511)))</f>
        <v/>
      </c>
      <c r="Q511" s="20">
        <f>IF(A511="","",INDEX(الإعدادات!$I$7:$I$18,MONTH(A511)))</f>
        <v/>
      </c>
      <c r="R511" s="20">
        <f>IF(A511="","",IF(MONTH(A511)&gt;=8,YEAR(A511)&amp;"-"&amp;(YEAR(A511)+1),(YEAR(A511)-1)&amp;"-"&amp;YEAR(A511)))</f>
        <v/>
      </c>
      <c r="S511" s="20">
        <f>IF(OR(A511="",B511=""),0,IF(AND(R511=التقارير!$C$4,OR(التقارير!$C$5="سنوي",AND(التقارير!$C$5="شهري",P511=التقارير!$C$6),AND(التقارير!$C$5="فصلي",Q511=التقارير!$C$7))),1,0))</f>
        <v/>
      </c>
      <c r="T511" s="20">
        <f>IF(S511=1,COUNTIF($S$5:S511,1),"")</f>
        <v/>
      </c>
      <c r="U511">
        <f>IF(AND($A511&lt;&gt;"",$B511&lt;&gt;"",$R511='تقرير الفصل الأول'!$C$4,$Q511='تقرير الفصل الأول'!$C$7),COUNT(U$4:U510)+1,"")</f>
        <v/>
      </c>
      <c r="V511">
        <f>IF(AND($A511&lt;&gt;"",$B511&lt;&gt;"",$R511='تقرير الفصل الثاني'!$C$4,$Q511='تقرير الفصل الثاني'!$C$7),COUNT(V$4:V510)+1,"")</f>
        <v/>
      </c>
      <c r="W511">
        <f>IF(AND($A511&lt;&gt;"",$B511&lt;&gt;"",$R511='تقرير سبتمبر'!$C$4,$P511='تقرير سبتمبر'!$C$6),COUNT(W$4:W510)+1,"")</f>
        <v/>
      </c>
      <c r="X511">
        <f>IF(AND($A511&lt;&gt;"",$B511&lt;&gt;"",$R511='تقرير أكتوبر'!$C$4,$P511='تقرير أكتوبر'!$C$6),COUNT(X$4:X510)+1,"")</f>
        <v/>
      </c>
      <c r="Y511">
        <f>IF(AND($A511&lt;&gt;"",$B511&lt;&gt;"",$R511='تقرير نوفمبر'!$C$4,$P511='تقرير نوفمبر'!$C$6),COUNT(Y$4:Y510)+1,"")</f>
        <v/>
      </c>
      <c r="Z511">
        <f>IF(AND($A511&lt;&gt;"",$B511&lt;&gt;"",$R511='تقرير ديسمبر'!$C$4,$P511='تقرير ديسمبر'!$C$6),COUNT(Z$4:Z510)+1,"")</f>
        <v/>
      </c>
      <c r="AA511">
        <f>IF(AND($A511&lt;&gt;"",$B511&lt;&gt;"",$R511='تقرير يناير'!$C$4,$P511='تقرير يناير'!$C$6),COUNT(AA$4:AA510)+1,"")</f>
        <v/>
      </c>
      <c r="AB511">
        <f>IF(AND($A511&lt;&gt;"",$B511&lt;&gt;"",$R511='تقرير فبراير'!$C$4,$P511='تقرير فبراير'!$C$6),COUNT(AB$4:AB510)+1,"")</f>
        <v/>
      </c>
      <c r="AC511">
        <f>IF(AND($A511&lt;&gt;"",$B511&lt;&gt;"",$R511='تقرير مارس'!$C$4,$P511='تقرير مارس'!$C$6),COUNT(AC$4:AC510)+1,"")</f>
        <v/>
      </c>
      <c r="AD511">
        <f>IF(AND($A511&lt;&gt;"",$B511&lt;&gt;"",$R511='تقرير أبريل'!$C$4,$P511='تقرير أبريل'!$C$6),COUNT(AD$4:AD510)+1,"")</f>
        <v/>
      </c>
      <c r="AE511">
        <f>IF(AND($A511&lt;&gt;"",$B511&lt;&gt;"",$R511='تقرير مايو'!$C$4,$P511='تقرير مايو'!$C$6),COUNT(AE$4:AE510)+1,"")</f>
        <v/>
      </c>
    </row>
    <row r="512">
      <c r="A512" s="16" t="n"/>
      <c r="B512" s="17" t="n"/>
      <c r="C512" s="17" t="n"/>
      <c r="D512" s="18" t="n"/>
      <c r="E512" s="17" t="n"/>
      <c r="F512" s="17" t="n"/>
      <c r="G512" s="19" t="n"/>
      <c r="H512" s="17" t="n"/>
      <c r="I512" s="17" t="n"/>
      <c r="J512" s="17" t="n"/>
      <c r="K512" s="20">
        <f>IF($B512="","",IFERROR(INDEX(الموظفات!$A$5:$A$304,MATCH($B512,الموظفات!$B$5:$B$304,0))&amp;"",""))</f>
        <v/>
      </c>
      <c r="L512" s="21">
        <f>IF($B512="","",IFERROR(INDEX(الموظفات!$C$5:$C$304,MATCH($B512,الموظفات!$B$5:$B$304,0))&amp;"",""))</f>
        <v/>
      </c>
      <c r="M512" s="20">
        <f>IF($B512="","",IFERROR(INDEX(الموظفات!$D$5:$D$304,MATCH($B512,الموظفات!$B$5:$B$304,0))&amp;"",""))</f>
        <v/>
      </c>
      <c r="N512" s="20">
        <f>IF($B512="","",IFERROR(INDEX(الموظفات!$E$5:$E$304,MATCH($B512,الموظفات!$B$5:$B$304,0))&amp;"",""))</f>
        <v/>
      </c>
      <c r="O512" s="21">
        <f>IF(C512="","",IFERROR(INDEX(الإعدادات!$D$7:$D$35,MATCH(C512,الإعدادات!$A$7:$A$35,0))&amp;"",""))</f>
        <v/>
      </c>
      <c r="P512" s="20">
        <f>IF(A512="","",INDEX(الإعدادات!$H$7:$H$18,MONTH(A512)))</f>
        <v/>
      </c>
      <c r="Q512" s="20">
        <f>IF(A512="","",INDEX(الإعدادات!$I$7:$I$18,MONTH(A512)))</f>
        <v/>
      </c>
      <c r="R512" s="20">
        <f>IF(A512="","",IF(MONTH(A512)&gt;=8,YEAR(A512)&amp;"-"&amp;(YEAR(A512)+1),(YEAR(A512)-1)&amp;"-"&amp;YEAR(A512)))</f>
        <v/>
      </c>
      <c r="S512" s="20">
        <f>IF(OR(A512="",B512=""),0,IF(AND(R512=التقارير!$C$4,OR(التقارير!$C$5="سنوي",AND(التقارير!$C$5="شهري",P512=التقارير!$C$6),AND(التقارير!$C$5="فصلي",Q512=التقارير!$C$7))),1,0))</f>
        <v/>
      </c>
      <c r="T512" s="20">
        <f>IF(S512=1,COUNTIF($S$5:S512,1),"")</f>
        <v/>
      </c>
      <c r="U512">
        <f>IF(AND($A512&lt;&gt;"",$B512&lt;&gt;"",$R512='تقرير الفصل الأول'!$C$4,$Q512='تقرير الفصل الأول'!$C$7),COUNT(U$4:U511)+1,"")</f>
        <v/>
      </c>
      <c r="V512">
        <f>IF(AND($A512&lt;&gt;"",$B512&lt;&gt;"",$R512='تقرير الفصل الثاني'!$C$4,$Q512='تقرير الفصل الثاني'!$C$7),COUNT(V$4:V511)+1,"")</f>
        <v/>
      </c>
      <c r="W512">
        <f>IF(AND($A512&lt;&gt;"",$B512&lt;&gt;"",$R512='تقرير سبتمبر'!$C$4,$P512='تقرير سبتمبر'!$C$6),COUNT(W$4:W511)+1,"")</f>
        <v/>
      </c>
      <c r="X512">
        <f>IF(AND($A512&lt;&gt;"",$B512&lt;&gt;"",$R512='تقرير أكتوبر'!$C$4,$P512='تقرير أكتوبر'!$C$6),COUNT(X$4:X511)+1,"")</f>
        <v/>
      </c>
      <c r="Y512">
        <f>IF(AND($A512&lt;&gt;"",$B512&lt;&gt;"",$R512='تقرير نوفمبر'!$C$4,$P512='تقرير نوفمبر'!$C$6),COUNT(Y$4:Y511)+1,"")</f>
        <v/>
      </c>
      <c r="Z512">
        <f>IF(AND($A512&lt;&gt;"",$B512&lt;&gt;"",$R512='تقرير ديسمبر'!$C$4,$P512='تقرير ديسمبر'!$C$6),COUNT(Z$4:Z511)+1,"")</f>
        <v/>
      </c>
      <c r="AA512">
        <f>IF(AND($A512&lt;&gt;"",$B512&lt;&gt;"",$R512='تقرير يناير'!$C$4,$P512='تقرير يناير'!$C$6),COUNT(AA$4:AA511)+1,"")</f>
        <v/>
      </c>
      <c r="AB512">
        <f>IF(AND($A512&lt;&gt;"",$B512&lt;&gt;"",$R512='تقرير فبراير'!$C$4,$P512='تقرير فبراير'!$C$6),COUNT(AB$4:AB511)+1,"")</f>
        <v/>
      </c>
      <c r="AC512">
        <f>IF(AND($A512&lt;&gt;"",$B512&lt;&gt;"",$R512='تقرير مارس'!$C$4,$P512='تقرير مارس'!$C$6),COUNT(AC$4:AC511)+1,"")</f>
        <v/>
      </c>
      <c r="AD512">
        <f>IF(AND($A512&lt;&gt;"",$B512&lt;&gt;"",$R512='تقرير أبريل'!$C$4,$P512='تقرير أبريل'!$C$6),COUNT(AD$4:AD511)+1,"")</f>
        <v/>
      </c>
      <c r="AE512">
        <f>IF(AND($A512&lt;&gt;"",$B512&lt;&gt;"",$R512='تقرير مايو'!$C$4,$P512='تقرير مايو'!$C$6),COUNT(AE$4:AE511)+1,"")</f>
        <v/>
      </c>
    </row>
    <row r="513">
      <c r="A513" s="16" t="n"/>
      <c r="B513" s="17" t="n"/>
      <c r="C513" s="17" t="n"/>
      <c r="D513" s="18" t="n"/>
      <c r="E513" s="17" t="n"/>
      <c r="F513" s="17" t="n"/>
      <c r="G513" s="19" t="n"/>
      <c r="H513" s="17" t="n"/>
      <c r="I513" s="17" t="n"/>
      <c r="J513" s="17" t="n"/>
      <c r="K513" s="20">
        <f>IF($B513="","",IFERROR(INDEX(الموظفات!$A$5:$A$304,MATCH($B513,الموظفات!$B$5:$B$304,0))&amp;"",""))</f>
        <v/>
      </c>
      <c r="L513" s="21">
        <f>IF($B513="","",IFERROR(INDEX(الموظفات!$C$5:$C$304,MATCH($B513,الموظفات!$B$5:$B$304,0))&amp;"",""))</f>
        <v/>
      </c>
      <c r="M513" s="20">
        <f>IF($B513="","",IFERROR(INDEX(الموظفات!$D$5:$D$304,MATCH($B513,الموظفات!$B$5:$B$304,0))&amp;"",""))</f>
        <v/>
      </c>
      <c r="N513" s="20">
        <f>IF($B513="","",IFERROR(INDEX(الموظفات!$E$5:$E$304,MATCH($B513,الموظفات!$B$5:$B$304,0))&amp;"",""))</f>
        <v/>
      </c>
      <c r="O513" s="21">
        <f>IF(C513="","",IFERROR(INDEX(الإعدادات!$D$7:$D$35,MATCH(C513,الإعدادات!$A$7:$A$35,0))&amp;"",""))</f>
        <v/>
      </c>
      <c r="P513" s="20">
        <f>IF(A513="","",INDEX(الإعدادات!$H$7:$H$18,MONTH(A513)))</f>
        <v/>
      </c>
      <c r="Q513" s="20">
        <f>IF(A513="","",INDEX(الإعدادات!$I$7:$I$18,MONTH(A513)))</f>
        <v/>
      </c>
      <c r="R513" s="20">
        <f>IF(A513="","",IF(MONTH(A513)&gt;=8,YEAR(A513)&amp;"-"&amp;(YEAR(A513)+1),(YEAR(A513)-1)&amp;"-"&amp;YEAR(A513)))</f>
        <v/>
      </c>
      <c r="S513" s="20">
        <f>IF(OR(A513="",B513=""),0,IF(AND(R513=التقارير!$C$4,OR(التقارير!$C$5="سنوي",AND(التقارير!$C$5="شهري",P513=التقارير!$C$6),AND(التقارير!$C$5="فصلي",Q513=التقارير!$C$7))),1,0))</f>
        <v/>
      </c>
      <c r="T513" s="20">
        <f>IF(S513=1,COUNTIF($S$5:S513,1),"")</f>
        <v/>
      </c>
      <c r="U513">
        <f>IF(AND($A513&lt;&gt;"",$B513&lt;&gt;"",$R513='تقرير الفصل الأول'!$C$4,$Q513='تقرير الفصل الأول'!$C$7),COUNT(U$4:U512)+1,"")</f>
        <v/>
      </c>
      <c r="V513">
        <f>IF(AND($A513&lt;&gt;"",$B513&lt;&gt;"",$R513='تقرير الفصل الثاني'!$C$4,$Q513='تقرير الفصل الثاني'!$C$7),COUNT(V$4:V512)+1,"")</f>
        <v/>
      </c>
      <c r="W513">
        <f>IF(AND($A513&lt;&gt;"",$B513&lt;&gt;"",$R513='تقرير سبتمبر'!$C$4,$P513='تقرير سبتمبر'!$C$6),COUNT(W$4:W512)+1,"")</f>
        <v/>
      </c>
      <c r="X513">
        <f>IF(AND($A513&lt;&gt;"",$B513&lt;&gt;"",$R513='تقرير أكتوبر'!$C$4,$P513='تقرير أكتوبر'!$C$6),COUNT(X$4:X512)+1,"")</f>
        <v/>
      </c>
      <c r="Y513">
        <f>IF(AND($A513&lt;&gt;"",$B513&lt;&gt;"",$R513='تقرير نوفمبر'!$C$4,$P513='تقرير نوفمبر'!$C$6),COUNT(Y$4:Y512)+1,"")</f>
        <v/>
      </c>
      <c r="Z513">
        <f>IF(AND($A513&lt;&gt;"",$B513&lt;&gt;"",$R513='تقرير ديسمبر'!$C$4,$P513='تقرير ديسمبر'!$C$6),COUNT(Z$4:Z512)+1,"")</f>
        <v/>
      </c>
      <c r="AA513">
        <f>IF(AND($A513&lt;&gt;"",$B513&lt;&gt;"",$R513='تقرير يناير'!$C$4,$P513='تقرير يناير'!$C$6),COUNT(AA$4:AA512)+1,"")</f>
        <v/>
      </c>
      <c r="AB513">
        <f>IF(AND($A513&lt;&gt;"",$B513&lt;&gt;"",$R513='تقرير فبراير'!$C$4,$P513='تقرير فبراير'!$C$6),COUNT(AB$4:AB512)+1,"")</f>
        <v/>
      </c>
      <c r="AC513">
        <f>IF(AND($A513&lt;&gt;"",$B513&lt;&gt;"",$R513='تقرير مارس'!$C$4,$P513='تقرير مارس'!$C$6),COUNT(AC$4:AC512)+1,"")</f>
        <v/>
      </c>
      <c r="AD513">
        <f>IF(AND($A513&lt;&gt;"",$B513&lt;&gt;"",$R513='تقرير أبريل'!$C$4,$P513='تقرير أبريل'!$C$6),COUNT(AD$4:AD512)+1,"")</f>
        <v/>
      </c>
      <c r="AE513">
        <f>IF(AND($A513&lt;&gt;"",$B513&lt;&gt;"",$R513='تقرير مايو'!$C$4,$P513='تقرير مايو'!$C$6),COUNT(AE$4:AE512)+1,"")</f>
        <v/>
      </c>
    </row>
    <row r="514">
      <c r="A514" s="16" t="n"/>
      <c r="B514" s="17" t="n"/>
      <c r="C514" s="17" t="n"/>
      <c r="D514" s="18" t="n"/>
      <c r="E514" s="17" t="n"/>
      <c r="F514" s="17" t="n"/>
      <c r="G514" s="19" t="n"/>
      <c r="H514" s="17" t="n"/>
      <c r="I514" s="17" t="n"/>
      <c r="J514" s="17" t="n"/>
      <c r="K514" s="20">
        <f>IF($B514="","",IFERROR(INDEX(الموظفات!$A$5:$A$304,MATCH($B514,الموظفات!$B$5:$B$304,0))&amp;"",""))</f>
        <v/>
      </c>
      <c r="L514" s="21">
        <f>IF($B514="","",IFERROR(INDEX(الموظفات!$C$5:$C$304,MATCH($B514,الموظفات!$B$5:$B$304,0))&amp;"",""))</f>
        <v/>
      </c>
      <c r="M514" s="20">
        <f>IF($B514="","",IFERROR(INDEX(الموظفات!$D$5:$D$304,MATCH($B514,الموظفات!$B$5:$B$304,0))&amp;"",""))</f>
        <v/>
      </c>
      <c r="N514" s="20">
        <f>IF($B514="","",IFERROR(INDEX(الموظفات!$E$5:$E$304,MATCH($B514,الموظفات!$B$5:$B$304,0))&amp;"",""))</f>
        <v/>
      </c>
      <c r="O514" s="21">
        <f>IF(C514="","",IFERROR(INDEX(الإعدادات!$D$7:$D$35,MATCH(C514,الإعدادات!$A$7:$A$35,0))&amp;"",""))</f>
        <v/>
      </c>
      <c r="P514" s="20">
        <f>IF(A514="","",INDEX(الإعدادات!$H$7:$H$18,MONTH(A514)))</f>
        <v/>
      </c>
      <c r="Q514" s="20">
        <f>IF(A514="","",INDEX(الإعدادات!$I$7:$I$18,MONTH(A514)))</f>
        <v/>
      </c>
      <c r="R514" s="20">
        <f>IF(A514="","",IF(MONTH(A514)&gt;=8,YEAR(A514)&amp;"-"&amp;(YEAR(A514)+1),(YEAR(A514)-1)&amp;"-"&amp;YEAR(A514)))</f>
        <v/>
      </c>
      <c r="S514" s="20">
        <f>IF(OR(A514="",B514=""),0,IF(AND(R514=التقارير!$C$4,OR(التقارير!$C$5="سنوي",AND(التقارير!$C$5="شهري",P514=التقارير!$C$6),AND(التقارير!$C$5="فصلي",Q514=التقارير!$C$7))),1,0))</f>
        <v/>
      </c>
      <c r="T514" s="20">
        <f>IF(S514=1,COUNTIF($S$5:S514,1),"")</f>
        <v/>
      </c>
      <c r="U514">
        <f>IF(AND($A514&lt;&gt;"",$B514&lt;&gt;"",$R514='تقرير الفصل الأول'!$C$4,$Q514='تقرير الفصل الأول'!$C$7),COUNT(U$4:U513)+1,"")</f>
        <v/>
      </c>
      <c r="V514">
        <f>IF(AND($A514&lt;&gt;"",$B514&lt;&gt;"",$R514='تقرير الفصل الثاني'!$C$4,$Q514='تقرير الفصل الثاني'!$C$7),COUNT(V$4:V513)+1,"")</f>
        <v/>
      </c>
      <c r="W514">
        <f>IF(AND($A514&lt;&gt;"",$B514&lt;&gt;"",$R514='تقرير سبتمبر'!$C$4,$P514='تقرير سبتمبر'!$C$6),COUNT(W$4:W513)+1,"")</f>
        <v/>
      </c>
      <c r="X514">
        <f>IF(AND($A514&lt;&gt;"",$B514&lt;&gt;"",$R514='تقرير أكتوبر'!$C$4,$P514='تقرير أكتوبر'!$C$6),COUNT(X$4:X513)+1,"")</f>
        <v/>
      </c>
      <c r="Y514">
        <f>IF(AND($A514&lt;&gt;"",$B514&lt;&gt;"",$R514='تقرير نوفمبر'!$C$4,$P514='تقرير نوفمبر'!$C$6),COUNT(Y$4:Y513)+1,"")</f>
        <v/>
      </c>
      <c r="Z514">
        <f>IF(AND($A514&lt;&gt;"",$B514&lt;&gt;"",$R514='تقرير ديسمبر'!$C$4,$P514='تقرير ديسمبر'!$C$6),COUNT(Z$4:Z513)+1,"")</f>
        <v/>
      </c>
      <c r="AA514">
        <f>IF(AND($A514&lt;&gt;"",$B514&lt;&gt;"",$R514='تقرير يناير'!$C$4,$P514='تقرير يناير'!$C$6),COUNT(AA$4:AA513)+1,"")</f>
        <v/>
      </c>
      <c r="AB514">
        <f>IF(AND($A514&lt;&gt;"",$B514&lt;&gt;"",$R514='تقرير فبراير'!$C$4,$P514='تقرير فبراير'!$C$6),COUNT(AB$4:AB513)+1,"")</f>
        <v/>
      </c>
      <c r="AC514">
        <f>IF(AND($A514&lt;&gt;"",$B514&lt;&gt;"",$R514='تقرير مارس'!$C$4,$P514='تقرير مارس'!$C$6),COUNT(AC$4:AC513)+1,"")</f>
        <v/>
      </c>
      <c r="AD514">
        <f>IF(AND($A514&lt;&gt;"",$B514&lt;&gt;"",$R514='تقرير أبريل'!$C$4,$P514='تقرير أبريل'!$C$6),COUNT(AD$4:AD513)+1,"")</f>
        <v/>
      </c>
      <c r="AE514">
        <f>IF(AND($A514&lt;&gt;"",$B514&lt;&gt;"",$R514='تقرير مايو'!$C$4,$P514='تقرير مايو'!$C$6),COUNT(AE$4:AE513)+1,"")</f>
        <v/>
      </c>
    </row>
    <row r="515">
      <c r="A515" s="16" t="n"/>
      <c r="B515" s="17" t="n"/>
      <c r="C515" s="17" t="n"/>
      <c r="D515" s="18" t="n"/>
      <c r="E515" s="17" t="n"/>
      <c r="F515" s="17" t="n"/>
      <c r="G515" s="19" t="n"/>
      <c r="H515" s="17" t="n"/>
      <c r="I515" s="17" t="n"/>
      <c r="J515" s="17" t="n"/>
      <c r="K515" s="20">
        <f>IF($B515="","",IFERROR(INDEX(الموظفات!$A$5:$A$304,MATCH($B515,الموظفات!$B$5:$B$304,0))&amp;"",""))</f>
        <v/>
      </c>
      <c r="L515" s="21">
        <f>IF($B515="","",IFERROR(INDEX(الموظفات!$C$5:$C$304,MATCH($B515,الموظفات!$B$5:$B$304,0))&amp;"",""))</f>
        <v/>
      </c>
      <c r="M515" s="20">
        <f>IF($B515="","",IFERROR(INDEX(الموظفات!$D$5:$D$304,MATCH($B515,الموظفات!$B$5:$B$304,0))&amp;"",""))</f>
        <v/>
      </c>
      <c r="N515" s="20">
        <f>IF($B515="","",IFERROR(INDEX(الموظفات!$E$5:$E$304,MATCH($B515,الموظفات!$B$5:$B$304,0))&amp;"",""))</f>
        <v/>
      </c>
      <c r="O515" s="21">
        <f>IF(C515="","",IFERROR(INDEX(الإعدادات!$D$7:$D$35,MATCH(C515,الإعدادات!$A$7:$A$35,0))&amp;"",""))</f>
        <v/>
      </c>
      <c r="P515" s="20">
        <f>IF(A515="","",INDEX(الإعدادات!$H$7:$H$18,MONTH(A515)))</f>
        <v/>
      </c>
      <c r="Q515" s="20">
        <f>IF(A515="","",INDEX(الإعدادات!$I$7:$I$18,MONTH(A515)))</f>
        <v/>
      </c>
      <c r="R515" s="20">
        <f>IF(A515="","",IF(MONTH(A515)&gt;=8,YEAR(A515)&amp;"-"&amp;(YEAR(A515)+1),(YEAR(A515)-1)&amp;"-"&amp;YEAR(A515)))</f>
        <v/>
      </c>
      <c r="S515" s="20">
        <f>IF(OR(A515="",B515=""),0,IF(AND(R515=التقارير!$C$4,OR(التقارير!$C$5="سنوي",AND(التقارير!$C$5="شهري",P515=التقارير!$C$6),AND(التقارير!$C$5="فصلي",Q515=التقارير!$C$7))),1,0))</f>
        <v/>
      </c>
      <c r="T515" s="20">
        <f>IF(S515=1,COUNTIF($S$5:S515,1),"")</f>
        <v/>
      </c>
      <c r="U515">
        <f>IF(AND($A515&lt;&gt;"",$B515&lt;&gt;"",$R515='تقرير الفصل الأول'!$C$4,$Q515='تقرير الفصل الأول'!$C$7),COUNT(U$4:U514)+1,"")</f>
        <v/>
      </c>
      <c r="V515">
        <f>IF(AND($A515&lt;&gt;"",$B515&lt;&gt;"",$R515='تقرير الفصل الثاني'!$C$4,$Q515='تقرير الفصل الثاني'!$C$7),COUNT(V$4:V514)+1,"")</f>
        <v/>
      </c>
      <c r="W515">
        <f>IF(AND($A515&lt;&gt;"",$B515&lt;&gt;"",$R515='تقرير سبتمبر'!$C$4,$P515='تقرير سبتمبر'!$C$6),COUNT(W$4:W514)+1,"")</f>
        <v/>
      </c>
      <c r="X515">
        <f>IF(AND($A515&lt;&gt;"",$B515&lt;&gt;"",$R515='تقرير أكتوبر'!$C$4,$P515='تقرير أكتوبر'!$C$6),COUNT(X$4:X514)+1,"")</f>
        <v/>
      </c>
      <c r="Y515">
        <f>IF(AND($A515&lt;&gt;"",$B515&lt;&gt;"",$R515='تقرير نوفمبر'!$C$4,$P515='تقرير نوفمبر'!$C$6),COUNT(Y$4:Y514)+1,"")</f>
        <v/>
      </c>
      <c r="Z515">
        <f>IF(AND($A515&lt;&gt;"",$B515&lt;&gt;"",$R515='تقرير ديسمبر'!$C$4,$P515='تقرير ديسمبر'!$C$6),COUNT(Z$4:Z514)+1,"")</f>
        <v/>
      </c>
      <c r="AA515">
        <f>IF(AND($A515&lt;&gt;"",$B515&lt;&gt;"",$R515='تقرير يناير'!$C$4,$P515='تقرير يناير'!$C$6),COUNT(AA$4:AA514)+1,"")</f>
        <v/>
      </c>
      <c r="AB515">
        <f>IF(AND($A515&lt;&gt;"",$B515&lt;&gt;"",$R515='تقرير فبراير'!$C$4,$P515='تقرير فبراير'!$C$6),COUNT(AB$4:AB514)+1,"")</f>
        <v/>
      </c>
      <c r="AC515">
        <f>IF(AND($A515&lt;&gt;"",$B515&lt;&gt;"",$R515='تقرير مارس'!$C$4,$P515='تقرير مارس'!$C$6),COUNT(AC$4:AC514)+1,"")</f>
        <v/>
      </c>
      <c r="AD515">
        <f>IF(AND($A515&lt;&gt;"",$B515&lt;&gt;"",$R515='تقرير أبريل'!$C$4,$P515='تقرير أبريل'!$C$6),COUNT(AD$4:AD514)+1,"")</f>
        <v/>
      </c>
      <c r="AE515">
        <f>IF(AND($A515&lt;&gt;"",$B515&lt;&gt;"",$R515='تقرير مايو'!$C$4,$P515='تقرير مايو'!$C$6),COUNT(AE$4:AE514)+1,"")</f>
        <v/>
      </c>
    </row>
    <row r="516">
      <c r="A516" s="16" t="n"/>
      <c r="B516" s="17" t="n"/>
      <c r="C516" s="17" t="n"/>
      <c r="D516" s="18" t="n"/>
      <c r="E516" s="17" t="n"/>
      <c r="F516" s="17" t="n"/>
      <c r="G516" s="19" t="n"/>
      <c r="H516" s="17" t="n"/>
      <c r="I516" s="17" t="n"/>
      <c r="J516" s="17" t="n"/>
      <c r="K516" s="20">
        <f>IF($B516="","",IFERROR(INDEX(الموظفات!$A$5:$A$304,MATCH($B516,الموظفات!$B$5:$B$304,0))&amp;"",""))</f>
        <v/>
      </c>
      <c r="L516" s="21">
        <f>IF($B516="","",IFERROR(INDEX(الموظفات!$C$5:$C$304,MATCH($B516,الموظفات!$B$5:$B$304,0))&amp;"",""))</f>
        <v/>
      </c>
      <c r="M516" s="20">
        <f>IF($B516="","",IFERROR(INDEX(الموظفات!$D$5:$D$304,MATCH($B516,الموظفات!$B$5:$B$304,0))&amp;"",""))</f>
        <v/>
      </c>
      <c r="N516" s="20">
        <f>IF($B516="","",IFERROR(INDEX(الموظفات!$E$5:$E$304,MATCH($B516,الموظفات!$B$5:$B$304,0))&amp;"",""))</f>
        <v/>
      </c>
      <c r="O516" s="21">
        <f>IF(C516="","",IFERROR(INDEX(الإعدادات!$D$7:$D$35,MATCH(C516,الإعدادات!$A$7:$A$35,0))&amp;"",""))</f>
        <v/>
      </c>
      <c r="P516" s="20">
        <f>IF(A516="","",INDEX(الإعدادات!$H$7:$H$18,MONTH(A516)))</f>
        <v/>
      </c>
      <c r="Q516" s="20">
        <f>IF(A516="","",INDEX(الإعدادات!$I$7:$I$18,MONTH(A516)))</f>
        <v/>
      </c>
      <c r="R516" s="20">
        <f>IF(A516="","",IF(MONTH(A516)&gt;=8,YEAR(A516)&amp;"-"&amp;(YEAR(A516)+1),(YEAR(A516)-1)&amp;"-"&amp;YEAR(A516)))</f>
        <v/>
      </c>
      <c r="S516" s="20">
        <f>IF(OR(A516="",B516=""),0,IF(AND(R516=التقارير!$C$4,OR(التقارير!$C$5="سنوي",AND(التقارير!$C$5="شهري",P516=التقارير!$C$6),AND(التقارير!$C$5="فصلي",Q516=التقارير!$C$7))),1,0))</f>
        <v/>
      </c>
      <c r="T516" s="20">
        <f>IF(S516=1,COUNTIF($S$5:S516,1),"")</f>
        <v/>
      </c>
      <c r="U516">
        <f>IF(AND($A516&lt;&gt;"",$B516&lt;&gt;"",$R516='تقرير الفصل الأول'!$C$4,$Q516='تقرير الفصل الأول'!$C$7),COUNT(U$4:U515)+1,"")</f>
        <v/>
      </c>
      <c r="V516">
        <f>IF(AND($A516&lt;&gt;"",$B516&lt;&gt;"",$R516='تقرير الفصل الثاني'!$C$4,$Q516='تقرير الفصل الثاني'!$C$7),COUNT(V$4:V515)+1,"")</f>
        <v/>
      </c>
      <c r="W516">
        <f>IF(AND($A516&lt;&gt;"",$B516&lt;&gt;"",$R516='تقرير سبتمبر'!$C$4,$P516='تقرير سبتمبر'!$C$6),COUNT(W$4:W515)+1,"")</f>
        <v/>
      </c>
      <c r="X516">
        <f>IF(AND($A516&lt;&gt;"",$B516&lt;&gt;"",$R516='تقرير أكتوبر'!$C$4,$P516='تقرير أكتوبر'!$C$6),COUNT(X$4:X515)+1,"")</f>
        <v/>
      </c>
      <c r="Y516">
        <f>IF(AND($A516&lt;&gt;"",$B516&lt;&gt;"",$R516='تقرير نوفمبر'!$C$4,$P516='تقرير نوفمبر'!$C$6),COUNT(Y$4:Y515)+1,"")</f>
        <v/>
      </c>
      <c r="Z516">
        <f>IF(AND($A516&lt;&gt;"",$B516&lt;&gt;"",$R516='تقرير ديسمبر'!$C$4,$P516='تقرير ديسمبر'!$C$6),COUNT(Z$4:Z515)+1,"")</f>
        <v/>
      </c>
      <c r="AA516">
        <f>IF(AND($A516&lt;&gt;"",$B516&lt;&gt;"",$R516='تقرير يناير'!$C$4,$P516='تقرير يناير'!$C$6),COUNT(AA$4:AA515)+1,"")</f>
        <v/>
      </c>
      <c r="AB516">
        <f>IF(AND($A516&lt;&gt;"",$B516&lt;&gt;"",$R516='تقرير فبراير'!$C$4,$P516='تقرير فبراير'!$C$6),COUNT(AB$4:AB515)+1,"")</f>
        <v/>
      </c>
      <c r="AC516">
        <f>IF(AND($A516&lt;&gt;"",$B516&lt;&gt;"",$R516='تقرير مارس'!$C$4,$P516='تقرير مارس'!$C$6),COUNT(AC$4:AC515)+1,"")</f>
        <v/>
      </c>
      <c r="AD516">
        <f>IF(AND($A516&lt;&gt;"",$B516&lt;&gt;"",$R516='تقرير أبريل'!$C$4,$P516='تقرير أبريل'!$C$6),COUNT(AD$4:AD515)+1,"")</f>
        <v/>
      </c>
      <c r="AE516">
        <f>IF(AND($A516&lt;&gt;"",$B516&lt;&gt;"",$R516='تقرير مايو'!$C$4,$P516='تقرير مايو'!$C$6),COUNT(AE$4:AE515)+1,"")</f>
        <v/>
      </c>
    </row>
    <row r="517">
      <c r="A517" s="16" t="n"/>
      <c r="B517" s="17" t="n"/>
      <c r="C517" s="17" t="n"/>
      <c r="D517" s="18" t="n"/>
      <c r="E517" s="17" t="n"/>
      <c r="F517" s="17" t="n"/>
      <c r="G517" s="19" t="n"/>
      <c r="H517" s="17" t="n"/>
      <c r="I517" s="17" t="n"/>
      <c r="J517" s="17" t="n"/>
      <c r="K517" s="20">
        <f>IF($B517="","",IFERROR(INDEX(الموظفات!$A$5:$A$304,MATCH($B517,الموظفات!$B$5:$B$304,0))&amp;"",""))</f>
        <v/>
      </c>
      <c r="L517" s="21">
        <f>IF($B517="","",IFERROR(INDEX(الموظفات!$C$5:$C$304,MATCH($B517,الموظفات!$B$5:$B$304,0))&amp;"",""))</f>
        <v/>
      </c>
      <c r="M517" s="20">
        <f>IF($B517="","",IFERROR(INDEX(الموظفات!$D$5:$D$304,MATCH($B517,الموظفات!$B$5:$B$304,0))&amp;"",""))</f>
        <v/>
      </c>
      <c r="N517" s="20">
        <f>IF($B517="","",IFERROR(INDEX(الموظفات!$E$5:$E$304,MATCH($B517,الموظفات!$B$5:$B$304,0))&amp;"",""))</f>
        <v/>
      </c>
      <c r="O517" s="21">
        <f>IF(C517="","",IFERROR(INDEX(الإعدادات!$D$7:$D$35,MATCH(C517,الإعدادات!$A$7:$A$35,0))&amp;"",""))</f>
        <v/>
      </c>
      <c r="P517" s="20">
        <f>IF(A517="","",INDEX(الإعدادات!$H$7:$H$18,MONTH(A517)))</f>
        <v/>
      </c>
      <c r="Q517" s="20">
        <f>IF(A517="","",INDEX(الإعدادات!$I$7:$I$18,MONTH(A517)))</f>
        <v/>
      </c>
      <c r="R517" s="20">
        <f>IF(A517="","",IF(MONTH(A517)&gt;=8,YEAR(A517)&amp;"-"&amp;(YEAR(A517)+1),(YEAR(A517)-1)&amp;"-"&amp;YEAR(A517)))</f>
        <v/>
      </c>
      <c r="S517" s="20">
        <f>IF(OR(A517="",B517=""),0,IF(AND(R517=التقارير!$C$4,OR(التقارير!$C$5="سنوي",AND(التقارير!$C$5="شهري",P517=التقارير!$C$6),AND(التقارير!$C$5="فصلي",Q517=التقارير!$C$7))),1,0))</f>
        <v/>
      </c>
      <c r="T517" s="20">
        <f>IF(S517=1,COUNTIF($S$5:S517,1),"")</f>
        <v/>
      </c>
      <c r="U517">
        <f>IF(AND($A517&lt;&gt;"",$B517&lt;&gt;"",$R517='تقرير الفصل الأول'!$C$4,$Q517='تقرير الفصل الأول'!$C$7),COUNT(U$4:U516)+1,"")</f>
        <v/>
      </c>
      <c r="V517">
        <f>IF(AND($A517&lt;&gt;"",$B517&lt;&gt;"",$R517='تقرير الفصل الثاني'!$C$4,$Q517='تقرير الفصل الثاني'!$C$7),COUNT(V$4:V516)+1,"")</f>
        <v/>
      </c>
      <c r="W517">
        <f>IF(AND($A517&lt;&gt;"",$B517&lt;&gt;"",$R517='تقرير سبتمبر'!$C$4,$P517='تقرير سبتمبر'!$C$6),COUNT(W$4:W516)+1,"")</f>
        <v/>
      </c>
      <c r="X517">
        <f>IF(AND($A517&lt;&gt;"",$B517&lt;&gt;"",$R517='تقرير أكتوبر'!$C$4,$P517='تقرير أكتوبر'!$C$6),COUNT(X$4:X516)+1,"")</f>
        <v/>
      </c>
      <c r="Y517">
        <f>IF(AND($A517&lt;&gt;"",$B517&lt;&gt;"",$R517='تقرير نوفمبر'!$C$4,$P517='تقرير نوفمبر'!$C$6),COUNT(Y$4:Y516)+1,"")</f>
        <v/>
      </c>
      <c r="Z517">
        <f>IF(AND($A517&lt;&gt;"",$B517&lt;&gt;"",$R517='تقرير ديسمبر'!$C$4,$P517='تقرير ديسمبر'!$C$6),COUNT(Z$4:Z516)+1,"")</f>
        <v/>
      </c>
      <c r="AA517">
        <f>IF(AND($A517&lt;&gt;"",$B517&lt;&gt;"",$R517='تقرير يناير'!$C$4,$P517='تقرير يناير'!$C$6),COUNT(AA$4:AA516)+1,"")</f>
        <v/>
      </c>
      <c r="AB517">
        <f>IF(AND($A517&lt;&gt;"",$B517&lt;&gt;"",$R517='تقرير فبراير'!$C$4,$P517='تقرير فبراير'!$C$6),COUNT(AB$4:AB516)+1,"")</f>
        <v/>
      </c>
      <c r="AC517">
        <f>IF(AND($A517&lt;&gt;"",$B517&lt;&gt;"",$R517='تقرير مارس'!$C$4,$P517='تقرير مارس'!$C$6),COUNT(AC$4:AC516)+1,"")</f>
        <v/>
      </c>
      <c r="AD517">
        <f>IF(AND($A517&lt;&gt;"",$B517&lt;&gt;"",$R517='تقرير أبريل'!$C$4,$P517='تقرير أبريل'!$C$6),COUNT(AD$4:AD516)+1,"")</f>
        <v/>
      </c>
      <c r="AE517">
        <f>IF(AND($A517&lt;&gt;"",$B517&lt;&gt;"",$R517='تقرير مايو'!$C$4,$P517='تقرير مايو'!$C$6),COUNT(AE$4:AE516)+1,"")</f>
        <v/>
      </c>
    </row>
    <row r="518">
      <c r="A518" s="16" t="n"/>
      <c r="B518" s="17" t="n"/>
      <c r="C518" s="17" t="n"/>
      <c r="D518" s="18" t="n"/>
      <c r="E518" s="17" t="n"/>
      <c r="F518" s="17" t="n"/>
      <c r="G518" s="19" t="n"/>
      <c r="H518" s="17" t="n"/>
      <c r="I518" s="17" t="n"/>
      <c r="J518" s="17" t="n"/>
      <c r="K518" s="20">
        <f>IF($B518="","",IFERROR(INDEX(الموظفات!$A$5:$A$304,MATCH($B518,الموظفات!$B$5:$B$304,0))&amp;"",""))</f>
        <v/>
      </c>
      <c r="L518" s="21">
        <f>IF($B518="","",IFERROR(INDEX(الموظفات!$C$5:$C$304,MATCH($B518,الموظفات!$B$5:$B$304,0))&amp;"",""))</f>
        <v/>
      </c>
      <c r="M518" s="20">
        <f>IF($B518="","",IFERROR(INDEX(الموظفات!$D$5:$D$304,MATCH($B518,الموظفات!$B$5:$B$304,0))&amp;"",""))</f>
        <v/>
      </c>
      <c r="N518" s="20">
        <f>IF($B518="","",IFERROR(INDEX(الموظفات!$E$5:$E$304,MATCH($B518,الموظفات!$B$5:$B$304,0))&amp;"",""))</f>
        <v/>
      </c>
      <c r="O518" s="21">
        <f>IF(C518="","",IFERROR(INDEX(الإعدادات!$D$7:$D$35,MATCH(C518,الإعدادات!$A$7:$A$35,0))&amp;"",""))</f>
        <v/>
      </c>
      <c r="P518" s="20">
        <f>IF(A518="","",INDEX(الإعدادات!$H$7:$H$18,MONTH(A518)))</f>
        <v/>
      </c>
      <c r="Q518" s="20">
        <f>IF(A518="","",INDEX(الإعدادات!$I$7:$I$18,MONTH(A518)))</f>
        <v/>
      </c>
      <c r="R518" s="20">
        <f>IF(A518="","",IF(MONTH(A518)&gt;=8,YEAR(A518)&amp;"-"&amp;(YEAR(A518)+1),(YEAR(A518)-1)&amp;"-"&amp;YEAR(A518)))</f>
        <v/>
      </c>
      <c r="S518" s="20">
        <f>IF(OR(A518="",B518=""),0,IF(AND(R518=التقارير!$C$4,OR(التقارير!$C$5="سنوي",AND(التقارير!$C$5="شهري",P518=التقارير!$C$6),AND(التقارير!$C$5="فصلي",Q518=التقارير!$C$7))),1,0))</f>
        <v/>
      </c>
      <c r="T518" s="20">
        <f>IF(S518=1,COUNTIF($S$5:S518,1),"")</f>
        <v/>
      </c>
      <c r="U518">
        <f>IF(AND($A518&lt;&gt;"",$B518&lt;&gt;"",$R518='تقرير الفصل الأول'!$C$4,$Q518='تقرير الفصل الأول'!$C$7),COUNT(U$4:U517)+1,"")</f>
        <v/>
      </c>
      <c r="V518">
        <f>IF(AND($A518&lt;&gt;"",$B518&lt;&gt;"",$R518='تقرير الفصل الثاني'!$C$4,$Q518='تقرير الفصل الثاني'!$C$7),COUNT(V$4:V517)+1,"")</f>
        <v/>
      </c>
      <c r="W518">
        <f>IF(AND($A518&lt;&gt;"",$B518&lt;&gt;"",$R518='تقرير سبتمبر'!$C$4,$P518='تقرير سبتمبر'!$C$6),COUNT(W$4:W517)+1,"")</f>
        <v/>
      </c>
      <c r="X518">
        <f>IF(AND($A518&lt;&gt;"",$B518&lt;&gt;"",$R518='تقرير أكتوبر'!$C$4,$P518='تقرير أكتوبر'!$C$6),COUNT(X$4:X517)+1,"")</f>
        <v/>
      </c>
      <c r="Y518">
        <f>IF(AND($A518&lt;&gt;"",$B518&lt;&gt;"",$R518='تقرير نوفمبر'!$C$4,$P518='تقرير نوفمبر'!$C$6),COUNT(Y$4:Y517)+1,"")</f>
        <v/>
      </c>
      <c r="Z518">
        <f>IF(AND($A518&lt;&gt;"",$B518&lt;&gt;"",$R518='تقرير ديسمبر'!$C$4,$P518='تقرير ديسمبر'!$C$6),COUNT(Z$4:Z517)+1,"")</f>
        <v/>
      </c>
      <c r="AA518">
        <f>IF(AND($A518&lt;&gt;"",$B518&lt;&gt;"",$R518='تقرير يناير'!$C$4,$P518='تقرير يناير'!$C$6),COUNT(AA$4:AA517)+1,"")</f>
        <v/>
      </c>
      <c r="AB518">
        <f>IF(AND($A518&lt;&gt;"",$B518&lt;&gt;"",$R518='تقرير فبراير'!$C$4,$P518='تقرير فبراير'!$C$6),COUNT(AB$4:AB517)+1,"")</f>
        <v/>
      </c>
      <c r="AC518">
        <f>IF(AND($A518&lt;&gt;"",$B518&lt;&gt;"",$R518='تقرير مارس'!$C$4,$P518='تقرير مارس'!$C$6),COUNT(AC$4:AC517)+1,"")</f>
        <v/>
      </c>
      <c r="AD518">
        <f>IF(AND($A518&lt;&gt;"",$B518&lt;&gt;"",$R518='تقرير أبريل'!$C$4,$P518='تقرير أبريل'!$C$6),COUNT(AD$4:AD517)+1,"")</f>
        <v/>
      </c>
      <c r="AE518">
        <f>IF(AND($A518&lt;&gt;"",$B518&lt;&gt;"",$R518='تقرير مايو'!$C$4,$P518='تقرير مايو'!$C$6),COUNT(AE$4:AE517)+1,"")</f>
        <v/>
      </c>
    </row>
    <row r="519">
      <c r="A519" s="16" t="n"/>
      <c r="B519" s="17" t="n"/>
      <c r="C519" s="17" t="n"/>
      <c r="D519" s="18" t="n"/>
      <c r="E519" s="17" t="n"/>
      <c r="F519" s="17" t="n"/>
      <c r="G519" s="19" t="n"/>
      <c r="H519" s="17" t="n"/>
      <c r="I519" s="17" t="n"/>
      <c r="J519" s="17" t="n"/>
      <c r="K519" s="20">
        <f>IF($B519="","",IFERROR(INDEX(الموظفات!$A$5:$A$304,MATCH($B519,الموظفات!$B$5:$B$304,0))&amp;"",""))</f>
        <v/>
      </c>
      <c r="L519" s="21">
        <f>IF($B519="","",IFERROR(INDEX(الموظفات!$C$5:$C$304,MATCH($B519,الموظفات!$B$5:$B$304,0))&amp;"",""))</f>
        <v/>
      </c>
      <c r="M519" s="20">
        <f>IF($B519="","",IFERROR(INDEX(الموظفات!$D$5:$D$304,MATCH($B519,الموظفات!$B$5:$B$304,0))&amp;"",""))</f>
        <v/>
      </c>
      <c r="N519" s="20">
        <f>IF($B519="","",IFERROR(INDEX(الموظفات!$E$5:$E$304,MATCH($B519,الموظفات!$B$5:$B$304,0))&amp;"",""))</f>
        <v/>
      </c>
      <c r="O519" s="21">
        <f>IF(C519="","",IFERROR(INDEX(الإعدادات!$D$7:$D$35,MATCH(C519,الإعدادات!$A$7:$A$35,0))&amp;"",""))</f>
        <v/>
      </c>
      <c r="P519" s="20">
        <f>IF(A519="","",INDEX(الإعدادات!$H$7:$H$18,MONTH(A519)))</f>
        <v/>
      </c>
      <c r="Q519" s="20">
        <f>IF(A519="","",INDEX(الإعدادات!$I$7:$I$18,MONTH(A519)))</f>
        <v/>
      </c>
      <c r="R519" s="20">
        <f>IF(A519="","",IF(MONTH(A519)&gt;=8,YEAR(A519)&amp;"-"&amp;(YEAR(A519)+1),(YEAR(A519)-1)&amp;"-"&amp;YEAR(A519)))</f>
        <v/>
      </c>
      <c r="S519" s="20">
        <f>IF(OR(A519="",B519=""),0,IF(AND(R519=التقارير!$C$4,OR(التقارير!$C$5="سنوي",AND(التقارير!$C$5="شهري",P519=التقارير!$C$6),AND(التقارير!$C$5="فصلي",Q519=التقارير!$C$7))),1,0))</f>
        <v/>
      </c>
      <c r="T519" s="20">
        <f>IF(S519=1,COUNTIF($S$5:S519,1),"")</f>
        <v/>
      </c>
      <c r="U519">
        <f>IF(AND($A519&lt;&gt;"",$B519&lt;&gt;"",$R519='تقرير الفصل الأول'!$C$4,$Q519='تقرير الفصل الأول'!$C$7),COUNT(U$4:U518)+1,"")</f>
        <v/>
      </c>
      <c r="V519">
        <f>IF(AND($A519&lt;&gt;"",$B519&lt;&gt;"",$R519='تقرير الفصل الثاني'!$C$4,$Q519='تقرير الفصل الثاني'!$C$7),COUNT(V$4:V518)+1,"")</f>
        <v/>
      </c>
      <c r="W519">
        <f>IF(AND($A519&lt;&gt;"",$B519&lt;&gt;"",$R519='تقرير سبتمبر'!$C$4,$P519='تقرير سبتمبر'!$C$6),COUNT(W$4:W518)+1,"")</f>
        <v/>
      </c>
      <c r="X519">
        <f>IF(AND($A519&lt;&gt;"",$B519&lt;&gt;"",$R519='تقرير أكتوبر'!$C$4,$P519='تقرير أكتوبر'!$C$6),COUNT(X$4:X518)+1,"")</f>
        <v/>
      </c>
      <c r="Y519">
        <f>IF(AND($A519&lt;&gt;"",$B519&lt;&gt;"",$R519='تقرير نوفمبر'!$C$4,$P519='تقرير نوفمبر'!$C$6),COUNT(Y$4:Y518)+1,"")</f>
        <v/>
      </c>
      <c r="Z519">
        <f>IF(AND($A519&lt;&gt;"",$B519&lt;&gt;"",$R519='تقرير ديسمبر'!$C$4,$P519='تقرير ديسمبر'!$C$6),COUNT(Z$4:Z518)+1,"")</f>
        <v/>
      </c>
      <c r="AA519">
        <f>IF(AND($A519&lt;&gt;"",$B519&lt;&gt;"",$R519='تقرير يناير'!$C$4,$P519='تقرير يناير'!$C$6),COUNT(AA$4:AA518)+1,"")</f>
        <v/>
      </c>
      <c r="AB519">
        <f>IF(AND($A519&lt;&gt;"",$B519&lt;&gt;"",$R519='تقرير فبراير'!$C$4,$P519='تقرير فبراير'!$C$6),COUNT(AB$4:AB518)+1,"")</f>
        <v/>
      </c>
      <c r="AC519">
        <f>IF(AND($A519&lt;&gt;"",$B519&lt;&gt;"",$R519='تقرير مارس'!$C$4,$P519='تقرير مارس'!$C$6),COUNT(AC$4:AC518)+1,"")</f>
        <v/>
      </c>
      <c r="AD519">
        <f>IF(AND($A519&lt;&gt;"",$B519&lt;&gt;"",$R519='تقرير أبريل'!$C$4,$P519='تقرير أبريل'!$C$6),COUNT(AD$4:AD518)+1,"")</f>
        <v/>
      </c>
      <c r="AE519">
        <f>IF(AND($A519&lt;&gt;"",$B519&lt;&gt;"",$R519='تقرير مايو'!$C$4,$P519='تقرير مايو'!$C$6),COUNT(AE$4:AE518)+1,"")</f>
        <v/>
      </c>
    </row>
    <row r="520">
      <c r="A520" s="16" t="n"/>
      <c r="B520" s="17" t="n"/>
      <c r="C520" s="17" t="n"/>
      <c r="D520" s="18" t="n"/>
      <c r="E520" s="17" t="n"/>
      <c r="F520" s="17" t="n"/>
      <c r="G520" s="19" t="n"/>
      <c r="H520" s="17" t="n"/>
      <c r="I520" s="17" t="n"/>
      <c r="J520" s="17" t="n"/>
      <c r="K520" s="20">
        <f>IF($B520="","",IFERROR(INDEX(الموظفات!$A$5:$A$304,MATCH($B520,الموظفات!$B$5:$B$304,0))&amp;"",""))</f>
        <v/>
      </c>
      <c r="L520" s="21">
        <f>IF($B520="","",IFERROR(INDEX(الموظفات!$C$5:$C$304,MATCH($B520,الموظفات!$B$5:$B$304,0))&amp;"",""))</f>
        <v/>
      </c>
      <c r="M520" s="20">
        <f>IF($B520="","",IFERROR(INDEX(الموظفات!$D$5:$D$304,MATCH($B520,الموظفات!$B$5:$B$304,0))&amp;"",""))</f>
        <v/>
      </c>
      <c r="N520" s="20">
        <f>IF($B520="","",IFERROR(INDEX(الموظفات!$E$5:$E$304,MATCH($B520,الموظفات!$B$5:$B$304,0))&amp;"",""))</f>
        <v/>
      </c>
      <c r="O520" s="21">
        <f>IF(C520="","",IFERROR(INDEX(الإعدادات!$D$7:$D$35,MATCH(C520,الإعدادات!$A$7:$A$35,0))&amp;"",""))</f>
        <v/>
      </c>
      <c r="P520" s="20">
        <f>IF(A520="","",INDEX(الإعدادات!$H$7:$H$18,MONTH(A520)))</f>
        <v/>
      </c>
      <c r="Q520" s="20">
        <f>IF(A520="","",INDEX(الإعدادات!$I$7:$I$18,MONTH(A520)))</f>
        <v/>
      </c>
      <c r="R520" s="20">
        <f>IF(A520="","",IF(MONTH(A520)&gt;=8,YEAR(A520)&amp;"-"&amp;(YEAR(A520)+1),(YEAR(A520)-1)&amp;"-"&amp;YEAR(A520)))</f>
        <v/>
      </c>
      <c r="S520" s="20">
        <f>IF(OR(A520="",B520=""),0,IF(AND(R520=التقارير!$C$4,OR(التقارير!$C$5="سنوي",AND(التقارير!$C$5="شهري",P520=التقارير!$C$6),AND(التقارير!$C$5="فصلي",Q520=التقارير!$C$7))),1,0))</f>
        <v/>
      </c>
      <c r="T520" s="20">
        <f>IF(S520=1,COUNTIF($S$5:S520,1),"")</f>
        <v/>
      </c>
      <c r="U520">
        <f>IF(AND($A520&lt;&gt;"",$B520&lt;&gt;"",$R520='تقرير الفصل الأول'!$C$4,$Q520='تقرير الفصل الأول'!$C$7),COUNT(U$4:U519)+1,"")</f>
        <v/>
      </c>
      <c r="V520">
        <f>IF(AND($A520&lt;&gt;"",$B520&lt;&gt;"",$R520='تقرير الفصل الثاني'!$C$4,$Q520='تقرير الفصل الثاني'!$C$7),COUNT(V$4:V519)+1,"")</f>
        <v/>
      </c>
      <c r="W520">
        <f>IF(AND($A520&lt;&gt;"",$B520&lt;&gt;"",$R520='تقرير سبتمبر'!$C$4,$P520='تقرير سبتمبر'!$C$6),COUNT(W$4:W519)+1,"")</f>
        <v/>
      </c>
      <c r="X520">
        <f>IF(AND($A520&lt;&gt;"",$B520&lt;&gt;"",$R520='تقرير أكتوبر'!$C$4,$P520='تقرير أكتوبر'!$C$6),COUNT(X$4:X519)+1,"")</f>
        <v/>
      </c>
      <c r="Y520">
        <f>IF(AND($A520&lt;&gt;"",$B520&lt;&gt;"",$R520='تقرير نوفمبر'!$C$4,$P520='تقرير نوفمبر'!$C$6),COUNT(Y$4:Y519)+1,"")</f>
        <v/>
      </c>
      <c r="Z520">
        <f>IF(AND($A520&lt;&gt;"",$B520&lt;&gt;"",$R520='تقرير ديسمبر'!$C$4,$P520='تقرير ديسمبر'!$C$6),COUNT(Z$4:Z519)+1,"")</f>
        <v/>
      </c>
      <c r="AA520">
        <f>IF(AND($A520&lt;&gt;"",$B520&lt;&gt;"",$R520='تقرير يناير'!$C$4,$P520='تقرير يناير'!$C$6),COUNT(AA$4:AA519)+1,"")</f>
        <v/>
      </c>
      <c r="AB520">
        <f>IF(AND($A520&lt;&gt;"",$B520&lt;&gt;"",$R520='تقرير فبراير'!$C$4,$P520='تقرير فبراير'!$C$6),COUNT(AB$4:AB519)+1,"")</f>
        <v/>
      </c>
      <c r="AC520">
        <f>IF(AND($A520&lt;&gt;"",$B520&lt;&gt;"",$R520='تقرير مارس'!$C$4,$P520='تقرير مارس'!$C$6),COUNT(AC$4:AC519)+1,"")</f>
        <v/>
      </c>
      <c r="AD520">
        <f>IF(AND($A520&lt;&gt;"",$B520&lt;&gt;"",$R520='تقرير أبريل'!$C$4,$P520='تقرير أبريل'!$C$6),COUNT(AD$4:AD519)+1,"")</f>
        <v/>
      </c>
      <c r="AE520">
        <f>IF(AND($A520&lt;&gt;"",$B520&lt;&gt;"",$R520='تقرير مايو'!$C$4,$P520='تقرير مايو'!$C$6),COUNT(AE$4:AE519)+1,"")</f>
        <v/>
      </c>
    </row>
    <row r="521">
      <c r="A521" s="16" t="n"/>
      <c r="B521" s="17" t="n"/>
      <c r="C521" s="17" t="n"/>
      <c r="D521" s="18" t="n"/>
      <c r="E521" s="17" t="n"/>
      <c r="F521" s="17" t="n"/>
      <c r="G521" s="19" t="n"/>
      <c r="H521" s="17" t="n"/>
      <c r="I521" s="17" t="n"/>
      <c r="J521" s="17" t="n"/>
      <c r="K521" s="20">
        <f>IF($B521="","",IFERROR(INDEX(الموظفات!$A$5:$A$304,MATCH($B521,الموظفات!$B$5:$B$304,0))&amp;"",""))</f>
        <v/>
      </c>
      <c r="L521" s="21">
        <f>IF($B521="","",IFERROR(INDEX(الموظفات!$C$5:$C$304,MATCH($B521,الموظفات!$B$5:$B$304,0))&amp;"",""))</f>
        <v/>
      </c>
      <c r="M521" s="20">
        <f>IF($B521="","",IFERROR(INDEX(الموظفات!$D$5:$D$304,MATCH($B521,الموظفات!$B$5:$B$304,0))&amp;"",""))</f>
        <v/>
      </c>
      <c r="N521" s="20">
        <f>IF($B521="","",IFERROR(INDEX(الموظفات!$E$5:$E$304,MATCH($B521,الموظفات!$B$5:$B$304,0))&amp;"",""))</f>
        <v/>
      </c>
      <c r="O521" s="21">
        <f>IF(C521="","",IFERROR(INDEX(الإعدادات!$D$7:$D$35,MATCH(C521,الإعدادات!$A$7:$A$35,0))&amp;"",""))</f>
        <v/>
      </c>
      <c r="P521" s="20">
        <f>IF(A521="","",INDEX(الإعدادات!$H$7:$H$18,MONTH(A521)))</f>
        <v/>
      </c>
      <c r="Q521" s="20">
        <f>IF(A521="","",INDEX(الإعدادات!$I$7:$I$18,MONTH(A521)))</f>
        <v/>
      </c>
      <c r="R521" s="20">
        <f>IF(A521="","",IF(MONTH(A521)&gt;=8,YEAR(A521)&amp;"-"&amp;(YEAR(A521)+1),(YEAR(A521)-1)&amp;"-"&amp;YEAR(A521)))</f>
        <v/>
      </c>
      <c r="S521" s="20">
        <f>IF(OR(A521="",B521=""),0,IF(AND(R521=التقارير!$C$4,OR(التقارير!$C$5="سنوي",AND(التقارير!$C$5="شهري",P521=التقارير!$C$6),AND(التقارير!$C$5="فصلي",Q521=التقارير!$C$7))),1,0))</f>
        <v/>
      </c>
      <c r="T521" s="20">
        <f>IF(S521=1,COUNTIF($S$5:S521,1),"")</f>
        <v/>
      </c>
      <c r="U521">
        <f>IF(AND($A521&lt;&gt;"",$B521&lt;&gt;"",$R521='تقرير الفصل الأول'!$C$4,$Q521='تقرير الفصل الأول'!$C$7),COUNT(U$4:U520)+1,"")</f>
        <v/>
      </c>
      <c r="V521">
        <f>IF(AND($A521&lt;&gt;"",$B521&lt;&gt;"",$R521='تقرير الفصل الثاني'!$C$4,$Q521='تقرير الفصل الثاني'!$C$7),COUNT(V$4:V520)+1,"")</f>
        <v/>
      </c>
      <c r="W521">
        <f>IF(AND($A521&lt;&gt;"",$B521&lt;&gt;"",$R521='تقرير سبتمبر'!$C$4,$P521='تقرير سبتمبر'!$C$6),COUNT(W$4:W520)+1,"")</f>
        <v/>
      </c>
      <c r="X521">
        <f>IF(AND($A521&lt;&gt;"",$B521&lt;&gt;"",$R521='تقرير أكتوبر'!$C$4,$P521='تقرير أكتوبر'!$C$6),COUNT(X$4:X520)+1,"")</f>
        <v/>
      </c>
      <c r="Y521">
        <f>IF(AND($A521&lt;&gt;"",$B521&lt;&gt;"",$R521='تقرير نوفمبر'!$C$4,$P521='تقرير نوفمبر'!$C$6),COUNT(Y$4:Y520)+1,"")</f>
        <v/>
      </c>
      <c r="Z521">
        <f>IF(AND($A521&lt;&gt;"",$B521&lt;&gt;"",$R521='تقرير ديسمبر'!$C$4,$P521='تقرير ديسمبر'!$C$6),COUNT(Z$4:Z520)+1,"")</f>
        <v/>
      </c>
      <c r="AA521">
        <f>IF(AND($A521&lt;&gt;"",$B521&lt;&gt;"",$R521='تقرير يناير'!$C$4,$P521='تقرير يناير'!$C$6),COUNT(AA$4:AA520)+1,"")</f>
        <v/>
      </c>
      <c r="AB521">
        <f>IF(AND($A521&lt;&gt;"",$B521&lt;&gt;"",$R521='تقرير فبراير'!$C$4,$P521='تقرير فبراير'!$C$6),COUNT(AB$4:AB520)+1,"")</f>
        <v/>
      </c>
      <c r="AC521">
        <f>IF(AND($A521&lt;&gt;"",$B521&lt;&gt;"",$R521='تقرير مارس'!$C$4,$P521='تقرير مارس'!$C$6),COUNT(AC$4:AC520)+1,"")</f>
        <v/>
      </c>
      <c r="AD521">
        <f>IF(AND($A521&lt;&gt;"",$B521&lt;&gt;"",$R521='تقرير أبريل'!$C$4,$P521='تقرير أبريل'!$C$6),COUNT(AD$4:AD520)+1,"")</f>
        <v/>
      </c>
      <c r="AE521">
        <f>IF(AND($A521&lt;&gt;"",$B521&lt;&gt;"",$R521='تقرير مايو'!$C$4,$P521='تقرير مايو'!$C$6),COUNT(AE$4:AE520)+1,"")</f>
        <v/>
      </c>
    </row>
    <row r="522">
      <c r="A522" s="16" t="n"/>
      <c r="B522" s="17" t="n"/>
      <c r="C522" s="17" t="n"/>
      <c r="D522" s="18" t="n"/>
      <c r="E522" s="17" t="n"/>
      <c r="F522" s="17" t="n"/>
      <c r="G522" s="19" t="n"/>
      <c r="H522" s="17" t="n"/>
      <c r="I522" s="17" t="n"/>
      <c r="J522" s="17" t="n"/>
      <c r="K522" s="20">
        <f>IF($B522="","",IFERROR(INDEX(الموظفات!$A$5:$A$304,MATCH($B522,الموظفات!$B$5:$B$304,0))&amp;"",""))</f>
        <v/>
      </c>
      <c r="L522" s="21">
        <f>IF($B522="","",IFERROR(INDEX(الموظفات!$C$5:$C$304,MATCH($B522,الموظفات!$B$5:$B$304,0))&amp;"",""))</f>
        <v/>
      </c>
      <c r="M522" s="20">
        <f>IF($B522="","",IFERROR(INDEX(الموظفات!$D$5:$D$304,MATCH($B522,الموظفات!$B$5:$B$304,0))&amp;"",""))</f>
        <v/>
      </c>
      <c r="N522" s="20">
        <f>IF($B522="","",IFERROR(INDEX(الموظفات!$E$5:$E$304,MATCH($B522,الموظفات!$B$5:$B$304,0))&amp;"",""))</f>
        <v/>
      </c>
      <c r="O522" s="21">
        <f>IF(C522="","",IFERROR(INDEX(الإعدادات!$D$7:$D$35,MATCH(C522,الإعدادات!$A$7:$A$35,0))&amp;"",""))</f>
        <v/>
      </c>
      <c r="P522" s="20">
        <f>IF(A522="","",INDEX(الإعدادات!$H$7:$H$18,MONTH(A522)))</f>
        <v/>
      </c>
      <c r="Q522" s="20">
        <f>IF(A522="","",INDEX(الإعدادات!$I$7:$I$18,MONTH(A522)))</f>
        <v/>
      </c>
      <c r="R522" s="20">
        <f>IF(A522="","",IF(MONTH(A522)&gt;=8,YEAR(A522)&amp;"-"&amp;(YEAR(A522)+1),(YEAR(A522)-1)&amp;"-"&amp;YEAR(A522)))</f>
        <v/>
      </c>
      <c r="S522" s="20">
        <f>IF(OR(A522="",B522=""),0,IF(AND(R522=التقارير!$C$4,OR(التقارير!$C$5="سنوي",AND(التقارير!$C$5="شهري",P522=التقارير!$C$6),AND(التقارير!$C$5="فصلي",Q522=التقارير!$C$7))),1,0))</f>
        <v/>
      </c>
      <c r="T522" s="20">
        <f>IF(S522=1,COUNTIF($S$5:S522,1),"")</f>
        <v/>
      </c>
      <c r="U522">
        <f>IF(AND($A522&lt;&gt;"",$B522&lt;&gt;"",$R522='تقرير الفصل الأول'!$C$4,$Q522='تقرير الفصل الأول'!$C$7),COUNT(U$4:U521)+1,"")</f>
        <v/>
      </c>
      <c r="V522">
        <f>IF(AND($A522&lt;&gt;"",$B522&lt;&gt;"",$R522='تقرير الفصل الثاني'!$C$4,$Q522='تقرير الفصل الثاني'!$C$7),COUNT(V$4:V521)+1,"")</f>
        <v/>
      </c>
      <c r="W522">
        <f>IF(AND($A522&lt;&gt;"",$B522&lt;&gt;"",$R522='تقرير سبتمبر'!$C$4,$P522='تقرير سبتمبر'!$C$6),COUNT(W$4:W521)+1,"")</f>
        <v/>
      </c>
      <c r="X522">
        <f>IF(AND($A522&lt;&gt;"",$B522&lt;&gt;"",$R522='تقرير أكتوبر'!$C$4,$P522='تقرير أكتوبر'!$C$6),COUNT(X$4:X521)+1,"")</f>
        <v/>
      </c>
      <c r="Y522">
        <f>IF(AND($A522&lt;&gt;"",$B522&lt;&gt;"",$R522='تقرير نوفمبر'!$C$4,$P522='تقرير نوفمبر'!$C$6),COUNT(Y$4:Y521)+1,"")</f>
        <v/>
      </c>
      <c r="Z522">
        <f>IF(AND($A522&lt;&gt;"",$B522&lt;&gt;"",$R522='تقرير ديسمبر'!$C$4,$P522='تقرير ديسمبر'!$C$6),COUNT(Z$4:Z521)+1,"")</f>
        <v/>
      </c>
      <c r="AA522">
        <f>IF(AND($A522&lt;&gt;"",$B522&lt;&gt;"",$R522='تقرير يناير'!$C$4,$P522='تقرير يناير'!$C$6),COUNT(AA$4:AA521)+1,"")</f>
        <v/>
      </c>
      <c r="AB522">
        <f>IF(AND($A522&lt;&gt;"",$B522&lt;&gt;"",$R522='تقرير فبراير'!$C$4,$P522='تقرير فبراير'!$C$6),COUNT(AB$4:AB521)+1,"")</f>
        <v/>
      </c>
      <c r="AC522">
        <f>IF(AND($A522&lt;&gt;"",$B522&lt;&gt;"",$R522='تقرير مارس'!$C$4,$P522='تقرير مارس'!$C$6),COUNT(AC$4:AC521)+1,"")</f>
        <v/>
      </c>
      <c r="AD522">
        <f>IF(AND($A522&lt;&gt;"",$B522&lt;&gt;"",$R522='تقرير أبريل'!$C$4,$P522='تقرير أبريل'!$C$6),COUNT(AD$4:AD521)+1,"")</f>
        <v/>
      </c>
      <c r="AE522">
        <f>IF(AND($A522&lt;&gt;"",$B522&lt;&gt;"",$R522='تقرير مايو'!$C$4,$P522='تقرير مايو'!$C$6),COUNT(AE$4:AE521)+1,"")</f>
        <v/>
      </c>
    </row>
    <row r="523">
      <c r="A523" s="16" t="n"/>
      <c r="B523" s="17" t="n"/>
      <c r="C523" s="17" t="n"/>
      <c r="D523" s="18" t="n"/>
      <c r="E523" s="17" t="n"/>
      <c r="F523" s="17" t="n"/>
      <c r="G523" s="19" t="n"/>
      <c r="H523" s="17" t="n"/>
      <c r="I523" s="17" t="n"/>
      <c r="J523" s="17" t="n"/>
      <c r="K523" s="20">
        <f>IF($B523="","",IFERROR(INDEX(الموظفات!$A$5:$A$304,MATCH($B523,الموظفات!$B$5:$B$304,0))&amp;"",""))</f>
        <v/>
      </c>
      <c r="L523" s="21">
        <f>IF($B523="","",IFERROR(INDEX(الموظفات!$C$5:$C$304,MATCH($B523,الموظفات!$B$5:$B$304,0))&amp;"",""))</f>
        <v/>
      </c>
      <c r="M523" s="20">
        <f>IF($B523="","",IFERROR(INDEX(الموظفات!$D$5:$D$304,MATCH($B523,الموظفات!$B$5:$B$304,0))&amp;"",""))</f>
        <v/>
      </c>
      <c r="N523" s="20">
        <f>IF($B523="","",IFERROR(INDEX(الموظفات!$E$5:$E$304,MATCH($B523,الموظفات!$B$5:$B$304,0))&amp;"",""))</f>
        <v/>
      </c>
      <c r="O523" s="21">
        <f>IF(C523="","",IFERROR(INDEX(الإعدادات!$D$7:$D$35,MATCH(C523,الإعدادات!$A$7:$A$35,0))&amp;"",""))</f>
        <v/>
      </c>
      <c r="P523" s="20">
        <f>IF(A523="","",INDEX(الإعدادات!$H$7:$H$18,MONTH(A523)))</f>
        <v/>
      </c>
      <c r="Q523" s="20">
        <f>IF(A523="","",INDEX(الإعدادات!$I$7:$I$18,MONTH(A523)))</f>
        <v/>
      </c>
      <c r="R523" s="20">
        <f>IF(A523="","",IF(MONTH(A523)&gt;=8,YEAR(A523)&amp;"-"&amp;(YEAR(A523)+1),(YEAR(A523)-1)&amp;"-"&amp;YEAR(A523)))</f>
        <v/>
      </c>
      <c r="S523" s="20">
        <f>IF(OR(A523="",B523=""),0,IF(AND(R523=التقارير!$C$4,OR(التقارير!$C$5="سنوي",AND(التقارير!$C$5="شهري",P523=التقارير!$C$6),AND(التقارير!$C$5="فصلي",Q523=التقارير!$C$7))),1,0))</f>
        <v/>
      </c>
      <c r="T523" s="20">
        <f>IF(S523=1,COUNTIF($S$5:S523,1),"")</f>
        <v/>
      </c>
      <c r="U523">
        <f>IF(AND($A523&lt;&gt;"",$B523&lt;&gt;"",$R523='تقرير الفصل الأول'!$C$4,$Q523='تقرير الفصل الأول'!$C$7),COUNT(U$4:U522)+1,"")</f>
        <v/>
      </c>
      <c r="V523">
        <f>IF(AND($A523&lt;&gt;"",$B523&lt;&gt;"",$R523='تقرير الفصل الثاني'!$C$4,$Q523='تقرير الفصل الثاني'!$C$7),COUNT(V$4:V522)+1,"")</f>
        <v/>
      </c>
      <c r="W523">
        <f>IF(AND($A523&lt;&gt;"",$B523&lt;&gt;"",$R523='تقرير سبتمبر'!$C$4,$P523='تقرير سبتمبر'!$C$6),COUNT(W$4:W522)+1,"")</f>
        <v/>
      </c>
      <c r="X523">
        <f>IF(AND($A523&lt;&gt;"",$B523&lt;&gt;"",$R523='تقرير أكتوبر'!$C$4,$P523='تقرير أكتوبر'!$C$6),COUNT(X$4:X522)+1,"")</f>
        <v/>
      </c>
      <c r="Y523">
        <f>IF(AND($A523&lt;&gt;"",$B523&lt;&gt;"",$R523='تقرير نوفمبر'!$C$4,$P523='تقرير نوفمبر'!$C$6),COUNT(Y$4:Y522)+1,"")</f>
        <v/>
      </c>
      <c r="Z523">
        <f>IF(AND($A523&lt;&gt;"",$B523&lt;&gt;"",$R523='تقرير ديسمبر'!$C$4,$P523='تقرير ديسمبر'!$C$6),COUNT(Z$4:Z522)+1,"")</f>
        <v/>
      </c>
      <c r="AA523">
        <f>IF(AND($A523&lt;&gt;"",$B523&lt;&gt;"",$R523='تقرير يناير'!$C$4,$P523='تقرير يناير'!$C$6),COUNT(AA$4:AA522)+1,"")</f>
        <v/>
      </c>
      <c r="AB523">
        <f>IF(AND($A523&lt;&gt;"",$B523&lt;&gt;"",$R523='تقرير فبراير'!$C$4,$P523='تقرير فبراير'!$C$6),COUNT(AB$4:AB522)+1,"")</f>
        <v/>
      </c>
      <c r="AC523">
        <f>IF(AND($A523&lt;&gt;"",$B523&lt;&gt;"",$R523='تقرير مارس'!$C$4,$P523='تقرير مارس'!$C$6),COUNT(AC$4:AC522)+1,"")</f>
        <v/>
      </c>
      <c r="AD523">
        <f>IF(AND($A523&lt;&gt;"",$B523&lt;&gt;"",$R523='تقرير أبريل'!$C$4,$P523='تقرير أبريل'!$C$6),COUNT(AD$4:AD522)+1,"")</f>
        <v/>
      </c>
      <c r="AE523">
        <f>IF(AND($A523&lt;&gt;"",$B523&lt;&gt;"",$R523='تقرير مايو'!$C$4,$P523='تقرير مايو'!$C$6),COUNT(AE$4:AE522)+1,"")</f>
        <v/>
      </c>
    </row>
    <row r="524">
      <c r="A524" s="16" t="n"/>
      <c r="B524" s="17" t="n"/>
      <c r="C524" s="17" t="n"/>
      <c r="D524" s="18" t="n"/>
      <c r="E524" s="17" t="n"/>
      <c r="F524" s="17" t="n"/>
      <c r="G524" s="19" t="n"/>
      <c r="H524" s="17" t="n"/>
      <c r="I524" s="17" t="n"/>
      <c r="J524" s="17" t="n"/>
      <c r="K524" s="20">
        <f>IF($B524="","",IFERROR(INDEX(الموظفات!$A$5:$A$304,MATCH($B524,الموظفات!$B$5:$B$304,0))&amp;"",""))</f>
        <v/>
      </c>
      <c r="L524" s="21">
        <f>IF($B524="","",IFERROR(INDEX(الموظفات!$C$5:$C$304,MATCH($B524,الموظفات!$B$5:$B$304,0))&amp;"",""))</f>
        <v/>
      </c>
      <c r="M524" s="20">
        <f>IF($B524="","",IFERROR(INDEX(الموظفات!$D$5:$D$304,MATCH($B524,الموظفات!$B$5:$B$304,0))&amp;"",""))</f>
        <v/>
      </c>
      <c r="N524" s="20">
        <f>IF($B524="","",IFERROR(INDEX(الموظفات!$E$5:$E$304,MATCH($B524,الموظفات!$B$5:$B$304,0))&amp;"",""))</f>
        <v/>
      </c>
      <c r="O524" s="21">
        <f>IF(C524="","",IFERROR(INDEX(الإعدادات!$D$7:$D$35,MATCH(C524,الإعدادات!$A$7:$A$35,0))&amp;"",""))</f>
        <v/>
      </c>
      <c r="P524" s="20">
        <f>IF(A524="","",INDEX(الإعدادات!$H$7:$H$18,MONTH(A524)))</f>
        <v/>
      </c>
      <c r="Q524" s="20">
        <f>IF(A524="","",INDEX(الإعدادات!$I$7:$I$18,MONTH(A524)))</f>
        <v/>
      </c>
      <c r="R524" s="20">
        <f>IF(A524="","",IF(MONTH(A524)&gt;=8,YEAR(A524)&amp;"-"&amp;(YEAR(A524)+1),(YEAR(A524)-1)&amp;"-"&amp;YEAR(A524)))</f>
        <v/>
      </c>
      <c r="S524" s="20">
        <f>IF(OR(A524="",B524=""),0,IF(AND(R524=التقارير!$C$4,OR(التقارير!$C$5="سنوي",AND(التقارير!$C$5="شهري",P524=التقارير!$C$6),AND(التقارير!$C$5="فصلي",Q524=التقارير!$C$7))),1,0))</f>
        <v/>
      </c>
      <c r="T524" s="20">
        <f>IF(S524=1,COUNTIF($S$5:S524,1),"")</f>
        <v/>
      </c>
      <c r="U524">
        <f>IF(AND($A524&lt;&gt;"",$B524&lt;&gt;"",$R524='تقرير الفصل الأول'!$C$4,$Q524='تقرير الفصل الأول'!$C$7),COUNT(U$4:U523)+1,"")</f>
        <v/>
      </c>
      <c r="V524">
        <f>IF(AND($A524&lt;&gt;"",$B524&lt;&gt;"",$R524='تقرير الفصل الثاني'!$C$4,$Q524='تقرير الفصل الثاني'!$C$7),COUNT(V$4:V523)+1,"")</f>
        <v/>
      </c>
      <c r="W524">
        <f>IF(AND($A524&lt;&gt;"",$B524&lt;&gt;"",$R524='تقرير سبتمبر'!$C$4,$P524='تقرير سبتمبر'!$C$6),COUNT(W$4:W523)+1,"")</f>
        <v/>
      </c>
      <c r="X524">
        <f>IF(AND($A524&lt;&gt;"",$B524&lt;&gt;"",$R524='تقرير أكتوبر'!$C$4,$P524='تقرير أكتوبر'!$C$6),COUNT(X$4:X523)+1,"")</f>
        <v/>
      </c>
      <c r="Y524">
        <f>IF(AND($A524&lt;&gt;"",$B524&lt;&gt;"",$R524='تقرير نوفمبر'!$C$4,$P524='تقرير نوفمبر'!$C$6),COUNT(Y$4:Y523)+1,"")</f>
        <v/>
      </c>
      <c r="Z524">
        <f>IF(AND($A524&lt;&gt;"",$B524&lt;&gt;"",$R524='تقرير ديسمبر'!$C$4,$P524='تقرير ديسمبر'!$C$6),COUNT(Z$4:Z523)+1,"")</f>
        <v/>
      </c>
      <c r="AA524">
        <f>IF(AND($A524&lt;&gt;"",$B524&lt;&gt;"",$R524='تقرير يناير'!$C$4,$P524='تقرير يناير'!$C$6),COUNT(AA$4:AA523)+1,"")</f>
        <v/>
      </c>
      <c r="AB524">
        <f>IF(AND($A524&lt;&gt;"",$B524&lt;&gt;"",$R524='تقرير فبراير'!$C$4,$P524='تقرير فبراير'!$C$6),COUNT(AB$4:AB523)+1,"")</f>
        <v/>
      </c>
      <c r="AC524">
        <f>IF(AND($A524&lt;&gt;"",$B524&lt;&gt;"",$R524='تقرير مارس'!$C$4,$P524='تقرير مارس'!$C$6),COUNT(AC$4:AC523)+1,"")</f>
        <v/>
      </c>
      <c r="AD524">
        <f>IF(AND($A524&lt;&gt;"",$B524&lt;&gt;"",$R524='تقرير أبريل'!$C$4,$P524='تقرير أبريل'!$C$6),COUNT(AD$4:AD523)+1,"")</f>
        <v/>
      </c>
      <c r="AE524">
        <f>IF(AND($A524&lt;&gt;"",$B524&lt;&gt;"",$R524='تقرير مايو'!$C$4,$P524='تقرير مايو'!$C$6),COUNT(AE$4:AE523)+1,"")</f>
        <v/>
      </c>
    </row>
    <row r="525">
      <c r="A525" s="16" t="n"/>
      <c r="B525" s="17" t="n"/>
      <c r="C525" s="17" t="n"/>
      <c r="D525" s="18" t="n"/>
      <c r="E525" s="17" t="n"/>
      <c r="F525" s="17" t="n"/>
      <c r="G525" s="19" t="n"/>
      <c r="H525" s="17" t="n"/>
      <c r="I525" s="17" t="n"/>
      <c r="J525" s="17" t="n"/>
      <c r="K525" s="20">
        <f>IF($B525="","",IFERROR(INDEX(الموظفات!$A$5:$A$304,MATCH($B525,الموظفات!$B$5:$B$304,0))&amp;"",""))</f>
        <v/>
      </c>
      <c r="L525" s="21">
        <f>IF($B525="","",IFERROR(INDEX(الموظفات!$C$5:$C$304,MATCH($B525,الموظفات!$B$5:$B$304,0))&amp;"",""))</f>
        <v/>
      </c>
      <c r="M525" s="20">
        <f>IF($B525="","",IFERROR(INDEX(الموظفات!$D$5:$D$304,MATCH($B525,الموظفات!$B$5:$B$304,0))&amp;"",""))</f>
        <v/>
      </c>
      <c r="N525" s="20">
        <f>IF($B525="","",IFERROR(INDEX(الموظفات!$E$5:$E$304,MATCH($B525,الموظفات!$B$5:$B$304,0))&amp;"",""))</f>
        <v/>
      </c>
      <c r="O525" s="21">
        <f>IF(C525="","",IFERROR(INDEX(الإعدادات!$D$7:$D$35,MATCH(C525,الإعدادات!$A$7:$A$35,0))&amp;"",""))</f>
        <v/>
      </c>
      <c r="P525" s="20">
        <f>IF(A525="","",INDEX(الإعدادات!$H$7:$H$18,MONTH(A525)))</f>
        <v/>
      </c>
      <c r="Q525" s="20">
        <f>IF(A525="","",INDEX(الإعدادات!$I$7:$I$18,MONTH(A525)))</f>
        <v/>
      </c>
      <c r="R525" s="20">
        <f>IF(A525="","",IF(MONTH(A525)&gt;=8,YEAR(A525)&amp;"-"&amp;(YEAR(A525)+1),(YEAR(A525)-1)&amp;"-"&amp;YEAR(A525)))</f>
        <v/>
      </c>
      <c r="S525" s="20">
        <f>IF(OR(A525="",B525=""),0,IF(AND(R525=التقارير!$C$4,OR(التقارير!$C$5="سنوي",AND(التقارير!$C$5="شهري",P525=التقارير!$C$6),AND(التقارير!$C$5="فصلي",Q525=التقارير!$C$7))),1,0))</f>
        <v/>
      </c>
      <c r="T525" s="20">
        <f>IF(S525=1,COUNTIF($S$5:S525,1),"")</f>
        <v/>
      </c>
      <c r="U525">
        <f>IF(AND($A525&lt;&gt;"",$B525&lt;&gt;"",$R525='تقرير الفصل الأول'!$C$4,$Q525='تقرير الفصل الأول'!$C$7),COUNT(U$4:U524)+1,"")</f>
        <v/>
      </c>
      <c r="V525">
        <f>IF(AND($A525&lt;&gt;"",$B525&lt;&gt;"",$R525='تقرير الفصل الثاني'!$C$4,$Q525='تقرير الفصل الثاني'!$C$7),COUNT(V$4:V524)+1,"")</f>
        <v/>
      </c>
      <c r="W525">
        <f>IF(AND($A525&lt;&gt;"",$B525&lt;&gt;"",$R525='تقرير سبتمبر'!$C$4,$P525='تقرير سبتمبر'!$C$6),COUNT(W$4:W524)+1,"")</f>
        <v/>
      </c>
      <c r="X525">
        <f>IF(AND($A525&lt;&gt;"",$B525&lt;&gt;"",$R525='تقرير أكتوبر'!$C$4,$P525='تقرير أكتوبر'!$C$6),COUNT(X$4:X524)+1,"")</f>
        <v/>
      </c>
      <c r="Y525">
        <f>IF(AND($A525&lt;&gt;"",$B525&lt;&gt;"",$R525='تقرير نوفمبر'!$C$4,$P525='تقرير نوفمبر'!$C$6),COUNT(Y$4:Y524)+1,"")</f>
        <v/>
      </c>
      <c r="Z525">
        <f>IF(AND($A525&lt;&gt;"",$B525&lt;&gt;"",$R525='تقرير ديسمبر'!$C$4,$P525='تقرير ديسمبر'!$C$6),COUNT(Z$4:Z524)+1,"")</f>
        <v/>
      </c>
      <c r="AA525">
        <f>IF(AND($A525&lt;&gt;"",$B525&lt;&gt;"",$R525='تقرير يناير'!$C$4,$P525='تقرير يناير'!$C$6),COUNT(AA$4:AA524)+1,"")</f>
        <v/>
      </c>
      <c r="AB525">
        <f>IF(AND($A525&lt;&gt;"",$B525&lt;&gt;"",$R525='تقرير فبراير'!$C$4,$P525='تقرير فبراير'!$C$6),COUNT(AB$4:AB524)+1,"")</f>
        <v/>
      </c>
      <c r="AC525">
        <f>IF(AND($A525&lt;&gt;"",$B525&lt;&gt;"",$R525='تقرير مارس'!$C$4,$P525='تقرير مارس'!$C$6),COUNT(AC$4:AC524)+1,"")</f>
        <v/>
      </c>
      <c r="AD525">
        <f>IF(AND($A525&lt;&gt;"",$B525&lt;&gt;"",$R525='تقرير أبريل'!$C$4,$P525='تقرير أبريل'!$C$6),COUNT(AD$4:AD524)+1,"")</f>
        <v/>
      </c>
      <c r="AE525">
        <f>IF(AND($A525&lt;&gt;"",$B525&lt;&gt;"",$R525='تقرير مايو'!$C$4,$P525='تقرير مايو'!$C$6),COUNT(AE$4:AE524)+1,"")</f>
        <v/>
      </c>
    </row>
    <row r="526">
      <c r="A526" s="16" t="n"/>
      <c r="B526" s="17" t="n"/>
      <c r="C526" s="17" t="n"/>
      <c r="D526" s="18" t="n"/>
      <c r="E526" s="17" t="n"/>
      <c r="F526" s="17" t="n"/>
      <c r="G526" s="19" t="n"/>
      <c r="H526" s="17" t="n"/>
      <c r="I526" s="17" t="n"/>
      <c r="J526" s="17" t="n"/>
      <c r="K526" s="20">
        <f>IF($B526="","",IFERROR(INDEX(الموظفات!$A$5:$A$304,MATCH($B526,الموظفات!$B$5:$B$304,0))&amp;"",""))</f>
        <v/>
      </c>
      <c r="L526" s="21">
        <f>IF($B526="","",IFERROR(INDEX(الموظفات!$C$5:$C$304,MATCH($B526,الموظفات!$B$5:$B$304,0))&amp;"",""))</f>
        <v/>
      </c>
      <c r="M526" s="20">
        <f>IF($B526="","",IFERROR(INDEX(الموظفات!$D$5:$D$304,MATCH($B526,الموظفات!$B$5:$B$304,0))&amp;"",""))</f>
        <v/>
      </c>
      <c r="N526" s="20">
        <f>IF($B526="","",IFERROR(INDEX(الموظفات!$E$5:$E$304,MATCH($B526,الموظفات!$B$5:$B$304,0))&amp;"",""))</f>
        <v/>
      </c>
      <c r="O526" s="21">
        <f>IF(C526="","",IFERROR(INDEX(الإعدادات!$D$7:$D$35,MATCH(C526,الإعدادات!$A$7:$A$35,0))&amp;"",""))</f>
        <v/>
      </c>
      <c r="P526" s="20">
        <f>IF(A526="","",INDEX(الإعدادات!$H$7:$H$18,MONTH(A526)))</f>
        <v/>
      </c>
      <c r="Q526" s="20">
        <f>IF(A526="","",INDEX(الإعدادات!$I$7:$I$18,MONTH(A526)))</f>
        <v/>
      </c>
      <c r="R526" s="20">
        <f>IF(A526="","",IF(MONTH(A526)&gt;=8,YEAR(A526)&amp;"-"&amp;(YEAR(A526)+1),(YEAR(A526)-1)&amp;"-"&amp;YEAR(A526)))</f>
        <v/>
      </c>
      <c r="S526" s="20">
        <f>IF(OR(A526="",B526=""),0,IF(AND(R526=التقارير!$C$4,OR(التقارير!$C$5="سنوي",AND(التقارير!$C$5="شهري",P526=التقارير!$C$6),AND(التقارير!$C$5="فصلي",Q526=التقارير!$C$7))),1,0))</f>
        <v/>
      </c>
      <c r="T526" s="20">
        <f>IF(S526=1,COUNTIF($S$5:S526,1),"")</f>
        <v/>
      </c>
      <c r="U526">
        <f>IF(AND($A526&lt;&gt;"",$B526&lt;&gt;"",$R526='تقرير الفصل الأول'!$C$4,$Q526='تقرير الفصل الأول'!$C$7),COUNT(U$4:U525)+1,"")</f>
        <v/>
      </c>
      <c r="V526">
        <f>IF(AND($A526&lt;&gt;"",$B526&lt;&gt;"",$R526='تقرير الفصل الثاني'!$C$4,$Q526='تقرير الفصل الثاني'!$C$7),COUNT(V$4:V525)+1,"")</f>
        <v/>
      </c>
      <c r="W526">
        <f>IF(AND($A526&lt;&gt;"",$B526&lt;&gt;"",$R526='تقرير سبتمبر'!$C$4,$P526='تقرير سبتمبر'!$C$6),COUNT(W$4:W525)+1,"")</f>
        <v/>
      </c>
      <c r="X526">
        <f>IF(AND($A526&lt;&gt;"",$B526&lt;&gt;"",$R526='تقرير أكتوبر'!$C$4,$P526='تقرير أكتوبر'!$C$6),COUNT(X$4:X525)+1,"")</f>
        <v/>
      </c>
      <c r="Y526">
        <f>IF(AND($A526&lt;&gt;"",$B526&lt;&gt;"",$R526='تقرير نوفمبر'!$C$4,$P526='تقرير نوفمبر'!$C$6),COUNT(Y$4:Y525)+1,"")</f>
        <v/>
      </c>
      <c r="Z526">
        <f>IF(AND($A526&lt;&gt;"",$B526&lt;&gt;"",$R526='تقرير ديسمبر'!$C$4,$P526='تقرير ديسمبر'!$C$6),COUNT(Z$4:Z525)+1,"")</f>
        <v/>
      </c>
      <c r="AA526">
        <f>IF(AND($A526&lt;&gt;"",$B526&lt;&gt;"",$R526='تقرير يناير'!$C$4,$P526='تقرير يناير'!$C$6),COUNT(AA$4:AA525)+1,"")</f>
        <v/>
      </c>
      <c r="AB526">
        <f>IF(AND($A526&lt;&gt;"",$B526&lt;&gt;"",$R526='تقرير فبراير'!$C$4,$P526='تقرير فبراير'!$C$6),COUNT(AB$4:AB525)+1,"")</f>
        <v/>
      </c>
      <c r="AC526">
        <f>IF(AND($A526&lt;&gt;"",$B526&lt;&gt;"",$R526='تقرير مارس'!$C$4,$P526='تقرير مارس'!$C$6),COUNT(AC$4:AC525)+1,"")</f>
        <v/>
      </c>
      <c r="AD526">
        <f>IF(AND($A526&lt;&gt;"",$B526&lt;&gt;"",$R526='تقرير أبريل'!$C$4,$P526='تقرير أبريل'!$C$6),COUNT(AD$4:AD525)+1,"")</f>
        <v/>
      </c>
      <c r="AE526">
        <f>IF(AND($A526&lt;&gt;"",$B526&lt;&gt;"",$R526='تقرير مايو'!$C$4,$P526='تقرير مايو'!$C$6),COUNT(AE$4:AE525)+1,"")</f>
        <v/>
      </c>
    </row>
    <row r="527">
      <c r="A527" s="16" t="n"/>
      <c r="B527" s="17" t="n"/>
      <c r="C527" s="17" t="n"/>
      <c r="D527" s="18" t="n"/>
      <c r="E527" s="17" t="n"/>
      <c r="F527" s="17" t="n"/>
      <c r="G527" s="19" t="n"/>
      <c r="H527" s="17" t="n"/>
      <c r="I527" s="17" t="n"/>
      <c r="J527" s="17" t="n"/>
      <c r="K527" s="20">
        <f>IF($B527="","",IFERROR(INDEX(الموظفات!$A$5:$A$304,MATCH($B527,الموظفات!$B$5:$B$304,0))&amp;"",""))</f>
        <v/>
      </c>
      <c r="L527" s="21">
        <f>IF($B527="","",IFERROR(INDEX(الموظفات!$C$5:$C$304,MATCH($B527,الموظفات!$B$5:$B$304,0))&amp;"",""))</f>
        <v/>
      </c>
      <c r="M527" s="20">
        <f>IF($B527="","",IFERROR(INDEX(الموظفات!$D$5:$D$304,MATCH($B527,الموظفات!$B$5:$B$304,0))&amp;"",""))</f>
        <v/>
      </c>
      <c r="N527" s="20">
        <f>IF($B527="","",IFERROR(INDEX(الموظفات!$E$5:$E$304,MATCH($B527,الموظفات!$B$5:$B$304,0))&amp;"",""))</f>
        <v/>
      </c>
      <c r="O527" s="21">
        <f>IF(C527="","",IFERROR(INDEX(الإعدادات!$D$7:$D$35,MATCH(C527,الإعدادات!$A$7:$A$35,0))&amp;"",""))</f>
        <v/>
      </c>
      <c r="P527" s="20">
        <f>IF(A527="","",INDEX(الإعدادات!$H$7:$H$18,MONTH(A527)))</f>
        <v/>
      </c>
      <c r="Q527" s="20">
        <f>IF(A527="","",INDEX(الإعدادات!$I$7:$I$18,MONTH(A527)))</f>
        <v/>
      </c>
      <c r="R527" s="20">
        <f>IF(A527="","",IF(MONTH(A527)&gt;=8,YEAR(A527)&amp;"-"&amp;(YEAR(A527)+1),(YEAR(A527)-1)&amp;"-"&amp;YEAR(A527)))</f>
        <v/>
      </c>
      <c r="S527" s="20">
        <f>IF(OR(A527="",B527=""),0,IF(AND(R527=التقارير!$C$4,OR(التقارير!$C$5="سنوي",AND(التقارير!$C$5="شهري",P527=التقارير!$C$6),AND(التقارير!$C$5="فصلي",Q527=التقارير!$C$7))),1,0))</f>
        <v/>
      </c>
      <c r="T527" s="20">
        <f>IF(S527=1,COUNTIF($S$5:S527,1),"")</f>
        <v/>
      </c>
      <c r="U527">
        <f>IF(AND($A527&lt;&gt;"",$B527&lt;&gt;"",$R527='تقرير الفصل الأول'!$C$4,$Q527='تقرير الفصل الأول'!$C$7),COUNT(U$4:U526)+1,"")</f>
        <v/>
      </c>
      <c r="V527">
        <f>IF(AND($A527&lt;&gt;"",$B527&lt;&gt;"",$R527='تقرير الفصل الثاني'!$C$4,$Q527='تقرير الفصل الثاني'!$C$7),COUNT(V$4:V526)+1,"")</f>
        <v/>
      </c>
      <c r="W527">
        <f>IF(AND($A527&lt;&gt;"",$B527&lt;&gt;"",$R527='تقرير سبتمبر'!$C$4,$P527='تقرير سبتمبر'!$C$6),COUNT(W$4:W526)+1,"")</f>
        <v/>
      </c>
      <c r="X527">
        <f>IF(AND($A527&lt;&gt;"",$B527&lt;&gt;"",$R527='تقرير أكتوبر'!$C$4,$P527='تقرير أكتوبر'!$C$6),COUNT(X$4:X526)+1,"")</f>
        <v/>
      </c>
      <c r="Y527">
        <f>IF(AND($A527&lt;&gt;"",$B527&lt;&gt;"",$R527='تقرير نوفمبر'!$C$4,$P527='تقرير نوفمبر'!$C$6),COUNT(Y$4:Y526)+1,"")</f>
        <v/>
      </c>
      <c r="Z527">
        <f>IF(AND($A527&lt;&gt;"",$B527&lt;&gt;"",$R527='تقرير ديسمبر'!$C$4,$P527='تقرير ديسمبر'!$C$6),COUNT(Z$4:Z526)+1,"")</f>
        <v/>
      </c>
      <c r="AA527">
        <f>IF(AND($A527&lt;&gt;"",$B527&lt;&gt;"",$R527='تقرير يناير'!$C$4,$P527='تقرير يناير'!$C$6),COUNT(AA$4:AA526)+1,"")</f>
        <v/>
      </c>
      <c r="AB527">
        <f>IF(AND($A527&lt;&gt;"",$B527&lt;&gt;"",$R527='تقرير فبراير'!$C$4,$P527='تقرير فبراير'!$C$6),COUNT(AB$4:AB526)+1,"")</f>
        <v/>
      </c>
      <c r="AC527">
        <f>IF(AND($A527&lt;&gt;"",$B527&lt;&gt;"",$R527='تقرير مارس'!$C$4,$P527='تقرير مارس'!$C$6),COUNT(AC$4:AC526)+1,"")</f>
        <v/>
      </c>
      <c r="AD527">
        <f>IF(AND($A527&lt;&gt;"",$B527&lt;&gt;"",$R527='تقرير أبريل'!$C$4,$P527='تقرير أبريل'!$C$6),COUNT(AD$4:AD526)+1,"")</f>
        <v/>
      </c>
      <c r="AE527">
        <f>IF(AND($A527&lt;&gt;"",$B527&lt;&gt;"",$R527='تقرير مايو'!$C$4,$P527='تقرير مايو'!$C$6),COUNT(AE$4:AE526)+1,"")</f>
        <v/>
      </c>
    </row>
    <row r="528">
      <c r="A528" s="16" t="n"/>
      <c r="B528" s="17" t="n"/>
      <c r="C528" s="17" t="n"/>
      <c r="D528" s="18" t="n"/>
      <c r="E528" s="17" t="n"/>
      <c r="F528" s="17" t="n"/>
      <c r="G528" s="19" t="n"/>
      <c r="H528" s="17" t="n"/>
      <c r="I528" s="17" t="n"/>
      <c r="J528" s="17" t="n"/>
      <c r="K528" s="20">
        <f>IF($B528="","",IFERROR(INDEX(الموظفات!$A$5:$A$304,MATCH($B528,الموظفات!$B$5:$B$304,0))&amp;"",""))</f>
        <v/>
      </c>
      <c r="L528" s="21">
        <f>IF($B528="","",IFERROR(INDEX(الموظفات!$C$5:$C$304,MATCH($B528,الموظفات!$B$5:$B$304,0))&amp;"",""))</f>
        <v/>
      </c>
      <c r="M528" s="20">
        <f>IF($B528="","",IFERROR(INDEX(الموظفات!$D$5:$D$304,MATCH($B528,الموظفات!$B$5:$B$304,0))&amp;"",""))</f>
        <v/>
      </c>
      <c r="N528" s="20">
        <f>IF($B528="","",IFERROR(INDEX(الموظفات!$E$5:$E$304,MATCH($B528,الموظفات!$B$5:$B$304,0))&amp;"",""))</f>
        <v/>
      </c>
      <c r="O528" s="21">
        <f>IF(C528="","",IFERROR(INDEX(الإعدادات!$D$7:$D$35,MATCH(C528,الإعدادات!$A$7:$A$35,0))&amp;"",""))</f>
        <v/>
      </c>
      <c r="P528" s="20">
        <f>IF(A528="","",INDEX(الإعدادات!$H$7:$H$18,MONTH(A528)))</f>
        <v/>
      </c>
      <c r="Q528" s="20">
        <f>IF(A528="","",INDEX(الإعدادات!$I$7:$I$18,MONTH(A528)))</f>
        <v/>
      </c>
      <c r="R528" s="20">
        <f>IF(A528="","",IF(MONTH(A528)&gt;=8,YEAR(A528)&amp;"-"&amp;(YEAR(A528)+1),(YEAR(A528)-1)&amp;"-"&amp;YEAR(A528)))</f>
        <v/>
      </c>
      <c r="S528" s="20">
        <f>IF(OR(A528="",B528=""),0,IF(AND(R528=التقارير!$C$4,OR(التقارير!$C$5="سنوي",AND(التقارير!$C$5="شهري",P528=التقارير!$C$6),AND(التقارير!$C$5="فصلي",Q528=التقارير!$C$7))),1,0))</f>
        <v/>
      </c>
      <c r="T528" s="20">
        <f>IF(S528=1,COUNTIF($S$5:S528,1),"")</f>
        <v/>
      </c>
      <c r="U528">
        <f>IF(AND($A528&lt;&gt;"",$B528&lt;&gt;"",$R528='تقرير الفصل الأول'!$C$4,$Q528='تقرير الفصل الأول'!$C$7),COUNT(U$4:U527)+1,"")</f>
        <v/>
      </c>
      <c r="V528">
        <f>IF(AND($A528&lt;&gt;"",$B528&lt;&gt;"",$R528='تقرير الفصل الثاني'!$C$4,$Q528='تقرير الفصل الثاني'!$C$7),COUNT(V$4:V527)+1,"")</f>
        <v/>
      </c>
      <c r="W528">
        <f>IF(AND($A528&lt;&gt;"",$B528&lt;&gt;"",$R528='تقرير سبتمبر'!$C$4,$P528='تقرير سبتمبر'!$C$6),COUNT(W$4:W527)+1,"")</f>
        <v/>
      </c>
      <c r="X528">
        <f>IF(AND($A528&lt;&gt;"",$B528&lt;&gt;"",$R528='تقرير أكتوبر'!$C$4,$P528='تقرير أكتوبر'!$C$6),COUNT(X$4:X527)+1,"")</f>
        <v/>
      </c>
      <c r="Y528">
        <f>IF(AND($A528&lt;&gt;"",$B528&lt;&gt;"",$R528='تقرير نوفمبر'!$C$4,$P528='تقرير نوفمبر'!$C$6),COUNT(Y$4:Y527)+1,"")</f>
        <v/>
      </c>
      <c r="Z528">
        <f>IF(AND($A528&lt;&gt;"",$B528&lt;&gt;"",$R528='تقرير ديسمبر'!$C$4,$P528='تقرير ديسمبر'!$C$6),COUNT(Z$4:Z527)+1,"")</f>
        <v/>
      </c>
      <c r="AA528">
        <f>IF(AND($A528&lt;&gt;"",$B528&lt;&gt;"",$R528='تقرير يناير'!$C$4,$P528='تقرير يناير'!$C$6),COUNT(AA$4:AA527)+1,"")</f>
        <v/>
      </c>
      <c r="AB528">
        <f>IF(AND($A528&lt;&gt;"",$B528&lt;&gt;"",$R528='تقرير فبراير'!$C$4,$P528='تقرير فبراير'!$C$6),COUNT(AB$4:AB527)+1,"")</f>
        <v/>
      </c>
      <c r="AC528">
        <f>IF(AND($A528&lt;&gt;"",$B528&lt;&gt;"",$R528='تقرير مارس'!$C$4,$P528='تقرير مارس'!$C$6),COUNT(AC$4:AC527)+1,"")</f>
        <v/>
      </c>
      <c r="AD528">
        <f>IF(AND($A528&lt;&gt;"",$B528&lt;&gt;"",$R528='تقرير أبريل'!$C$4,$P528='تقرير أبريل'!$C$6),COUNT(AD$4:AD527)+1,"")</f>
        <v/>
      </c>
      <c r="AE528">
        <f>IF(AND($A528&lt;&gt;"",$B528&lt;&gt;"",$R528='تقرير مايو'!$C$4,$P528='تقرير مايو'!$C$6),COUNT(AE$4:AE527)+1,"")</f>
        <v/>
      </c>
    </row>
    <row r="529">
      <c r="A529" s="16" t="n"/>
      <c r="B529" s="17" t="n"/>
      <c r="C529" s="17" t="n"/>
      <c r="D529" s="18" t="n"/>
      <c r="E529" s="17" t="n"/>
      <c r="F529" s="17" t="n"/>
      <c r="G529" s="19" t="n"/>
      <c r="H529" s="17" t="n"/>
      <c r="I529" s="17" t="n"/>
      <c r="J529" s="17" t="n"/>
      <c r="K529" s="20">
        <f>IF($B529="","",IFERROR(INDEX(الموظفات!$A$5:$A$304,MATCH($B529,الموظفات!$B$5:$B$304,0))&amp;"",""))</f>
        <v/>
      </c>
      <c r="L529" s="21">
        <f>IF($B529="","",IFERROR(INDEX(الموظفات!$C$5:$C$304,MATCH($B529,الموظفات!$B$5:$B$304,0))&amp;"",""))</f>
        <v/>
      </c>
      <c r="M529" s="20">
        <f>IF($B529="","",IFERROR(INDEX(الموظفات!$D$5:$D$304,MATCH($B529,الموظفات!$B$5:$B$304,0))&amp;"",""))</f>
        <v/>
      </c>
      <c r="N529" s="20">
        <f>IF($B529="","",IFERROR(INDEX(الموظفات!$E$5:$E$304,MATCH($B529,الموظفات!$B$5:$B$304,0))&amp;"",""))</f>
        <v/>
      </c>
      <c r="O529" s="21">
        <f>IF(C529="","",IFERROR(INDEX(الإعدادات!$D$7:$D$35,MATCH(C529,الإعدادات!$A$7:$A$35,0))&amp;"",""))</f>
        <v/>
      </c>
      <c r="P529" s="20">
        <f>IF(A529="","",INDEX(الإعدادات!$H$7:$H$18,MONTH(A529)))</f>
        <v/>
      </c>
      <c r="Q529" s="20">
        <f>IF(A529="","",INDEX(الإعدادات!$I$7:$I$18,MONTH(A529)))</f>
        <v/>
      </c>
      <c r="R529" s="20">
        <f>IF(A529="","",IF(MONTH(A529)&gt;=8,YEAR(A529)&amp;"-"&amp;(YEAR(A529)+1),(YEAR(A529)-1)&amp;"-"&amp;YEAR(A529)))</f>
        <v/>
      </c>
      <c r="S529" s="20">
        <f>IF(OR(A529="",B529=""),0,IF(AND(R529=التقارير!$C$4,OR(التقارير!$C$5="سنوي",AND(التقارير!$C$5="شهري",P529=التقارير!$C$6),AND(التقارير!$C$5="فصلي",Q529=التقارير!$C$7))),1,0))</f>
        <v/>
      </c>
      <c r="T529" s="20">
        <f>IF(S529=1,COUNTIF($S$5:S529,1),"")</f>
        <v/>
      </c>
      <c r="U529">
        <f>IF(AND($A529&lt;&gt;"",$B529&lt;&gt;"",$R529='تقرير الفصل الأول'!$C$4,$Q529='تقرير الفصل الأول'!$C$7),COUNT(U$4:U528)+1,"")</f>
        <v/>
      </c>
      <c r="V529">
        <f>IF(AND($A529&lt;&gt;"",$B529&lt;&gt;"",$R529='تقرير الفصل الثاني'!$C$4,$Q529='تقرير الفصل الثاني'!$C$7),COUNT(V$4:V528)+1,"")</f>
        <v/>
      </c>
      <c r="W529">
        <f>IF(AND($A529&lt;&gt;"",$B529&lt;&gt;"",$R529='تقرير سبتمبر'!$C$4,$P529='تقرير سبتمبر'!$C$6),COUNT(W$4:W528)+1,"")</f>
        <v/>
      </c>
      <c r="X529">
        <f>IF(AND($A529&lt;&gt;"",$B529&lt;&gt;"",$R529='تقرير أكتوبر'!$C$4,$P529='تقرير أكتوبر'!$C$6),COUNT(X$4:X528)+1,"")</f>
        <v/>
      </c>
      <c r="Y529">
        <f>IF(AND($A529&lt;&gt;"",$B529&lt;&gt;"",$R529='تقرير نوفمبر'!$C$4,$P529='تقرير نوفمبر'!$C$6),COUNT(Y$4:Y528)+1,"")</f>
        <v/>
      </c>
      <c r="Z529">
        <f>IF(AND($A529&lt;&gt;"",$B529&lt;&gt;"",$R529='تقرير ديسمبر'!$C$4,$P529='تقرير ديسمبر'!$C$6),COUNT(Z$4:Z528)+1,"")</f>
        <v/>
      </c>
      <c r="AA529">
        <f>IF(AND($A529&lt;&gt;"",$B529&lt;&gt;"",$R529='تقرير يناير'!$C$4,$P529='تقرير يناير'!$C$6),COUNT(AA$4:AA528)+1,"")</f>
        <v/>
      </c>
      <c r="AB529">
        <f>IF(AND($A529&lt;&gt;"",$B529&lt;&gt;"",$R529='تقرير فبراير'!$C$4,$P529='تقرير فبراير'!$C$6),COUNT(AB$4:AB528)+1,"")</f>
        <v/>
      </c>
      <c r="AC529">
        <f>IF(AND($A529&lt;&gt;"",$B529&lt;&gt;"",$R529='تقرير مارس'!$C$4,$P529='تقرير مارس'!$C$6),COUNT(AC$4:AC528)+1,"")</f>
        <v/>
      </c>
      <c r="AD529">
        <f>IF(AND($A529&lt;&gt;"",$B529&lt;&gt;"",$R529='تقرير أبريل'!$C$4,$P529='تقرير أبريل'!$C$6),COUNT(AD$4:AD528)+1,"")</f>
        <v/>
      </c>
      <c r="AE529">
        <f>IF(AND($A529&lt;&gt;"",$B529&lt;&gt;"",$R529='تقرير مايو'!$C$4,$P529='تقرير مايو'!$C$6),COUNT(AE$4:AE528)+1,"")</f>
        <v/>
      </c>
    </row>
    <row r="530">
      <c r="A530" s="16" t="n"/>
      <c r="B530" s="17" t="n"/>
      <c r="C530" s="17" t="n"/>
      <c r="D530" s="18" t="n"/>
      <c r="E530" s="17" t="n"/>
      <c r="F530" s="17" t="n"/>
      <c r="G530" s="19" t="n"/>
      <c r="H530" s="17" t="n"/>
      <c r="I530" s="17" t="n"/>
      <c r="J530" s="17" t="n"/>
      <c r="K530" s="20">
        <f>IF($B530="","",IFERROR(INDEX(الموظفات!$A$5:$A$304,MATCH($B530,الموظفات!$B$5:$B$304,0))&amp;"",""))</f>
        <v/>
      </c>
      <c r="L530" s="21">
        <f>IF($B530="","",IFERROR(INDEX(الموظفات!$C$5:$C$304,MATCH($B530,الموظفات!$B$5:$B$304,0))&amp;"",""))</f>
        <v/>
      </c>
      <c r="M530" s="20">
        <f>IF($B530="","",IFERROR(INDEX(الموظفات!$D$5:$D$304,MATCH($B530,الموظفات!$B$5:$B$304,0))&amp;"",""))</f>
        <v/>
      </c>
      <c r="N530" s="20">
        <f>IF($B530="","",IFERROR(INDEX(الموظفات!$E$5:$E$304,MATCH($B530,الموظفات!$B$5:$B$304,0))&amp;"",""))</f>
        <v/>
      </c>
      <c r="O530" s="21">
        <f>IF(C530="","",IFERROR(INDEX(الإعدادات!$D$7:$D$35,MATCH(C530,الإعدادات!$A$7:$A$35,0))&amp;"",""))</f>
        <v/>
      </c>
      <c r="P530" s="20">
        <f>IF(A530="","",INDEX(الإعدادات!$H$7:$H$18,MONTH(A530)))</f>
        <v/>
      </c>
      <c r="Q530" s="20">
        <f>IF(A530="","",INDEX(الإعدادات!$I$7:$I$18,MONTH(A530)))</f>
        <v/>
      </c>
      <c r="R530" s="20">
        <f>IF(A530="","",IF(MONTH(A530)&gt;=8,YEAR(A530)&amp;"-"&amp;(YEAR(A530)+1),(YEAR(A530)-1)&amp;"-"&amp;YEAR(A530)))</f>
        <v/>
      </c>
      <c r="S530" s="20">
        <f>IF(OR(A530="",B530=""),0,IF(AND(R530=التقارير!$C$4,OR(التقارير!$C$5="سنوي",AND(التقارير!$C$5="شهري",P530=التقارير!$C$6),AND(التقارير!$C$5="فصلي",Q530=التقارير!$C$7))),1,0))</f>
        <v/>
      </c>
      <c r="T530" s="20">
        <f>IF(S530=1,COUNTIF($S$5:S530,1),"")</f>
        <v/>
      </c>
      <c r="U530">
        <f>IF(AND($A530&lt;&gt;"",$B530&lt;&gt;"",$R530='تقرير الفصل الأول'!$C$4,$Q530='تقرير الفصل الأول'!$C$7),COUNT(U$4:U529)+1,"")</f>
        <v/>
      </c>
      <c r="V530">
        <f>IF(AND($A530&lt;&gt;"",$B530&lt;&gt;"",$R530='تقرير الفصل الثاني'!$C$4,$Q530='تقرير الفصل الثاني'!$C$7),COUNT(V$4:V529)+1,"")</f>
        <v/>
      </c>
      <c r="W530">
        <f>IF(AND($A530&lt;&gt;"",$B530&lt;&gt;"",$R530='تقرير سبتمبر'!$C$4,$P530='تقرير سبتمبر'!$C$6),COUNT(W$4:W529)+1,"")</f>
        <v/>
      </c>
      <c r="X530">
        <f>IF(AND($A530&lt;&gt;"",$B530&lt;&gt;"",$R530='تقرير أكتوبر'!$C$4,$P530='تقرير أكتوبر'!$C$6),COUNT(X$4:X529)+1,"")</f>
        <v/>
      </c>
      <c r="Y530">
        <f>IF(AND($A530&lt;&gt;"",$B530&lt;&gt;"",$R530='تقرير نوفمبر'!$C$4,$P530='تقرير نوفمبر'!$C$6),COUNT(Y$4:Y529)+1,"")</f>
        <v/>
      </c>
      <c r="Z530">
        <f>IF(AND($A530&lt;&gt;"",$B530&lt;&gt;"",$R530='تقرير ديسمبر'!$C$4,$P530='تقرير ديسمبر'!$C$6),COUNT(Z$4:Z529)+1,"")</f>
        <v/>
      </c>
      <c r="AA530">
        <f>IF(AND($A530&lt;&gt;"",$B530&lt;&gt;"",$R530='تقرير يناير'!$C$4,$P530='تقرير يناير'!$C$6),COUNT(AA$4:AA529)+1,"")</f>
        <v/>
      </c>
      <c r="AB530">
        <f>IF(AND($A530&lt;&gt;"",$B530&lt;&gt;"",$R530='تقرير فبراير'!$C$4,$P530='تقرير فبراير'!$C$6),COUNT(AB$4:AB529)+1,"")</f>
        <v/>
      </c>
      <c r="AC530">
        <f>IF(AND($A530&lt;&gt;"",$B530&lt;&gt;"",$R530='تقرير مارس'!$C$4,$P530='تقرير مارس'!$C$6),COUNT(AC$4:AC529)+1,"")</f>
        <v/>
      </c>
      <c r="AD530">
        <f>IF(AND($A530&lt;&gt;"",$B530&lt;&gt;"",$R530='تقرير أبريل'!$C$4,$P530='تقرير أبريل'!$C$6),COUNT(AD$4:AD529)+1,"")</f>
        <v/>
      </c>
      <c r="AE530">
        <f>IF(AND($A530&lt;&gt;"",$B530&lt;&gt;"",$R530='تقرير مايو'!$C$4,$P530='تقرير مايو'!$C$6),COUNT(AE$4:AE529)+1,"")</f>
        <v/>
      </c>
    </row>
    <row r="531">
      <c r="A531" s="16" t="n"/>
      <c r="B531" s="17" t="n"/>
      <c r="C531" s="17" t="n"/>
      <c r="D531" s="18" t="n"/>
      <c r="E531" s="17" t="n"/>
      <c r="F531" s="17" t="n"/>
      <c r="G531" s="19" t="n"/>
      <c r="H531" s="17" t="n"/>
      <c r="I531" s="17" t="n"/>
      <c r="J531" s="17" t="n"/>
      <c r="K531" s="20">
        <f>IF($B531="","",IFERROR(INDEX(الموظفات!$A$5:$A$304,MATCH($B531,الموظفات!$B$5:$B$304,0))&amp;"",""))</f>
        <v/>
      </c>
      <c r="L531" s="21">
        <f>IF($B531="","",IFERROR(INDEX(الموظفات!$C$5:$C$304,MATCH($B531,الموظفات!$B$5:$B$304,0))&amp;"",""))</f>
        <v/>
      </c>
      <c r="M531" s="20">
        <f>IF($B531="","",IFERROR(INDEX(الموظفات!$D$5:$D$304,MATCH($B531,الموظفات!$B$5:$B$304,0))&amp;"",""))</f>
        <v/>
      </c>
      <c r="N531" s="20">
        <f>IF($B531="","",IFERROR(INDEX(الموظفات!$E$5:$E$304,MATCH($B531,الموظفات!$B$5:$B$304,0))&amp;"",""))</f>
        <v/>
      </c>
      <c r="O531" s="21">
        <f>IF(C531="","",IFERROR(INDEX(الإعدادات!$D$7:$D$35,MATCH(C531,الإعدادات!$A$7:$A$35,0))&amp;"",""))</f>
        <v/>
      </c>
      <c r="P531" s="20">
        <f>IF(A531="","",INDEX(الإعدادات!$H$7:$H$18,MONTH(A531)))</f>
        <v/>
      </c>
      <c r="Q531" s="20">
        <f>IF(A531="","",INDEX(الإعدادات!$I$7:$I$18,MONTH(A531)))</f>
        <v/>
      </c>
      <c r="R531" s="20">
        <f>IF(A531="","",IF(MONTH(A531)&gt;=8,YEAR(A531)&amp;"-"&amp;(YEAR(A531)+1),(YEAR(A531)-1)&amp;"-"&amp;YEAR(A531)))</f>
        <v/>
      </c>
      <c r="S531" s="20">
        <f>IF(OR(A531="",B531=""),0,IF(AND(R531=التقارير!$C$4,OR(التقارير!$C$5="سنوي",AND(التقارير!$C$5="شهري",P531=التقارير!$C$6),AND(التقارير!$C$5="فصلي",Q531=التقارير!$C$7))),1,0))</f>
        <v/>
      </c>
      <c r="T531" s="20">
        <f>IF(S531=1,COUNTIF($S$5:S531,1),"")</f>
        <v/>
      </c>
      <c r="U531">
        <f>IF(AND($A531&lt;&gt;"",$B531&lt;&gt;"",$R531='تقرير الفصل الأول'!$C$4,$Q531='تقرير الفصل الأول'!$C$7),COUNT(U$4:U530)+1,"")</f>
        <v/>
      </c>
      <c r="V531">
        <f>IF(AND($A531&lt;&gt;"",$B531&lt;&gt;"",$R531='تقرير الفصل الثاني'!$C$4,$Q531='تقرير الفصل الثاني'!$C$7),COUNT(V$4:V530)+1,"")</f>
        <v/>
      </c>
      <c r="W531">
        <f>IF(AND($A531&lt;&gt;"",$B531&lt;&gt;"",$R531='تقرير سبتمبر'!$C$4,$P531='تقرير سبتمبر'!$C$6),COUNT(W$4:W530)+1,"")</f>
        <v/>
      </c>
      <c r="X531">
        <f>IF(AND($A531&lt;&gt;"",$B531&lt;&gt;"",$R531='تقرير أكتوبر'!$C$4,$P531='تقرير أكتوبر'!$C$6),COUNT(X$4:X530)+1,"")</f>
        <v/>
      </c>
      <c r="Y531">
        <f>IF(AND($A531&lt;&gt;"",$B531&lt;&gt;"",$R531='تقرير نوفمبر'!$C$4,$P531='تقرير نوفمبر'!$C$6),COUNT(Y$4:Y530)+1,"")</f>
        <v/>
      </c>
      <c r="Z531">
        <f>IF(AND($A531&lt;&gt;"",$B531&lt;&gt;"",$R531='تقرير ديسمبر'!$C$4,$P531='تقرير ديسمبر'!$C$6),COUNT(Z$4:Z530)+1,"")</f>
        <v/>
      </c>
      <c r="AA531">
        <f>IF(AND($A531&lt;&gt;"",$B531&lt;&gt;"",$R531='تقرير يناير'!$C$4,$P531='تقرير يناير'!$C$6),COUNT(AA$4:AA530)+1,"")</f>
        <v/>
      </c>
      <c r="AB531">
        <f>IF(AND($A531&lt;&gt;"",$B531&lt;&gt;"",$R531='تقرير فبراير'!$C$4,$P531='تقرير فبراير'!$C$6),COUNT(AB$4:AB530)+1,"")</f>
        <v/>
      </c>
      <c r="AC531">
        <f>IF(AND($A531&lt;&gt;"",$B531&lt;&gt;"",$R531='تقرير مارس'!$C$4,$P531='تقرير مارس'!$C$6),COUNT(AC$4:AC530)+1,"")</f>
        <v/>
      </c>
      <c r="AD531">
        <f>IF(AND($A531&lt;&gt;"",$B531&lt;&gt;"",$R531='تقرير أبريل'!$C$4,$P531='تقرير أبريل'!$C$6),COUNT(AD$4:AD530)+1,"")</f>
        <v/>
      </c>
      <c r="AE531">
        <f>IF(AND($A531&lt;&gt;"",$B531&lt;&gt;"",$R531='تقرير مايو'!$C$4,$P531='تقرير مايو'!$C$6),COUNT(AE$4:AE530)+1,"")</f>
        <v/>
      </c>
    </row>
    <row r="532">
      <c r="A532" s="16" t="n"/>
      <c r="B532" s="17" t="n"/>
      <c r="C532" s="17" t="n"/>
      <c r="D532" s="18" t="n"/>
      <c r="E532" s="17" t="n"/>
      <c r="F532" s="17" t="n"/>
      <c r="G532" s="19" t="n"/>
      <c r="H532" s="17" t="n"/>
      <c r="I532" s="17" t="n"/>
      <c r="J532" s="17" t="n"/>
      <c r="K532" s="20">
        <f>IF($B532="","",IFERROR(INDEX(الموظفات!$A$5:$A$304,MATCH($B532,الموظفات!$B$5:$B$304,0))&amp;"",""))</f>
        <v/>
      </c>
      <c r="L532" s="21">
        <f>IF($B532="","",IFERROR(INDEX(الموظفات!$C$5:$C$304,MATCH($B532,الموظفات!$B$5:$B$304,0))&amp;"",""))</f>
        <v/>
      </c>
      <c r="M532" s="20">
        <f>IF($B532="","",IFERROR(INDEX(الموظفات!$D$5:$D$304,MATCH($B532,الموظفات!$B$5:$B$304,0))&amp;"",""))</f>
        <v/>
      </c>
      <c r="N532" s="20">
        <f>IF($B532="","",IFERROR(INDEX(الموظفات!$E$5:$E$304,MATCH($B532,الموظفات!$B$5:$B$304,0))&amp;"",""))</f>
        <v/>
      </c>
      <c r="O532" s="21">
        <f>IF(C532="","",IFERROR(INDEX(الإعدادات!$D$7:$D$35,MATCH(C532,الإعدادات!$A$7:$A$35,0))&amp;"",""))</f>
        <v/>
      </c>
      <c r="P532" s="20">
        <f>IF(A532="","",INDEX(الإعدادات!$H$7:$H$18,MONTH(A532)))</f>
        <v/>
      </c>
      <c r="Q532" s="20">
        <f>IF(A532="","",INDEX(الإعدادات!$I$7:$I$18,MONTH(A532)))</f>
        <v/>
      </c>
      <c r="R532" s="20">
        <f>IF(A532="","",IF(MONTH(A532)&gt;=8,YEAR(A532)&amp;"-"&amp;(YEAR(A532)+1),(YEAR(A532)-1)&amp;"-"&amp;YEAR(A532)))</f>
        <v/>
      </c>
      <c r="S532" s="20">
        <f>IF(OR(A532="",B532=""),0,IF(AND(R532=التقارير!$C$4,OR(التقارير!$C$5="سنوي",AND(التقارير!$C$5="شهري",P532=التقارير!$C$6),AND(التقارير!$C$5="فصلي",Q532=التقارير!$C$7))),1,0))</f>
        <v/>
      </c>
      <c r="T532" s="20">
        <f>IF(S532=1,COUNTIF($S$5:S532,1),"")</f>
        <v/>
      </c>
      <c r="U532">
        <f>IF(AND($A532&lt;&gt;"",$B532&lt;&gt;"",$R532='تقرير الفصل الأول'!$C$4,$Q532='تقرير الفصل الأول'!$C$7),COUNT(U$4:U531)+1,"")</f>
        <v/>
      </c>
      <c r="V532">
        <f>IF(AND($A532&lt;&gt;"",$B532&lt;&gt;"",$R532='تقرير الفصل الثاني'!$C$4,$Q532='تقرير الفصل الثاني'!$C$7),COUNT(V$4:V531)+1,"")</f>
        <v/>
      </c>
      <c r="W532">
        <f>IF(AND($A532&lt;&gt;"",$B532&lt;&gt;"",$R532='تقرير سبتمبر'!$C$4,$P532='تقرير سبتمبر'!$C$6),COUNT(W$4:W531)+1,"")</f>
        <v/>
      </c>
      <c r="X532">
        <f>IF(AND($A532&lt;&gt;"",$B532&lt;&gt;"",$R532='تقرير أكتوبر'!$C$4,$P532='تقرير أكتوبر'!$C$6),COUNT(X$4:X531)+1,"")</f>
        <v/>
      </c>
      <c r="Y532">
        <f>IF(AND($A532&lt;&gt;"",$B532&lt;&gt;"",$R532='تقرير نوفمبر'!$C$4,$P532='تقرير نوفمبر'!$C$6),COUNT(Y$4:Y531)+1,"")</f>
        <v/>
      </c>
      <c r="Z532">
        <f>IF(AND($A532&lt;&gt;"",$B532&lt;&gt;"",$R532='تقرير ديسمبر'!$C$4,$P532='تقرير ديسمبر'!$C$6),COUNT(Z$4:Z531)+1,"")</f>
        <v/>
      </c>
      <c r="AA532">
        <f>IF(AND($A532&lt;&gt;"",$B532&lt;&gt;"",$R532='تقرير يناير'!$C$4,$P532='تقرير يناير'!$C$6),COUNT(AA$4:AA531)+1,"")</f>
        <v/>
      </c>
      <c r="AB532">
        <f>IF(AND($A532&lt;&gt;"",$B532&lt;&gt;"",$R532='تقرير فبراير'!$C$4,$P532='تقرير فبراير'!$C$6),COUNT(AB$4:AB531)+1,"")</f>
        <v/>
      </c>
      <c r="AC532">
        <f>IF(AND($A532&lt;&gt;"",$B532&lt;&gt;"",$R532='تقرير مارس'!$C$4,$P532='تقرير مارس'!$C$6),COUNT(AC$4:AC531)+1,"")</f>
        <v/>
      </c>
      <c r="AD532">
        <f>IF(AND($A532&lt;&gt;"",$B532&lt;&gt;"",$R532='تقرير أبريل'!$C$4,$P532='تقرير أبريل'!$C$6),COUNT(AD$4:AD531)+1,"")</f>
        <v/>
      </c>
      <c r="AE532">
        <f>IF(AND($A532&lt;&gt;"",$B532&lt;&gt;"",$R532='تقرير مايو'!$C$4,$P532='تقرير مايو'!$C$6),COUNT(AE$4:AE531)+1,"")</f>
        <v/>
      </c>
    </row>
    <row r="533">
      <c r="A533" s="16" t="n"/>
      <c r="B533" s="17" t="n"/>
      <c r="C533" s="17" t="n"/>
      <c r="D533" s="18" t="n"/>
      <c r="E533" s="17" t="n"/>
      <c r="F533" s="17" t="n"/>
      <c r="G533" s="19" t="n"/>
      <c r="H533" s="17" t="n"/>
      <c r="I533" s="17" t="n"/>
      <c r="J533" s="17" t="n"/>
      <c r="K533" s="20">
        <f>IF($B533="","",IFERROR(INDEX(الموظفات!$A$5:$A$304,MATCH($B533,الموظفات!$B$5:$B$304,0))&amp;"",""))</f>
        <v/>
      </c>
      <c r="L533" s="21">
        <f>IF($B533="","",IFERROR(INDEX(الموظفات!$C$5:$C$304,MATCH($B533,الموظفات!$B$5:$B$304,0))&amp;"",""))</f>
        <v/>
      </c>
      <c r="M533" s="20">
        <f>IF($B533="","",IFERROR(INDEX(الموظفات!$D$5:$D$304,MATCH($B533,الموظفات!$B$5:$B$304,0))&amp;"",""))</f>
        <v/>
      </c>
      <c r="N533" s="20">
        <f>IF($B533="","",IFERROR(INDEX(الموظفات!$E$5:$E$304,MATCH($B533,الموظفات!$B$5:$B$304,0))&amp;"",""))</f>
        <v/>
      </c>
      <c r="O533" s="21">
        <f>IF(C533="","",IFERROR(INDEX(الإعدادات!$D$7:$D$35,MATCH(C533,الإعدادات!$A$7:$A$35,0))&amp;"",""))</f>
        <v/>
      </c>
      <c r="P533" s="20">
        <f>IF(A533="","",INDEX(الإعدادات!$H$7:$H$18,MONTH(A533)))</f>
        <v/>
      </c>
      <c r="Q533" s="20">
        <f>IF(A533="","",INDEX(الإعدادات!$I$7:$I$18,MONTH(A533)))</f>
        <v/>
      </c>
      <c r="R533" s="20">
        <f>IF(A533="","",IF(MONTH(A533)&gt;=8,YEAR(A533)&amp;"-"&amp;(YEAR(A533)+1),(YEAR(A533)-1)&amp;"-"&amp;YEAR(A533)))</f>
        <v/>
      </c>
      <c r="S533" s="20">
        <f>IF(OR(A533="",B533=""),0,IF(AND(R533=التقارير!$C$4,OR(التقارير!$C$5="سنوي",AND(التقارير!$C$5="شهري",P533=التقارير!$C$6),AND(التقارير!$C$5="فصلي",Q533=التقارير!$C$7))),1,0))</f>
        <v/>
      </c>
      <c r="T533" s="20">
        <f>IF(S533=1,COUNTIF($S$5:S533,1),"")</f>
        <v/>
      </c>
      <c r="U533">
        <f>IF(AND($A533&lt;&gt;"",$B533&lt;&gt;"",$R533='تقرير الفصل الأول'!$C$4,$Q533='تقرير الفصل الأول'!$C$7),COUNT(U$4:U532)+1,"")</f>
        <v/>
      </c>
      <c r="V533">
        <f>IF(AND($A533&lt;&gt;"",$B533&lt;&gt;"",$R533='تقرير الفصل الثاني'!$C$4,$Q533='تقرير الفصل الثاني'!$C$7),COUNT(V$4:V532)+1,"")</f>
        <v/>
      </c>
      <c r="W533">
        <f>IF(AND($A533&lt;&gt;"",$B533&lt;&gt;"",$R533='تقرير سبتمبر'!$C$4,$P533='تقرير سبتمبر'!$C$6),COUNT(W$4:W532)+1,"")</f>
        <v/>
      </c>
      <c r="X533">
        <f>IF(AND($A533&lt;&gt;"",$B533&lt;&gt;"",$R533='تقرير أكتوبر'!$C$4,$P533='تقرير أكتوبر'!$C$6),COUNT(X$4:X532)+1,"")</f>
        <v/>
      </c>
      <c r="Y533">
        <f>IF(AND($A533&lt;&gt;"",$B533&lt;&gt;"",$R533='تقرير نوفمبر'!$C$4,$P533='تقرير نوفمبر'!$C$6),COUNT(Y$4:Y532)+1,"")</f>
        <v/>
      </c>
      <c r="Z533">
        <f>IF(AND($A533&lt;&gt;"",$B533&lt;&gt;"",$R533='تقرير ديسمبر'!$C$4,$P533='تقرير ديسمبر'!$C$6),COUNT(Z$4:Z532)+1,"")</f>
        <v/>
      </c>
      <c r="AA533">
        <f>IF(AND($A533&lt;&gt;"",$B533&lt;&gt;"",$R533='تقرير يناير'!$C$4,$P533='تقرير يناير'!$C$6),COUNT(AA$4:AA532)+1,"")</f>
        <v/>
      </c>
      <c r="AB533">
        <f>IF(AND($A533&lt;&gt;"",$B533&lt;&gt;"",$R533='تقرير فبراير'!$C$4,$P533='تقرير فبراير'!$C$6),COUNT(AB$4:AB532)+1,"")</f>
        <v/>
      </c>
      <c r="AC533">
        <f>IF(AND($A533&lt;&gt;"",$B533&lt;&gt;"",$R533='تقرير مارس'!$C$4,$P533='تقرير مارس'!$C$6),COUNT(AC$4:AC532)+1,"")</f>
        <v/>
      </c>
      <c r="AD533">
        <f>IF(AND($A533&lt;&gt;"",$B533&lt;&gt;"",$R533='تقرير أبريل'!$C$4,$P533='تقرير أبريل'!$C$6),COUNT(AD$4:AD532)+1,"")</f>
        <v/>
      </c>
      <c r="AE533">
        <f>IF(AND($A533&lt;&gt;"",$B533&lt;&gt;"",$R533='تقرير مايو'!$C$4,$P533='تقرير مايو'!$C$6),COUNT(AE$4:AE532)+1,"")</f>
        <v/>
      </c>
    </row>
    <row r="534">
      <c r="A534" s="16" t="n"/>
      <c r="B534" s="17" t="n"/>
      <c r="C534" s="17" t="n"/>
      <c r="D534" s="18" t="n"/>
      <c r="E534" s="17" t="n"/>
      <c r="F534" s="17" t="n"/>
      <c r="G534" s="19" t="n"/>
      <c r="H534" s="17" t="n"/>
      <c r="I534" s="17" t="n"/>
      <c r="J534" s="17" t="n"/>
      <c r="K534" s="20">
        <f>IF($B534="","",IFERROR(INDEX(الموظفات!$A$5:$A$304,MATCH($B534,الموظفات!$B$5:$B$304,0))&amp;"",""))</f>
        <v/>
      </c>
      <c r="L534" s="21">
        <f>IF($B534="","",IFERROR(INDEX(الموظفات!$C$5:$C$304,MATCH($B534,الموظفات!$B$5:$B$304,0))&amp;"",""))</f>
        <v/>
      </c>
      <c r="M534" s="20">
        <f>IF($B534="","",IFERROR(INDEX(الموظفات!$D$5:$D$304,MATCH($B534,الموظفات!$B$5:$B$304,0))&amp;"",""))</f>
        <v/>
      </c>
      <c r="N534" s="20">
        <f>IF($B534="","",IFERROR(INDEX(الموظفات!$E$5:$E$304,MATCH($B534,الموظفات!$B$5:$B$304,0))&amp;"",""))</f>
        <v/>
      </c>
      <c r="O534" s="21">
        <f>IF(C534="","",IFERROR(INDEX(الإعدادات!$D$7:$D$35,MATCH(C534,الإعدادات!$A$7:$A$35,0))&amp;"",""))</f>
        <v/>
      </c>
      <c r="P534" s="20">
        <f>IF(A534="","",INDEX(الإعدادات!$H$7:$H$18,MONTH(A534)))</f>
        <v/>
      </c>
      <c r="Q534" s="20">
        <f>IF(A534="","",INDEX(الإعدادات!$I$7:$I$18,MONTH(A534)))</f>
        <v/>
      </c>
      <c r="R534" s="20">
        <f>IF(A534="","",IF(MONTH(A534)&gt;=8,YEAR(A534)&amp;"-"&amp;(YEAR(A534)+1),(YEAR(A534)-1)&amp;"-"&amp;YEAR(A534)))</f>
        <v/>
      </c>
      <c r="S534" s="20">
        <f>IF(OR(A534="",B534=""),0,IF(AND(R534=التقارير!$C$4,OR(التقارير!$C$5="سنوي",AND(التقارير!$C$5="شهري",P534=التقارير!$C$6),AND(التقارير!$C$5="فصلي",Q534=التقارير!$C$7))),1,0))</f>
        <v/>
      </c>
      <c r="T534" s="20">
        <f>IF(S534=1,COUNTIF($S$5:S534,1),"")</f>
        <v/>
      </c>
      <c r="U534">
        <f>IF(AND($A534&lt;&gt;"",$B534&lt;&gt;"",$R534='تقرير الفصل الأول'!$C$4,$Q534='تقرير الفصل الأول'!$C$7),COUNT(U$4:U533)+1,"")</f>
        <v/>
      </c>
      <c r="V534">
        <f>IF(AND($A534&lt;&gt;"",$B534&lt;&gt;"",$R534='تقرير الفصل الثاني'!$C$4,$Q534='تقرير الفصل الثاني'!$C$7),COUNT(V$4:V533)+1,"")</f>
        <v/>
      </c>
      <c r="W534">
        <f>IF(AND($A534&lt;&gt;"",$B534&lt;&gt;"",$R534='تقرير سبتمبر'!$C$4,$P534='تقرير سبتمبر'!$C$6),COUNT(W$4:W533)+1,"")</f>
        <v/>
      </c>
      <c r="X534">
        <f>IF(AND($A534&lt;&gt;"",$B534&lt;&gt;"",$R534='تقرير أكتوبر'!$C$4,$P534='تقرير أكتوبر'!$C$6),COUNT(X$4:X533)+1,"")</f>
        <v/>
      </c>
      <c r="Y534">
        <f>IF(AND($A534&lt;&gt;"",$B534&lt;&gt;"",$R534='تقرير نوفمبر'!$C$4,$P534='تقرير نوفمبر'!$C$6),COUNT(Y$4:Y533)+1,"")</f>
        <v/>
      </c>
      <c r="Z534">
        <f>IF(AND($A534&lt;&gt;"",$B534&lt;&gt;"",$R534='تقرير ديسمبر'!$C$4,$P534='تقرير ديسمبر'!$C$6),COUNT(Z$4:Z533)+1,"")</f>
        <v/>
      </c>
      <c r="AA534">
        <f>IF(AND($A534&lt;&gt;"",$B534&lt;&gt;"",$R534='تقرير يناير'!$C$4,$P534='تقرير يناير'!$C$6),COUNT(AA$4:AA533)+1,"")</f>
        <v/>
      </c>
      <c r="AB534">
        <f>IF(AND($A534&lt;&gt;"",$B534&lt;&gt;"",$R534='تقرير فبراير'!$C$4,$P534='تقرير فبراير'!$C$6),COUNT(AB$4:AB533)+1,"")</f>
        <v/>
      </c>
      <c r="AC534">
        <f>IF(AND($A534&lt;&gt;"",$B534&lt;&gt;"",$R534='تقرير مارس'!$C$4,$P534='تقرير مارس'!$C$6),COUNT(AC$4:AC533)+1,"")</f>
        <v/>
      </c>
      <c r="AD534">
        <f>IF(AND($A534&lt;&gt;"",$B534&lt;&gt;"",$R534='تقرير أبريل'!$C$4,$P534='تقرير أبريل'!$C$6),COUNT(AD$4:AD533)+1,"")</f>
        <v/>
      </c>
      <c r="AE534">
        <f>IF(AND($A534&lt;&gt;"",$B534&lt;&gt;"",$R534='تقرير مايو'!$C$4,$P534='تقرير مايو'!$C$6),COUNT(AE$4:AE533)+1,"")</f>
        <v/>
      </c>
    </row>
    <row r="535">
      <c r="A535" s="16" t="n"/>
      <c r="B535" s="17" t="n"/>
      <c r="C535" s="17" t="n"/>
      <c r="D535" s="18" t="n"/>
      <c r="E535" s="17" t="n"/>
      <c r="F535" s="17" t="n"/>
      <c r="G535" s="19" t="n"/>
      <c r="H535" s="17" t="n"/>
      <c r="I535" s="17" t="n"/>
      <c r="J535" s="17" t="n"/>
      <c r="K535" s="20">
        <f>IF($B535="","",IFERROR(INDEX(الموظفات!$A$5:$A$304,MATCH($B535,الموظفات!$B$5:$B$304,0))&amp;"",""))</f>
        <v/>
      </c>
      <c r="L535" s="21">
        <f>IF($B535="","",IFERROR(INDEX(الموظفات!$C$5:$C$304,MATCH($B535,الموظفات!$B$5:$B$304,0))&amp;"",""))</f>
        <v/>
      </c>
      <c r="M535" s="20">
        <f>IF($B535="","",IFERROR(INDEX(الموظفات!$D$5:$D$304,MATCH($B535,الموظفات!$B$5:$B$304,0))&amp;"",""))</f>
        <v/>
      </c>
      <c r="N535" s="20">
        <f>IF($B535="","",IFERROR(INDEX(الموظفات!$E$5:$E$304,MATCH($B535,الموظفات!$B$5:$B$304,0))&amp;"",""))</f>
        <v/>
      </c>
      <c r="O535" s="21">
        <f>IF(C535="","",IFERROR(INDEX(الإعدادات!$D$7:$D$35,MATCH(C535,الإعدادات!$A$7:$A$35,0))&amp;"",""))</f>
        <v/>
      </c>
      <c r="P535" s="20">
        <f>IF(A535="","",INDEX(الإعدادات!$H$7:$H$18,MONTH(A535)))</f>
        <v/>
      </c>
      <c r="Q535" s="20">
        <f>IF(A535="","",INDEX(الإعدادات!$I$7:$I$18,MONTH(A535)))</f>
        <v/>
      </c>
      <c r="R535" s="20">
        <f>IF(A535="","",IF(MONTH(A535)&gt;=8,YEAR(A535)&amp;"-"&amp;(YEAR(A535)+1),(YEAR(A535)-1)&amp;"-"&amp;YEAR(A535)))</f>
        <v/>
      </c>
      <c r="S535" s="20">
        <f>IF(OR(A535="",B535=""),0,IF(AND(R535=التقارير!$C$4,OR(التقارير!$C$5="سنوي",AND(التقارير!$C$5="شهري",P535=التقارير!$C$6),AND(التقارير!$C$5="فصلي",Q535=التقارير!$C$7))),1,0))</f>
        <v/>
      </c>
      <c r="T535" s="20">
        <f>IF(S535=1,COUNTIF($S$5:S535,1),"")</f>
        <v/>
      </c>
      <c r="U535">
        <f>IF(AND($A535&lt;&gt;"",$B535&lt;&gt;"",$R535='تقرير الفصل الأول'!$C$4,$Q535='تقرير الفصل الأول'!$C$7),COUNT(U$4:U534)+1,"")</f>
        <v/>
      </c>
      <c r="V535">
        <f>IF(AND($A535&lt;&gt;"",$B535&lt;&gt;"",$R535='تقرير الفصل الثاني'!$C$4,$Q535='تقرير الفصل الثاني'!$C$7),COUNT(V$4:V534)+1,"")</f>
        <v/>
      </c>
      <c r="W535">
        <f>IF(AND($A535&lt;&gt;"",$B535&lt;&gt;"",$R535='تقرير سبتمبر'!$C$4,$P535='تقرير سبتمبر'!$C$6),COUNT(W$4:W534)+1,"")</f>
        <v/>
      </c>
      <c r="X535">
        <f>IF(AND($A535&lt;&gt;"",$B535&lt;&gt;"",$R535='تقرير أكتوبر'!$C$4,$P535='تقرير أكتوبر'!$C$6),COUNT(X$4:X534)+1,"")</f>
        <v/>
      </c>
      <c r="Y535">
        <f>IF(AND($A535&lt;&gt;"",$B535&lt;&gt;"",$R535='تقرير نوفمبر'!$C$4,$P535='تقرير نوفمبر'!$C$6),COUNT(Y$4:Y534)+1,"")</f>
        <v/>
      </c>
      <c r="Z535">
        <f>IF(AND($A535&lt;&gt;"",$B535&lt;&gt;"",$R535='تقرير ديسمبر'!$C$4,$P535='تقرير ديسمبر'!$C$6),COUNT(Z$4:Z534)+1,"")</f>
        <v/>
      </c>
      <c r="AA535">
        <f>IF(AND($A535&lt;&gt;"",$B535&lt;&gt;"",$R535='تقرير يناير'!$C$4,$P535='تقرير يناير'!$C$6),COUNT(AA$4:AA534)+1,"")</f>
        <v/>
      </c>
      <c r="AB535">
        <f>IF(AND($A535&lt;&gt;"",$B535&lt;&gt;"",$R535='تقرير فبراير'!$C$4,$P535='تقرير فبراير'!$C$6),COUNT(AB$4:AB534)+1,"")</f>
        <v/>
      </c>
      <c r="AC535">
        <f>IF(AND($A535&lt;&gt;"",$B535&lt;&gt;"",$R535='تقرير مارس'!$C$4,$P535='تقرير مارس'!$C$6),COUNT(AC$4:AC534)+1,"")</f>
        <v/>
      </c>
      <c r="AD535">
        <f>IF(AND($A535&lt;&gt;"",$B535&lt;&gt;"",$R535='تقرير أبريل'!$C$4,$P535='تقرير أبريل'!$C$6),COUNT(AD$4:AD534)+1,"")</f>
        <v/>
      </c>
      <c r="AE535">
        <f>IF(AND($A535&lt;&gt;"",$B535&lt;&gt;"",$R535='تقرير مايو'!$C$4,$P535='تقرير مايو'!$C$6),COUNT(AE$4:AE534)+1,"")</f>
        <v/>
      </c>
    </row>
    <row r="536">
      <c r="A536" s="16" t="n"/>
      <c r="B536" s="17" t="n"/>
      <c r="C536" s="17" t="n"/>
      <c r="D536" s="18" t="n"/>
      <c r="E536" s="17" t="n"/>
      <c r="F536" s="17" t="n"/>
      <c r="G536" s="19" t="n"/>
      <c r="H536" s="17" t="n"/>
      <c r="I536" s="17" t="n"/>
      <c r="J536" s="17" t="n"/>
      <c r="K536" s="20">
        <f>IF($B536="","",IFERROR(INDEX(الموظفات!$A$5:$A$304,MATCH($B536,الموظفات!$B$5:$B$304,0))&amp;"",""))</f>
        <v/>
      </c>
      <c r="L536" s="21">
        <f>IF($B536="","",IFERROR(INDEX(الموظفات!$C$5:$C$304,MATCH($B536,الموظفات!$B$5:$B$304,0))&amp;"",""))</f>
        <v/>
      </c>
      <c r="M536" s="20">
        <f>IF($B536="","",IFERROR(INDEX(الموظفات!$D$5:$D$304,MATCH($B536,الموظفات!$B$5:$B$304,0))&amp;"",""))</f>
        <v/>
      </c>
      <c r="N536" s="20">
        <f>IF($B536="","",IFERROR(INDEX(الموظفات!$E$5:$E$304,MATCH($B536,الموظفات!$B$5:$B$304,0))&amp;"",""))</f>
        <v/>
      </c>
      <c r="O536" s="21">
        <f>IF(C536="","",IFERROR(INDEX(الإعدادات!$D$7:$D$35,MATCH(C536,الإعدادات!$A$7:$A$35,0))&amp;"",""))</f>
        <v/>
      </c>
      <c r="P536" s="20">
        <f>IF(A536="","",INDEX(الإعدادات!$H$7:$H$18,MONTH(A536)))</f>
        <v/>
      </c>
      <c r="Q536" s="20">
        <f>IF(A536="","",INDEX(الإعدادات!$I$7:$I$18,MONTH(A536)))</f>
        <v/>
      </c>
      <c r="R536" s="20">
        <f>IF(A536="","",IF(MONTH(A536)&gt;=8,YEAR(A536)&amp;"-"&amp;(YEAR(A536)+1),(YEAR(A536)-1)&amp;"-"&amp;YEAR(A536)))</f>
        <v/>
      </c>
      <c r="S536" s="20">
        <f>IF(OR(A536="",B536=""),0,IF(AND(R536=التقارير!$C$4,OR(التقارير!$C$5="سنوي",AND(التقارير!$C$5="شهري",P536=التقارير!$C$6),AND(التقارير!$C$5="فصلي",Q536=التقارير!$C$7))),1,0))</f>
        <v/>
      </c>
      <c r="T536" s="20">
        <f>IF(S536=1,COUNTIF($S$5:S536,1),"")</f>
        <v/>
      </c>
      <c r="U536">
        <f>IF(AND($A536&lt;&gt;"",$B536&lt;&gt;"",$R536='تقرير الفصل الأول'!$C$4,$Q536='تقرير الفصل الأول'!$C$7),COUNT(U$4:U535)+1,"")</f>
        <v/>
      </c>
      <c r="V536">
        <f>IF(AND($A536&lt;&gt;"",$B536&lt;&gt;"",$R536='تقرير الفصل الثاني'!$C$4,$Q536='تقرير الفصل الثاني'!$C$7),COUNT(V$4:V535)+1,"")</f>
        <v/>
      </c>
      <c r="W536">
        <f>IF(AND($A536&lt;&gt;"",$B536&lt;&gt;"",$R536='تقرير سبتمبر'!$C$4,$P536='تقرير سبتمبر'!$C$6),COUNT(W$4:W535)+1,"")</f>
        <v/>
      </c>
      <c r="X536">
        <f>IF(AND($A536&lt;&gt;"",$B536&lt;&gt;"",$R536='تقرير أكتوبر'!$C$4,$P536='تقرير أكتوبر'!$C$6),COUNT(X$4:X535)+1,"")</f>
        <v/>
      </c>
      <c r="Y536">
        <f>IF(AND($A536&lt;&gt;"",$B536&lt;&gt;"",$R536='تقرير نوفمبر'!$C$4,$P536='تقرير نوفمبر'!$C$6),COUNT(Y$4:Y535)+1,"")</f>
        <v/>
      </c>
      <c r="Z536">
        <f>IF(AND($A536&lt;&gt;"",$B536&lt;&gt;"",$R536='تقرير ديسمبر'!$C$4,$P536='تقرير ديسمبر'!$C$6),COUNT(Z$4:Z535)+1,"")</f>
        <v/>
      </c>
      <c r="AA536">
        <f>IF(AND($A536&lt;&gt;"",$B536&lt;&gt;"",$R536='تقرير يناير'!$C$4,$P536='تقرير يناير'!$C$6),COUNT(AA$4:AA535)+1,"")</f>
        <v/>
      </c>
      <c r="AB536">
        <f>IF(AND($A536&lt;&gt;"",$B536&lt;&gt;"",$R536='تقرير فبراير'!$C$4,$P536='تقرير فبراير'!$C$6),COUNT(AB$4:AB535)+1,"")</f>
        <v/>
      </c>
      <c r="AC536">
        <f>IF(AND($A536&lt;&gt;"",$B536&lt;&gt;"",$R536='تقرير مارس'!$C$4,$P536='تقرير مارس'!$C$6),COUNT(AC$4:AC535)+1,"")</f>
        <v/>
      </c>
      <c r="AD536">
        <f>IF(AND($A536&lt;&gt;"",$B536&lt;&gt;"",$R536='تقرير أبريل'!$C$4,$P536='تقرير أبريل'!$C$6),COUNT(AD$4:AD535)+1,"")</f>
        <v/>
      </c>
      <c r="AE536">
        <f>IF(AND($A536&lt;&gt;"",$B536&lt;&gt;"",$R536='تقرير مايو'!$C$4,$P536='تقرير مايو'!$C$6),COUNT(AE$4:AE535)+1,"")</f>
        <v/>
      </c>
    </row>
    <row r="537">
      <c r="A537" s="16" t="n"/>
      <c r="B537" s="17" t="n"/>
      <c r="C537" s="17" t="n"/>
      <c r="D537" s="18" t="n"/>
      <c r="E537" s="17" t="n"/>
      <c r="F537" s="17" t="n"/>
      <c r="G537" s="19" t="n"/>
      <c r="H537" s="17" t="n"/>
      <c r="I537" s="17" t="n"/>
      <c r="J537" s="17" t="n"/>
      <c r="K537" s="20">
        <f>IF($B537="","",IFERROR(INDEX(الموظفات!$A$5:$A$304,MATCH($B537,الموظفات!$B$5:$B$304,0))&amp;"",""))</f>
        <v/>
      </c>
      <c r="L537" s="21">
        <f>IF($B537="","",IFERROR(INDEX(الموظفات!$C$5:$C$304,MATCH($B537,الموظفات!$B$5:$B$304,0))&amp;"",""))</f>
        <v/>
      </c>
      <c r="M537" s="20">
        <f>IF($B537="","",IFERROR(INDEX(الموظفات!$D$5:$D$304,MATCH($B537,الموظفات!$B$5:$B$304,0))&amp;"",""))</f>
        <v/>
      </c>
      <c r="N537" s="20">
        <f>IF($B537="","",IFERROR(INDEX(الموظفات!$E$5:$E$304,MATCH($B537,الموظفات!$B$5:$B$304,0))&amp;"",""))</f>
        <v/>
      </c>
      <c r="O537" s="21">
        <f>IF(C537="","",IFERROR(INDEX(الإعدادات!$D$7:$D$35,MATCH(C537,الإعدادات!$A$7:$A$35,0))&amp;"",""))</f>
        <v/>
      </c>
      <c r="P537" s="20">
        <f>IF(A537="","",INDEX(الإعدادات!$H$7:$H$18,MONTH(A537)))</f>
        <v/>
      </c>
      <c r="Q537" s="20">
        <f>IF(A537="","",INDEX(الإعدادات!$I$7:$I$18,MONTH(A537)))</f>
        <v/>
      </c>
      <c r="R537" s="20">
        <f>IF(A537="","",IF(MONTH(A537)&gt;=8,YEAR(A537)&amp;"-"&amp;(YEAR(A537)+1),(YEAR(A537)-1)&amp;"-"&amp;YEAR(A537)))</f>
        <v/>
      </c>
      <c r="S537" s="20">
        <f>IF(OR(A537="",B537=""),0,IF(AND(R537=التقارير!$C$4,OR(التقارير!$C$5="سنوي",AND(التقارير!$C$5="شهري",P537=التقارير!$C$6),AND(التقارير!$C$5="فصلي",Q537=التقارير!$C$7))),1,0))</f>
        <v/>
      </c>
      <c r="T537" s="20">
        <f>IF(S537=1,COUNTIF($S$5:S537,1),"")</f>
        <v/>
      </c>
      <c r="U537">
        <f>IF(AND($A537&lt;&gt;"",$B537&lt;&gt;"",$R537='تقرير الفصل الأول'!$C$4,$Q537='تقرير الفصل الأول'!$C$7),COUNT(U$4:U536)+1,"")</f>
        <v/>
      </c>
      <c r="V537">
        <f>IF(AND($A537&lt;&gt;"",$B537&lt;&gt;"",$R537='تقرير الفصل الثاني'!$C$4,$Q537='تقرير الفصل الثاني'!$C$7),COUNT(V$4:V536)+1,"")</f>
        <v/>
      </c>
      <c r="W537">
        <f>IF(AND($A537&lt;&gt;"",$B537&lt;&gt;"",$R537='تقرير سبتمبر'!$C$4,$P537='تقرير سبتمبر'!$C$6),COUNT(W$4:W536)+1,"")</f>
        <v/>
      </c>
      <c r="X537">
        <f>IF(AND($A537&lt;&gt;"",$B537&lt;&gt;"",$R537='تقرير أكتوبر'!$C$4,$P537='تقرير أكتوبر'!$C$6),COUNT(X$4:X536)+1,"")</f>
        <v/>
      </c>
      <c r="Y537">
        <f>IF(AND($A537&lt;&gt;"",$B537&lt;&gt;"",$R537='تقرير نوفمبر'!$C$4,$P537='تقرير نوفمبر'!$C$6),COUNT(Y$4:Y536)+1,"")</f>
        <v/>
      </c>
      <c r="Z537">
        <f>IF(AND($A537&lt;&gt;"",$B537&lt;&gt;"",$R537='تقرير ديسمبر'!$C$4,$P537='تقرير ديسمبر'!$C$6),COUNT(Z$4:Z536)+1,"")</f>
        <v/>
      </c>
      <c r="AA537">
        <f>IF(AND($A537&lt;&gt;"",$B537&lt;&gt;"",$R537='تقرير يناير'!$C$4,$P537='تقرير يناير'!$C$6),COUNT(AA$4:AA536)+1,"")</f>
        <v/>
      </c>
      <c r="AB537">
        <f>IF(AND($A537&lt;&gt;"",$B537&lt;&gt;"",$R537='تقرير فبراير'!$C$4,$P537='تقرير فبراير'!$C$6),COUNT(AB$4:AB536)+1,"")</f>
        <v/>
      </c>
      <c r="AC537">
        <f>IF(AND($A537&lt;&gt;"",$B537&lt;&gt;"",$R537='تقرير مارس'!$C$4,$P537='تقرير مارس'!$C$6),COUNT(AC$4:AC536)+1,"")</f>
        <v/>
      </c>
      <c r="AD537">
        <f>IF(AND($A537&lt;&gt;"",$B537&lt;&gt;"",$R537='تقرير أبريل'!$C$4,$P537='تقرير أبريل'!$C$6),COUNT(AD$4:AD536)+1,"")</f>
        <v/>
      </c>
      <c r="AE537">
        <f>IF(AND($A537&lt;&gt;"",$B537&lt;&gt;"",$R537='تقرير مايو'!$C$4,$P537='تقرير مايو'!$C$6),COUNT(AE$4:AE536)+1,"")</f>
        <v/>
      </c>
    </row>
    <row r="538">
      <c r="A538" s="16" t="n"/>
      <c r="B538" s="17" t="n"/>
      <c r="C538" s="17" t="n"/>
      <c r="D538" s="18" t="n"/>
      <c r="E538" s="17" t="n"/>
      <c r="F538" s="17" t="n"/>
      <c r="G538" s="19" t="n"/>
      <c r="H538" s="17" t="n"/>
      <c r="I538" s="17" t="n"/>
      <c r="J538" s="17" t="n"/>
      <c r="K538" s="20">
        <f>IF($B538="","",IFERROR(INDEX(الموظفات!$A$5:$A$304,MATCH($B538,الموظفات!$B$5:$B$304,0))&amp;"",""))</f>
        <v/>
      </c>
      <c r="L538" s="21">
        <f>IF($B538="","",IFERROR(INDEX(الموظفات!$C$5:$C$304,MATCH($B538,الموظفات!$B$5:$B$304,0))&amp;"",""))</f>
        <v/>
      </c>
      <c r="M538" s="20">
        <f>IF($B538="","",IFERROR(INDEX(الموظفات!$D$5:$D$304,MATCH($B538,الموظفات!$B$5:$B$304,0))&amp;"",""))</f>
        <v/>
      </c>
      <c r="N538" s="20">
        <f>IF($B538="","",IFERROR(INDEX(الموظفات!$E$5:$E$304,MATCH($B538,الموظفات!$B$5:$B$304,0))&amp;"",""))</f>
        <v/>
      </c>
      <c r="O538" s="21">
        <f>IF(C538="","",IFERROR(INDEX(الإعدادات!$D$7:$D$35,MATCH(C538,الإعدادات!$A$7:$A$35,0))&amp;"",""))</f>
        <v/>
      </c>
      <c r="P538" s="20">
        <f>IF(A538="","",INDEX(الإعدادات!$H$7:$H$18,MONTH(A538)))</f>
        <v/>
      </c>
      <c r="Q538" s="20">
        <f>IF(A538="","",INDEX(الإعدادات!$I$7:$I$18,MONTH(A538)))</f>
        <v/>
      </c>
      <c r="R538" s="20">
        <f>IF(A538="","",IF(MONTH(A538)&gt;=8,YEAR(A538)&amp;"-"&amp;(YEAR(A538)+1),(YEAR(A538)-1)&amp;"-"&amp;YEAR(A538)))</f>
        <v/>
      </c>
      <c r="S538" s="20">
        <f>IF(OR(A538="",B538=""),0,IF(AND(R538=التقارير!$C$4,OR(التقارير!$C$5="سنوي",AND(التقارير!$C$5="شهري",P538=التقارير!$C$6),AND(التقارير!$C$5="فصلي",Q538=التقارير!$C$7))),1,0))</f>
        <v/>
      </c>
      <c r="T538" s="20">
        <f>IF(S538=1,COUNTIF($S$5:S538,1),"")</f>
        <v/>
      </c>
      <c r="U538">
        <f>IF(AND($A538&lt;&gt;"",$B538&lt;&gt;"",$R538='تقرير الفصل الأول'!$C$4,$Q538='تقرير الفصل الأول'!$C$7),COUNT(U$4:U537)+1,"")</f>
        <v/>
      </c>
      <c r="V538">
        <f>IF(AND($A538&lt;&gt;"",$B538&lt;&gt;"",$R538='تقرير الفصل الثاني'!$C$4,$Q538='تقرير الفصل الثاني'!$C$7),COUNT(V$4:V537)+1,"")</f>
        <v/>
      </c>
      <c r="W538">
        <f>IF(AND($A538&lt;&gt;"",$B538&lt;&gt;"",$R538='تقرير سبتمبر'!$C$4,$P538='تقرير سبتمبر'!$C$6),COUNT(W$4:W537)+1,"")</f>
        <v/>
      </c>
      <c r="X538">
        <f>IF(AND($A538&lt;&gt;"",$B538&lt;&gt;"",$R538='تقرير أكتوبر'!$C$4,$P538='تقرير أكتوبر'!$C$6),COUNT(X$4:X537)+1,"")</f>
        <v/>
      </c>
      <c r="Y538">
        <f>IF(AND($A538&lt;&gt;"",$B538&lt;&gt;"",$R538='تقرير نوفمبر'!$C$4,$P538='تقرير نوفمبر'!$C$6),COUNT(Y$4:Y537)+1,"")</f>
        <v/>
      </c>
      <c r="Z538">
        <f>IF(AND($A538&lt;&gt;"",$B538&lt;&gt;"",$R538='تقرير ديسمبر'!$C$4,$P538='تقرير ديسمبر'!$C$6),COUNT(Z$4:Z537)+1,"")</f>
        <v/>
      </c>
      <c r="AA538">
        <f>IF(AND($A538&lt;&gt;"",$B538&lt;&gt;"",$R538='تقرير يناير'!$C$4,$P538='تقرير يناير'!$C$6),COUNT(AA$4:AA537)+1,"")</f>
        <v/>
      </c>
      <c r="AB538">
        <f>IF(AND($A538&lt;&gt;"",$B538&lt;&gt;"",$R538='تقرير فبراير'!$C$4,$P538='تقرير فبراير'!$C$6),COUNT(AB$4:AB537)+1,"")</f>
        <v/>
      </c>
      <c r="AC538">
        <f>IF(AND($A538&lt;&gt;"",$B538&lt;&gt;"",$R538='تقرير مارس'!$C$4,$P538='تقرير مارس'!$C$6),COUNT(AC$4:AC537)+1,"")</f>
        <v/>
      </c>
      <c r="AD538">
        <f>IF(AND($A538&lt;&gt;"",$B538&lt;&gt;"",$R538='تقرير أبريل'!$C$4,$P538='تقرير أبريل'!$C$6),COUNT(AD$4:AD537)+1,"")</f>
        <v/>
      </c>
      <c r="AE538">
        <f>IF(AND($A538&lt;&gt;"",$B538&lt;&gt;"",$R538='تقرير مايو'!$C$4,$P538='تقرير مايو'!$C$6),COUNT(AE$4:AE537)+1,"")</f>
        <v/>
      </c>
    </row>
    <row r="539">
      <c r="A539" s="16" t="n"/>
      <c r="B539" s="17" t="n"/>
      <c r="C539" s="17" t="n"/>
      <c r="D539" s="18" t="n"/>
      <c r="E539" s="17" t="n"/>
      <c r="F539" s="17" t="n"/>
      <c r="G539" s="19" t="n"/>
      <c r="H539" s="17" t="n"/>
      <c r="I539" s="17" t="n"/>
      <c r="J539" s="17" t="n"/>
      <c r="K539" s="20">
        <f>IF($B539="","",IFERROR(INDEX(الموظفات!$A$5:$A$304,MATCH($B539,الموظفات!$B$5:$B$304,0))&amp;"",""))</f>
        <v/>
      </c>
      <c r="L539" s="21">
        <f>IF($B539="","",IFERROR(INDEX(الموظفات!$C$5:$C$304,MATCH($B539,الموظفات!$B$5:$B$304,0))&amp;"",""))</f>
        <v/>
      </c>
      <c r="M539" s="20">
        <f>IF($B539="","",IFERROR(INDEX(الموظفات!$D$5:$D$304,MATCH($B539,الموظفات!$B$5:$B$304,0))&amp;"",""))</f>
        <v/>
      </c>
      <c r="N539" s="20">
        <f>IF($B539="","",IFERROR(INDEX(الموظفات!$E$5:$E$304,MATCH($B539,الموظفات!$B$5:$B$304,0))&amp;"",""))</f>
        <v/>
      </c>
      <c r="O539" s="21">
        <f>IF(C539="","",IFERROR(INDEX(الإعدادات!$D$7:$D$35,MATCH(C539,الإعدادات!$A$7:$A$35,0))&amp;"",""))</f>
        <v/>
      </c>
      <c r="P539" s="20">
        <f>IF(A539="","",INDEX(الإعدادات!$H$7:$H$18,MONTH(A539)))</f>
        <v/>
      </c>
      <c r="Q539" s="20">
        <f>IF(A539="","",INDEX(الإعدادات!$I$7:$I$18,MONTH(A539)))</f>
        <v/>
      </c>
      <c r="R539" s="20">
        <f>IF(A539="","",IF(MONTH(A539)&gt;=8,YEAR(A539)&amp;"-"&amp;(YEAR(A539)+1),(YEAR(A539)-1)&amp;"-"&amp;YEAR(A539)))</f>
        <v/>
      </c>
      <c r="S539" s="20">
        <f>IF(OR(A539="",B539=""),0,IF(AND(R539=التقارير!$C$4,OR(التقارير!$C$5="سنوي",AND(التقارير!$C$5="شهري",P539=التقارير!$C$6),AND(التقارير!$C$5="فصلي",Q539=التقارير!$C$7))),1,0))</f>
        <v/>
      </c>
      <c r="T539" s="20">
        <f>IF(S539=1,COUNTIF($S$5:S539,1),"")</f>
        <v/>
      </c>
      <c r="U539">
        <f>IF(AND($A539&lt;&gt;"",$B539&lt;&gt;"",$R539='تقرير الفصل الأول'!$C$4,$Q539='تقرير الفصل الأول'!$C$7),COUNT(U$4:U538)+1,"")</f>
        <v/>
      </c>
      <c r="V539">
        <f>IF(AND($A539&lt;&gt;"",$B539&lt;&gt;"",$R539='تقرير الفصل الثاني'!$C$4,$Q539='تقرير الفصل الثاني'!$C$7),COUNT(V$4:V538)+1,"")</f>
        <v/>
      </c>
      <c r="W539">
        <f>IF(AND($A539&lt;&gt;"",$B539&lt;&gt;"",$R539='تقرير سبتمبر'!$C$4,$P539='تقرير سبتمبر'!$C$6),COUNT(W$4:W538)+1,"")</f>
        <v/>
      </c>
      <c r="X539">
        <f>IF(AND($A539&lt;&gt;"",$B539&lt;&gt;"",$R539='تقرير أكتوبر'!$C$4,$P539='تقرير أكتوبر'!$C$6),COUNT(X$4:X538)+1,"")</f>
        <v/>
      </c>
      <c r="Y539">
        <f>IF(AND($A539&lt;&gt;"",$B539&lt;&gt;"",$R539='تقرير نوفمبر'!$C$4,$P539='تقرير نوفمبر'!$C$6),COUNT(Y$4:Y538)+1,"")</f>
        <v/>
      </c>
      <c r="Z539">
        <f>IF(AND($A539&lt;&gt;"",$B539&lt;&gt;"",$R539='تقرير ديسمبر'!$C$4,$P539='تقرير ديسمبر'!$C$6),COUNT(Z$4:Z538)+1,"")</f>
        <v/>
      </c>
      <c r="AA539">
        <f>IF(AND($A539&lt;&gt;"",$B539&lt;&gt;"",$R539='تقرير يناير'!$C$4,$P539='تقرير يناير'!$C$6),COUNT(AA$4:AA538)+1,"")</f>
        <v/>
      </c>
      <c r="AB539">
        <f>IF(AND($A539&lt;&gt;"",$B539&lt;&gt;"",$R539='تقرير فبراير'!$C$4,$P539='تقرير فبراير'!$C$6),COUNT(AB$4:AB538)+1,"")</f>
        <v/>
      </c>
      <c r="AC539">
        <f>IF(AND($A539&lt;&gt;"",$B539&lt;&gt;"",$R539='تقرير مارس'!$C$4,$P539='تقرير مارس'!$C$6),COUNT(AC$4:AC538)+1,"")</f>
        <v/>
      </c>
      <c r="AD539">
        <f>IF(AND($A539&lt;&gt;"",$B539&lt;&gt;"",$R539='تقرير أبريل'!$C$4,$P539='تقرير أبريل'!$C$6),COUNT(AD$4:AD538)+1,"")</f>
        <v/>
      </c>
      <c r="AE539">
        <f>IF(AND($A539&lt;&gt;"",$B539&lt;&gt;"",$R539='تقرير مايو'!$C$4,$P539='تقرير مايو'!$C$6),COUNT(AE$4:AE538)+1,"")</f>
        <v/>
      </c>
    </row>
    <row r="540">
      <c r="A540" s="16" t="n"/>
      <c r="B540" s="17" t="n"/>
      <c r="C540" s="17" t="n"/>
      <c r="D540" s="18" t="n"/>
      <c r="E540" s="17" t="n"/>
      <c r="F540" s="17" t="n"/>
      <c r="G540" s="19" t="n"/>
      <c r="H540" s="17" t="n"/>
      <c r="I540" s="17" t="n"/>
      <c r="J540" s="17" t="n"/>
      <c r="K540" s="20">
        <f>IF($B540="","",IFERROR(INDEX(الموظفات!$A$5:$A$304,MATCH($B540,الموظفات!$B$5:$B$304,0))&amp;"",""))</f>
        <v/>
      </c>
      <c r="L540" s="21">
        <f>IF($B540="","",IFERROR(INDEX(الموظفات!$C$5:$C$304,MATCH($B540,الموظفات!$B$5:$B$304,0))&amp;"",""))</f>
        <v/>
      </c>
      <c r="M540" s="20">
        <f>IF($B540="","",IFERROR(INDEX(الموظفات!$D$5:$D$304,MATCH($B540,الموظفات!$B$5:$B$304,0))&amp;"",""))</f>
        <v/>
      </c>
      <c r="N540" s="20">
        <f>IF($B540="","",IFERROR(INDEX(الموظفات!$E$5:$E$304,MATCH($B540,الموظفات!$B$5:$B$304,0))&amp;"",""))</f>
        <v/>
      </c>
      <c r="O540" s="21">
        <f>IF(C540="","",IFERROR(INDEX(الإعدادات!$D$7:$D$35,MATCH(C540,الإعدادات!$A$7:$A$35,0))&amp;"",""))</f>
        <v/>
      </c>
      <c r="P540" s="20">
        <f>IF(A540="","",INDEX(الإعدادات!$H$7:$H$18,MONTH(A540)))</f>
        <v/>
      </c>
      <c r="Q540" s="20">
        <f>IF(A540="","",INDEX(الإعدادات!$I$7:$I$18,MONTH(A540)))</f>
        <v/>
      </c>
      <c r="R540" s="20">
        <f>IF(A540="","",IF(MONTH(A540)&gt;=8,YEAR(A540)&amp;"-"&amp;(YEAR(A540)+1),(YEAR(A540)-1)&amp;"-"&amp;YEAR(A540)))</f>
        <v/>
      </c>
      <c r="S540" s="20">
        <f>IF(OR(A540="",B540=""),0,IF(AND(R540=التقارير!$C$4,OR(التقارير!$C$5="سنوي",AND(التقارير!$C$5="شهري",P540=التقارير!$C$6),AND(التقارير!$C$5="فصلي",Q540=التقارير!$C$7))),1,0))</f>
        <v/>
      </c>
      <c r="T540" s="20">
        <f>IF(S540=1,COUNTIF($S$5:S540,1),"")</f>
        <v/>
      </c>
      <c r="U540">
        <f>IF(AND($A540&lt;&gt;"",$B540&lt;&gt;"",$R540='تقرير الفصل الأول'!$C$4,$Q540='تقرير الفصل الأول'!$C$7),COUNT(U$4:U539)+1,"")</f>
        <v/>
      </c>
      <c r="V540">
        <f>IF(AND($A540&lt;&gt;"",$B540&lt;&gt;"",$R540='تقرير الفصل الثاني'!$C$4,$Q540='تقرير الفصل الثاني'!$C$7),COUNT(V$4:V539)+1,"")</f>
        <v/>
      </c>
      <c r="W540">
        <f>IF(AND($A540&lt;&gt;"",$B540&lt;&gt;"",$R540='تقرير سبتمبر'!$C$4,$P540='تقرير سبتمبر'!$C$6),COUNT(W$4:W539)+1,"")</f>
        <v/>
      </c>
      <c r="X540">
        <f>IF(AND($A540&lt;&gt;"",$B540&lt;&gt;"",$R540='تقرير أكتوبر'!$C$4,$P540='تقرير أكتوبر'!$C$6),COUNT(X$4:X539)+1,"")</f>
        <v/>
      </c>
      <c r="Y540">
        <f>IF(AND($A540&lt;&gt;"",$B540&lt;&gt;"",$R540='تقرير نوفمبر'!$C$4,$P540='تقرير نوفمبر'!$C$6),COUNT(Y$4:Y539)+1,"")</f>
        <v/>
      </c>
      <c r="Z540">
        <f>IF(AND($A540&lt;&gt;"",$B540&lt;&gt;"",$R540='تقرير ديسمبر'!$C$4,$P540='تقرير ديسمبر'!$C$6),COUNT(Z$4:Z539)+1,"")</f>
        <v/>
      </c>
      <c r="AA540">
        <f>IF(AND($A540&lt;&gt;"",$B540&lt;&gt;"",$R540='تقرير يناير'!$C$4,$P540='تقرير يناير'!$C$6),COUNT(AA$4:AA539)+1,"")</f>
        <v/>
      </c>
      <c r="AB540">
        <f>IF(AND($A540&lt;&gt;"",$B540&lt;&gt;"",$R540='تقرير فبراير'!$C$4,$P540='تقرير فبراير'!$C$6),COUNT(AB$4:AB539)+1,"")</f>
        <v/>
      </c>
      <c r="AC540">
        <f>IF(AND($A540&lt;&gt;"",$B540&lt;&gt;"",$R540='تقرير مارس'!$C$4,$P540='تقرير مارس'!$C$6),COUNT(AC$4:AC539)+1,"")</f>
        <v/>
      </c>
      <c r="AD540">
        <f>IF(AND($A540&lt;&gt;"",$B540&lt;&gt;"",$R540='تقرير أبريل'!$C$4,$P540='تقرير أبريل'!$C$6),COUNT(AD$4:AD539)+1,"")</f>
        <v/>
      </c>
      <c r="AE540">
        <f>IF(AND($A540&lt;&gt;"",$B540&lt;&gt;"",$R540='تقرير مايو'!$C$4,$P540='تقرير مايو'!$C$6),COUNT(AE$4:AE539)+1,"")</f>
        <v/>
      </c>
    </row>
    <row r="541">
      <c r="A541" s="16" t="n"/>
      <c r="B541" s="17" t="n"/>
      <c r="C541" s="17" t="n"/>
      <c r="D541" s="18" t="n"/>
      <c r="E541" s="17" t="n"/>
      <c r="F541" s="17" t="n"/>
      <c r="G541" s="19" t="n"/>
      <c r="H541" s="17" t="n"/>
      <c r="I541" s="17" t="n"/>
      <c r="J541" s="17" t="n"/>
      <c r="K541" s="20">
        <f>IF($B541="","",IFERROR(INDEX(الموظفات!$A$5:$A$304,MATCH($B541,الموظفات!$B$5:$B$304,0))&amp;"",""))</f>
        <v/>
      </c>
      <c r="L541" s="21">
        <f>IF($B541="","",IFERROR(INDEX(الموظفات!$C$5:$C$304,MATCH($B541,الموظفات!$B$5:$B$304,0))&amp;"",""))</f>
        <v/>
      </c>
      <c r="M541" s="20">
        <f>IF($B541="","",IFERROR(INDEX(الموظفات!$D$5:$D$304,MATCH($B541,الموظفات!$B$5:$B$304,0))&amp;"",""))</f>
        <v/>
      </c>
      <c r="N541" s="20">
        <f>IF($B541="","",IFERROR(INDEX(الموظفات!$E$5:$E$304,MATCH($B541,الموظفات!$B$5:$B$304,0))&amp;"",""))</f>
        <v/>
      </c>
      <c r="O541" s="21">
        <f>IF(C541="","",IFERROR(INDEX(الإعدادات!$D$7:$D$35,MATCH(C541,الإعدادات!$A$7:$A$35,0))&amp;"",""))</f>
        <v/>
      </c>
      <c r="P541" s="20">
        <f>IF(A541="","",INDEX(الإعدادات!$H$7:$H$18,MONTH(A541)))</f>
        <v/>
      </c>
      <c r="Q541" s="20">
        <f>IF(A541="","",INDEX(الإعدادات!$I$7:$I$18,MONTH(A541)))</f>
        <v/>
      </c>
      <c r="R541" s="20">
        <f>IF(A541="","",IF(MONTH(A541)&gt;=8,YEAR(A541)&amp;"-"&amp;(YEAR(A541)+1),(YEAR(A541)-1)&amp;"-"&amp;YEAR(A541)))</f>
        <v/>
      </c>
      <c r="S541" s="20">
        <f>IF(OR(A541="",B541=""),0,IF(AND(R541=التقارير!$C$4,OR(التقارير!$C$5="سنوي",AND(التقارير!$C$5="شهري",P541=التقارير!$C$6),AND(التقارير!$C$5="فصلي",Q541=التقارير!$C$7))),1,0))</f>
        <v/>
      </c>
      <c r="T541" s="20">
        <f>IF(S541=1,COUNTIF($S$5:S541,1),"")</f>
        <v/>
      </c>
      <c r="U541">
        <f>IF(AND($A541&lt;&gt;"",$B541&lt;&gt;"",$R541='تقرير الفصل الأول'!$C$4,$Q541='تقرير الفصل الأول'!$C$7),COUNT(U$4:U540)+1,"")</f>
        <v/>
      </c>
      <c r="V541">
        <f>IF(AND($A541&lt;&gt;"",$B541&lt;&gt;"",$R541='تقرير الفصل الثاني'!$C$4,$Q541='تقرير الفصل الثاني'!$C$7),COUNT(V$4:V540)+1,"")</f>
        <v/>
      </c>
      <c r="W541">
        <f>IF(AND($A541&lt;&gt;"",$B541&lt;&gt;"",$R541='تقرير سبتمبر'!$C$4,$P541='تقرير سبتمبر'!$C$6),COUNT(W$4:W540)+1,"")</f>
        <v/>
      </c>
      <c r="X541">
        <f>IF(AND($A541&lt;&gt;"",$B541&lt;&gt;"",$R541='تقرير أكتوبر'!$C$4,$P541='تقرير أكتوبر'!$C$6),COUNT(X$4:X540)+1,"")</f>
        <v/>
      </c>
      <c r="Y541">
        <f>IF(AND($A541&lt;&gt;"",$B541&lt;&gt;"",$R541='تقرير نوفمبر'!$C$4,$P541='تقرير نوفمبر'!$C$6),COUNT(Y$4:Y540)+1,"")</f>
        <v/>
      </c>
      <c r="Z541">
        <f>IF(AND($A541&lt;&gt;"",$B541&lt;&gt;"",$R541='تقرير ديسمبر'!$C$4,$P541='تقرير ديسمبر'!$C$6),COUNT(Z$4:Z540)+1,"")</f>
        <v/>
      </c>
      <c r="AA541">
        <f>IF(AND($A541&lt;&gt;"",$B541&lt;&gt;"",$R541='تقرير يناير'!$C$4,$P541='تقرير يناير'!$C$6),COUNT(AA$4:AA540)+1,"")</f>
        <v/>
      </c>
      <c r="AB541">
        <f>IF(AND($A541&lt;&gt;"",$B541&lt;&gt;"",$R541='تقرير فبراير'!$C$4,$P541='تقرير فبراير'!$C$6),COUNT(AB$4:AB540)+1,"")</f>
        <v/>
      </c>
      <c r="AC541">
        <f>IF(AND($A541&lt;&gt;"",$B541&lt;&gt;"",$R541='تقرير مارس'!$C$4,$P541='تقرير مارس'!$C$6),COUNT(AC$4:AC540)+1,"")</f>
        <v/>
      </c>
      <c r="AD541">
        <f>IF(AND($A541&lt;&gt;"",$B541&lt;&gt;"",$R541='تقرير أبريل'!$C$4,$P541='تقرير أبريل'!$C$6),COUNT(AD$4:AD540)+1,"")</f>
        <v/>
      </c>
      <c r="AE541">
        <f>IF(AND($A541&lt;&gt;"",$B541&lt;&gt;"",$R541='تقرير مايو'!$C$4,$P541='تقرير مايو'!$C$6),COUNT(AE$4:AE540)+1,"")</f>
        <v/>
      </c>
    </row>
    <row r="542">
      <c r="A542" s="16" t="n"/>
      <c r="B542" s="17" t="n"/>
      <c r="C542" s="17" t="n"/>
      <c r="D542" s="18" t="n"/>
      <c r="E542" s="17" t="n"/>
      <c r="F542" s="17" t="n"/>
      <c r="G542" s="19" t="n"/>
      <c r="H542" s="17" t="n"/>
      <c r="I542" s="17" t="n"/>
      <c r="J542" s="17" t="n"/>
      <c r="K542" s="20">
        <f>IF($B542="","",IFERROR(INDEX(الموظفات!$A$5:$A$304,MATCH($B542,الموظفات!$B$5:$B$304,0))&amp;"",""))</f>
        <v/>
      </c>
      <c r="L542" s="21">
        <f>IF($B542="","",IFERROR(INDEX(الموظفات!$C$5:$C$304,MATCH($B542,الموظفات!$B$5:$B$304,0))&amp;"",""))</f>
        <v/>
      </c>
      <c r="M542" s="20">
        <f>IF($B542="","",IFERROR(INDEX(الموظفات!$D$5:$D$304,MATCH($B542,الموظفات!$B$5:$B$304,0))&amp;"",""))</f>
        <v/>
      </c>
      <c r="N542" s="20">
        <f>IF($B542="","",IFERROR(INDEX(الموظفات!$E$5:$E$304,MATCH($B542,الموظفات!$B$5:$B$304,0))&amp;"",""))</f>
        <v/>
      </c>
      <c r="O542" s="21">
        <f>IF(C542="","",IFERROR(INDEX(الإعدادات!$D$7:$D$35,MATCH(C542,الإعدادات!$A$7:$A$35,0))&amp;"",""))</f>
        <v/>
      </c>
      <c r="P542" s="20">
        <f>IF(A542="","",INDEX(الإعدادات!$H$7:$H$18,MONTH(A542)))</f>
        <v/>
      </c>
      <c r="Q542" s="20">
        <f>IF(A542="","",INDEX(الإعدادات!$I$7:$I$18,MONTH(A542)))</f>
        <v/>
      </c>
      <c r="R542" s="20">
        <f>IF(A542="","",IF(MONTH(A542)&gt;=8,YEAR(A542)&amp;"-"&amp;(YEAR(A542)+1),(YEAR(A542)-1)&amp;"-"&amp;YEAR(A542)))</f>
        <v/>
      </c>
      <c r="S542" s="20">
        <f>IF(OR(A542="",B542=""),0,IF(AND(R542=التقارير!$C$4,OR(التقارير!$C$5="سنوي",AND(التقارير!$C$5="شهري",P542=التقارير!$C$6),AND(التقارير!$C$5="فصلي",Q542=التقارير!$C$7))),1,0))</f>
        <v/>
      </c>
      <c r="T542" s="20">
        <f>IF(S542=1,COUNTIF($S$5:S542,1),"")</f>
        <v/>
      </c>
      <c r="U542">
        <f>IF(AND($A542&lt;&gt;"",$B542&lt;&gt;"",$R542='تقرير الفصل الأول'!$C$4,$Q542='تقرير الفصل الأول'!$C$7),COUNT(U$4:U541)+1,"")</f>
        <v/>
      </c>
      <c r="V542">
        <f>IF(AND($A542&lt;&gt;"",$B542&lt;&gt;"",$R542='تقرير الفصل الثاني'!$C$4,$Q542='تقرير الفصل الثاني'!$C$7),COUNT(V$4:V541)+1,"")</f>
        <v/>
      </c>
      <c r="W542">
        <f>IF(AND($A542&lt;&gt;"",$B542&lt;&gt;"",$R542='تقرير سبتمبر'!$C$4,$P542='تقرير سبتمبر'!$C$6),COUNT(W$4:W541)+1,"")</f>
        <v/>
      </c>
      <c r="X542">
        <f>IF(AND($A542&lt;&gt;"",$B542&lt;&gt;"",$R542='تقرير أكتوبر'!$C$4,$P542='تقرير أكتوبر'!$C$6),COUNT(X$4:X541)+1,"")</f>
        <v/>
      </c>
      <c r="Y542">
        <f>IF(AND($A542&lt;&gt;"",$B542&lt;&gt;"",$R542='تقرير نوفمبر'!$C$4,$P542='تقرير نوفمبر'!$C$6),COUNT(Y$4:Y541)+1,"")</f>
        <v/>
      </c>
      <c r="Z542">
        <f>IF(AND($A542&lt;&gt;"",$B542&lt;&gt;"",$R542='تقرير ديسمبر'!$C$4,$P542='تقرير ديسمبر'!$C$6),COUNT(Z$4:Z541)+1,"")</f>
        <v/>
      </c>
      <c r="AA542">
        <f>IF(AND($A542&lt;&gt;"",$B542&lt;&gt;"",$R542='تقرير يناير'!$C$4,$P542='تقرير يناير'!$C$6),COUNT(AA$4:AA541)+1,"")</f>
        <v/>
      </c>
      <c r="AB542">
        <f>IF(AND($A542&lt;&gt;"",$B542&lt;&gt;"",$R542='تقرير فبراير'!$C$4,$P542='تقرير فبراير'!$C$6),COUNT(AB$4:AB541)+1,"")</f>
        <v/>
      </c>
      <c r="AC542">
        <f>IF(AND($A542&lt;&gt;"",$B542&lt;&gt;"",$R542='تقرير مارس'!$C$4,$P542='تقرير مارس'!$C$6),COUNT(AC$4:AC541)+1,"")</f>
        <v/>
      </c>
      <c r="AD542">
        <f>IF(AND($A542&lt;&gt;"",$B542&lt;&gt;"",$R542='تقرير أبريل'!$C$4,$P542='تقرير أبريل'!$C$6),COUNT(AD$4:AD541)+1,"")</f>
        <v/>
      </c>
      <c r="AE542">
        <f>IF(AND($A542&lt;&gt;"",$B542&lt;&gt;"",$R542='تقرير مايو'!$C$4,$P542='تقرير مايو'!$C$6),COUNT(AE$4:AE541)+1,"")</f>
        <v/>
      </c>
    </row>
    <row r="543">
      <c r="A543" s="16" t="n"/>
      <c r="B543" s="17" t="n"/>
      <c r="C543" s="17" t="n"/>
      <c r="D543" s="18" t="n"/>
      <c r="E543" s="17" t="n"/>
      <c r="F543" s="17" t="n"/>
      <c r="G543" s="19" t="n"/>
      <c r="H543" s="17" t="n"/>
      <c r="I543" s="17" t="n"/>
      <c r="J543" s="17" t="n"/>
      <c r="K543" s="20">
        <f>IF($B543="","",IFERROR(INDEX(الموظفات!$A$5:$A$304,MATCH($B543,الموظفات!$B$5:$B$304,0))&amp;"",""))</f>
        <v/>
      </c>
      <c r="L543" s="21">
        <f>IF($B543="","",IFERROR(INDEX(الموظفات!$C$5:$C$304,MATCH($B543,الموظفات!$B$5:$B$304,0))&amp;"",""))</f>
        <v/>
      </c>
      <c r="M543" s="20">
        <f>IF($B543="","",IFERROR(INDEX(الموظفات!$D$5:$D$304,MATCH($B543,الموظفات!$B$5:$B$304,0))&amp;"",""))</f>
        <v/>
      </c>
      <c r="N543" s="20">
        <f>IF($B543="","",IFERROR(INDEX(الموظفات!$E$5:$E$304,MATCH($B543,الموظفات!$B$5:$B$304,0))&amp;"",""))</f>
        <v/>
      </c>
      <c r="O543" s="21">
        <f>IF(C543="","",IFERROR(INDEX(الإعدادات!$D$7:$D$35,MATCH(C543,الإعدادات!$A$7:$A$35,0))&amp;"",""))</f>
        <v/>
      </c>
      <c r="P543" s="20">
        <f>IF(A543="","",INDEX(الإعدادات!$H$7:$H$18,MONTH(A543)))</f>
        <v/>
      </c>
      <c r="Q543" s="20">
        <f>IF(A543="","",INDEX(الإعدادات!$I$7:$I$18,MONTH(A543)))</f>
        <v/>
      </c>
      <c r="R543" s="20">
        <f>IF(A543="","",IF(MONTH(A543)&gt;=8,YEAR(A543)&amp;"-"&amp;(YEAR(A543)+1),(YEAR(A543)-1)&amp;"-"&amp;YEAR(A543)))</f>
        <v/>
      </c>
      <c r="S543" s="20">
        <f>IF(OR(A543="",B543=""),0,IF(AND(R543=التقارير!$C$4,OR(التقارير!$C$5="سنوي",AND(التقارير!$C$5="شهري",P543=التقارير!$C$6),AND(التقارير!$C$5="فصلي",Q543=التقارير!$C$7))),1,0))</f>
        <v/>
      </c>
      <c r="T543" s="20">
        <f>IF(S543=1,COUNTIF($S$5:S543,1),"")</f>
        <v/>
      </c>
      <c r="U543">
        <f>IF(AND($A543&lt;&gt;"",$B543&lt;&gt;"",$R543='تقرير الفصل الأول'!$C$4,$Q543='تقرير الفصل الأول'!$C$7),COUNT(U$4:U542)+1,"")</f>
        <v/>
      </c>
      <c r="V543">
        <f>IF(AND($A543&lt;&gt;"",$B543&lt;&gt;"",$R543='تقرير الفصل الثاني'!$C$4,$Q543='تقرير الفصل الثاني'!$C$7),COUNT(V$4:V542)+1,"")</f>
        <v/>
      </c>
      <c r="W543">
        <f>IF(AND($A543&lt;&gt;"",$B543&lt;&gt;"",$R543='تقرير سبتمبر'!$C$4,$P543='تقرير سبتمبر'!$C$6),COUNT(W$4:W542)+1,"")</f>
        <v/>
      </c>
      <c r="X543">
        <f>IF(AND($A543&lt;&gt;"",$B543&lt;&gt;"",$R543='تقرير أكتوبر'!$C$4,$P543='تقرير أكتوبر'!$C$6),COUNT(X$4:X542)+1,"")</f>
        <v/>
      </c>
      <c r="Y543">
        <f>IF(AND($A543&lt;&gt;"",$B543&lt;&gt;"",$R543='تقرير نوفمبر'!$C$4,$P543='تقرير نوفمبر'!$C$6),COUNT(Y$4:Y542)+1,"")</f>
        <v/>
      </c>
      <c r="Z543">
        <f>IF(AND($A543&lt;&gt;"",$B543&lt;&gt;"",$R543='تقرير ديسمبر'!$C$4,$P543='تقرير ديسمبر'!$C$6),COUNT(Z$4:Z542)+1,"")</f>
        <v/>
      </c>
      <c r="AA543">
        <f>IF(AND($A543&lt;&gt;"",$B543&lt;&gt;"",$R543='تقرير يناير'!$C$4,$P543='تقرير يناير'!$C$6),COUNT(AA$4:AA542)+1,"")</f>
        <v/>
      </c>
      <c r="AB543">
        <f>IF(AND($A543&lt;&gt;"",$B543&lt;&gt;"",$R543='تقرير فبراير'!$C$4,$P543='تقرير فبراير'!$C$6),COUNT(AB$4:AB542)+1,"")</f>
        <v/>
      </c>
      <c r="AC543">
        <f>IF(AND($A543&lt;&gt;"",$B543&lt;&gt;"",$R543='تقرير مارس'!$C$4,$P543='تقرير مارس'!$C$6),COUNT(AC$4:AC542)+1,"")</f>
        <v/>
      </c>
      <c r="AD543">
        <f>IF(AND($A543&lt;&gt;"",$B543&lt;&gt;"",$R543='تقرير أبريل'!$C$4,$P543='تقرير أبريل'!$C$6),COUNT(AD$4:AD542)+1,"")</f>
        <v/>
      </c>
      <c r="AE543">
        <f>IF(AND($A543&lt;&gt;"",$B543&lt;&gt;"",$R543='تقرير مايو'!$C$4,$P543='تقرير مايو'!$C$6),COUNT(AE$4:AE542)+1,"")</f>
        <v/>
      </c>
    </row>
    <row r="544">
      <c r="A544" s="16" t="n"/>
      <c r="B544" s="17" t="n"/>
      <c r="C544" s="17" t="n"/>
      <c r="D544" s="18" t="n"/>
      <c r="E544" s="17" t="n"/>
      <c r="F544" s="17" t="n"/>
      <c r="G544" s="19" t="n"/>
      <c r="H544" s="17" t="n"/>
      <c r="I544" s="17" t="n"/>
      <c r="J544" s="17" t="n"/>
      <c r="K544" s="20">
        <f>IF($B544="","",IFERROR(INDEX(الموظفات!$A$5:$A$304,MATCH($B544,الموظفات!$B$5:$B$304,0))&amp;"",""))</f>
        <v/>
      </c>
      <c r="L544" s="21">
        <f>IF($B544="","",IFERROR(INDEX(الموظفات!$C$5:$C$304,MATCH($B544,الموظفات!$B$5:$B$304,0))&amp;"",""))</f>
        <v/>
      </c>
      <c r="M544" s="20">
        <f>IF($B544="","",IFERROR(INDEX(الموظفات!$D$5:$D$304,MATCH($B544,الموظفات!$B$5:$B$304,0))&amp;"",""))</f>
        <v/>
      </c>
      <c r="N544" s="20">
        <f>IF($B544="","",IFERROR(INDEX(الموظفات!$E$5:$E$304,MATCH($B544,الموظفات!$B$5:$B$304,0))&amp;"",""))</f>
        <v/>
      </c>
      <c r="O544" s="21">
        <f>IF(C544="","",IFERROR(INDEX(الإعدادات!$D$7:$D$35,MATCH(C544,الإعدادات!$A$7:$A$35,0))&amp;"",""))</f>
        <v/>
      </c>
      <c r="P544" s="20">
        <f>IF(A544="","",INDEX(الإعدادات!$H$7:$H$18,MONTH(A544)))</f>
        <v/>
      </c>
      <c r="Q544" s="20">
        <f>IF(A544="","",INDEX(الإعدادات!$I$7:$I$18,MONTH(A544)))</f>
        <v/>
      </c>
      <c r="R544" s="20">
        <f>IF(A544="","",IF(MONTH(A544)&gt;=8,YEAR(A544)&amp;"-"&amp;(YEAR(A544)+1),(YEAR(A544)-1)&amp;"-"&amp;YEAR(A544)))</f>
        <v/>
      </c>
      <c r="S544" s="20">
        <f>IF(OR(A544="",B544=""),0,IF(AND(R544=التقارير!$C$4,OR(التقارير!$C$5="سنوي",AND(التقارير!$C$5="شهري",P544=التقارير!$C$6),AND(التقارير!$C$5="فصلي",Q544=التقارير!$C$7))),1,0))</f>
        <v/>
      </c>
      <c r="T544" s="20">
        <f>IF(S544=1,COUNTIF($S$5:S544,1),"")</f>
        <v/>
      </c>
      <c r="U544">
        <f>IF(AND($A544&lt;&gt;"",$B544&lt;&gt;"",$R544='تقرير الفصل الأول'!$C$4,$Q544='تقرير الفصل الأول'!$C$7),COUNT(U$4:U543)+1,"")</f>
        <v/>
      </c>
      <c r="V544">
        <f>IF(AND($A544&lt;&gt;"",$B544&lt;&gt;"",$R544='تقرير الفصل الثاني'!$C$4,$Q544='تقرير الفصل الثاني'!$C$7),COUNT(V$4:V543)+1,"")</f>
        <v/>
      </c>
      <c r="W544">
        <f>IF(AND($A544&lt;&gt;"",$B544&lt;&gt;"",$R544='تقرير سبتمبر'!$C$4,$P544='تقرير سبتمبر'!$C$6),COUNT(W$4:W543)+1,"")</f>
        <v/>
      </c>
      <c r="X544">
        <f>IF(AND($A544&lt;&gt;"",$B544&lt;&gt;"",$R544='تقرير أكتوبر'!$C$4,$P544='تقرير أكتوبر'!$C$6),COUNT(X$4:X543)+1,"")</f>
        <v/>
      </c>
      <c r="Y544">
        <f>IF(AND($A544&lt;&gt;"",$B544&lt;&gt;"",$R544='تقرير نوفمبر'!$C$4,$P544='تقرير نوفمبر'!$C$6),COUNT(Y$4:Y543)+1,"")</f>
        <v/>
      </c>
      <c r="Z544">
        <f>IF(AND($A544&lt;&gt;"",$B544&lt;&gt;"",$R544='تقرير ديسمبر'!$C$4,$P544='تقرير ديسمبر'!$C$6),COUNT(Z$4:Z543)+1,"")</f>
        <v/>
      </c>
      <c r="AA544">
        <f>IF(AND($A544&lt;&gt;"",$B544&lt;&gt;"",$R544='تقرير يناير'!$C$4,$P544='تقرير يناير'!$C$6),COUNT(AA$4:AA543)+1,"")</f>
        <v/>
      </c>
      <c r="AB544">
        <f>IF(AND($A544&lt;&gt;"",$B544&lt;&gt;"",$R544='تقرير فبراير'!$C$4,$P544='تقرير فبراير'!$C$6),COUNT(AB$4:AB543)+1,"")</f>
        <v/>
      </c>
      <c r="AC544">
        <f>IF(AND($A544&lt;&gt;"",$B544&lt;&gt;"",$R544='تقرير مارس'!$C$4,$P544='تقرير مارس'!$C$6),COUNT(AC$4:AC543)+1,"")</f>
        <v/>
      </c>
      <c r="AD544">
        <f>IF(AND($A544&lt;&gt;"",$B544&lt;&gt;"",$R544='تقرير أبريل'!$C$4,$P544='تقرير أبريل'!$C$6),COUNT(AD$4:AD543)+1,"")</f>
        <v/>
      </c>
      <c r="AE544">
        <f>IF(AND($A544&lt;&gt;"",$B544&lt;&gt;"",$R544='تقرير مايو'!$C$4,$P544='تقرير مايو'!$C$6),COUNT(AE$4:AE543)+1,"")</f>
        <v/>
      </c>
    </row>
    <row r="545">
      <c r="A545" s="16" t="n"/>
      <c r="B545" s="17" t="n"/>
      <c r="C545" s="17" t="n"/>
      <c r="D545" s="18" t="n"/>
      <c r="E545" s="17" t="n"/>
      <c r="F545" s="17" t="n"/>
      <c r="G545" s="19" t="n"/>
      <c r="H545" s="17" t="n"/>
      <c r="I545" s="17" t="n"/>
      <c r="J545" s="17" t="n"/>
      <c r="K545" s="20">
        <f>IF($B545="","",IFERROR(INDEX(الموظفات!$A$5:$A$304,MATCH($B545,الموظفات!$B$5:$B$304,0))&amp;"",""))</f>
        <v/>
      </c>
      <c r="L545" s="21">
        <f>IF($B545="","",IFERROR(INDEX(الموظفات!$C$5:$C$304,MATCH($B545,الموظفات!$B$5:$B$304,0))&amp;"",""))</f>
        <v/>
      </c>
      <c r="M545" s="20">
        <f>IF($B545="","",IFERROR(INDEX(الموظفات!$D$5:$D$304,MATCH($B545,الموظفات!$B$5:$B$304,0))&amp;"",""))</f>
        <v/>
      </c>
      <c r="N545" s="20">
        <f>IF($B545="","",IFERROR(INDEX(الموظفات!$E$5:$E$304,MATCH($B545,الموظفات!$B$5:$B$304,0))&amp;"",""))</f>
        <v/>
      </c>
      <c r="O545" s="21">
        <f>IF(C545="","",IFERROR(INDEX(الإعدادات!$D$7:$D$35,MATCH(C545,الإعدادات!$A$7:$A$35,0))&amp;"",""))</f>
        <v/>
      </c>
      <c r="P545" s="20">
        <f>IF(A545="","",INDEX(الإعدادات!$H$7:$H$18,MONTH(A545)))</f>
        <v/>
      </c>
      <c r="Q545" s="20">
        <f>IF(A545="","",INDEX(الإعدادات!$I$7:$I$18,MONTH(A545)))</f>
        <v/>
      </c>
      <c r="R545" s="20">
        <f>IF(A545="","",IF(MONTH(A545)&gt;=8,YEAR(A545)&amp;"-"&amp;(YEAR(A545)+1),(YEAR(A545)-1)&amp;"-"&amp;YEAR(A545)))</f>
        <v/>
      </c>
      <c r="S545" s="20">
        <f>IF(OR(A545="",B545=""),0,IF(AND(R545=التقارير!$C$4,OR(التقارير!$C$5="سنوي",AND(التقارير!$C$5="شهري",P545=التقارير!$C$6),AND(التقارير!$C$5="فصلي",Q545=التقارير!$C$7))),1,0))</f>
        <v/>
      </c>
      <c r="T545" s="20">
        <f>IF(S545=1,COUNTIF($S$5:S545,1),"")</f>
        <v/>
      </c>
      <c r="U545">
        <f>IF(AND($A545&lt;&gt;"",$B545&lt;&gt;"",$R545='تقرير الفصل الأول'!$C$4,$Q545='تقرير الفصل الأول'!$C$7),COUNT(U$4:U544)+1,"")</f>
        <v/>
      </c>
      <c r="V545">
        <f>IF(AND($A545&lt;&gt;"",$B545&lt;&gt;"",$R545='تقرير الفصل الثاني'!$C$4,$Q545='تقرير الفصل الثاني'!$C$7),COUNT(V$4:V544)+1,"")</f>
        <v/>
      </c>
      <c r="W545">
        <f>IF(AND($A545&lt;&gt;"",$B545&lt;&gt;"",$R545='تقرير سبتمبر'!$C$4,$P545='تقرير سبتمبر'!$C$6),COUNT(W$4:W544)+1,"")</f>
        <v/>
      </c>
      <c r="X545">
        <f>IF(AND($A545&lt;&gt;"",$B545&lt;&gt;"",$R545='تقرير أكتوبر'!$C$4,$P545='تقرير أكتوبر'!$C$6),COUNT(X$4:X544)+1,"")</f>
        <v/>
      </c>
      <c r="Y545">
        <f>IF(AND($A545&lt;&gt;"",$B545&lt;&gt;"",$R545='تقرير نوفمبر'!$C$4,$P545='تقرير نوفمبر'!$C$6),COUNT(Y$4:Y544)+1,"")</f>
        <v/>
      </c>
      <c r="Z545">
        <f>IF(AND($A545&lt;&gt;"",$B545&lt;&gt;"",$R545='تقرير ديسمبر'!$C$4,$P545='تقرير ديسمبر'!$C$6),COUNT(Z$4:Z544)+1,"")</f>
        <v/>
      </c>
      <c r="AA545">
        <f>IF(AND($A545&lt;&gt;"",$B545&lt;&gt;"",$R545='تقرير يناير'!$C$4,$P545='تقرير يناير'!$C$6),COUNT(AA$4:AA544)+1,"")</f>
        <v/>
      </c>
      <c r="AB545">
        <f>IF(AND($A545&lt;&gt;"",$B545&lt;&gt;"",$R545='تقرير فبراير'!$C$4,$P545='تقرير فبراير'!$C$6),COUNT(AB$4:AB544)+1,"")</f>
        <v/>
      </c>
      <c r="AC545">
        <f>IF(AND($A545&lt;&gt;"",$B545&lt;&gt;"",$R545='تقرير مارس'!$C$4,$P545='تقرير مارس'!$C$6),COUNT(AC$4:AC544)+1,"")</f>
        <v/>
      </c>
      <c r="AD545">
        <f>IF(AND($A545&lt;&gt;"",$B545&lt;&gt;"",$R545='تقرير أبريل'!$C$4,$P545='تقرير أبريل'!$C$6),COUNT(AD$4:AD544)+1,"")</f>
        <v/>
      </c>
      <c r="AE545">
        <f>IF(AND($A545&lt;&gt;"",$B545&lt;&gt;"",$R545='تقرير مايو'!$C$4,$P545='تقرير مايو'!$C$6),COUNT(AE$4:AE544)+1,"")</f>
        <v/>
      </c>
    </row>
    <row r="546">
      <c r="A546" s="16" t="n"/>
      <c r="B546" s="17" t="n"/>
      <c r="C546" s="17" t="n"/>
      <c r="D546" s="18" t="n"/>
      <c r="E546" s="17" t="n"/>
      <c r="F546" s="17" t="n"/>
      <c r="G546" s="19" t="n"/>
      <c r="H546" s="17" t="n"/>
      <c r="I546" s="17" t="n"/>
      <c r="J546" s="17" t="n"/>
      <c r="K546" s="20">
        <f>IF($B546="","",IFERROR(INDEX(الموظفات!$A$5:$A$304,MATCH($B546,الموظفات!$B$5:$B$304,0))&amp;"",""))</f>
        <v/>
      </c>
      <c r="L546" s="21">
        <f>IF($B546="","",IFERROR(INDEX(الموظفات!$C$5:$C$304,MATCH($B546,الموظفات!$B$5:$B$304,0))&amp;"",""))</f>
        <v/>
      </c>
      <c r="M546" s="20">
        <f>IF($B546="","",IFERROR(INDEX(الموظفات!$D$5:$D$304,MATCH($B546,الموظفات!$B$5:$B$304,0))&amp;"",""))</f>
        <v/>
      </c>
      <c r="N546" s="20">
        <f>IF($B546="","",IFERROR(INDEX(الموظفات!$E$5:$E$304,MATCH($B546,الموظفات!$B$5:$B$304,0))&amp;"",""))</f>
        <v/>
      </c>
      <c r="O546" s="21">
        <f>IF(C546="","",IFERROR(INDEX(الإعدادات!$D$7:$D$35,MATCH(C546,الإعدادات!$A$7:$A$35,0))&amp;"",""))</f>
        <v/>
      </c>
      <c r="P546" s="20">
        <f>IF(A546="","",INDEX(الإعدادات!$H$7:$H$18,MONTH(A546)))</f>
        <v/>
      </c>
      <c r="Q546" s="20">
        <f>IF(A546="","",INDEX(الإعدادات!$I$7:$I$18,MONTH(A546)))</f>
        <v/>
      </c>
      <c r="R546" s="20">
        <f>IF(A546="","",IF(MONTH(A546)&gt;=8,YEAR(A546)&amp;"-"&amp;(YEAR(A546)+1),(YEAR(A546)-1)&amp;"-"&amp;YEAR(A546)))</f>
        <v/>
      </c>
      <c r="S546" s="20">
        <f>IF(OR(A546="",B546=""),0,IF(AND(R546=التقارير!$C$4,OR(التقارير!$C$5="سنوي",AND(التقارير!$C$5="شهري",P546=التقارير!$C$6),AND(التقارير!$C$5="فصلي",Q546=التقارير!$C$7))),1,0))</f>
        <v/>
      </c>
      <c r="T546" s="20">
        <f>IF(S546=1,COUNTIF($S$5:S546,1),"")</f>
        <v/>
      </c>
      <c r="U546">
        <f>IF(AND($A546&lt;&gt;"",$B546&lt;&gt;"",$R546='تقرير الفصل الأول'!$C$4,$Q546='تقرير الفصل الأول'!$C$7),COUNT(U$4:U545)+1,"")</f>
        <v/>
      </c>
      <c r="V546">
        <f>IF(AND($A546&lt;&gt;"",$B546&lt;&gt;"",$R546='تقرير الفصل الثاني'!$C$4,$Q546='تقرير الفصل الثاني'!$C$7),COUNT(V$4:V545)+1,"")</f>
        <v/>
      </c>
      <c r="W546">
        <f>IF(AND($A546&lt;&gt;"",$B546&lt;&gt;"",$R546='تقرير سبتمبر'!$C$4,$P546='تقرير سبتمبر'!$C$6),COUNT(W$4:W545)+1,"")</f>
        <v/>
      </c>
      <c r="X546">
        <f>IF(AND($A546&lt;&gt;"",$B546&lt;&gt;"",$R546='تقرير أكتوبر'!$C$4,$P546='تقرير أكتوبر'!$C$6),COUNT(X$4:X545)+1,"")</f>
        <v/>
      </c>
      <c r="Y546">
        <f>IF(AND($A546&lt;&gt;"",$B546&lt;&gt;"",$R546='تقرير نوفمبر'!$C$4,$P546='تقرير نوفمبر'!$C$6),COUNT(Y$4:Y545)+1,"")</f>
        <v/>
      </c>
      <c r="Z546">
        <f>IF(AND($A546&lt;&gt;"",$B546&lt;&gt;"",$R546='تقرير ديسمبر'!$C$4,$P546='تقرير ديسمبر'!$C$6),COUNT(Z$4:Z545)+1,"")</f>
        <v/>
      </c>
      <c r="AA546">
        <f>IF(AND($A546&lt;&gt;"",$B546&lt;&gt;"",$R546='تقرير يناير'!$C$4,$P546='تقرير يناير'!$C$6),COUNT(AA$4:AA545)+1,"")</f>
        <v/>
      </c>
      <c r="AB546">
        <f>IF(AND($A546&lt;&gt;"",$B546&lt;&gt;"",$R546='تقرير فبراير'!$C$4,$P546='تقرير فبراير'!$C$6),COUNT(AB$4:AB545)+1,"")</f>
        <v/>
      </c>
      <c r="AC546">
        <f>IF(AND($A546&lt;&gt;"",$B546&lt;&gt;"",$R546='تقرير مارس'!$C$4,$P546='تقرير مارس'!$C$6),COUNT(AC$4:AC545)+1,"")</f>
        <v/>
      </c>
      <c r="AD546">
        <f>IF(AND($A546&lt;&gt;"",$B546&lt;&gt;"",$R546='تقرير أبريل'!$C$4,$P546='تقرير أبريل'!$C$6),COUNT(AD$4:AD545)+1,"")</f>
        <v/>
      </c>
      <c r="AE546">
        <f>IF(AND($A546&lt;&gt;"",$B546&lt;&gt;"",$R546='تقرير مايو'!$C$4,$P546='تقرير مايو'!$C$6),COUNT(AE$4:AE545)+1,"")</f>
        <v/>
      </c>
    </row>
    <row r="547">
      <c r="A547" s="16" t="n"/>
      <c r="B547" s="17" t="n"/>
      <c r="C547" s="17" t="n"/>
      <c r="D547" s="18" t="n"/>
      <c r="E547" s="17" t="n"/>
      <c r="F547" s="17" t="n"/>
      <c r="G547" s="19" t="n"/>
      <c r="H547" s="17" t="n"/>
      <c r="I547" s="17" t="n"/>
      <c r="J547" s="17" t="n"/>
      <c r="K547" s="20">
        <f>IF($B547="","",IFERROR(INDEX(الموظفات!$A$5:$A$304,MATCH($B547,الموظفات!$B$5:$B$304,0))&amp;"",""))</f>
        <v/>
      </c>
      <c r="L547" s="21">
        <f>IF($B547="","",IFERROR(INDEX(الموظفات!$C$5:$C$304,MATCH($B547,الموظفات!$B$5:$B$304,0))&amp;"",""))</f>
        <v/>
      </c>
      <c r="M547" s="20">
        <f>IF($B547="","",IFERROR(INDEX(الموظفات!$D$5:$D$304,MATCH($B547,الموظفات!$B$5:$B$304,0))&amp;"",""))</f>
        <v/>
      </c>
      <c r="N547" s="20">
        <f>IF($B547="","",IFERROR(INDEX(الموظفات!$E$5:$E$304,MATCH($B547,الموظفات!$B$5:$B$304,0))&amp;"",""))</f>
        <v/>
      </c>
      <c r="O547" s="21">
        <f>IF(C547="","",IFERROR(INDEX(الإعدادات!$D$7:$D$35,MATCH(C547,الإعدادات!$A$7:$A$35,0))&amp;"",""))</f>
        <v/>
      </c>
      <c r="P547" s="20">
        <f>IF(A547="","",INDEX(الإعدادات!$H$7:$H$18,MONTH(A547)))</f>
        <v/>
      </c>
      <c r="Q547" s="20">
        <f>IF(A547="","",INDEX(الإعدادات!$I$7:$I$18,MONTH(A547)))</f>
        <v/>
      </c>
      <c r="R547" s="20">
        <f>IF(A547="","",IF(MONTH(A547)&gt;=8,YEAR(A547)&amp;"-"&amp;(YEAR(A547)+1),(YEAR(A547)-1)&amp;"-"&amp;YEAR(A547)))</f>
        <v/>
      </c>
      <c r="S547" s="20">
        <f>IF(OR(A547="",B547=""),0,IF(AND(R547=التقارير!$C$4,OR(التقارير!$C$5="سنوي",AND(التقارير!$C$5="شهري",P547=التقارير!$C$6),AND(التقارير!$C$5="فصلي",Q547=التقارير!$C$7))),1,0))</f>
        <v/>
      </c>
      <c r="T547" s="20">
        <f>IF(S547=1,COUNTIF($S$5:S547,1),"")</f>
        <v/>
      </c>
      <c r="U547">
        <f>IF(AND($A547&lt;&gt;"",$B547&lt;&gt;"",$R547='تقرير الفصل الأول'!$C$4,$Q547='تقرير الفصل الأول'!$C$7),COUNT(U$4:U546)+1,"")</f>
        <v/>
      </c>
      <c r="V547">
        <f>IF(AND($A547&lt;&gt;"",$B547&lt;&gt;"",$R547='تقرير الفصل الثاني'!$C$4,$Q547='تقرير الفصل الثاني'!$C$7),COUNT(V$4:V546)+1,"")</f>
        <v/>
      </c>
      <c r="W547">
        <f>IF(AND($A547&lt;&gt;"",$B547&lt;&gt;"",$R547='تقرير سبتمبر'!$C$4,$P547='تقرير سبتمبر'!$C$6),COUNT(W$4:W546)+1,"")</f>
        <v/>
      </c>
      <c r="X547">
        <f>IF(AND($A547&lt;&gt;"",$B547&lt;&gt;"",$R547='تقرير أكتوبر'!$C$4,$P547='تقرير أكتوبر'!$C$6),COUNT(X$4:X546)+1,"")</f>
        <v/>
      </c>
      <c r="Y547">
        <f>IF(AND($A547&lt;&gt;"",$B547&lt;&gt;"",$R547='تقرير نوفمبر'!$C$4,$P547='تقرير نوفمبر'!$C$6),COUNT(Y$4:Y546)+1,"")</f>
        <v/>
      </c>
      <c r="Z547">
        <f>IF(AND($A547&lt;&gt;"",$B547&lt;&gt;"",$R547='تقرير ديسمبر'!$C$4,$P547='تقرير ديسمبر'!$C$6),COUNT(Z$4:Z546)+1,"")</f>
        <v/>
      </c>
      <c r="AA547">
        <f>IF(AND($A547&lt;&gt;"",$B547&lt;&gt;"",$R547='تقرير يناير'!$C$4,$P547='تقرير يناير'!$C$6),COUNT(AA$4:AA546)+1,"")</f>
        <v/>
      </c>
      <c r="AB547">
        <f>IF(AND($A547&lt;&gt;"",$B547&lt;&gt;"",$R547='تقرير فبراير'!$C$4,$P547='تقرير فبراير'!$C$6),COUNT(AB$4:AB546)+1,"")</f>
        <v/>
      </c>
      <c r="AC547">
        <f>IF(AND($A547&lt;&gt;"",$B547&lt;&gt;"",$R547='تقرير مارس'!$C$4,$P547='تقرير مارس'!$C$6),COUNT(AC$4:AC546)+1,"")</f>
        <v/>
      </c>
      <c r="AD547">
        <f>IF(AND($A547&lt;&gt;"",$B547&lt;&gt;"",$R547='تقرير أبريل'!$C$4,$P547='تقرير أبريل'!$C$6),COUNT(AD$4:AD546)+1,"")</f>
        <v/>
      </c>
      <c r="AE547">
        <f>IF(AND($A547&lt;&gt;"",$B547&lt;&gt;"",$R547='تقرير مايو'!$C$4,$P547='تقرير مايو'!$C$6),COUNT(AE$4:AE546)+1,"")</f>
        <v/>
      </c>
    </row>
    <row r="548">
      <c r="A548" s="16" t="n"/>
      <c r="B548" s="17" t="n"/>
      <c r="C548" s="17" t="n"/>
      <c r="D548" s="18" t="n"/>
      <c r="E548" s="17" t="n"/>
      <c r="F548" s="17" t="n"/>
      <c r="G548" s="19" t="n"/>
      <c r="H548" s="17" t="n"/>
      <c r="I548" s="17" t="n"/>
      <c r="J548" s="17" t="n"/>
      <c r="K548" s="20">
        <f>IF($B548="","",IFERROR(INDEX(الموظفات!$A$5:$A$304,MATCH($B548,الموظفات!$B$5:$B$304,0))&amp;"",""))</f>
        <v/>
      </c>
      <c r="L548" s="21">
        <f>IF($B548="","",IFERROR(INDEX(الموظفات!$C$5:$C$304,MATCH($B548,الموظفات!$B$5:$B$304,0))&amp;"",""))</f>
        <v/>
      </c>
      <c r="M548" s="20">
        <f>IF($B548="","",IFERROR(INDEX(الموظفات!$D$5:$D$304,MATCH($B548,الموظفات!$B$5:$B$304,0))&amp;"",""))</f>
        <v/>
      </c>
      <c r="N548" s="20">
        <f>IF($B548="","",IFERROR(INDEX(الموظفات!$E$5:$E$304,MATCH($B548,الموظفات!$B$5:$B$304,0))&amp;"",""))</f>
        <v/>
      </c>
      <c r="O548" s="21">
        <f>IF(C548="","",IFERROR(INDEX(الإعدادات!$D$7:$D$35,MATCH(C548,الإعدادات!$A$7:$A$35,0))&amp;"",""))</f>
        <v/>
      </c>
      <c r="P548" s="20">
        <f>IF(A548="","",INDEX(الإعدادات!$H$7:$H$18,MONTH(A548)))</f>
        <v/>
      </c>
      <c r="Q548" s="20">
        <f>IF(A548="","",INDEX(الإعدادات!$I$7:$I$18,MONTH(A548)))</f>
        <v/>
      </c>
      <c r="R548" s="20">
        <f>IF(A548="","",IF(MONTH(A548)&gt;=8,YEAR(A548)&amp;"-"&amp;(YEAR(A548)+1),(YEAR(A548)-1)&amp;"-"&amp;YEAR(A548)))</f>
        <v/>
      </c>
      <c r="S548" s="20">
        <f>IF(OR(A548="",B548=""),0,IF(AND(R548=التقارير!$C$4,OR(التقارير!$C$5="سنوي",AND(التقارير!$C$5="شهري",P548=التقارير!$C$6),AND(التقارير!$C$5="فصلي",Q548=التقارير!$C$7))),1,0))</f>
        <v/>
      </c>
      <c r="T548" s="20">
        <f>IF(S548=1,COUNTIF($S$5:S548,1),"")</f>
        <v/>
      </c>
      <c r="U548">
        <f>IF(AND($A548&lt;&gt;"",$B548&lt;&gt;"",$R548='تقرير الفصل الأول'!$C$4,$Q548='تقرير الفصل الأول'!$C$7),COUNT(U$4:U547)+1,"")</f>
        <v/>
      </c>
      <c r="V548">
        <f>IF(AND($A548&lt;&gt;"",$B548&lt;&gt;"",$R548='تقرير الفصل الثاني'!$C$4,$Q548='تقرير الفصل الثاني'!$C$7),COUNT(V$4:V547)+1,"")</f>
        <v/>
      </c>
      <c r="W548">
        <f>IF(AND($A548&lt;&gt;"",$B548&lt;&gt;"",$R548='تقرير سبتمبر'!$C$4,$P548='تقرير سبتمبر'!$C$6),COUNT(W$4:W547)+1,"")</f>
        <v/>
      </c>
      <c r="X548">
        <f>IF(AND($A548&lt;&gt;"",$B548&lt;&gt;"",$R548='تقرير أكتوبر'!$C$4,$P548='تقرير أكتوبر'!$C$6),COUNT(X$4:X547)+1,"")</f>
        <v/>
      </c>
      <c r="Y548">
        <f>IF(AND($A548&lt;&gt;"",$B548&lt;&gt;"",$R548='تقرير نوفمبر'!$C$4,$P548='تقرير نوفمبر'!$C$6),COUNT(Y$4:Y547)+1,"")</f>
        <v/>
      </c>
      <c r="Z548">
        <f>IF(AND($A548&lt;&gt;"",$B548&lt;&gt;"",$R548='تقرير ديسمبر'!$C$4,$P548='تقرير ديسمبر'!$C$6),COUNT(Z$4:Z547)+1,"")</f>
        <v/>
      </c>
      <c r="AA548">
        <f>IF(AND($A548&lt;&gt;"",$B548&lt;&gt;"",$R548='تقرير يناير'!$C$4,$P548='تقرير يناير'!$C$6),COUNT(AA$4:AA547)+1,"")</f>
        <v/>
      </c>
      <c r="AB548">
        <f>IF(AND($A548&lt;&gt;"",$B548&lt;&gt;"",$R548='تقرير فبراير'!$C$4,$P548='تقرير فبراير'!$C$6),COUNT(AB$4:AB547)+1,"")</f>
        <v/>
      </c>
      <c r="AC548">
        <f>IF(AND($A548&lt;&gt;"",$B548&lt;&gt;"",$R548='تقرير مارس'!$C$4,$P548='تقرير مارس'!$C$6),COUNT(AC$4:AC547)+1,"")</f>
        <v/>
      </c>
      <c r="AD548">
        <f>IF(AND($A548&lt;&gt;"",$B548&lt;&gt;"",$R548='تقرير أبريل'!$C$4,$P548='تقرير أبريل'!$C$6),COUNT(AD$4:AD547)+1,"")</f>
        <v/>
      </c>
      <c r="AE548">
        <f>IF(AND($A548&lt;&gt;"",$B548&lt;&gt;"",$R548='تقرير مايو'!$C$4,$P548='تقرير مايو'!$C$6),COUNT(AE$4:AE547)+1,"")</f>
        <v/>
      </c>
    </row>
    <row r="549">
      <c r="A549" s="16" t="n"/>
      <c r="B549" s="17" t="n"/>
      <c r="C549" s="17" t="n"/>
      <c r="D549" s="18" t="n"/>
      <c r="E549" s="17" t="n"/>
      <c r="F549" s="17" t="n"/>
      <c r="G549" s="19" t="n"/>
      <c r="H549" s="17" t="n"/>
      <c r="I549" s="17" t="n"/>
      <c r="J549" s="17" t="n"/>
      <c r="K549" s="20">
        <f>IF($B549="","",IFERROR(INDEX(الموظفات!$A$5:$A$304,MATCH($B549,الموظفات!$B$5:$B$304,0))&amp;"",""))</f>
        <v/>
      </c>
      <c r="L549" s="21">
        <f>IF($B549="","",IFERROR(INDEX(الموظفات!$C$5:$C$304,MATCH($B549,الموظفات!$B$5:$B$304,0))&amp;"",""))</f>
        <v/>
      </c>
      <c r="M549" s="20">
        <f>IF($B549="","",IFERROR(INDEX(الموظفات!$D$5:$D$304,MATCH($B549,الموظفات!$B$5:$B$304,0))&amp;"",""))</f>
        <v/>
      </c>
      <c r="N549" s="20">
        <f>IF($B549="","",IFERROR(INDEX(الموظفات!$E$5:$E$304,MATCH($B549,الموظفات!$B$5:$B$304,0))&amp;"",""))</f>
        <v/>
      </c>
      <c r="O549" s="21">
        <f>IF(C549="","",IFERROR(INDEX(الإعدادات!$D$7:$D$35,MATCH(C549,الإعدادات!$A$7:$A$35,0))&amp;"",""))</f>
        <v/>
      </c>
      <c r="P549" s="20">
        <f>IF(A549="","",INDEX(الإعدادات!$H$7:$H$18,MONTH(A549)))</f>
        <v/>
      </c>
      <c r="Q549" s="20">
        <f>IF(A549="","",INDEX(الإعدادات!$I$7:$I$18,MONTH(A549)))</f>
        <v/>
      </c>
      <c r="R549" s="20">
        <f>IF(A549="","",IF(MONTH(A549)&gt;=8,YEAR(A549)&amp;"-"&amp;(YEAR(A549)+1),(YEAR(A549)-1)&amp;"-"&amp;YEAR(A549)))</f>
        <v/>
      </c>
      <c r="S549" s="20">
        <f>IF(OR(A549="",B549=""),0,IF(AND(R549=التقارير!$C$4,OR(التقارير!$C$5="سنوي",AND(التقارير!$C$5="شهري",P549=التقارير!$C$6),AND(التقارير!$C$5="فصلي",Q549=التقارير!$C$7))),1,0))</f>
        <v/>
      </c>
      <c r="T549" s="20">
        <f>IF(S549=1,COUNTIF($S$5:S549,1),"")</f>
        <v/>
      </c>
      <c r="U549">
        <f>IF(AND($A549&lt;&gt;"",$B549&lt;&gt;"",$R549='تقرير الفصل الأول'!$C$4,$Q549='تقرير الفصل الأول'!$C$7),COUNT(U$4:U548)+1,"")</f>
        <v/>
      </c>
      <c r="V549">
        <f>IF(AND($A549&lt;&gt;"",$B549&lt;&gt;"",$R549='تقرير الفصل الثاني'!$C$4,$Q549='تقرير الفصل الثاني'!$C$7),COUNT(V$4:V548)+1,"")</f>
        <v/>
      </c>
      <c r="W549">
        <f>IF(AND($A549&lt;&gt;"",$B549&lt;&gt;"",$R549='تقرير سبتمبر'!$C$4,$P549='تقرير سبتمبر'!$C$6),COUNT(W$4:W548)+1,"")</f>
        <v/>
      </c>
      <c r="X549">
        <f>IF(AND($A549&lt;&gt;"",$B549&lt;&gt;"",$R549='تقرير أكتوبر'!$C$4,$P549='تقرير أكتوبر'!$C$6),COUNT(X$4:X548)+1,"")</f>
        <v/>
      </c>
      <c r="Y549">
        <f>IF(AND($A549&lt;&gt;"",$B549&lt;&gt;"",$R549='تقرير نوفمبر'!$C$4,$P549='تقرير نوفمبر'!$C$6),COUNT(Y$4:Y548)+1,"")</f>
        <v/>
      </c>
      <c r="Z549">
        <f>IF(AND($A549&lt;&gt;"",$B549&lt;&gt;"",$R549='تقرير ديسمبر'!$C$4,$P549='تقرير ديسمبر'!$C$6),COUNT(Z$4:Z548)+1,"")</f>
        <v/>
      </c>
      <c r="AA549">
        <f>IF(AND($A549&lt;&gt;"",$B549&lt;&gt;"",$R549='تقرير يناير'!$C$4,$P549='تقرير يناير'!$C$6),COUNT(AA$4:AA548)+1,"")</f>
        <v/>
      </c>
      <c r="AB549">
        <f>IF(AND($A549&lt;&gt;"",$B549&lt;&gt;"",$R549='تقرير فبراير'!$C$4,$P549='تقرير فبراير'!$C$6),COUNT(AB$4:AB548)+1,"")</f>
        <v/>
      </c>
      <c r="AC549">
        <f>IF(AND($A549&lt;&gt;"",$B549&lt;&gt;"",$R549='تقرير مارس'!$C$4,$P549='تقرير مارس'!$C$6),COUNT(AC$4:AC548)+1,"")</f>
        <v/>
      </c>
      <c r="AD549">
        <f>IF(AND($A549&lt;&gt;"",$B549&lt;&gt;"",$R549='تقرير أبريل'!$C$4,$P549='تقرير أبريل'!$C$6),COUNT(AD$4:AD548)+1,"")</f>
        <v/>
      </c>
      <c r="AE549">
        <f>IF(AND($A549&lt;&gt;"",$B549&lt;&gt;"",$R549='تقرير مايو'!$C$4,$P549='تقرير مايو'!$C$6),COUNT(AE$4:AE548)+1,"")</f>
        <v/>
      </c>
    </row>
    <row r="550">
      <c r="A550" s="16" t="n"/>
      <c r="B550" s="17" t="n"/>
      <c r="C550" s="17" t="n"/>
      <c r="D550" s="18" t="n"/>
      <c r="E550" s="17" t="n"/>
      <c r="F550" s="17" t="n"/>
      <c r="G550" s="19" t="n"/>
      <c r="H550" s="17" t="n"/>
      <c r="I550" s="17" t="n"/>
      <c r="J550" s="17" t="n"/>
      <c r="K550" s="20">
        <f>IF($B550="","",IFERROR(INDEX(الموظفات!$A$5:$A$304,MATCH($B550,الموظفات!$B$5:$B$304,0))&amp;"",""))</f>
        <v/>
      </c>
      <c r="L550" s="21">
        <f>IF($B550="","",IFERROR(INDEX(الموظفات!$C$5:$C$304,MATCH($B550,الموظفات!$B$5:$B$304,0))&amp;"",""))</f>
        <v/>
      </c>
      <c r="M550" s="20">
        <f>IF($B550="","",IFERROR(INDEX(الموظفات!$D$5:$D$304,MATCH($B550,الموظفات!$B$5:$B$304,0))&amp;"",""))</f>
        <v/>
      </c>
      <c r="N550" s="20">
        <f>IF($B550="","",IFERROR(INDEX(الموظفات!$E$5:$E$304,MATCH($B550,الموظفات!$B$5:$B$304,0))&amp;"",""))</f>
        <v/>
      </c>
      <c r="O550" s="21">
        <f>IF(C550="","",IFERROR(INDEX(الإعدادات!$D$7:$D$35,MATCH(C550,الإعدادات!$A$7:$A$35,0))&amp;"",""))</f>
        <v/>
      </c>
      <c r="P550" s="20">
        <f>IF(A550="","",INDEX(الإعدادات!$H$7:$H$18,MONTH(A550)))</f>
        <v/>
      </c>
      <c r="Q550" s="20">
        <f>IF(A550="","",INDEX(الإعدادات!$I$7:$I$18,MONTH(A550)))</f>
        <v/>
      </c>
      <c r="R550" s="20">
        <f>IF(A550="","",IF(MONTH(A550)&gt;=8,YEAR(A550)&amp;"-"&amp;(YEAR(A550)+1),(YEAR(A550)-1)&amp;"-"&amp;YEAR(A550)))</f>
        <v/>
      </c>
      <c r="S550" s="20">
        <f>IF(OR(A550="",B550=""),0,IF(AND(R550=التقارير!$C$4,OR(التقارير!$C$5="سنوي",AND(التقارير!$C$5="شهري",P550=التقارير!$C$6),AND(التقارير!$C$5="فصلي",Q550=التقارير!$C$7))),1,0))</f>
        <v/>
      </c>
      <c r="T550" s="20">
        <f>IF(S550=1,COUNTIF($S$5:S550,1),"")</f>
        <v/>
      </c>
      <c r="U550">
        <f>IF(AND($A550&lt;&gt;"",$B550&lt;&gt;"",$R550='تقرير الفصل الأول'!$C$4,$Q550='تقرير الفصل الأول'!$C$7),COUNT(U$4:U549)+1,"")</f>
        <v/>
      </c>
      <c r="V550">
        <f>IF(AND($A550&lt;&gt;"",$B550&lt;&gt;"",$R550='تقرير الفصل الثاني'!$C$4,$Q550='تقرير الفصل الثاني'!$C$7),COUNT(V$4:V549)+1,"")</f>
        <v/>
      </c>
      <c r="W550">
        <f>IF(AND($A550&lt;&gt;"",$B550&lt;&gt;"",$R550='تقرير سبتمبر'!$C$4,$P550='تقرير سبتمبر'!$C$6),COUNT(W$4:W549)+1,"")</f>
        <v/>
      </c>
      <c r="X550">
        <f>IF(AND($A550&lt;&gt;"",$B550&lt;&gt;"",$R550='تقرير أكتوبر'!$C$4,$P550='تقرير أكتوبر'!$C$6),COUNT(X$4:X549)+1,"")</f>
        <v/>
      </c>
      <c r="Y550">
        <f>IF(AND($A550&lt;&gt;"",$B550&lt;&gt;"",$R550='تقرير نوفمبر'!$C$4,$P550='تقرير نوفمبر'!$C$6),COUNT(Y$4:Y549)+1,"")</f>
        <v/>
      </c>
      <c r="Z550">
        <f>IF(AND($A550&lt;&gt;"",$B550&lt;&gt;"",$R550='تقرير ديسمبر'!$C$4,$P550='تقرير ديسمبر'!$C$6),COUNT(Z$4:Z549)+1,"")</f>
        <v/>
      </c>
      <c r="AA550">
        <f>IF(AND($A550&lt;&gt;"",$B550&lt;&gt;"",$R550='تقرير يناير'!$C$4,$P550='تقرير يناير'!$C$6),COUNT(AA$4:AA549)+1,"")</f>
        <v/>
      </c>
      <c r="AB550">
        <f>IF(AND($A550&lt;&gt;"",$B550&lt;&gt;"",$R550='تقرير فبراير'!$C$4,$P550='تقرير فبراير'!$C$6),COUNT(AB$4:AB549)+1,"")</f>
        <v/>
      </c>
      <c r="AC550">
        <f>IF(AND($A550&lt;&gt;"",$B550&lt;&gt;"",$R550='تقرير مارس'!$C$4,$P550='تقرير مارس'!$C$6),COUNT(AC$4:AC549)+1,"")</f>
        <v/>
      </c>
      <c r="AD550">
        <f>IF(AND($A550&lt;&gt;"",$B550&lt;&gt;"",$R550='تقرير أبريل'!$C$4,$P550='تقرير أبريل'!$C$6),COUNT(AD$4:AD549)+1,"")</f>
        <v/>
      </c>
      <c r="AE550">
        <f>IF(AND($A550&lt;&gt;"",$B550&lt;&gt;"",$R550='تقرير مايو'!$C$4,$P550='تقرير مايو'!$C$6),COUNT(AE$4:AE549)+1,"")</f>
        <v/>
      </c>
    </row>
    <row r="551">
      <c r="A551" s="16" t="n"/>
      <c r="B551" s="17" t="n"/>
      <c r="C551" s="17" t="n"/>
      <c r="D551" s="18" t="n"/>
      <c r="E551" s="17" t="n"/>
      <c r="F551" s="17" t="n"/>
      <c r="G551" s="19" t="n"/>
      <c r="H551" s="17" t="n"/>
      <c r="I551" s="17" t="n"/>
      <c r="J551" s="17" t="n"/>
      <c r="K551" s="20">
        <f>IF($B551="","",IFERROR(INDEX(الموظفات!$A$5:$A$304,MATCH($B551,الموظفات!$B$5:$B$304,0))&amp;"",""))</f>
        <v/>
      </c>
      <c r="L551" s="21">
        <f>IF($B551="","",IFERROR(INDEX(الموظفات!$C$5:$C$304,MATCH($B551,الموظفات!$B$5:$B$304,0))&amp;"",""))</f>
        <v/>
      </c>
      <c r="M551" s="20">
        <f>IF($B551="","",IFERROR(INDEX(الموظفات!$D$5:$D$304,MATCH($B551,الموظفات!$B$5:$B$304,0))&amp;"",""))</f>
        <v/>
      </c>
      <c r="N551" s="20">
        <f>IF($B551="","",IFERROR(INDEX(الموظفات!$E$5:$E$304,MATCH($B551,الموظفات!$B$5:$B$304,0))&amp;"",""))</f>
        <v/>
      </c>
      <c r="O551" s="21">
        <f>IF(C551="","",IFERROR(INDEX(الإعدادات!$D$7:$D$35,MATCH(C551,الإعدادات!$A$7:$A$35,0))&amp;"",""))</f>
        <v/>
      </c>
      <c r="P551" s="20">
        <f>IF(A551="","",INDEX(الإعدادات!$H$7:$H$18,MONTH(A551)))</f>
        <v/>
      </c>
      <c r="Q551" s="20">
        <f>IF(A551="","",INDEX(الإعدادات!$I$7:$I$18,MONTH(A551)))</f>
        <v/>
      </c>
      <c r="R551" s="20">
        <f>IF(A551="","",IF(MONTH(A551)&gt;=8,YEAR(A551)&amp;"-"&amp;(YEAR(A551)+1),(YEAR(A551)-1)&amp;"-"&amp;YEAR(A551)))</f>
        <v/>
      </c>
      <c r="S551" s="20">
        <f>IF(OR(A551="",B551=""),0,IF(AND(R551=التقارير!$C$4,OR(التقارير!$C$5="سنوي",AND(التقارير!$C$5="شهري",P551=التقارير!$C$6),AND(التقارير!$C$5="فصلي",Q551=التقارير!$C$7))),1,0))</f>
        <v/>
      </c>
      <c r="T551" s="20">
        <f>IF(S551=1,COUNTIF($S$5:S551,1),"")</f>
        <v/>
      </c>
      <c r="U551">
        <f>IF(AND($A551&lt;&gt;"",$B551&lt;&gt;"",$R551='تقرير الفصل الأول'!$C$4,$Q551='تقرير الفصل الأول'!$C$7),COUNT(U$4:U550)+1,"")</f>
        <v/>
      </c>
      <c r="V551">
        <f>IF(AND($A551&lt;&gt;"",$B551&lt;&gt;"",$R551='تقرير الفصل الثاني'!$C$4,$Q551='تقرير الفصل الثاني'!$C$7),COUNT(V$4:V550)+1,"")</f>
        <v/>
      </c>
      <c r="W551">
        <f>IF(AND($A551&lt;&gt;"",$B551&lt;&gt;"",$R551='تقرير سبتمبر'!$C$4,$P551='تقرير سبتمبر'!$C$6),COUNT(W$4:W550)+1,"")</f>
        <v/>
      </c>
      <c r="X551">
        <f>IF(AND($A551&lt;&gt;"",$B551&lt;&gt;"",$R551='تقرير أكتوبر'!$C$4,$P551='تقرير أكتوبر'!$C$6),COUNT(X$4:X550)+1,"")</f>
        <v/>
      </c>
      <c r="Y551">
        <f>IF(AND($A551&lt;&gt;"",$B551&lt;&gt;"",$R551='تقرير نوفمبر'!$C$4,$P551='تقرير نوفمبر'!$C$6),COUNT(Y$4:Y550)+1,"")</f>
        <v/>
      </c>
      <c r="Z551">
        <f>IF(AND($A551&lt;&gt;"",$B551&lt;&gt;"",$R551='تقرير ديسمبر'!$C$4,$P551='تقرير ديسمبر'!$C$6),COUNT(Z$4:Z550)+1,"")</f>
        <v/>
      </c>
      <c r="AA551">
        <f>IF(AND($A551&lt;&gt;"",$B551&lt;&gt;"",$R551='تقرير يناير'!$C$4,$P551='تقرير يناير'!$C$6),COUNT(AA$4:AA550)+1,"")</f>
        <v/>
      </c>
      <c r="AB551">
        <f>IF(AND($A551&lt;&gt;"",$B551&lt;&gt;"",$R551='تقرير فبراير'!$C$4,$P551='تقرير فبراير'!$C$6),COUNT(AB$4:AB550)+1,"")</f>
        <v/>
      </c>
      <c r="AC551">
        <f>IF(AND($A551&lt;&gt;"",$B551&lt;&gt;"",$R551='تقرير مارس'!$C$4,$P551='تقرير مارس'!$C$6),COUNT(AC$4:AC550)+1,"")</f>
        <v/>
      </c>
      <c r="AD551">
        <f>IF(AND($A551&lt;&gt;"",$B551&lt;&gt;"",$R551='تقرير أبريل'!$C$4,$P551='تقرير أبريل'!$C$6),COUNT(AD$4:AD550)+1,"")</f>
        <v/>
      </c>
      <c r="AE551">
        <f>IF(AND($A551&lt;&gt;"",$B551&lt;&gt;"",$R551='تقرير مايو'!$C$4,$P551='تقرير مايو'!$C$6),COUNT(AE$4:AE550)+1,"")</f>
        <v/>
      </c>
    </row>
    <row r="552">
      <c r="A552" s="16" t="n"/>
      <c r="B552" s="17" t="n"/>
      <c r="C552" s="17" t="n"/>
      <c r="D552" s="18" t="n"/>
      <c r="E552" s="17" t="n"/>
      <c r="F552" s="17" t="n"/>
      <c r="G552" s="19" t="n"/>
      <c r="H552" s="17" t="n"/>
      <c r="I552" s="17" t="n"/>
      <c r="J552" s="17" t="n"/>
      <c r="K552" s="20">
        <f>IF($B552="","",IFERROR(INDEX(الموظفات!$A$5:$A$304,MATCH($B552,الموظفات!$B$5:$B$304,0))&amp;"",""))</f>
        <v/>
      </c>
      <c r="L552" s="21">
        <f>IF($B552="","",IFERROR(INDEX(الموظفات!$C$5:$C$304,MATCH($B552,الموظفات!$B$5:$B$304,0))&amp;"",""))</f>
        <v/>
      </c>
      <c r="M552" s="20">
        <f>IF($B552="","",IFERROR(INDEX(الموظفات!$D$5:$D$304,MATCH($B552,الموظفات!$B$5:$B$304,0))&amp;"",""))</f>
        <v/>
      </c>
      <c r="N552" s="20">
        <f>IF($B552="","",IFERROR(INDEX(الموظفات!$E$5:$E$304,MATCH($B552,الموظفات!$B$5:$B$304,0))&amp;"",""))</f>
        <v/>
      </c>
      <c r="O552" s="21">
        <f>IF(C552="","",IFERROR(INDEX(الإعدادات!$D$7:$D$35,MATCH(C552,الإعدادات!$A$7:$A$35,0))&amp;"",""))</f>
        <v/>
      </c>
      <c r="P552" s="20">
        <f>IF(A552="","",INDEX(الإعدادات!$H$7:$H$18,MONTH(A552)))</f>
        <v/>
      </c>
      <c r="Q552" s="20">
        <f>IF(A552="","",INDEX(الإعدادات!$I$7:$I$18,MONTH(A552)))</f>
        <v/>
      </c>
      <c r="R552" s="20">
        <f>IF(A552="","",IF(MONTH(A552)&gt;=8,YEAR(A552)&amp;"-"&amp;(YEAR(A552)+1),(YEAR(A552)-1)&amp;"-"&amp;YEAR(A552)))</f>
        <v/>
      </c>
      <c r="S552" s="20">
        <f>IF(OR(A552="",B552=""),0,IF(AND(R552=التقارير!$C$4,OR(التقارير!$C$5="سنوي",AND(التقارير!$C$5="شهري",P552=التقارير!$C$6),AND(التقارير!$C$5="فصلي",Q552=التقارير!$C$7))),1,0))</f>
        <v/>
      </c>
      <c r="T552" s="20">
        <f>IF(S552=1,COUNTIF($S$5:S552,1),"")</f>
        <v/>
      </c>
      <c r="U552">
        <f>IF(AND($A552&lt;&gt;"",$B552&lt;&gt;"",$R552='تقرير الفصل الأول'!$C$4,$Q552='تقرير الفصل الأول'!$C$7),COUNT(U$4:U551)+1,"")</f>
        <v/>
      </c>
      <c r="V552">
        <f>IF(AND($A552&lt;&gt;"",$B552&lt;&gt;"",$R552='تقرير الفصل الثاني'!$C$4,$Q552='تقرير الفصل الثاني'!$C$7),COUNT(V$4:V551)+1,"")</f>
        <v/>
      </c>
      <c r="W552">
        <f>IF(AND($A552&lt;&gt;"",$B552&lt;&gt;"",$R552='تقرير سبتمبر'!$C$4,$P552='تقرير سبتمبر'!$C$6),COUNT(W$4:W551)+1,"")</f>
        <v/>
      </c>
      <c r="X552">
        <f>IF(AND($A552&lt;&gt;"",$B552&lt;&gt;"",$R552='تقرير أكتوبر'!$C$4,$P552='تقرير أكتوبر'!$C$6),COUNT(X$4:X551)+1,"")</f>
        <v/>
      </c>
      <c r="Y552">
        <f>IF(AND($A552&lt;&gt;"",$B552&lt;&gt;"",$R552='تقرير نوفمبر'!$C$4,$P552='تقرير نوفمبر'!$C$6),COUNT(Y$4:Y551)+1,"")</f>
        <v/>
      </c>
      <c r="Z552">
        <f>IF(AND($A552&lt;&gt;"",$B552&lt;&gt;"",$R552='تقرير ديسمبر'!$C$4,$P552='تقرير ديسمبر'!$C$6),COUNT(Z$4:Z551)+1,"")</f>
        <v/>
      </c>
      <c r="AA552">
        <f>IF(AND($A552&lt;&gt;"",$B552&lt;&gt;"",$R552='تقرير يناير'!$C$4,$P552='تقرير يناير'!$C$6),COUNT(AA$4:AA551)+1,"")</f>
        <v/>
      </c>
      <c r="AB552">
        <f>IF(AND($A552&lt;&gt;"",$B552&lt;&gt;"",$R552='تقرير فبراير'!$C$4,$P552='تقرير فبراير'!$C$6),COUNT(AB$4:AB551)+1,"")</f>
        <v/>
      </c>
      <c r="AC552">
        <f>IF(AND($A552&lt;&gt;"",$B552&lt;&gt;"",$R552='تقرير مارس'!$C$4,$P552='تقرير مارس'!$C$6),COUNT(AC$4:AC551)+1,"")</f>
        <v/>
      </c>
      <c r="AD552">
        <f>IF(AND($A552&lt;&gt;"",$B552&lt;&gt;"",$R552='تقرير أبريل'!$C$4,$P552='تقرير أبريل'!$C$6),COUNT(AD$4:AD551)+1,"")</f>
        <v/>
      </c>
      <c r="AE552">
        <f>IF(AND($A552&lt;&gt;"",$B552&lt;&gt;"",$R552='تقرير مايو'!$C$4,$P552='تقرير مايو'!$C$6),COUNT(AE$4:AE551)+1,"")</f>
        <v/>
      </c>
    </row>
    <row r="553">
      <c r="A553" s="16" t="n"/>
      <c r="B553" s="17" t="n"/>
      <c r="C553" s="17" t="n"/>
      <c r="D553" s="18" t="n"/>
      <c r="E553" s="17" t="n"/>
      <c r="F553" s="17" t="n"/>
      <c r="G553" s="19" t="n"/>
      <c r="H553" s="17" t="n"/>
      <c r="I553" s="17" t="n"/>
      <c r="J553" s="17" t="n"/>
      <c r="K553" s="20">
        <f>IF($B553="","",IFERROR(INDEX(الموظفات!$A$5:$A$304,MATCH($B553,الموظفات!$B$5:$B$304,0))&amp;"",""))</f>
        <v/>
      </c>
      <c r="L553" s="21">
        <f>IF($B553="","",IFERROR(INDEX(الموظفات!$C$5:$C$304,MATCH($B553,الموظفات!$B$5:$B$304,0))&amp;"",""))</f>
        <v/>
      </c>
      <c r="M553" s="20">
        <f>IF($B553="","",IFERROR(INDEX(الموظفات!$D$5:$D$304,MATCH($B553,الموظفات!$B$5:$B$304,0))&amp;"",""))</f>
        <v/>
      </c>
      <c r="N553" s="20">
        <f>IF($B553="","",IFERROR(INDEX(الموظفات!$E$5:$E$304,MATCH($B553,الموظفات!$B$5:$B$304,0))&amp;"",""))</f>
        <v/>
      </c>
      <c r="O553" s="21">
        <f>IF(C553="","",IFERROR(INDEX(الإعدادات!$D$7:$D$35,MATCH(C553,الإعدادات!$A$7:$A$35,0))&amp;"",""))</f>
        <v/>
      </c>
      <c r="P553" s="20">
        <f>IF(A553="","",INDEX(الإعدادات!$H$7:$H$18,MONTH(A553)))</f>
        <v/>
      </c>
      <c r="Q553" s="20">
        <f>IF(A553="","",INDEX(الإعدادات!$I$7:$I$18,MONTH(A553)))</f>
        <v/>
      </c>
      <c r="R553" s="20">
        <f>IF(A553="","",IF(MONTH(A553)&gt;=8,YEAR(A553)&amp;"-"&amp;(YEAR(A553)+1),(YEAR(A553)-1)&amp;"-"&amp;YEAR(A553)))</f>
        <v/>
      </c>
      <c r="S553" s="20">
        <f>IF(OR(A553="",B553=""),0,IF(AND(R553=التقارير!$C$4,OR(التقارير!$C$5="سنوي",AND(التقارير!$C$5="شهري",P553=التقارير!$C$6),AND(التقارير!$C$5="فصلي",Q553=التقارير!$C$7))),1,0))</f>
        <v/>
      </c>
      <c r="T553" s="20">
        <f>IF(S553=1,COUNTIF($S$5:S553,1),"")</f>
        <v/>
      </c>
      <c r="U553">
        <f>IF(AND($A553&lt;&gt;"",$B553&lt;&gt;"",$R553='تقرير الفصل الأول'!$C$4,$Q553='تقرير الفصل الأول'!$C$7),COUNT(U$4:U552)+1,"")</f>
        <v/>
      </c>
      <c r="V553">
        <f>IF(AND($A553&lt;&gt;"",$B553&lt;&gt;"",$R553='تقرير الفصل الثاني'!$C$4,$Q553='تقرير الفصل الثاني'!$C$7),COUNT(V$4:V552)+1,"")</f>
        <v/>
      </c>
      <c r="W553">
        <f>IF(AND($A553&lt;&gt;"",$B553&lt;&gt;"",$R553='تقرير سبتمبر'!$C$4,$P553='تقرير سبتمبر'!$C$6),COUNT(W$4:W552)+1,"")</f>
        <v/>
      </c>
      <c r="X553">
        <f>IF(AND($A553&lt;&gt;"",$B553&lt;&gt;"",$R553='تقرير أكتوبر'!$C$4,$P553='تقرير أكتوبر'!$C$6),COUNT(X$4:X552)+1,"")</f>
        <v/>
      </c>
      <c r="Y553">
        <f>IF(AND($A553&lt;&gt;"",$B553&lt;&gt;"",$R553='تقرير نوفمبر'!$C$4,$P553='تقرير نوفمبر'!$C$6),COUNT(Y$4:Y552)+1,"")</f>
        <v/>
      </c>
      <c r="Z553">
        <f>IF(AND($A553&lt;&gt;"",$B553&lt;&gt;"",$R553='تقرير ديسمبر'!$C$4,$P553='تقرير ديسمبر'!$C$6),COUNT(Z$4:Z552)+1,"")</f>
        <v/>
      </c>
      <c r="AA553">
        <f>IF(AND($A553&lt;&gt;"",$B553&lt;&gt;"",$R553='تقرير يناير'!$C$4,$P553='تقرير يناير'!$C$6),COUNT(AA$4:AA552)+1,"")</f>
        <v/>
      </c>
      <c r="AB553">
        <f>IF(AND($A553&lt;&gt;"",$B553&lt;&gt;"",$R553='تقرير فبراير'!$C$4,$P553='تقرير فبراير'!$C$6),COUNT(AB$4:AB552)+1,"")</f>
        <v/>
      </c>
      <c r="AC553">
        <f>IF(AND($A553&lt;&gt;"",$B553&lt;&gt;"",$R553='تقرير مارس'!$C$4,$P553='تقرير مارس'!$C$6),COUNT(AC$4:AC552)+1,"")</f>
        <v/>
      </c>
      <c r="AD553">
        <f>IF(AND($A553&lt;&gt;"",$B553&lt;&gt;"",$R553='تقرير أبريل'!$C$4,$P553='تقرير أبريل'!$C$6),COUNT(AD$4:AD552)+1,"")</f>
        <v/>
      </c>
      <c r="AE553">
        <f>IF(AND($A553&lt;&gt;"",$B553&lt;&gt;"",$R553='تقرير مايو'!$C$4,$P553='تقرير مايو'!$C$6),COUNT(AE$4:AE552)+1,"")</f>
        <v/>
      </c>
    </row>
    <row r="554">
      <c r="A554" s="16" t="n"/>
      <c r="B554" s="17" t="n"/>
      <c r="C554" s="17" t="n"/>
      <c r="D554" s="18" t="n"/>
      <c r="E554" s="17" t="n"/>
      <c r="F554" s="17" t="n"/>
      <c r="G554" s="19" t="n"/>
      <c r="H554" s="17" t="n"/>
      <c r="I554" s="17" t="n"/>
      <c r="J554" s="17" t="n"/>
      <c r="K554" s="20">
        <f>IF($B554="","",IFERROR(INDEX(الموظفات!$A$5:$A$304,MATCH($B554,الموظفات!$B$5:$B$304,0))&amp;"",""))</f>
        <v/>
      </c>
      <c r="L554" s="21">
        <f>IF($B554="","",IFERROR(INDEX(الموظفات!$C$5:$C$304,MATCH($B554,الموظفات!$B$5:$B$304,0))&amp;"",""))</f>
        <v/>
      </c>
      <c r="M554" s="20">
        <f>IF($B554="","",IFERROR(INDEX(الموظفات!$D$5:$D$304,MATCH($B554,الموظفات!$B$5:$B$304,0))&amp;"",""))</f>
        <v/>
      </c>
      <c r="N554" s="20">
        <f>IF($B554="","",IFERROR(INDEX(الموظفات!$E$5:$E$304,MATCH($B554,الموظفات!$B$5:$B$304,0))&amp;"",""))</f>
        <v/>
      </c>
      <c r="O554" s="21">
        <f>IF(C554="","",IFERROR(INDEX(الإعدادات!$D$7:$D$35,MATCH(C554,الإعدادات!$A$7:$A$35,0))&amp;"",""))</f>
        <v/>
      </c>
      <c r="P554" s="20">
        <f>IF(A554="","",INDEX(الإعدادات!$H$7:$H$18,MONTH(A554)))</f>
        <v/>
      </c>
      <c r="Q554" s="20">
        <f>IF(A554="","",INDEX(الإعدادات!$I$7:$I$18,MONTH(A554)))</f>
        <v/>
      </c>
      <c r="R554" s="20">
        <f>IF(A554="","",IF(MONTH(A554)&gt;=8,YEAR(A554)&amp;"-"&amp;(YEAR(A554)+1),(YEAR(A554)-1)&amp;"-"&amp;YEAR(A554)))</f>
        <v/>
      </c>
      <c r="S554" s="20">
        <f>IF(OR(A554="",B554=""),0,IF(AND(R554=التقارير!$C$4,OR(التقارير!$C$5="سنوي",AND(التقارير!$C$5="شهري",P554=التقارير!$C$6),AND(التقارير!$C$5="فصلي",Q554=التقارير!$C$7))),1,0))</f>
        <v/>
      </c>
      <c r="T554" s="20">
        <f>IF(S554=1,COUNTIF($S$5:S554,1),"")</f>
        <v/>
      </c>
      <c r="U554">
        <f>IF(AND($A554&lt;&gt;"",$B554&lt;&gt;"",$R554='تقرير الفصل الأول'!$C$4,$Q554='تقرير الفصل الأول'!$C$7),COUNT(U$4:U553)+1,"")</f>
        <v/>
      </c>
      <c r="V554">
        <f>IF(AND($A554&lt;&gt;"",$B554&lt;&gt;"",$R554='تقرير الفصل الثاني'!$C$4,$Q554='تقرير الفصل الثاني'!$C$7),COUNT(V$4:V553)+1,"")</f>
        <v/>
      </c>
      <c r="W554">
        <f>IF(AND($A554&lt;&gt;"",$B554&lt;&gt;"",$R554='تقرير سبتمبر'!$C$4,$P554='تقرير سبتمبر'!$C$6),COUNT(W$4:W553)+1,"")</f>
        <v/>
      </c>
      <c r="X554">
        <f>IF(AND($A554&lt;&gt;"",$B554&lt;&gt;"",$R554='تقرير أكتوبر'!$C$4,$P554='تقرير أكتوبر'!$C$6),COUNT(X$4:X553)+1,"")</f>
        <v/>
      </c>
      <c r="Y554">
        <f>IF(AND($A554&lt;&gt;"",$B554&lt;&gt;"",$R554='تقرير نوفمبر'!$C$4,$P554='تقرير نوفمبر'!$C$6),COUNT(Y$4:Y553)+1,"")</f>
        <v/>
      </c>
      <c r="Z554">
        <f>IF(AND($A554&lt;&gt;"",$B554&lt;&gt;"",$R554='تقرير ديسمبر'!$C$4,$P554='تقرير ديسمبر'!$C$6),COUNT(Z$4:Z553)+1,"")</f>
        <v/>
      </c>
      <c r="AA554">
        <f>IF(AND($A554&lt;&gt;"",$B554&lt;&gt;"",$R554='تقرير يناير'!$C$4,$P554='تقرير يناير'!$C$6),COUNT(AA$4:AA553)+1,"")</f>
        <v/>
      </c>
      <c r="AB554">
        <f>IF(AND($A554&lt;&gt;"",$B554&lt;&gt;"",$R554='تقرير فبراير'!$C$4,$P554='تقرير فبراير'!$C$6),COUNT(AB$4:AB553)+1,"")</f>
        <v/>
      </c>
      <c r="AC554">
        <f>IF(AND($A554&lt;&gt;"",$B554&lt;&gt;"",$R554='تقرير مارس'!$C$4,$P554='تقرير مارس'!$C$6),COUNT(AC$4:AC553)+1,"")</f>
        <v/>
      </c>
      <c r="AD554">
        <f>IF(AND($A554&lt;&gt;"",$B554&lt;&gt;"",$R554='تقرير أبريل'!$C$4,$P554='تقرير أبريل'!$C$6),COUNT(AD$4:AD553)+1,"")</f>
        <v/>
      </c>
      <c r="AE554">
        <f>IF(AND($A554&lt;&gt;"",$B554&lt;&gt;"",$R554='تقرير مايو'!$C$4,$P554='تقرير مايو'!$C$6),COUNT(AE$4:AE553)+1,"")</f>
        <v/>
      </c>
    </row>
    <row r="555">
      <c r="A555" s="16" t="n"/>
      <c r="B555" s="17" t="n"/>
      <c r="C555" s="17" t="n"/>
      <c r="D555" s="18" t="n"/>
      <c r="E555" s="17" t="n"/>
      <c r="F555" s="17" t="n"/>
      <c r="G555" s="19" t="n"/>
      <c r="H555" s="17" t="n"/>
      <c r="I555" s="17" t="n"/>
      <c r="J555" s="17" t="n"/>
      <c r="K555" s="20">
        <f>IF($B555="","",IFERROR(INDEX(الموظفات!$A$5:$A$304,MATCH($B555,الموظفات!$B$5:$B$304,0))&amp;"",""))</f>
        <v/>
      </c>
      <c r="L555" s="21">
        <f>IF($B555="","",IFERROR(INDEX(الموظفات!$C$5:$C$304,MATCH($B555,الموظفات!$B$5:$B$304,0))&amp;"",""))</f>
        <v/>
      </c>
      <c r="M555" s="20">
        <f>IF($B555="","",IFERROR(INDEX(الموظفات!$D$5:$D$304,MATCH($B555,الموظفات!$B$5:$B$304,0))&amp;"",""))</f>
        <v/>
      </c>
      <c r="N555" s="20">
        <f>IF($B555="","",IFERROR(INDEX(الموظفات!$E$5:$E$304,MATCH($B555,الموظفات!$B$5:$B$304,0))&amp;"",""))</f>
        <v/>
      </c>
      <c r="O555" s="21">
        <f>IF(C555="","",IFERROR(INDEX(الإعدادات!$D$7:$D$35,MATCH(C555,الإعدادات!$A$7:$A$35,0))&amp;"",""))</f>
        <v/>
      </c>
      <c r="P555" s="20">
        <f>IF(A555="","",INDEX(الإعدادات!$H$7:$H$18,MONTH(A555)))</f>
        <v/>
      </c>
      <c r="Q555" s="20">
        <f>IF(A555="","",INDEX(الإعدادات!$I$7:$I$18,MONTH(A555)))</f>
        <v/>
      </c>
      <c r="R555" s="20">
        <f>IF(A555="","",IF(MONTH(A555)&gt;=8,YEAR(A555)&amp;"-"&amp;(YEAR(A555)+1),(YEAR(A555)-1)&amp;"-"&amp;YEAR(A555)))</f>
        <v/>
      </c>
      <c r="S555" s="20">
        <f>IF(OR(A555="",B555=""),0,IF(AND(R555=التقارير!$C$4,OR(التقارير!$C$5="سنوي",AND(التقارير!$C$5="شهري",P555=التقارير!$C$6),AND(التقارير!$C$5="فصلي",Q555=التقارير!$C$7))),1,0))</f>
        <v/>
      </c>
      <c r="T555" s="20">
        <f>IF(S555=1,COUNTIF($S$5:S555,1),"")</f>
        <v/>
      </c>
      <c r="U555">
        <f>IF(AND($A555&lt;&gt;"",$B555&lt;&gt;"",$R555='تقرير الفصل الأول'!$C$4,$Q555='تقرير الفصل الأول'!$C$7),COUNT(U$4:U554)+1,"")</f>
        <v/>
      </c>
      <c r="V555">
        <f>IF(AND($A555&lt;&gt;"",$B555&lt;&gt;"",$R555='تقرير الفصل الثاني'!$C$4,$Q555='تقرير الفصل الثاني'!$C$7),COUNT(V$4:V554)+1,"")</f>
        <v/>
      </c>
      <c r="W555">
        <f>IF(AND($A555&lt;&gt;"",$B555&lt;&gt;"",$R555='تقرير سبتمبر'!$C$4,$P555='تقرير سبتمبر'!$C$6),COUNT(W$4:W554)+1,"")</f>
        <v/>
      </c>
      <c r="X555">
        <f>IF(AND($A555&lt;&gt;"",$B555&lt;&gt;"",$R555='تقرير أكتوبر'!$C$4,$P555='تقرير أكتوبر'!$C$6),COUNT(X$4:X554)+1,"")</f>
        <v/>
      </c>
      <c r="Y555">
        <f>IF(AND($A555&lt;&gt;"",$B555&lt;&gt;"",$R555='تقرير نوفمبر'!$C$4,$P555='تقرير نوفمبر'!$C$6),COUNT(Y$4:Y554)+1,"")</f>
        <v/>
      </c>
      <c r="Z555">
        <f>IF(AND($A555&lt;&gt;"",$B555&lt;&gt;"",$R555='تقرير ديسمبر'!$C$4,$P555='تقرير ديسمبر'!$C$6),COUNT(Z$4:Z554)+1,"")</f>
        <v/>
      </c>
      <c r="AA555">
        <f>IF(AND($A555&lt;&gt;"",$B555&lt;&gt;"",$R555='تقرير يناير'!$C$4,$P555='تقرير يناير'!$C$6),COUNT(AA$4:AA554)+1,"")</f>
        <v/>
      </c>
      <c r="AB555">
        <f>IF(AND($A555&lt;&gt;"",$B555&lt;&gt;"",$R555='تقرير فبراير'!$C$4,$P555='تقرير فبراير'!$C$6),COUNT(AB$4:AB554)+1,"")</f>
        <v/>
      </c>
      <c r="AC555">
        <f>IF(AND($A555&lt;&gt;"",$B555&lt;&gt;"",$R555='تقرير مارس'!$C$4,$P555='تقرير مارس'!$C$6),COUNT(AC$4:AC554)+1,"")</f>
        <v/>
      </c>
      <c r="AD555">
        <f>IF(AND($A555&lt;&gt;"",$B555&lt;&gt;"",$R555='تقرير أبريل'!$C$4,$P555='تقرير أبريل'!$C$6),COUNT(AD$4:AD554)+1,"")</f>
        <v/>
      </c>
      <c r="AE555">
        <f>IF(AND($A555&lt;&gt;"",$B555&lt;&gt;"",$R555='تقرير مايو'!$C$4,$P555='تقرير مايو'!$C$6),COUNT(AE$4:AE554)+1,"")</f>
        <v/>
      </c>
    </row>
    <row r="556">
      <c r="A556" s="16" t="n"/>
      <c r="B556" s="17" t="n"/>
      <c r="C556" s="17" t="n"/>
      <c r="D556" s="18" t="n"/>
      <c r="E556" s="17" t="n"/>
      <c r="F556" s="17" t="n"/>
      <c r="G556" s="19" t="n"/>
      <c r="H556" s="17" t="n"/>
      <c r="I556" s="17" t="n"/>
      <c r="J556" s="17" t="n"/>
      <c r="K556" s="20">
        <f>IF($B556="","",IFERROR(INDEX(الموظفات!$A$5:$A$304,MATCH($B556,الموظفات!$B$5:$B$304,0))&amp;"",""))</f>
        <v/>
      </c>
      <c r="L556" s="21">
        <f>IF($B556="","",IFERROR(INDEX(الموظفات!$C$5:$C$304,MATCH($B556,الموظفات!$B$5:$B$304,0))&amp;"",""))</f>
        <v/>
      </c>
      <c r="M556" s="20">
        <f>IF($B556="","",IFERROR(INDEX(الموظفات!$D$5:$D$304,MATCH($B556,الموظفات!$B$5:$B$304,0))&amp;"",""))</f>
        <v/>
      </c>
      <c r="N556" s="20">
        <f>IF($B556="","",IFERROR(INDEX(الموظفات!$E$5:$E$304,MATCH($B556,الموظفات!$B$5:$B$304,0))&amp;"",""))</f>
        <v/>
      </c>
      <c r="O556" s="21">
        <f>IF(C556="","",IFERROR(INDEX(الإعدادات!$D$7:$D$35,MATCH(C556,الإعدادات!$A$7:$A$35,0))&amp;"",""))</f>
        <v/>
      </c>
      <c r="P556" s="20">
        <f>IF(A556="","",INDEX(الإعدادات!$H$7:$H$18,MONTH(A556)))</f>
        <v/>
      </c>
      <c r="Q556" s="20">
        <f>IF(A556="","",INDEX(الإعدادات!$I$7:$I$18,MONTH(A556)))</f>
        <v/>
      </c>
      <c r="R556" s="20">
        <f>IF(A556="","",IF(MONTH(A556)&gt;=8,YEAR(A556)&amp;"-"&amp;(YEAR(A556)+1),(YEAR(A556)-1)&amp;"-"&amp;YEAR(A556)))</f>
        <v/>
      </c>
      <c r="S556" s="20">
        <f>IF(OR(A556="",B556=""),0,IF(AND(R556=التقارير!$C$4,OR(التقارير!$C$5="سنوي",AND(التقارير!$C$5="شهري",P556=التقارير!$C$6),AND(التقارير!$C$5="فصلي",Q556=التقارير!$C$7))),1,0))</f>
        <v/>
      </c>
      <c r="T556" s="20">
        <f>IF(S556=1,COUNTIF($S$5:S556,1),"")</f>
        <v/>
      </c>
      <c r="U556">
        <f>IF(AND($A556&lt;&gt;"",$B556&lt;&gt;"",$R556='تقرير الفصل الأول'!$C$4,$Q556='تقرير الفصل الأول'!$C$7),COUNT(U$4:U555)+1,"")</f>
        <v/>
      </c>
      <c r="V556">
        <f>IF(AND($A556&lt;&gt;"",$B556&lt;&gt;"",$R556='تقرير الفصل الثاني'!$C$4,$Q556='تقرير الفصل الثاني'!$C$7),COUNT(V$4:V555)+1,"")</f>
        <v/>
      </c>
      <c r="W556">
        <f>IF(AND($A556&lt;&gt;"",$B556&lt;&gt;"",$R556='تقرير سبتمبر'!$C$4,$P556='تقرير سبتمبر'!$C$6),COUNT(W$4:W555)+1,"")</f>
        <v/>
      </c>
      <c r="X556">
        <f>IF(AND($A556&lt;&gt;"",$B556&lt;&gt;"",$R556='تقرير أكتوبر'!$C$4,$P556='تقرير أكتوبر'!$C$6),COUNT(X$4:X555)+1,"")</f>
        <v/>
      </c>
      <c r="Y556">
        <f>IF(AND($A556&lt;&gt;"",$B556&lt;&gt;"",$R556='تقرير نوفمبر'!$C$4,$P556='تقرير نوفمبر'!$C$6),COUNT(Y$4:Y555)+1,"")</f>
        <v/>
      </c>
      <c r="Z556">
        <f>IF(AND($A556&lt;&gt;"",$B556&lt;&gt;"",$R556='تقرير ديسمبر'!$C$4,$P556='تقرير ديسمبر'!$C$6),COUNT(Z$4:Z555)+1,"")</f>
        <v/>
      </c>
      <c r="AA556">
        <f>IF(AND($A556&lt;&gt;"",$B556&lt;&gt;"",$R556='تقرير يناير'!$C$4,$P556='تقرير يناير'!$C$6),COUNT(AA$4:AA555)+1,"")</f>
        <v/>
      </c>
      <c r="AB556">
        <f>IF(AND($A556&lt;&gt;"",$B556&lt;&gt;"",$R556='تقرير فبراير'!$C$4,$P556='تقرير فبراير'!$C$6),COUNT(AB$4:AB555)+1,"")</f>
        <v/>
      </c>
      <c r="AC556">
        <f>IF(AND($A556&lt;&gt;"",$B556&lt;&gt;"",$R556='تقرير مارس'!$C$4,$P556='تقرير مارس'!$C$6),COUNT(AC$4:AC555)+1,"")</f>
        <v/>
      </c>
      <c r="AD556">
        <f>IF(AND($A556&lt;&gt;"",$B556&lt;&gt;"",$R556='تقرير أبريل'!$C$4,$P556='تقرير أبريل'!$C$6),COUNT(AD$4:AD555)+1,"")</f>
        <v/>
      </c>
      <c r="AE556">
        <f>IF(AND($A556&lt;&gt;"",$B556&lt;&gt;"",$R556='تقرير مايو'!$C$4,$P556='تقرير مايو'!$C$6),COUNT(AE$4:AE555)+1,"")</f>
        <v/>
      </c>
    </row>
    <row r="557">
      <c r="A557" s="16" t="n"/>
      <c r="B557" s="17" t="n"/>
      <c r="C557" s="17" t="n"/>
      <c r="D557" s="18" t="n"/>
      <c r="E557" s="17" t="n"/>
      <c r="F557" s="17" t="n"/>
      <c r="G557" s="19" t="n"/>
      <c r="H557" s="17" t="n"/>
      <c r="I557" s="17" t="n"/>
      <c r="J557" s="17" t="n"/>
      <c r="K557" s="20">
        <f>IF($B557="","",IFERROR(INDEX(الموظفات!$A$5:$A$304,MATCH($B557,الموظفات!$B$5:$B$304,0))&amp;"",""))</f>
        <v/>
      </c>
      <c r="L557" s="21">
        <f>IF($B557="","",IFERROR(INDEX(الموظفات!$C$5:$C$304,MATCH($B557,الموظفات!$B$5:$B$304,0))&amp;"",""))</f>
        <v/>
      </c>
      <c r="M557" s="20">
        <f>IF($B557="","",IFERROR(INDEX(الموظفات!$D$5:$D$304,MATCH($B557,الموظفات!$B$5:$B$304,0))&amp;"",""))</f>
        <v/>
      </c>
      <c r="N557" s="20">
        <f>IF($B557="","",IFERROR(INDEX(الموظفات!$E$5:$E$304,MATCH($B557,الموظفات!$B$5:$B$304,0))&amp;"",""))</f>
        <v/>
      </c>
      <c r="O557" s="21">
        <f>IF(C557="","",IFERROR(INDEX(الإعدادات!$D$7:$D$35,MATCH(C557,الإعدادات!$A$7:$A$35,0))&amp;"",""))</f>
        <v/>
      </c>
      <c r="P557" s="20">
        <f>IF(A557="","",INDEX(الإعدادات!$H$7:$H$18,MONTH(A557)))</f>
        <v/>
      </c>
      <c r="Q557" s="20">
        <f>IF(A557="","",INDEX(الإعدادات!$I$7:$I$18,MONTH(A557)))</f>
        <v/>
      </c>
      <c r="R557" s="20">
        <f>IF(A557="","",IF(MONTH(A557)&gt;=8,YEAR(A557)&amp;"-"&amp;(YEAR(A557)+1),(YEAR(A557)-1)&amp;"-"&amp;YEAR(A557)))</f>
        <v/>
      </c>
      <c r="S557" s="20">
        <f>IF(OR(A557="",B557=""),0,IF(AND(R557=التقارير!$C$4,OR(التقارير!$C$5="سنوي",AND(التقارير!$C$5="شهري",P557=التقارير!$C$6),AND(التقارير!$C$5="فصلي",Q557=التقارير!$C$7))),1,0))</f>
        <v/>
      </c>
      <c r="T557" s="20">
        <f>IF(S557=1,COUNTIF($S$5:S557,1),"")</f>
        <v/>
      </c>
      <c r="U557">
        <f>IF(AND($A557&lt;&gt;"",$B557&lt;&gt;"",$R557='تقرير الفصل الأول'!$C$4,$Q557='تقرير الفصل الأول'!$C$7),COUNT(U$4:U556)+1,"")</f>
        <v/>
      </c>
      <c r="V557">
        <f>IF(AND($A557&lt;&gt;"",$B557&lt;&gt;"",$R557='تقرير الفصل الثاني'!$C$4,$Q557='تقرير الفصل الثاني'!$C$7),COUNT(V$4:V556)+1,"")</f>
        <v/>
      </c>
      <c r="W557">
        <f>IF(AND($A557&lt;&gt;"",$B557&lt;&gt;"",$R557='تقرير سبتمبر'!$C$4,$P557='تقرير سبتمبر'!$C$6),COUNT(W$4:W556)+1,"")</f>
        <v/>
      </c>
      <c r="X557">
        <f>IF(AND($A557&lt;&gt;"",$B557&lt;&gt;"",$R557='تقرير أكتوبر'!$C$4,$P557='تقرير أكتوبر'!$C$6),COUNT(X$4:X556)+1,"")</f>
        <v/>
      </c>
      <c r="Y557">
        <f>IF(AND($A557&lt;&gt;"",$B557&lt;&gt;"",$R557='تقرير نوفمبر'!$C$4,$P557='تقرير نوفمبر'!$C$6),COUNT(Y$4:Y556)+1,"")</f>
        <v/>
      </c>
      <c r="Z557">
        <f>IF(AND($A557&lt;&gt;"",$B557&lt;&gt;"",$R557='تقرير ديسمبر'!$C$4,$P557='تقرير ديسمبر'!$C$6),COUNT(Z$4:Z556)+1,"")</f>
        <v/>
      </c>
      <c r="AA557">
        <f>IF(AND($A557&lt;&gt;"",$B557&lt;&gt;"",$R557='تقرير يناير'!$C$4,$P557='تقرير يناير'!$C$6),COUNT(AA$4:AA556)+1,"")</f>
        <v/>
      </c>
      <c r="AB557">
        <f>IF(AND($A557&lt;&gt;"",$B557&lt;&gt;"",$R557='تقرير فبراير'!$C$4,$P557='تقرير فبراير'!$C$6),COUNT(AB$4:AB556)+1,"")</f>
        <v/>
      </c>
      <c r="AC557">
        <f>IF(AND($A557&lt;&gt;"",$B557&lt;&gt;"",$R557='تقرير مارس'!$C$4,$P557='تقرير مارس'!$C$6),COUNT(AC$4:AC556)+1,"")</f>
        <v/>
      </c>
      <c r="AD557">
        <f>IF(AND($A557&lt;&gt;"",$B557&lt;&gt;"",$R557='تقرير أبريل'!$C$4,$P557='تقرير أبريل'!$C$6),COUNT(AD$4:AD556)+1,"")</f>
        <v/>
      </c>
      <c r="AE557">
        <f>IF(AND($A557&lt;&gt;"",$B557&lt;&gt;"",$R557='تقرير مايو'!$C$4,$P557='تقرير مايو'!$C$6),COUNT(AE$4:AE556)+1,"")</f>
        <v/>
      </c>
    </row>
    <row r="558">
      <c r="A558" s="16" t="n"/>
      <c r="B558" s="17" t="n"/>
      <c r="C558" s="17" t="n"/>
      <c r="D558" s="18" t="n"/>
      <c r="E558" s="17" t="n"/>
      <c r="F558" s="17" t="n"/>
      <c r="G558" s="19" t="n"/>
      <c r="H558" s="17" t="n"/>
      <c r="I558" s="17" t="n"/>
      <c r="J558" s="17" t="n"/>
      <c r="K558" s="20">
        <f>IF($B558="","",IFERROR(INDEX(الموظفات!$A$5:$A$304,MATCH($B558,الموظفات!$B$5:$B$304,0))&amp;"",""))</f>
        <v/>
      </c>
      <c r="L558" s="21">
        <f>IF($B558="","",IFERROR(INDEX(الموظفات!$C$5:$C$304,MATCH($B558,الموظفات!$B$5:$B$304,0))&amp;"",""))</f>
        <v/>
      </c>
      <c r="M558" s="20">
        <f>IF($B558="","",IFERROR(INDEX(الموظفات!$D$5:$D$304,MATCH($B558,الموظفات!$B$5:$B$304,0))&amp;"",""))</f>
        <v/>
      </c>
      <c r="N558" s="20">
        <f>IF($B558="","",IFERROR(INDEX(الموظفات!$E$5:$E$304,MATCH($B558,الموظفات!$B$5:$B$304,0))&amp;"",""))</f>
        <v/>
      </c>
      <c r="O558" s="21">
        <f>IF(C558="","",IFERROR(INDEX(الإعدادات!$D$7:$D$35,MATCH(C558,الإعدادات!$A$7:$A$35,0))&amp;"",""))</f>
        <v/>
      </c>
      <c r="P558" s="20">
        <f>IF(A558="","",INDEX(الإعدادات!$H$7:$H$18,MONTH(A558)))</f>
        <v/>
      </c>
      <c r="Q558" s="20">
        <f>IF(A558="","",INDEX(الإعدادات!$I$7:$I$18,MONTH(A558)))</f>
        <v/>
      </c>
      <c r="R558" s="20">
        <f>IF(A558="","",IF(MONTH(A558)&gt;=8,YEAR(A558)&amp;"-"&amp;(YEAR(A558)+1),(YEAR(A558)-1)&amp;"-"&amp;YEAR(A558)))</f>
        <v/>
      </c>
      <c r="S558" s="20">
        <f>IF(OR(A558="",B558=""),0,IF(AND(R558=التقارير!$C$4,OR(التقارير!$C$5="سنوي",AND(التقارير!$C$5="شهري",P558=التقارير!$C$6),AND(التقارير!$C$5="فصلي",Q558=التقارير!$C$7))),1,0))</f>
        <v/>
      </c>
      <c r="T558" s="20">
        <f>IF(S558=1,COUNTIF($S$5:S558,1),"")</f>
        <v/>
      </c>
      <c r="U558">
        <f>IF(AND($A558&lt;&gt;"",$B558&lt;&gt;"",$R558='تقرير الفصل الأول'!$C$4,$Q558='تقرير الفصل الأول'!$C$7),COUNT(U$4:U557)+1,"")</f>
        <v/>
      </c>
      <c r="V558">
        <f>IF(AND($A558&lt;&gt;"",$B558&lt;&gt;"",$R558='تقرير الفصل الثاني'!$C$4,$Q558='تقرير الفصل الثاني'!$C$7),COUNT(V$4:V557)+1,"")</f>
        <v/>
      </c>
      <c r="W558">
        <f>IF(AND($A558&lt;&gt;"",$B558&lt;&gt;"",$R558='تقرير سبتمبر'!$C$4,$P558='تقرير سبتمبر'!$C$6),COUNT(W$4:W557)+1,"")</f>
        <v/>
      </c>
      <c r="X558">
        <f>IF(AND($A558&lt;&gt;"",$B558&lt;&gt;"",$R558='تقرير أكتوبر'!$C$4,$P558='تقرير أكتوبر'!$C$6),COUNT(X$4:X557)+1,"")</f>
        <v/>
      </c>
      <c r="Y558">
        <f>IF(AND($A558&lt;&gt;"",$B558&lt;&gt;"",$R558='تقرير نوفمبر'!$C$4,$P558='تقرير نوفمبر'!$C$6),COUNT(Y$4:Y557)+1,"")</f>
        <v/>
      </c>
      <c r="Z558">
        <f>IF(AND($A558&lt;&gt;"",$B558&lt;&gt;"",$R558='تقرير ديسمبر'!$C$4,$P558='تقرير ديسمبر'!$C$6),COUNT(Z$4:Z557)+1,"")</f>
        <v/>
      </c>
      <c r="AA558">
        <f>IF(AND($A558&lt;&gt;"",$B558&lt;&gt;"",$R558='تقرير يناير'!$C$4,$P558='تقرير يناير'!$C$6),COUNT(AA$4:AA557)+1,"")</f>
        <v/>
      </c>
      <c r="AB558">
        <f>IF(AND($A558&lt;&gt;"",$B558&lt;&gt;"",$R558='تقرير فبراير'!$C$4,$P558='تقرير فبراير'!$C$6),COUNT(AB$4:AB557)+1,"")</f>
        <v/>
      </c>
      <c r="AC558">
        <f>IF(AND($A558&lt;&gt;"",$B558&lt;&gt;"",$R558='تقرير مارس'!$C$4,$P558='تقرير مارس'!$C$6),COUNT(AC$4:AC557)+1,"")</f>
        <v/>
      </c>
      <c r="AD558">
        <f>IF(AND($A558&lt;&gt;"",$B558&lt;&gt;"",$R558='تقرير أبريل'!$C$4,$P558='تقرير أبريل'!$C$6),COUNT(AD$4:AD557)+1,"")</f>
        <v/>
      </c>
      <c r="AE558">
        <f>IF(AND($A558&lt;&gt;"",$B558&lt;&gt;"",$R558='تقرير مايو'!$C$4,$P558='تقرير مايو'!$C$6),COUNT(AE$4:AE557)+1,"")</f>
        <v/>
      </c>
    </row>
    <row r="559">
      <c r="A559" s="16" t="n"/>
      <c r="B559" s="17" t="n"/>
      <c r="C559" s="17" t="n"/>
      <c r="D559" s="18" t="n"/>
      <c r="E559" s="17" t="n"/>
      <c r="F559" s="17" t="n"/>
      <c r="G559" s="19" t="n"/>
      <c r="H559" s="17" t="n"/>
      <c r="I559" s="17" t="n"/>
      <c r="J559" s="17" t="n"/>
      <c r="K559" s="20">
        <f>IF($B559="","",IFERROR(INDEX(الموظفات!$A$5:$A$304,MATCH($B559,الموظفات!$B$5:$B$304,0))&amp;"",""))</f>
        <v/>
      </c>
      <c r="L559" s="21">
        <f>IF($B559="","",IFERROR(INDEX(الموظفات!$C$5:$C$304,MATCH($B559,الموظفات!$B$5:$B$304,0))&amp;"",""))</f>
        <v/>
      </c>
      <c r="M559" s="20">
        <f>IF($B559="","",IFERROR(INDEX(الموظفات!$D$5:$D$304,MATCH($B559,الموظفات!$B$5:$B$304,0))&amp;"",""))</f>
        <v/>
      </c>
      <c r="N559" s="20">
        <f>IF($B559="","",IFERROR(INDEX(الموظفات!$E$5:$E$304,MATCH($B559,الموظفات!$B$5:$B$304,0))&amp;"",""))</f>
        <v/>
      </c>
      <c r="O559" s="21">
        <f>IF(C559="","",IFERROR(INDEX(الإعدادات!$D$7:$D$35,MATCH(C559,الإعدادات!$A$7:$A$35,0))&amp;"",""))</f>
        <v/>
      </c>
      <c r="P559" s="20">
        <f>IF(A559="","",INDEX(الإعدادات!$H$7:$H$18,MONTH(A559)))</f>
        <v/>
      </c>
      <c r="Q559" s="20">
        <f>IF(A559="","",INDEX(الإعدادات!$I$7:$I$18,MONTH(A559)))</f>
        <v/>
      </c>
      <c r="R559" s="20">
        <f>IF(A559="","",IF(MONTH(A559)&gt;=8,YEAR(A559)&amp;"-"&amp;(YEAR(A559)+1),(YEAR(A559)-1)&amp;"-"&amp;YEAR(A559)))</f>
        <v/>
      </c>
      <c r="S559" s="20">
        <f>IF(OR(A559="",B559=""),0,IF(AND(R559=التقارير!$C$4,OR(التقارير!$C$5="سنوي",AND(التقارير!$C$5="شهري",P559=التقارير!$C$6),AND(التقارير!$C$5="فصلي",Q559=التقارير!$C$7))),1,0))</f>
        <v/>
      </c>
      <c r="T559" s="20">
        <f>IF(S559=1,COUNTIF($S$5:S559,1),"")</f>
        <v/>
      </c>
      <c r="U559">
        <f>IF(AND($A559&lt;&gt;"",$B559&lt;&gt;"",$R559='تقرير الفصل الأول'!$C$4,$Q559='تقرير الفصل الأول'!$C$7),COUNT(U$4:U558)+1,"")</f>
        <v/>
      </c>
      <c r="V559">
        <f>IF(AND($A559&lt;&gt;"",$B559&lt;&gt;"",$R559='تقرير الفصل الثاني'!$C$4,$Q559='تقرير الفصل الثاني'!$C$7),COUNT(V$4:V558)+1,"")</f>
        <v/>
      </c>
      <c r="W559">
        <f>IF(AND($A559&lt;&gt;"",$B559&lt;&gt;"",$R559='تقرير سبتمبر'!$C$4,$P559='تقرير سبتمبر'!$C$6),COUNT(W$4:W558)+1,"")</f>
        <v/>
      </c>
      <c r="X559">
        <f>IF(AND($A559&lt;&gt;"",$B559&lt;&gt;"",$R559='تقرير أكتوبر'!$C$4,$P559='تقرير أكتوبر'!$C$6),COUNT(X$4:X558)+1,"")</f>
        <v/>
      </c>
      <c r="Y559">
        <f>IF(AND($A559&lt;&gt;"",$B559&lt;&gt;"",$R559='تقرير نوفمبر'!$C$4,$P559='تقرير نوفمبر'!$C$6),COUNT(Y$4:Y558)+1,"")</f>
        <v/>
      </c>
      <c r="Z559">
        <f>IF(AND($A559&lt;&gt;"",$B559&lt;&gt;"",$R559='تقرير ديسمبر'!$C$4,$P559='تقرير ديسمبر'!$C$6),COUNT(Z$4:Z558)+1,"")</f>
        <v/>
      </c>
      <c r="AA559">
        <f>IF(AND($A559&lt;&gt;"",$B559&lt;&gt;"",$R559='تقرير يناير'!$C$4,$P559='تقرير يناير'!$C$6),COUNT(AA$4:AA558)+1,"")</f>
        <v/>
      </c>
      <c r="AB559">
        <f>IF(AND($A559&lt;&gt;"",$B559&lt;&gt;"",$R559='تقرير فبراير'!$C$4,$P559='تقرير فبراير'!$C$6),COUNT(AB$4:AB558)+1,"")</f>
        <v/>
      </c>
      <c r="AC559">
        <f>IF(AND($A559&lt;&gt;"",$B559&lt;&gt;"",$R559='تقرير مارس'!$C$4,$P559='تقرير مارس'!$C$6),COUNT(AC$4:AC558)+1,"")</f>
        <v/>
      </c>
      <c r="AD559">
        <f>IF(AND($A559&lt;&gt;"",$B559&lt;&gt;"",$R559='تقرير أبريل'!$C$4,$P559='تقرير أبريل'!$C$6),COUNT(AD$4:AD558)+1,"")</f>
        <v/>
      </c>
      <c r="AE559">
        <f>IF(AND($A559&lt;&gt;"",$B559&lt;&gt;"",$R559='تقرير مايو'!$C$4,$P559='تقرير مايو'!$C$6),COUNT(AE$4:AE558)+1,"")</f>
        <v/>
      </c>
    </row>
    <row r="560">
      <c r="A560" s="16" t="n"/>
      <c r="B560" s="17" t="n"/>
      <c r="C560" s="17" t="n"/>
      <c r="D560" s="18" t="n"/>
      <c r="E560" s="17" t="n"/>
      <c r="F560" s="17" t="n"/>
      <c r="G560" s="19" t="n"/>
      <c r="H560" s="17" t="n"/>
      <c r="I560" s="17" t="n"/>
      <c r="J560" s="17" t="n"/>
      <c r="K560" s="20">
        <f>IF($B560="","",IFERROR(INDEX(الموظفات!$A$5:$A$304,MATCH($B560,الموظفات!$B$5:$B$304,0))&amp;"",""))</f>
        <v/>
      </c>
      <c r="L560" s="21">
        <f>IF($B560="","",IFERROR(INDEX(الموظفات!$C$5:$C$304,MATCH($B560,الموظفات!$B$5:$B$304,0))&amp;"",""))</f>
        <v/>
      </c>
      <c r="M560" s="20">
        <f>IF($B560="","",IFERROR(INDEX(الموظفات!$D$5:$D$304,MATCH($B560,الموظفات!$B$5:$B$304,0))&amp;"",""))</f>
        <v/>
      </c>
      <c r="N560" s="20">
        <f>IF($B560="","",IFERROR(INDEX(الموظفات!$E$5:$E$304,MATCH($B560,الموظفات!$B$5:$B$304,0))&amp;"",""))</f>
        <v/>
      </c>
      <c r="O560" s="21">
        <f>IF(C560="","",IFERROR(INDEX(الإعدادات!$D$7:$D$35,MATCH(C560,الإعدادات!$A$7:$A$35,0))&amp;"",""))</f>
        <v/>
      </c>
      <c r="P560" s="20">
        <f>IF(A560="","",INDEX(الإعدادات!$H$7:$H$18,MONTH(A560)))</f>
        <v/>
      </c>
      <c r="Q560" s="20">
        <f>IF(A560="","",INDEX(الإعدادات!$I$7:$I$18,MONTH(A560)))</f>
        <v/>
      </c>
      <c r="R560" s="20">
        <f>IF(A560="","",IF(MONTH(A560)&gt;=8,YEAR(A560)&amp;"-"&amp;(YEAR(A560)+1),(YEAR(A560)-1)&amp;"-"&amp;YEAR(A560)))</f>
        <v/>
      </c>
      <c r="S560" s="20">
        <f>IF(OR(A560="",B560=""),0,IF(AND(R560=التقارير!$C$4,OR(التقارير!$C$5="سنوي",AND(التقارير!$C$5="شهري",P560=التقارير!$C$6),AND(التقارير!$C$5="فصلي",Q560=التقارير!$C$7))),1,0))</f>
        <v/>
      </c>
      <c r="T560" s="20">
        <f>IF(S560=1,COUNTIF($S$5:S560,1),"")</f>
        <v/>
      </c>
      <c r="U560">
        <f>IF(AND($A560&lt;&gt;"",$B560&lt;&gt;"",$R560='تقرير الفصل الأول'!$C$4,$Q560='تقرير الفصل الأول'!$C$7),COUNT(U$4:U559)+1,"")</f>
        <v/>
      </c>
      <c r="V560">
        <f>IF(AND($A560&lt;&gt;"",$B560&lt;&gt;"",$R560='تقرير الفصل الثاني'!$C$4,$Q560='تقرير الفصل الثاني'!$C$7),COUNT(V$4:V559)+1,"")</f>
        <v/>
      </c>
      <c r="W560">
        <f>IF(AND($A560&lt;&gt;"",$B560&lt;&gt;"",$R560='تقرير سبتمبر'!$C$4,$P560='تقرير سبتمبر'!$C$6),COUNT(W$4:W559)+1,"")</f>
        <v/>
      </c>
      <c r="X560">
        <f>IF(AND($A560&lt;&gt;"",$B560&lt;&gt;"",$R560='تقرير أكتوبر'!$C$4,$P560='تقرير أكتوبر'!$C$6),COUNT(X$4:X559)+1,"")</f>
        <v/>
      </c>
      <c r="Y560">
        <f>IF(AND($A560&lt;&gt;"",$B560&lt;&gt;"",$R560='تقرير نوفمبر'!$C$4,$P560='تقرير نوفمبر'!$C$6),COUNT(Y$4:Y559)+1,"")</f>
        <v/>
      </c>
      <c r="Z560">
        <f>IF(AND($A560&lt;&gt;"",$B560&lt;&gt;"",$R560='تقرير ديسمبر'!$C$4,$P560='تقرير ديسمبر'!$C$6),COUNT(Z$4:Z559)+1,"")</f>
        <v/>
      </c>
      <c r="AA560">
        <f>IF(AND($A560&lt;&gt;"",$B560&lt;&gt;"",$R560='تقرير يناير'!$C$4,$P560='تقرير يناير'!$C$6),COUNT(AA$4:AA559)+1,"")</f>
        <v/>
      </c>
      <c r="AB560">
        <f>IF(AND($A560&lt;&gt;"",$B560&lt;&gt;"",$R560='تقرير فبراير'!$C$4,$P560='تقرير فبراير'!$C$6),COUNT(AB$4:AB559)+1,"")</f>
        <v/>
      </c>
      <c r="AC560">
        <f>IF(AND($A560&lt;&gt;"",$B560&lt;&gt;"",$R560='تقرير مارس'!$C$4,$P560='تقرير مارس'!$C$6),COUNT(AC$4:AC559)+1,"")</f>
        <v/>
      </c>
      <c r="AD560">
        <f>IF(AND($A560&lt;&gt;"",$B560&lt;&gt;"",$R560='تقرير أبريل'!$C$4,$P560='تقرير أبريل'!$C$6),COUNT(AD$4:AD559)+1,"")</f>
        <v/>
      </c>
      <c r="AE560">
        <f>IF(AND($A560&lt;&gt;"",$B560&lt;&gt;"",$R560='تقرير مايو'!$C$4,$P560='تقرير مايو'!$C$6),COUNT(AE$4:AE559)+1,"")</f>
        <v/>
      </c>
    </row>
    <row r="561">
      <c r="A561" s="16" t="n"/>
      <c r="B561" s="17" t="n"/>
      <c r="C561" s="17" t="n"/>
      <c r="D561" s="18" t="n"/>
      <c r="E561" s="17" t="n"/>
      <c r="F561" s="17" t="n"/>
      <c r="G561" s="19" t="n"/>
      <c r="H561" s="17" t="n"/>
      <c r="I561" s="17" t="n"/>
      <c r="J561" s="17" t="n"/>
      <c r="K561" s="20">
        <f>IF($B561="","",IFERROR(INDEX(الموظفات!$A$5:$A$304,MATCH($B561,الموظفات!$B$5:$B$304,0))&amp;"",""))</f>
        <v/>
      </c>
      <c r="L561" s="21">
        <f>IF($B561="","",IFERROR(INDEX(الموظفات!$C$5:$C$304,MATCH($B561,الموظفات!$B$5:$B$304,0))&amp;"",""))</f>
        <v/>
      </c>
      <c r="M561" s="20">
        <f>IF($B561="","",IFERROR(INDEX(الموظفات!$D$5:$D$304,MATCH($B561,الموظفات!$B$5:$B$304,0))&amp;"",""))</f>
        <v/>
      </c>
      <c r="N561" s="20">
        <f>IF($B561="","",IFERROR(INDEX(الموظفات!$E$5:$E$304,MATCH($B561,الموظفات!$B$5:$B$304,0))&amp;"",""))</f>
        <v/>
      </c>
      <c r="O561" s="21">
        <f>IF(C561="","",IFERROR(INDEX(الإعدادات!$D$7:$D$35,MATCH(C561,الإعدادات!$A$7:$A$35,0))&amp;"",""))</f>
        <v/>
      </c>
      <c r="P561" s="20">
        <f>IF(A561="","",INDEX(الإعدادات!$H$7:$H$18,MONTH(A561)))</f>
        <v/>
      </c>
      <c r="Q561" s="20">
        <f>IF(A561="","",INDEX(الإعدادات!$I$7:$I$18,MONTH(A561)))</f>
        <v/>
      </c>
      <c r="R561" s="20">
        <f>IF(A561="","",IF(MONTH(A561)&gt;=8,YEAR(A561)&amp;"-"&amp;(YEAR(A561)+1),(YEAR(A561)-1)&amp;"-"&amp;YEAR(A561)))</f>
        <v/>
      </c>
      <c r="S561" s="20">
        <f>IF(OR(A561="",B561=""),0,IF(AND(R561=التقارير!$C$4,OR(التقارير!$C$5="سنوي",AND(التقارير!$C$5="شهري",P561=التقارير!$C$6),AND(التقارير!$C$5="فصلي",Q561=التقارير!$C$7))),1,0))</f>
        <v/>
      </c>
      <c r="T561" s="20">
        <f>IF(S561=1,COUNTIF($S$5:S561,1),"")</f>
        <v/>
      </c>
      <c r="U561">
        <f>IF(AND($A561&lt;&gt;"",$B561&lt;&gt;"",$R561='تقرير الفصل الأول'!$C$4,$Q561='تقرير الفصل الأول'!$C$7),COUNT(U$4:U560)+1,"")</f>
        <v/>
      </c>
      <c r="V561">
        <f>IF(AND($A561&lt;&gt;"",$B561&lt;&gt;"",$R561='تقرير الفصل الثاني'!$C$4,$Q561='تقرير الفصل الثاني'!$C$7),COUNT(V$4:V560)+1,"")</f>
        <v/>
      </c>
      <c r="W561">
        <f>IF(AND($A561&lt;&gt;"",$B561&lt;&gt;"",$R561='تقرير سبتمبر'!$C$4,$P561='تقرير سبتمبر'!$C$6),COUNT(W$4:W560)+1,"")</f>
        <v/>
      </c>
      <c r="X561">
        <f>IF(AND($A561&lt;&gt;"",$B561&lt;&gt;"",$R561='تقرير أكتوبر'!$C$4,$P561='تقرير أكتوبر'!$C$6),COUNT(X$4:X560)+1,"")</f>
        <v/>
      </c>
      <c r="Y561">
        <f>IF(AND($A561&lt;&gt;"",$B561&lt;&gt;"",$R561='تقرير نوفمبر'!$C$4,$P561='تقرير نوفمبر'!$C$6),COUNT(Y$4:Y560)+1,"")</f>
        <v/>
      </c>
      <c r="Z561">
        <f>IF(AND($A561&lt;&gt;"",$B561&lt;&gt;"",$R561='تقرير ديسمبر'!$C$4,$P561='تقرير ديسمبر'!$C$6),COUNT(Z$4:Z560)+1,"")</f>
        <v/>
      </c>
      <c r="AA561">
        <f>IF(AND($A561&lt;&gt;"",$B561&lt;&gt;"",$R561='تقرير يناير'!$C$4,$P561='تقرير يناير'!$C$6),COUNT(AA$4:AA560)+1,"")</f>
        <v/>
      </c>
      <c r="AB561">
        <f>IF(AND($A561&lt;&gt;"",$B561&lt;&gt;"",$R561='تقرير فبراير'!$C$4,$P561='تقرير فبراير'!$C$6),COUNT(AB$4:AB560)+1,"")</f>
        <v/>
      </c>
      <c r="AC561">
        <f>IF(AND($A561&lt;&gt;"",$B561&lt;&gt;"",$R561='تقرير مارس'!$C$4,$P561='تقرير مارس'!$C$6),COUNT(AC$4:AC560)+1,"")</f>
        <v/>
      </c>
      <c r="AD561">
        <f>IF(AND($A561&lt;&gt;"",$B561&lt;&gt;"",$R561='تقرير أبريل'!$C$4,$P561='تقرير أبريل'!$C$6),COUNT(AD$4:AD560)+1,"")</f>
        <v/>
      </c>
      <c r="AE561">
        <f>IF(AND($A561&lt;&gt;"",$B561&lt;&gt;"",$R561='تقرير مايو'!$C$4,$P561='تقرير مايو'!$C$6),COUNT(AE$4:AE560)+1,"")</f>
        <v/>
      </c>
    </row>
    <row r="562">
      <c r="A562" s="16" t="n"/>
      <c r="B562" s="17" t="n"/>
      <c r="C562" s="17" t="n"/>
      <c r="D562" s="18" t="n"/>
      <c r="E562" s="17" t="n"/>
      <c r="F562" s="17" t="n"/>
      <c r="G562" s="19" t="n"/>
      <c r="H562" s="17" t="n"/>
      <c r="I562" s="17" t="n"/>
      <c r="J562" s="17" t="n"/>
      <c r="K562" s="20">
        <f>IF($B562="","",IFERROR(INDEX(الموظفات!$A$5:$A$304,MATCH($B562,الموظفات!$B$5:$B$304,0))&amp;"",""))</f>
        <v/>
      </c>
      <c r="L562" s="21">
        <f>IF($B562="","",IFERROR(INDEX(الموظفات!$C$5:$C$304,MATCH($B562,الموظفات!$B$5:$B$304,0))&amp;"",""))</f>
        <v/>
      </c>
      <c r="M562" s="20">
        <f>IF($B562="","",IFERROR(INDEX(الموظفات!$D$5:$D$304,MATCH($B562,الموظفات!$B$5:$B$304,0))&amp;"",""))</f>
        <v/>
      </c>
      <c r="N562" s="20">
        <f>IF($B562="","",IFERROR(INDEX(الموظفات!$E$5:$E$304,MATCH($B562,الموظفات!$B$5:$B$304,0))&amp;"",""))</f>
        <v/>
      </c>
      <c r="O562" s="21">
        <f>IF(C562="","",IFERROR(INDEX(الإعدادات!$D$7:$D$35,MATCH(C562,الإعدادات!$A$7:$A$35,0))&amp;"",""))</f>
        <v/>
      </c>
      <c r="P562" s="20">
        <f>IF(A562="","",INDEX(الإعدادات!$H$7:$H$18,MONTH(A562)))</f>
        <v/>
      </c>
      <c r="Q562" s="20">
        <f>IF(A562="","",INDEX(الإعدادات!$I$7:$I$18,MONTH(A562)))</f>
        <v/>
      </c>
      <c r="R562" s="20">
        <f>IF(A562="","",IF(MONTH(A562)&gt;=8,YEAR(A562)&amp;"-"&amp;(YEAR(A562)+1),(YEAR(A562)-1)&amp;"-"&amp;YEAR(A562)))</f>
        <v/>
      </c>
      <c r="S562" s="20">
        <f>IF(OR(A562="",B562=""),0,IF(AND(R562=التقارير!$C$4,OR(التقارير!$C$5="سنوي",AND(التقارير!$C$5="شهري",P562=التقارير!$C$6),AND(التقارير!$C$5="فصلي",Q562=التقارير!$C$7))),1,0))</f>
        <v/>
      </c>
      <c r="T562" s="20">
        <f>IF(S562=1,COUNTIF($S$5:S562,1),"")</f>
        <v/>
      </c>
      <c r="U562">
        <f>IF(AND($A562&lt;&gt;"",$B562&lt;&gt;"",$R562='تقرير الفصل الأول'!$C$4,$Q562='تقرير الفصل الأول'!$C$7),COUNT(U$4:U561)+1,"")</f>
        <v/>
      </c>
      <c r="V562">
        <f>IF(AND($A562&lt;&gt;"",$B562&lt;&gt;"",$R562='تقرير الفصل الثاني'!$C$4,$Q562='تقرير الفصل الثاني'!$C$7),COUNT(V$4:V561)+1,"")</f>
        <v/>
      </c>
      <c r="W562">
        <f>IF(AND($A562&lt;&gt;"",$B562&lt;&gt;"",$R562='تقرير سبتمبر'!$C$4,$P562='تقرير سبتمبر'!$C$6),COUNT(W$4:W561)+1,"")</f>
        <v/>
      </c>
      <c r="X562">
        <f>IF(AND($A562&lt;&gt;"",$B562&lt;&gt;"",$R562='تقرير أكتوبر'!$C$4,$P562='تقرير أكتوبر'!$C$6),COUNT(X$4:X561)+1,"")</f>
        <v/>
      </c>
      <c r="Y562">
        <f>IF(AND($A562&lt;&gt;"",$B562&lt;&gt;"",$R562='تقرير نوفمبر'!$C$4,$P562='تقرير نوفمبر'!$C$6),COUNT(Y$4:Y561)+1,"")</f>
        <v/>
      </c>
      <c r="Z562">
        <f>IF(AND($A562&lt;&gt;"",$B562&lt;&gt;"",$R562='تقرير ديسمبر'!$C$4,$P562='تقرير ديسمبر'!$C$6),COUNT(Z$4:Z561)+1,"")</f>
        <v/>
      </c>
      <c r="AA562">
        <f>IF(AND($A562&lt;&gt;"",$B562&lt;&gt;"",$R562='تقرير يناير'!$C$4,$P562='تقرير يناير'!$C$6),COUNT(AA$4:AA561)+1,"")</f>
        <v/>
      </c>
      <c r="AB562">
        <f>IF(AND($A562&lt;&gt;"",$B562&lt;&gt;"",$R562='تقرير فبراير'!$C$4,$P562='تقرير فبراير'!$C$6),COUNT(AB$4:AB561)+1,"")</f>
        <v/>
      </c>
      <c r="AC562">
        <f>IF(AND($A562&lt;&gt;"",$B562&lt;&gt;"",$R562='تقرير مارس'!$C$4,$P562='تقرير مارس'!$C$6),COUNT(AC$4:AC561)+1,"")</f>
        <v/>
      </c>
      <c r="AD562">
        <f>IF(AND($A562&lt;&gt;"",$B562&lt;&gt;"",$R562='تقرير أبريل'!$C$4,$P562='تقرير أبريل'!$C$6),COUNT(AD$4:AD561)+1,"")</f>
        <v/>
      </c>
      <c r="AE562">
        <f>IF(AND($A562&lt;&gt;"",$B562&lt;&gt;"",$R562='تقرير مايو'!$C$4,$P562='تقرير مايو'!$C$6),COUNT(AE$4:AE561)+1,"")</f>
        <v/>
      </c>
    </row>
    <row r="563">
      <c r="A563" s="16" t="n"/>
      <c r="B563" s="17" t="n"/>
      <c r="C563" s="17" t="n"/>
      <c r="D563" s="18" t="n"/>
      <c r="E563" s="17" t="n"/>
      <c r="F563" s="17" t="n"/>
      <c r="G563" s="19" t="n"/>
      <c r="H563" s="17" t="n"/>
      <c r="I563" s="17" t="n"/>
      <c r="J563" s="17" t="n"/>
      <c r="K563" s="20">
        <f>IF($B563="","",IFERROR(INDEX(الموظفات!$A$5:$A$304,MATCH($B563,الموظفات!$B$5:$B$304,0))&amp;"",""))</f>
        <v/>
      </c>
      <c r="L563" s="21">
        <f>IF($B563="","",IFERROR(INDEX(الموظفات!$C$5:$C$304,MATCH($B563,الموظفات!$B$5:$B$304,0))&amp;"",""))</f>
        <v/>
      </c>
      <c r="M563" s="20">
        <f>IF($B563="","",IFERROR(INDEX(الموظفات!$D$5:$D$304,MATCH($B563,الموظفات!$B$5:$B$304,0))&amp;"",""))</f>
        <v/>
      </c>
      <c r="N563" s="20">
        <f>IF($B563="","",IFERROR(INDEX(الموظفات!$E$5:$E$304,MATCH($B563,الموظفات!$B$5:$B$304,0))&amp;"",""))</f>
        <v/>
      </c>
      <c r="O563" s="21">
        <f>IF(C563="","",IFERROR(INDEX(الإعدادات!$D$7:$D$35,MATCH(C563,الإعدادات!$A$7:$A$35,0))&amp;"",""))</f>
        <v/>
      </c>
      <c r="P563" s="20">
        <f>IF(A563="","",INDEX(الإعدادات!$H$7:$H$18,MONTH(A563)))</f>
        <v/>
      </c>
      <c r="Q563" s="20">
        <f>IF(A563="","",INDEX(الإعدادات!$I$7:$I$18,MONTH(A563)))</f>
        <v/>
      </c>
      <c r="R563" s="20">
        <f>IF(A563="","",IF(MONTH(A563)&gt;=8,YEAR(A563)&amp;"-"&amp;(YEAR(A563)+1),(YEAR(A563)-1)&amp;"-"&amp;YEAR(A563)))</f>
        <v/>
      </c>
      <c r="S563" s="20">
        <f>IF(OR(A563="",B563=""),0,IF(AND(R563=التقارير!$C$4,OR(التقارير!$C$5="سنوي",AND(التقارير!$C$5="شهري",P563=التقارير!$C$6),AND(التقارير!$C$5="فصلي",Q563=التقارير!$C$7))),1,0))</f>
        <v/>
      </c>
      <c r="T563" s="20">
        <f>IF(S563=1,COUNTIF($S$5:S563,1),"")</f>
        <v/>
      </c>
      <c r="U563">
        <f>IF(AND($A563&lt;&gt;"",$B563&lt;&gt;"",$R563='تقرير الفصل الأول'!$C$4,$Q563='تقرير الفصل الأول'!$C$7),COUNT(U$4:U562)+1,"")</f>
        <v/>
      </c>
      <c r="V563">
        <f>IF(AND($A563&lt;&gt;"",$B563&lt;&gt;"",$R563='تقرير الفصل الثاني'!$C$4,$Q563='تقرير الفصل الثاني'!$C$7),COUNT(V$4:V562)+1,"")</f>
        <v/>
      </c>
      <c r="W563">
        <f>IF(AND($A563&lt;&gt;"",$B563&lt;&gt;"",$R563='تقرير سبتمبر'!$C$4,$P563='تقرير سبتمبر'!$C$6),COUNT(W$4:W562)+1,"")</f>
        <v/>
      </c>
      <c r="X563">
        <f>IF(AND($A563&lt;&gt;"",$B563&lt;&gt;"",$R563='تقرير أكتوبر'!$C$4,$P563='تقرير أكتوبر'!$C$6),COUNT(X$4:X562)+1,"")</f>
        <v/>
      </c>
      <c r="Y563">
        <f>IF(AND($A563&lt;&gt;"",$B563&lt;&gt;"",$R563='تقرير نوفمبر'!$C$4,$P563='تقرير نوفمبر'!$C$6),COUNT(Y$4:Y562)+1,"")</f>
        <v/>
      </c>
      <c r="Z563">
        <f>IF(AND($A563&lt;&gt;"",$B563&lt;&gt;"",$R563='تقرير ديسمبر'!$C$4,$P563='تقرير ديسمبر'!$C$6),COUNT(Z$4:Z562)+1,"")</f>
        <v/>
      </c>
      <c r="AA563">
        <f>IF(AND($A563&lt;&gt;"",$B563&lt;&gt;"",$R563='تقرير يناير'!$C$4,$P563='تقرير يناير'!$C$6),COUNT(AA$4:AA562)+1,"")</f>
        <v/>
      </c>
      <c r="AB563">
        <f>IF(AND($A563&lt;&gt;"",$B563&lt;&gt;"",$R563='تقرير فبراير'!$C$4,$P563='تقرير فبراير'!$C$6),COUNT(AB$4:AB562)+1,"")</f>
        <v/>
      </c>
      <c r="AC563">
        <f>IF(AND($A563&lt;&gt;"",$B563&lt;&gt;"",$R563='تقرير مارس'!$C$4,$P563='تقرير مارس'!$C$6),COUNT(AC$4:AC562)+1,"")</f>
        <v/>
      </c>
      <c r="AD563">
        <f>IF(AND($A563&lt;&gt;"",$B563&lt;&gt;"",$R563='تقرير أبريل'!$C$4,$P563='تقرير أبريل'!$C$6),COUNT(AD$4:AD562)+1,"")</f>
        <v/>
      </c>
      <c r="AE563">
        <f>IF(AND($A563&lt;&gt;"",$B563&lt;&gt;"",$R563='تقرير مايو'!$C$4,$P563='تقرير مايو'!$C$6),COUNT(AE$4:AE562)+1,"")</f>
        <v/>
      </c>
    </row>
    <row r="564">
      <c r="A564" s="16" t="n"/>
      <c r="B564" s="17" t="n"/>
      <c r="C564" s="17" t="n"/>
      <c r="D564" s="18" t="n"/>
      <c r="E564" s="17" t="n"/>
      <c r="F564" s="17" t="n"/>
      <c r="G564" s="19" t="n"/>
      <c r="H564" s="17" t="n"/>
      <c r="I564" s="17" t="n"/>
      <c r="J564" s="17" t="n"/>
      <c r="K564" s="20">
        <f>IF($B564="","",IFERROR(INDEX(الموظفات!$A$5:$A$304,MATCH($B564,الموظفات!$B$5:$B$304,0))&amp;"",""))</f>
        <v/>
      </c>
      <c r="L564" s="21">
        <f>IF($B564="","",IFERROR(INDEX(الموظفات!$C$5:$C$304,MATCH($B564,الموظفات!$B$5:$B$304,0))&amp;"",""))</f>
        <v/>
      </c>
      <c r="M564" s="20">
        <f>IF($B564="","",IFERROR(INDEX(الموظفات!$D$5:$D$304,MATCH($B564,الموظفات!$B$5:$B$304,0))&amp;"",""))</f>
        <v/>
      </c>
      <c r="N564" s="20">
        <f>IF($B564="","",IFERROR(INDEX(الموظفات!$E$5:$E$304,MATCH($B564,الموظفات!$B$5:$B$304,0))&amp;"",""))</f>
        <v/>
      </c>
      <c r="O564" s="21">
        <f>IF(C564="","",IFERROR(INDEX(الإعدادات!$D$7:$D$35,MATCH(C564,الإعدادات!$A$7:$A$35,0))&amp;"",""))</f>
        <v/>
      </c>
      <c r="P564" s="20">
        <f>IF(A564="","",INDEX(الإعدادات!$H$7:$H$18,MONTH(A564)))</f>
        <v/>
      </c>
      <c r="Q564" s="20">
        <f>IF(A564="","",INDEX(الإعدادات!$I$7:$I$18,MONTH(A564)))</f>
        <v/>
      </c>
      <c r="R564" s="20">
        <f>IF(A564="","",IF(MONTH(A564)&gt;=8,YEAR(A564)&amp;"-"&amp;(YEAR(A564)+1),(YEAR(A564)-1)&amp;"-"&amp;YEAR(A564)))</f>
        <v/>
      </c>
      <c r="S564" s="20">
        <f>IF(OR(A564="",B564=""),0,IF(AND(R564=التقارير!$C$4,OR(التقارير!$C$5="سنوي",AND(التقارير!$C$5="شهري",P564=التقارير!$C$6),AND(التقارير!$C$5="فصلي",Q564=التقارير!$C$7))),1,0))</f>
        <v/>
      </c>
      <c r="T564" s="20">
        <f>IF(S564=1,COUNTIF($S$5:S564,1),"")</f>
        <v/>
      </c>
      <c r="U564">
        <f>IF(AND($A564&lt;&gt;"",$B564&lt;&gt;"",$R564='تقرير الفصل الأول'!$C$4,$Q564='تقرير الفصل الأول'!$C$7),COUNT(U$4:U563)+1,"")</f>
        <v/>
      </c>
      <c r="V564">
        <f>IF(AND($A564&lt;&gt;"",$B564&lt;&gt;"",$R564='تقرير الفصل الثاني'!$C$4,$Q564='تقرير الفصل الثاني'!$C$7),COUNT(V$4:V563)+1,"")</f>
        <v/>
      </c>
      <c r="W564">
        <f>IF(AND($A564&lt;&gt;"",$B564&lt;&gt;"",$R564='تقرير سبتمبر'!$C$4,$P564='تقرير سبتمبر'!$C$6),COUNT(W$4:W563)+1,"")</f>
        <v/>
      </c>
      <c r="X564">
        <f>IF(AND($A564&lt;&gt;"",$B564&lt;&gt;"",$R564='تقرير أكتوبر'!$C$4,$P564='تقرير أكتوبر'!$C$6),COUNT(X$4:X563)+1,"")</f>
        <v/>
      </c>
      <c r="Y564">
        <f>IF(AND($A564&lt;&gt;"",$B564&lt;&gt;"",$R564='تقرير نوفمبر'!$C$4,$P564='تقرير نوفمبر'!$C$6),COUNT(Y$4:Y563)+1,"")</f>
        <v/>
      </c>
      <c r="Z564">
        <f>IF(AND($A564&lt;&gt;"",$B564&lt;&gt;"",$R564='تقرير ديسمبر'!$C$4,$P564='تقرير ديسمبر'!$C$6),COUNT(Z$4:Z563)+1,"")</f>
        <v/>
      </c>
      <c r="AA564">
        <f>IF(AND($A564&lt;&gt;"",$B564&lt;&gt;"",$R564='تقرير يناير'!$C$4,$P564='تقرير يناير'!$C$6),COUNT(AA$4:AA563)+1,"")</f>
        <v/>
      </c>
      <c r="AB564">
        <f>IF(AND($A564&lt;&gt;"",$B564&lt;&gt;"",$R564='تقرير فبراير'!$C$4,$P564='تقرير فبراير'!$C$6),COUNT(AB$4:AB563)+1,"")</f>
        <v/>
      </c>
      <c r="AC564">
        <f>IF(AND($A564&lt;&gt;"",$B564&lt;&gt;"",$R564='تقرير مارس'!$C$4,$P564='تقرير مارس'!$C$6),COUNT(AC$4:AC563)+1,"")</f>
        <v/>
      </c>
      <c r="AD564">
        <f>IF(AND($A564&lt;&gt;"",$B564&lt;&gt;"",$R564='تقرير أبريل'!$C$4,$P564='تقرير أبريل'!$C$6),COUNT(AD$4:AD563)+1,"")</f>
        <v/>
      </c>
      <c r="AE564">
        <f>IF(AND($A564&lt;&gt;"",$B564&lt;&gt;"",$R564='تقرير مايو'!$C$4,$P564='تقرير مايو'!$C$6),COUNT(AE$4:AE563)+1,"")</f>
        <v/>
      </c>
    </row>
    <row r="565">
      <c r="A565" s="16" t="n"/>
      <c r="B565" s="17" t="n"/>
      <c r="C565" s="17" t="n"/>
      <c r="D565" s="18" t="n"/>
      <c r="E565" s="17" t="n"/>
      <c r="F565" s="17" t="n"/>
      <c r="G565" s="19" t="n"/>
      <c r="H565" s="17" t="n"/>
      <c r="I565" s="17" t="n"/>
      <c r="J565" s="17" t="n"/>
      <c r="K565" s="20">
        <f>IF($B565="","",IFERROR(INDEX(الموظفات!$A$5:$A$304,MATCH($B565,الموظفات!$B$5:$B$304,0))&amp;"",""))</f>
        <v/>
      </c>
      <c r="L565" s="21">
        <f>IF($B565="","",IFERROR(INDEX(الموظفات!$C$5:$C$304,MATCH($B565,الموظفات!$B$5:$B$304,0))&amp;"",""))</f>
        <v/>
      </c>
      <c r="M565" s="20">
        <f>IF($B565="","",IFERROR(INDEX(الموظفات!$D$5:$D$304,MATCH($B565,الموظفات!$B$5:$B$304,0))&amp;"",""))</f>
        <v/>
      </c>
      <c r="N565" s="20">
        <f>IF($B565="","",IFERROR(INDEX(الموظفات!$E$5:$E$304,MATCH($B565,الموظفات!$B$5:$B$304,0))&amp;"",""))</f>
        <v/>
      </c>
      <c r="O565" s="21">
        <f>IF(C565="","",IFERROR(INDEX(الإعدادات!$D$7:$D$35,MATCH(C565,الإعدادات!$A$7:$A$35,0))&amp;"",""))</f>
        <v/>
      </c>
      <c r="P565" s="20">
        <f>IF(A565="","",INDEX(الإعدادات!$H$7:$H$18,MONTH(A565)))</f>
        <v/>
      </c>
      <c r="Q565" s="20">
        <f>IF(A565="","",INDEX(الإعدادات!$I$7:$I$18,MONTH(A565)))</f>
        <v/>
      </c>
      <c r="R565" s="20">
        <f>IF(A565="","",IF(MONTH(A565)&gt;=8,YEAR(A565)&amp;"-"&amp;(YEAR(A565)+1),(YEAR(A565)-1)&amp;"-"&amp;YEAR(A565)))</f>
        <v/>
      </c>
      <c r="S565" s="20">
        <f>IF(OR(A565="",B565=""),0,IF(AND(R565=التقارير!$C$4,OR(التقارير!$C$5="سنوي",AND(التقارير!$C$5="شهري",P565=التقارير!$C$6),AND(التقارير!$C$5="فصلي",Q565=التقارير!$C$7))),1,0))</f>
        <v/>
      </c>
      <c r="T565" s="20">
        <f>IF(S565=1,COUNTIF($S$5:S565,1),"")</f>
        <v/>
      </c>
      <c r="U565">
        <f>IF(AND($A565&lt;&gt;"",$B565&lt;&gt;"",$R565='تقرير الفصل الأول'!$C$4,$Q565='تقرير الفصل الأول'!$C$7),COUNT(U$4:U564)+1,"")</f>
        <v/>
      </c>
      <c r="V565">
        <f>IF(AND($A565&lt;&gt;"",$B565&lt;&gt;"",$R565='تقرير الفصل الثاني'!$C$4,$Q565='تقرير الفصل الثاني'!$C$7),COUNT(V$4:V564)+1,"")</f>
        <v/>
      </c>
      <c r="W565">
        <f>IF(AND($A565&lt;&gt;"",$B565&lt;&gt;"",$R565='تقرير سبتمبر'!$C$4,$P565='تقرير سبتمبر'!$C$6),COUNT(W$4:W564)+1,"")</f>
        <v/>
      </c>
      <c r="X565">
        <f>IF(AND($A565&lt;&gt;"",$B565&lt;&gt;"",$R565='تقرير أكتوبر'!$C$4,$P565='تقرير أكتوبر'!$C$6),COUNT(X$4:X564)+1,"")</f>
        <v/>
      </c>
      <c r="Y565">
        <f>IF(AND($A565&lt;&gt;"",$B565&lt;&gt;"",$R565='تقرير نوفمبر'!$C$4,$P565='تقرير نوفمبر'!$C$6),COUNT(Y$4:Y564)+1,"")</f>
        <v/>
      </c>
      <c r="Z565">
        <f>IF(AND($A565&lt;&gt;"",$B565&lt;&gt;"",$R565='تقرير ديسمبر'!$C$4,$P565='تقرير ديسمبر'!$C$6),COUNT(Z$4:Z564)+1,"")</f>
        <v/>
      </c>
      <c r="AA565">
        <f>IF(AND($A565&lt;&gt;"",$B565&lt;&gt;"",$R565='تقرير يناير'!$C$4,$P565='تقرير يناير'!$C$6),COUNT(AA$4:AA564)+1,"")</f>
        <v/>
      </c>
      <c r="AB565">
        <f>IF(AND($A565&lt;&gt;"",$B565&lt;&gt;"",$R565='تقرير فبراير'!$C$4,$P565='تقرير فبراير'!$C$6),COUNT(AB$4:AB564)+1,"")</f>
        <v/>
      </c>
      <c r="AC565">
        <f>IF(AND($A565&lt;&gt;"",$B565&lt;&gt;"",$R565='تقرير مارس'!$C$4,$P565='تقرير مارس'!$C$6),COUNT(AC$4:AC564)+1,"")</f>
        <v/>
      </c>
      <c r="AD565">
        <f>IF(AND($A565&lt;&gt;"",$B565&lt;&gt;"",$R565='تقرير أبريل'!$C$4,$P565='تقرير أبريل'!$C$6),COUNT(AD$4:AD564)+1,"")</f>
        <v/>
      </c>
      <c r="AE565">
        <f>IF(AND($A565&lt;&gt;"",$B565&lt;&gt;"",$R565='تقرير مايو'!$C$4,$P565='تقرير مايو'!$C$6),COUNT(AE$4:AE564)+1,"")</f>
        <v/>
      </c>
    </row>
    <row r="566">
      <c r="A566" s="16" t="n"/>
      <c r="B566" s="17" t="n"/>
      <c r="C566" s="17" t="n"/>
      <c r="D566" s="18" t="n"/>
      <c r="E566" s="17" t="n"/>
      <c r="F566" s="17" t="n"/>
      <c r="G566" s="19" t="n"/>
      <c r="H566" s="17" t="n"/>
      <c r="I566" s="17" t="n"/>
      <c r="J566" s="17" t="n"/>
      <c r="K566" s="20">
        <f>IF($B566="","",IFERROR(INDEX(الموظفات!$A$5:$A$304,MATCH($B566,الموظفات!$B$5:$B$304,0))&amp;"",""))</f>
        <v/>
      </c>
      <c r="L566" s="21">
        <f>IF($B566="","",IFERROR(INDEX(الموظفات!$C$5:$C$304,MATCH($B566,الموظفات!$B$5:$B$304,0))&amp;"",""))</f>
        <v/>
      </c>
      <c r="M566" s="20">
        <f>IF($B566="","",IFERROR(INDEX(الموظفات!$D$5:$D$304,MATCH($B566,الموظفات!$B$5:$B$304,0))&amp;"",""))</f>
        <v/>
      </c>
      <c r="N566" s="20">
        <f>IF($B566="","",IFERROR(INDEX(الموظفات!$E$5:$E$304,MATCH($B566,الموظفات!$B$5:$B$304,0))&amp;"",""))</f>
        <v/>
      </c>
      <c r="O566" s="21">
        <f>IF(C566="","",IFERROR(INDEX(الإعدادات!$D$7:$D$35,MATCH(C566,الإعدادات!$A$7:$A$35,0))&amp;"",""))</f>
        <v/>
      </c>
      <c r="P566" s="20">
        <f>IF(A566="","",INDEX(الإعدادات!$H$7:$H$18,MONTH(A566)))</f>
        <v/>
      </c>
      <c r="Q566" s="20">
        <f>IF(A566="","",INDEX(الإعدادات!$I$7:$I$18,MONTH(A566)))</f>
        <v/>
      </c>
      <c r="R566" s="20">
        <f>IF(A566="","",IF(MONTH(A566)&gt;=8,YEAR(A566)&amp;"-"&amp;(YEAR(A566)+1),(YEAR(A566)-1)&amp;"-"&amp;YEAR(A566)))</f>
        <v/>
      </c>
      <c r="S566" s="20">
        <f>IF(OR(A566="",B566=""),0,IF(AND(R566=التقارير!$C$4,OR(التقارير!$C$5="سنوي",AND(التقارير!$C$5="شهري",P566=التقارير!$C$6),AND(التقارير!$C$5="فصلي",Q566=التقارير!$C$7))),1,0))</f>
        <v/>
      </c>
      <c r="T566" s="20">
        <f>IF(S566=1,COUNTIF($S$5:S566,1),"")</f>
        <v/>
      </c>
      <c r="U566">
        <f>IF(AND($A566&lt;&gt;"",$B566&lt;&gt;"",$R566='تقرير الفصل الأول'!$C$4,$Q566='تقرير الفصل الأول'!$C$7),COUNT(U$4:U565)+1,"")</f>
        <v/>
      </c>
      <c r="V566">
        <f>IF(AND($A566&lt;&gt;"",$B566&lt;&gt;"",$R566='تقرير الفصل الثاني'!$C$4,$Q566='تقرير الفصل الثاني'!$C$7),COUNT(V$4:V565)+1,"")</f>
        <v/>
      </c>
      <c r="W566">
        <f>IF(AND($A566&lt;&gt;"",$B566&lt;&gt;"",$R566='تقرير سبتمبر'!$C$4,$P566='تقرير سبتمبر'!$C$6),COUNT(W$4:W565)+1,"")</f>
        <v/>
      </c>
      <c r="X566">
        <f>IF(AND($A566&lt;&gt;"",$B566&lt;&gt;"",$R566='تقرير أكتوبر'!$C$4,$P566='تقرير أكتوبر'!$C$6),COUNT(X$4:X565)+1,"")</f>
        <v/>
      </c>
      <c r="Y566">
        <f>IF(AND($A566&lt;&gt;"",$B566&lt;&gt;"",$R566='تقرير نوفمبر'!$C$4,$P566='تقرير نوفمبر'!$C$6),COUNT(Y$4:Y565)+1,"")</f>
        <v/>
      </c>
      <c r="Z566">
        <f>IF(AND($A566&lt;&gt;"",$B566&lt;&gt;"",$R566='تقرير ديسمبر'!$C$4,$P566='تقرير ديسمبر'!$C$6),COUNT(Z$4:Z565)+1,"")</f>
        <v/>
      </c>
      <c r="AA566">
        <f>IF(AND($A566&lt;&gt;"",$B566&lt;&gt;"",$R566='تقرير يناير'!$C$4,$P566='تقرير يناير'!$C$6),COUNT(AA$4:AA565)+1,"")</f>
        <v/>
      </c>
      <c r="AB566">
        <f>IF(AND($A566&lt;&gt;"",$B566&lt;&gt;"",$R566='تقرير فبراير'!$C$4,$P566='تقرير فبراير'!$C$6),COUNT(AB$4:AB565)+1,"")</f>
        <v/>
      </c>
      <c r="AC566">
        <f>IF(AND($A566&lt;&gt;"",$B566&lt;&gt;"",$R566='تقرير مارس'!$C$4,$P566='تقرير مارس'!$C$6),COUNT(AC$4:AC565)+1,"")</f>
        <v/>
      </c>
      <c r="AD566">
        <f>IF(AND($A566&lt;&gt;"",$B566&lt;&gt;"",$R566='تقرير أبريل'!$C$4,$P566='تقرير أبريل'!$C$6),COUNT(AD$4:AD565)+1,"")</f>
        <v/>
      </c>
      <c r="AE566">
        <f>IF(AND($A566&lt;&gt;"",$B566&lt;&gt;"",$R566='تقرير مايو'!$C$4,$P566='تقرير مايو'!$C$6),COUNT(AE$4:AE565)+1,"")</f>
        <v/>
      </c>
    </row>
    <row r="567">
      <c r="A567" s="16" t="n"/>
      <c r="B567" s="17" t="n"/>
      <c r="C567" s="17" t="n"/>
      <c r="D567" s="18" t="n"/>
      <c r="E567" s="17" t="n"/>
      <c r="F567" s="17" t="n"/>
      <c r="G567" s="19" t="n"/>
      <c r="H567" s="17" t="n"/>
      <c r="I567" s="17" t="n"/>
      <c r="J567" s="17" t="n"/>
      <c r="K567" s="20">
        <f>IF($B567="","",IFERROR(INDEX(الموظفات!$A$5:$A$304,MATCH($B567,الموظفات!$B$5:$B$304,0))&amp;"",""))</f>
        <v/>
      </c>
      <c r="L567" s="21">
        <f>IF($B567="","",IFERROR(INDEX(الموظفات!$C$5:$C$304,MATCH($B567,الموظفات!$B$5:$B$304,0))&amp;"",""))</f>
        <v/>
      </c>
      <c r="M567" s="20">
        <f>IF($B567="","",IFERROR(INDEX(الموظفات!$D$5:$D$304,MATCH($B567,الموظفات!$B$5:$B$304,0))&amp;"",""))</f>
        <v/>
      </c>
      <c r="N567" s="20">
        <f>IF($B567="","",IFERROR(INDEX(الموظفات!$E$5:$E$304,MATCH($B567,الموظفات!$B$5:$B$304,0))&amp;"",""))</f>
        <v/>
      </c>
      <c r="O567" s="21">
        <f>IF(C567="","",IFERROR(INDEX(الإعدادات!$D$7:$D$35,MATCH(C567,الإعدادات!$A$7:$A$35,0))&amp;"",""))</f>
        <v/>
      </c>
      <c r="P567" s="20">
        <f>IF(A567="","",INDEX(الإعدادات!$H$7:$H$18,MONTH(A567)))</f>
        <v/>
      </c>
      <c r="Q567" s="20">
        <f>IF(A567="","",INDEX(الإعدادات!$I$7:$I$18,MONTH(A567)))</f>
        <v/>
      </c>
      <c r="R567" s="20">
        <f>IF(A567="","",IF(MONTH(A567)&gt;=8,YEAR(A567)&amp;"-"&amp;(YEAR(A567)+1),(YEAR(A567)-1)&amp;"-"&amp;YEAR(A567)))</f>
        <v/>
      </c>
      <c r="S567" s="20">
        <f>IF(OR(A567="",B567=""),0,IF(AND(R567=التقارير!$C$4,OR(التقارير!$C$5="سنوي",AND(التقارير!$C$5="شهري",P567=التقارير!$C$6),AND(التقارير!$C$5="فصلي",Q567=التقارير!$C$7))),1,0))</f>
        <v/>
      </c>
      <c r="T567" s="20">
        <f>IF(S567=1,COUNTIF($S$5:S567,1),"")</f>
        <v/>
      </c>
      <c r="U567">
        <f>IF(AND($A567&lt;&gt;"",$B567&lt;&gt;"",$R567='تقرير الفصل الأول'!$C$4,$Q567='تقرير الفصل الأول'!$C$7),COUNT(U$4:U566)+1,"")</f>
        <v/>
      </c>
      <c r="V567">
        <f>IF(AND($A567&lt;&gt;"",$B567&lt;&gt;"",$R567='تقرير الفصل الثاني'!$C$4,$Q567='تقرير الفصل الثاني'!$C$7),COUNT(V$4:V566)+1,"")</f>
        <v/>
      </c>
      <c r="W567">
        <f>IF(AND($A567&lt;&gt;"",$B567&lt;&gt;"",$R567='تقرير سبتمبر'!$C$4,$P567='تقرير سبتمبر'!$C$6),COUNT(W$4:W566)+1,"")</f>
        <v/>
      </c>
      <c r="X567">
        <f>IF(AND($A567&lt;&gt;"",$B567&lt;&gt;"",$R567='تقرير أكتوبر'!$C$4,$P567='تقرير أكتوبر'!$C$6),COUNT(X$4:X566)+1,"")</f>
        <v/>
      </c>
      <c r="Y567">
        <f>IF(AND($A567&lt;&gt;"",$B567&lt;&gt;"",$R567='تقرير نوفمبر'!$C$4,$P567='تقرير نوفمبر'!$C$6),COUNT(Y$4:Y566)+1,"")</f>
        <v/>
      </c>
      <c r="Z567">
        <f>IF(AND($A567&lt;&gt;"",$B567&lt;&gt;"",$R567='تقرير ديسمبر'!$C$4,$P567='تقرير ديسمبر'!$C$6),COUNT(Z$4:Z566)+1,"")</f>
        <v/>
      </c>
      <c r="AA567">
        <f>IF(AND($A567&lt;&gt;"",$B567&lt;&gt;"",$R567='تقرير يناير'!$C$4,$P567='تقرير يناير'!$C$6),COUNT(AA$4:AA566)+1,"")</f>
        <v/>
      </c>
      <c r="AB567">
        <f>IF(AND($A567&lt;&gt;"",$B567&lt;&gt;"",$R567='تقرير فبراير'!$C$4,$P567='تقرير فبراير'!$C$6),COUNT(AB$4:AB566)+1,"")</f>
        <v/>
      </c>
      <c r="AC567">
        <f>IF(AND($A567&lt;&gt;"",$B567&lt;&gt;"",$R567='تقرير مارس'!$C$4,$P567='تقرير مارس'!$C$6),COUNT(AC$4:AC566)+1,"")</f>
        <v/>
      </c>
      <c r="AD567">
        <f>IF(AND($A567&lt;&gt;"",$B567&lt;&gt;"",$R567='تقرير أبريل'!$C$4,$P567='تقرير أبريل'!$C$6),COUNT(AD$4:AD566)+1,"")</f>
        <v/>
      </c>
      <c r="AE567">
        <f>IF(AND($A567&lt;&gt;"",$B567&lt;&gt;"",$R567='تقرير مايو'!$C$4,$P567='تقرير مايو'!$C$6),COUNT(AE$4:AE566)+1,"")</f>
        <v/>
      </c>
    </row>
    <row r="568">
      <c r="A568" s="16" t="n"/>
      <c r="B568" s="17" t="n"/>
      <c r="C568" s="17" t="n"/>
      <c r="D568" s="18" t="n"/>
      <c r="E568" s="17" t="n"/>
      <c r="F568" s="17" t="n"/>
      <c r="G568" s="19" t="n"/>
      <c r="H568" s="17" t="n"/>
      <c r="I568" s="17" t="n"/>
      <c r="J568" s="17" t="n"/>
      <c r="K568" s="20">
        <f>IF($B568="","",IFERROR(INDEX(الموظفات!$A$5:$A$304,MATCH($B568,الموظفات!$B$5:$B$304,0))&amp;"",""))</f>
        <v/>
      </c>
      <c r="L568" s="21">
        <f>IF($B568="","",IFERROR(INDEX(الموظفات!$C$5:$C$304,MATCH($B568,الموظفات!$B$5:$B$304,0))&amp;"",""))</f>
        <v/>
      </c>
      <c r="M568" s="20">
        <f>IF($B568="","",IFERROR(INDEX(الموظفات!$D$5:$D$304,MATCH($B568,الموظفات!$B$5:$B$304,0))&amp;"",""))</f>
        <v/>
      </c>
      <c r="N568" s="20">
        <f>IF($B568="","",IFERROR(INDEX(الموظفات!$E$5:$E$304,MATCH($B568,الموظفات!$B$5:$B$304,0))&amp;"",""))</f>
        <v/>
      </c>
      <c r="O568" s="21">
        <f>IF(C568="","",IFERROR(INDEX(الإعدادات!$D$7:$D$35,MATCH(C568,الإعدادات!$A$7:$A$35,0))&amp;"",""))</f>
        <v/>
      </c>
      <c r="P568" s="20">
        <f>IF(A568="","",INDEX(الإعدادات!$H$7:$H$18,MONTH(A568)))</f>
        <v/>
      </c>
      <c r="Q568" s="20">
        <f>IF(A568="","",INDEX(الإعدادات!$I$7:$I$18,MONTH(A568)))</f>
        <v/>
      </c>
      <c r="R568" s="20">
        <f>IF(A568="","",IF(MONTH(A568)&gt;=8,YEAR(A568)&amp;"-"&amp;(YEAR(A568)+1),(YEAR(A568)-1)&amp;"-"&amp;YEAR(A568)))</f>
        <v/>
      </c>
      <c r="S568" s="20">
        <f>IF(OR(A568="",B568=""),0,IF(AND(R568=التقارير!$C$4,OR(التقارير!$C$5="سنوي",AND(التقارير!$C$5="شهري",P568=التقارير!$C$6),AND(التقارير!$C$5="فصلي",Q568=التقارير!$C$7))),1,0))</f>
        <v/>
      </c>
      <c r="T568" s="20">
        <f>IF(S568=1,COUNTIF($S$5:S568,1),"")</f>
        <v/>
      </c>
      <c r="U568">
        <f>IF(AND($A568&lt;&gt;"",$B568&lt;&gt;"",$R568='تقرير الفصل الأول'!$C$4,$Q568='تقرير الفصل الأول'!$C$7),COUNT(U$4:U567)+1,"")</f>
        <v/>
      </c>
      <c r="V568">
        <f>IF(AND($A568&lt;&gt;"",$B568&lt;&gt;"",$R568='تقرير الفصل الثاني'!$C$4,$Q568='تقرير الفصل الثاني'!$C$7),COUNT(V$4:V567)+1,"")</f>
        <v/>
      </c>
      <c r="W568">
        <f>IF(AND($A568&lt;&gt;"",$B568&lt;&gt;"",$R568='تقرير سبتمبر'!$C$4,$P568='تقرير سبتمبر'!$C$6),COUNT(W$4:W567)+1,"")</f>
        <v/>
      </c>
      <c r="X568">
        <f>IF(AND($A568&lt;&gt;"",$B568&lt;&gt;"",$R568='تقرير أكتوبر'!$C$4,$P568='تقرير أكتوبر'!$C$6),COUNT(X$4:X567)+1,"")</f>
        <v/>
      </c>
      <c r="Y568">
        <f>IF(AND($A568&lt;&gt;"",$B568&lt;&gt;"",$R568='تقرير نوفمبر'!$C$4,$P568='تقرير نوفمبر'!$C$6),COUNT(Y$4:Y567)+1,"")</f>
        <v/>
      </c>
      <c r="Z568">
        <f>IF(AND($A568&lt;&gt;"",$B568&lt;&gt;"",$R568='تقرير ديسمبر'!$C$4,$P568='تقرير ديسمبر'!$C$6),COUNT(Z$4:Z567)+1,"")</f>
        <v/>
      </c>
      <c r="AA568">
        <f>IF(AND($A568&lt;&gt;"",$B568&lt;&gt;"",$R568='تقرير يناير'!$C$4,$P568='تقرير يناير'!$C$6),COUNT(AA$4:AA567)+1,"")</f>
        <v/>
      </c>
      <c r="AB568">
        <f>IF(AND($A568&lt;&gt;"",$B568&lt;&gt;"",$R568='تقرير فبراير'!$C$4,$P568='تقرير فبراير'!$C$6),COUNT(AB$4:AB567)+1,"")</f>
        <v/>
      </c>
      <c r="AC568">
        <f>IF(AND($A568&lt;&gt;"",$B568&lt;&gt;"",$R568='تقرير مارس'!$C$4,$P568='تقرير مارس'!$C$6),COUNT(AC$4:AC567)+1,"")</f>
        <v/>
      </c>
      <c r="AD568">
        <f>IF(AND($A568&lt;&gt;"",$B568&lt;&gt;"",$R568='تقرير أبريل'!$C$4,$P568='تقرير أبريل'!$C$6),COUNT(AD$4:AD567)+1,"")</f>
        <v/>
      </c>
      <c r="AE568">
        <f>IF(AND($A568&lt;&gt;"",$B568&lt;&gt;"",$R568='تقرير مايو'!$C$4,$P568='تقرير مايو'!$C$6),COUNT(AE$4:AE567)+1,"")</f>
        <v/>
      </c>
    </row>
    <row r="569">
      <c r="A569" s="16" t="n"/>
      <c r="B569" s="17" t="n"/>
      <c r="C569" s="17" t="n"/>
      <c r="D569" s="18" t="n"/>
      <c r="E569" s="17" t="n"/>
      <c r="F569" s="17" t="n"/>
      <c r="G569" s="19" t="n"/>
      <c r="H569" s="17" t="n"/>
      <c r="I569" s="17" t="n"/>
      <c r="J569" s="17" t="n"/>
      <c r="K569" s="20">
        <f>IF($B569="","",IFERROR(INDEX(الموظفات!$A$5:$A$304,MATCH($B569,الموظفات!$B$5:$B$304,0))&amp;"",""))</f>
        <v/>
      </c>
      <c r="L569" s="21">
        <f>IF($B569="","",IFERROR(INDEX(الموظفات!$C$5:$C$304,MATCH($B569,الموظفات!$B$5:$B$304,0))&amp;"",""))</f>
        <v/>
      </c>
      <c r="M569" s="20">
        <f>IF($B569="","",IFERROR(INDEX(الموظفات!$D$5:$D$304,MATCH($B569,الموظفات!$B$5:$B$304,0))&amp;"",""))</f>
        <v/>
      </c>
      <c r="N569" s="20">
        <f>IF($B569="","",IFERROR(INDEX(الموظفات!$E$5:$E$304,MATCH($B569,الموظفات!$B$5:$B$304,0))&amp;"",""))</f>
        <v/>
      </c>
      <c r="O569" s="21">
        <f>IF(C569="","",IFERROR(INDEX(الإعدادات!$D$7:$D$35,MATCH(C569,الإعدادات!$A$7:$A$35,0))&amp;"",""))</f>
        <v/>
      </c>
      <c r="P569" s="20">
        <f>IF(A569="","",INDEX(الإعدادات!$H$7:$H$18,MONTH(A569)))</f>
        <v/>
      </c>
      <c r="Q569" s="20">
        <f>IF(A569="","",INDEX(الإعدادات!$I$7:$I$18,MONTH(A569)))</f>
        <v/>
      </c>
      <c r="R569" s="20">
        <f>IF(A569="","",IF(MONTH(A569)&gt;=8,YEAR(A569)&amp;"-"&amp;(YEAR(A569)+1),(YEAR(A569)-1)&amp;"-"&amp;YEAR(A569)))</f>
        <v/>
      </c>
      <c r="S569" s="20">
        <f>IF(OR(A569="",B569=""),0,IF(AND(R569=التقارير!$C$4,OR(التقارير!$C$5="سنوي",AND(التقارير!$C$5="شهري",P569=التقارير!$C$6),AND(التقارير!$C$5="فصلي",Q569=التقارير!$C$7))),1,0))</f>
        <v/>
      </c>
      <c r="T569" s="20">
        <f>IF(S569=1,COUNTIF($S$5:S569,1),"")</f>
        <v/>
      </c>
      <c r="U569">
        <f>IF(AND($A569&lt;&gt;"",$B569&lt;&gt;"",$R569='تقرير الفصل الأول'!$C$4,$Q569='تقرير الفصل الأول'!$C$7),COUNT(U$4:U568)+1,"")</f>
        <v/>
      </c>
      <c r="V569">
        <f>IF(AND($A569&lt;&gt;"",$B569&lt;&gt;"",$R569='تقرير الفصل الثاني'!$C$4,$Q569='تقرير الفصل الثاني'!$C$7),COUNT(V$4:V568)+1,"")</f>
        <v/>
      </c>
      <c r="W569">
        <f>IF(AND($A569&lt;&gt;"",$B569&lt;&gt;"",$R569='تقرير سبتمبر'!$C$4,$P569='تقرير سبتمبر'!$C$6),COUNT(W$4:W568)+1,"")</f>
        <v/>
      </c>
      <c r="X569">
        <f>IF(AND($A569&lt;&gt;"",$B569&lt;&gt;"",$R569='تقرير أكتوبر'!$C$4,$P569='تقرير أكتوبر'!$C$6),COUNT(X$4:X568)+1,"")</f>
        <v/>
      </c>
      <c r="Y569">
        <f>IF(AND($A569&lt;&gt;"",$B569&lt;&gt;"",$R569='تقرير نوفمبر'!$C$4,$P569='تقرير نوفمبر'!$C$6),COUNT(Y$4:Y568)+1,"")</f>
        <v/>
      </c>
      <c r="Z569">
        <f>IF(AND($A569&lt;&gt;"",$B569&lt;&gt;"",$R569='تقرير ديسمبر'!$C$4,$P569='تقرير ديسمبر'!$C$6),COUNT(Z$4:Z568)+1,"")</f>
        <v/>
      </c>
      <c r="AA569">
        <f>IF(AND($A569&lt;&gt;"",$B569&lt;&gt;"",$R569='تقرير يناير'!$C$4,$P569='تقرير يناير'!$C$6),COUNT(AA$4:AA568)+1,"")</f>
        <v/>
      </c>
      <c r="AB569">
        <f>IF(AND($A569&lt;&gt;"",$B569&lt;&gt;"",$R569='تقرير فبراير'!$C$4,$P569='تقرير فبراير'!$C$6),COUNT(AB$4:AB568)+1,"")</f>
        <v/>
      </c>
      <c r="AC569">
        <f>IF(AND($A569&lt;&gt;"",$B569&lt;&gt;"",$R569='تقرير مارس'!$C$4,$P569='تقرير مارس'!$C$6),COUNT(AC$4:AC568)+1,"")</f>
        <v/>
      </c>
      <c r="AD569">
        <f>IF(AND($A569&lt;&gt;"",$B569&lt;&gt;"",$R569='تقرير أبريل'!$C$4,$P569='تقرير أبريل'!$C$6),COUNT(AD$4:AD568)+1,"")</f>
        <v/>
      </c>
      <c r="AE569">
        <f>IF(AND($A569&lt;&gt;"",$B569&lt;&gt;"",$R569='تقرير مايو'!$C$4,$P569='تقرير مايو'!$C$6),COUNT(AE$4:AE568)+1,"")</f>
        <v/>
      </c>
    </row>
    <row r="570">
      <c r="A570" s="16" t="n"/>
      <c r="B570" s="17" t="n"/>
      <c r="C570" s="17" t="n"/>
      <c r="D570" s="18" t="n"/>
      <c r="E570" s="17" t="n"/>
      <c r="F570" s="17" t="n"/>
      <c r="G570" s="19" t="n"/>
      <c r="H570" s="17" t="n"/>
      <c r="I570" s="17" t="n"/>
      <c r="J570" s="17" t="n"/>
      <c r="K570" s="20">
        <f>IF($B570="","",IFERROR(INDEX(الموظفات!$A$5:$A$304,MATCH($B570,الموظفات!$B$5:$B$304,0))&amp;"",""))</f>
        <v/>
      </c>
      <c r="L570" s="21">
        <f>IF($B570="","",IFERROR(INDEX(الموظفات!$C$5:$C$304,MATCH($B570,الموظفات!$B$5:$B$304,0))&amp;"",""))</f>
        <v/>
      </c>
      <c r="M570" s="20">
        <f>IF($B570="","",IFERROR(INDEX(الموظفات!$D$5:$D$304,MATCH($B570,الموظفات!$B$5:$B$304,0))&amp;"",""))</f>
        <v/>
      </c>
      <c r="N570" s="20">
        <f>IF($B570="","",IFERROR(INDEX(الموظفات!$E$5:$E$304,MATCH($B570,الموظفات!$B$5:$B$304,0))&amp;"",""))</f>
        <v/>
      </c>
      <c r="O570" s="21">
        <f>IF(C570="","",IFERROR(INDEX(الإعدادات!$D$7:$D$35,MATCH(C570,الإعدادات!$A$7:$A$35,0))&amp;"",""))</f>
        <v/>
      </c>
      <c r="P570" s="20">
        <f>IF(A570="","",INDEX(الإعدادات!$H$7:$H$18,MONTH(A570)))</f>
        <v/>
      </c>
      <c r="Q570" s="20">
        <f>IF(A570="","",INDEX(الإعدادات!$I$7:$I$18,MONTH(A570)))</f>
        <v/>
      </c>
      <c r="R570" s="20">
        <f>IF(A570="","",IF(MONTH(A570)&gt;=8,YEAR(A570)&amp;"-"&amp;(YEAR(A570)+1),(YEAR(A570)-1)&amp;"-"&amp;YEAR(A570)))</f>
        <v/>
      </c>
      <c r="S570" s="20">
        <f>IF(OR(A570="",B570=""),0,IF(AND(R570=التقارير!$C$4,OR(التقارير!$C$5="سنوي",AND(التقارير!$C$5="شهري",P570=التقارير!$C$6),AND(التقارير!$C$5="فصلي",Q570=التقارير!$C$7))),1,0))</f>
        <v/>
      </c>
      <c r="T570" s="20">
        <f>IF(S570=1,COUNTIF($S$5:S570,1),"")</f>
        <v/>
      </c>
      <c r="U570">
        <f>IF(AND($A570&lt;&gt;"",$B570&lt;&gt;"",$R570='تقرير الفصل الأول'!$C$4,$Q570='تقرير الفصل الأول'!$C$7),COUNT(U$4:U569)+1,"")</f>
        <v/>
      </c>
      <c r="V570">
        <f>IF(AND($A570&lt;&gt;"",$B570&lt;&gt;"",$R570='تقرير الفصل الثاني'!$C$4,$Q570='تقرير الفصل الثاني'!$C$7),COUNT(V$4:V569)+1,"")</f>
        <v/>
      </c>
      <c r="W570">
        <f>IF(AND($A570&lt;&gt;"",$B570&lt;&gt;"",$R570='تقرير سبتمبر'!$C$4,$P570='تقرير سبتمبر'!$C$6),COUNT(W$4:W569)+1,"")</f>
        <v/>
      </c>
      <c r="X570">
        <f>IF(AND($A570&lt;&gt;"",$B570&lt;&gt;"",$R570='تقرير أكتوبر'!$C$4,$P570='تقرير أكتوبر'!$C$6),COUNT(X$4:X569)+1,"")</f>
        <v/>
      </c>
      <c r="Y570">
        <f>IF(AND($A570&lt;&gt;"",$B570&lt;&gt;"",$R570='تقرير نوفمبر'!$C$4,$P570='تقرير نوفمبر'!$C$6),COUNT(Y$4:Y569)+1,"")</f>
        <v/>
      </c>
      <c r="Z570">
        <f>IF(AND($A570&lt;&gt;"",$B570&lt;&gt;"",$R570='تقرير ديسمبر'!$C$4,$P570='تقرير ديسمبر'!$C$6),COUNT(Z$4:Z569)+1,"")</f>
        <v/>
      </c>
      <c r="AA570">
        <f>IF(AND($A570&lt;&gt;"",$B570&lt;&gt;"",$R570='تقرير يناير'!$C$4,$P570='تقرير يناير'!$C$6),COUNT(AA$4:AA569)+1,"")</f>
        <v/>
      </c>
      <c r="AB570">
        <f>IF(AND($A570&lt;&gt;"",$B570&lt;&gt;"",$R570='تقرير فبراير'!$C$4,$P570='تقرير فبراير'!$C$6),COUNT(AB$4:AB569)+1,"")</f>
        <v/>
      </c>
      <c r="AC570">
        <f>IF(AND($A570&lt;&gt;"",$B570&lt;&gt;"",$R570='تقرير مارس'!$C$4,$P570='تقرير مارس'!$C$6),COUNT(AC$4:AC569)+1,"")</f>
        <v/>
      </c>
      <c r="AD570">
        <f>IF(AND($A570&lt;&gt;"",$B570&lt;&gt;"",$R570='تقرير أبريل'!$C$4,$P570='تقرير أبريل'!$C$6),COUNT(AD$4:AD569)+1,"")</f>
        <v/>
      </c>
      <c r="AE570">
        <f>IF(AND($A570&lt;&gt;"",$B570&lt;&gt;"",$R570='تقرير مايو'!$C$4,$P570='تقرير مايو'!$C$6),COUNT(AE$4:AE569)+1,"")</f>
        <v/>
      </c>
    </row>
    <row r="571">
      <c r="A571" s="16" t="n"/>
      <c r="B571" s="17" t="n"/>
      <c r="C571" s="17" t="n"/>
      <c r="D571" s="18" t="n"/>
      <c r="E571" s="17" t="n"/>
      <c r="F571" s="17" t="n"/>
      <c r="G571" s="19" t="n"/>
      <c r="H571" s="17" t="n"/>
      <c r="I571" s="17" t="n"/>
      <c r="J571" s="17" t="n"/>
      <c r="K571" s="20">
        <f>IF($B571="","",IFERROR(INDEX(الموظفات!$A$5:$A$304,MATCH($B571,الموظفات!$B$5:$B$304,0))&amp;"",""))</f>
        <v/>
      </c>
      <c r="L571" s="21">
        <f>IF($B571="","",IFERROR(INDEX(الموظفات!$C$5:$C$304,MATCH($B571,الموظفات!$B$5:$B$304,0))&amp;"",""))</f>
        <v/>
      </c>
      <c r="M571" s="20">
        <f>IF($B571="","",IFERROR(INDEX(الموظفات!$D$5:$D$304,MATCH($B571,الموظفات!$B$5:$B$304,0))&amp;"",""))</f>
        <v/>
      </c>
      <c r="N571" s="20">
        <f>IF($B571="","",IFERROR(INDEX(الموظفات!$E$5:$E$304,MATCH($B571,الموظفات!$B$5:$B$304,0))&amp;"",""))</f>
        <v/>
      </c>
      <c r="O571" s="21">
        <f>IF(C571="","",IFERROR(INDEX(الإعدادات!$D$7:$D$35,MATCH(C571,الإعدادات!$A$7:$A$35,0))&amp;"",""))</f>
        <v/>
      </c>
      <c r="P571" s="20">
        <f>IF(A571="","",INDEX(الإعدادات!$H$7:$H$18,MONTH(A571)))</f>
        <v/>
      </c>
      <c r="Q571" s="20">
        <f>IF(A571="","",INDEX(الإعدادات!$I$7:$I$18,MONTH(A571)))</f>
        <v/>
      </c>
      <c r="R571" s="20">
        <f>IF(A571="","",IF(MONTH(A571)&gt;=8,YEAR(A571)&amp;"-"&amp;(YEAR(A571)+1),(YEAR(A571)-1)&amp;"-"&amp;YEAR(A571)))</f>
        <v/>
      </c>
      <c r="S571" s="20">
        <f>IF(OR(A571="",B571=""),0,IF(AND(R571=التقارير!$C$4,OR(التقارير!$C$5="سنوي",AND(التقارير!$C$5="شهري",P571=التقارير!$C$6),AND(التقارير!$C$5="فصلي",Q571=التقارير!$C$7))),1,0))</f>
        <v/>
      </c>
      <c r="T571" s="20">
        <f>IF(S571=1,COUNTIF($S$5:S571,1),"")</f>
        <v/>
      </c>
      <c r="U571">
        <f>IF(AND($A571&lt;&gt;"",$B571&lt;&gt;"",$R571='تقرير الفصل الأول'!$C$4,$Q571='تقرير الفصل الأول'!$C$7),COUNT(U$4:U570)+1,"")</f>
        <v/>
      </c>
      <c r="V571">
        <f>IF(AND($A571&lt;&gt;"",$B571&lt;&gt;"",$R571='تقرير الفصل الثاني'!$C$4,$Q571='تقرير الفصل الثاني'!$C$7),COUNT(V$4:V570)+1,"")</f>
        <v/>
      </c>
      <c r="W571">
        <f>IF(AND($A571&lt;&gt;"",$B571&lt;&gt;"",$R571='تقرير سبتمبر'!$C$4,$P571='تقرير سبتمبر'!$C$6),COUNT(W$4:W570)+1,"")</f>
        <v/>
      </c>
      <c r="X571">
        <f>IF(AND($A571&lt;&gt;"",$B571&lt;&gt;"",$R571='تقرير أكتوبر'!$C$4,$P571='تقرير أكتوبر'!$C$6),COUNT(X$4:X570)+1,"")</f>
        <v/>
      </c>
      <c r="Y571">
        <f>IF(AND($A571&lt;&gt;"",$B571&lt;&gt;"",$R571='تقرير نوفمبر'!$C$4,$P571='تقرير نوفمبر'!$C$6),COUNT(Y$4:Y570)+1,"")</f>
        <v/>
      </c>
      <c r="Z571">
        <f>IF(AND($A571&lt;&gt;"",$B571&lt;&gt;"",$R571='تقرير ديسمبر'!$C$4,$P571='تقرير ديسمبر'!$C$6),COUNT(Z$4:Z570)+1,"")</f>
        <v/>
      </c>
      <c r="AA571">
        <f>IF(AND($A571&lt;&gt;"",$B571&lt;&gt;"",$R571='تقرير يناير'!$C$4,$P571='تقرير يناير'!$C$6),COUNT(AA$4:AA570)+1,"")</f>
        <v/>
      </c>
      <c r="AB571">
        <f>IF(AND($A571&lt;&gt;"",$B571&lt;&gt;"",$R571='تقرير فبراير'!$C$4,$P571='تقرير فبراير'!$C$6),COUNT(AB$4:AB570)+1,"")</f>
        <v/>
      </c>
      <c r="AC571">
        <f>IF(AND($A571&lt;&gt;"",$B571&lt;&gt;"",$R571='تقرير مارس'!$C$4,$P571='تقرير مارس'!$C$6),COUNT(AC$4:AC570)+1,"")</f>
        <v/>
      </c>
      <c r="AD571">
        <f>IF(AND($A571&lt;&gt;"",$B571&lt;&gt;"",$R571='تقرير أبريل'!$C$4,$P571='تقرير أبريل'!$C$6),COUNT(AD$4:AD570)+1,"")</f>
        <v/>
      </c>
      <c r="AE571">
        <f>IF(AND($A571&lt;&gt;"",$B571&lt;&gt;"",$R571='تقرير مايو'!$C$4,$P571='تقرير مايو'!$C$6),COUNT(AE$4:AE570)+1,"")</f>
        <v/>
      </c>
    </row>
    <row r="572">
      <c r="A572" s="16" t="n"/>
      <c r="B572" s="17" t="n"/>
      <c r="C572" s="17" t="n"/>
      <c r="D572" s="18" t="n"/>
      <c r="E572" s="17" t="n"/>
      <c r="F572" s="17" t="n"/>
      <c r="G572" s="19" t="n"/>
      <c r="H572" s="17" t="n"/>
      <c r="I572" s="17" t="n"/>
      <c r="J572" s="17" t="n"/>
      <c r="K572" s="20">
        <f>IF($B572="","",IFERROR(INDEX(الموظفات!$A$5:$A$304,MATCH($B572,الموظفات!$B$5:$B$304,0))&amp;"",""))</f>
        <v/>
      </c>
      <c r="L572" s="21">
        <f>IF($B572="","",IFERROR(INDEX(الموظفات!$C$5:$C$304,MATCH($B572,الموظفات!$B$5:$B$304,0))&amp;"",""))</f>
        <v/>
      </c>
      <c r="M572" s="20">
        <f>IF($B572="","",IFERROR(INDEX(الموظفات!$D$5:$D$304,MATCH($B572,الموظفات!$B$5:$B$304,0))&amp;"",""))</f>
        <v/>
      </c>
      <c r="N572" s="20">
        <f>IF($B572="","",IFERROR(INDEX(الموظفات!$E$5:$E$304,MATCH($B572,الموظفات!$B$5:$B$304,0))&amp;"",""))</f>
        <v/>
      </c>
      <c r="O572" s="21">
        <f>IF(C572="","",IFERROR(INDEX(الإعدادات!$D$7:$D$35,MATCH(C572,الإعدادات!$A$7:$A$35,0))&amp;"",""))</f>
        <v/>
      </c>
      <c r="P572" s="20">
        <f>IF(A572="","",INDEX(الإعدادات!$H$7:$H$18,MONTH(A572)))</f>
        <v/>
      </c>
      <c r="Q572" s="20">
        <f>IF(A572="","",INDEX(الإعدادات!$I$7:$I$18,MONTH(A572)))</f>
        <v/>
      </c>
      <c r="R572" s="20">
        <f>IF(A572="","",IF(MONTH(A572)&gt;=8,YEAR(A572)&amp;"-"&amp;(YEAR(A572)+1),(YEAR(A572)-1)&amp;"-"&amp;YEAR(A572)))</f>
        <v/>
      </c>
      <c r="S572" s="20">
        <f>IF(OR(A572="",B572=""),0,IF(AND(R572=التقارير!$C$4,OR(التقارير!$C$5="سنوي",AND(التقارير!$C$5="شهري",P572=التقارير!$C$6),AND(التقارير!$C$5="فصلي",Q572=التقارير!$C$7))),1,0))</f>
        <v/>
      </c>
      <c r="T572" s="20">
        <f>IF(S572=1,COUNTIF($S$5:S572,1),"")</f>
        <v/>
      </c>
      <c r="U572">
        <f>IF(AND($A572&lt;&gt;"",$B572&lt;&gt;"",$R572='تقرير الفصل الأول'!$C$4,$Q572='تقرير الفصل الأول'!$C$7),COUNT(U$4:U571)+1,"")</f>
        <v/>
      </c>
      <c r="V572">
        <f>IF(AND($A572&lt;&gt;"",$B572&lt;&gt;"",$R572='تقرير الفصل الثاني'!$C$4,$Q572='تقرير الفصل الثاني'!$C$7),COUNT(V$4:V571)+1,"")</f>
        <v/>
      </c>
      <c r="W572">
        <f>IF(AND($A572&lt;&gt;"",$B572&lt;&gt;"",$R572='تقرير سبتمبر'!$C$4,$P572='تقرير سبتمبر'!$C$6),COUNT(W$4:W571)+1,"")</f>
        <v/>
      </c>
      <c r="X572">
        <f>IF(AND($A572&lt;&gt;"",$B572&lt;&gt;"",$R572='تقرير أكتوبر'!$C$4,$P572='تقرير أكتوبر'!$C$6),COUNT(X$4:X571)+1,"")</f>
        <v/>
      </c>
      <c r="Y572">
        <f>IF(AND($A572&lt;&gt;"",$B572&lt;&gt;"",$R572='تقرير نوفمبر'!$C$4,$P572='تقرير نوفمبر'!$C$6),COUNT(Y$4:Y571)+1,"")</f>
        <v/>
      </c>
      <c r="Z572">
        <f>IF(AND($A572&lt;&gt;"",$B572&lt;&gt;"",$R572='تقرير ديسمبر'!$C$4,$P572='تقرير ديسمبر'!$C$6),COUNT(Z$4:Z571)+1,"")</f>
        <v/>
      </c>
      <c r="AA572">
        <f>IF(AND($A572&lt;&gt;"",$B572&lt;&gt;"",$R572='تقرير يناير'!$C$4,$P572='تقرير يناير'!$C$6),COUNT(AA$4:AA571)+1,"")</f>
        <v/>
      </c>
      <c r="AB572">
        <f>IF(AND($A572&lt;&gt;"",$B572&lt;&gt;"",$R572='تقرير فبراير'!$C$4,$P572='تقرير فبراير'!$C$6),COUNT(AB$4:AB571)+1,"")</f>
        <v/>
      </c>
      <c r="AC572">
        <f>IF(AND($A572&lt;&gt;"",$B572&lt;&gt;"",$R572='تقرير مارس'!$C$4,$P572='تقرير مارس'!$C$6),COUNT(AC$4:AC571)+1,"")</f>
        <v/>
      </c>
      <c r="AD572">
        <f>IF(AND($A572&lt;&gt;"",$B572&lt;&gt;"",$R572='تقرير أبريل'!$C$4,$P572='تقرير أبريل'!$C$6),COUNT(AD$4:AD571)+1,"")</f>
        <v/>
      </c>
      <c r="AE572">
        <f>IF(AND($A572&lt;&gt;"",$B572&lt;&gt;"",$R572='تقرير مايو'!$C$4,$P572='تقرير مايو'!$C$6),COUNT(AE$4:AE571)+1,"")</f>
        <v/>
      </c>
    </row>
    <row r="573">
      <c r="A573" s="16" t="n"/>
      <c r="B573" s="17" t="n"/>
      <c r="C573" s="17" t="n"/>
      <c r="D573" s="18" t="n"/>
      <c r="E573" s="17" t="n"/>
      <c r="F573" s="17" t="n"/>
      <c r="G573" s="19" t="n"/>
      <c r="H573" s="17" t="n"/>
      <c r="I573" s="17" t="n"/>
      <c r="J573" s="17" t="n"/>
      <c r="K573" s="20">
        <f>IF($B573="","",IFERROR(INDEX(الموظفات!$A$5:$A$304,MATCH($B573,الموظفات!$B$5:$B$304,0))&amp;"",""))</f>
        <v/>
      </c>
      <c r="L573" s="21">
        <f>IF($B573="","",IFERROR(INDEX(الموظفات!$C$5:$C$304,MATCH($B573,الموظفات!$B$5:$B$304,0))&amp;"",""))</f>
        <v/>
      </c>
      <c r="M573" s="20">
        <f>IF($B573="","",IFERROR(INDEX(الموظفات!$D$5:$D$304,MATCH($B573,الموظفات!$B$5:$B$304,0))&amp;"",""))</f>
        <v/>
      </c>
      <c r="N573" s="20">
        <f>IF($B573="","",IFERROR(INDEX(الموظفات!$E$5:$E$304,MATCH($B573,الموظفات!$B$5:$B$304,0))&amp;"",""))</f>
        <v/>
      </c>
      <c r="O573" s="21">
        <f>IF(C573="","",IFERROR(INDEX(الإعدادات!$D$7:$D$35,MATCH(C573,الإعدادات!$A$7:$A$35,0))&amp;"",""))</f>
        <v/>
      </c>
      <c r="P573" s="20">
        <f>IF(A573="","",INDEX(الإعدادات!$H$7:$H$18,MONTH(A573)))</f>
        <v/>
      </c>
      <c r="Q573" s="20">
        <f>IF(A573="","",INDEX(الإعدادات!$I$7:$I$18,MONTH(A573)))</f>
        <v/>
      </c>
      <c r="R573" s="20">
        <f>IF(A573="","",IF(MONTH(A573)&gt;=8,YEAR(A573)&amp;"-"&amp;(YEAR(A573)+1),(YEAR(A573)-1)&amp;"-"&amp;YEAR(A573)))</f>
        <v/>
      </c>
      <c r="S573" s="20">
        <f>IF(OR(A573="",B573=""),0,IF(AND(R573=التقارير!$C$4,OR(التقارير!$C$5="سنوي",AND(التقارير!$C$5="شهري",P573=التقارير!$C$6),AND(التقارير!$C$5="فصلي",Q573=التقارير!$C$7))),1,0))</f>
        <v/>
      </c>
      <c r="T573" s="20">
        <f>IF(S573=1,COUNTIF($S$5:S573,1),"")</f>
        <v/>
      </c>
      <c r="U573">
        <f>IF(AND($A573&lt;&gt;"",$B573&lt;&gt;"",$R573='تقرير الفصل الأول'!$C$4,$Q573='تقرير الفصل الأول'!$C$7),COUNT(U$4:U572)+1,"")</f>
        <v/>
      </c>
      <c r="V573">
        <f>IF(AND($A573&lt;&gt;"",$B573&lt;&gt;"",$R573='تقرير الفصل الثاني'!$C$4,$Q573='تقرير الفصل الثاني'!$C$7),COUNT(V$4:V572)+1,"")</f>
        <v/>
      </c>
      <c r="W573">
        <f>IF(AND($A573&lt;&gt;"",$B573&lt;&gt;"",$R573='تقرير سبتمبر'!$C$4,$P573='تقرير سبتمبر'!$C$6),COUNT(W$4:W572)+1,"")</f>
        <v/>
      </c>
      <c r="X573">
        <f>IF(AND($A573&lt;&gt;"",$B573&lt;&gt;"",$R573='تقرير أكتوبر'!$C$4,$P573='تقرير أكتوبر'!$C$6),COUNT(X$4:X572)+1,"")</f>
        <v/>
      </c>
      <c r="Y573">
        <f>IF(AND($A573&lt;&gt;"",$B573&lt;&gt;"",$R573='تقرير نوفمبر'!$C$4,$P573='تقرير نوفمبر'!$C$6),COUNT(Y$4:Y572)+1,"")</f>
        <v/>
      </c>
      <c r="Z573">
        <f>IF(AND($A573&lt;&gt;"",$B573&lt;&gt;"",$R573='تقرير ديسمبر'!$C$4,$P573='تقرير ديسمبر'!$C$6),COUNT(Z$4:Z572)+1,"")</f>
        <v/>
      </c>
      <c r="AA573">
        <f>IF(AND($A573&lt;&gt;"",$B573&lt;&gt;"",$R573='تقرير يناير'!$C$4,$P573='تقرير يناير'!$C$6),COUNT(AA$4:AA572)+1,"")</f>
        <v/>
      </c>
      <c r="AB573">
        <f>IF(AND($A573&lt;&gt;"",$B573&lt;&gt;"",$R573='تقرير فبراير'!$C$4,$P573='تقرير فبراير'!$C$6),COUNT(AB$4:AB572)+1,"")</f>
        <v/>
      </c>
      <c r="AC573">
        <f>IF(AND($A573&lt;&gt;"",$B573&lt;&gt;"",$R573='تقرير مارس'!$C$4,$P573='تقرير مارس'!$C$6),COUNT(AC$4:AC572)+1,"")</f>
        <v/>
      </c>
      <c r="AD573">
        <f>IF(AND($A573&lt;&gt;"",$B573&lt;&gt;"",$R573='تقرير أبريل'!$C$4,$P573='تقرير أبريل'!$C$6),COUNT(AD$4:AD572)+1,"")</f>
        <v/>
      </c>
      <c r="AE573">
        <f>IF(AND($A573&lt;&gt;"",$B573&lt;&gt;"",$R573='تقرير مايو'!$C$4,$P573='تقرير مايو'!$C$6),COUNT(AE$4:AE572)+1,"")</f>
        <v/>
      </c>
    </row>
    <row r="574">
      <c r="A574" s="16" t="n"/>
      <c r="B574" s="17" t="n"/>
      <c r="C574" s="17" t="n"/>
      <c r="D574" s="18" t="n"/>
      <c r="E574" s="17" t="n"/>
      <c r="F574" s="17" t="n"/>
      <c r="G574" s="19" t="n"/>
      <c r="H574" s="17" t="n"/>
      <c r="I574" s="17" t="n"/>
      <c r="J574" s="17" t="n"/>
      <c r="K574" s="20">
        <f>IF($B574="","",IFERROR(INDEX(الموظفات!$A$5:$A$304,MATCH($B574,الموظفات!$B$5:$B$304,0))&amp;"",""))</f>
        <v/>
      </c>
      <c r="L574" s="21">
        <f>IF($B574="","",IFERROR(INDEX(الموظفات!$C$5:$C$304,MATCH($B574,الموظفات!$B$5:$B$304,0))&amp;"",""))</f>
        <v/>
      </c>
      <c r="M574" s="20">
        <f>IF($B574="","",IFERROR(INDEX(الموظفات!$D$5:$D$304,MATCH($B574,الموظفات!$B$5:$B$304,0))&amp;"",""))</f>
        <v/>
      </c>
      <c r="N574" s="20">
        <f>IF($B574="","",IFERROR(INDEX(الموظفات!$E$5:$E$304,MATCH($B574,الموظفات!$B$5:$B$304,0))&amp;"",""))</f>
        <v/>
      </c>
      <c r="O574" s="21">
        <f>IF(C574="","",IFERROR(INDEX(الإعدادات!$D$7:$D$35,MATCH(C574,الإعدادات!$A$7:$A$35,0))&amp;"",""))</f>
        <v/>
      </c>
      <c r="P574" s="20">
        <f>IF(A574="","",INDEX(الإعدادات!$H$7:$H$18,MONTH(A574)))</f>
        <v/>
      </c>
      <c r="Q574" s="20">
        <f>IF(A574="","",INDEX(الإعدادات!$I$7:$I$18,MONTH(A574)))</f>
        <v/>
      </c>
      <c r="R574" s="20">
        <f>IF(A574="","",IF(MONTH(A574)&gt;=8,YEAR(A574)&amp;"-"&amp;(YEAR(A574)+1),(YEAR(A574)-1)&amp;"-"&amp;YEAR(A574)))</f>
        <v/>
      </c>
      <c r="S574" s="20">
        <f>IF(OR(A574="",B574=""),0,IF(AND(R574=التقارير!$C$4,OR(التقارير!$C$5="سنوي",AND(التقارير!$C$5="شهري",P574=التقارير!$C$6),AND(التقارير!$C$5="فصلي",Q574=التقارير!$C$7))),1,0))</f>
        <v/>
      </c>
      <c r="T574" s="20">
        <f>IF(S574=1,COUNTIF($S$5:S574,1),"")</f>
        <v/>
      </c>
      <c r="U574">
        <f>IF(AND($A574&lt;&gt;"",$B574&lt;&gt;"",$R574='تقرير الفصل الأول'!$C$4,$Q574='تقرير الفصل الأول'!$C$7),COUNT(U$4:U573)+1,"")</f>
        <v/>
      </c>
      <c r="V574">
        <f>IF(AND($A574&lt;&gt;"",$B574&lt;&gt;"",$R574='تقرير الفصل الثاني'!$C$4,$Q574='تقرير الفصل الثاني'!$C$7),COUNT(V$4:V573)+1,"")</f>
        <v/>
      </c>
      <c r="W574">
        <f>IF(AND($A574&lt;&gt;"",$B574&lt;&gt;"",$R574='تقرير سبتمبر'!$C$4,$P574='تقرير سبتمبر'!$C$6),COUNT(W$4:W573)+1,"")</f>
        <v/>
      </c>
      <c r="X574">
        <f>IF(AND($A574&lt;&gt;"",$B574&lt;&gt;"",$R574='تقرير أكتوبر'!$C$4,$P574='تقرير أكتوبر'!$C$6),COUNT(X$4:X573)+1,"")</f>
        <v/>
      </c>
      <c r="Y574">
        <f>IF(AND($A574&lt;&gt;"",$B574&lt;&gt;"",$R574='تقرير نوفمبر'!$C$4,$P574='تقرير نوفمبر'!$C$6),COUNT(Y$4:Y573)+1,"")</f>
        <v/>
      </c>
      <c r="Z574">
        <f>IF(AND($A574&lt;&gt;"",$B574&lt;&gt;"",$R574='تقرير ديسمبر'!$C$4,$P574='تقرير ديسمبر'!$C$6),COUNT(Z$4:Z573)+1,"")</f>
        <v/>
      </c>
      <c r="AA574">
        <f>IF(AND($A574&lt;&gt;"",$B574&lt;&gt;"",$R574='تقرير يناير'!$C$4,$P574='تقرير يناير'!$C$6),COUNT(AA$4:AA573)+1,"")</f>
        <v/>
      </c>
      <c r="AB574">
        <f>IF(AND($A574&lt;&gt;"",$B574&lt;&gt;"",$R574='تقرير فبراير'!$C$4,$P574='تقرير فبراير'!$C$6),COUNT(AB$4:AB573)+1,"")</f>
        <v/>
      </c>
      <c r="AC574">
        <f>IF(AND($A574&lt;&gt;"",$B574&lt;&gt;"",$R574='تقرير مارس'!$C$4,$P574='تقرير مارس'!$C$6),COUNT(AC$4:AC573)+1,"")</f>
        <v/>
      </c>
      <c r="AD574">
        <f>IF(AND($A574&lt;&gt;"",$B574&lt;&gt;"",$R574='تقرير أبريل'!$C$4,$P574='تقرير أبريل'!$C$6),COUNT(AD$4:AD573)+1,"")</f>
        <v/>
      </c>
      <c r="AE574">
        <f>IF(AND($A574&lt;&gt;"",$B574&lt;&gt;"",$R574='تقرير مايو'!$C$4,$P574='تقرير مايو'!$C$6),COUNT(AE$4:AE573)+1,"")</f>
        <v/>
      </c>
    </row>
    <row r="575">
      <c r="A575" s="16" t="n"/>
      <c r="B575" s="17" t="n"/>
      <c r="C575" s="17" t="n"/>
      <c r="D575" s="18" t="n"/>
      <c r="E575" s="17" t="n"/>
      <c r="F575" s="17" t="n"/>
      <c r="G575" s="19" t="n"/>
      <c r="H575" s="17" t="n"/>
      <c r="I575" s="17" t="n"/>
      <c r="J575" s="17" t="n"/>
      <c r="K575" s="20">
        <f>IF($B575="","",IFERROR(INDEX(الموظفات!$A$5:$A$304,MATCH($B575,الموظفات!$B$5:$B$304,0))&amp;"",""))</f>
        <v/>
      </c>
      <c r="L575" s="21">
        <f>IF($B575="","",IFERROR(INDEX(الموظفات!$C$5:$C$304,MATCH($B575,الموظفات!$B$5:$B$304,0))&amp;"",""))</f>
        <v/>
      </c>
      <c r="M575" s="20">
        <f>IF($B575="","",IFERROR(INDEX(الموظفات!$D$5:$D$304,MATCH($B575,الموظفات!$B$5:$B$304,0))&amp;"",""))</f>
        <v/>
      </c>
      <c r="N575" s="20">
        <f>IF($B575="","",IFERROR(INDEX(الموظفات!$E$5:$E$304,MATCH($B575,الموظفات!$B$5:$B$304,0))&amp;"",""))</f>
        <v/>
      </c>
      <c r="O575" s="21">
        <f>IF(C575="","",IFERROR(INDEX(الإعدادات!$D$7:$D$35,MATCH(C575,الإعدادات!$A$7:$A$35,0))&amp;"",""))</f>
        <v/>
      </c>
      <c r="P575" s="20">
        <f>IF(A575="","",INDEX(الإعدادات!$H$7:$H$18,MONTH(A575)))</f>
        <v/>
      </c>
      <c r="Q575" s="20">
        <f>IF(A575="","",INDEX(الإعدادات!$I$7:$I$18,MONTH(A575)))</f>
        <v/>
      </c>
      <c r="R575" s="20">
        <f>IF(A575="","",IF(MONTH(A575)&gt;=8,YEAR(A575)&amp;"-"&amp;(YEAR(A575)+1),(YEAR(A575)-1)&amp;"-"&amp;YEAR(A575)))</f>
        <v/>
      </c>
      <c r="S575" s="20">
        <f>IF(OR(A575="",B575=""),0,IF(AND(R575=التقارير!$C$4,OR(التقارير!$C$5="سنوي",AND(التقارير!$C$5="شهري",P575=التقارير!$C$6),AND(التقارير!$C$5="فصلي",Q575=التقارير!$C$7))),1,0))</f>
        <v/>
      </c>
      <c r="T575" s="20">
        <f>IF(S575=1,COUNTIF($S$5:S575,1),"")</f>
        <v/>
      </c>
      <c r="U575">
        <f>IF(AND($A575&lt;&gt;"",$B575&lt;&gt;"",$R575='تقرير الفصل الأول'!$C$4,$Q575='تقرير الفصل الأول'!$C$7),COUNT(U$4:U574)+1,"")</f>
        <v/>
      </c>
      <c r="V575">
        <f>IF(AND($A575&lt;&gt;"",$B575&lt;&gt;"",$R575='تقرير الفصل الثاني'!$C$4,$Q575='تقرير الفصل الثاني'!$C$7),COUNT(V$4:V574)+1,"")</f>
        <v/>
      </c>
      <c r="W575">
        <f>IF(AND($A575&lt;&gt;"",$B575&lt;&gt;"",$R575='تقرير سبتمبر'!$C$4,$P575='تقرير سبتمبر'!$C$6),COUNT(W$4:W574)+1,"")</f>
        <v/>
      </c>
      <c r="X575">
        <f>IF(AND($A575&lt;&gt;"",$B575&lt;&gt;"",$R575='تقرير أكتوبر'!$C$4,$P575='تقرير أكتوبر'!$C$6),COUNT(X$4:X574)+1,"")</f>
        <v/>
      </c>
      <c r="Y575">
        <f>IF(AND($A575&lt;&gt;"",$B575&lt;&gt;"",$R575='تقرير نوفمبر'!$C$4,$P575='تقرير نوفمبر'!$C$6),COUNT(Y$4:Y574)+1,"")</f>
        <v/>
      </c>
      <c r="Z575">
        <f>IF(AND($A575&lt;&gt;"",$B575&lt;&gt;"",$R575='تقرير ديسمبر'!$C$4,$P575='تقرير ديسمبر'!$C$6),COUNT(Z$4:Z574)+1,"")</f>
        <v/>
      </c>
      <c r="AA575">
        <f>IF(AND($A575&lt;&gt;"",$B575&lt;&gt;"",$R575='تقرير يناير'!$C$4,$P575='تقرير يناير'!$C$6),COUNT(AA$4:AA574)+1,"")</f>
        <v/>
      </c>
      <c r="AB575">
        <f>IF(AND($A575&lt;&gt;"",$B575&lt;&gt;"",$R575='تقرير فبراير'!$C$4,$P575='تقرير فبراير'!$C$6),COUNT(AB$4:AB574)+1,"")</f>
        <v/>
      </c>
      <c r="AC575">
        <f>IF(AND($A575&lt;&gt;"",$B575&lt;&gt;"",$R575='تقرير مارس'!$C$4,$P575='تقرير مارس'!$C$6),COUNT(AC$4:AC574)+1,"")</f>
        <v/>
      </c>
      <c r="AD575">
        <f>IF(AND($A575&lt;&gt;"",$B575&lt;&gt;"",$R575='تقرير أبريل'!$C$4,$P575='تقرير أبريل'!$C$6),COUNT(AD$4:AD574)+1,"")</f>
        <v/>
      </c>
      <c r="AE575">
        <f>IF(AND($A575&lt;&gt;"",$B575&lt;&gt;"",$R575='تقرير مايو'!$C$4,$P575='تقرير مايو'!$C$6),COUNT(AE$4:AE574)+1,"")</f>
        <v/>
      </c>
    </row>
    <row r="576">
      <c r="A576" s="16" t="n"/>
      <c r="B576" s="17" t="n"/>
      <c r="C576" s="17" t="n"/>
      <c r="D576" s="18" t="n"/>
      <c r="E576" s="17" t="n"/>
      <c r="F576" s="17" t="n"/>
      <c r="G576" s="19" t="n"/>
      <c r="H576" s="17" t="n"/>
      <c r="I576" s="17" t="n"/>
      <c r="J576" s="17" t="n"/>
      <c r="K576" s="20">
        <f>IF($B576="","",IFERROR(INDEX(الموظفات!$A$5:$A$304,MATCH($B576,الموظفات!$B$5:$B$304,0))&amp;"",""))</f>
        <v/>
      </c>
      <c r="L576" s="21">
        <f>IF($B576="","",IFERROR(INDEX(الموظفات!$C$5:$C$304,MATCH($B576,الموظفات!$B$5:$B$304,0))&amp;"",""))</f>
        <v/>
      </c>
      <c r="M576" s="20">
        <f>IF($B576="","",IFERROR(INDEX(الموظفات!$D$5:$D$304,MATCH($B576,الموظفات!$B$5:$B$304,0))&amp;"",""))</f>
        <v/>
      </c>
      <c r="N576" s="20">
        <f>IF($B576="","",IFERROR(INDEX(الموظفات!$E$5:$E$304,MATCH($B576,الموظفات!$B$5:$B$304,0))&amp;"",""))</f>
        <v/>
      </c>
      <c r="O576" s="21">
        <f>IF(C576="","",IFERROR(INDEX(الإعدادات!$D$7:$D$35,MATCH(C576,الإعدادات!$A$7:$A$35,0))&amp;"",""))</f>
        <v/>
      </c>
      <c r="P576" s="20">
        <f>IF(A576="","",INDEX(الإعدادات!$H$7:$H$18,MONTH(A576)))</f>
        <v/>
      </c>
      <c r="Q576" s="20">
        <f>IF(A576="","",INDEX(الإعدادات!$I$7:$I$18,MONTH(A576)))</f>
        <v/>
      </c>
      <c r="R576" s="20">
        <f>IF(A576="","",IF(MONTH(A576)&gt;=8,YEAR(A576)&amp;"-"&amp;(YEAR(A576)+1),(YEAR(A576)-1)&amp;"-"&amp;YEAR(A576)))</f>
        <v/>
      </c>
      <c r="S576" s="20">
        <f>IF(OR(A576="",B576=""),0,IF(AND(R576=التقارير!$C$4,OR(التقارير!$C$5="سنوي",AND(التقارير!$C$5="شهري",P576=التقارير!$C$6),AND(التقارير!$C$5="فصلي",Q576=التقارير!$C$7))),1,0))</f>
        <v/>
      </c>
      <c r="T576" s="20">
        <f>IF(S576=1,COUNTIF($S$5:S576,1),"")</f>
        <v/>
      </c>
      <c r="U576">
        <f>IF(AND($A576&lt;&gt;"",$B576&lt;&gt;"",$R576='تقرير الفصل الأول'!$C$4,$Q576='تقرير الفصل الأول'!$C$7),COUNT(U$4:U575)+1,"")</f>
        <v/>
      </c>
      <c r="V576">
        <f>IF(AND($A576&lt;&gt;"",$B576&lt;&gt;"",$R576='تقرير الفصل الثاني'!$C$4,$Q576='تقرير الفصل الثاني'!$C$7),COUNT(V$4:V575)+1,"")</f>
        <v/>
      </c>
      <c r="W576">
        <f>IF(AND($A576&lt;&gt;"",$B576&lt;&gt;"",$R576='تقرير سبتمبر'!$C$4,$P576='تقرير سبتمبر'!$C$6),COUNT(W$4:W575)+1,"")</f>
        <v/>
      </c>
      <c r="X576">
        <f>IF(AND($A576&lt;&gt;"",$B576&lt;&gt;"",$R576='تقرير أكتوبر'!$C$4,$P576='تقرير أكتوبر'!$C$6),COUNT(X$4:X575)+1,"")</f>
        <v/>
      </c>
      <c r="Y576">
        <f>IF(AND($A576&lt;&gt;"",$B576&lt;&gt;"",$R576='تقرير نوفمبر'!$C$4,$P576='تقرير نوفمبر'!$C$6),COUNT(Y$4:Y575)+1,"")</f>
        <v/>
      </c>
      <c r="Z576">
        <f>IF(AND($A576&lt;&gt;"",$B576&lt;&gt;"",$R576='تقرير ديسمبر'!$C$4,$P576='تقرير ديسمبر'!$C$6),COUNT(Z$4:Z575)+1,"")</f>
        <v/>
      </c>
      <c r="AA576">
        <f>IF(AND($A576&lt;&gt;"",$B576&lt;&gt;"",$R576='تقرير يناير'!$C$4,$P576='تقرير يناير'!$C$6),COUNT(AA$4:AA575)+1,"")</f>
        <v/>
      </c>
      <c r="AB576">
        <f>IF(AND($A576&lt;&gt;"",$B576&lt;&gt;"",$R576='تقرير فبراير'!$C$4,$P576='تقرير فبراير'!$C$6),COUNT(AB$4:AB575)+1,"")</f>
        <v/>
      </c>
      <c r="AC576">
        <f>IF(AND($A576&lt;&gt;"",$B576&lt;&gt;"",$R576='تقرير مارس'!$C$4,$P576='تقرير مارس'!$C$6),COUNT(AC$4:AC575)+1,"")</f>
        <v/>
      </c>
      <c r="AD576">
        <f>IF(AND($A576&lt;&gt;"",$B576&lt;&gt;"",$R576='تقرير أبريل'!$C$4,$P576='تقرير أبريل'!$C$6),COUNT(AD$4:AD575)+1,"")</f>
        <v/>
      </c>
      <c r="AE576">
        <f>IF(AND($A576&lt;&gt;"",$B576&lt;&gt;"",$R576='تقرير مايو'!$C$4,$P576='تقرير مايو'!$C$6),COUNT(AE$4:AE575)+1,"")</f>
        <v/>
      </c>
    </row>
    <row r="577">
      <c r="A577" s="16" t="n"/>
      <c r="B577" s="17" t="n"/>
      <c r="C577" s="17" t="n"/>
      <c r="D577" s="18" t="n"/>
      <c r="E577" s="17" t="n"/>
      <c r="F577" s="17" t="n"/>
      <c r="G577" s="19" t="n"/>
      <c r="H577" s="17" t="n"/>
      <c r="I577" s="17" t="n"/>
      <c r="J577" s="17" t="n"/>
      <c r="K577" s="20">
        <f>IF($B577="","",IFERROR(INDEX(الموظفات!$A$5:$A$304,MATCH($B577,الموظفات!$B$5:$B$304,0))&amp;"",""))</f>
        <v/>
      </c>
      <c r="L577" s="21">
        <f>IF($B577="","",IFERROR(INDEX(الموظفات!$C$5:$C$304,MATCH($B577,الموظفات!$B$5:$B$304,0))&amp;"",""))</f>
        <v/>
      </c>
      <c r="M577" s="20">
        <f>IF($B577="","",IFERROR(INDEX(الموظفات!$D$5:$D$304,MATCH($B577,الموظفات!$B$5:$B$304,0))&amp;"",""))</f>
        <v/>
      </c>
      <c r="N577" s="20">
        <f>IF($B577="","",IFERROR(INDEX(الموظفات!$E$5:$E$304,MATCH($B577,الموظفات!$B$5:$B$304,0))&amp;"",""))</f>
        <v/>
      </c>
      <c r="O577" s="21">
        <f>IF(C577="","",IFERROR(INDEX(الإعدادات!$D$7:$D$35,MATCH(C577,الإعدادات!$A$7:$A$35,0))&amp;"",""))</f>
        <v/>
      </c>
      <c r="P577" s="20">
        <f>IF(A577="","",INDEX(الإعدادات!$H$7:$H$18,MONTH(A577)))</f>
        <v/>
      </c>
      <c r="Q577" s="20">
        <f>IF(A577="","",INDEX(الإعدادات!$I$7:$I$18,MONTH(A577)))</f>
        <v/>
      </c>
      <c r="R577" s="20">
        <f>IF(A577="","",IF(MONTH(A577)&gt;=8,YEAR(A577)&amp;"-"&amp;(YEAR(A577)+1),(YEAR(A577)-1)&amp;"-"&amp;YEAR(A577)))</f>
        <v/>
      </c>
      <c r="S577" s="20">
        <f>IF(OR(A577="",B577=""),0,IF(AND(R577=التقارير!$C$4,OR(التقارير!$C$5="سنوي",AND(التقارير!$C$5="شهري",P577=التقارير!$C$6),AND(التقارير!$C$5="فصلي",Q577=التقارير!$C$7))),1,0))</f>
        <v/>
      </c>
      <c r="T577" s="20">
        <f>IF(S577=1,COUNTIF($S$5:S577,1),"")</f>
        <v/>
      </c>
      <c r="U577">
        <f>IF(AND($A577&lt;&gt;"",$B577&lt;&gt;"",$R577='تقرير الفصل الأول'!$C$4,$Q577='تقرير الفصل الأول'!$C$7),COUNT(U$4:U576)+1,"")</f>
        <v/>
      </c>
      <c r="V577">
        <f>IF(AND($A577&lt;&gt;"",$B577&lt;&gt;"",$R577='تقرير الفصل الثاني'!$C$4,$Q577='تقرير الفصل الثاني'!$C$7),COUNT(V$4:V576)+1,"")</f>
        <v/>
      </c>
      <c r="W577">
        <f>IF(AND($A577&lt;&gt;"",$B577&lt;&gt;"",$R577='تقرير سبتمبر'!$C$4,$P577='تقرير سبتمبر'!$C$6),COUNT(W$4:W576)+1,"")</f>
        <v/>
      </c>
      <c r="X577">
        <f>IF(AND($A577&lt;&gt;"",$B577&lt;&gt;"",$R577='تقرير أكتوبر'!$C$4,$P577='تقرير أكتوبر'!$C$6),COUNT(X$4:X576)+1,"")</f>
        <v/>
      </c>
      <c r="Y577">
        <f>IF(AND($A577&lt;&gt;"",$B577&lt;&gt;"",$R577='تقرير نوفمبر'!$C$4,$P577='تقرير نوفمبر'!$C$6),COUNT(Y$4:Y576)+1,"")</f>
        <v/>
      </c>
      <c r="Z577">
        <f>IF(AND($A577&lt;&gt;"",$B577&lt;&gt;"",$R577='تقرير ديسمبر'!$C$4,$P577='تقرير ديسمبر'!$C$6),COUNT(Z$4:Z576)+1,"")</f>
        <v/>
      </c>
      <c r="AA577">
        <f>IF(AND($A577&lt;&gt;"",$B577&lt;&gt;"",$R577='تقرير يناير'!$C$4,$P577='تقرير يناير'!$C$6),COUNT(AA$4:AA576)+1,"")</f>
        <v/>
      </c>
      <c r="AB577">
        <f>IF(AND($A577&lt;&gt;"",$B577&lt;&gt;"",$R577='تقرير فبراير'!$C$4,$P577='تقرير فبراير'!$C$6),COUNT(AB$4:AB576)+1,"")</f>
        <v/>
      </c>
      <c r="AC577">
        <f>IF(AND($A577&lt;&gt;"",$B577&lt;&gt;"",$R577='تقرير مارس'!$C$4,$P577='تقرير مارس'!$C$6),COUNT(AC$4:AC576)+1,"")</f>
        <v/>
      </c>
      <c r="AD577">
        <f>IF(AND($A577&lt;&gt;"",$B577&lt;&gt;"",$R577='تقرير أبريل'!$C$4,$P577='تقرير أبريل'!$C$6),COUNT(AD$4:AD576)+1,"")</f>
        <v/>
      </c>
      <c r="AE577">
        <f>IF(AND($A577&lt;&gt;"",$B577&lt;&gt;"",$R577='تقرير مايو'!$C$4,$P577='تقرير مايو'!$C$6),COUNT(AE$4:AE576)+1,"")</f>
        <v/>
      </c>
    </row>
    <row r="578">
      <c r="A578" s="16" t="n"/>
      <c r="B578" s="17" t="n"/>
      <c r="C578" s="17" t="n"/>
      <c r="D578" s="18" t="n"/>
      <c r="E578" s="17" t="n"/>
      <c r="F578" s="17" t="n"/>
      <c r="G578" s="19" t="n"/>
      <c r="H578" s="17" t="n"/>
      <c r="I578" s="17" t="n"/>
      <c r="J578" s="17" t="n"/>
      <c r="K578" s="20">
        <f>IF($B578="","",IFERROR(INDEX(الموظفات!$A$5:$A$304,MATCH($B578,الموظفات!$B$5:$B$304,0))&amp;"",""))</f>
        <v/>
      </c>
      <c r="L578" s="21">
        <f>IF($B578="","",IFERROR(INDEX(الموظفات!$C$5:$C$304,MATCH($B578,الموظفات!$B$5:$B$304,0))&amp;"",""))</f>
        <v/>
      </c>
      <c r="M578" s="20">
        <f>IF($B578="","",IFERROR(INDEX(الموظفات!$D$5:$D$304,MATCH($B578,الموظفات!$B$5:$B$304,0))&amp;"",""))</f>
        <v/>
      </c>
      <c r="N578" s="20">
        <f>IF($B578="","",IFERROR(INDEX(الموظفات!$E$5:$E$304,MATCH($B578,الموظفات!$B$5:$B$304,0))&amp;"",""))</f>
        <v/>
      </c>
      <c r="O578" s="21">
        <f>IF(C578="","",IFERROR(INDEX(الإعدادات!$D$7:$D$35,MATCH(C578,الإعدادات!$A$7:$A$35,0))&amp;"",""))</f>
        <v/>
      </c>
      <c r="P578" s="20">
        <f>IF(A578="","",INDEX(الإعدادات!$H$7:$H$18,MONTH(A578)))</f>
        <v/>
      </c>
      <c r="Q578" s="20">
        <f>IF(A578="","",INDEX(الإعدادات!$I$7:$I$18,MONTH(A578)))</f>
        <v/>
      </c>
      <c r="R578" s="20">
        <f>IF(A578="","",IF(MONTH(A578)&gt;=8,YEAR(A578)&amp;"-"&amp;(YEAR(A578)+1),(YEAR(A578)-1)&amp;"-"&amp;YEAR(A578)))</f>
        <v/>
      </c>
      <c r="S578" s="20">
        <f>IF(OR(A578="",B578=""),0,IF(AND(R578=التقارير!$C$4,OR(التقارير!$C$5="سنوي",AND(التقارير!$C$5="شهري",P578=التقارير!$C$6),AND(التقارير!$C$5="فصلي",Q578=التقارير!$C$7))),1,0))</f>
        <v/>
      </c>
      <c r="T578" s="20">
        <f>IF(S578=1,COUNTIF($S$5:S578,1),"")</f>
        <v/>
      </c>
      <c r="U578">
        <f>IF(AND($A578&lt;&gt;"",$B578&lt;&gt;"",$R578='تقرير الفصل الأول'!$C$4,$Q578='تقرير الفصل الأول'!$C$7),COUNT(U$4:U577)+1,"")</f>
        <v/>
      </c>
      <c r="V578">
        <f>IF(AND($A578&lt;&gt;"",$B578&lt;&gt;"",$R578='تقرير الفصل الثاني'!$C$4,$Q578='تقرير الفصل الثاني'!$C$7),COUNT(V$4:V577)+1,"")</f>
        <v/>
      </c>
      <c r="W578">
        <f>IF(AND($A578&lt;&gt;"",$B578&lt;&gt;"",$R578='تقرير سبتمبر'!$C$4,$P578='تقرير سبتمبر'!$C$6),COUNT(W$4:W577)+1,"")</f>
        <v/>
      </c>
      <c r="X578">
        <f>IF(AND($A578&lt;&gt;"",$B578&lt;&gt;"",$R578='تقرير أكتوبر'!$C$4,$P578='تقرير أكتوبر'!$C$6),COUNT(X$4:X577)+1,"")</f>
        <v/>
      </c>
      <c r="Y578">
        <f>IF(AND($A578&lt;&gt;"",$B578&lt;&gt;"",$R578='تقرير نوفمبر'!$C$4,$P578='تقرير نوفمبر'!$C$6),COUNT(Y$4:Y577)+1,"")</f>
        <v/>
      </c>
      <c r="Z578">
        <f>IF(AND($A578&lt;&gt;"",$B578&lt;&gt;"",$R578='تقرير ديسمبر'!$C$4,$P578='تقرير ديسمبر'!$C$6),COUNT(Z$4:Z577)+1,"")</f>
        <v/>
      </c>
      <c r="AA578">
        <f>IF(AND($A578&lt;&gt;"",$B578&lt;&gt;"",$R578='تقرير يناير'!$C$4,$P578='تقرير يناير'!$C$6),COUNT(AA$4:AA577)+1,"")</f>
        <v/>
      </c>
      <c r="AB578">
        <f>IF(AND($A578&lt;&gt;"",$B578&lt;&gt;"",$R578='تقرير فبراير'!$C$4,$P578='تقرير فبراير'!$C$6),COUNT(AB$4:AB577)+1,"")</f>
        <v/>
      </c>
      <c r="AC578">
        <f>IF(AND($A578&lt;&gt;"",$B578&lt;&gt;"",$R578='تقرير مارس'!$C$4,$P578='تقرير مارس'!$C$6),COUNT(AC$4:AC577)+1,"")</f>
        <v/>
      </c>
      <c r="AD578">
        <f>IF(AND($A578&lt;&gt;"",$B578&lt;&gt;"",$R578='تقرير أبريل'!$C$4,$P578='تقرير أبريل'!$C$6),COUNT(AD$4:AD577)+1,"")</f>
        <v/>
      </c>
      <c r="AE578">
        <f>IF(AND($A578&lt;&gt;"",$B578&lt;&gt;"",$R578='تقرير مايو'!$C$4,$P578='تقرير مايو'!$C$6),COUNT(AE$4:AE577)+1,"")</f>
        <v/>
      </c>
    </row>
    <row r="579">
      <c r="A579" s="16" t="n"/>
      <c r="B579" s="17" t="n"/>
      <c r="C579" s="17" t="n"/>
      <c r="D579" s="18" t="n"/>
      <c r="E579" s="17" t="n"/>
      <c r="F579" s="17" t="n"/>
      <c r="G579" s="19" t="n"/>
      <c r="H579" s="17" t="n"/>
      <c r="I579" s="17" t="n"/>
      <c r="J579" s="17" t="n"/>
      <c r="K579" s="20">
        <f>IF($B579="","",IFERROR(INDEX(الموظفات!$A$5:$A$304,MATCH($B579,الموظفات!$B$5:$B$304,0))&amp;"",""))</f>
        <v/>
      </c>
      <c r="L579" s="21">
        <f>IF($B579="","",IFERROR(INDEX(الموظفات!$C$5:$C$304,MATCH($B579,الموظفات!$B$5:$B$304,0))&amp;"",""))</f>
        <v/>
      </c>
      <c r="M579" s="20">
        <f>IF($B579="","",IFERROR(INDEX(الموظفات!$D$5:$D$304,MATCH($B579,الموظفات!$B$5:$B$304,0))&amp;"",""))</f>
        <v/>
      </c>
      <c r="N579" s="20">
        <f>IF($B579="","",IFERROR(INDEX(الموظفات!$E$5:$E$304,MATCH($B579,الموظفات!$B$5:$B$304,0))&amp;"",""))</f>
        <v/>
      </c>
      <c r="O579" s="21">
        <f>IF(C579="","",IFERROR(INDEX(الإعدادات!$D$7:$D$35,MATCH(C579,الإعدادات!$A$7:$A$35,0))&amp;"",""))</f>
        <v/>
      </c>
      <c r="P579" s="20">
        <f>IF(A579="","",INDEX(الإعدادات!$H$7:$H$18,MONTH(A579)))</f>
        <v/>
      </c>
      <c r="Q579" s="20">
        <f>IF(A579="","",INDEX(الإعدادات!$I$7:$I$18,MONTH(A579)))</f>
        <v/>
      </c>
      <c r="R579" s="20">
        <f>IF(A579="","",IF(MONTH(A579)&gt;=8,YEAR(A579)&amp;"-"&amp;(YEAR(A579)+1),(YEAR(A579)-1)&amp;"-"&amp;YEAR(A579)))</f>
        <v/>
      </c>
      <c r="S579" s="20">
        <f>IF(OR(A579="",B579=""),0,IF(AND(R579=التقارير!$C$4,OR(التقارير!$C$5="سنوي",AND(التقارير!$C$5="شهري",P579=التقارير!$C$6),AND(التقارير!$C$5="فصلي",Q579=التقارير!$C$7))),1,0))</f>
        <v/>
      </c>
      <c r="T579" s="20">
        <f>IF(S579=1,COUNTIF($S$5:S579,1),"")</f>
        <v/>
      </c>
      <c r="U579">
        <f>IF(AND($A579&lt;&gt;"",$B579&lt;&gt;"",$R579='تقرير الفصل الأول'!$C$4,$Q579='تقرير الفصل الأول'!$C$7),COUNT(U$4:U578)+1,"")</f>
        <v/>
      </c>
      <c r="V579">
        <f>IF(AND($A579&lt;&gt;"",$B579&lt;&gt;"",$R579='تقرير الفصل الثاني'!$C$4,$Q579='تقرير الفصل الثاني'!$C$7),COUNT(V$4:V578)+1,"")</f>
        <v/>
      </c>
      <c r="W579">
        <f>IF(AND($A579&lt;&gt;"",$B579&lt;&gt;"",$R579='تقرير سبتمبر'!$C$4,$P579='تقرير سبتمبر'!$C$6),COUNT(W$4:W578)+1,"")</f>
        <v/>
      </c>
      <c r="X579">
        <f>IF(AND($A579&lt;&gt;"",$B579&lt;&gt;"",$R579='تقرير أكتوبر'!$C$4,$P579='تقرير أكتوبر'!$C$6),COUNT(X$4:X578)+1,"")</f>
        <v/>
      </c>
      <c r="Y579">
        <f>IF(AND($A579&lt;&gt;"",$B579&lt;&gt;"",$R579='تقرير نوفمبر'!$C$4,$P579='تقرير نوفمبر'!$C$6),COUNT(Y$4:Y578)+1,"")</f>
        <v/>
      </c>
      <c r="Z579">
        <f>IF(AND($A579&lt;&gt;"",$B579&lt;&gt;"",$R579='تقرير ديسمبر'!$C$4,$P579='تقرير ديسمبر'!$C$6),COUNT(Z$4:Z578)+1,"")</f>
        <v/>
      </c>
      <c r="AA579">
        <f>IF(AND($A579&lt;&gt;"",$B579&lt;&gt;"",$R579='تقرير يناير'!$C$4,$P579='تقرير يناير'!$C$6),COUNT(AA$4:AA578)+1,"")</f>
        <v/>
      </c>
      <c r="AB579">
        <f>IF(AND($A579&lt;&gt;"",$B579&lt;&gt;"",$R579='تقرير فبراير'!$C$4,$P579='تقرير فبراير'!$C$6),COUNT(AB$4:AB578)+1,"")</f>
        <v/>
      </c>
      <c r="AC579">
        <f>IF(AND($A579&lt;&gt;"",$B579&lt;&gt;"",$R579='تقرير مارس'!$C$4,$P579='تقرير مارس'!$C$6),COUNT(AC$4:AC578)+1,"")</f>
        <v/>
      </c>
      <c r="AD579">
        <f>IF(AND($A579&lt;&gt;"",$B579&lt;&gt;"",$R579='تقرير أبريل'!$C$4,$P579='تقرير أبريل'!$C$6),COUNT(AD$4:AD578)+1,"")</f>
        <v/>
      </c>
      <c r="AE579">
        <f>IF(AND($A579&lt;&gt;"",$B579&lt;&gt;"",$R579='تقرير مايو'!$C$4,$P579='تقرير مايو'!$C$6),COUNT(AE$4:AE578)+1,"")</f>
        <v/>
      </c>
    </row>
    <row r="580">
      <c r="A580" s="16" t="n"/>
      <c r="B580" s="17" t="n"/>
      <c r="C580" s="17" t="n"/>
      <c r="D580" s="18" t="n"/>
      <c r="E580" s="17" t="n"/>
      <c r="F580" s="17" t="n"/>
      <c r="G580" s="19" t="n"/>
      <c r="H580" s="17" t="n"/>
      <c r="I580" s="17" t="n"/>
      <c r="J580" s="17" t="n"/>
      <c r="K580" s="20">
        <f>IF($B580="","",IFERROR(INDEX(الموظفات!$A$5:$A$304,MATCH($B580,الموظفات!$B$5:$B$304,0))&amp;"",""))</f>
        <v/>
      </c>
      <c r="L580" s="21">
        <f>IF($B580="","",IFERROR(INDEX(الموظفات!$C$5:$C$304,MATCH($B580,الموظفات!$B$5:$B$304,0))&amp;"",""))</f>
        <v/>
      </c>
      <c r="M580" s="20">
        <f>IF($B580="","",IFERROR(INDEX(الموظفات!$D$5:$D$304,MATCH($B580,الموظفات!$B$5:$B$304,0))&amp;"",""))</f>
        <v/>
      </c>
      <c r="N580" s="20">
        <f>IF($B580="","",IFERROR(INDEX(الموظفات!$E$5:$E$304,MATCH($B580,الموظفات!$B$5:$B$304,0))&amp;"",""))</f>
        <v/>
      </c>
      <c r="O580" s="21">
        <f>IF(C580="","",IFERROR(INDEX(الإعدادات!$D$7:$D$35,MATCH(C580,الإعدادات!$A$7:$A$35,0))&amp;"",""))</f>
        <v/>
      </c>
      <c r="P580" s="20">
        <f>IF(A580="","",INDEX(الإعدادات!$H$7:$H$18,MONTH(A580)))</f>
        <v/>
      </c>
      <c r="Q580" s="20">
        <f>IF(A580="","",INDEX(الإعدادات!$I$7:$I$18,MONTH(A580)))</f>
        <v/>
      </c>
      <c r="R580" s="20">
        <f>IF(A580="","",IF(MONTH(A580)&gt;=8,YEAR(A580)&amp;"-"&amp;(YEAR(A580)+1),(YEAR(A580)-1)&amp;"-"&amp;YEAR(A580)))</f>
        <v/>
      </c>
      <c r="S580" s="20">
        <f>IF(OR(A580="",B580=""),0,IF(AND(R580=التقارير!$C$4,OR(التقارير!$C$5="سنوي",AND(التقارير!$C$5="شهري",P580=التقارير!$C$6),AND(التقارير!$C$5="فصلي",Q580=التقارير!$C$7))),1,0))</f>
        <v/>
      </c>
      <c r="T580" s="20">
        <f>IF(S580=1,COUNTIF($S$5:S580,1),"")</f>
        <v/>
      </c>
      <c r="U580">
        <f>IF(AND($A580&lt;&gt;"",$B580&lt;&gt;"",$R580='تقرير الفصل الأول'!$C$4,$Q580='تقرير الفصل الأول'!$C$7),COUNT(U$4:U579)+1,"")</f>
        <v/>
      </c>
      <c r="V580">
        <f>IF(AND($A580&lt;&gt;"",$B580&lt;&gt;"",$R580='تقرير الفصل الثاني'!$C$4,$Q580='تقرير الفصل الثاني'!$C$7),COUNT(V$4:V579)+1,"")</f>
        <v/>
      </c>
      <c r="W580">
        <f>IF(AND($A580&lt;&gt;"",$B580&lt;&gt;"",$R580='تقرير سبتمبر'!$C$4,$P580='تقرير سبتمبر'!$C$6),COUNT(W$4:W579)+1,"")</f>
        <v/>
      </c>
      <c r="X580">
        <f>IF(AND($A580&lt;&gt;"",$B580&lt;&gt;"",$R580='تقرير أكتوبر'!$C$4,$P580='تقرير أكتوبر'!$C$6),COUNT(X$4:X579)+1,"")</f>
        <v/>
      </c>
      <c r="Y580">
        <f>IF(AND($A580&lt;&gt;"",$B580&lt;&gt;"",$R580='تقرير نوفمبر'!$C$4,$P580='تقرير نوفمبر'!$C$6),COUNT(Y$4:Y579)+1,"")</f>
        <v/>
      </c>
      <c r="Z580">
        <f>IF(AND($A580&lt;&gt;"",$B580&lt;&gt;"",$R580='تقرير ديسمبر'!$C$4,$P580='تقرير ديسمبر'!$C$6),COUNT(Z$4:Z579)+1,"")</f>
        <v/>
      </c>
      <c r="AA580">
        <f>IF(AND($A580&lt;&gt;"",$B580&lt;&gt;"",$R580='تقرير يناير'!$C$4,$P580='تقرير يناير'!$C$6),COUNT(AA$4:AA579)+1,"")</f>
        <v/>
      </c>
      <c r="AB580">
        <f>IF(AND($A580&lt;&gt;"",$B580&lt;&gt;"",$R580='تقرير فبراير'!$C$4,$P580='تقرير فبراير'!$C$6),COUNT(AB$4:AB579)+1,"")</f>
        <v/>
      </c>
      <c r="AC580">
        <f>IF(AND($A580&lt;&gt;"",$B580&lt;&gt;"",$R580='تقرير مارس'!$C$4,$P580='تقرير مارس'!$C$6),COUNT(AC$4:AC579)+1,"")</f>
        <v/>
      </c>
      <c r="AD580">
        <f>IF(AND($A580&lt;&gt;"",$B580&lt;&gt;"",$R580='تقرير أبريل'!$C$4,$P580='تقرير أبريل'!$C$6),COUNT(AD$4:AD579)+1,"")</f>
        <v/>
      </c>
      <c r="AE580">
        <f>IF(AND($A580&lt;&gt;"",$B580&lt;&gt;"",$R580='تقرير مايو'!$C$4,$P580='تقرير مايو'!$C$6),COUNT(AE$4:AE579)+1,"")</f>
        <v/>
      </c>
    </row>
    <row r="581">
      <c r="A581" s="16" t="n"/>
      <c r="B581" s="17" t="n"/>
      <c r="C581" s="17" t="n"/>
      <c r="D581" s="18" t="n"/>
      <c r="E581" s="17" t="n"/>
      <c r="F581" s="17" t="n"/>
      <c r="G581" s="19" t="n"/>
      <c r="H581" s="17" t="n"/>
      <c r="I581" s="17" t="n"/>
      <c r="J581" s="17" t="n"/>
      <c r="K581" s="20">
        <f>IF($B581="","",IFERROR(INDEX(الموظفات!$A$5:$A$304,MATCH($B581,الموظفات!$B$5:$B$304,0))&amp;"",""))</f>
        <v/>
      </c>
      <c r="L581" s="21">
        <f>IF($B581="","",IFERROR(INDEX(الموظفات!$C$5:$C$304,MATCH($B581,الموظفات!$B$5:$B$304,0))&amp;"",""))</f>
        <v/>
      </c>
      <c r="M581" s="20">
        <f>IF($B581="","",IFERROR(INDEX(الموظفات!$D$5:$D$304,MATCH($B581,الموظفات!$B$5:$B$304,0))&amp;"",""))</f>
        <v/>
      </c>
      <c r="N581" s="20">
        <f>IF($B581="","",IFERROR(INDEX(الموظفات!$E$5:$E$304,MATCH($B581,الموظفات!$B$5:$B$304,0))&amp;"",""))</f>
        <v/>
      </c>
      <c r="O581" s="21">
        <f>IF(C581="","",IFERROR(INDEX(الإعدادات!$D$7:$D$35,MATCH(C581,الإعدادات!$A$7:$A$35,0))&amp;"",""))</f>
        <v/>
      </c>
      <c r="P581" s="20">
        <f>IF(A581="","",INDEX(الإعدادات!$H$7:$H$18,MONTH(A581)))</f>
        <v/>
      </c>
      <c r="Q581" s="20">
        <f>IF(A581="","",INDEX(الإعدادات!$I$7:$I$18,MONTH(A581)))</f>
        <v/>
      </c>
      <c r="R581" s="20">
        <f>IF(A581="","",IF(MONTH(A581)&gt;=8,YEAR(A581)&amp;"-"&amp;(YEAR(A581)+1),(YEAR(A581)-1)&amp;"-"&amp;YEAR(A581)))</f>
        <v/>
      </c>
      <c r="S581" s="20">
        <f>IF(OR(A581="",B581=""),0,IF(AND(R581=التقارير!$C$4,OR(التقارير!$C$5="سنوي",AND(التقارير!$C$5="شهري",P581=التقارير!$C$6),AND(التقارير!$C$5="فصلي",Q581=التقارير!$C$7))),1,0))</f>
        <v/>
      </c>
      <c r="T581" s="20">
        <f>IF(S581=1,COUNTIF($S$5:S581,1),"")</f>
        <v/>
      </c>
      <c r="U581">
        <f>IF(AND($A581&lt;&gt;"",$B581&lt;&gt;"",$R581='تقرير الفصل الأول'!$C$4,$Q581='تقرير الفصل الأول'!$C$7),COUNT(U$4:U580)+1,"")</f>
        <v/>
      </c>
      <c r="V581">
        <f>IF(AND($A581&lt;&gt;"",$B581&lt;&gt;"",$R581='تقرير الفصل الثاني'!$C$4,$Q581='تقرير الفصل الثاني'!$C$7),COUNT(V$4:V580)+1,"")</f>
        <v/>
      </c>
      <c r="W581">
        <f>IF(AND($A581&lt;&gt;"",$B581&lt;&gt;"",$R581='تقرير سبتمبر'!$C$4,$P581='تقرير سبتمبر'!$C$6),COUNT(W$4:W580)+1,"")</f>
        <v/>
      </c>
      <c r="X581">
        <f>IF(AND($A581&lt;&gt;"",$B581&lt;&gt;"",$R581='تقرير أكتوبر'!$C$4,$P581='تقرير أكتوبر'!$C$6),COUNT(X$4:X580)+1,"")</f>
        <v/>
      </c>
      <c r="Y581">
        <f>IF(AND($A581&lt;&gt;"",$B581&lt;&gt;"",$R581='تقرير نوفمبر'!$C$4,$P581='تقرير نوفمبر'!$C$6),COUNT(Y$4:Y580)+1,"")</f>
        <v/>
      </c>
      <c r="Z581">
        <f>IF(AND($A581&lt;&gt;"",$B581&lt;&gt;"",$R581='تقرير ديسمبر'!$C$4,$P581='تقرير ديسمبر'!$C$6),COUNT(Z$4:Z580)+1,"")</f>
        <v/>
      </c>
      <c r="AA581">
        <f>IF(AND($A581&lt;&gt;"",$B581&lt;&gt;"",$R581='تقرير يناير'!$C$4,$P581='تقرير يناير'!$C$6),COUNT(AA$4:AA580)+1,"")</f>
        <v/>
      </c>
      <c r="AB581">
        <f>IF(AND($A581&lt;&gt;"",$B581&lt;&gt;"",$R581='تقرير فبراير'!$C$4,$P581='تقرير فبراير'!$C$6),COUNT(AB$4:AB580)+1,"")</f>
        <v/>
      </c>
      <c r="AC581">
        <f>IF(AND($A581&lt;&gt;"",$B581&lt;&gt;"",$R581='تقرير مارس'!$C$4,$P581='تقرير مارس'!$C$6),COUNT(AC$4:AC580)+1,"")</f>
        <v/>
      </c>
      <c r="AD581">
        <f>IF(AND($A581&lt;&gt;"",$B581&lt;&gt;"",$R581='تقرير أبريل'!$C$4,$P581='تقرير أبريل'!$C$6),COUNT(AD$4:AD580)+1,"")</f>
        <v/>
      </c>
      <c r="AE581">
        <f>IF(AND($A581&lt;&gt;"",$B581&lt;&gt;"",$R581='تقرير مايو'!$C$4,$P581='تقرير مايو'!$C$6),COUNT(AE$4:AE580)+1,"")</f>
        <v/>
      </c>
    </row>
    <row r="582">
      <c r="A582" s="16" t="n"/>
      <c r="B582" s="17" t="n"/>
      <c r="C582" s="17" t="n"/>
      <c r="D582" s="18" t="n"/>
      <c r="E582" s="17" t="n"/>
      <c r="F582" s="17" t="n"/>
      <c r="G582" s="19" t="n"/>
      <c r="H582" s="17" t="n"/>
      <c r="I582" s="17" t="n"/>
      <c r="J582" s="17" t="n"/>
      <c r="K582" s="20">
        <f>IF($B582="","",IFERROR(INDEX(الموظفات!$A$5:$A$304,MATCH($B582,الموظفات!$B$5:$B$304,0))&amp;"",""))</f>
        <v/>
      </c>
      <c r="L582" s="21">
        <f>IF($B582="","",IFERROR(INDEX(الموظفات!$C$5:$C$304,MATCH($B582,الموظفات!$B$5:$B$304,0))&amp;"",""))</f>
        <v/>
      </c>
      <c r="M582" s="20">
        <f>IF($B582="","",IFERROR(INDEX(الموظفات!$D$5:$D$304,MATCH($B582,الموظفات!$B$5:$B$304,0))&amp;"",""))</f>
        <v/>
      </c>
      <c r="N582" s="20">
        <f>IF($B582="","",IFERROR(INDEX(الموظفات!$E$5:$E$304,MATCH($B582,الموظفات!$B$5:$B$304,0))&amp;"",""))</f>
        <v/>
      </c>
      <c r="O582" s="21">
        <f>IF(C582="","",IFERROR(INDEX(الإعدادات!$D$7:$D$35,MATCH(C582,الإعدادات!$A$7:$A$35,0))&amp;"",""))</f>
        <v/>
      </c>
      <c r="P582" s="20">
        <f>IF(A582="","",INDEX(الإعدادات!$H$7:$H$18,MONTH(A582)))</f>
        <v/>
      </c>
      <c r="Q582" s="20">
        <f>IF(A582="","",INDEX(الإعدادات!$I$7:$I$18,MONTH(A582)))</f>
        <v/>
      </c>
      <c r="R582" s="20">
        <f>IF(A582="","",IF(MONTH(A582)&gt;=8,YEAR(A582)&amp;"-"&amp;(YEAR(A582)+1),(YEAR(A582)-1)&amp;"-"&amp;YEAR(A582)))</f>
        <v/>
      </c>
      <c r="S582" s="20">
        <f>IF(OR(A582="",B582=""),0,IF(AND(R582=التقارير!$C$4,OR(التقارير!$C$5="سنوي",AND(التقارير!$C$5="شهري",P582=التقارير!$C$6),AND(التقارير!$C$5="فصلي",Q582=التقارير!$C$7))),1,0))</f>
        <v/>
      </c>
      <c r="T582" s="20">
        <f>IF(S582=1,COUNTIF($S$5:S582,1),"")</f>
        <v/>
      </c>
      <c r="U582">
        <f>IF(AND($A582&lt;&gt;"",$B582&lt;&gt;"",$R582='تقرير الفصل الأول'!$C$4,$Q582='تقرير الفصل الأول'!$C$7),COUNT(U$4:U581)+1,"")</f>
        <v/>
      </c>
      <c r="V582">
        <f>IF(AND($A582&lt;&gt;"",$B582&lt;&gt;"",$R582='تقرير الفصل الثاني'!$C$4,$Q582='تقرير الفصل الثاني'!$C$7),COUNT(V$4:V581)+1,"")</f>
        <v/>
      </c>
      <c r="W582">
        <f>IF(AND($A582&lt;&gt;"",$B582&lt;&gt;"",$R582='تقرير سبتمبر'!$C$4,$P582='تقرير سبتمبر'!$C$6),COUNT(W$4:W581)+1,"")</f>
        <v/>
      </c>
      <c r="X582">
        <f>IF(AND($A582&lt;&gt;"",$B582&lt;&gt;"",$R582='تقرير أكتوبر'!$C$4,$P582='تقرير أكتوبر'!$C$6),COUNT(X$4:X581)+1,"")</f>
        <v/>
      </c>
      <c r="Y582">
        <f>IF(AND($A582&lt;&gt;"",$B582&lt;&gt;"",$R582='تقرير نوفمبر'!$C$4,$P582='تقرير نوفمبر'!$C$6),COUNT(Y$4:Y581)+1,"")</f>
        <v/>
      </c>
      <c r="Z582">
        <f>IF(AND($A582&lt;&gt;"",$B582&lt;&gt;"",$R582='تقرير ديسمبر'!$C$4,$P582='تقرير ديسمبر'!$C$6),COUNT(Z$4:Z581)+1,"")</f>
        <v/>
      </c>
      <c r="AA582">
        <f>IF(AND($A582&lt;&gt;"",$B582&lt;&gt;"",$R582='تقرير يناير'!$C$4,$P582='تقرير يناير'!$C$6),COUNT(AA$4:AA581)+1,"")</f>
        <v/>
      </c>
      <c r="AB582">
        <f>IF(AND($A582&lt;&gt;"",$B582&lt;&gt;"",$R582='تقرير فبراير'!$C$4,$P582='تقرير فبراير'!$C$6),COUNT(AB$4:AB581)+1,"")</f>
        <v/>
      </c>
      <c r="AC582">
        <f>IF(AND($A582&lt;&gt;"",$B582&lt;&gt;"",$R582='تقرير مارس'!$C$4,$P582='تقرير مارس'!$C$6),COUNT(AC$4:AC581)+1,"")</f>
        <v/>
      </c>
      <c r="AD582">
        <f>IF(AND($A582&lt;&gt;"",$B582&lt;&gt;"",$R582='تقرير أبريل'!$C$4,$P582='تقرير أبريل'!$C$6),COUNT(AD$4:AD581)+1,"")</f>
        <v/>
      </c>
      <c r="AE582">
        <f>IF(AND($A582&lt;&gt;"",$B582&lt;&gt;"",$R582='تقرير مايو'!$C$4,$P582='تقرير مايو'!$C$6),COUNT(AE$4:AE581)+1,"")</f>
        <v/>
      </c>
    </row>
    <row r="583">
      <c r="A583" s="16" t="n"/>
      <c r="B583" s="17" t="n"/>
      <c r="C583" s="17" t="n"/>
      <c r="D583" s="18" t="n"/>
      <c r="E583" s="17" t="n"/>
      <c r="F583" s="17" t="n"/>
      <c r="G583" s="19" t="n"/>
      <c r="H583" s="17" t="n"/>
      <c r="I583" s="17" t="n"/>
      <c r="J583" s="17" t="n"/>
      <c r="K583" s="20">
        <f>IF($B583="","",IFERROR(INDEX(الموظفات!$A$5:$A$304,MATCH($B583,الموظفات!$B$5:$B$304,0))&amp;"",""))</f>
        <v/>
      </c>
      <c r="L583" s="21">
        <f>IF($B583="","",IFERROR(INDEX(الموظفات!$C$5:$C$304,MATCH($B583,الموظفات!$B$5:$B$304,0))&amp;"",""))</f>
        <v/>
      </c>
      <c r="M583" s="20">
        <f>IF($B583="","",IFERROR(INDEX(الموظفات!$D$5:$D$304,MATCH($B583,الموظفات!$B$5:$B$304,0))&amp;"",""))</f>
        <v/>
      </c>
      <c r="N583" s="20">
        <f>IF($B583="","",IFERROR(INDEX(الموظفات!$E$5:$E$304,MATCH($B583,الموظفات!$B$5:$B$304,0))&amp;"",""))</f>
        <v/>
      </c>
      <c r="O583" s="21">
        <f>IF(C583="","",IFERROR(INDEX(الإعدادات!$D$7:$D$35,MATCH(C583,الإعدادات!$A$7:$A$35,0))&amp;"",""))</f>
        <v/>
      </c>
      <c r="P583" s="20">
        <f>IF(A583="","",INDEX(الإعدادات!$H$7:$H$18,MONTH(A583)))</f>
        <v/>
      </c>
      <c r="Q583" s="20">
        <f>IF(A583="","",INDEX(الإعدادات!$I$7:$I$18,MONTH(A583)))</f>
        <v/>
      </c>
      <c r="R583" s="20">
        <f>IF(A583="","",IF(MONTH(A583)&gt;=8,YEAR(A583)&amp;"-"&amp;(YEAR(A583)+1),(YEAR(A583)-1)&amp;"-"&amp;YEAR(A583)))</f>
        <v/>
      </c>
      <c r="S583" s="20">
        <f>IF(OR(A583="",B583=""),0,IF(AND(R583=التقارير!$C$4,OR(التقارير!$C$5="سنوي",AND(التقارير!$C$5="شهري",P583=التقارير!$C$6),AND(التقارير!$C$5="فصلي",Q583=التقارير!$C$7))),1,0))</f>
        <v/>
      </c>
      <c r="T583" s="20">
        <f>IF(S583=1,COUNTIF($S$5:S583,1),"")</f>
        <v/>
      </c>
      <c r="U583">
        <f>IF(AND($A583&lt;&gt;"",$B583&lt;&gt;"",$R583='تقرير الفصل الأول'!$C$4,$Q583='تقرير الفصل الأول'!$C$7),COUNT(U$4:U582)+1,"")</f>
        <v/>
      </c>
      <c r="V583">
        <f>IF(AND($A583&lt;&gt;"",$B583&lt;&gt;"",$R583='تقرير الفصل الثاني'!$C$4,$Q583='تقرير الفصل الثاني'!$C$7),COUNT(V$4:V582)+1,"")</f>
        <v/>
      </c>
      <c r="W583">
        <f>IF(AND($A583&lt;&gt;"",$B583&lt;&gt;"",$R583='تقرير سبتمبر'!$C$4,$P583='تقرير سبتمبر'!$C$6),COUNT(W$4:W582)+1,"")</f>
        <v/>
      </c>
      <c r="X583">
        <f>IF(AND($A583&lt;&gt;"",$B583&lt;&gt;"",$R583='تقرير أكتوبر'!$C$4,$P583='تقرير أكتوبر'!$C$6),COUNT(X$4:X582)+1,"")</f>
        <v/>
      </c>
      <c r="Y583">
        <f>IF(AND($A583&lt;&gt;"",$B583&lt;&gt;"",$R583='تقرير نوفمبر'!$C$4,$P583='تقرير نوفمبر'!$C$6),COUNT(Y$4:Y582)+1,"")</f>
        <v/>
      </c>
      <c r="Z583">
        <f>IF(AND($A583&lt;&gt;"",$B583&lt;&gt;"",$R583='تقرير ديسمبر'!$C$4,$P583='تقرير ديسمبر'!$C$6),COUNT(Z$4:Z582)+1,"")</f>
        <v/>
      </c>
      <c r="AA583">
        <f>IF(AND($A583&lt;&gt;"",$B583&lt;&gt;"",$R583='تقرير يناير'!$C$4,$P583='تقرير يناير'!$C$6),COUNT(AA$4:AA582)+1,"")</f>
        <v/>
      </c>
      <c r="AB583">
        <f>IF(AND($A583&lt;&gt;"",$B583&lt;&gt;"",$R583='تقرير فبراير'!$C$4,$P583='تقرير فبراير'!$C$6),COUNT(AB$4:AB582)+1,"")</f>
        <v/>
      </c>
      <c r="AC583">
        <f>IF(AND($A583&lt;&gt;"",$B583&lt;&gt;"",$R583='تقرير مارس'!$C$4,$P583='تقرير مارس'!$C$6),COUNT(AC$4:AC582)+1,"")</f>
        <v/>
      </c>
      <c r="AD583">
        <f>IF(AND($A583&lt;&gt;"",$B583&lt;&gt;"",$R583='تقرير أبريل'!$C$4,$P583='تقرير أبريل'!$C$6),COUNT(AD$4:AD582)+1,"")</f>
        <v/>
      </c>
      <c r="AE583">
        <f>IF(AND($A583&lt;&gt;"",$B583&lt;&gt;"",$R583='تقرير مايو'!$C$4,$P583='تقرير مايو'!$C$6),COUNT(AE$4:AE582)+1,"")</f>
        <v/>
      </c>
    </row>
    <row r="584">
      <c r="A584" s="16" t="n"/>
      <c r="B584" s="17" t="n"/>
      <c r="C584" s="17" t="n"/>
      <c r="D584" s="18" t="n"/>
      <c r="E584" s="17" t="n"/>
      <c r="F584" s="17" t="n"/>
      <c r="G584" s="19" t="n"/>
      <c r="H584" s="17" t="n"/>
      <c r="I584" s="17" t="n"/>
      <c r="J584" s="17" t="n"/>
      <c r="K584" s="20">
        <f>IF($B584="","",IFERROR(INDEX(الموظفات!$A$5:$A$304,MATCH($B584,الموظفات!$B$5:$B$304,0))&amp;"",""))</f>
        <v/>
      </c>
      <c r="L584" s="21">
        <f>IF($B584="","",IFERROR(INDEX(الموظفات!$C$5:$C$304,MATCH($B584,الموظفات!$B$5:$B$304,0))&amp;"",""))</f>
        <v/>
      </c>
      <c r="M584" s="20">
        <f>IF($B584="","",IFERROR(INDEX(الموظفات!$D$5:$D$304,MATCH($B584,الموظفات!$B$5:$B$304,0))&amp;"",""))</f>
        <v/>
      </c>
      <c r="N584" s="20">
        <f>IF($B584="","",IFERROR(INDEX(الموظفات!$E$5:$E$304,MATCH($B584,الموظفات!$B$5:$B$304,0))&amp;"",""))</f>
        <v/>
      </c>
      <c r="O584" s="21">
        <f>IF(C584="","",IFERROR(INDEX(الإعدادات!$D$7:$D$35,MATCH(C584,الإعدادات!$A$7:$A$35,0))&amp;"",""))</f>
        <v/>
      </c>
      <c r="P584" s="20">
        <f>IF(A584="","",INDEX(الإعدادات!$H$7:$H$18,MONTH(A584)))</f>
        <v/>
      </c>
      <c r="Q584" s="20">
        <f>IF(A584="","",INDEX(الإعدادات!$I$7:$I$18,MONTH(A584)))</f>
        <v/>
      </c>
      <c r="R584" s="20">
        <f>IF(A584="","",IF(MONTH(A584)&gt;=8,YEAR(A584)&amp;"-"&amp;(YEAR(A584)+1),(YEAR(A584)-1)&amp;"-"&amp;YEAR(A584)))</f>
        <v/>
      </c>
      <c r="S584" s="20">
        <f>IF(OR(A584="",B584=""),0,IF(AND(R584=التقارير!$C$4,OR(التقارير!$C$5="سنوي",AND(التقارير!$C$5="شهري",P584=التقارير!$C$6),AND(التقارير!$C$5="فصلي",Q584=التقارير!$C$7))),1,0))</f>
        <v/>
      </c>
      <c r="T584" s="20">
        <f>IF(S584=1,COUNTIF($S$5:S584,1),"")</f>
        <v/>
      </c>
      <c r="U584">
        <f>IF(AND($A584&lt;&gt;"",$B584&lt;&gt;"",$R584='تقرير الفصل الأول'!$C$4,$Q584='تقرير الفصل الأول'!$C$7),COUNT(U$4:U583)+1,"")</f>
        <v/>
      </c>
      <c r="V584">
        <f>IF(AND($A584&lt;&gt;"",$B584&lt;&gt;"",$R584='تقرير الفصل الثاني'!$C$4,$Q584='تقرير الفصل الثاني'!$C$7),COUNT(V$4:V583)+1,"")</f>
        <v/>
      </c>
      <c r="W584">
        <f>IF(AND($A584&lt;&gt;"",$B584&lt;&gt;"",$R584='تقرير سبتمبر'!$C$4,$P584='تقرير سبتمبر'!$C$6),COUNT(W$4:W583)+1,"")</f>
        <v/>
      </c>
      <c r="X584">
        <f>IF(AND($A584&lt;&gt;"",$B584&lt;&gt;"",$R584='تقرير أكتوبر'!$C$4,$P584='تقرير أكتوبر'!$C$6),COUNT(X$4:X583)+1,"")</f>
        <v/>
      </c>
      <c r="Y584">
        <f>IF(AND($A584&lt;&gt;"",$B584&lt;&gt;"",$R584='تقرير نوفمبر'!$C$4,$P584='تقرير نوفمبر'!$C$6),COUNT(Y$4:Y583)+1,"")</f>
        <v/>
      </c>
      <c r="Z584">
        <f>IF(AND($A584&lt;&gt;"",$B584&lt;&gt;"",$R584='تقرير ديسمبر'!$C$4,$P584='تقرير ديسمبر'!$C$6),COUNT(Z$4:Z583)+1,"")</f>
        <v/>
      </c>
      <c r="AA584">
        <f>IF(AND($A584&lt;&gt;"",$B584&lt;&gt;"",$R584='تقرير يناير'!$C$4,$P584='تقرير يناير'!$C$6),COUNT(AA$4:AA583)+1,"")</f>
        <v/>
      </c>
      <c r="AB584">
        <f>IF(AND($A584&lt;&gt;"",$B584&lt;&gt;"",$R584='تقرير فبراير'!$C$4,$P584='تقرير فبراير'!$C$6),COUNT(AB$4:AB583)+1,"")</f>
        <v/>
      </c>
      <c r="AC584">
        <f>IF(AND($A584&lt;&gt;"",$B584&lt;&gt;"",$R584='تقرير مارس'!$C$4,$P584='تقرير مارس'!$C$6),COUNT(AC$4:AC583)+1,"")</f>
        <v/>
      </c>
      <c r="AD584">
        <f>IF(AND($A584&lt;&gt;"",$B584&lt;&gt;"",$R584='تقرير أبريل'!$C$4,$P584='تقرير أبريل'!$C$6),COUNT(AD$4:AD583)+1,"")</f>
        <v/>
      </c>
      <c r="AE584">
        <f>IF(AND($A584&lt;&gt;"",$B584&lt;&gt;"",$R584='تقرير مايو'!$C$4,$P584='تقرير مايو'!$C$6),COUNT(AE$4:AE583)+1,"")</f>
        <v/>
      </c>
    </row>
    <row r="585">
      <c r="A585" s="16" t="n"/>
      <c r="B585" s="17" t="n"/>
      <c r="C585" s="17" t="n"/>
      <c r="D585" s="18" t="n"/>
      <c r="E585" s="17" t="n"/>
      <c r="F585" s="17" t="n"/>
      <c r="G585" s="19" t="n"/>
      <c r="H585" s="17" t="n"/>
      <c r="I585" s="17" t="n"/>
      <c r="J585" s="17" t="n"/>
      <c r="K585" s="20">
        <f>IF($B585="","",IFERROR(INDEX(الموظفات!$A$5:$A$304,MATCH($B585,الموظفات!$B$5:$B$304,0))&amp;"",""))</f>
        <v/>
      </c>
      <c r="L585" s="21">
        <f>IF($B585="","",IFERROR(INDEX(الموظفات!$C$5:$C$304,MATCH($B585,الموظفات!$B$5:$B$304,0))&amp;"",""))</f>
        <v/>
      </c>
      <c r="M585" s="20">
        <f>IF($B585="","",IFERROR(INDEX(الموظفات!$D$5:$D$304,MATCH($B585,الموظفات!$B$5:$B$304,0))&amp;"",""))</f>
        <v/>
      </c>
      <c r="N585" s="20">
        <f>IF($B585="","",IFERROR(INDEX(الموظفات!$E$5:$E$304,MATCH($B585,الموظفات!$B$5:$B$304,0))&amp;"",""))</f>
        <v/>
      </c>
      <c r="O585" s="21">
        <f>IF(C585="","",IFERROR(INDEX(الإعدادات!$D$7:$D$35,MATCH(C585,الإعدادات!$A$7:$A$35,0))&amp;"",""))</f>
        <v/>
      </c>
      <c r="P585" s="20">
        <f>IF(A585="","",INDEX(الإعدادات!$H$7:$H$18,MONTH(A585)))</f>
        <v/>
      </c>
      <c r="Q585" s="20">
        <f>IF(A585="","",INDEX(الإعدادات!$I$7:$I$18,MONTH(A585)))</f>
        <v/>
      </c>
      <c r="R585" s="20">
        <f>IF(A585="","",IF(MONTH(A585)&gt;=8,YEAR(A585)&amp;"-"&amp;(YEAR(A585)+1),(YEAR(A585)-1)&amp;"-"&amp;YEAR(A585)))</f>
        <v/>
      </c>
      <c r="S585" s="20">
        <f>IF(OR(A585="",B585=""),0,IF(AND(R585=التقارير!$C$4,OR(التقارير!$C$5="سنوي",AND(التقارير!$C$5="شهري",P585=التقارير!$C$6),AND(التقارير!$C$5="فصلي",Q585=التقارير!$C$7))),1,0))</f>
        <v/>
      </c>
      <c r="T585" s="20">
        <f>IF(S585=1,COUNTIF($S$5:S585,1),"")</f>
        <v/>
      </c>
      <c r="U585">
        <f>IF(AND($A585&lt;&gt;"",$B585&lt;&gt;"",$R585='تقرير الفصل الأول'!$C$4,$Q585='تقرير الفصل الأول'!$C$7),COUNT(U$4:U584)+1,"")</f>
        <v/>
      </c>
      <c r="V585">
        <f>IF(AND($A585&lt;&gt;"",$B585&lt;&gt;"",$R585='تقرير الفصل الثاني'!$C$4,$Q585='تقرير الفصل الثاني'!$C$7),COUNT(V$4:V584)+1,"")</f>
        <v/>
      </c>
      <c r="W585">
        <f>IF(AND($A585&lt;&gt;"",$B585&lt;&gt;"",$R585='تقرير سبتمبر'!$C$4,$P585='تقرير سبتمبر'!$C$6),COUNT(W$4:W584)+1,"")</f>
        <v/>
      </c>
      <c r="X585">
        <f>IF(AND($A585&lt;&gt;"",$B585&lt;&gt;"",$R585='تقرير أكتوبر'!$C$4,$P585='تقرير أكتوبر'!$C$6),COUNT(X$4:X584)+1,"")</f>
        <v/>
      </c>
      <c r="Y585">
        <f>IF(AND($A585&lt;&gt;"",$B585&lt;&gt;"",$R585='تقرير نوفمبر'!$C$4,$P585='تقرير نوفمبر'!$C$6),COUNT(Y$4:Y584)+1,"")</f>
        <v/>
      </c>
      <c r="Z585">
        <f>IF(AND($A585&lt;&gt;"",$B585&lt;&gt;"",$R585='تقرير ديسمبر'!$C$4,$P585='تقرير ديسمبر'!$C$6),COUNT(Z$4:Z584)+1,"")</f>
        <v/>
      </c>
      <c r="AA585">
        <f>IF(AND($A585&lt;&gt;"",$B585&lt;&gt;"",$R585='تقرير يناير'!$C$4,$P585='تقرير يناير'!$C$6),COUNT(AA$4:AA584)+1,"")</f>
        <v/>
      </c>
      <c r="AB585">
        <f>IF(AND($A585&lt;&gt;"",$B585&lt;&gt;"",$R585='تقرير فبراير'!$C$4,$P585='تقرير فبراير'!$C$6),COUNT(AB$4:AB584)+1,"")</f>
        <v/>
      </c>
      <c r="AC585">
        <f>IF(AND($A585&lt;&gt;"",$B585&lt;&gt;"",$R585='تقرير مارس'!$C$4,$P585='تقرير مارس'!$C$6),COUNT(AC$4:AC584)+1,"")</f>
        <v/>
      </c>
      <c r="AD585">
        <f>IF(AND($A585&lt;&gt;"",$B585&lt;&gt;"",$R585='تقرير أبريل'!$C$4,$P585='تقرير أبريل'!$C$6),COUNT(AD$4:AD584)+1,"")</f>
        <v/>
      </c>
      <c r="AE585">
        <f>IF(AND($A585&lt;&gt;"",$B585&lt;&gt;"",$R585='تقرير مايو'!$C$4,$P585='تقرير مايو'!$C$6),COUNT(AE$4:AE584)+1,"")</f>
        <v/>
      </c>
    </row>
    <row r="586">
      <c r="A586" s="16" t="n"/>
      <c r="B586" s="17" t="n"/>
      <c r="C586" s="17" t="n"/>
      <c r="D586" s="18" t="n"/>
      <c r="E586" s="17" t="n"/>
      <c r="F586" s="17" t="n"/>
      <c r="G586" s="19" t="n"/>
      <c r="H586" s="17" t="n"/>
      <c r="I586" s="17" t="n"/>
      <c r="J586" s="17" t="n"/>
      <c r="K586" s="20">
        <f>IF($B586="","",IFERROR(INDEX(الموظفات!$A$5:$A$304,MATCH($B586,الموظفات!$B$5:$B$304,0))&amp;"",""))</f>
        <v/>
      </c>
      <c r="L586" s="21">
        <f>IF($B586="","",IFERROR(INDEX(الموظفات!$C$5:$C$304,MATCH($B586,الموظفات!$B$5:$B$304,0))&amp;"",""))</f>
        <v/>
      </c>
      <c r="M586" s="20">
        <f>IF($B586="","",IFERROR(INDEX(الموظفات!$D$5:$D$304,MATCH($B586,الموظفات!$B$5:$B$304,0))&amp;"",""))</f>
        <v/>
      </c>
      <c r="N586" s="20">
        <f>IF($B586="","",IFERROR(INDEX(الموظفات!$E$5:$E$304,MATCH($B586,الموظفات!$B$5:$B$304,0))&amp;"",""))</f>
        <v/>
      </c>
      <c r="O586" s="21">
        <f>IF(C586="","",IFERROR(INDEX(الإعدادات!$D$7:$D$35,MATCH(C586,الإعدادات!$A$7:$A$35,0))&amp;"",""))</f>
        <v/>
      </c>
      <c r="P586" s="20">
        <f>IF(A586="","",INDEX(الإعدادات!$H$7:$H$18,MONTH(A586)))</f>
        <v/>
      </c>
      <c r="Q586" s="20">
        <f>IF(A586="","",INDEX(الإعدادات!$I$7:$I$18,MONTH(A586)))</f>
        <v/>
      </c>
      <c r="R586" s="20">
        <f>IF(A586="","",IF(MONTH(A586)&gt;=8,YEAR(A586)&amp;"-"&amp;(YEAR(A586)+1),(YEAR(A586)-1)&amp;"-"&amp;YEAR(A586)))</f>
        <v/>
      </c>
      <c r="S586" s="20">
        <f>IF(OR(A586="",B586=""),0,IF(AND(R586=التقارير!$C$4,OR(التقارير!$C$5="سنوي",AND(التقارير!$C$5="شهري",P586=التقارير!$C$6),AND(التقارير!$C$5="فصلي",Q586=التقارير!$C$7))),1,0))</f>
        <v/>
      </c>
      <c r="T586" s="20">
        <f>IF(S586=1,COUNTIF($S$5:S586,1),"")</f>
        <v/>
      </c>
      <c r="U586">
        <f>IF(AND($A586&lt;&gt;"",$B586&lt;&gt;"",$R586='تقرير الفصل الأول'!$C$4,$Q586='تقرير الفصل الأول'!$C$7),COUNT(U$4:U585)+1,"")</f>
        <v/>
      </c>
      <c r="V586">
        <f>IF(AND($A586&lt;&gt;"",$B586&lt;&gt;"",$R586='تقرير الفصل الثاني'!$C$4,$Q586='تقرير الفصل الثاني'!$C$7),COUNT(V$4:V585)+1,"")</f>
        <v/>
      </c>
      <c r="W586">
        <f>IF(AND($A586&lt;&gt;"",$B586&lt;&gt;"",$R586='تقرير سبتمبر'!$C$4,$P586='تقرير سبتمبر'!$C$6),COUNT(W$4:W585)+1,"")</f>
        <v/>
      </c>
      <c r="X586">
        <f>IF(AND($A586&lt;&gt;"",$B586&lt;&gt;"",$R586='تقرير أكتوبر'!$C$4,$P586='تقرير أكتوبر'!$C$6),COUNT(X$4:X585)+1,"")</f>
        <v/>
      </c>
      <c r="Y586">
        <f>IF(AND($A586&lt;&gt;"",$B586&lt;&gt;"",$R586='تقرير نوفمبر'!$C$4,$P586='تقرير نوفمبر'!$C$6),COUNT(Y$4:Y585)+1,"")</f>
        <v/>
      </c>
      <c r="Z586">
        <f>IF(AND($A586&lt;&gt;"",$B586&lt;&gt;"",$R586='تقرير ديسمبر'!$C$4,$P586='تقرير ديسمبر'!$C$6),COUNT(Z$4:Z585)+1,"")</f>
        <v/>
      </c>
      <c r="AA586">
        <f>IF(AND($A586&lt;&gt;"",$B586&lt;&gt;"",$R586='تقرير يناير'!$C$4,$P586='تقرير يناير'!$C$6),COUNT(AA$4:AA585)+1,"")</f>
        <v/>
      </c>
      <c r="AB586">
        <f>IF(AND($A586&lt;&gt;"",$B586&lt;&gt;"",$R586='تقرير فبراير'!$C$4,$P586='تقرير فبراير'!$C$6),COUNT(AB$4:AB585)+1,"")</f>
        <v/>
      </c>
      <c r="AC586">
        <f>IF(AND($A586&lt;&gt;"",$B586&lt;&gt;"",$R586='تقرير مارس'!$C$4,$P586='تقرير مارس'!$C$6),COUNT(AC$4:AC585)+1,"")</f>
        <v/>
      </c>
      <c r="AD586">
        <f>IF(AND($A586&lt;&gt;"",$B586&lt;&gt;"",$R586='تقرير أبريل'!$C$4,$P586='تقرير أبريل'!$C$6),COUNT(AD$4:AD585)+1,"")</f>
        <v/>
      </c>
      <c r="AE586">
        <f>IF(AND($A586&lt;&gt;"",$B586&lt;&gt;"",$R586='تقرير مايو'!$C$4,$P586='تقرير مايو'!$C$6),COUNT(AE$4:AE585)+1,"")</f>
        <v/>
      </c>
    </row>
    <row r="587">
      <c r="A587" s="16" t="n"/>
      <c r="B587" s="17" t="n"/>
      <c r="C587" s="17" t="n"/>
      <c r="D587" s="18" t="n"/>
      <c r="E587" s="17" t="n"/>
      <c r="F587" s="17" t="n"/>
      <c r="G587" s="19" t="n"/>
      <c r="H587" s="17" t="n"/>
      <c r="I587" s="17" t="n"/>
      <c r="J587" s="17" t="n"/>
      <c r="K587" s="20">
        <f>IF($B587="","",IFERROR(INDEX(الموظفات!$A$5:$A$304,MATCH($B587,الموظفات!$B$5:$B$304,0))&amp;"",""))</f>
        <v/>
      </c>
      <c r="L587" s="21">
        <f>IF($B587="","",IFERROR(INDEX(الموظفات!$C$5:$C$304,MATCH($B587,الموظفات!$B$5:$B$304,0))&amp;"",""))</f>
        <v/>
      </c>
      <c r="M587" s="20">
        <f>IF($B587="","",IFERROR(INDEX(الموظفات!$D$5:$D$304,MATCH($B587,الموظفات!$B$5:$B$304,0))&amp;"",""))</f>
        <v/>
      </c>
      <c r="N587" s="20">
        <f>IF($B587="","",IFERROR(INDEX(الموظفات!$E$5:$E$304,MATCH($B587,الموظفات!$B$5:$B$304,0))&amp;"",""))</f>
        <v/>
      </c>
      <c r="O587" s="21">
        <f>IF(C587="","",IFERROR(INDEX(الإعدادات!$D$7:$D$35,MATCH(C587,الإعدادات!$A$7:$A$35,0))&amp;"",""))</f>
        <v/>
      </c>
      <c r="P587" s="20">
        <f>IF(A587="","",INDEX(الإعدادات!$H$7:$H$18,MONTH(A587)))</f>
        <v/>
      </c>
      <c r="Q587" s="20">
        <f>IF(A587="","",INDEX(الإعدادات!$I$7:$I$18,MONTH(A587)))</f>
        <v/>
      </c>
      <c r="R587" s="20">
        <f>IF(A587="","",IF(MONTH(A587)&gt;=8,YEAR(A587)&amp;"-"&amp;(YEAR(A587)+1),(YEAR(A587)-1)&amp;"-"&amp;YEAR(A587)))</f>
        <v/>
      </c>
      <c r="S587" s="20">
        <f>IF(OR(A587="",B587=""),0,IF(AND(R587=التقارير!$C$4,OR(التقارير!$C$5="سنوي",AND(التقارير!$C$5="شهري",P587=التقارير!$C$6),AND(التقارير!$C$5="فصلي",Q587=التقارير!$C$7))),1,0))</f>
        <v/>
      </c>
      <c r="T587" s="20">
        <f>IF(S587=1,COUNTIF($S$5:S587,1),"")</f>
        <v/>
      </c>
      <c r="U587">
        <f>IF(AND($A587&lt;&gt;"",$B587&lt;&gt;"",$R587='تقرير الفصل الأول'!$C$4,$Q587='تقرير الفصل الأول'!$C$7),COUNT(U$4:U586)+1,"")</f>
        <v/>
      </c>
      <c r="V587">
        <f>IF(AND($A587&lt;&gt;"",$B587&lt;&gt;"",$R587='تقرير الفصل الثاني'!$C$4,$Q587='تقرير الفصل الثاني'!$C$7),COUNT(V$4:V586)+1,"")</f>
        <v/>
      </c>
      <c r="W587">
        <f>IF(AND($A587&lt;&gt;"",$B587&lt;&gt;"",$R587='تقرير سبتمبر'!$C$4,$P587='تقرير سبتمبر'!$C$6),COUNT(W$4:W586)+1,"")</f>
        <v/>
      </c>
      <c r="X587">
        <f>IF(AND($A587&lt;&gt;"",$B587&lt;&gt;"",$R587='تقرير أكتوبر'!$C$4,$P587='تقرير أكتوبر'!$C$6),COUNT(X$4:X586)+1,"")</f>
        <v/>
      </c>
      <c r="Y587">
        <f>IF(AND($A587&lt;&gt;"",$B587&lt;&gt;"",$R587='تقرير نوفمبر'!$C$4,$P587='تقرير نوفمبر'!$C$6),COUNT(Y$4:Y586)+1,"")</f>
        <v/>
      </c>
      <c r="Z587">
        <f>IF(AND($A587&lt;&gt;"",$B587&lt;&gt;"",$R587='تقرير ديسمبر'!$C$4,$P587='تقرير ديسمبر'!$C$6),COUNT(Z$4:Z586)+1,"")</f>
        <v/>
      </c>
      <c r="AA587">
        <f>IF(AND($A587&lt;&gt;"",$B587&lt;&gt;"",$R587='تقرير يناير'!$C$4,$P587='تقرير يناير'!$C$6),COUNT(AA$4:AA586)+1,"")</f>
        <v/>
      </c>
      <c r="AB587">
        <f>IF(AND($A587&lt;&gt;"",$B587&lt;&gt;"",$R587='تقرير فبراير'!$C$4,$P587='تقرير فبراير'!$C$6),COUNT(AB$4:AB586)+1,"")</f>
        <v/>
      </c>
      <c r="AC587">
        <f>IF(AND($A587&lt;&gt;"",$B587&lt;&gt;"",$R587='تقرير مارس'!$C$4,$P587='تقرير مارس'!$C$6),COUNT(AC$4:AC586)+1,"")</f>
        <v/>
      </c>
      <c r="AD587">
        <f>IF(AND($A587&lt;&gt;"",$B587&lt;&gt;"",$R587='تقرير أبريل'!$C$4,$P587='تقرير أبريل'!$C$6),COUNT(AD$4:AD586)+1,"")</f>
        <v/>
      </c>
      <c r="AE587">
        <f>IF(AND($A587&lt;&gt;"",$B587&lt;&gt;"",$R587='تقرير مايو'!$C$4,$P587='تقرير مايو'!$C$6),COUNT(AE$4:AE586)+1,"")</f>
        <v/>
      </c>
    </row>
    <row r="588">
      <c r="A588" s="16" t="n"/>
      <c r="B588" s="17" t="n"/>
      <c r="C588" s="17" t="n"/>
      <c r="D588" s="18" t="n"/>
      <c r="E588" s="17" t="n"/>
      <c r="F588" s="17" t="n"/>
      <c r="G588" s="19" t="n"/>
      <c r="H588" s="17" t="n"/>
      <c r="I588" s="17" t="n"/>
      <c r="J588" s="17" t="n"/>
      <c r="K588" s="20">
        <f>IF($B588="","",IFERROR(INDEX(الموظفات!$A$5:$A$304,MATCH($B588,الموظفات!$B$5:$B$304,0))&amp;"",""))</f>
        <v/>
      </c>
      <c r="L588" s="21">
        <f>IF($B588="","",IFERROR(INDEX(الموظفات!$C$5:$C$304,MATCH($B588,الموظفات!$B$5:$B$304,0))&amp;"",""))</f>
        <v/>
      </c>
      <c r="M588" s="20">
        <f>IF($B588="","",IFERROR(INDEX(الموظفات!$D$5:$D$304,MATCH($B588,الموظفات!$B$5:$B$304,0))&amp;"",""))</f>
        <v/>
      </c>
      <c r="N588" s="20">
        <f>IF($B588="","",IFERROR(INDEX(الموظفات!$E$5:$E$304,MATCH($B588,الموظفات!$B$5:$B$304,0))&amp;"",""))</f>
        <v/>
      </c>
      <c r="O588" s="21">
        <f>IF(C588="","",IFERROR(INDEX(الإعدادات!$D$7:$D$35,MATCH(C588,الإعدادات!$A$7:$A$35,0))&amp;"",""))</f>
        <v/>
      </c>
      <c r="P588" s="20">
        <f>IF(A588="","",INDEX(الإعدادات!$H$7:$H$18,MONTH(A588)))</f>
        <v/>
      </c>
      <c r="Q588" s="20">
        <f>IF(A588="","",INDEX(الإعدادات!$I$7:$I$18,MONTH(A588)))</f>
        <v/>
      </c>
      <c r="R588" s="20">
        <f>IF(A588="","",IF(MONTH(A588)&gt;=8,YEAR(A588)&amp;"-"&amp;(YEAR(A588)+1),(YEAR(A588)-1)&amp;"-"&amp;YEAR(A588)))</f>
        <v/>
      </c>
      <c r="S588" s="20">
        <f>IF(OR(A588="",B588=""),0,IF(AND(R588=التقارير!$C$4,OR(التقارير!$C$5="سنوي",AND(التقارير!$C$5="شهري",P588=التقارير!$C$6),AND(التقارير!$C$5="فصلي",Q588=التقارير!$C$7))),1,0))</f>
        <v/>
      </c>
      <c r="T588" s="20">
        <f>IF(S588=1,COUNTIF($S$5:S588,1),"")</f>
        <v/>
      </c>
      <c r="U588">
        <f>IF(AND($A588&lt;&gt;"",$B588&lt;&gt;"",$R588='تقرير الفصل الأول'!$C$4,$Q588='تقرير الفصل الأول'!$C$7),COUNT(U$4:U587)+1,"")</f>
        <v/>
      </c>
      <c r="V588">
        <f>IF(AND($A588&lt;&gt;"",$B588&lt;&gt;"",$R588='تقرير الفصل الثاني'!$C$4,$Q588='تقرير الفصل الثاني'!$C$7),COUNT(V$4:V587)+1,"")</f>
        <v/>
      </c>
      <c r="W588">
        <f>IF(AND($A588&lt;&gt;"",$B588&lt;&gt;"",$R588='تقرير سبتمبر'!$C$4,$P588='تقرير سبتمبر'!$C$6),COUNT(W$4:W587)+1,"")</f>
        <v/>
      </c>
      <c r="X588">
        <f>IF(AND($A588&lt;&gt;"",$B588&lt;&gt;"",$R588='تقرير أكتوبر'!$C$4,$P588='تقرير أكتوبر'!$C$6),COUNT(X$4:X587)+1,"")</f>
        <v/>
      </c>
      <c r="Y588">
        <f>IF(AND($A588&lt;&gt;"",$B588&lt;&gt;"",$R588='تقرير نوفمبر'!$C$4,$P588='تقرير نوفمبر'!$C$6),COUNT(Y$4:Y587)+1,"")</f>
        <v/>
      </c>
      <c r="Z588">
        <f>IF(AND($A588&lt;&gt;"",$B588&lt;&gt;"",$R588='تقرير ديسمبر'!$C$4,$P588='تقرير ديسمبر'!$C$6),COUNT(Z$4:Z587)+1,"")</f>
        <v/>
      </c>
      <c r="AA588">
        <f>IF(AND($A588&lt;&gt;"",$B588&lt;&gt;"",$R588='تقرير يناير'!$C$4,$P588='تقرير يناير'!$C$6),COUNT(AA$4:AA587)+1,"")</f>
        <v/>
      </c>
      <c r="AB588">
        <f>IF(AND($A588&lt;&gt;"",$B588&lt;&gt;"",$R588='تقرير فبراير'!$C$4,$P588='تقرير فبراير'!$C$6),COUNT(AB$4:AB587)+1,"")</f>
        <v/>
      </c>
      <c r="AC588">
        <f>IF(AND($A588&lt;&gt;"",$B588&lt;&gt;"",$R588='تقرير مارس'!$C$4,$P588='تقرير مارس'!$C$6),COUNT(AC$4:AC587)+1,"")</f>
        <v/>
      </c>
      <c r="AD588">
        <f>IF(AND($A588&lt;&gt;"",$B588&lt;&gt;"",$R588='تقرير أبريل'!$C$4,$P588='تقرير أبريل'!$C$6),COUNT(AD$4:AD587)+1,"")</f>
        <v/>
      </c>
      <c r="AE588">
        <f>IF(AND($A588&lt;&gt;"",$B588&lt;&gt;"",$R588='تقرير مايو'!$C$4,$P588='تقرير مايو'!$C$6),COUNT(AE$4:AE587)+1,"")</f>
        <v/>
      </c>
    </row>
    <row r="589">
      <c r="A589" s="16" t="n"/>
      <c r="B589" s="17" t="n"/>
      <c r="C589" s="17" t="n"/>
      <c r="D589" s="18" t="n"/>
      <c r="E589" s="17" t="n"/>
      <c r="F589" s="17" t="n"/>
      <c r="G589" s="19" t="n"/>
      <c r="H589" s="17" t="n"/>
      <c r="I589" s="17" t="n"/>
      <c r="J589" s="17" t="n"/>
      <c r="K589" s="20">
        <f>IF($B589="","",IFERROR(INDEX(الموظفات!$A$5:$A$304,MATCH($B589,الموظفات!$B$5:$B$304,0))&amp;"",""))</f>
        <v/>
      </c>
      <c r="L589" s="21">
        <f>IF($B589="","",IFERROR(INDEX(الموظفات!$C$5:$C$304,MATCH($B589,الموظفات!$B$5:$B$304,0))&amp;"",""))</f>
        <v/>
      </c>
      <c r="M589" s="20">
        <f>IF($B589="","",IFERROR(INDEX(الموظفات!$D$5:$D$304,MATCH($B589,الموظفات!$B$5:$B$304,0))&amp;"",""))</f>
        <v/>
      </c>
      <c r="N589" s="20">
        <f>IF($B589="","",IFERROR(INDEX(الموظفات!$E$5:$E$304,MATCH($B589,الموظفات!$B$5:$B$304,0))&amp;"",""))</f>
        <v/>
      </c>
      <c r="O589" s="21">
        <f>IF(C589="","",IFERROR(INDEX(الإعدادات!$D$7:$D$35,MATCH(C589,الإعدادات!$A$7:$A$35,0))&amp;"",""))</f>
        <v/>
      </c>
      <c r="P589" s="20">
        <f>IF(A589="","",INDEX(الإعدادات!$H$7:$H$18,MONTH(A589)))</f>
        <v/>
      </c>
      <c r="Q589" s="20">
        <f>IF(A589="","",INDEX(الإعدادات!$I$7:$I$18,MONTH(A589)))</f>
        <v/>
      </c>
      <c r="R589" s="20">
        <f>IF(A589="","",IF(MONTH(A589)&gt;=8,YEAR(A589)&amp;"-"&amp;(YEAR(A589)+1),(YEAR(A589)-1)&amp;"-"&amp;YEAR(A589)))</f>
        <v/>
      </c>
      <c r="S589" s="20">
        <f>IF(OR(A589="",B589=""),0,IF(AND(R589=التقارير!$C$4,OR(التقارير!$C$5="سنوي",AND(التقارير!$C$5="شهري",P589=التقارير!$C$6),AND(التقارير!$C$5="فصلي",Q589=التقارير!$C$7))),1,0))</f>
        <v/>
      </c>
      <c r="T589" s="20">
        <f>IF(S589=1,COUNTIF($S$5:S589,1),"")</f>
        <v/>
      </c>
      <c r="U589">
        <f>IF(AND($A589&lt;&gt;"",$B589&lt;&gt;"",$R589='تقرير الفصل الأول'!$C$4,$Q589='تقرير الفصل الأول'!$C$7),COUNT(U$4:U588)+1,"")</f>
        <v/>
      </c>
      <c r="V589">
        <f>IF(AND($A589&lt;&gt;"",$B589&lt;&gt;"",$R589='تقرير الفصل الثاني'!$C$4,$Q589='تقرير الفصل الثاني'!$C$7),COUNT(V$4:V588)+1,"")</f>
        <v/>
      </c>
      <c r="W589">
        <f>IF(AND($A589&lt;&gt;"",$B589&lt;&gt;"",$R589='تقرير سبتمبر'!$C$4,$P589='تقرير سبتمبر'!$C$6),COUNT(W$4:W588)+1,"")</f>
        <v/>
      </c>
      <c r="X589">
        <f>IF(AND($A589&lt;&gt;"",$B589&lt;&gt;"",$R589='تقرير أكتوبر'!$C$4,$P589='تقرير أكتوبر'!$C$6),COUNT(X$4:X588)+1,"")</f>
        <v/>
      </c>
      <c r="Y589">
        <f>IF(AND($A589&lt;&gt;"",$B589&lt;&gt;"",$R589='تقرير نوفمبر'!$C$4,$P589='تقرير نوفمبر'!$C$6),COUNT(Y$4:Y588)+1,"")</f>
        <v/>
      </c>
      <c r="Z589">
        <f>IF(AND($A589&lt;&gt;"",$B589&lt;&gt;"",$R589='تقرير ديسمبر'!$C$4,$P589='تقرير ديسمبر'!$C$6),COUNT(Z$4:Z588)+1,"")</f>
        <v/>
      </c>
      <c r="AA589">
        <f>IF(AND($A589&lt;&gt;"",$B589&lt;&gt;"",$R589='تقرير يناير'!$C$4,$P589='تقرير يناير'!$C$6),COUNT(AA$4:AA588)+1,"")</f>
        <v/>
      </c>
      <c r="AB589">
        <f>IF(AND($A589&lt;&gt;"",$B589&lt;&gt;"",$R589='تقرير فبراير'!$C$4,$P589='تقرير فبراير'!$C$6),COUNT(AB$4:AB588)+1,"")</f>
        <v/>
      </c>
      <c r="AC589">
        <f>IF(AND($A589&lt;&gt;"",$B589&lt;&gt;"",$R589='تقرير مارس'!$C$4,$P589='تقرير مارس'!$C$6),COUNT(AC$4:AC588)+1,"")</f>
        <v/>
      </c>
      <c r="AD589">
        <f>IF(AND($A589&lt;&gt;"",$B589&lt;&gt;"",$R589='تقرير أبريل'!$C$4,$P589='تقرير أبريل'!$C$6),COUNT(AD$4:AD588)+1,"")</f>
        <v/>
      </c>
      <c r="AE589">
        <f>IF(AND($A589&lt;&gt;"",$B589&lt;&gt;"",$R589='تقرير مايو'!$C$4,$P589='تقرير مايو'!$C$6),COUNT(AE$4:AE588)+1,"")</f>
        <v/>
      </c>
    </row>
    <row r="590">
      <c r="A590" s="16" t="n"/>
      <c r="B590" s="17" t="n"/>
      <c r="C590" s="17" t="n"/>
      <c r="D590" s="18" t="n"/>
      <c r="E590" s="17" t="n"/>
      <c r="F590" s="17" t="n"/>
      <c r="G590" s="19" t="n"/>
      <c r="H590" s="17" t="n"/>
      <c r="I590" s="17" t="n"/>
      <c r="J590" s="17" t="n"/>
      <c r="K590" s="20">
        <f>IF($B590="","",IFERROR(INDEX(الموظفات!$A$5:$A$304,MATCH($B590,الموظفات!$B$5:$B$304,0))&amp;"",""))</f>
        <v/>
      </c>
      <c r="L590" s="21">
        <f>IF($B590="","",IFERROR(INDEX(الموظفات!$C$5:$C$304,MATCH($B590,الموظفات!$B$5:$B$304,0))&amp;"",""))</f>
        <v/>
      </c>
      <c r="M590" s="20">
        <f>IF($B590="","",IFERROR(INDEX(الموظفات!$D$5:$D$304,MATCH($B590,الموظفات!$B$5:$B$304,0))&amp;"",""))</f>
        <v/>
      </c>
      <c r="N590" s="20">
        <f>IF($B590="","",IFERROR(INDEX(الموظفات!$E$5:$E$304,MATCH($B590,الموظفات!$B$5:$B$304,0))&amp;"",""))</f>
        <v/>
      </c>
      <c r="O590" s="21">
        <f>IF(C590="","",IFERROR(INDEX(الإعدادات!$D$7:$D$35,MATCH(C590,الإعدادات!$A$7:$A$35,0))&amp;"",""))</f>
        <v/>
      </c>
      <c r="P590" s="20">
        <f>IF(A590="","",INDEX(الإعدادات!$H$7:$H$18,MONTH(A590)))</f>
        <v/>
      </c>
      <c r="Q590" s="20">
        <f>IF(A590="","",INDEX(الإعدادات!$I$7:$I$18,MONTH(A590)))</f>
        <v/>
      </c>
      <c r="R590" s="20">
        <f>IF(A590="","",IF(MONTH(A590)&gt;=8,YEAR(A590)&amp;"-"&amp;(YEAR(A590)+1),(YEAR(A590)-1)&amp;"-"&amp;YEAR(A590)))</f>
        <v/>
      </c>
      <c r="S590" s="20">
        <f>IF(OR(A590="",B590=""),0,IF(AND(R590=التقارير!$C$4,OR(التقارير!$C$5="سنوي",AND(التقارير!$C$5="شهري",P590=التقارير!$C$6),AND(التقارير!$C$5="فصلي",Q590=التقارير!$C$7))),1,0))</f>
        <v/>
      </c>
      <c r="T590" s="20">
        <f>IF(S590=1,COUNTIF($S$5:S590,1),"")</f>
        <v/>
      </c>
      <c r="U590">
        <f>IF(AND($A590&lt;&gt;"",$B590&lt;&gt;"",$R590='تقرير الفصل الأول'!$C$4,$Q590='تقرير الفصل الأول'!$C$7),COUNT(U$4:U589)+1,"")</f>
        <v/>
      </c>
      <c r="V590">
        <f>IF(AND($A590&lt;&gt;"",$B590&lt;&gt;"",$R590='تقرير الفصل الثاني'!$C$4,$Q590='تقرير الفصل الثاني'!$C$7),COUNT(V$4:V589)+1,"")</f>
        <v/>
      </c>
      <c r="W590">
        <f>IF(AND($A590&lt;&gt;"",$B590&lt;&gt;"",$R590='تقرير سبتمبر'!$C$4,$P590='تقرير سبتمبر'!$C$6),COUNT(W$4:W589)+1,"")</f>
        <v/>
      </c>
      <c r="X590">
        <f>IF(AND($A590&lt;&gt;"",$B590&lt;&gt;"",$R590='تقرير أكتوبر'!$C$4,$P590='تقرير أكتوبر'!$C$6),COUNT(X$4:X589)+1,"")</f>
        <v/>
      </c>
      <c r="Y590">
        <f>IF(AND($A590&lt;&gt;"",$B590&lt;&gt;"",$R590='تقرير نوفمبر'!$C$4,$P590='تقرير نوفمبر'!$C$6),COUNT(Y$4:Y589)+1,"")</f>
        <v/>
      </c>
      <c r="Z590">
        <f>IF(AND($A590&lt;&gt;"",$B590&lt;&gt;"",$R590='تقرير ديسمبر'!$C$4,$P590='تقرير ديسمبر'!$C$6),COUNT(Z$4:Z589)+1,"")</f>
        <v/>
      </c>
      <c r="AA590">
        <f>IF(AND($A590&lt;&gt;"",$B590&lt;&gt;"",$R590='تقرير يناير'!$C$4,$P590='تقرير يناير'!$C$6),COUNT(AA$4:AA589)+1,"")</f>
        <v/>
      </c>
      <c r="AB590">
        <f>IF(AND($A590&lt;&gt;"",$B590&lt;&gt;"",$R590='تقرير فبراير'!$C$4,$P590='تقرير فبراير'!$C$6),COUNT(AB$4:AB589)+1,"")</f>
        <v/>
      </c>
      <c r="AC590">
        <f>IF(AND($A590&lt;&gt;"",$B590&lt;&gt;"",$R590='تقرير مارس'!$C$4,$P590='تقرير مارس'!$C$6),COUNT(AC$4:AC589)+1,"")</f>
        <v/>
      </c>
      <c r="AD590">
        <f>IF(AND($A590&lt;&gt;"",$B590&lt;&gt;"",$R590='تقرير أبريل'!$C$4,$P590='تقرير أبريل'!$C$6),COUNT(AD$4:AD589)+1,"")</f>
        <v/>
      </c>
      <c r="AE590">
        <f>IF(AND($A590&lt;&gt;"",$B590&lt;&gt;"",$R590='تقرير مايو'!$C$4,$P590='تقرير مايو'!$C$6),COUNT(AE$4:AE589)+1,"")</f>
        <v/>
      </c>
    </row>
    <row r="591">
      <c r="A591" s="16" t="n"/>
      <c r="B591" s="17" t="n"/>
      <c r="C591" s="17" t="n"/>
      <c r="D591" s="18" t="n"/>
      <c r="E591" s="17" t="n"/>
      <c r="F591" s="17" t="n"/>
      <c r="G591" s="19" t="n"/>
      <c r="H591" s="17" t="n"/>
      <c r="I591" s="17" t="n"/>
      <c r="J591" s="17" t="n"/>
      <c r="K591" s="20">
        <f>IF($B591="","",IFERROR(INDEX(الموظفات!$A$5:$A$304,MATCH($B591,الموظفات!$B$5:$B$304,0))&amp;"",""))</f>
        <v/>
      </c>
      <c r="L591" s="21">
        <f>IF($B591="","",IFERROR(INDEX(الموظفات!$C$5:$C$304,MATCH($B591,الموظفات!$B$5:$B$304,0))&amp;"",""))</f>
        <v/>
      </c>
      <c r="M591" s="20">
        <f>IF($B591="","",IFERROR(INDEX(الموظفات!$D$5:$D$304,MATCH($B591,الموظفات!$B$5:$B$304,0))&amp;"",""))</f>
        <v/>
      </c>
      <c r="N591" s="20">
        <f>IF($B591="","",IFERROR(INDEX(الموظفات!$E$5:$E$304,MATCH($B591,الموظفات!$B$5:$B$304,0))&amp;"",""))</f>
        <v/>
      </c>
      <c r="O591" s="21">
        <f>IF(C591="","",IFERROR(INDEX(الإعدادات!$D$7:$D$35,MATCH(C591,الإعدادات!$A$7:$A$35,0))&amp;"",""))</f>
        <v/>
      </c>
      <c r="P591" s="20">
        <f>IF(A591="","",INDEX(الإعدادات!$H$7:$H$18,MONTH(A591)))</f>
        <v/>
      </c>
      <c r="Q591" s="20">
        <f>IF(A591="","",INDEX(الإعدادات!$I$7:$I$18,MONTH(A591)))</f>
        <v/>
      </c>
      <c r="R591" s="20">
        <f>IF(A591="","",IF(MONTH(A591)&gt;=8,YEAR(A591)&amp;"-"&amp;(YEAR(A591)+1),(YEAR(A591)-1)&amp;"-"&amp;YEAR(A591)))</f>
        <v/>
      </c>
      <c r="S591" s="20">
        <f>IF(OR(A591="",B591=""),0,IF(AND(R591=التقارير!$C$4,OR(التقارير!$C$5="سنوي",AND(التقارير!$C$5="شهري",P591=التقارير!$C$6),AND(التقارير!$C$5="فصلي",Q591=التقارير!$C$7))),1,0))</f>
        <v/>
      </c>
      <c r="T591" s="20">
        <f>IF(S591=1,COUNTIF($S$5:S591,1),"")</f>
        <v/>
      </c>
      <c r="U591">
        <f>IF(AND($A591&lt;&gt;"",$B591&lt;&gt;"",$R591='تقرير الفصل الأول'!$C$4,$Q591='تقرير الفصل الأول'!$C$7),COUNT(U$4:U590)+1,"")</f>
        <v/>
      </c>
      <c r="V591">
        <f>IF(AND($A591&lt;&gt;"",$B591&lt;&gt;"",$R591='تقرير الفصل الثاني'!$C$4,$Q591='تقرير الفصل الثاني'!$C$7),COUNT(V$4:V590)+1,"")</f>
        <v/>
      </c>
      <c r="W591">
        <f>IF(AND($A591&lt;&gt;"",$B591&lt;&gt;"",$R591='تقرير سبتمبر'!$C$4,$P591='تقرير سبتمبر'!$C$6),COUNT(W$4:W590)+1,"")</f>
        <v/>
      </c>
      <c r="X591">
        <f>IF(AND($A591&lt;&gt;"",$B591&lt;&gt;"",$R591='تقرير أكتوبر'!$C$4,$P591='تقرير أكتوبر'!$C$6),COUNT(X$4:X590)+1,"")</f>
        <v/>
      </c>
      <c r="Y591">
        <f>IF(AND($A591&lt;&gt;"",$B591&lt;&gt;"",$R591='تقرير نوفمبر'!$C$4,$P591='تقرير نوفمبر'!$C$6),COUNT(Y$4:Y590)+1,"")</f>
        <v/>
      </c>
      <c r="Z591">
        <f>IF(AND($A591&lt;&gt;"",$B591&lt;&gt;"",$R591='تقرير ديسمبر'!$C$4,$P591='تقرير ديسمبر'!$C$6),COUNT(Z$4:Z590)+1,"")</f>
        <v/>
      </c>
      <c r="AA591">
        <f>IF(AND($A591&lt;&gt;"",$B591&lt;&gt;"",$R591='تقرير يناير'!$C$4,$P591='تقرير يناير'!$C$6),COUNT(AA$4:AA590)+1,"")</f>
        <v/>
      </c>
      <c r="AB591">
        <f>IF(AND($A591&lt;&gt;"",$B591&lt;&gt;"",$R591='تقرير فبراير'!$C$4,$P591='تقرير فبراير'!$C$6),COUNT(AB$4:AB590)+1,"")</f>
        <v/>
      </c>
      <c r="AC591">
        <f>IF(AND($A591&lt;&gt;"",$B591&lt;&gt;"",$R591='تقرير مارس'!$C$4,$P591='تقرير مارس'!$C$6),COUNT(AC$4:AC590)+1,"")</f>
        <v/>
      </c>
      <c r="AD591">
        <f>IF(AND($A591&lt;&gt;"",$B591&lt;&gt;"",$R591='تقرير أبريل'!$C$4,$P591='تقرير أبريل'!$C$6),COUNT(AD$4:AD590)+1,"")</f>
        <v/>
      </c>
      <c r="AE591">
        <f>IF(AND($A591&lt;&gt;"",$B591&lt;&gt;"",$R591='تقرير مايو'!$C$4,$P591='تقرير مايو'!$C$6),COUNT(AE$4:AE590)+1,"")</f>
        <v/>
      </c>
    </row>
    <row r="592">
      <c r="A592" s="16" t="n"/>
      <c r="B592" s="17" t="n"/>
      <c r="C592" s="17" t="n"/>
      <c r="D592" s="18" t="n"/>
      <c r="E592" s="17" t="n"/>
      <c r="F592" s="17" t="n"/>
      <c r="G592" s="19" t="n"/>
      <c r="H592" s="17" t="n"/>
      <c r="I592" s="17" t="n"/>
      <c r="J592" s="17" t="n"/>
      <c r="K592" s="20">
        <f>IF($B592="","",IFERROR(INDEX(الموظفات!$A$5:$A$304,MATCH($B592,الموظفات!$B$5:$B$304,0))&amp;"",""))</f>
        <v/>
      </c>
      <c r="L592" s="21">
        <f>IF($B592="","",IFERROR(INDEX(الموظفات!$C$5:$C$304,MATCH($B592,الموظفات!$B$5:$B$304,0))&amp;"",""))</f>
        <v/>
      </c>
      <c r="M592" s="20">
        <f>IF($B592="","",IFERROR(INDEX(الموظفات!$D$5:$D$304,MATCH($B592,الموظفات!$B$5:$B$304,0))&amp;"",""))</f>
        <v/>
      </c>
      <c r="N592" s="20">
        <f>IF($B592="","",IFERROR(INDEX(الموظفات!$E$5:$E$304,MATCH($B592,الموظفات!$B$5:$B$304,0))&amp;"",""))</f>
        <v/>
      </c>
      <c r="O592" s="21">
        <f>IF(C592="","",IFERROR(INDEX(الإعدادات!$D$7:$D$35,MATCH(C592,الإعدادات!$A$7:$A$35,0))&amp;"",""))</f>
        <v/>
      </c>
      <c r="P592" s="20">
        <f>IF(A592="","",INDEX(الإعدادات!$H$7:$H$18,MONTH(A592)))</f>
        <v/>
      </c>
      <c r="Q592" s="20">
        <f>IF(A592="","",INDEX(الإعدادات!$I$7:$I$18,MONTH(A592)))</f>
        <v/>
      </c>
      <c r="R592" s="20">
        <f>IF(A592="","",IF(MONTH(A592)&gt;=8,YEAR(A592)&amp;"-"&amp;(YEAR(A592)+1),(YEAR(A592)-1)&amp;"-"&amp;YEAR(A592)))</f>
        <v/>
      </c>
      <c r="S592" s="20">
        <f>IF(OR(A592="",B592=""),0,IF(AND(R592=التقارير!$C$4,OR(التقارير!$C$5="سنوي",AND(التقارير!$C$5="شهري",P592=التقارير!$C$6),AND(التقارير!$C$5="فصلي",Q592=التقارير!$C$7))),1,0))</f>
        <v/>
      </c>
      <c r="T592" s="20">
        <f>IF(S592=1,COUNTIF($S$5:S592,1),"")</f>
        <v/>
      </c>
      <c r="U592">
        <f>IF(AND($A592&lt;&gt;"",$B592&lt;&gt;"",$R592='تقرير الفصل الأول'!$C$4,$Q592='تقرير الفصل الأول'!$C$7),COUNT(U$4:U591)+1,"")</f>
        <v/>
      </c>
      <c r="V592">
        <f>IF(AND($A592&lt;&gt;"",$B592&lt;&gt;"",$R592='تقرير الفصل الثاني'!$C$4,$Q592='تقرير الفصل الثاني'!$C$7),COUNT(V$4:V591)+1,"")</f>
        <v/>
      </c>
      <c r="W592">
        <f>IF(AND($A592&lt;&gt;"",$B592&lt;&gt;"",$R592='تقرير سبتمبر'!$C$4,$P592='تقرير سبتمبر'!$C$6),COUNT(W$4:W591)+1,"")</f>
        <v/>
      </c>
      <c r="X592">
        <f>IF(AND($A592&lt;&gt;"",$B592&lt;&gt;"",$R592='تقرير أكتوبر'!$C$4,$P592='تقرير أكتوبر'!$C$6),COUNT(X$4:X591)+1,"")</f>
        <v/>
      </c>
      <c r="Y592">
        <f>IF(AND($A592&lt;&gt;"",$B592&lt;&gt;"",$R592='تقرير نوفمبر'!$C$4,$P592='تقرير نوفمبر'!$C$6),COUNT(Y$4:Y591)+1,"")</f>
        <v/>
      </c>
      <c r="Z592">
        <f>IF(AND($A592&lt;&gt;"",$B592&lt;&gt;"",$R592='تقرير ديسمبر'!$C$4,$P592='تقرير ديسمبر'!$C$6),COUNT(Z$4:Z591)+1,"")</f>
        <v/>
      </c>
      <c r="AA592">
        <f>IF(AND($A592&lt;&gt;"",$B592&lt;&gt;"",$R592='تقرير يناير'!$C$4,$P592='تقرير يناير'!$C$6),COUNT(AA$4:AA591)+1,"")</f>
        <v/>
      </c>
      <c r="AB592">
        <f>IF(AND($A592&lt;&gt;"",$B592&lt;&gt;"",$R592='تقرير فبراير'!$C$4,$P592='تقرير فبراير'!$C$6),COUNT(AB$4:AB591)+1,"")</f>
        <v/>
      </c>
      <c r="AC592">
        <f>IF(AND($A592&lt;&gt;"",$B592&lt;&gt;"",$R592='تقرير مارس'!$C$4,$P592='تقرير مارس'!$C$6),COUNT(AC$4:AC591)+1,"")</f>
        <v/>
      </c>
      <c r="AD592">
        <f>IF(AND($A592&lt;&gt;"",$B592&lt;&gt;"",$R592='تقرير أبريل'!$C$4,$P592='تقرير أبريل'!$C$6),COUNT(AD$4:AD591)+1,"")</f>
        <v/>
      </c>
      <c r="AE592">
        <f>IF(AND($A592&lt;&gt;"",$B592&lt;&gt;"",$R592='تقرير مايو'!$C$4,$P592='تقرير مايو'!$C$6),COUNT(AE$4:AE591)+1,"")</f>
        <v/>
      </c>
    </row>
    <row r="593">
      <c r="A593" s="16" t="n"/>
      <c r="B593" s="17" t="n"/>
      <c r="C593" s="17" t="n"/>
      <c r="D593" s="18" t="n"/>
      <c r="E593" s="17" t="n"/>
      <c r="F593" s="17" t="n"/>
      <c r="G593" s="19" t="n"/>
      <c r="H593" s="17" t="n"/>
      <c r="I593" s="17" t="n"/>
      <c r="J593" s="17" t="n"/>
      <c r="K593" s="20">
        <f>IF($B593="","",IFERROR(INDEX(الموظفات!$A$5:$A$304,MATCH($B593,الموظفات!$B$5:$B$304,0))&amp;"",""))</f>
        <v/>
      </c>
      <c r="L593" s="21">
        <f>IF($B593="","",IFERROR(INDEX(الموظفات!$C$5:$C$304,MATCH($B593,الموظفات!$B$5:$B$304,0))&amp;"",""))</f>
        <v/>
      </c>
      <c r="M593" s="20">
        <f>IF($B593="","",IFERROR(INDEX(الموظفات!$D$5:$D$304,MATCH($B593,الموظفات!$B$5:$B$304,0))&amp;"",""))</f>
        <v/>
      </c>
      <c r="N593" s="20">
        <f>IF($B593="","",IFERROR(INDEX(الموظفات!$E$5:$E$304,MATCH($B593,الموظفات!$B$5:$B$304,0))&amp;"",""))</f>
        <v/>
      </c>
      <c r="O593" s="21">
        <f>IF(C593="","",IFERROR(INDEX(الإعدادات!$D$7:$D$35,MATCH(C593,الإعدادات!$A$7:$A$35,0))&amp;"",""))</f>
        <v/>
      </c>
      <c r="P593" s="20">
        <f>IF(A593="","",INDEX(الإعدادات!$H$7:$H$18,MONTH(A593)))</f>
        <v/>
      </c>
      <c r="Q593" s="20">
        <f>IF(A593="","",INDEX(الإعدادات!$I$7:$I$18,MONTH(A593)))</f>
        <v/>
      </c>
      <c r="R593" s="20">
        <f>IF(A593="","",IF(MONTH(A593)&gt;=8,YEAR(A593)&amp;"-"&amp;(YEAR(A593)+1),(YEAR(A593)-1)&amp;"-"&amp;YEAR(A593)))</f>
        <v/>
      </c>
      <c r="S593" s="20">
        <f>IF(OR(A593="",B593=""),0,IF(AND(R593=التقارير!$C$4,OR(التقارير!$C$5="سنوي",AND(التقارير!$C$5="شهري",P593=التقارير!$C$6),AND(التقارير!$C$5="فصلي",Q593=التقارير!$C$7))),1,0))</f>
        <v/>
      </c>
      <c r="T593" s="20">
        <f>IF(S593=1,COUNTIF($S$5:S593,1),"")</f>
        <v/>
      </c>
      <c r="U593">
        <f>IF(AND($A593&lt;&gt;"",$B593&lt;&gt;"",$R593='تقرير الفصل الأول'!$C$4,$Q593='تقرير الفصل الأول'!$C$7),COUNT(U$4:U592)+1,"")</f>
        <v/>
      </c>
      <c r="V593">
        <f>IF(AND($A593&lt;&gt;"",$B593&lt;&gt;"",$R593='تقرير الفصل الثاني'!$C$4,$Q593='تقرير الفصل الثاني'!$C$7),COUNT(V$4:V592)+1,"")</f>
        <v/>
      </c>
      <c r="W593">
        <f>IF(AND($A593&lt;&gt;"",$B593&lt;&gt;"",$R593='تقرير سبتمبر'!$C$4,$P593='تقرير سبتمبر'!$C$6),COUNT(W$4:W592)+1,"")</f>
        <v/>
      </c>
      <c r="X593">
        <f>IF(AND($A593&lt;&gt;"",$B593&lt;&gt;"",$R593='تقرير أكتوبر'!$C$4,$P593='تقرير أكتوبر'!$C$6),COUNT(X$4:X592)+1,"")</f>
        <v/>
      </c>
      <c r="Y593">
        <f>IF(AND($A593&lt;&gt;"",$B593&lt;&gt;"",$R593='تقرير نوفمبر'!$C$4,$P593='تقرير نوفمبر'!$C$6),COUNT(Y$4:Y592)+1,"")</f>
        <v/>
      </c>
      <c r="Z593">
        <f>IF(AND($A593&lt;&gt;"",$B593&lt;&gt;"",$R593='تقرير ديسمبر'!$C$4,$P593='تقرير ديسمبر'!$C$6),COUNT(Z$4:Z592)+1,"")</f>
        <v/>
      </c>
      <c r="AA593">
        <f>IF(AND($A593&lt;&gt;"",$B593&lt;&gt;"",$R593='تقرير يناير'!$C$4,$P593='تقرير يناير'!$C$6),COUNT(AA$4:AA592)+1,"")</f>
        <v/>
      </c>
      <c r="AB593">
        <f>IF(AND($A593&lt;&gt;"",$B593&lt;&gt;"",$R593='تقرير فبراير'!$C$4,$P593='تقرير فبراير'!$C$6),COUNT(AB$4:AB592)+1,"")</f>
        <v/>
      </c>
      <c r="AC593">
        <f>IF(AND($A593&lt;&gt;"",$B593&lt;&gt;"",$R593='تقرير مارس'!$C$4,$P593='تقرير مارس'!$C$6),COUNT(AC$4:AC592)+1,"")</f>
        <v/>
      </c>
      <c r="AD593">
        <f>IF(AND($A593&lt;&gt;"",$B593&lt;&gt;"",$R593='تقرير أبريل'!$C$4,$P593='تقرير أبريل'!$C$6),COUNT(AD$4:AD592)+1,"")</f>
        <v/>
      </c>
      <c r="AE593">
        <f>IF(AND($A593&lt;&gt;"",$B593&lt;&gt;"",$R593='تقرير مايو'!$C$4,$P593='تقرير مايو'!$C$6),COUNT(AE$4:AE592)+1,"")</f>
        <v/>
      </c>
    </row>
    <row r="594">
      <c r="A594" s="16" t="n"/>
      <c r="B594" s="17" t="n"/>
      <c r="C594" s="17" t="n"/>
      <c r="D594" s="18" t="n"/>
      <c r="E594" s="17" t="n"/>
      <c r="F594" s="17" t="n"/>
      <c r="G594" s="19" t="n"/>
      <c r="H594" s="17" t="n"/>
      <c r="I594" s="17" t="n"/>
      <c r="J594" s="17" t="n"/>
      <c r="K594" s="20">
        <f>IF($B594="","",IFERROR(INDEX(الموظفات!$A$5:$A$304,MATCH($B594,الموظفات!$B$5:$B$304,0))&amp;"",""))</f>
        <v/>
      </c>
      <c r="L594" s="21">
        <f>IF($B594="","",IFERROR(INDEX(الموظفات!$C$5:$C$304,MATCH($B594,الموظفات!$B$5:$B$304,0))&amp;"",""))</f>
        <v/>
      </c>
      <c r="M594" s="20">
        <f>IF($B594="","",IFERROR(INDEX(الموظفات!$D$5:$D$304,MATCH($B594,الموظفات!$B$5:$B$304,0))&amp;"",""))</f>
        <v/>
      </c>
      <c r="N594" s="20">
        <f>IF($B594="","",IFERROR(INDEX(الموظفات!$E$5:$E$304,MATCH($B594,الموظفات!$B$5:$B$304,0))&amp;"",""))</f>
        <v/>
      </c>
      <c r="O594" s="21">
        <f>IF(C594="","",IFERROR(INDEX(الإعدادات!$D$7:$D$35,MATCH(C594,الإعدادات!$A$7:$A$35,0))&amp;"",""))</f>
        <v/>
      </c>
      <c r="P594" s="20">
        <f>IF(A594="","",INDEX(الإعدادات!$H$7:$H$18,MONTH(A594)))</f>
        <v/>
      </c>
      <c r="Q594" s="20">
        <f>IF(A594="","",INDEX(الإعدادات!$I$7:$I$18,MONTH(A594)))</f>
        <v/>
      </c>
      <c r="R594" s="20">
        <f>IF(A594="","",IF(MONTH(A594)&gt;=8,YEAR(A594)&amp;"-"&amp;(YEAR(A594)+1),(YEAR(A594)-1)&amp;"-"&amp;YEAR(A594)))</f>
        <v/>
      </c>
      <c r="S594" s="20">
        <f>IF(OR(A594="",B594=""),0,IF(AND(R594=التقارير!$C$4,OR(التقارير!$C$5="سنوي",AND(التقارير!$C$5="شهري",P594=التقارير!$C$6),AND(التقارير!$C$5="فصلي",Q594=التقارير!$C$7))),1,0))</f>
        <v/>
      </c>
      <c r="T594" s="20">
        <f>IF(S594=1,COUNTIF($S$5:S594,1),"")</f>
        <v/>
      </c>
      <c r="U594">
        <f>IF(AND($A594&lt;&gt;"",$B594&lt;&gt;"",$R594='تقرير الفصل الأول'!$C$4,$Q594='تقرير الفصل الأول'!$C$7),COUNT(U$4:U593)+1,"")</f>
        <v/>
      </c>
      <c r="V594">
        <f>IF(AND($A594&lt;&gt;"",$B594&lt;&gt;"",$R594='تقرير الفصل الثاني'!$C$4,$Q594='تقرير الفصل الثاني'!$C$7),COUNT(V$4:V593)+1,"")</f>
        <v/>
      </c>
      <c r="W594">
        <f>IF(AND($A594&lt;&gt;"",$B594&lt;&gt;"",$R594='تقرير سبتمبر'!$C$4,$P594='تقرير سبتمبر'!$C$6),COUNT(W$4:W593)+1,"")</f>
        <v/>
      </c>
      <c r="X594">
        <f>IF(AND($A594&lt;&gt;"",$B594&lt;&gt;"",$R594='تقرير أكتوبر'!$C$4,$P594='تقرير أكتوبر'!$C$6),COUNT(X$4:X593)+1,"")</f>
        <v/>
      </c>
      <c r="Y594">
        <f>IF(AND($A594&lt;&gt;"",$B594&lt;&gt;"",$R594='تقرير نوفمبر'!$C$4,$P594='تقرير نوفمبر'!$C$6),COUNT(Y$4:Y593)+1,"")</f>
        <v/>
      </c>
      <c r="Z594">
        <f>IF(AND($A594&lt;&gt;"",$B594&lt;&gt;"",$R594='تقرير ديسمبر'!$C$4,$P594='تقرير ديسمبر'!$C$6),COUNT(Z$4:Z593)+1,"")</f>
        <v/>
      </c>
      <c r="AA594">
        <f>IF(AND($A594&lt;&gt;"",$B594&lt;&gt;"",$R594='تقرير يناير'!$C$4,$P594='تقرير يناير'!$C$6),COUNT(AA$4:AA593)+1,"")</f>
        <v/>
      </c>
      <c r="AB594">
        <f>IF(AND($A594&lt;&gt;"",$B594&lt;&gt;"",$R594='تقرير فبراير'!$C$4,$P594='تقرير فبراير'!$C$6),COUNT(AB$4:AB593)+1,"")</f>
        <v/>
      </c>
      <c r="AC594">
        <f>IF(AND($A594&lt;&gt;"",$B594&lt;&gt;"",$R594='تقرير مارس'!$C$4,$P594='تقرير مارس'!$C$6),COUNT(AC$4:AC593)+1,"")</f>
        <v/>
      </c>
      <c r="AD594">
        <f>IF(AND($A594&lt;&gt;"",$B594&lt;&gt;"",$R594='تقرير أبريل'!$C$4,$P594='تقرير أبريل'!$C$6),COUNT(AD$4:AD593)+1,"")</f>
        <v/>
      </c>
      <c r="AE594">
        <f>IF(AND($A594&lt;&gt;"",$B594&lt;&gt;"",$R594='تقرير مايو'!$C$4,$P594='تقرير مايو'!$C$6),COUNT(AE$4:AE593)+1,"")</f>
        <v/>
      </c>
    </row>
    <row r="595">
      <c r="A595" s="16" t="n"/>
      <c r="B595" s="17" t="n"/>
      <c r="C595" s="17" t="n"/>
      <c r="D595" s="18" t="n"/>
      <c r="E595" s="17" t="n"/>
      <c r="F595" s="17" t="n"/>
      <c r="G595" s="19" t="n"/>
      <c r="H595" s="17" t="n"/>
      <c r="I595" s="17" t="n"/>
      <c r="J595" s="17" t="n"/>
      <c r="K595" s="20">
        <f>IF($B595="","",IFERROR(INDEX(الموظفات!$A$5:$A$304,MATCH($B595,الموظفات!$B$5:$B$304,0))&amp;"",""))</f>
        <v/>
      </c>
      <c r="L595" s="21">
        <f>IF($B595="","",IFERROR(INDEX(الموظفات!$C$5:$C$304,MATCH($B595,الموظفات!$B$5:$B$304,0))&amp;"",""))</f>
        <v/>
      </c>
      <c r="M595" s="20">
        <f>IF($B595="","",IFERROR(INDEX(الموظفات!$D$5:$D$304,MATCH($B595,الموظفات!$B$5:$B$304,0))&amp;"",""))</f>
        <v/>
      </c>
      <c r="N595" s="20">
        <f>IF($B595="","",IFERROR(INDEX(الموظفات!$E$5:$E$304,MATCH($B595,الموظفات!$B$5:$B$304,0))&amp;"",""))</f>
        <v/>
      </c>
      <c r="O595" s="21">
        <f>IF(C595="","",IFERROR(INDEX(الإعدادات!$D$7:$D$35,MATCH(C595,الإعدادات!$A$7:$A$35,0))&amp;"",""))</f>
        <v/>
      </c>
      <c r="P595" s="20">
        <f>IF(A595="","",INDEX(الإعدادات!$H$7:$H$18,MONTH(A595)))</f>
        <v/>
      </c>
      <c r="Q595" s="20">
        <f>IF(A595="","",INDEX(الإعدادات!$I$7:$I$18,MONTH(A595)))</f>
        <v/>
      </c>
      <c r="R595" s="20">
        <f>IF(A595="","",IF(MONTH(A595)&gt;=8,YEAR(A595)&amp;"-"&amp;(YEAR(A595)+1),(YEAR(A595)-1)&amp;"-"&amp;YEAR(A595)))</f>
        <v/>
      </c>
      <c r="S595" s="20">
        <f>IF(OR(A595="",B595=""),0,IF(AND(R595=التقارير!$C$4,OR(التقارير!$C$5="سنوي",AND(التقارير!$C$5="شهري",P595=التقارير!$C$6),AND(التقارير!$C$5="فصلي",Q595=التقارير!$C$7))),1,0))</f>
        <v/>
      </c>
      <c r="T595" s="20">
        <f>IF(S595=1,COUNTIF($S$5:S595,1),"")</f>
        <v/>
      </c>
      <c r="U595">
        <f>IF(AND($A595&lt;&gt;"",$B595&lt;&gt;"",$R595='تقرير الفصل الأول'!$C$4,$Q595='تقرير الفصل الأول'!$C$7),COUNT(U$4:U594)+1,"")</f>
        <v/>
      </c>
      <c r="V595">
        <f>IF(AND($A595&lt;&gt;"",$B595&lt;&gt;"",$R595='تقرير الفصل الثاني'!$C$4,$Q595='تقرير الفصل الثاني'!$C$7),COUNT(V$4:V594)+1,"")</f>
        <v/>
      </c>
      <c r="W595">
        <f>IF(AND($A595&lt;&gt;"",$B595&lt;&gt;"",$R595='تقرير سبتمبر'!$C$4,$P595='تقرير سبتمبر'!$C$6),COUNT(W$4:W594)+1,"")</f>
        <v/>
      </c>
      <c r="X595">
        <f>IF(AND($A595&lt;&gt;"",$B595&lt;&gt;"",$R595='تقرير أكتوبر'!$C$4,$P595='تقرير أكتوبر'!$C$6),COUNT(X$4:X594)+1,"")</f>
        <v/>
      </c>
      <c r="Y595">
        <f>IF(AND($A595&lt;&gt;"",$B595&lt;&gt;"",$R595='تقرير نوفمبر'!$C$4,$P595='تقرير نوفمبر'!$C$6),COUNT(Y$4:Y594)+1,"")</f>
        <v/>
      </c>
      <c r="Z595">
        <f>IF(AND($A595&lt;&gt;"",$B595&lt;&gt;"",$R595='تقرير ديسمبر'!$C$4,$P595='تقرير ديسمبر'!$C$6),COUNT(Z$4:Z594)+1,"")</f>
        <v/>
      </c>
      <c r="AA595">
        <f>IF(AND($A595&lt;&gt;"",$B595&lt;&gt;"",$R595='تقرير يناير'!$C$4,$P595='تقرير يناير'!$C$6),COUNT(AA$4:AA594)+1,"")</f>
        <v/>
      </c>
      <c r="AB595">
        <f>IF(AND($A595&lt;&gt;"",$B595&lt;&gt;"",$R595='تقرير فبراير'!$C$4,$P595='تقرير فبراير'!$C$6),COUNT(AB$4:AB594)+1,"")</f>
        <v/>
      </c>
      <c r="AC595">
        <f>IF(AND($A595&lt;&gt;"",$B595&lt;&gt;"",$R595='تقرير مارس'!$C$4,$P595='تقرير مارس'!$C$6),COUNT(AC$4:AC594)+1,"")</f>
        <v/>
      </c>
      <c r="AD595">
        <f>IF(AND($A595&lt;&gt;"",$B595&lt;&gt;"",$R595='تقرير أبريل'!$C$4,$P595='تقرير أبريل'!$C$6),COUNT(AD$4:AD594)+1,"")</f>
        <v/>
      </c>
      <c r="AE595">
        <f>IF(AND($A595&lt;&gt;"",$B595&lt;&gt;"",$R595='تقرير مايو'!$C$4,$P595='تقرير مايو'!$C$6),COUNT(AE$4:AE594)+1,"")</f>
        <v/>
      </c>
    </row>
    <row r="596">
      <c r="A596" s="16" t="n"/>
      <c r="B596" s="17" t="n"/>
      <c r="C596" s="17" t="n"/>
      <c r="D596" s="18" t="n"/>
      <c r="E596" s="17" t="n"/>
      <c r="F596" s="17" t="n"/>
      <c r="G596" s="19" t="n"/>
      <c r="H596" s="17" t="n"/>
      <c r="I596" s="17" t="n"/>
      <c r="J596" s="17" t="n"/>
      <c r="K596" s="20">
        <f>IF($B596="","",IFERROR(INDEX(الموظفات!$A$5:$A$304,MATCH($B596,الموظفات!$B$5:$B$304,0))&amp;"",""))</f>
        <v/>
      </c>
      <c r="L596" s="21">
        <f>IF($B596="","",IFERROR(INDEX(الموظفات!$C$5:$C$304,MATCH($B596,الموظفات!$B$5:$B$304,0))&amp;"",""))</f>
        <v/>
      </c>
      <c r="M596" s="20">
        <f>IF($B596="","",IFERROR(INDEX(الموظفات!$D$5:$D$304,MATCH($B596,الموظفات!$B$5:$B$304,0))&amp;"",""))</f>
        <v/>
      </c>
      <c r="N596" s="20">
        <f>IF($B596="","",IFERROR(INDEX(الموظفات!$E$5:$E$304,MATCH($B596,الموظفات!$B$5:$B$304,0))&amp;"",""))</f>
        <v/>
      </c>
      <c r="O596" s="21">
        <f>IF(C596="","",IFERROR(INDEX(الإعدادات!$D$7:$D$35,MATCH(C596,الإعدادات!$A$7:$A$35,0))&amp;"",""))</f>
        <v/>
      </c>
      <c r="P596" s="20">
        <f>IF(A596="","",INDEX(الإعدادات!$H$7:$H$18,MONTH(A596)))</f>
        <v/>
      </c>
      <c r="Q596" s="20">
        <f>IF(A596="","",INDEX(الإعدادات!$I$7:$I$18,MONTH(A596)))</f>
        <v/>
      </c>
      <c r="R596" s="20">
        <f>IF(A596="","",IF(MONTH(A596)&gt;=8,YEAR(A596)&amp;"-"&amp;(YEAR(A596)+1),(YEAR(A596)-1)&amp;"-"&amp;YEAR(A596)))</f>
        <v/>
      </c>
      <c r="S596" s="20">
        <f>IF(OR(A596="",B596=""),0,IF(AND(R596=التقارير!$C$4,OR(التقارير!$C$5="سنوي",AND(التقارير!$C$5="شهري",P596=التقارير!$C$6),AND(التقارير!$C$5="فصلي",Q596=التقارير!$C$7))),1,0))</f>
        <v/>
      </c>
      <c r="T596" s="20">
        <f>IF(S596=1,COUNTIF($S$5:S596,1),"")</f>
        <v/>
      </c>
      <c r="U596">
        <f>IF(AND($A596&lt;&gt;"",$B596&lt;&gt;"",$R596='تقرير الفصل الأول'!$C$4,$Q596='تقرير الفصل الأول'!$C$7),COUNT(U$4:U595)+1,"")</f>
        <v/>
      </c>
      <c r="V596">
        <f>IF(AND($A596&lt;&gt;"",$B596&lt;&gt;"",$R596='تقرير الفصل الثاني'!$C$4,$Q596='تقرير الفصل الثاني'!$C$7),COUNT(V$4:V595)+1,"")</f>
        <v/>
      </c>
      <c r="W596">
        <f>IF(AND($A596&lt;&gt;"",$B596&lt;&gt;"",$R596='تقرير سبتمبر'!$C$4,$P596='تقرير سبتمبر'!$C$6),COUNT(W$4:W595)+1,"")</f>
        <v/>
      </c>
      <c r="X596">
        <f>IF(AND($A596&lt;&gt;"",$B596&lt;&gt;"",$R596='تقرير أكتوبر'!$C$4,$P596='تقرير أكتوبر'!$C$6),COUNT(X$4:X595)+1,"")</f>
        <v/>
      </c>
      <c r="Y596">
        <f>IF(AND($A596&lt;&gt;"",$B596&lt;&gt;"",$R596='تقرير نوفمبر'!$C$4,$P596='تقرير نوفمبر'!$C$6),COUNT(Y$4:Y595)+1,"")</f>
        <v/>
      </c>
      <c r="Z596">
        <f>IF(AND($A596&lt;&gt;"",$B596&lt;&gt;"",$R596='تقرير ديسمبر'!$C$4,$P596='تقرير ديسمبر'!$C$6),COUNT(Z$4:Z595)+1,"")</f>
        <v/>
      </c>
      <c r="AA596">
        <f>IF(AND($A596&lt;&gt;"",$B596&lt;&gt;"",$R596='تقرير يناير'!$C$4,$P596='تقرير يناير'!$C$6),COUNT(AA$4:AA595)+1,"")</f>
        <v/>
      </c>
      <c r="AB596">
        <f>IF(AND($A596&lt;&gt;"",$B596&lt;&gt;"",$R596='تقرير فبراير'!$C$4,$P596='تقرير فبراير'!$C$6),COUNT(AB$4:AB595)+1,"")</f>
        <v/>
      </c>
      <c r="AC596">
        <f>IF(AND($A596&lt;&gt;"",$B596&lt;&gt;"",$R596='تقرير مارس'!$C$4,$P596='تقرير مارس'!$C$6),COUNT(AC$4:AC595)+1,"")</f>
        <v/>
      </c>
      <c r="AD596">
        <f>IF(AND($A596&lt;&gt;"",$B596&lt;&gt;"",$R596='تقرير أبريل'!$C$4,$P596='تقرير أبريل'!$C$6),COUNT(AD$4:AD595)+1,"")</f>
        <v/>
      </c>
      <c r="AE596">
        <f>IF(AND($A596&lt;&gt;"",$B596&lt;&gt;"",$R596='تقرير مايو'!$C$4,$P596='تقرير مايو'!$C$6),COUNT(AE$4:AE595)+1,"")</f>
        <v/>
      </c>
    </row>
    <row r="597">
      <c r="A597" s="16" t="n"/>
      <c r="B597" s="17" t="n"/>
      <c r="C597" s="17" t="n"/>
      <c r="D597" s="18" t="n"/>
      <c r="E597" s="17" t="n"/>
      <c r="F597" s="17" t="n"/>
      <c r="G597" s="19" t="n"/>
      <c r="H597" s="17" t="n"/>
      <c r="I597" s="17" t="n"/>
      <c r="J597" s="17" t="n"/>
      <c r="K597" s="20">
        <f>IF($B597="","",IFERROR(INDEX(الموظفات!$A$5:$A$304,MATCH($B597,الموظفات!$B$5:$B$304,0))&amp;"",""))</f>
        <v/>
      </c>
      <c r="L597" s="21">
        <f>IF($B597="","",IFERROR(INDEX(الموظفات!$C$5:$C$304,MATCH($B597,الموظفات!$B$5:$B$304,0))&amp;"",""))</f>
        <v/>
      </c>
      <c r="M597" s="20">
        <f>IF($B597="","",IFERROR(INDEX(الموظفات!$D$5:$D$304,MATCH($B597,الموظفات!$B$5:$B$304,0))&amp;"",""))</f>
        <v/>
      </c>
      <c r="N597" s="20">
        <f>IF($B597="","",IFERROR(INDEX(الموظفات!$E$5:$E$304,MATCH($B597,الموظفات!$B$5:$B$304,0))&amp;"",""))</f>
        <v/>
      </c>
      <c r="O597" s="21">
        <f>IF(C597="","",IFERROR(INDEX(الإعدادات!$D$7:$D$35,MATCH(C597,الإعدادات!$A$7:$A$35,0))&amp;"",""))</f>
        <v/>
      </c>
      <c r="P597" s="20">
        <f>IF(A597="","",INDEX(الإعدادات!$H$7:$H$18,MONTH(A597)))</f>
        <v/>
      </c>
      <c r="Q597" s="20">
        <f>IF(A597="","",INDEX(الإعدادات!$I$7:$I$18,MONTH(A597)))</f>
        <v/>
      </c>
      <c r="R597" s="20">
        <f>IF(A597="","",IF(MONTH(A597)&gt;=8,YEAR(A597)&amp;"-"&amp;(YEAR(A597)+1),(YEAR(A597)-1)&amp;"-"&amp;YEAR(A597)))</f>
        <v/>
      </c>
      <c r="S597" s="20">
        <f>IF(OR(A597="",B597=""),0,IF(AND(R597=التقارير!$C$4,OR(التقارير!$C$5="سنوي",AND(التقارير!$C$5="شهري",P597=التقارير!$C$6),AND(التقارير!$C$5="فصلي",Q597=التقارير!$C$7))),1,0))</f>
        <v/>
      </c>
      <c r="T597" s="20">
        <f>IF(S597=1,COUNTIF($S$5:S597,1),"")</f>
        <v/>
      </c>
      <c r="U597">
        <f>IF(AND($A597&lt;&gt;"",$B597&lt;&gt;"",$R597='تقرير الفصل الأول'!$C$4,$Q597='تقرير الفصل الأول'!$C$7),COUNT(U$4:U596)+1,"")</f>
        <v/>
      </c>
      <c r="V597">
        <f>IF(AND($A597&lt;&gt;"",$B597&lt;&gt;"",$R597='تقرير الفصل الثاني'!$C$4,$Q597='تقرير الفصل الثاني'!$C$7),COUNT(V$4:V596)+1,"")</f>
        <v/>
      </c>
      <c r="W597">
        <f>IF(AND($A597&lt;&gt;"",$B597&lt;&gt;"",$R597='تقرير سبتمبر'!$C$4,$P597='تقرير سبتمبر'!$C$6),COUNT(W$4:W596)+1,"")</f>
        <v/>
      </c>
      <c r="X597">
        <f>IF(AND($A597&lt;&gt;"",$B597&lt;&gt;"",$R597='تقرير أكتوبر'!$C$4,$P597='تقرير أكتوبر'!$C$6),COUNT(X$4:X596)+1,"")</f>
        <v/>
      </c>
      <c r="Y597">
        <f>IF(AND($A597&lt;&gt;"",$B597&lt;&gt;"",$R597='تقرير نوفمبر'!$C$4,$P597='تقرير نوفمبر'!$C$6),COUNT(Y$4:Y596)+1,"")</f>
        <v/>
      </c>
      <c r="Z597">
        <f>IF(AND($A597&lt;&gt;"",$B597&lt;&gt;"",$R597='تقرير ديسمبر'!$C$4,$P597='تقرير ديسمبر'!$C$6),COUNT(Z$4:Z596)+1,"")</f>
        <v/>
      </c>
      <c r="AA597">
        <f>IF(AND($A597&lt;&gt;"",$B597&lt;&gt;"",$R597='تقرير يناير'!$C$4,$P597='تقرير يناير'!$C$6),COUNT(AA$4:AA596)+1,"")</f>
        <v/>
      </c>
      <c r="AB597">
        <f>IF(AND($A597&lt;&gt;"",$B597&lt;&gt;"",$R597='تقرير فبراير'!$C$4,$P597='تقرير فبراير'!$C$6),COUNT(AB$4:AB596)+1,"")</f>
        <v/>
      </c>
      <c r="AC597">
        <f>IF(AND($A597&lt;&gt;"",$B597&lt;&gt;"",$R597='تقرير مارس'!$C$4,$P597='تقرير مارس'!$C$6),COUNT(AC$4:AC596)+1,"")</f>
        <v/>
      </c>
      <c r="AD597">
        <f>IF(AND($A597&lt;&gt;"",$B597&lt;&gt;"",$R597='تقرير أبريل'!$C$4,$P597='تقرير أبريل'!$C$6),COUNT(AD$4:AD596)+1,"")</f>
        <v/>
      </c>
      <c r="AE597">
        <f>IF(AND($A597&lt;&gt;"",$B597&lt;&gt;"",$R597='تقرير مايو'!$C$4,$P597='تقرير مايو'!$C$6),COUNT(AE$4:AE596)+1,"")</f>
        <v/>
      </c>
    </row>
    <row r="598">
      <c r="A598" s="16" t="n"/>
      <c r="B598" s="17" t="n"/>
      <c r="C598" s="17" t="n"/>
      <c r="D598" s="18" t="n"/>
      <c r="E598" s="17" t="n"/>
      <c r="F598" s="17" t="n"/>
      <c r="G598" s="19" t="n"/>
      <c r="H598" s="17" t="n"/>
      <c r="I598" s="17" t="n"/>
      <c r="J598" s="17" t="n"/>
      <c r="K598" s="20">
        <f>IF($B598="","",IFERROR(INDEX(الموظفات!$A$5:$A$304,MATCH($B598,الموظفات!$B$5:$B$304,0))&amp;"",""))</f>
        <v/>
      </c>
      <c r="L598" s="21">
        <f>IF($B598="","",IFERROR(INDEX(الموظفات!$C$5:$C$304,MATCH($B598,الموظفات!$B$5:$B$304,0))&amp;"",""))</f>
        <v/>
      </c>
      <c r="M598" s="20">
        <f>IF($B598="","",IFERROR(INDEX(الموظفات!$D$5:$D$304,MATCH($B598,الموظفات!$B$5:$B$304,0))&amp;"",""))</f>
        <v/>
      </c>
      <c r="N598" s="20">
        <f>IF($B598="","",IFERROR(INDEX(الموظفات!$E$5:$E$304,MATCH($B598,الموظفات!$B$5:$B$304,0))&amp;"",""))</f>
        <v/>
      </c>
      <c r="O598" s="21">
        <f>IF(C598="","",IFERROR(INDEX(الإعدادات!$D$7:$D$35,MATCH(C598,الإعدادات!$A$7:$A$35,0))&amp;"",""))</f>
        <v/>
      </c>
      <c r="P598" s="20">
        <f>IF(A598="","",INDEX(الإعدادات!$H$7:$H$18,MONTH(A598)))</f>
        <v/>
      </c>
      <c r="Q598" s="20">
        <f>IF(A598="","",INDEX(الإعدادات!$I$7:$I$18,MONTH(A598)))</f>
        <v/>
      </c>
      <c r="R598" s="20">
        <f>IF(A598="","",IF(MONTH(A598)&gt;=8,YEAR(A598)&amp;"-"&amp;(YEAR(A598)+1),(YEAR(A598)-1)&amp;"-"&amp;YEAR(A598)))</f>
        <v/>
      </c>
      <c r="S598" s="20">
        <f>IF(OR(A598="",B598=""),0,IF(AND(R598=التقارير!$C$4,OR(التقارير!$C$5="سنوي",AND(التقارير!$C$5="شهري",P598=التقارير!$C$6),AND(التقارير!$C$5="فصلي",Q598=التقارير!$C$7))),1,0))</f>
        <v/>
      </c>
      <c r="T598" s="20">
        <f>IF(S598=1,COUNTIF($S$5:S598,1),"")</f>
        <v/>
      </c>
      <c r="U598">
        <f>IF(AND($A598&lt;&gt;"",$B598&lt;&gt;"",$R598='تقرير الفصل الأول'!$C$4,$Q598='تقرير الفصل الأول'!$C$7),COUNT(U$4:U597)+1,"")</f>
        <v/>
      </c>
      <c r="V598">
        <f>IF(AND($A598&lt;&gt;"",$B598&lt;&gt;"",$R598='تقرير الفصل الثاني'!$C$4,$Q598='تقرير الفصل الثاني'!$C$7),COUNT(V$4:V597)+1,"")</f>
        <v/>
      </c>
      <c r="W598">
        <f>IF(AND($A598&lt;&gt;"",$B598&lt;&gt;"",$R598='تقرير سبتمبر'!$C$4,$P598='تقرير سبتمبر'!$C$6),COUNT(W$4:W597)+1,"")</f>
        <v/>
      </c>
      <c r="X598">
        <f>IF(AND($A598&lt;&gt;"",$B598&lt;&gt;"",$R598='تقرير أكتوبر'!$C$4,$P598='تقرير أكتوبر'!$C$6),COUNT(X$4:X597)+1,"")</f>
        <v/>
      </c>
      <c r="Y598">
        <f>IF(AND($A598&lt;&gt;"",$B598&lt;&gt;"",$R598='تقرير نوفمبر'!$C$4,$P598='تقرير نوفمبر'!$C$6),COUNT(Y$4:Y597)+1,"")</f>
        <v/>
      </c>
      <c r="Z598">
        <f>IF(AND($A598&lt;&gt;"",$B598&lt;&gt;"",$R598='تقرير ديسمبر'!$C$4,$P598='تقرير ديسمبر'!$C$6),COUNT(Z$4:Z597)+1,"")</f>
        <v/>
      </c>
      <c r="AA598">
        <f>IF(AND($A598&lt;&gt;"",$B598&lt;&gt;"",$R598='تقرير يناير'!$C$4,$P598='تقرير يناير'!$C$6),COUNT(AA$4:AA597)+1,"")</f>
        <v/>
      </c>
      <c r="AB598">
        <f>IF(AND($A598&lt;&gt;"",$B598&lt;&gt;"",$R598='تقرير فبراير'!$C$4,$P598='تقرير فبراير'!$C$6),COUNT(AB$4:AB597)+1,"")</f>
        <v/>
      </c>
      <c r="AC598">
        <f>IF(AND($A598&lt;&gt;"",$B598&lt;&gt;"",$R598='تقرير مارس'!$C$4,$P598='تقرير مارس'!$C$6),COUNT(AC$4:AC597)+1,"")</f>
        <v/>
      </c>
      <c r="AD598">
        <f>IF(AND($A598&lt;&gt;"",$B598&lt;&gt;"",$R598='تقرير أبريل'!$C$4,$P598='تقرير أبريل'!$C$6),COUNT(AD$4:AD597)+1,"")</f>
        <v/>
      </c>
      <c r="AE598">
        <f>IF(AND($A598&lt;&gt;"",$B598&lt;&gt;"",$R598='تقرير مايو'!$C$4,$P598='تقرير مايو'!$C$6),COUNT(AE$4:AE597)+1,"")</f>
        <v/>
      </c>
    </row>
    <row r="599">
      <c r="A599" s="16" t="n"/>
      <c r="B599" s="17" t="n"/>
      <c r="C599" s="17" t="n"/>
      <c r="D599" s="18" t="n"/>
      <c r="E599" s="17" t="n"/>
      <c r="F599" s="17" t="n"/>
      <c r="G599" s="19" t="n"/>
      <c r="H599" s="17" t="n"/>
      <c r="I599" s="17" t="n"/>
      <c r="J599" s="17" t="n"/>
      <c r="K599" s="20">
        <f>IF($B599="","",IFERROR(INDEX(الموظفات!$A$5:$A$304,MATCH($B599,الموظفات!$B$5:$B$304,0))&amp;"",""))</f>
        <v/>
      </c>
      <c r="L599" s="21">
        <f>IF($B599="","",IFERROR(INDEX(الموظفات!$C$5:$C$304,MATCH($B599,الموظفات!$B$5:$B$304,0))&amp;"",""))</f>
        <v/>
      </c>
      <c r="M599" s="20">
        <f>IF($B599="","",IFERROR(INDEX(الموظفات!$D$5:$D$304,MATCH($B599,الموظفات!$B$5:$B$304,0))&amp;"",""))</f>
        <v/>
      </c>
      <c r="N599" s="20">
        <f>IF($B599="","",IFERROR(INDEX(الموظفات!$E$5:$E$304,MATCH($B599,الموظفات!$B$5:$B$304,0))&amp;"",""))</f>
        <v/>
      </c>
      <c r="O599" s="21">
        <f>IF(C599="","",IFERROR(INDEX(الإعدادات!$D$7:$D$35,MATCH(C599,الإعدادات!$A$7:$A$35,0))&amp;"",""))</f>
        <v/>
      </c>
      <c r="P599" s="20">
        <f>IF(A599="","",INDEX(الإعدادات!$H$7:$H$18,MONTH(A599)))</f>
        <v/>
      </c>
      <c r="Q599" s="20">
        <f>IF(A599="","",INDEX(الإعدادات!$I$7:$I$18,MONTH(A599)))</f>
        <v/>
      </c>
      <c r="R599" s="20">
        <f>IF(A599="","",IF(MONTH(A599)&gt;=8,YEAR(A599)&amp;"-"&amp;(YEAR(A599)+1),(YEAR(A599)-1)&amp;"-"&amp;YEAR(A599)))</f>
        <v/>
      </c>
      <c r="S599" s="20">
        <f>IF(OR(A599="",B599=""),0,IF(AND(R599=التقارير!$C$4,OR(التقارير!$C$5="سنوي",AND(التقارير!$C$5="شهري",P599=التقارير!$C$6),AND(التقارير!$C$5="فصلي",Q599=التقارير!$C$7))),1,0))</f>
        <v/>
      </c>
      <c r="T599" s="20">
        <f>IF(S599=1,COUNTIF($S$5:S599,1),"")</f>
        <v/>
      </c>
      <c r="U599">
        <f>IF(AND($A599&lt;&gt;"",$B599&lt;&gt;"",$R599='تقرير الفصل الأول'!$C$4,$Q599='تقرير الفصل الأول'!$C$7),COUNT(U$4:U598)+1,"")</f>
        <v/>
      </c>
      <c r="V599">
        <f>IF(AND($A599&lt;&gt;"",$B599&lt;&gt;"",$R599='تقرير الفصل الثاني'!$C$4,$Q599='تقرير الفصل الثاني'!$C$7),COUNT(V$4:V598)+1,"")</f>
        <v/>
      </c>
      <c r="W599">
        <f>IF(AND($A599&lt;&gt;"",$B599&lt;&gt;"",$R599='تقرير سبتمبر'!$C$4,$P599='تقرير سبتمبر'!$C$6),COUNT(W$4:W598)+1,"")</f>
        <v/>
      </c>
      <c r="X599">
        <f>IF(AND($A599&lt;&gt;"",$B599&lt;&gt;"",$R599='تقرير أكتوبر'!$C$4,$P599='تقرير أكتوبر'!$C$6),COUNT(X$4:X598)+1,"")</f>
        <v/>
      </c>
      <c r="Y599">
        <f>IF(AND($A599&lt;&gt;"",$B599&lt;&gt;"",$R599='تقرير نوفمبر'!$C$4,$P599='تقرير نوفمبر'!$C$6),COUNT(Y$4:Y598)+1,"")</f>
        <v/>
      </c>
      <c r="Z599">
        <f>IF(AND($A599&lt;&gt;"",$B599&lt;&gt;"",$R599='تقرير ديسمبر'!$C$4,$P599='تقرير ديسمبر'!$C$6),COUNT(Z$4:Z598)+1,"")</f>
        <v/>
      </c>
      <c r="AA599">
        <f>IF(AND($A599&lt;&gt;"",$B599&lt;&gt;"",$R599='تقرير يناير'!$C$4,$P599='تقرير يناير'!$C$6),COUNT(AA$4:AA598)+1,"")</f>
        <v/>
      </c>
      <c r="AB599">
        <f>IF(AND($A599&lt;&gt;"",$B599&lt;&gt;"",$R599='تقرير فبراير'!$C$4,$P599='تقرير فبراير'!$C$6),COUNT(AB$4:AB598)+1,"")</f>
        <v/>
      </c>
      <c r="AC599">
        <f>IF(AND($A599&lt;&gt;"",$B599&lt;&gt;"",$R599='تقرير مارس'!$C$4,$P599='تقرير مارس'!$C$6),COUNT(AC$4:AC598)+1,"")</f>
        <v/>
      </c>
      <c r="AD599">
        <f>IF(AND($A599&lt;&gt;"",$B599&lt;&gt;"",$R599='تقرير أبريل'!$C$4,$P599='تقرير أبريل'!$C$6),COUNT(AD$4:AD598)+1,"")</f>
        <v/>
      </c>
      <c r="AE599">
        <f>IF(AND($A599&lt;&gt;"",$B599&lt;&gt;"",$R599='تقرير مايو'!$C$4,$P599='تقرير مايو'!$C$6),COUNT(AE$4:AE598)+1,"")</f>
        <v/>
      </c>
    </row>
    <row r="600">
      <c r="A600" s="16" t="n"/>
      <c r="B600" s="17" t="n"/>
      <c r="C600" s="17" t="n"/>
      <c r="D600" s="18" t="n"/>
      <c r="E600" s="17" t="n"/>
      <c r="F600" s="17" t="n"/>
      <c r="G600" s="19" t="n"/>
      <c r="H600" s="17" t="n"/>
      <c r="I600" s="17" t="n"/>
      <c r="J600" s="17" t="n"/>
      <c r="K600" s="20">
        <f>IF($B600="","",IFERROR(INDEX(الموظفات!$A$5:$A$304,MATCH($B600,الموظفات!$B$5:$B$304,0))&amp;"",""))</f>
        <v/>
      </c>
      <c r="L600" s="21">
        <f>IF($B600="","",IFERROR(INDEX(الموظفات!$C$5:$C$304,MATCH($B600,الموظفات!$B$5:$B$304,0))&amp;"",""))</f>
        <v/>
      </c>
      <c r="M600" s="20">
        <f>IF($B600="","",IFERROR(INDEX(الموظفات!$D$5:$D$304,MATCH($B600,الموظفات!$B$5:$B$304,0))&amp;"",""))</f>
        <v/>
      </c>
      <c r="N600" s="20">
        <f>IF($B600="","",IFERROR(INDEX(الموظفات!$E$5:$E$304,MATCH($B600,الموظفات!$B$5:$B$304,0))&amp;"",""))</f>
        <v/>
      </c>
      <c r="O600" s="21">
        <f>IF(C600="","",IFERROR(INDEX(الإعدادات!$D$7:$D$35,MATCH(C600,الإعدادات!$A$7:$A$35,0))&amp;"",""))</f>
        <v/>
      </c>
      <c r="P600" s="20">
        <f>IF(A600="","",INDEX(الإعدادات!$H$7:$H$18,MONTH(A600)))</f>
        <v/>
      </c>
      <c r="Q600" s="20">
        <f>IF(A600="","",INDEX(الإعدادات!$I$7:$I$18,MONTH(A600)))</f>
        <v/>
      </c>
      <c r="R600" s="20">
        <f>IF(A600="","",IF(MONTH(A600)&gt;=8,YEAR(A600)&amp;"-"&amp;(YEAR(A600)+1),(YEAR(A600)-1)&amp;"-"&amp;YEAR(A600)))</f>
        <v/>
      </c>
      <c r="S600" s="20">
        <f>IF(OR(A600="",B600=""),0,IF(AND(R600=التقارير!$C$4,OR(التقارير!$C$5="سنوي",AND(التقارير!$C$5="شهري",P600=التقارير!$C$6),AND(التقارير!$C$5="فصلي",Q600=التقارير!$C$7))),1,0))</f>
        <v/>
      </c>
      <c r="T600" s="20">
        <f>IF(S600=1,COUNTIF($S$5:S600,1),"")</f>
        <v/>
      </c>
      <c r="U600">
        <f>IF(AND($A600&lt;&gt;"",$B600&lt;&gt;"",$R600='تقرير الفصل الأول'!$C$4,$Q600='تقرير الفصل الأول'!$C$7),COUNT(U$4:U599)+1,"")</f>
        <v/>
      </c>
      <c r="V600">
        <f>IF(AND($A600&lt;&gt;"",$B600&lt;&gt;"",$R600='تقرير الفصل الثاني'!$C$4,$Q600='تقرير الفصل الثاني'!$C$7),COUNT(V$4:V599)+1,"")</f>
        <v/>
      </c>
      <c r="W600">
        <f>IF(AND($A600&lt;&gt;"",$B600&lt;&gt;"",$R600='تقرير سبتمبر'!$C$4,$P600='تقرير سبتمبر'!$C$6),COUNT(W$4:W599)+1,"")</f>
        <v/>
      </c>
      <c r="X600">
        <f>IF(AND($A600&lt;&gt;"",$B600&lt;&gt;"",$R600='تقرير أكتوبر'!$C$4,$P600='تقرير أكتوبر'!$C$6),COUNT(X$4:X599)+1,"")</f>
        <v/>
      </c>
      <c r="Y600">
        <f>IF(AND($A600&lt;&gt;"",$B600&lt;&gt;"",$R600='تقرير نوفمبر'!$C$4,$P600='تقرير نوفمبر'!$C$6),COUNT(Y$4:Y599)+1,"")</f>
        <v/>
      </c>
      <c r="Z600">
        <f>IF(AND($A600&lt;&gt;"",$B600&lt;&gt;"",$R600='تقرير ديسمبر'!$C$4,$P600='تقرير ديسمبر'!$C$6),COUNT(Z$4:Z599)+1,"")</f>
        <v/>
      </c>
      <c r="AA600">
        <f>IF(AND($A600&lt;&gt;"",$B600&lt;&gt;"",$R600='تقرير يناير'!$C$4,$P600='تقرير يناير'!$C$6),COUNT(AA$4:AA599)+1,"")</f>
        <v/>
      </c>
      <c r="AB600">
        <f>IF(AND($A600&lt;&gt;"",$B600&lt;&gt;"",$R600='تقرير فبراير'!$C$4,$P600='تقرير فبراير'!$C$6),COUNT(AB$4:AB599)+1,"")</f>
        <v/>
      </c>
      <c r="AC600">
        <f>IF(AND($A600&lt;&gt;"",$B600&lt;&gt;"",$R600='تقرير مارس'!$C$4,$P600='تقرير مارس'!$C$6),COUNT(AC$4:AC599)+1,"")</f>
        <v/>
      </c>
      <c r="AD600">
        <f>IF(AND($A600&lt;&gt;"",$B600&lt;&gt;"",$R600='تقرير أبريل'!$C$4,$P600='تقرير أبريل'!$C$6),COUNT(AD$4:AD599)+1,"")</f>
        <v/>
      </c>
      <c r="AE600">
        <f>IF(AND($A600&lt;&gt;"",$B600&lt;&gt;"",$R600='تقرير مايو'!$C$4,$P600='تقرير مايو'!$C$6),COUNT(AE$4:AE599)+1,"")</f>
        <v/>
      </c>
    </row>
    <row r="601">
      <c r="A601" s="16" t="n"/>
      <c r="B601" s="17" t="n"/>
      <c r="C601" s="17" t="n"/>
      <c r="D601" s="18" t="n"/>
      <c r="E601" s="17" t="n"/>
      <c r="F601" s="17" t="n"/>
      <c r="G601" s="19" t="n"/>
      <c r="H601" s="17" t="n"/>
      <c r="I601" s="17" t="n"/>
      <c r="J601" s="17" t="n"/>
      <c r="K601" s="20">
        <f>IF($B601="","",IFERROR(INDEX(الموظفات!$A$5:$A$304,MATCH($B601,الموظفات!$B$5:$B$304,0))&amp;"",""))</f>
        <v/>
      </c>
      <c r="L601" s="21">
        <f>IF($B601="","",IFERROR(INDEX(الموظفات!$C$5:$C$304,MATCH($B601,الموظفات!$B$5:$B$304,0))&amp;"",""))</f>
        <v/>
      </c>
      <c r="M601" s="20">
        <f>IF($B601="","",IFERROR(INDEX(الموظفات!$D$5:$D$304,MATCH($B601,الموظفات!$B$5:$B$304,0))&amp;"",""))</f>
        <v/>
      </c>
      <c r="N601" s="20">
        <f>IF($B601="","",IFERROR(INDEX(الموظفات!$E$5:$E$304,MATCH($B601,الموظفات!$B$5:$B$304,0))&amp;"",""))</f>
        <v/>
      </c>
      <c r="O601" s="21">
        <f>IF(C601="","",IFERROR(INDEX(الإعدادات!$D$7:$D$35,MATCH(C601,الإعدادات!$A$7:$A$35,0))&amp;"",""))</f>
        <v/>
      </c>
      <c r="P601" s="20">
        <f>IF(A601="","",INDEX(الإعدادات!$H$7:$H$18,MONTH(A601)))</f>
        <v/>
      </c>
      <c r="Q601" s="20">
        <f>IF(A601="","",INDEX(الإعدادات!$I$7:$I$18,MONTH(A601)))</f>
        <v/>
      </c>
      <c r="R601" s="20">
        <f>IF(A601="","",IF(MONTH(A601)&gt;=8,YEAR(A601)&amp;"-"&amp;(YEAR(A601)+1),(YEAR(A601)-1)&amp;"-"&amp;YEAR(A601)))</f>
        <v/>
      </c>
      <c r="S601" s="20">
        <f>IF(OR(A601="",B601=""),0,IF(AND(R601=التقارير!$C$4,OR(التقارير!$C$5="سنوي",AND(التقارير!$C$5="شهري",P601=التقارير!$C$6),AND(التقارير!$C$5="فصلي",Q601=التقارير!$C$7))),1,0))</f>
        <v/>
      </c>
      <c r="T601" s="20">
        <f>IF(S601=1,COUNTIF($S$5:S601,1),"")</f>
        <v/>
      </c>
      <c r="U601">
        <f>IF(AND($A601&lt;&gt;"",$B601&lt;&gt;"",$R601='تقرير الفصل الأول'!$C$4,$Q601='تقرير الفصل الأول'!$C$7),COUNT(U$4:U600)+1,"")</f>
        <v/>
      </c>
      <c r="V601">
        <f>IF(AND($A601&lt;&gt;"",$B601&lt;&gt;"",$R601='تقرير الفصل الثاني'!$C$4,$Q601='تقرير الفصل الثاني'!$C$7),COUNT(V$4:V600)+1,"")</f>
        <v/>
      </c>
      <c r="W601">
        <f>IF(AND($A601&lt;&gt;"",$B601&lt;&gt;"",$R601='تقرير سبتمبر'!$C$4,$P601='تقرير سبتمبر'!$C$6),COUNT(W$4:W600)+1,"")</f>
        <v/>
      </c>
      <c r="X601">
        <f>IF(AND($A601&lt;&gt;"",$B601&lt;&gt;"",$R601='تقرير أكتوبر'!$C$4,$P601='تقرير أكتوبر'!$C$6),COUNT(X$4:X600)+1,"")</f>
        <v/>
      </c>
      <c r="Y601">
        <f>IF(AND($A601&lt;&gt;"",$B601&lt;&gt;"",$R601='تقرير نوفمبر'!$C$4,$P601='تقرير نوفمبر'!$C$6),COUNT(Y$4:Y600)+1,"")</f>
        <v/>
      </c>
      <c r="Z601">
        <f>IF(AND($A601&lt;&gt;"",$B601&lt;&gt;"",$R601='تقرير ديسمبر'!$C$4,$P601='تقرير ديسمبر'!$C$6),COUNT(Z$4:Z600)+1,"")</f>
        <v/>
      </c>
      <c r="AA601">
        <f>IF(AND($A601&lt;&gt;"",$B601&lt;&gt;"",$R601='تقرير يناير'!$C$4,$P601='تقرير يناير'!$C$6),COUNT(AA$4:AA600)+1,"")</f>
        <v/>
      </c>
      <c r="AB601">
        <f>IF(AND($A601&lt;&gt;"",$B601&lt;&gt;"",$R601='تقرير فبراير'!$C$4,$P601='تقرير فبراير'!$C$6),COUNT(AB$4:AB600)+1,"")</f>
        <v/>
      </c>
      <c r="AC601">
        <f>IF(AND($A601&lt;&gt;"",$B601&lt;&gt;"",$R601='تقرير مارس'!$C$4,$P601='تقرير مارس'!$C$6),COUNT(AC$4:AC600)+1,"")</f>
        <v/>
      </c>
      <c r="AD601">
        <f>IF(AND($A601&lt;&gt;"",$B601&lt;&gt;"",$R601='تقرير أبريل'!$C$4,$P601='تقرير أبريل'!$C$6),COUNT(AD$4:AD600)+1,"")</f>
        <v/>
      </c>
      <c r="AE601">
        <f>IF(AND($A601&lt;&gt;"",$B601&lt;&gt;"",$R601='تقرير مايو'!$C$4,$P601='تقرير مايو'!$C$6),COUNT(AE$4:AE600)+1,"")</f>
        <v/>
      </c>
    </row>
    <row r="602">
      <c r="A602" s="16" t="n"/>
      <c r="B602" s="17" t="n"/>
      <c r="C602" s="17" t="n"/>
      <c r="D602" s="18" t="n"/>
      <c r="E602" s="17" t="n"/>
      <c r="F602" s="17" t="n"/>
      <c r="G602" s="19" t="n"/>
      <c r="H602" s="17" t="n"/>
      <c r="I602" s="17" t="n"/>
      <c r="J602" s="17" t="n"/>
      <c r="K602" s="20">
        <f>IF($B602="","",IFERROR(INDEX(الموظفات!$A$5:$A$304,MATCH($B602,الموظفات!$B$5:$B$304,0))&amp;"",""))</f>
        <v/>
      </c>
      <c r="L602" s="21">
        <f>IF($B602="","",IFERROR(INDEX(الموظفات!$C$5:$C$304,MATCH($B602,الموظفات!$B$5:$B$304,0))&amp;"",""))</f>
        <v/>
      </c>
      <c r="M602" s="20">
        <f>IF($B602="","",IFERROR(INDEX(الموظفات!$D$5:$D$304,MATCH($B602,الموظفات!$B$5:$B$304,0))&amp;"",""))</f>
        <v/>
      </c>
      <c r="N602" s="20">
        <f>IF($B602="","",IFERROR(INDEX(الموظفات!$E$5:$E$304,MATCH($B602,الموظفات!$B$5:$B$304,0))&amp;"",""))</f>
        <v/>
      </c>
      <c r="O602" s="21">
        <f>IF(C602="","",IFERROR(INDEX(الإعدادات!$D$7:$D$35,MATCH(C602,الإعدادات!$A$7:$A$35,0))&amp;"",""))</f>
        <v/>
      </c>
      <c r="P602" s="20">
        <f>IF(A602="","",INDEX(الإعدادات!$H$7:$H$18,MONTH(A602)))</f>
        <v/>
      </c>
      <c r="Q602" s="20">
        <f>IF(A602="","",INDEX(الإعدادات!$I$7:$I$18,MONTH(A602)))</f>
        <v/>
      </c>
      <c r="R602" s="20">
        <f>IF(A602="","",IF(MONTH(A602)&gt;=8,YEAR(A602)&amp;"-"&amp;(YEAR(A602)+1),(YEAR(A602)-1)&amp;"-"&amp;YEAR(A602)))</f>
        <v/>
      </c>
      <c r="S602" s="20">
        <f>IF(OR(A602="",B602=""),0,IF(AND(R602=التقارير!$C$4,OR(التقارير!$C$5="سنوي",AND(التقارير!$C$5="شهري",P602=التقارير!$C$6),AND(التقارير!$C$5="فصلي",Q602=التقارير!$C$7))),1,0))</f>
        <v/>
      </c>
      <c r="T602" s="20">
        <f>IF(S602=1,COUNTIF($S$5:S602,1),"")</f>
        <v/>
      </c>
      <c r="U602">
        <f>IF(AND($A602&lt;&gt;"",$B602&lt;&gt;"",$R602='تقرير الفصل الأول'!$C$4,$Q602='تقرير الفصل الأول'!$C$7),COUNT(U$4:U601)+1,"")</f>
        <v/>
      </c>
      <c r="V602">
        <f>IF(AND($A602&lt;&gt;"",$B602&lt;&gt;"",$R602='تقرير الفصل الثاني'!$C$4,$Q602='تقرير الفصل الثاني'!$C$7),COUNT(V$4:V601)+1,"")</f>
        <v/>
      </c>
      <c r="W602">
        <f>IF(AND($A602&lt;&gt;"",$B602&lt;&gt;"",$R602='تقرير سبتمبر'!$C$4,$P602='تقرير سبتمبر'!$C$6),COUNT(W$4:W601)+1,"")</f>
        <v/>
      </c>
      <c r="X602">
        <f>IF(AND($A602&lt;&gt;"",$B602&lt;&gt;"",$R602='تقرير أكتوبر'!$C$4,$P602='تقرير أكتوبر'!$C$6),COUNT(X$4:X601)+1,"")</f>
        <v/>
      </c>
      <c r="Y602">
        <f>IF(AND($A602&lt;&gt;"",$B602&lt;&gt;"",$R602='تقرير نوفمبر'!$C$4,$P602='تقرير نوفمبر'!$C$6),COUNT(Y$4:Y601)+1,"")</f>
        <v/>
      </c>
      <c r="Z602">
        <f>IF(AND($A602&lt;&gt;"",$B602&lt;&gt;"",$R602='تقرير ديسمبر'!$C$4,$P602='تقرير ديسمبر'!$C$6),COUNT(Z$4:Z601)+1,"")</f>
        <v/>
      </c>
      <c r="AA602">
        <f>IF(AND($A602&lt;&gt;"",$B602&lt;&gt;"",$R602='تقرير يناير'!$C$4,$P602='تقرير يناير'!$C$6),COUNT(AA$4:AA601)+1,"")</f>
        <v/>
      </c>
      <c r="AB602">
        <f>IF(AND($A602&lt;&gt;"",$B602&lt;&gt;"",$R602='تقرير فبراير'!$C$4,$P602='تقرير فبراير'!$C$6),COUNT(AB$4:AB601)+1,"")</f>
        <v/>
      </c>
      <c r="AC602">
        <f>IF(AND($A602&lt;&gt;"",$B602&lt;&gt;"",$R602='تقرير مارس'!$C$4,$P602='تقرير مارس'!$C$6),COUNT(AC$4:AC601)+1,"")</f>
        <v/>
      </c>
      <c r="AD602">
        <f>IF(AND($A602&lt;&gt;"",$B602&lt;&gt;"",$R602='تقرير أبريل'!$C$4,$P602='تقرير أبريل'!$C$6),COUNT(AD$4:AD601)+1,"")</f>
        <v/>
      </c>
      <c r="AE602">
        <f>IF(AND($A602&lt;&gt;"",$B602&lt;&gt;"",$R602='تقرير مايو'!$C$4,$P602='تقرير مايو'!$C$6),COUNT(AE$4:AE601)+1,"")</f>
        <v/>
      </c>
    </row>
    <row r="603">
      <c r="A603" s="16" t="n"/>
      <c r="B603" s="17" t="n"/>
      <c r="C603" s="17" t="n"/>
      <c r="D603" s="18" t="n"/>
      <c r="E603" s="17" t="n"/>
      <c r="F603" s="17" t="n"/>
      <c r="G603" s="19" t="n"/>
      <c r="H603" s="17" t="n"/>
      <c r="I603" s="17" t="n"/>
      <c r="J603" s="17" t="n"/>
      <c r="K603" s="20">
        <f>IF($B603="","",IFERROR(INDEX(الموظفات!$A$5:$A$304,MATCH($B603,الموظفات!$B$5:$B$304,0))&amp;"",""))</f>
        <v/>
      </c>
      <c r="L603" s="21">
        <f>IF($B603="","",IFERROR(INDEX(الموظفات!$C$5:$C$304,MATCH($B603,الموظفات!$B$5:$B$304,0))&amp;"",""))</f>
        <v/>
      </c>
      <c r="M603" s="20">
        <f>IF($B603="","",IFERROR(INDEX(الموظفات!$D$5:$D$304,MATCH($B603,الموظفات!$B$5:$B$304,0))&amp;"",""))</f>
        <v/>
      </c>
      <c r="N603" s="20">
        <f>IF($B603="","",IFERROR(INDEX(الموظفات!$E$5:$E$304,MATCH($B603,الموظفات!$B$5:$B$304,0))&amp;"",""))</f>
        <v/>
      </c>
      <c r="O603" s="21">
        <f>IF(C603="","",IFERROR(INDEX(الإعدادات!$D$7:$D$35,MATCH(C603,الإعدادات!$A$7:$A$35,0))&amp;"",""))</f>
        <v/>
      </c>
      <c r="P603" s="20">
        <f>IF(A603="","",INDEX(الإعدادات!$H$7:$H$18,MONTH(A603)))</f>
        <v/>
      </c>
      <c r="Q603" s="20">
        <f>IF(A603="","",INDEX(الإعدادات!$I$7:$I$18,MONTH(A603)))</f>
        <v/>
      </c>
      <c r="R603" s="20">
        <f>IF(A603="","",IF(MONTH(A603)&gt;=8,YEAR(A603)&amp;"-"&amp;(YEAR(A603)+1),(YEAR(A603)-1)&amp;"-"&amp;YEAR(A603)))</f>
        <v/>
      </c>
      <c r="S603" s="20">
        <f>IF(OR(A603="",B603=""),0,IF(AND(R603=التقارير!$C$4,OR(التقارير!$C$5="سنوي",AND(التقارير!$C$5="شهري",P603=التقارير!$C$6),AND(التقارير!$C$5="فصلي",Q603=التقارير!$C$7))),1,0))</f>
        <v/>
      </c>
      <c r="T603" s="20">
        <f>IF(S603=1,COUNTIF($S$5:S603,1),"")</f>
        <v/>
      </c>
      <c r="U603">
        <f>IF(AND($A603&lt;&gt;"",$B603&lt;&gt;"",$R603='تقرير الفصل الأول'!$C$4,$Q603='تقرير الفصل الأول'!$C$7),COUNT(U$4:U602)+1,"")</f>
        <v/>
      </c>
      <c r="V603">
        <f>IF(AND($A603&lt;&gt;"",$B603&lt;&gt;"",$R603='تقرير الفصل الثاني'!$C$4,$Q603='تقرير الفصل الثاني'!$C$7),COUNT(V$4:V602)+1,"")</f>
        <v/>
      </c>
      <c r="W603">
        <f>IF(AND($A603&lt;&gt;"",$B603&lt;&gt;"",$R603='تقرير سبتمبر'!$C$4,$P603='تقرير سبتمبر'!$C$6),COUNT(W$4:W602)+1,"")</f>
        <v/>
      </c>
      <c r="X603">
        <f>IF(AND($A603&lt;&gt;"",$B603&lt;&gt;"",$R603='تقرير أكتوبر'!$C$4,$P603='تقرير أكتوبر'!$C$6),COUNT(X$4:X602)+1,"")</f>
        <v/>
      </c>
      <c r="Y603">
        <f>IF(AND($A603&lt;&gt;"",$B603&lt;&gt;"",$R603='تقرير نوفمبر'!$C$4,$P603='تقرير نوفمبر'!$C$6),COUNT(Y$4:Y602)+1,"")</f>
        <v/>
      </c>
      <c r="Z603">
        <f>IF(AND($A603&lt;&gt;"",$B603&lt;&gt;"",$R603='تقرير ديسمبر'!$C$4,$P603='تقرير ديسمبر'!$C$6),COUNT(Z$4:Z602)+1,"")</f>
        <v/>
      </c>
      <c r="AA603">
        <f>IF(AND($A603&lt;&gt;"",$B603&lt;&gt;"",$R603='تقرير يناير'!$C$4,$P603='تقرير يناير'!$C$6),COUNT(AA$4:AA602)+1,"")</f>
        <v/>
      </c>
      <c r="AB603">
        <f>IF(AND($A603&lt;&gt;"",$B603&lt;&gt;"",$R603='تقرير فبراير'!$C$4,$P603='تقرير فبراير'!$C$6),COUNT(AB$4:AB602)+1,"")</f>
        <v/>
      </c>
      <c r="AC603">
        <f>IF(AND($A603&lt;&gt;"",$B603&lt;&gt;"",$R603='تقرير مارس'!$C$4,$P603='تقرير مارس'!$C$6),COUNT(AC$4:AC602)+1,"")</f>
        <v/>
      </c>
      <c r="AD603">
        <f>IF(AND($A603&lt;&gt;"",$B603&lt;&gt;"",$R603='تقرير أبريل'!$C$4,$P603='تقرير أبريل'!$C$6),COUNT(AD$4:AD602)+1,"")</f>
        <v/>
      </c>
      <c r="AE603">
        <f>IF(AND($A603&lt;&gt;"",$B603&lt;&gt;"",$R603='تقرير مايو'!$C$4,$P603='تقرير مايو'!$C$6),COUNT(AE$4:AE602)+1,"")</f>
        <v/>
      </c>
    </row>
    <row r="604">
      <c r="A604" s="16" t="n"/>
      <c r="B604" s="17" t="n"/>
      <c r="C604" s="17" t="n"/>
      <c r="D604" s="18" t="n"/>
      <c r="E604" s="17" t="n"/>
      <c r="F604" s="17" t="n"/>
      <c r="G604" s="19" t="n"/>
      <c r="H604" s="17" t="n"/>
      <c r="I604" s="17" t="n"/>
      <c r="J604" s="17" t="n"/>
      <c r="K604" s="20">
        <f>IF($B604="","",IFERROR(INDEX(الموظفات!$A$5:$A$304,MATCH($B604,الموظفات!$B$5:$B$304,0))&amp;"",""))</f>
        <v/>
      </c>
      <c r="L604" s="21">
        <f>IF($B604="","",IFERROR(INDEX(الموظفات!$C$5:$C$304,MATCH($B604,الموظفات!$B$5:$B$304,0))&amp;"",""))</f>
        <v/>
      </c>
      <c r="M604" s="20">
        <f>IF($B604="","",IFERROR(INDEX(الموظفات!$D$5:$D$304,MATCH($B604,الموظفات!$B$5:$B$304,0))&amp;"",""))</f>
        <v/>
      </c>
      <c r="N604" s="20">
        <f>IF($B604="","",IFERROR(INDEX(الموظفات!$E$5:$E$304,MATCH($B604,الموظفات!$B$5:$B$304,0))&amp;"",""))</f>
        <v/>
      </c>
      <c r="O604" s="21">
        <f>IF(C604="","",IFERROR(INDEX(الإعدادات!$D$7:$D$35,MATCH(C604,الإعدادات!$A$7:$A$35,0))&amp;"",""))</f>
        <v/>
      </c>
      <c r="P604" s="20">
        <f>IF(A604="","",INDEX(الإعدادات!$H$7:$H$18,MONTH(A604)))</f>
        <v/>
      </c>
      <c r="Q604" s="20">
        <f>IF(A604="","",INDEX(الإعدادات!$I$7:$I$18,MONTH(A604)))</f>
        <v/>
      </c>
      <c r="R604" s="20">
        <f>IF(A604="","",IF(MONTH(A604)&gt;=8,YEAR(A604)&amp;"-"&amp;(YEAR(A604)+1),(YEAR(A604)-1)&amp;"-"&amp;YEAR(A604)))</f>
        <v/>
      </c>
      <c r="S604" s="20">
        <f>IF(OR(A604="",B604=""),0,IF(AND(R604=التقارير!$C$4,OR(التقارير!$C$5="سنوي",AND(التقارير!$C$5="شهري",P604=التقارير!$C$6),AND(التقارير!$C$5="فصلي",Q604=التقارير!$C$7))),1,0))</f>
        <v/>
      </c>
      <c r="T604" s="20">
        <f>IF(S604=1,COUNTIF($S$5:S604,1),"")</f>
        <v/>
      </c>
      <c r="U604">
        <f>IF(AND($A604&lt;&gt;"",$B604&lt;&gt;"",$R604='تقرير الفصل الأول'!$C$4,$Q604='تقرير الفصل الأول'!$C$7),COUNT(U$4:U603)+1,"")</f>
        <v/>
      </c>
      <c r="V604">
        <f>IF(AND($A604&lt;&gt;"",$B604&lt;&gt;"",$R604='تقرير الفصل الثاني'!$C$4,$Q604='تقرير الفصل الثاني'!$C$7),COUNT(V$4:V603)+1,"")</f>
        <v/>
      </c>
      <c r="W604">
        <f>IF(AND($A604&lt;&gt;"",$B604&lt;&gt;"",$R604='تقرير سبتمبر'!$C$4,$P604='تقرير سبتمبر'!$C$6),COUNT(W$4:W603)+1,"")</f>
        <v/>
      </c>
      <c r="X604">
        <f>IF(AND($A604&lt;&gt;"",$B604&lt;&gt;"",$R604='تقرير أكتوبر'!$C$4,$P604='تقرير أكتوبر'!$C$6),COUNT(X$4:X603)+1,"")</f>
        <v/>
      </c>
      <c r="Y604">
        <f>IF(AND($A604&lt;&gt;"",$B604&lt;&gt;"",$R604='تقرير نوفمبر'!$C$4,$P604='تقرير نوفمبر'!$C$6),COUNT(Y$4:Y603)+1,"")</f>
        <v/>
      </c>
      <c r="Z604">
        <f>IF(AND($A604&lt;&gt;"",$B604&lt;&gt;"",$R604='تقرير ديسمبر'!$C$4,$P604='تقرير ديسمبر'!$C$6),COUNT(Z$4:Z603)+1,"")</f>
        <v/>
      </c>
      <c r="AA604">
        <f>IF(AND($A604&lt;&gt;"",$B604&lt;&gt;"",$R604='تقرير يناير'!$C$4,$P604='تقرير يناير'!$C$6),COUNT(AA$4:AA603)+1,"")</f>
        <v/>
      </c>
      <c r="AB604">
        <f>IF(AND($A604&lt;&gt;"",$B604&lt;&gt;"",$R604='تقرير فبراير'!$C$4,$P604='تقرير فبراير'!$C$6),COUNT(AB$4:AB603)+1,"")</f>
        <v/>
      </c>
      <c r="AC604">
        <f>IF(AND($A604&lt;&gt;"",$B604&lt;&gt;"",$R604='تقرير مارس'!$C$4,$P604='تقرير مارس'!$C$6),COUNT(AC$4:AC603)+1,"")</f>
        <v/>
      </c>
      <c r="AD604">
        <f>IF(AND($A604&lt;&gt;"",$B604&lt;&gt;"",$R604='تقرير أبريل'!$C$4,$P604='تقرير أبريل'!$C$6),COUNT(AD$4:AD603)+1,"")</f>
        <v/>
      </c>
      <c r="AE604">
        <f>IF(AND($A604&lt;&gt;"",$B604&lt;&gt;"",$R604='تقرير مايو'!$C$4,$P604='تقرير مايو'!$C$6),COUNT(AE$4:AE603)+1,"")</f>
        <v/>
      </c>
    </row>
    <row r="605">
      <c r="A605" s="16" t="n"/>
      <c r="B605" s="17" t="n"/>
      <c r="C605" s="17" t="n"/>
      <c r="D605" s="18" t="n"/>
      <c r="E605" s="17" t="n"/>
      <c r="F605" s="17" t="n"/>
      <c r="G605" s="19" t="n"/>
      <c r="H605" s="17" t="n"/>
      <c r="I605" s="17" t="n"/>
      <c r="J605" s="17" t="n"/>
      <c r="K605" s="20">
        <f>IF($B605="","",IFERROR(INDEX(الموظفات!$A$5:$A$304,MATCH($B605,الموظفات!$B$5:$B$304,0))&amp;"",""))</f>
        <v/>
      </c>
      <c r="L605" s="21">
        <f>IF($B605="","",IFERROR(INDEX(الموظفات!$C$5:$C$304,MATCH($B605,الموظفات!$B$5:$B$304,0))&amp;"",""))</f>
        <v/>
      </c>
      <c r="M605" s="20">
        <f>IF($B605="","",IFERROR(INDEX(الموظفات!$D$5:$D$304,MATCH($B605,الموظفات!$B$5:$B$304,0))&amp;"",""))</f>
        <v/>
      </c>
      <c r="N605" s="20">
        <f>IF($B605="","",IFERROR(INDEX(الموظفات!$E$5:$E$304,MATCH($B605,الموظفات!$B$5:$B$304,0))&amp;"",""))</f>
        <v/>
      </c>
      <c r="O605" s="21">
        <f>IF(C605="","",IFERROR(INDEX(الإعدادات!$D$7:$D$35,MATCH(C605,الإعدادات!$A$7:$A$35,0))&amp;"",""))</f>
        <v/>
      </c>
      <c r="P605" s="20">
        <f>IF(A605="","",INDEX(الإعدادات!$H$7:$H$18,MONTH(A605)))</f>
        <v/>
      </c>
      <c r="Q605" s="20">
        <f>IF(A605="","",INDEX(الإعدادات!$I$7:$I$18,MONTH(A605)))</f>
        <v/>
      </c>
      <c r="R605" s="20">
        <f>IF(A605="","",IF(MONTH(A605)&gt;=8,YEAR(A605)&amp;"-"&amp;(YEAR(A605)+1),(YEAR(A605)-1)&amp;"-"&amp;YEAR(A605)))</f>
        <v/>
      </c>
      <c r="S605" s="20">
        <f>IF(OR(A605="",B605=""),0,IF(AND(R605=التقارير!$C$4,OR(التقارير!$C$5="سنوي",AND(التقارير!$C$5="شهري",P605=التقارير!$C$6),AND(التقارير!$C$5="فصلي",Q605=التقارير!$C$7))),1,0))</f>
        <v/>
      </c>
      <c r="T605" s="20">
        <f>IF(S605=1,COUNTIF($S$5:S605,1),"")</f>
        <v/>
      </c>
      <c r="U605">
        <f>IF(AND($A605&lt;&gt;"",$B605&lt;&gt;"",$R605='تقرير الفصل الأول'!$C$4,$Q605='تقرير الفصل الأول'!$C$7),COUNT(U$4:U604)+1,"")</f>
        <v/>
      </c>
      <c r="V605">
        <f>IF(AND($A605&lt;&gt;"",$B605&lt;&gt;"",$R605='تقرير الفصل الثاني'!$C$4,$Q605='تقرير الفصل الثاني'!$C$7),COUNT(V$4:V604)+1,"")</f>
        <v/>
      </c>
      <c r="W605">
        <f>IF(AND($A605&lt;&gt;"",$B605&lt;&gt;"",$R605='تقرير سبتمبر'!$C$4,$P605='تقرير سبتمبر'!$C$6),COUNT(W$4:W604)+1,"")</f>
        <v/>
      </c>
      <c r="X605">
        <f>IF(AND($A605&lt;&gt;"",$B605&lt;&gt;"",$R605='تقرير أكتوبر'!$C$4,$P605='تقرير أكتوبر'!$C$6),COUNT(X$4:X604)+1,"")</f>
        <v/>
      </c>
      <c r="Y605">
        <f>IF(AND($A605&lt;&gt;"",$B605&lt;&gt;"",$R605='تقرير نوفمبر'!$C$4,$P605='تقرير نوفمبر'!$C$6),COUNT(Y$4:Y604)+1,"")</f>
        <v/>
      </c>
      <c r="Z605">
        <f>IF(AND($A605&lt;&gt;"",$B605&lt;&gt;"",$R605='تقرير ديسمبر'!$C$4,$P605='تقرير ديسمبر'!$C$6),COUNT(Z$4:Z604)+1,"")</f>
        <v/>
      </c>
      <c r="AA605">
        <f>IF(AND($A605&lt;&gt;"",$B605&lt;&gt;"",$R605='تقرير يناير'!$C$4,$P605='تقرير يناير'!$C$6),COUNT(AA$4:AA604)+1,"")</f>
        <v/>
      </c>
      <c r="AB605">
        <f>IF(AND($A605&lt;&gt;"",$B605&lt;&gt;"",$R605='تقرير فبراير'!$C$4,$P605='تقرير فبراير'!$C$6),COUNT(AB$4:AB604)+1,"")</f>
        <v/>
      </c>
      <c r="AC605">
        <f>IF(AND($A605&lt;&gt;"",$B605&lt;&gt;"",$R605='تقرير مارس'!$C$4,$P605='تقرير مارس'!$C$6),COUNT(AC$4:AC604)+1,"")</f>
        <v/>
      </c>
      <c r="AD605">
        <f>IF(AND($A605&lt;&gt;"",$B605&lt;&gt;"",$R605='تقرير أبريل'!$C$4,$P605='تقرير أبريل'!$C$6),COUNT(AD$4:AD604)+1,"")</f>
        <v/>
      </c>
      <c r="AE605">
        <f>IF(AND($A605&lt;&gt;"",$B605&lt;&gt;"",$R605='تقرير مايو'!$C$4,$P605='تقرير مايو'!$C$6),COUNT(AE$4:AE604)+1,"")</f>
        <v/>
      </c>
    </row>
    <row r="606">
      <c r="A606" s="16" t="n"/>
      <c r="B606" s="17" t="n"/>
      <c r="C606" s="17" t="n"/>
      <c r="D606" s="18" t="n"/>
      <c r="E606" s="17" t="n"/>
      <c r="F606" s="17" t="n"/>
      <c r="G606" s="19" t="n"/>
      <c r="H606" s="17" t="n"/>
      <c r="I606" s="17" t="n"/>
      <c r="J606" s="17" t="n"/>
      <c r="K606" s="20">
        <f>IF($B606="","",IFERROR(INDEX(الموظفات!$A$5:$A$304,MATCH($B606,الموظفات!$B$5:$B$304,0))&amp;"",""))</f>
        <v/>
      </c>
      <c r="L606" s="21">
        <f>IF($B606="","",IFERROR(INDEX(الموظفات!$C$5:$C$304,MATCH($B606,الموظفات!$B$5:$B$304,0))&amp;"",""))</f>
        <v/>
      </c>
      <c r="M606" s="20">
        <f>IF($B606="","",IFERROR(INDEX(الموظفات!$D$5:$D$304,MATCH($B606,الموظفات!$B$5:$B$304,0))&amp;"",""))</f>
        <v/>
      </c>
      <c r="N606" s="20">
        <f>IF($B606="","",IFERROR(INDEX(الموظفات!$E$5:$E$304,MATCH($B606,الموظفات!$B$5:$B$304,0))&amp;"",""))</f>
        <v/>
      </c>
      <c r="O606" s="21">
        <f>IF(C606="","",IFERROR(INDEX(الإعدادات!$D$7:$D$35,MATCH(C606,الإعدادات!$A$7:$A$35,0))&amp;"",""))</f>
        <v/>
      </c>
      <c r="P606" s="20">
        <f>IF(A606="","",INDEX(الإعدادات!$H$7:$H$18,MONTH(A606)))</f>
        <v/>
      </c>
      <c r="Q606" s="20">
        <f>IF(A606="","",INDEX(الإعدادات!$I$7:$I$18,MONTH(A606)))</f>
        <v/>
      </c>
      <c r="R606" s="20">
        <f>IF(A606="","",IF(MONTH(A606)&gt;=8,YEAR(A606)&amp;"-"&amp;(YEAR(A606)+1),(YEAR(A606)-1)&amp;"-"&amp;YEAR(A606)))</f>
        <v/>
      </c>
      <c r="S606" s="20">
        <f>IF(OR(A606="",B606=""),0,IF(AND(R606=التقارير!$C$4,OR(التقارير!$C$5="سنوي",AND(التقارير!$C$5="شهري",P606=التقارير!$C$6),AND(التقارير!$C$5="فصلي",Q606=التقارير!$C$7))),1,0))</f>
        <v/>
      </c>
      <c r="T606" s="20">
        <f>IF(S606=1,COUNTIF($S$5:S606,1),"")</f>
        <v/>
      </c>
      <c r="U606">
        <f>IF(AND($A606&lt;&gt;"",$B606&lt;&gt;"",$R606='تقرير الفصل الأول'!$C$4,$Q606='تقرير الفصل الأول'!$C$7),COUNT(U$4:U605)+1,"")</f>
        <v/>
      </c>
      <c r="V606">
        <f>IF(AND($A606&lt;&gt;"",$B606&lt;&gt;"",$R606='تقرير الفصل الثاني'!$C$4,$Q606='تقرير الفصل الثاني'!$C$7),COUNT(V$4:V605)+1,"")</f>
        <v/>
      </c>
      <c r="W606">
        <f>IF(AND($A606&lt;&gt;"",$B606&lt;&gt;"",$R606='تقرير سبتمبر'!$C$4,$P606='تقرير سبتمبر'!$C$6),COUNT(W$4:W605)+1,"")</f>
        <v/>
      </c>
      <c r="X606">
        <f>IF(AND($A606&lt;&gt;"",$B606&lt;&gt;"",$R606='تقرير أكتوبر'!$C$4,$P606='تقرير أكتوبر'!$C$6),COUNT(X$4:X605)+1,"")</f>
        <v/>
      </c>
      <c r="Y606">
        <f>IF(AND($A606&lt;&gt;"",$B606&lt;&gt;"",$R606='تقرير نوفمبر'!$C$4,$P606='تقرير نوفمبر'!$C$6),COUNT(Y$4:Y605)+1,"")</f>
        <v/>
      </c>
      <c r="Z606">
        <f>IF(AND($A606&lt;&gt;"",$B606&lt;&gt;"",$R606='تقرير ديسمبر'!$C$4,$P606='تقرير ديسمبر'!$C$6),COUNT(Z$4:Z605)+1,"")</f>
        <v/>
      </c>
      <c r="AA606">
        <f>IF(AND($A606&lt;&gt;"",$B606&lt;&gt;"",$R606='تقرير يناير'!$C$4,$P606='تقرير يناير'!$C$6),COUNT(AA$4:AA605)+1,"")</f>
        <v/>
      </c>
      <c r="AB606">
        <f>IF(AND($A606&lt;&gt;"",$B606&lt;&gt;"",$R606='تقرير فبراير'!$C$4,$P606='تقرير فبراير'!$C$6),COUNT(AB$4:AB605)+1,"")</f>
        <v/>
      </c>
      <c r="AC606">
        <f>IF(AND($A606&lt;&gt;"",$B606&lt;&gt;"",$R606='تقرير مارس'!$C$4,$P606='تقرير مارس'!$C$6),COUNT(AC$4:AC605)+1,"")</f>
        <v/>
      </c>
      <c r="AD606">
        <f>IF(AND($A606&lt;&gt;"",$B606&lt;&gt;"",$R606='تقرير أبريل'!$C$4,$P606='تقرير أبريل'!$C$6),COUNT(AD$4:AD605)+1,"")</f>
        <v/>
      </c>
      <c r="AE606">
        <f>IF(AND($A606&lt;&gt;"",$B606&lt;&gt;"",$R606='تقرير مايو'!$C$4,$P606='تقرير مايو'!$C$6),COUNT(AE$4:AE605)+1,"")</f>
        <v/>
      </c>
    </row>
    <row r="607">
      <c r="A607" s="16" t="n"/>
      <c r="B607" s="17" t="n"/>
      <c r="C607" s="17" t="n"/>
      <c r="D607" s="18" t="n"/>
      <c r="E607" s="17" t="n"/>
      <c r="F607" s="17" t="n"/>
      <c r="G607" s="19" t="n"/>
      <c r="H607" s="17" t="n"/>
      <c r="I607" s="17" t="n"/>
      <c r="J607" s="17" t="n"/>
      <c r="K607" s="20">
        <f>IF($B607="","",IFERROR(INDEX(الموظفات!$A$5:$A$304,MATCH($B607,الموظفات!$B$5:$B$304,0))&amp;"",""))</f>
        <v/>
      </c>
      <c r="L607" s="21">
        <f>IF($B607="","",IFERROR(INDEX(الموظفات!$C$5:$C$304,MATCH($B607,الموظفات!$B$5:$B$304,0))&amp;"",""))</f>
        <v/>
      </c>
      <c r="M607" s="20">
        <f>IF($B607="","",IFERROR(INDEX(الموظفات!$D$5:$D$304,MATCH($B607,الموظفات!$B$5:$B$304,0))&amp;"",""))</f>
        <v/>
      </c>
      <c r="N607" s="20">
        <f>IF($B607="","",IFERROR(INDEX(الموظفات!$E$5:$E$304,MATCH($B607,الموظفات!$B$5:$B$304,0))&amp;"",""))</f>
        <v/>
      </c>
      <c r="O607" s="21">
        <f>IF(C607="","",IFERROR(INDEX(الإعدادات!$D$7:$D$35,MATCH(C607,الإعدادات!$A$7:$A$35,0))&amp;"",""))</f>
        <v/>
      </c>
      <c r="P607" s="20">
        <f>IF(A607="","",INDEX(الإعدادات!$H$7:$H$18,MONTH(A607)))</f>
        <v/>
      </c>
      <c r="Q607" s="20">
        <f>IF(A607="","",INDEX(الإعدادات!$I$7:$I$18,MONTH(A607)))</f>
        <v/>
      </c>
      <c r="R607" s="20">
        <f>IF(A607="","",IF(MONTH(A607)&gt;=8,YEAR(A607)&amp;"-"&amp;(YEAR(A607)+1),(YEAR(A607)-1)&amp;"-"&amp;YEAR(A607)))</f>
        <v/>
      </c>
      <c r="S607" s="20">
        <f>IF(OR(A607="",B607=""),0,IF(AND(R607=التقارير!$C$4,OR(التقارير!$C$5="سنوي",AND(التقارير!$C$5="شهري",P607=التقارير!$C$6),AND(التقارير!$C$5="فصلي",Q607=التقارير!$C$7))),1,0))</f>
        <v/>
      </c>
      <c r="T607" s="20">
        <f>IF(S607=1,COUNTIF($S$5:S607,1),"")</f>
        <v/>
      </c>
      <c r="U607">
        <f>IF(AND($A607&lt;&gt;"",$B607&lt;&gt;"",$R607='تقرير الفصل الأول'!$C$4,$Q607='تقرير الفصل الأول'!$C$7),COUNT(U$4:U606)+1,"")</f>
        <v/>
      </c>
      <c r="V607">
        <f>IF(AND($A607&lt;&gt;"",$B607&lt;&gt;"",$R607='تقرير الفصل الثاني'!$C$4,$Q607='تقرير الفصل الثاني'!$C$7),COUNT(V$4:V606)+1,"")</f>
        <v/>
      </c>
      <c r="W607">
        <f>IF(AND($A607&lt;&gt;"",$B607&lt;&gt;"",$R607='تقرير سبتمبر'!$C$4,$P607='تقرير سبتمبر'!$C$6),COUNT(W$4:W606)+1,"")</f>
        <v/>
      </c>
      <c r="X607">
        <f>IF(AND($A607&lt;&gt;"",$B607&lt;&gt;"",$R607='تقرير أكتوبر'!$C$4,$P607='تقرير أكتوبر'!$C$6),COUNT(X$4:X606)+1,"")</f>
        <v/>
      </c>
      <c r="Y607">
        <f>IF(AND($A607&lt;&gt;"",$B607&lt;&gt;"",$R607='تقرير نوفمبر'!$C$4,$P607='تقرير نوفمبر'!$C$6),COUNT(Y$4:Y606)+1,"")</f>
        <v/>
      </c>
      <c r="Z607">
        <f>IF(AND($A607&lt;&gt;"",$B607&lt;&gt;"",$R607='تقرير ديسمبر'!$C$4,$P607='تقرير ديسمبر'!$C$6),COUNT(Z$4:Z606)+1,"")</f>
        <v/>
      </c>
      <c r="AA607">
        <f>IF(AND($A607&lt;&gt;"",$B607&lt;&gt;"",$R607='تقرير يناير'!$C$4,$P607='تقرير يناير'!$C$6),COUNT(AA$4:AA606)+1,"")</f>
        <v/>
      </c>
      <c r="AB607">
        <f>IF(AND($A607&lt;&gt;"",$B607&lt;&gt;"",$R607='تقرير فبراير'!$C$4,$P607='تقرير فبراير'!$C$6),COUNT(AB$4:AB606)+1,"")</f>
        <v/>
      </c>
      <c r="AC607">
        <f>IF(AND($A607&lt;&gt;"",$B607&lt;&gt;"",$R607='تقرير مارس'!$C$4,$P607='تقرير مارس'!$C$6),COUNT(AC$4:AC606)+1,"")</f>
        <v/>
      </c>
      <c r="AD607">
        <f>IF(AND($A607&lt;&gt;"",$B607&lt;&gt;"",$R607='تقرير أبريل'!$C$4,$P607='تقرير أبريل'!$C$6),COUNT(AD$4:AD606)+1,"")</f>
        <v/>
      </c>
      <c r="AE607">
        <f>IF(AND($A607&lt;&gt;"",$B607&lt;&gt;"",$R607='تقرير مايو'!$C$4,$P607='تقرير مايو'!$C$6),COUNT(AE$4:AE606)+1,"")</f>
        <v/>
      </c>
    </row>
    <row r="608">
      <c r="A608" s="16" t="n"/>
      <c r="B608" s="17" t="n"/>
      <c r="C608" s="17" t="n"/>
      <c r="D608" s="18" t="n"/>
      <c r="E608" s="17" t="n"/>
      <c r="F608" s="17" t="n"/>
      <c r="G608" s="19" t="n"/>
      <c r="H608" s="17" t="n"/>
      <c r="I608" s="17" t="n"/>
      <c r="J608" s="17" t="n"/>
      <c r="K608" s="20">
        <f>IF($B608="","",IFERROR(INDEX(الموظفات!$A$5:$A$304,MATCH($B608,الموظفات!$B$5:$B$304,0))&amp;"",""))</f>
        <v/>
      </c>
      <c r="L608" s="21">
        <f>IF($B608="","",IFERROR(INDEX(الموظفات!$C$5:$C$304,MATCH($B608,الموظفات!$B$5:$B$304,0))&amp;"",""))</f>
        <v/>
      </c>
      <c r="M608" s="20">
        <f>IF($B608="","",IFERROR(INDEX(الموظفات!$D$5:$D$304,MATCH($B608,الموظفات!$B$5:$B$304,0))&amp;"",""))</f>
        <v/>
      </c>
      <c r="N608" s="20">
        <f>IF($B608="","",IFERROR(INDEX(الموظفات!$E$5:$E$304,MATCH($B608,الموظفات!$B$5:$B$304,0))&amp;"",""))</f>
        <v/>
      </c>
      <c r="O608" s="21">
        <f>IF(C608="","",IFERROR(INDEX(الإعدادات!$D$7:$D$35,MATCH(C608,الإعدادات!$A$7:$A$35,0))&amp;"",""))</f>
        <v/>
      </c>
      <c r="P608" s="20">
        <f>IF(A608="","",INDEX(الإعدادات!$H$7:$H$18,MONTH(A608)))</f>
        <v/>
      </c>
      <c r="Q608" s="20">
        <f>IF(A608="","",INDEX(الإعدادات!$I$7:$I$18,MONTH(A608)))</f>
        <v/>
      </c>
      <c r="R608" s="20">
        <f>IF(A608="","",IF(MONTH(A608)&gt;=8,YEAR(A608)&amp;"-"&amp;(YEAR(A608)+1),(YEAR(A608)-1)&amp;"-"&amp;YEAR(A608)))</f>
        <v/>
      </c>
      <c r="S608" s="20">
        <f>IF(OR(A608="",B608=""),0,IF(AND(R608=التقارير!$C$4,OR(التقارير!$C$5="سنوي",AND(التقارير!$C$5="شهري",P608=التقارير!$C$6),AND(التقارير!$C$5="فصلي",Q608=التقارير!$C$7))),1,0))</f>
        <v/>
      </c>
      <c r="T608" s="20">
        <f>IF(S608=1,COUNTIF($S$5:S608,1),"")</f>
        <v/>
      </c>
      <c r="U608">
        <f>IF(AND($A608&lt;&gt;"",$B608&lt;&gt;"",$R608='تقرير الفصل الأول'!$C$4,$Q608='تقرير الفصل الأول'!$C$7),COUNT(U$4:U607)+1,"")</f>
        <v/>
      </c>
      <c r="V608">
        <f>IF(AND($A608&lt;&gt;"",$B608&lt;&gt;"",$R608='تقرير الفصل الثاني'!$C$4,$Q608='تقرير الفصل الثاني'!$C$7),COUNT(V$4:V607)+1,"")</f>
        <v/>
      </c>
      <c r="W608">
        <f>IF(AND($A608&lt;&gt;"",$B608&lt;&gt;"",$R608='تقرير سبتمبر'!$C$4,$P608='تقرير سبتمبر'!$C$6),COUNT(W$4:W607)+1,"")</f>
        <v/>
      </c>
      <c r="X608">
        <f>IF(AND($A608&lt;&gt;"",$B608&lt;&gt;"",$R608='تقرير أكتوبر'!$C$4,$P608='تقرير أكتوبر'!$C$6),COUNT(X$4:X607)+1,"")</f>
        <v/>
      </c>
      <c r="Y608">
        <f>IF(AND($A608&lt;&gt;"",$B608&lt;&gt;"",$R608='تقرير نوفمبر'!$C$4,$P608='تقرير نوفمبر'!$C$6),COUNT(Y$4:Y607)+1,"")</f>
        <v/>
      </c>
      <c r="Z608">
        <f>IF(AND($A608&lt;&gt;"",$B608&lt;&gt;"",$R608='تقرير ديسمبر'!$C$4,$P608='تقرير ديسمبر'!$C$6),COUNT(Z$4:Z607)+1,"")</f>
        <v/>
      </c>
      <c r="AA608">
        <f>IF(AND($A608&lt;&gt;"",$B608&lt;&gt;"",$R608='تقرير يناير'!$C$4,$P608='تقرير يناير'!$C$6),COUNT(AA$4:AA607)+1,"")</f>
        <v/>
      </c>
      <c r="AB608">
        <f>IF(AND($A608&lt;&gt;"",$B608&lt;&gt;"",$R608='تقرير فبراير'!$C$4,$P608='تقرير فبراير'!$C$6),COUNT(AB$4:AB607)+1,"")</f>
        <v/>
      </c>
      <c r="AC608">
        <f>IF(AND($A608&lt;&gt;"",$B608&lt;&gt;"",$R608='تقرير مارس'!$C$4,$P608='تقرير مارس'!$C$6),COUNT(AC$4:AC607)+1,"")</f>
        <v/>
      </c>
      <c r="AD608">
        <f>IF(AND($A608&lt;&gt;"",$B608&lt;&gt;"",$R608='تقرير أبريل'!$C$4,$P608='تقرير أبريل'!$C$6),COUNT(AD$4:AD607)+1,"")</f>
        <v/>
      </c>
      <c r="AE608">
        <f>IF(AND($A608&lt;&gt;"",$B608&lt;&gt;"",$R608='تقرير مايو'!$C$4,$P608='تقرير مايو'!$C$6),COUNT(AE$4:AE607)+1,"")</f>
        <v/>
      </c>
    </row>
    <row r="609">
      <c r="A609" s="16" t="n"/>
      <c r="B609" s="17" t="n"/>
      <c r="C609" s="17" t="n"/>
      <c r="D609" s="18" t="n"/>
      <c r="E609" s="17" t="n"/>
      <c r="F609" s="17" t="n"/>
      <c r="G609" s="19" t="n"/>
      <c r="H609" s="17" t="n"/>
      <c r="I609" s="17" t="n"/>
      <c r="J609" s="17" t="n"/>
      <c r="K609" s="20">
        <f>IF($B609="","",IFERROR(INDEX(الموظفات!$A$5:$A$304,MATCH($B609,الموظفات!$B$5:$B$304,0))&amp;"",""))</f>
        <v/>
      </c>
      <c r="L609" s="21">
        <f>IF($B609="","",IFERROR(INDEX(الموظفات!$C$5:$C$304,MATCH($B609,الموظفات!$B$5:$B$304,0))&amp;"",""))</f>
        <v/>
      </c>
      <c r="M609" s="20">
        <f>IF($B609="","",IFERROR(INDEX(الموظفات!$D$5:$D$304,MATCH($B609,الموظفات!$B$5:$B$304,0))&amp;"",""))</f>
        <v/>
      </c>
      <c r="N609" s="20">
        <f>IF($B609="","",IFERROR(INDEX(الموظفات!$E$5:$E$304,MATCH($B609,الموظفات!$B$5:$B$304,0))&amp;"",""))</f>
        <v/>
      </c>
      <c r="O609" s="21">
        <f>IF(C609="","",IFERROR(INDEX(الإعدادات!$D$7:$D$35,MATCH(C609,الإعدادات!$A$7:$A$35,0))&amp;"",""))</f>
        <v/>
      </c>
      <c r="P609" s="20">
        <f>IF(A609="","",INDEX(الإعدادات!$H$7:$H$18,MONTH(A609)))</f>
        <v/>
      </c>
      <c r="Q609" s="20">
        <f>IF(A609="","",INDEX(الإعدادات!$I$7:$I$18,MONTH(A609)))</f>
        <v/>
      </c>
      <c r="R609" s="20">
        <f>IF(A609="","",IF(MONTH(A609)&gt;=8,YEAR(A609)&amp;"-"&amp;(YEAR(A609)+1),(YEAR(A609)-1)&amp;"-"&amp;YEAR(A609)))</f>
        <v/>
      </c>
      <c r="S609" s="20">
        <f>IF(OR(A609="",B609=""),0,IF(AND(R609=التقارير!$C$4,OR(التقارير!$C$5="سنوي",AND(التقارير!$C$5="شهري",P609=التقارير!$C$6),AND(التقارير!$C$5="فصلي",Q609=التقارير!$C$7))),1,0))</f>
        <v/>
      </c>
      <c r="T609" s="20">
        <f>IF(S609=1,COUNTIF($S$5:S609,1),"")</f>
        <v/>
      </c>
      <c r="U609">
        <f>IF(AND($A609&lt;&gt;"",$B609&lt;&gt;"",$R609='تقرير الفصل الأول'!$C$4,$Q609='تقرير الفصل الأول'!$C$7),COUNT(U$4:U608)+1,"")</f>
        <v/>
      </c>
      <c r="V609">
        <f>IF(AND($A609&lt;&gt;"",$B609&lt;&gt;"",$R609='تقرير الفصل الثاني'!$C$4,$Q609='تقرير الفصل الثاني'!$C$7),COUNT(V$4:V608)+1,"")</f>
        <v/>
      </c>
      <c r="W609">
        <f>IF(AND($A609&lt;&gt;"",$B609&lt;&gt;"",$R609='تقرير سبتمبر'!$C$4,$P609='تقرير سبتمبر'!$C$6),COUNT(W$4:W608)+1,"")</f>
        <v/>
      </c>
      <c r="X609">
        <f>IF(AND($A609&lt;&gt;"",$B609&lt;&gt;"",$R609='تقرير أكتوبر'!$C$4,$P609='تقرير أكتوبر'!$C$6),COUNT(X$4:X608)+1,"")</f>
        <v/>
      </c>
      <c r="Y609">
        <f>IF(AND($A609&lt;&gt;"",$B609&lt;&gt;"",$R609='تقرير نوفمبر'!$C$4,$P609='تقرير نوفمبر'!$C$6),COUNT(Y$4:Y608)+1,"")</f>
        <v/>
      </c>
      <c r="Z609">
        <f>IF(AND($A609&lt;&gt;"",$B609&lt;&gt;"",$R609='تقرير ديسمبر'!$C$4,$P609='تقرير ديسمبر'!$C$6),COUNT(Z$4:Z608)+1,"")</f>
        <v/>
      </c>
      <c r="AA609">
        <f>IF(AND($A609&lt;&gt;"",$B609&lt;&gt;"",$R609='تقرير يناير'!$C$4,$P609='تقرير يناير'!$C$6),COUNT(AA$4:AA608)+1,"")</f>
        <v/>
      </c>
      <c r="AB609">
        <f>IF(AND($A609&lt;&gt;"",$B609&lt;&gt;"",$R609='تقرير فبراير'!$C$4,$P609='تقرير فبراير'!$C$6),COUNT(AB$4:AB608)+1,"")</f>
        <v/>
      </c>
      <c r="AC609">
        <f>IF(AND($A609&lt;&gt;"",$B609&lt;&gt;"",$R609='تقرير مارس'!$C$4,$P609='تقرير مارس'!$C$6),COUNT(AC$4:AC608)+1,"")</f>
        <v/>
      </c>
      <c r="AD609">
        <f>IF(AND($A609&lt;&gt;"",$B609&lt;&gt;"",$R609='تقرير أبريل'!$C$4,$P609='تقرير أبريل'!$C$6),COUNT(AD$4:AD608)+1,"")</f>
        <v/>
      </c>
      <c r="AE609">
        <f>IF(AND($A609&lt;&gt;"",$B609&lt;&gt;"",$R609='تقرير مايو'!$C$4,$P609='تقرير مايو'!$C$6),COUNT(AE$4:AE608)+1,"")</f>
        <v/>
      </c>
    </row>
    <row r="610">
      <c r="A610" s="16" t="n"/>
      <c r="B610" s="17" t="n"/>
      <c r="C610" s="17" t="n"/>
      <c r="D610" s="18" t="n"/>
      <c r="E610" s="17" t="n"/>
      <c r="F610" s="17" t="n"/>
      <c r="G610" s="19" t="n"/>
      <c r="H610" s="17" t="n"/>
      <c r="I610" s="17" t="n"/>
      <c r="J610" s="17" t="n"/>
      <c r="K610" s="20">
        <f>IF($B610="","",IFERROR(INDEX(الموظفات!$A$5:$A$304,MATCH($B610,الموظفات!$B$5:$B$304,0))&amp;"",""))</f>
        <v/>
      </c>
      <c r="L610" s="21">
        <f>IF($B610="","",IFERROR(INDEX(الموظفات!$C$5:$C$304,MATCH($B610,الموظفات!$B$5:$B$304,0))&amp;"",""))</f>
        <v/>
      </c>
      <c r="M610" s="20">
        <f>IF($B610="","",IFERROR(INDEX(الموظفات!$D$5:$D$304,MATCH($B610,الموظفات!$B$5:$B$304,0))&amp;"",""))</f>
        <v/>
      </c>
      <c r="N610" s="20">
        <f>IF($B610="","",IFERROR(INDEX(الموظفات!$E$5:$E$304,MATCH($B610,الموظفات!$B$5:$B$304,0))&amp;"",""))</f>
        <v/>
      </c>
      <c r="O610" s="21">
        <f>IF(C610="","",IFERROR(INDEX(الإعدادات!$D$7:$D$35,MATCH(C610,الإعدادات!$A$7:$A$35,0))&amp;"",""))</f>
        <v/>
      </c>
      <c r="P610" s="20">
        <f>IF(A610="","",INDEX(الإعدادات!$H$7:$H$18,MONTH(A610)))</f>
        <v/>
      </c>
      <c r="Q610" s="20">
        <f>IF(A610="","",INDEX(الإعدادات!$I$7:$I$18,MONTH(A610)))</f>
        <v/>
      </c>
      <c r="R610" s="20">
        <f>IF(A610="","",IF(MONTH(A610)&gt;=8,YEAR(A610)&amp;"-"&amp;(YEAR(A610)+1),(YEAR(A610)-1)&amp;"-"&amp;YEAR(A610)))</f>
        <v/>
      </c>
      <c r="S610" s="20">
        <f>IF(OR(A610="",B610=""),0,IF(AND(R610=التقارير!$C$4,OR(التقارير!$C$5="سنوي",AND(التقارير!$C$5="شهري",P610=التقارير!$C$6),AND(التقارير!$C$5="فصلي",Q610=التقارير!$C$7))),1,0))</f>
        <v/>
      </c>
      <c r="T610" s="20">
        <f>IF(S610=1,COUNTIF($S$5:S610,1),"")</f>
        <v/>
      </c>
      <c r="U610">
        <f>IF(AND($A610&lt;&gt;"",$B610&lt;&gt;"",$R610='تقرير الفصل الأول'!$C$4,$Q610='تقرير الفصل الأول'!$C$7),COUNT(U$4:U609)+1,"")</f>
        <v/>
      </c>
      <c r="V610">
        <f>IF(AND($A610&lt;&gt;"",$B610&lt;&gt;"",$R610='تقرير الفصل الثاني'!$C$4,$Q610='تقرير الفصل الثاني'!$C$7),COUNT(V$4:V609)+1,"")</f>
        <v/>
      </c>
      <c r="W610">
        <f>IF(AND($A610&lt;&gt;"",$B610&lt;&gt;"",$R610='تقرير سبتمبر'!$C$4,$P610='تقرير سبتمبر'!$C$6),COUNT(W$4:W609)+1,"")</f>
        <v/>
      </c>
      <c r="X610">
        <f>IF(AND($A610&lt;&gt;"",$B610&lt;&gt;"",$R610='تقرير أكتوبر'!$C$4,$P610='تقرير أكتوبر'!$C$6),COUNT(X$4:X609)+1,"")</f>
        <v/>
      </c>
      <c r="Y610">
        <f>IF(AND($A610&lt;&gt;"",$B610&lt;&gt;"",$R610='تقرير نوفمبر'!$C$4,$P610='تقرير نوفمبر'!$C$6),COUNT(Y$4:Y609)+1,"")</f>
        <v/>
      </c>
      <c r="Z610">
        <f>IF(AND($A610&lt;&gt;"",$B610&lt;&gt;"",$R610='تقرير ديسمبر'!$C$4,$P610='تقرير ديسمبر'!$C$6),COUNT(Z$4:Z609)+1,"")</f>
        <v/>
      </c>
      <c r="AA610">
        <f>IF(AND($A610&lt;&gt;"",$B610&lt;&gt;"",$R610='تقرير يناير'!$C$4,$P610='تقرير يناير'!$C$6),COUNT(AA$4:AA609)+1,"")</f>
        <v/>
      </c>
      <c r="AB610">
        <f>IF(AND($A610&lt;&gt;"",$B610&lt;&gt;"",$R610='تقرير فبراير'!$C$4,$P610='تقرير فبراير'!$C$6),COUNT(AB$4:AB609)+1,"")</f>
        <v/>
      </c>
      <c r="AC610">
        <f>IF(AND($A610&lt;&gt;"",$B610&lt;&gt;"",$R610='تقرير مارس'!$C$4,$P610='تقرير مارس'!$C$6),COUNT(AC$4:AC609)+1,"")</f>
        <v/>
      </c>
      <c r="AD610">
        <f>IF(AND($A610&lt;&gt;"",$B610&lt;&gt;"",$R610='تقرير أبريل'!$C$4,$P610='تقرير أبريل'!$C$6),COUNT(AD$4:AD609)+1,"")</f>
        <v/>
      </c>
      <c r="AE610">
        <f>IF(AND($A610&lt;&gt;"",$B610&lt;&gt;"",$R610='تقرير مايو'!$C$4,$P610='تقرير مايو'!$C$6),COUNT(AE$4:AE609)+1,"")</f>
        <v/>
      </c>
    </row>
    <row r="611">
      <c r="A611" s="16" t="n"/>
      <c r="B611" s="17" t="n"/>
      <c r="C611" s="17" t="n"/>
      <c r="D611" s="18" t="n"/>
      <c r="E611" s="17" t="n"/>
      <c r="F611" s="17" t="n"/>
      <c r="G611" s="19" t="n"/>
      <c r="H611" s="17" t="n"/>
      <c r="I611" s="17" t="n"/>
      <c r="J611" s="17" t="n"/>
      <c r="K611" s="20">
        <f>IF($B611="","",IFERROR(INDEX(الموظفات!$A$5:$A$304,MATCH($B611,الموظفات!$B$5:$B$304,0))&amp;"",""))</f>
        <v/>
      </c>
      <c r="L611" s="21">
        <f>IF($B611="","",IFERROR(INDEX(الموظفات!$C$5:$C$304,MATCH($B611,الموظفات!$B$5:$B$304,0))&amp;"",""))</f>
        <v/>
      </c>
      <c r="M611" s="20">
        <f>IF($B611="","",IFERROR(INDEX(الموظفات!$D$5:$D$304,MATCH($B611,الموظفات!$B$5:$B$304,0))&amp;"",""))</f>
        <v/>
      </c>
      <c r="N611" s="20">
        <f>IF($B611="","",IFERROR(INDEX(الموظفات!$E$5:$E$304,MATCH($B611,الموظفات!$B$5:$B$304,0))&amp;"",""))</f>
        <v/>
      </c>
      <c r="O611" s="21">
        <f>IF(C611="","",IFERROR(INDEX(الإعدادات!$D$7:$D$35,MATCH(C611,الإعدادات!$A$7:$A$35,0))&amp;"",""))</f>
        <v/>
      </c>
      <c r="P611" s="20">
        <f>IF(A611="","",INDEX(الإعدادات!$H$7:$H$18,MONTH(A611)))</f>
        <v/>
      </c>
      <c r="Q611" s="20">
        <f>IF(A611="","",INDEX(الإعدادات!$I$7:$I$18,MONTH(A611)))</f>
        <v/>
      </c>
      <c r="R611" s="20">
        <f>IF(A611="","",IF(MONTH(A611)&gt;=8,YEAR(A611)&amp;"-"&amp;(YEAR(A611)+1),(YEAR(A611)-1)&amp;"-"&amp;YEAR(A611)))</f>
        <v/>
      </c>
      <c r="S611" s="20">
        <f>IF(OR(A611="",B611=""),0,IF(AND(R611=التقارير!$C$4,OR(التقارير!$C$5="سنوي",AND(التقارير!$C$5="شهري",P611=التقارير!$C$6),AND(التقارير!$C$5="فصلي",Q611=التقارير!$C$7))),1,0))</f>
        <v/>
      </c>
      <c r="T611" s="20">
        <f>IF(S611=1,COUNTIF($S$5:S611,1),"")</f>
        <v/>
      </c>
      <c r="U611">
        <f>IF(AND($A611&lt;&gt;"",$B611&lt;&gt;"",$R611='تقرير الفصل الأول'!$C$4,$Q611='تقرير الفصل الأول'!$C$7),COUNT(U$4:U610)+1,"")</f>
        <v/>
      </c>
      <c r="V611">
        <f>IF(AND($A611&lt;&gt;"",$B611&lt;&gt;"",$R611='تقرير الفصل الثاني'!$C$4,$Q611='تقرير الفصل الثاني'!$C$7),COUNT(V$4:V610)+1,"")</f>
        <v/>
      </c>
      <c r="W611">
        <f>IF(AND($A611&lt;&gt;"",$B611&lt;&gt;"",$R611='تقرير سبتمبر'!$C$4,$P611='تقرير سبتمبر'!$C$6),COUNT(W$4:W610)+1,"")</f>
        <v/>
      </c>
      <c r="X611">
        <f>IF(AND($A611&lt;&gt;"",$B611&lt;&gt;"",$R611='تقرير أكتوبر'!$C$4,$P611='تقرير أكتوبر'!$C$6),COUNT(X$4:X610)+1,"")</f>
        <v/>
      </c>
      <c r="Y611">
        <f>IF(AND($A611&lt;&gt;"",$B611&lt;&gt;"",$R611='تقرير نوفمبر'!$C$4,$P611='تقرير نوفمبر'!$C$6),COUNT(Y$4:Y610)+1,"")</f>
        <v/>
      </c>
      <c r="Z611">
        <f>IF(AND($A611&lt;&gt;"",$B611&lt;&gt;"",$R611='تقرير ديسمبر'!$C$4,$P611='تقرير ديسمبر'!$C$6),COUNT(Z$4:Z610)+1,"")</f>
        <v/>
      </c>
      <c r="AA611">
        <f>IF(AND($A611&lt;&gt;"",$B611&lt;&gt;"",$R611='تقرير يناير'!$C$4,$P611='تقرير يناير'!$C$6),COUNT(AA$4:AA610)+1,"")</f>
        <v/>
      </c>
      <c r="AB611">
        <f>IF(AND($A611&lt;&gt;"",$B611&lt;&gt;"",$R611='تقرير فبراير'!$C$4,$P611='تقرير فبراير'!$C$6),COUNT(AB$4:AB610)+1,"")</f>
        <v/>
      </c>
      <c r="AC611">
        <f>IF(AND($A611&lt;&gt;"",$B611&lt;&gt;"",$R611='تقرير مارس'!$C$4,$P611='تقرير مارس'!$C$6),COUNT(AC$4:AC610)+1,"")</f>
        <v/>
      </c>
      <c r="AD611">
        <f>IF(AND($A611&lt;&gt;"",$B611&lt;&gt;"",$R611='تقرير أبريل'!$C$4,$P611='تقرير أبريل'!$C$6),COUNT(AD$4:AD610)+1,"")</f>
        <v/>
      </c>
      <c r="AE611">
        <f>IF(AND($A611&lt;&gt;"",$B611&lt;&gt;"",$R611='تقرير مايو'!$C$4,$P611='تقرير مايو'!$C$6),COUNT(AE$4:AE610)+1,"")</f>
        <v/>
      </c>
    </row>
    <row r="612">
      <c r="A612" s="16" t="n"/>
      <c r="B612" s="17" t="n"/>
      <c r="C612" s="17" t="n"/>
      <c r="D612" s="18" t="n"/>
      <c r="E612" s="17" t="n"/>
      <c r="F612" s="17" t="n"/>
      <c r="G612" s="19" t="n"/>
      <c r="H612" s="17" t="n"/>
      <c r="I612" s="17" t="n"/>
      <c r="J612" s="17" t="n"/>
      <c r="K612" s="20">
        <f>IF($B612="","",IFERROR(INDEX(الموظفات!$A$5:$A$304,MATCH($B612,الموظفات!$B$5:$B$304,0))&amp;"",""))</f>
        <v/>
      </c>
      <c r="L612" s="21">
        <f>IF($B612="","",IFERROR(INDEX(الموظفات!$C$5:$C$304,MATCH($B612,الموظفات!$B$5:$B$304,0))&amp;"",""))</f>
        <v/>
      </c>
      <c r="M612" s="20">
        <f>IF($B612="","",IFERROR(INDEX(الموظفات!$D$5:$D$304,MATCH($B612,الموظفات!$B$5:$B$304,0))&amp;"",""))</f>
        <v/>
      </c>
      <c r="N612" s="20">
        <f>IF($B612="","",IFERROR(INDEX(الموظفات!$E$5:$E$304,MATCH($B612,الموظفات!$B$5:$B$304,0))&amp;"",""))</f>
        <v/>
      </c>
      <c r="O612" s="21">
        <f>IF(C612="","",IFERROR(INDEX(الإعدادات!$D$7:$D$35,MATCH(C612,الإعدادات!$A$7:$A$35,0))&amp;"",""))</f>
        <v/>
      </c>
      <c r="P612" s="20">
        <f>IF(A612="","",INDEX(الإعدادات!$H$7:$H$18,MONTH(A612)))</f>
        <v/>
      </c>
      <c r="Q612" s="20">
        <f>IF(A612="","",INDEX(الإعدادات!$I$7:$I$18,MONTH(A612)))</f>
        <v/>
      </c>
      <c r="R612" s="20">
        <f>IF(A612="","",IF(MONTH(A612)&gt;=8,YEAR(A612)&amp;"-"&amp;(YEAR(A612)+1),(YEAR(A612)-1)&amp;"-"&amp;YEAR(A612)))</f>
        <v/>
      </c>
      <c r="S612" s="20">
        <f>IF(OR(A612="",B612=""),0,IF(AND(R612=التقارير!$C$4,OR(التقارير!$C$5="سنوي",AND(التقارير!$C$5="شهري",P612=التقارير!$C$6),AND(التقارير!$C$5="فصلي",Q612=التقارير!$C$7))),1,0))</f>
        <v/>
      </c>
      <c r="T612" s="20">
        <f>IF(S612=1,COUNTIF($S$5:S612,1),"")</f>
        <v/>
      </c>
      <c r="U612">
        <f>IF(AND($A612&lt;&gt;"",$B612&lt;&gt;"",$R612='تقرير الفصل الأول'!$C$4,$Q612='تقرير الفصل الأول'!$C$7),COUNT(U$4:U611)+1,"")</f>
        <v/>
      </c>
      <c r="V612">
        <f>IF(AND($A612&lt;&gt;"",$B612&lt;&gt;"",$R612='تقرير الفصل الثاني'!$C$4,$Q612='تقرير الفصل الثاني'!$C$7),COUNT(V$4:V611)+1,"")</f>
        <v/>
      </c>
      <c r="W612">
        <f>IF(AND($A612&lt;&gt;"",$B612&lt;&gt;"",$R612='تقرير سبتمبر'!$C$4,$P612='تقرير سبتمبر'!$C$6),COUNT(W$4:W611)+1,"")</f>
        <v/>
      </c>
      <c r="X612">
        <f>IF(AND($A612&lt;&gt;"",$B612&lt;&gt;"",$R612='تقرير أكتوبر'!$C$4,$P612='تقرير أكتوبر'!$C$6),COUNT(X$4:X611)+1,"")</f>
        <v/>
      </c>
      <c r="Y612">
        <f>IF(AND($A612&lt;&gt;"",$B612&lt;&gt;"",$R612='تقرير نوفمبر'!$C$4,$P612='تقرير نوفمبر'!$C$6),COUNT(Y$4:Y611)+1,"")</f>
        <v/>
      </c>
      <c r="Z612">
        <f>IF(AND($A612&lt;&gt;"",$B612&lt;&gt;"",$R612='تقرير ديسمبر'!$C$4,$P612='تقرير ديسمبر'!$C$6),COUNT(Z$4:Z611)+1,"")</f>
        <v/>
      </c>
      <c r="AA612">
        <f>IF(AND($A612&lt;&gt;"",$B612&lt;&gt;"",$R612='تقرير يناير'!$C$4,$P612='تقرير يناير'!$C$6),COUNT(AA$4:AA611)+1,"")</f>
        <v/>
      </c>
      <c r="AB612">
        <f>IF(AND($A612&lt;&gt;"",$B612&lt;&gt;"",$R612='تقرير فبراير'!$C$4,$P612='تقرير فبراير'!$C$6),COUNT(AB$4:AB611)+1,"")</f>
        <v/>
      </c>
      <c r="AC612">
        <f>IF(AND($A612&lt;&gt;"",$B612&lt;&gt;"",$R612='تقرير مارس'!$C$4,$P612='تقرير مارس'!$C$6),COUNT(AC$4:AC611)+1,"")</f>
        <v/>
      </c>
      <c r="AD612">
        <f>IF(AND($A612&lt;&gt;"",$B612&lt;&gt;"",$R612='تقرير أبريل'!$C$4,$P612='تقرير أبريل'!$C$6),COUNT(AD$4:AD611)+1,"")</f>
        <v/>
      </c>
      <c r="AE612">
        <f>IF(AND($A612&lt;&gt;"",$B612&lt;&gt;"",$R612='تقرير مايو'!$C$4,$P612='تقرير مايو'!$C$6),COUNT(AE$4:AE611)+1,"")</f>
        <v/>
      </c>
    </row>
    <row r="613">
      <c r="A613" s="16" t="n"/>
      <c r="B613" s="17" t="n"/>
      <c r="C613" s="17" t="n"/>
      <c r="D613" s="18" t="n"/>
      <c r="E613" s="17" t="n"/>
      <c r="F613" s="17" t="n"/>
      <c r="G613" s="19" t="n"/>
      <c r="H613" s="17" t="n"/>
      <c r="I613" s="17" t="n"/>
      <c r="J613" s="17" t="n"/>
      <c r="K613" s="20">
        <f>IF($B613="","",IFERROR(INDEX(الموظفات!$A$5:$A$304,MATCH($B613,الموظفات!$B$5:$B$304,0))&amp;"",""))</f>
        <v/>
      </c>
      <c r="L613" s="21">
        <f>IF($B613="","",IFERROR(INDEX(الموظفات!$C$5:$C$304,MATCH($B613,الموظفات!$B$5:$B$304,0))&amp;"",""))</f>
        <v/>
      </c>
      <c r="M613" s="20">
        <f>IF($B613="","",IFERROR(INDEX(الموظفات!$D$5:$D$304,MATCH($B613,الموظفات!$B$5:$B$304,0))&amp;"",""))</f>
        <v/>
      </c>
      <c r="N613" s="20">
        <f>IF($B613="","",IFERROR(INDEX(الموظفات!$E$5:$E$304,MATCH($B613,الموظفات!$B$5:$B$304,0))&amp;"",""))</f>
        <v/>
      </c>
      <c r="O613" s="21">
        <f>IF(C613="","",IFERROR(INDEX(الإعدادات!$D$7:$D$35,MATCH(C613,الإعدادات!$A$7:$A$35,0))&amp;"",""))</f>
        <v/>
      </c>
      <c r="P613" s="20">
        <f>IF(A613="","",INDEX(الإعدادات!$H$7:$H$18,MONTH(A613)))</f>
        <v/>
      </c>
      <c r="Q613" s="20">
        <f>IF(A613="","",INDEX(الإعدادات!$I$7:$I$18,MONTH(A613)))</f>
        <v/>
      </c>
      <c r="R613" s="20">
        <f>IF(A613="","",IF(MONTH(A613)&gt;=8,YEAR(A613)&amp;"-"&amp;(YEAR(A613)+1),(YEAR(A613)-1)&amp;"-"&amp;YEAR(A613)))</f>
        <v/>
      </c>
      <c r="S613" s="20">
        <f>IF(OR(A613="",B613=""),0,IF(AND(R613=التقارير!$C$4,OR(التقارير!$C$5="سنوي",AND(التقارير!$C$5="شهري",P613=التقارير!$C$6),AND(التقارير!$C$5="فصلي",Q613=التقارير!$C$7))),1,0))</f>
        <v/>
      </c>
      <c r="T613" s="20">
        <f>IF(S613=1,COUNTIF($S$5:S613,1),"")</f>
        <v/>
      </c>
      <c r="U613">
        <f>IF(AND($A613&lt;&gt;"",$B613&lt;&gt;"",$R613='تقرير الفصل الأول'!$C$4,$Q613='تقرير الفصل الأول'!$C$7),COUNT(U$4:U612)+1,"")</f>
        <v/>
      </c>
      <c r="V613">
        <f>IF(AND($A613&lt;&gt;"",$B613&lt;&gt;"",$R613='تقرير الفصل الثاني'!$C$4,$Q613='تقرير الفصل الثاني'!$C$7),COUNT(V$4:V612)+1,"")</f>
        <v/>
      </c>
      <c r="W613">
        <f>IF(AND($A613&lt;&gt;"",$B613&lt;&gt;"",$R613='تقرير سبتمبر'!$C$4,$P613='تقرير سبتمبر'!$C$6),COUNT(W$4:W612)+1,"")</f>
        <v/>
      </c>
      <c r="X613">
        <f>IF(AND($A613&lt;&gt;"",$B613&lt;&gt;"",$R613='تقرير أكتوبر'!$C$4,$P613='تقرير أكتوبر'!$C$6),COUNT(X$4:X612)+1,"")</f>
        <v/>
      </c>
      <c r="Y613">
        <f>IF(AND($A613&lt;&gt;"",$B613&lt;&gt;"",$R613='تقرير نوفمبر'!$C$4,$P613='تقرير نوفمبر'!$C$6),COUNT(Y$4:Y612)+1,"")</f>
        <v/>
      </c>
      <c r="Z613">
        <f>IF(AND($A613&lt;&gt;"",$B613&lt;&gt;"",$R613='تقرير ديسمبر'!$C$4,$P613='تقرير ديسمبر'!$C$6),COUNT(Z$4:Z612)+1,"")</f>
        <v/>
      </c>
      <c r="AA613">
        <f>IF(AND($A613&lt;&gt;"",$B613&lt;&gt;"",$R613='تقرير يناير'!$C$4,$P613='تقرير يناير'!$C$6),COUNT(AA$4:AA612)+1,"")</f>
        <v/>
      </c>
      <c r="AB613">
        <f>IF(AND($A613&lt;&gt;"",$B613&lt;&gt;"",$R613='تقرير فبراير'!$C$4,$P613='تقرير فبراير'!$C$6),COUNT(AB$4:AB612)+1,"")</f>
        <v/>
      </c>
      <c r="AC613">
        <f>IF(AND($A613&lt;&gt;"",$B613&lt;&gt;"",$R613='تقرير مارس'!$C$4,$P613='تقرير مارس'!$C$6),COUNT(AC$4:AC612)+1,"")</f>
        <v/>
      </c>
      <c r="AD613">
        <f>IF(AND($A613&lt;&gt;"",$B613&lt;&gt;"",$R613='تقرير أبريل'!$C$4,$P613='تقرير أبريل'!$C$6),COUNT(AD$4:AD612)+1,"")</f>
        <v/>
      </c>
      <c r="AE613">
        <f>IF(AND($A613&lt;&gt;"",$B613&lt;&gt;"",$R613='تقرير مايو'!$C$4,$P613='تقرير مايو'!$C$6),COUNT(AE$4:AE612)+1,"")</f>
        <v/>
      </c>
    </row>
    <row r="614">
      <c r="A614" s="16" t="n"/>
      <c r="B614" s="17" t="n"/>
      <c r="C614" s="17" t="n"/>
      <c r="D614" s="18" t="n"/>
      <c r="E614" s="17" t="n"/>
      <c r="F614" s="17" t="n"/>
      <c r="G614" s="19" t="n"/>
      <c r="H614" s="17" t="n"/>
      <c r="I614" s="17" t="n"/>
      <c r="J614" s="17" t="n"/>
      <c r="K614" s="20">
        <f>IF($B614="","",IFERROR(INDEX(الموظفات!$A$5:$A$304,MATCH($B614,الموظفات!$B$5:$B$304,0))&amp;"",""))</f>
        <v/>
      </c>
      <c r="L614" s="21">
        <f>IF($B614="","",IFERROR(INDEX(الموظفات!$C$5:$C$304,MATCH($B614,الموظفات!$B$5:$B$304,0))&amp;"",""))</f>
        <v/>
      </c>
      <c r="M614" s="20">
        <f>IF($B614="","",IFERROR(INDEX(الموظفات!$D$5:$D$304,MATCH($B614,الموظفات!$B$5:$B$304,0))&amp;"",""))</f>
        <v/>
      </c>
      <c r="N614" s="20">
        <f>IF($B614="","",IFERROR(INDEX(الموظفات!$E$5:$E$304,MATCH($B614,الموظفات!$B$5:$B$304,0))&amp;"",""))</f>
        <v/>
      </c>
      <c r="O614" s="21">
        <f>IF(C614="","",IFERROR(INDEX(الإعدادات!$D$7:$D$35,MATCH(C614,الإعدادات!$A$7:$A$35,0))&amp;"",""))</f>
        <v/>
      </c>
      <c r="P614" s="20">
        <f>IF(A614="","",INDEX(الإعدادات!$H$7:$H$18,MONTH(A614)))</f>
        <v/>
      </c>
      <c r="Q614" s="20">
        <f>IF(A614="","",INDEX(الإعدادات!$I$7:$I$18,MONTH(A614)))</f>
        <v/>
      </c>
      <c r="R614" s="20">
        <f>IF(A614="","",IF(MONTH(A614)&gt;=8,YEAR(A614)&amp;"-"&amp;(YEAR(A614)+1),(YEAR(A614)-1)&amp;"-"&amp;YEAR(A614)))</f>
        <v/>
      </c>
      <c r="S614" s="20">
        <f>IF(OR(A614="",B614=""),0,IF(AND(R614=التقارير!$C$4,OR(التقارير!$C$5="سنوي",AND(التقارير!$C$5="شهري",P614=التقارير!$C$6),AND(التقارير!$C$5="فصلي",Q614=التقارير!$C$7))),1,0))</f>
        <v/>
      </c>
      <c r="T614" s="20">
        <f>IF(S614=1,COUNTIF($S$5:S614,1),"")</f>
        <v/>
      </c>
      <c r="U614">
        <f>IF(AND($A614&lt;&gt;"",$B614&lt;&gt;"",$R614='تقرير الفصل الأول'!$C$4,$Q614='تقرير الفصل الأول'!$C$7),COUNT(U$4:U613)+1,"")</f>
        <v/>
      </c>
      <c r="V614">
        <f>IF(AND($A614&lt;&gt;"",$B614&lt;&gt;"",$R614='تقرير الفصل الثاني'!$C$4,$Q614='تقرير الفصل الثاني'!$C$7),COUNT(V$4:V613)+1,"")</f>
        <v/>
      </c>
      <c r="W614">
        <f>IF(AND($A614&lt;&gt;"",$B614&lt;&gt;"",$R614='تقرير سبتمبر'!$C$4,$P614='تقرير سبتمبر'!$C$6),COUNT(W$4:W613)+1,"")</f>
        <v/>
      </c>
      <c r="X614">
        <f>IF(AND($A614&lt;&gt;"",$B614&lt;&gt;"",$R614='تقرير أكتوبر'!$C$4,$P614='تقرير أكتوبر'!$C$6),COUNT(X$4:X613)+1,"")</f>
        <v/>
      </c>
      <c r="Y614">
        <f>IF(AND($A614&lt;&gt;"",$B614&lt;&gt;"",$R614='تقرير نوفمبر'!$C$4,$P614='تقرير نوفمبر'!$C$6),COUNT(Y$4:Y613)+1,"")</f>
        <v/>
      </c>
      <c r="Z614">
        <f>IF(AND($A614&lt;&gt;"",$B614&lt;&gt;"",$R614='تقرير ديسمبر'!$C$4,$P614='تقرير ديسمبر'!$C$6),COUNT(Z$4:Z613)+1,"")</f>
        <v/>
      </c>
      <c r="AA614">
        <f>IF(AND($A614&lt;&gt;"",$B614&lt;&gt;"",$R614='تقرير يناير'!$C$4,$P614='تقرير يناير'!$C$6),COUNT(AA$4:AA613)+1,"")</f>
        <v/>
      </c>
      <c r="AB614">
        <f>IF(AND($A614&lt;&gt;"",$B614&lt;&gt;"",$R614='تقرير فبراير'!$C$4,$P614='تقرير فبراير'!$C$6),COUNT(AB$4:AB613)+1,"")</f>
        <v/>
      </c>
      <c r="AC614">
        <f>IF(AND($A614&lt;&gt;"",$B614&lt;&gt;"",$R614='تقرير مارس'!$C$4,$P614='تقرير مارس'!$C$6),COUNT(AC$4:AC613)+1,"")</f>
        <v/>
      </c>
      <c r="AD614">
        <f>IF(AND($A614&lt;&gt;"",$B614&lt;&gt;"",$R614='تقرير أبريل'!$C$4,$P614='تقرير أبريل'!$C$6),COUNT(AD$4:AD613)+1,"")</f>
        <v/>
      </c>
      <c r="AE614">
        <f>IF(AND($A614&lt;&gt;"",$B614&lt;&gt;"",$R614='تقرير مايو'!$C$4,$P614='تقرير مايو'!$C$6),COUNT(AE$4:AE613)+1,"")</f>
        <v/>
      </c>
    </row>
    <row r="615">
      <c r="A615" s="16" t="n"/>
      <c r="B615" s="17" t="n"/>
      <c r="C615" s="17" t="n"/>
      <c r="D615" s="18" t="n"/>
      <c r="E615" s="17" t="n"/>
      <c r="F615" s="17" t="n"/>
      <c r="G615" s="19" t="n"/>
      <c r="H615" s="17" t="n"/>
      <c r="I615" s="17" t="n"/>
      <c r="J615" s="17" t="n"/>
      <c r="K615" s="20">
        <f>IF($B615="","",IFERROR(INDEX(الموظفات!$A$5:$A$304,MATCH($B615,الموظفات!$B$5:$B$304,0))&amp;"",""))</f>
        <v/>
      </c>
      <c r="L615" s="21">
        <f>IF($B615="","",IFERROR(INDEX(الموظفات!$C$5:$C$304,MATCH($B615,الموظفات!$B$5:$B$304,0))&amp;"",""))</f>
        <v/>
      </c>
      <c r="M615" s="20">
        <f>IF($B615="","",IFERROR(INDEX(الموظفات!$D$5:$D$304,MATCH($B615,الموظفات!$B$5:$B$304,0))&amp;"",""))</f>
        <v/>
      </c>
      <c r="N615" s="20">
        <f>IF($B615="","",IFERROR(INDEX(الموظفات!$E$5:$E$304,MATCH($B615,الموظفات!$B$5:$B$304,0))&amp;"",""))</f>
        <v/>
      </c>
      <c r="O615" s="21">
        <f>IF(C615="","",IFERROR(INDEX(الإعدادات!$D$7:$D$35,MATCH(C615,الإعدادات!$A$7:$A$35,0))&amp;"",""))</f>
        <v/>
      </c>
      <c r="P615" s="20">
        <f>IF(A615="","",INDEX(الإعدادات!$H$7:$H$18,MONTH(A615)))</f>
        <v/>
      </c>
      <c r="Q615" s="20">
        <f>IF(A615="","",INDEX(الإعدادات!$I$7:$I$18,MONTH(A615)))</f>
        <v/>
      </c>
      <c r="R615" s="20">
        <f>IF(A615="","",IF(MONTH(A615)&gt;=8,YEAR(A615)&amp;"-"&amp;(YEAR(A615)+1),(YEAR(A615)-1)&amp;"-"&amp;YEAR(A615)))</f>
        <v/>
      </c>
      <c r="S615" s="20">
        <f>IF(OR(A615="",B615=""),0,IF(AND(R615=التقارير!$C$4,OR(التقارير!$C$5="سنوي",AND(التقارير!$C$5="شهري",P615=التقارير!$C$6),AND(التقارير!$C$5="فصلي",Q615=التقارير!$C$7))),1,0))</f>
        <v/>
      </c>
      <c r="T615" s="20">
        <f>IF(S615=1,COUNTIF($S$5:S615,1),"")</f>
        <v/>
      </c>
      <c r="U615">
        <f>IF(AND($A615&lt;&gt;"",$B615&lt;&gt;"",$R615='تقرير الفصل الأول'!$C$4,$Q615='تقرير الفصل الأول'!$C$7),COUNT(U$4:U614)+1,"")</f>
        <v/>
      </c>
      <c r="V615">
        <f>IF(AND($A615&lt;&gt;"",$B615&lt;&gt;"",$R615='تقرير الفصل الثاني'!$C$4,$Q615='تقرير الفصل الثاني'!$C$7),COUNT(V$4:V614)+1,"")</f>
        <v/>
      </c>
      <c r="W615">
        <f>IF(AND($A615&lt;&gt;"",$B615&lt;&gt;"",$R615='تقرير سبتمبر'!$C$4,$P615='تقرير سبتمبر'!$C$6),COUNT(W$4:W614)+1,"")</f>
        <v/>
      </c>
      <c r="X615">
        <f>IF(AND($A615&lt;&gt;"",$B615&lt;&gt;"",$R615='تقرير أكتوبر'!$C$4,$P615='تقرير أكتوبر'!$C$6),COUNT(X$4:X614)+1,"")</f>
        <v/>
      </c>
      <c r="Y615">
        <f>IF(AND($A615&lt;&gt;"",$B615&lt;&gt;"",$R615='تقرير نوفمبر'!$C$4,$P615='تقرير نوفمبر'!$C$6),COUNT(Y$4:Y614)+1,"")</f>
        <v/>
      </c>
      <c r="Z615">
        <f>IF(AND($A615&lt;&gt;"",$B615&lt;&gt;"",$R615='تقرير ديسمبر'!$C$4,$P615='تقرير ديسمبر'!$C$6),COUNT(Z$4:Z614)+1,"")</f>
        <v/>
      </c>
      <c r="AA615">
        <f>IF(AND($A615&lt;&gt;"",$B615&lt;&gt;"",$R615='تقرير يناير'!$C$4,$P615='تقرير يناير'!$C$6),COUNT(AA$4:AA614)+1,"")</f>
        <v/>
      </c>
      <c r="AB615">
        <f>IF(AND($A615&lt;&gt;"",$B615&lt;&gt;"",$R615='تقرير فبراير'!$C$4,$P615='تقرير فبراير'!$C$6),COUNT(AB$4:AB614)+1,"")</f>
        <v/>
      </c>
      <c r="AC615">
        <f>IF(AND($A615&lt;&gt;"",$B615&lt;&gt;"",$R615='تقرير مارس'!$C$4,$P615='تقرير مارس'!$C$6),COUNT(AC$4:AC614)+1,"")</f>
        <v/>
      </c>
      <c r="AD615">
        <f>IF(AND($A615&lt;&gt;"",$B615&lt;&gt;"",$R615='تقرير أبريل'!$C$4,$P615='تقرير أبريل'!$C$6),COUNT(AD$4:AD614)+1,"")</f>
        <v/>
      </c>
      <c r="AE615">
        <f>IF(AND($A615&lt;&gt;"",$B615&lt;&gt;"",$R615='تقرير مايو'!$C$4,$P615='تقرير مايو'!$C$6),COUNT(AE$4:AE614)+1,"")</f>
        <v/>
      </c>
    </row>
    <row r="616">
      <c r="A616" s="16" t="n"/>
      <c r="B616" s="17" t="n"/>
      <c r="C616" s="17" t="n"/>
      <c r="D616" s="18" t="n"/>
      <c r="E616" s="17" t="n"/>
      <c r="F616" s="17" t="n"/>
      <c r="G616" s="19" t="n"/>
      <c r="H616" s="17" t="n"/>
      <c r="I616" s="17" t="n"/>
      <c r="J616" s="17" t="n"/>
      <c r="K616" s="20">
        <f>IF($B616="","",IFERROR(INDEX(الموظفات!$A$5:$A$304,MATCH($B616,الموظفات!$B$5:$B$304,0))&amp;"",""))</f>
        <v/>
      </c>
      <c r="L616" s="21">
        <f>IF($B616="","",IFERROR(INDEX(الموظفات!$C$5:$C$304,MATCH($B616,الموظفات!$B$5:$B$304,0))&amp;"",""))</f>
        <v/>
      </c>
      <c r="M616" s="20">
        <f>IF($B616="","",IFERROR(INDEX(الموظفات!$D$5:$D$304,MATCH($B616,الموظفات!$B$5:$B$304,0))&amp;"",""))</f>
        <v/>
      </c>
      <c r="N616" s="20">
        <f>IF($B616="","",IFERROR(INDEX(الموظفات!$E$5:$E$304,MATCH($B616,الموظفات!$B$5:$B$304,0))&amp;"",""))</f>
        <v/>
      </c>
      <c r="O616" s="21">
        <f>IF(C616="","",IFERROR(INDEX(الإعدادات!$D$7:$D$35,MATCH(C616,الإعدادات!$A$7:$A$35,0))&amp;"",""))</f>
        <v/>
      </c>
      <c r="P616" s="20">
        <f>IF(A616="","",INDEX(الإعدادات!$H$7:$H$18,MONTH(A616)))</f>
        <v/>
      </c>
      <c r="Q616" s="20">
        <f>IF(A616="","",INDEX(الإعدادات!$I$7:$I$18,MONTH(A616)))</f>
        <v/>
      </c>
      <c r="R616" s="20">
        <f>IF(A616="","",IF(MONTH(A616)&gt;=8,YEAR(A616)&amp;"-"&amp;(YEAR(A616)+1),(YEAR(A616)-1)&amp;"-"&amp;YEAR(A616)))</f>
        <v/>
      </c>
      <c r="S616" s="20">
        <f>IF(OR(A616="",B616=""),0,IF(AND(R616=التقارير!$C$4,OR(التقارير!$C$5="سنوي",AND(التقارير!$C$5="شهري",P616=التقارير!$C$6),AND(التقارير!$C$5="فصلي",Q616=التقارير!$C$7))),1,0))</f>
        <v/>
      </c>
      <c r="T616" s="20">
        <f>IF(S616=1,COUNTIF($S$5:S616,1),"")</f>
        <v/>
      </c>
      <c r="U616">
        <f>IF(AND($A616&lt;&gt;"",$B616&lt;&gt;"",$R616='تقرير الفصل الأول'!$C$4,$Q616='تقرير الفصل الأول'!$C$7),COUNT(U$4:U615)+1,"")</f>
        <v/>
      </c>
      <c r="V616">
        <f>IF(AND($A616&lt;&gt;"",$B616&lt;&gt;"",$R616='تقرير الفصل الثاني'!$C$4,$Q616='تقرير الفصل الثاني'!$C$7),COUNT(V$4:V615)+1,"")</f>
        <v/>
      </c>
      <c r="W616">
        <f>IF(AND($A616&lt;&gt;"",$B616&lt;&gt;"",$R616='تقرير سبتمبر'!$C$4,$P616='تقرير سبتمبر'!$C$6),COUNT(W$4:W615)+1,"")</f>
        <v/>
      </c>
      <c r="X616">
        <f>IF(AND($A616&lt;&gt;"",$B616&lt;&gt;"",$R616='تقرير أكتوبر'!$C$4,$P616='تقرير أكتوبر'!$C$6),COUNT(X$4:X615)+1,"")</f>
        <v/>
      </c>
      <c r="Y616">
        <f>IF(AND($A616&lt;&gt;"",$B616&lt;&gt;"",$R616='تقرير نوفمبر'!$C$4,$P616='تقرير نوفمبر'!$C$6),COUNT(Y$4:Y615)+1,"")</f>
        <v/>
      </c>
      <c r="Z616">
        <f>IF(AND($A616&lt;&gt;"",$B616&lt;&gt;"",$R616='تقرير ديسمبر'!$C$4,$P616='تقرير ديسمبر'!$C$6),COUNT(Z$4:Z615)+1,"")</f>
        <v/>
      </c>
      <c r="AA616">
        <f>IF(AND($A616&lt;&gt;"",$B616&lt;&gt;"",$R616='تقرير يناير'!$C$4,$P616='تقرير يناير'!$C$6),COUNT(AA$4:AA615)+1,"")</f>
        <v/>
      </c>
      <c r="AB616">
        <f>IF(AND($A616&lt;&gt;"",$B616&lt;&gt;"",$R616='تقرير فبراير'!$C$4,$P616='تقرير فبراير'!$C$6),COUNT(AB$4:AB615)+1,"")</f>
        <v/>
      </c>
      <c r="AC616">
        <f>IF(AND($A616&lt;&gt;"",$B616&lt;&gt;"",$R616='تقرير مارس'!$C$4,$P616='تقرير مارس'!$C$6),COUNT(AC$4:AC615)+1,"")</f>
        <v/>
      </c>
      <c r="AD616">
        <f>IF(AND($A616&lt;&gt;"",$B616&lt;&gt;"",$R616='تقرير أبريل'!$C$4,$P616='تقرير أبريل'!$C$6),COUNT(AD$4:AD615)+1,"")</f>
        <v/>
      </c>
      <c r="AE616">
        <f>IF(AND($A616&lt;&gt;"",$B616&lt;&gt;"",$R616='تقرير مايو'!$C$4,$P616='تقرير مايو'!$C$6),COUNT(AE$4:AE615)+1,"")</f>
        <v/>
      </c>
    </row>
    <row r="617">
      <c r="A617" s="16" t="n"/>
      <c r="B617" s="17" t="n"/>
      <c r="C617" s="17" t="n"/>
      <c r="D617" s="18" t="n"/>
      <c r="E617" s="17" t="n"/>
      <c r="F617" s="17" t="n"/>
      <c r="G617" s="19" t="n"/>
      <c r="H617" s="17" t="n"/>
      <c r="I617" s="17" t="n"/>
      <c r="J617" s="17" t="n"/>
      <c r="K617" s="20">
        <f>IF($B617="","",IFERROR(INDEX(الموظفات!$A$5:$A$304,MATCH($B617,الموظفات!$B$5:$B$304,0))&amp;"",""))</f>
        <v/>
      </c>
      <c r="L617" s="21">
        <f>IF($B617="","",IFERROR(INDEX(الموظفات!$C$5:$C$304,MATCH($B617,الموظفات!$B$5:$B$304,0))&amp;"",""))</f>
        <v/>
      </c>
      <c r="M617" s="20">
        <f>IF($B617="","",IFERROR(INDEX(الموظفات!$D$5:$D$304,MATCH($B617,الموظفات!$B$5:$B$304,0))&amp;"",""))</f>
        <v/>
      </c>
      <c r="N617" s="20">
        <f>IF($B617="","",IFERROR(INDEX(الموظفات!$E$5:$E$304,MATCH($B617,الموظفات!$B$5:$B$304,0))&amp;"",""))</f>
        <v/>
      </c>
      <c r="O617" s="21">
        <f>IF(C617="","",IFERROR(INDEX(الإعدادات!$D$7:$D$35,MATCH(C617,الإعدادات!$A$7:$A$35,0))&amp;"",""))</f>
        <v/>
      </c>
      <c r="P617" s="20">
        <f>IF(A617="","",INDEX(الإعدادات!$H$7:$H$18,MONTH(A617)))</f>
        <v/>
      </c>
      <c r="Q617" s="20">
        <f>IF(A617="","",INDEX(الإعدادات!$I$7:$I$18,MONTH(A617)))</f>
        <v/>
      </c>
      <c r="R617" s="20">
        <f>IF(A617="","",IF(MONTH(A617)&gt;=8,YEAR(A617)&amp;"-"&amp;(YEAR(A617)+1),(YEAR(A617)-1)&amp;"-"&amp;YEAR(A617)))</f>
        <v/>
      </c>
      <c r="S617" s="20">
        <f>IF(OR(A617="",B617=""),0,IF(AND(R617=التقارير!$C$4,OR(التقارير!$C$5="سنوي",AND(التقارير!$C$5="شهري",P617=التقارير!$C$6),AND(التقارير!$C$5="فصلي",Q617=التقارير!$C$7))),1,0))</f>
        <v/>
      </c>
      <c r="T617" s="20">
        <f>IF(S617=1,COUNTIF($S$5:S617,1),"")</f>
        <v/>
      </c>
      <c r="U617">
        <f>IF(AND($A617&lt;&gt;"",$B617&lt;&gt;"",$R617='تقرير الفصل الأول'!$C$4,$Q617='تقرير الفصل الأول'!$C$7),COUNT(U$4:U616)+1,"")</f>
        <v/>
      </c>
      <c r="V617">
        <f>IF(AND($A617&lt;&gt;"",$B617&lt;&gt;"",$R617='تقرير الفصل الثاني'!$C$4,$Q617='تقرير الفصل الثاني'!$C$7),COUNT(V$4:V616)+1,"")</f>
        <v/>
      </c>
      <c r="W617">
        <f>IF(AND($A617&lt;&gt;"",$B617&lt;&gt;"",$R617='تقرير سبتمبر'!$C$4,$P617='تقرير سبتمبر'!$C$6),COUNT(W$4:W616)+1,"")</f>
        <v/>
      </c>
      <c r="X617">
        <f>IF(AND($A617&lt;&gt;"",$B617&lt;&gt;"",$R617='تقرير أكتوبر'!$C$4,$P617='تقرير أكتوبر'!$C$6),COUNT(X$4:X616)+1,"")</f>
        <v/>
      </c>
      <c r="Y617">
        <f>IF(AND($A617&lt;&gt;"",$B617&lt;&gt;"",$R617='تقرير نوفمبر'!$C$4,$P617='تقرير نوفمبر'!$C$6),COUNT(Y$4:Y616)+1,"")</f>
        <v/>
      </c>
      <c r="Z617">
        <f>IF(AND($A617&lt;&gt;"",$B617&lt;&gt;"",$R617='تقرير ديسمبر'!$C$4,$P617='تقرير ديسمبر'!$C$6),COUNT(Z$4:Z616)+1,"")</f>
        <v/>
      </c>
      <c r="AA617">
        <f>IF(AND($A617&lt;&gt;"",$B617&lt;&gt;"",$R617='تقرير يناير'!$C$4,$P617='تقرير يناير'!$C$6),COUNT(AA$4:AA616)+1,"")</f>
        <v/>
      </c>
      <c r="AB617">
        <f>IF(AND($A617&lt;&gt;"",$B617&lt;&gt;"",$R617='تقرير فبراير'!$C$4,$P617='تقرير فبراير'!$C$6),COUNT(AB$4:AB616)+1,"")</f>
        <v/>
      </c>
      <c r="AC617">
        <f>IF(AND($A617&lt;&gt;"",$B617&lt;&gt;"",$R617='تقرير مارس'!$C$4,$P617='تقرير مارس'!$C$6),COUNT(AC$4:AC616)+1,"")</f>
        <v/>
      </c>
      <c r="AD617">
        <f>IF(AND($A617&lt;&gt;"",$B617&lt;&gt;"",$R617='تقرير أبريل'!$C$4,$P617='تقرير أبريل'!$C$6),COUNT(AD$4:AD616)+1,"")</f>
        <v/>
      </c>
      <c r="AE617">
        <f>IF(AND($A617&lt;&gt;"",$B617&lt;&gt;"",$R617='تقرير مايو'!$C$4,$P617='تقرير مايو'!$C$6),COUNT(AE$4:AE616)+1,"")</f>
        <v/>
      </c>
    </row>
    <row r="618">
      <c r="A618" s="16" t="n"/>
      <c r="B618" s="17" t="n"/>
      <c r="C618" s="17" t="n"/>
      <c r="D618" s="18" t="n"/>
      <c r="E618" s="17" t="n"/>
      <c r="F618" s="17" t="n"/>
      <c r="G618" s="19" t="n"/>
      <c r="H618" s="17" t="n"/>
      <c r="I618" s="17" t="n"/>
      <c r="J618" s="17" t="n"/>
      <c r="K618" s="20">
        <f>IF($B618="","",IFERROR(INDEX(الموظفات!$A$5:$A$304,MATCH($B618,الموظفات!$B$5:$B$304,0))&amp;"",""))</f>
        <v/>
      </c>
      <c r="L618" s="21">
        <f>IF($B618="","",IFERROR(INDEX(الموظفات!$C$5:$C$304,MATCH($B618,الموظفات!$B$5:$B$304,0))&amp;"",""))</f>
        <v/>
      </c>
      <c r="M618" s="20">
        <f>IF($B618="","",IFERROR(INDEX(الموظفات!$D$5:$D$304,MATCH($B618,الموظفات!$B$5:$B$304,0))&amp;"",""))</f>
        <v/>
      </c>
      <c r="N618" s="20">
        <f>IF($B618="","",IFERROR(INDEX(الموظفات!$E$5:$E$304,MATCH($B618,الموظفات!$B$5:$B$304,0))&amp;"",""))</f>
        <v/>
      </c>
      <c r="O618" s="21">
        <f>IF(C618="","",IFERROR(INDEX(الإعدادات!$D$7:$D$35,MATCH(C618,الإعدادات!$A$7:$A$35,0))&amp;"",""))</f>
        <v/>
      </c>
      <c r="P618" s="20">
        <f>IF(A618="","",INDEX(الإعدادات!$H$7:$H$18,MONTH(A618)))</f>
        <v/>
      </c>
      <c r="Q618" s="20">
        <f>IF(A618="","",INDEX(الإعدادات!$I$7:$I$18,MONTH(A618)))</f>
        <v/>
      </c>
      <c r="R618" s="20">
        <f>IF(A618="","",IF(MONTH(A618)&gt;=8,YEAR(A618)&amp;"-"&amp;(YEAR(A618)+1),(YEAR(A618)-1)&amp;"-"&amp;YEAR(A618)))</f>
        <v/>
      </c>
      <c r="S618" s="20">
        <f>IF(OR(A618="",B618=""),0,IF(AND(R618=التقارير!$C$4,OR(التقارير!$C$5="سنوي",AND(التقارير!$C$5="شهري",P618=التقارير!$C$6),AND(التقارير!$C$5="فصلي",Q618=التقارير!$C$7))),1,0))</f>
        <v/>
      </c>
      <c r="T618" s="20">
        <f>IF(S618=1,COUNTIF($S$5:S618,1),"")</f>
        <v/>
      </c>
      <c r="U618">
        <f>IF(AND($A618&lt;&gt;"",$B618&lt;&gt;"",$R618='تقرير الفصل الأول'!$C$4,$Q618='تقرير الفصل الأول'!$C$7),COUNT(U$4:U617)+1,"")</f>
        <v/>
      </c>
      <c r="V618">
        <f>IF(AND($A618&lt;&gt;"",$B618&lt;&gt;"",$R618='تقرير الفصل الثاني'!$C$4,$Q618='تقرير الفصل الثاني'!$C$7),COUNT(V$4:V617)+1,"")</f>
        <v/>
      </c>
      <c r="W618">
        <f>IF(AND($A618&lt;&gt;"",$B618&lt;&gt;"",$R618='تقرير سبتمبر'!$C$4,$P618='تقرير سبتمبر'!$C$6),COUNT(W$4:W617)+1,"")</f>
        <v/>
      </c>
      <c r="X618">
        <f>IF(AND($A618&lt;&gt;"",$B618&lt;&gt;"",$R618='تقرير أكتوبر'!$C$4,$P618='تقرير أكتوبر'!$C$6),COUNT(X$4:X617)+1,"")</f>
        <v/>
      </c>
      <c r="Y618">
        <f>IF(AND($A618&lt;&gt;"",$B618&lt;&gt;"",$R618='تقرير نوفمبر'!$C$4,$P618='تقرير نوفمبر'!$C$6),COUNT(Y$4:Y617)+1,"")</f>
        <v/>
      </c>
      <c r="Z618">
        <f>IF(AND($A618&lt;&gt;"",$B618&lt;&gt;"",$R618='تقرير ديسمبر'!$C$4,$P618='تقرير ديسمبر'!$C$6),COUNT(Z$4:Z617)+1,"")</f>
        <v/>
      </c>
      <c r="AA618">
        <f>IF(AND($A618&lt;&gt;"",$B618&lt;&gt;"",$R618='تقرير يناير'!$C$4,$P618='تقرير يناير'!$C$6),COUNT(AA$4:AA617)+1,"")</f>
        <v/>
      </c>
      <c r="AB618">
        <f>IF(AND($A618&lt;&gt;"",$B618&lt;&gt;"",$R618='تقرير فبراير'!$C$4,$P618='تقرير فبراير'!$C$6),COUNT(AB$4:AB617)+1,"")</f>
        <v/>
      </c>
      <c r="AC618">
        <f>IF(AND($A618&lt;&gt;"",$B618&lt;&gt;"",$R618='تقرير مارس'!$C$4,$P618='تقرير مارس'!$C$6),COUNT(AC$4:AC617)+1,"")</f>
        <v/>
      </c>
      <c r="AD618">
        <f>IF(AND($A618&lt;&gt;"",$B618&lt;&gt;"",$R618='تقرير أبريل'!$C$4,$P618='تقرير أبريل'!$C$6),COUNT(AD$4:AD617)+1,"")</f>
        <v/>
      </c>
      <c r="AE618">
        <f>IF(AND($A618&lt;&gt;"",$B618&lt;&gt;"",$R618='تقرير مايو'!$C$4,$P618='تقرير مايو'!$C$6),COUNT(AE$4:AE617)+1,"")</f>
        <v/>
      </c>
    </row>
    <row r="619">
      <c r="A619" s="16" t="n"/>
      <c r="B619" s="17" t="n"/>
      <c r="C619" s="17" t="n"/>
      <c r="D619" s="18" t="n"/>
      <c r="E619" s="17" t="n"/>
      <c r="F619" s="17" t="n"/>
      <c r="G619" s="19" t="n"/>
      <c r="H619" s="17" t="n"/>
      <c r="I619" s="17" t="n"/>
      <c r="J619" s="17" t="n"/>
      <c r="K619" s="20">
        <f>IF($B619="","",IFERROR(INDEX(الموظفات!$A$5:$A$304,MATCH($B619,الموظفات!$B$5:$B$304,0))&amp;"",""))</f>
        <v/>
      </c>
      <c r="L619" s="21">
        <f>IF($B619="","",IFERROR(INDEX(الموظفات!$C$5:$C$304,MATCH($B619,الموظفات!$B$5:$B$304,0))&amp;"",""))</f>
        <v/>
      </c>
      <c r="M619" s="20">
        <f>IF($B619="","",IFERROR(INDEX(الموظفات!$D$5:$D$304,MATCH($B619,الموظفات!$B$5:$B$304,0))&amp;"",""))</f>
        <v/>
      </c>
      <c r="N619" s="20">
        <f>IF($B619="","",IFERROR(INDEX(الموظفات!$E$5:$E$304,MATCH($B619,الموظفات!$B$5:$B$304,0))&amp;"",""))</f>
        <v/>
      </c>
      <c r="O619" s="21">
        <f>IF(C619="","",IFERROR(INDEX(الإعدادات!$D$7:$D$35,MATCH(C619,الإعدادات!$A$7:$A$35,0))&amp;"",""))</f>
        <v/>
      </c>
      <c r="P619" s="20">
        <f>IF(A619="","",INDEX(الإعدادات!$H$7:$H$18,MONTH(A619)))</f>
        <v/>
      </c>
      <c r="Q619" s="20">
        <f>IF(A619="","",INDEX(الإعدادات!$I$7:$I$18,MONTH(A619)))</f>
        <v/>
      </c>
      <c r="R619" s="20">
        <f>IF(A619="","",IF(MONTH(A619)&gt;=8,YEAR(A619)&amp;"-"&amp;(YEAR(A619)+1),(YEAR(A619)-1)&amp;"-"&amp;YEAR(A619)))</f>
        <v/>
      </c>
      <c r="S619" s="20">
        <f>IF(OR(A619="",B619=""),0,IF(AND(R619=التقارير!$C$4,OR(التقارير!$C$5="سنوي",AND(التقارير!$C$5="شهري",P619=التقارير!$C$6),AND(التقارير!$C$5="فصلي",Q619=التقارير!$C$7))),1,0))</f>
        <v/>
      </c>
      <c r="T619" s="20">
        <f>IF(S619=1,COUNTIF($S$5:S619,1),"")</f>
        <v/>
      </c>
      <c r="U619">
        <f>IF(AND($A619&lt;&gt;"",$B619&lt;&gt;"",$R619='تقرير الفصل الأول'!$C$4,$Q619='تقرير الفصل الأول'!$C$7),COUNT(U$4:U618)+1,"")</f>
        <v/>
      </c>
      <c r="V619">
        <f>IF(AND($A619&lt;&gt;"",$B619&lt;&gt;"",$R619='تقرير الفصل الثاني'!$C$4,$Q619='تقرير الفصل الثاني'!$C$7),COUNT(V$4:V618)+1,"")</f>
        <v/>
      </c>
      <c r="W619">
        <f>IF(AND($A619&lt;&gt;"",$B619&lt;&gt;"",$R619='تقرير سبتمبر'!$C$4,$P619='تقرير سبتمبر'!$C$6),COUNT(W$4:W618)+1,"")</f>
        <v/>
      </c>
      <c r="X619">
        <f>IF(AND($A619&lt;&gt;"",$B619&lt;&gt;"",$R619='تقرير أكتوبر'!$C$4,$P619='تقرير أكتوبر'!$C$6),COUNT(X$4:X618)+1,"")</f>
        <v/>
      </c>
      <c r="Y619">
        <f>IF(AND($A619&lt;&gt;"",$B619&lt;&gt;"",$R619='تقرير نوفمبر'!$C$4,$P619='تقرير نوفمبر'!$C$6),COUNT(Y$4:Y618)+1,"")</f>
        <v/>
      </c>
      <c r="Z619">
        <f>IF(AND($A619&lt;&gt;"",$B619&lt;&gt;"",$R619='تقرير ديسمبر'!$C$4,$P619='تقرير ديسمبر'!$C$6),COUNT(Z$4:Z618)+1,"")</f>
        <v/>
      </c>
      <c r="AA619">
        <f>IF(AND($A619&lt;&gt;"",$B619&lt;&gt;"",$R619='تقرير يناير'!$C$4,$P619='تقرير يناير'!$C$6),COUNT(AA$4:AA618)+1,"")</f>
        <v/>
      </c>
      <c r="AB619">
        <f>IF(AND($A619&lt;&gt;"",$B619&lt;&gt;"",$R619='تقرير فبراير'!$C$4,$P619='تقرير فبراير'!$C$6),COUNT(AB$4:AB618)+1,"")</f>
        <v/>
      </c>
      <c r="AC619">
        <f>IF(AND($A619&lt;&gt;"",$B619&lt;&gt;"",$R619='تقرير مارس'!$C$4,$P619='تقرير مارس'!$C$6),COUNT(AC$4:AC618)+1,"")</f>
        <v/>
      </c>
      <c r="AD619">
        <f>IF(AND($A619&lt;&gt;"",$B619&lt;&gt;"",$R619='تقرير أبريل'!$C$4,$P619='تقرير أبريل'!$C$6),COUNT(AD$4:AD618)+1,"")</f>
        <v/>
      </c>
      <c r="AE619">
        <f>IF(AND($A619&lt;&gt;"",$B619&lt;&gt;"",$R619='تقرير مايو'!$C$4,$P619='تقرير مايو'!$C$6),COUNT(AE$4:AE618)+1,"")</f>
        <v/>
      </c>
    </row>
    <row r="620">
      <c r="A620" s="16" t="n"/>
      <c r="B620" s="17" t="n"/>
      <c r="C620" s="17" t="n"/>
      <c r="D620" s="18" t="n"/>
      <c r="E620" s="17" t="n"/>
      <c r="F620" s="17" t="n"/>
      <c r="G620" s="19" t="n"/>
      <c r="H620" s="17" t="n"/>
      <c r="I620" s="17" t="n"/>
      <c r="J620" s="17" t="n"/>
      <c r="K620" s="20">
        <f>IF($B620="","",IFERROR(INDEX(الموظفات!$A$5:$A$304,MATCH($B620,الموظفات!$B$5:$B$304,0))&amp;"",""))</f>
        <v/>
      </c>
      <c r="L620" s="21">
        <f>IF($B620="","",IFERROR(INDEX(الموظفات!$C$5:$C$304,MATCH($B620,الموظفات!$B$5:$B$304,0))&amp;"",""))</f>
        <v/>
      </c>
      <c r="M620" s="20">
        <f>IF($B620="","",IFERROR(INDEX(الموظفات!$D$5:$D$304,MATCH($B620,الموظفات!$B$5:$B$304,0))&amp;"",""))</f>
        <v/>
      </c>
      <c r="N620" s="20">
        <f>IF($B620="","",IFERROR(INDEX(الموظفات!$E$5:$E$304,MATCH($B620,الموظفات!$B$5:$B$304,0))&amp;"",""))</f>
        <v/>
      </c>
      <c r="O620" s="21">
        <f>IF(C620="","",IFERROR(INDEX(الإعدادات!$D$7:$D$35,MATCH(C620,الإعدادات!$A$7:$A$35,0))&amp;"",""))</f>
        <v/>
      </c>
      <c r="P620" s="20">
        <f>IF(A620="","",INDEX(الإعدادات!$H$7:$H$18,MONTH(A620)))</f>
        <v/>
      </c>
      <c r="Q620" s="20">
        <f>IF(A620="","",INDEX(الإعدادات!$I$7:$I$18,MONTH(A620)))</f>
        <v/>
      </c>
      <c r="R620" s="20">
        <f>IF(A620="","",IF(MONTH(A620)&gt;=8,YEAR(A620)&amp;"-"&amp;(YEAR(A620)+1),(YEAR(A620)-1)&amp;"-"&amp;YEAR(A620)))</f>
        <v/>
      </c>
      <c r="S620" s="20">
        <f>IF(OR(A620="",B620=""),0,IF(AND(R620=التقارير!$C$4,OR(التقارير!$C$5="سنوي",AND(التقارير!$C$5="شهري",P620=التقارير!$C$6),AND(التقارير!$C$5="فصلي",Q620=التقارير!$C$7))),1,0))</f>
        <v/>
      </c>
      <c r="T620" s="20">
        <f>IF(S620=1,COUNTIF($S$5:S620,1),"")</f>
        <v/>
      </c>
      <c r="U620">
        <f>IF(AND($A620&lt;&gt;"",$B620&lt;&gt;"",$R620='تقرير الفصل الأول'!$C$4,$Q620='تقرير الفصل الأول'!$C$7),COUNT(U$4:U619)+1,"")</f>
        <v/>
      </c>
      <c r="V620">
        <f>IF(AND($A620&lt;&gt;"",$B620&lt;&gt;"",$R620='تقرير الفصل الثاني'!$C$4,$Q620='تقرير الفصل الثاني'!$C$7),COUNT(V$4:V619)+1,"")</f>
        <v/>
      </c>
      <c r="W620">
        <f>IF(AND($A620&lt;&gt;"",$B620&lt;&gt;"",$R620='تقرير سبتمبر'!$C$4,$P620='تقرير سبتمبر'!$C$6),COUNT(W$4:W619)+1,"")</f>
        <v/>
      </c>
      <c r="X620">
        <f>IF(AND($A620&lt;&gt;"",$B620&lt;&gt;"",$R620='تقرير أكتوبر'!$C$4,$P620='تقرير أكتوبر'!$C$6),COUNT(X$4:X619)+1,"")</f>
        <v/>
      </c>
      <c r="Y620">
        <f>IF(AND($A620&lt;&gt;"",$B620&lt;&gt;"",$R620='تقرير نوفمبر'!$C$4,$P620='تقرير نوفمبر'!$C$6),COUNT(Y$4:Y619)+1,"")</f>
        <v/>
      </c>
      <c r="Z620">
        <f>IF(AND($A620&lt;&gt;"",$B620&lt;&gt;"",$R620='تقرير ديسمبر'!$C$4,$P620='تقرير ديسمبر'!$C$6),COUNT(Z$4:Z619)+1,"")</f>
        <v/>
      </c>
      <c r="AA620">
        <f>IF(AND($A620&lt;&gt;"",$B620&lt;&gt;"",$R620='تقرير يناير'!$C$4,$P620='تقرير يناير'!$C$6),COUNT(AA$4:AA619)+1,"")</f>
        <v/>
      </c>
      <c r="AB620">
        <f>IF(AND($A620&lt;&gt;"",$B620&lt;&gt;"",$R620='تقرير فبراير'!$C$4,$P620='تقرير فبراير'!$C$6),COUNT(AB$4:AB619)+1,"")</f>
        <v/>
      </c>
      <c r="AC620">
        <f>IF(AND($A620&lt;&gt;"",$B620&lt;&gt;"",$R620='تقرير مارس'!$C$4,$P620='تقرير مارس'!$C$6),COUNT(AC$4:AC619)+1,"")</f>
        <v/>
      </c>
      <c r="AD620">
        <f>IF(AND($A620&lt;&gt;"",$B620&lt;&gt;"",$R620='تقرير أبريل'!$C$4,$P620='تقرير أبريل'!$C$6),COUNT(AD$4:AD619)+1,"")</f>
        <v/>
      </c>
      <c r="AE620">
        <f>IF(AND($A620&lt;&gt;"",$B620&lt;&gt;"",$R620='تقرير مايو'!$C$4,$P620='تقرير مايو'!$C$6),COUNT(AE$4:AE619)+1,"")</f>
        <v/>
      </c>
    </row>
    <row r="621">
      <c r="A621" s="16" t="n"/>
      <c r="B621" s="17" t="n"/>
      <c r="C621" s="17" t="n"/>
      <c r="D621" s="18" t="n"/>
      <c r="E621" s="17" t="n"/>
      <c r="F621" s="17" t="n"/>
      <c r="G621" s="19" t="n"/>
      <c r="H621" s="17" t="n"/>
      <c r="I621" s="17" t="n"/>
      <c r="J621" s="17" t="n"/>
      <c r="K621" s="20">
        <f>IF($B621="","",IFERROR(INDEX(الموظفات!$A$5:$A$304,MATCH($B621,الموظفات!$B$5:$B$304,0))&amp;"",""))</f>
        <v/>
      </c>
      <c r="L621" s="21">
        <f>IF($B621="","",IFERROR(INDEX(الموظفات!$C$5:$C$304,MATCH($B621,الموظفات!$B$5:$B$304,0))&amp;"",""))</f>
        <v/>
      </c>
      <c r="M621" s="20">
        <f>IF($B621="","",IFERROR(INDEX(الموظفات!$D$5:$D$304,MATCH($B621,الموظفات!$B$5:$B$304,0))&amp;"",""))</f>
        <v/>
      </c>
      <c r="N621" s="20">
        <f>IF($B621="","",IFERROR(INDEX(الموظفات!$E$5:$E$304,MATCH($B621,الموظفات!$B$5:$B$304,0))&amp;"",""))</f>
        <v/>
      </c>
      <c r="O621" s="21">
        <f>IF(C621="","",IFERROR(INDEX(الإعدادات!$D$7:$D$35,MATCH(C621,الإعدادات!$A$7:$A$35,0))&amp;"",""))</f>
        <v/>
      </c>
      <c r="P621" s="20">
        <f>IF(A621="","",INDEX(الإعدادات!$H$7:$H$18,MONTH(A621)))</f>
        <v/>
      </c>
      <c r="Q621" s="20">
        <f>IF(A621="","",INDEX(الإعدادات!$I$7:$I$18,MONTH(A621)))</f>
        <v/>
      </c>
      <c r="R621" s="20">
        <f>IF(A621="","",IF(MONTH(A621)&gt;=8,YEAR(A621)&amp;"-"&amp;(YEAR(A621)+1),(YEAR(A621)-1)&amp;"-"&amp;YEAR(A621)))</f>
        <v/>
      </c>
      <c r="S621" s="20">
        <f>IF(OR(A621="",B621=""),0,IF(AND(R621=التقارير!$C$4,OR(التقارير!$C$5="سنوي",AND(التقارير!$C$5="شهري",P621=التقارير!$C$6),AND(التقارير!$C$5="فصلي",Q621=التقارير!$C$7))),1,0))</f>
        <v/>
      </c>
      <c r="T621" s="20">
        <f>IF(S621=1,COUNTIF($S$5:S621,1),"")</f>
        <v/>
      </c>
      <c r="U621">
        <f>IF(AND($A621&lt;&gt;"",$B621&lt;&gt;"",$R621='تقرير الفصل الأول'!$C$4,$Q621='تقرير الفصل الأول'!$C$7),COUNT(U$4:U620)+1,"")</f>
        <v/>
      </c>
      <c r="V621">
        <f>IF(AND($A621&lt;&gt;"",$B621&lt;&gt;"",$R621='تقرير الفصل الثاني'!$C$4,$Q621='تقرير الفصل الثاني'!$C$7),COUNT(V$4:V620)+1,"")</f>
        <v/>
      </c>
      <c r="W621">
        <f>IF(AND($A621&lt;&gt;"",$B621&lt;&gt;"",$R621='تقرير سبتمبر'!$C$4,$P621='تقرير سبتمبر'!$C$6),COUNT(W$4:W620)+1,"")</f>
        <v/>
      </c>
      <c r="X621">
        <f>IF(AND($A621&lt;&gt;"",$B621&lt;&gt;"",$R621='تقرير أكتوبر'!$C$4,$P621='تقرير أكتوبر'!$C$6),COUNT(X$4:X620)+1,"")</f>
        <v/>
      </c>
      <c r="Y621">
        <f>IF(AND($A621&lt;&gt;"",$B621&lt;&gt;"",$R621='تقرير نوفمبر'!$C$4,$P621='تقرير نوفمبر'!$C$6),COUNT(Y$4:Y620)+1,"")</f>
        <v/>
      </c>
      <c r="Z621">
        <f>IF(AND($A621&lt;&gt;"",$B621&lt;&gt;"",$R621='تقرير ديسمبر'!$C$4,$P621='تقرير ديسمبر'!$C$6),COUNT(Z$4:Z620)+1,"")</f>
        <v/>
      </c>
      <c r="AA621">
        <f>IF(AND($A621&lt;&gt;"",$B621&lt;&gt;"",$R621='تقرير يناير'!$C$4,$P621='تقرير يناير'!$C$6),COUNT(AA$4:AA620)+1,"")</f>
        <v/>
      </c>
      <c r="AB621">
        <f>IF(AND($A621&lt;&gt;"",$B621&lt;&gt;"",$R621='تقرير فبراير'!$C$4,$P621='تقرير فبراير'!$C$6),COUNT(AB$4:AB620)+1,"")</f>
        <v/>
      </c>
      <c r="AC621">
        <f>IF(AND($A621&lt;&gt;"",$B621&lt;&gt;"",$R621='تقرير مارس'!$C$4,$P621='تقرير مارس'!$C$6),COUNT(AC$4:AC620)+1,"")</f>
        <v/>
      </c>
      <c r="AD621">
        <f>IF(AND($A621&lt;&gt;"",$B621&lt;&gt;"",$R621='تقرير أبريل'!$C$4,$P621='تقرير أبريل'!$C$6),COUNT(AD$4:AD620)+1,"")</f>
        <v/>
      </c>
      <c r="AE621">
        <f>IF(AND($A621&lt;&gt;"",$B621&lt;&gt;"",$R621='تقرير مايو'!$C$4,$P621='تقرير مايو'!$C$6),COUNT(AE$4:AE620)+1,"")</f>
        <v/>
      </c>
    </row>
    <row r="622">
      <c r="A622" s="16" t="n"/>
      <c r="B622" s="17" t="n"/>
      <c r="C622" s="17" t="n"/>
      <c r="D622" s="18" t="n"/>
      <c r="E622" s="17" t="n"/>
      <c r="F622" s="17" t="n"/>
      <c r="G622" s="19" t="n"/>
      <c r="H622" s="17" t="n"/>
      <c r="I622" s="17" t="n"/>
      <c r="J622" s="17" t="n"/>
      <c r="K622" s="20">
        <f>IF($B622="","",IFERROR(INDEX(الموظفات!$A$5:$A$304,MATCH($B622,الموظفات!$B$5:$B$304,0))&amp;"",""))</f>
        <v/>
      </c>
      <c r="L622" s="21">
        <f>IF($B622="","",IFERROR(INDEX(الموظفات!$C$5:$C$304,MATCH($B622,الموظفات!$B$5:$B$304,0))&amp;"",""))</f>
        <v/>
      </c>
      <c r="M622" s="20">
        <f>IF($B622="","",IFERROR(INDEX(الموظفات!$D$5:$D$304,MATCH($B622,الموظفات!$B$5:$B$304,0))&amp;"",""))</f>
        <v/>
      </c>
      <c r="N622" s="20">
        <f>IF($B622="","",IFERROR(INDEX(الموظفات!$E$5:$E$304,MATCH($B622,الموظفات!$B$5:$B$304,0))&amp;"",""))</f>
        <v/>
      </c>
      <c r="O622" s="21">
        <f>IF(C622="","",IFERROR(INDEX(الإعدادات!$D$7:$D$35,MATCH(C622,الإعدادات!$A$7:$A$35,0))&amp;"",""))</f>
        <v/>
      </c>
      <c r="P622" s="20">
        <f>IF(A622="","",INDEX(الإعدادات!$H$7:$H$18,MONTH(A622)))</f>
        <v/>
      </c>
      <c r="Q622" s="20">
        <f>IF(A622="","",INDEX(الإعدادات!$I$7:$I$18,MONTH(A622)))</f>
        <v/>
      </c>
      <c r="R622" s="20">
        <f>IF(A622="","",IF(MONTH(A622)&gt;=8,YEAR(A622)&amp;"-"&amp;(YEAR(A622)+1),(YEAR(A622)-1)&amp;"-"&amp;YEAR(A622)))</f>
        <v/>
      </c>
      <c r="S622" s="20">
        <f>IF(OR(A622="",B622=""),0,IF(AND(R622=التقارير!$C$4,OR(التقارير!$C$5="سنوي",AND(التقارير!$C$5="شهري",P622=التقارير!$C$6),AND(التقارير!$C$5="فصلي",Q622=التقارير!$C$7))),1,0))</f>
        <v/>
      </c>
      <c r="T622" s="20">
        <f>IF(S622=1,COUNTIF($S$5:S622,1),"")</f>
        <v/>
      </c>
      <c r="U622">
        <f>IF(AND($A622&lt;&gt;"",$B622&lt;&gt;"",$R622='تقرير الفصل الأول'!$C$4,$Q622='تقرير الفصل الأول'!$C$7),COUNT(U$4:U621)+1,"")</f>
        <v/>
      </c>
      <c r="V622">
        <f>IF(AND($A622&lt;&gt;"",$B622&lt;&gt;"",$R622='تقرير الفصل الثاني'!$C$4,$Q622='تقرير الفصل الثاني'!$C$7),COUNT(V$4:V621)+1,"")</f>
        <v/>
      </c>
      <c r="W622">
        <f>IF(AND($A622&lt;&gt;"",$B622&lt;&gt;"",$R622='تقرير سبتمبر'!$C$4,$P622='تقرير سبتمبر'!$C$6),COUNT(W$4:W621)+1,"")</f>
        <v/>
      </c>
      <c r="X622">
        <f>IF(AND($A622&lt;&gt;"",$B622&lt;&gt;"",$R622='تقرير أكتوبر'!$C$4,$P622='تقرير أكتوبر'!$C$6),COUNT(X$4:X621)+1,"")</f>
        <v/>
      </c>
      <c r="Y622">
        <f>IF(AND($A622&lt;&gt;"",$B622&lt;&gt;"",$R622='تقرير نوفمبر'!$C$4,$P622='تقرير نوفمبر'!$C$6),COUNT(Y$4:Y621)+1,"")</f>
        <v/>
      </c>
      <c r="Z622">
        <f>IF(AND($A622&lt;&gt;"",$B622&lt;&gt;"",$R622='تقرير ديسمبر'!$C$4,$P622='تقرير ديسمبر'!$C$6),COUNT(Z$4:Z621)+1,"")</f>
        <v/>
      </c>
      <c r="AA622">
        <f>IF(AND($A622&lt;&gt;"",$B622&lt;&gt;"",$R622='تقرير يناير'!$C$4,$P622='تقرير يناير'!$C$6),COUNT(AA$4:AA621)+1,"")</f>
        <v/>
      </c>
      <c r="AB622">
        <f>IF(AND($A622&lt;&gt;"",$B622&lt;&gt;"",$R622='تقرير فبراير'!$C$4,$P622='تقرير فبراير'!$C$6),COUNT(AB$4:AB621)+1,"")</f>
        <v/>
      </c>
      <c r="AC622">
        <f>IF(AND($A622&lt;&gt;"",$B622&lt;&gt;"",$R622='تقرير مارس'!$C$4,$P622='تقرير مارس'!$C$6),COUNT(AC$4:AC621)+1,"")</f>
        <v/>
      </c>
      <c r="AD622">
        <f>IF(AND($A622&lt;&gt;"",$B622&lt;&gt;"",$R622='تقرير أبريل'!$C$4,$P622='تقرير أبريل'!$C$6),COUNT(AD$4:AD621)+1,"")</f>
        <v/>
      </c>
      <c r="AE622">
        <f>IF(AND($A622&lt;&gt;"",$B622&lt;&gt;"",$R622='تقرير مايو'!$C$4,$P622='تقرير مايو'!$C$6),COUNT(AE$4:AE621)+1,"")</f>
        <v/>
      </c>
    </row>
    <row r="623">
      <c r="A623" s="16" t="n"/>
      <c r="B623" s="17" t="n"/>
      <c r="C623" s="17" t="n"/>
      <c r="D623" s="18" t="n"/>
      <c r="E623" s="17" t="n"/>
      <c r="F623" s="17" t="n"/>
      <c r="G623" s="19" t="n"/>
      <c r="H623" s="17" t="n"/>
      <c r="I623" s="17" t="n"/>
      <c r="J623" s="17" t="n"/>
      <c r="K623" s="20">
        <f>IF($B623="","",IFERROR(INDEX(الموظفات!$A$5:$A$304,MATCH($B623,الموظفات!$B$5:$B$304,0))&amp;"",""))</f>
        <v/>
      </c>
      <c r="L623" s="21">
        <f>IF($B623="","",IFERROR(INDEX(الموظفات!$C$5:$C$304,MATCH($B623,الموظفات!$B$5:$B$304,0))&amp;"",""))</f>
        <v/>
      </c>
      <c r="M623" s="20">
        <f>IF($B623="","",IFERROR(INDEX(الموظفات!$D$5:$D$304,MATCH($B623,الموظفات!$B$5:$B$304,0))&amp;"",""))</f>
        <v/>
      </c>
      <c r="N623" s="20">
        <f>IF($B623="","",IFERROR(INDEX(الموظفات!$E$5:$E$304,MATCH($B623,الموظفات!$B$5:$B$304,0))&amp;"",""))</f>
        <v/>
      </c>
      <c r="O623" s="21">
        <f>IF(C623="","",IFERROR(INDEX(الإعدادات!$D$7:$D$35,MATCH(C623,الإعدادات!$A$7:$A$35,0))&amp;"",""))</f>
        <v/>
      </c>
      <c r="P623" s="20">
        <f>IF(A623="","",INDEX(الإعدادات!$H$7:$H$18,MONTH(A623)))</f>
        <v/>
      </c>
      <c r="Q623" s="20">
        <f>IF(A623="","",INDEX(الإعدادات!$I$7:$I$18,MONTH(A623)))</f>
        <v/>
      </c>
      <c r="R623" s="20">
        <f>IF(A623="","",IF(MONTH(A623)&gt;=8,YEAR(A623)&amp;"-"&amp;(YEAR(A623)+1),(YEAR(A623)-1)&amp;"-"&amp;YEAR(A623)))</f>
        <v/>
      </c>
      <c r="S623" s="20">
        <f>IF(OR(A623="",B623=""),0,IF(AND(R623=التقارير!$C$4,OR(التقارير!$C$5="سنوي",AND(التقارير!$C$5="شهري",P623=التقارير!$C$6),AND(التقارير!$C$5="فصلي",Q623=التقارير!$C$7))),1,0))</f>
        <v/>
      </c>
      <c r="T623" s="20">
        <f>IF(S623=1,COUNTIF($S$5:S623,1),"")</f>
        <v/>
      </c>
      <c r="U623">
        <f>IF(AND($A623&lt;&gt;"",$B623&lt;&gt;"",$R623='تقرير الفصل الأول'!$C$4,$Q623='تقرير الفصل الأول'!$C$7),COUNT(U$4:U622)+1,"")</f>
        <v/>
      </c>
      <c r="V623">
        <f>IF(AND($A623&lt;&gt;"",$B623&lt;&gt;"",$R623='تقرير الفصل الثاني'!$C$4,$Q623='تقرير الفصل الثاني'!$C$7),COUNT(V$4:V622)+1,"")</f>
        <v/>
      </c>
      <c r="W623">
        <f>IF(AND($A623&lt;&gt;"",$B623&lt;&gt;"",$R623='تقرير سبتمبر'!$C$4,$P623='تقرير سبتمبر'!$C$6),COUNT(W$4:W622)+1,"")</f>
        <v/>
      </c>
      <c r="X623">
        <f>IF(AND($A623&lt;&gt;"",$B623&lt;&gt;"",$R623='تقرير أكتوبر'!$C$4,$P623='تقرير أكتوبر'!$C$6),COUNT(X$4:X622)+1,"")</f>
        <v/>
      </c>
      <c r="Y623">
        <f>IF(AND($A623&lt;&gt;"",$B623&lt;&gt;"",$R623='تقرير نوفمبر'!$C$4,$P623='تقرير نوفمبر'!$C$6),COUNT(Y$4:Y622)+1,"")</f>
        <v/>
      </c>
      <c r="Z623">
        <f>IF(AND($A623&lt;&gt;"",$B623&lt;&gt;"",$R623='تقرير ديسمبر'!$C$4,$P623='تقرير ديسمبر'!$C$6),COUNT(Z$4:Z622)+1,"")</f>
        <v/>
      </c>
      <c r="AA623">
        <f>IF(AND($A623&lt;&gt;"",$B623&lt;&gt;"",$R623='تقرير يناير'!$C$4,$P623='تقرير يناير'!$C$6),COUNT(AA$4:AA622)+1,"")</f>
        <v/>
      </c>
      <c r="AB623">
        <f>IF(AND($A623&lt;&gt;"",$B623&lt;&gt;"",$R623='تقرير فبراير'!$C$4,$P623='تقرير فبراير'!$C$6),COUNT(AB$4:AB622)+1,"")</f>
        <v/>
      </c>
      <c r="AC623">
        <f>IF(AND($A623&lt;&gt;"",$B623&lt;&gt;"",$R623='تقرير مارس'!$C$4,$P623='تقرير مارس'!$C$6),COUNT(AC$4:AC622)+1,"")</f>
        <v/>
      </c>
      <c r="AD623">
        <f>IF(AND($A623&lt;&gt;"",$B623&lt;&gt;"",$R623='تقرير أبريل'!$C$4,$P623='تقرير أبريل'!$C$6),COUNT(AD$4:AD622)+1,"")</f>
        <v/>
      </c>
      <c r="AE623">
        <f>IF(AND($A623&lt;&gt;"",$B623&lt;&gt;"",$R623='تقرير مايو'!$C$4,$P623='تقرير مايو'!$C$6),COUNT(AE$4:AE622)+1,"")</f>
        <v/>
      </c>
    </row>
    <row r="624">
      <c r="A624" s="16" t="n"/>
      <c r="B624" s="17" t="n"/>
      <c r="C624" s="17" t="n"/>
      <c r="D624" s="18" t="n"/>
      <c r="E624" s="17" t="n"/>
      <c r="F624" s="17" t="n"/>
      <c r="G624" s="19" t="n"/>
      <c r="H624" s="17" t="n"/>
      <c r="I624" s="17" t="n"/>
      <c r="J624" s="17" t="n"/>
      <c r="K624" s="20">
        <f>IF($B624="","",IFERROR(INDEX(الموظفات!$A$5:$A$304,MATCH($B624,الموظفات!$B$5:$B$304,0))&amp;"",""))</f>
        <v/>
      </c>
      <c r="L624" s="21">
        <f>IF($B624="","",IFERROR(INDEX(الموظفات!$C$5:$C$304,MATCH($B624,الموظفات!$B$5:$B$304,0))&amp;"",""))</f>
        <v/>
      </c>
      <c r="M624" s="20">
        <f>IF($B624="","",IFERROR(INDEX(الموظفات!$D$5:$D$304,MATCH($B624,الموظفات!$B$5:$B$304,0))&amp;"",""))</f>
        <v/>
      </c>
      <c r="N624" s="20">
        <f>IF($B624="","",IFERROR(INDEX(الموظفات!$E$5:$E$304,MATCH($B624,الموظفات!$B$5:$B$304,0))&amp;"",""))</f>
        <v/>
      </c>
      <c r="O624" s="21">
        <f>IF(C624="","",IFERROR(INDEX(الإعدادات!$D$7:$D$35,MATCH(C624,الإعدادات!$A$7:$A$35,0))&amp;"",""))</f>
        <v/>
      </c>
      <c r="P624" s="20">
        <f>IF(A624="","",INDEX(الإعدادات!$H$7:$H$18,MONTH(A624)))</f>
        <v/>
      </c>
      <c r="Q624" s="20">
        <f>IF(A624="","",INDEX(الإعدادات!$I$7:$I$18,MONTH(A624)))</f>
        <v/>
      </c>
      <c r="R624" s="20">
        <f>IF(A624="","",IF(MONTH(A624)&gt;=8,YEAR(A624)&amp;"-"&amp;(YEAR(A624)+1),(YEAR(A624)-1)&amp;"-"&amp;YEAR(A624)))</f>
        <v/>
      </c>
      <c r="S624" s="20">
        <f>IF(OR(A624="",B624=""),0,IF(AND(R624=التقارير!$C$4,OR(التقارير!$C$5="سنوي",AND(التقارير!$C$5="شهري",P624=التقارير!$C$6),AND(التقارير!$C$5="فصلي",Q624=التقارير!$C$7))),1,0))</f>
        <v/>
      </c>
      <c r="T624" s="20">
        <f>IF(S624=1,COUNTIF($S$5:S624,1),"")</f>
        <v/>
      </c>
      <c r="U624">
        <f>IF(AND($A624&lt;&gt;"",$B624&lt;&gt;"",$R624='تقرير الفصل الأول'!$C$4,$Q624='تقرير الفصل الأول'!$C$7),COUNT(U$4:U623)+1,"")</f>
        <v/>
      </c>
      <c r="V624">
        <f>IF(AND($A624&lt;&gt;"",$B624&lt;&gt;"",$R624='تقرير الفصل الثاني'!$C$4,$Q624='تقرير الفصل الثاني'!$C$7),COUNT(V$4:V623)+1,"")</f>
        <v/>
      </c>
      <c r="W624">
        <f>IF(AND($A624&lt;&gt;"",$B624&lt;&gt;"",$R624='تقرير سبتمبر'!$C$4,$P624='تقرير سبتمبر'!$C$6),COUNT(W$4:W623)+1,"")</f>
        <v/>
      </c>
      <c r="X624">
        <f>IF(AND($A624&lt;&gt;"",$B624&lt;&gt;"",$R624='تقرير أكتوبر'!$C$4,$P624='تقرير أكتوبر'!$C$6),COUNT(X$4:X623)+1,"")</f>
        <v/>
      </c>
      <c r="Y624">
        <f>IF(AND($A624&lt;&gt;"",$B624&lt;&gt;"",$R624='تقرير نوفمبر'!$C$4,$P624='تقرير نوفمبر'!$C$6),COUNT(Y$4:Y623)+1,"")</f>
        <v/>
      </c>
      <c r="Z624">
        <f>IF(AND($A624&lt;&gt;"",$B624&lt;&gt;"",$R624='تقرير ديسمبر'!$C$4,$P624='تقرير ديسمبر'!$C$6),COUNT(Z$4:Z623)+1,"")</f>
        <v/>
      </c>
      <c r="AA624">
        <f>IF(AND($A624&lt;&gt;"",$B624&lt;&gt;"",$R624='تقرير يناير'!$C$4,$P624='تقرير يناير'!$C$6),COUNT(AA$4:AA623)+1,"")</f>
        <v/>
      </c>
      <c r="AB624">
        <f>IF(AND($A624&lt;&gt;"",$B624&lt;&gt;"",$R624='تقرير فبراير'!$C$4,$P624='تقرير فبراير'!$C$6),COUNT(AB$4:AB623)+1,"")</f>
        <v/>
      </c>
      <c r="AC624">
        <f>IF(AND($A624&lt;&gt;"",$B624&lt;&gt;"",$R624='تقرير مارس'!$C$4,$P624='تقرير مارس'!$C$6),COUNT(AC$4:AC623)+1,"")</f>
        <v/>
      </c>
      <c r="AD624">
        <f>IF(AND($A624&lt;&gt;"",$B624&lt;&gt;"",$R624='تقرير أبريل'!$C$4,$P624='تقرير أبريل'!$C$6),COUNT(AD$4:AD623)+1,"")</f>
        <v/>
      </c>
      <c r="AE624">
        <f>IF(AND($A624&lt;&gt;"",$B624&lt;&gt;"",$R624='تقرير مايو'!$C$4,$P624='تقرير مايو'!$C$6),COUNT(AE$4:AE623)+1,"")</f>
        <v/>
      </c>
    </row>
    <row r="625">
      <c r="A625" s="16" t="n"/>
      <c r="B625" s="17" t="n"/>
      <c r="C625" s="17" t="n"/>
      <c r="D625" s="18" t="n"/>
      <c r="E625" s="17" t="n"/>
      <c r="F625" s="17" t="n"/>
      <c r="G625" s="19" t="n"/>
      <c r="H625" s="17" t="n"/>
      <c r="I625" s="17" t="n"/>
      <c r="J625" s="17" t="n"/>
      <c r="K625" s="20">
        <f>IF($B625="","",IFERROR(INDEX(الموظفات!$A$5:$A$304,MATCH($B625,الموظفات!$B$5:$B$304,0))&amp;"",""))</f>
        <v/>
      </c>
      <c r="L625" s="21">
        <f>IF($B625="","",IFERROR(INDEX(الموظفات!$C$5:$C$304,MATCH($B625,الموظفات!$B$5:$B$304,0))&amp;"",""))</f>
        <v/>
      </c>
      <c r="M625" s="20">
        <f>IF($B625="","",IFERROR(INDEX(الموظفات!$D$5:$D$304,MATCH($B625,الموظفات!$B$5:$B$304,0))&amp;"",""))</f>
        <v/>
      </c>
      <c r="N625" s="20">
        <f>IF($B625="","",IFERROR(INDEX(الموظفات!$E$5:$E$304,MATCH($B625,الموظفات!$B$5:$B$304,0))&amp;"",""))</f>
        <v/>
      </c>
      <c r="O625" s="21">
        <f>IF(C625="","",IFERROR(INDEX(الإعدادات!$D$7:$D$35,MATCH(C625,الإعدادات!$A$7:$A$35,0))&amp;"",""))</f>
        <v/>
      </c>
      <c r="P625" s="20">
        <f>IF(A625="","",INDEX(الإعدادات!$H$7:$H$18,MONTH(A625)))</f>
        <v/>
      </c>
      <c r="Q625" s="20">
        <f>IF(A625="","",INDEX(الإعدادات!$I$7:$I$18,MONTH(A625)))</f>
        <v/>
      </c>
      <c r="R625" s="20">
        <f>IF(A625="","",IF(MONTH(A625)&gt;=8,YEAR(A625)&amp;"-"&amp;(YEAR(A625)+1),(YEAR(A625)-1)&amp;"-"&amp;YEAR(A625)))</f>
        <v/>
      </c>
      <c r="S625" s="20">
        <f>IF(OR(A625="",B625=""),0,IF(AND(R625=التقارير!$C$4,OR(التقارير!$C$5="سنوي",AND(التقارير!$C$5="شهري",P625=التقارير!$C$6),AND(التقارير!$C$5="فصلي",Q625=التقارير!$C$7))),1,0))</f>
        <v/>
      </c>
      <c r="T625" s="20">
        <f>IF(S625=1,COUNTIF($S$5:S625,1),"")</f>
        <v/>
      </c>
      <c r="U625">
        <f>IF(AND($A625&lt;&gt;"",$B625&lt;&gt;"",$R625='تقرير الفصل الأول'!$C$4,$Q625='تقرير الفصل الأول'!$C$7),COUNT(U$4:U624)+1,"")</f>
        <v/>
      </c>
      <c r="V625">
        <f>IF(AND($A625&lt;&gt;"",$B625&lt;&gt;"",$R625='تقرير الفصل الثاني'!$C$4,$Q625='تقرير الفصل الثاني'!$C$7),COUNT(V$4:V624)+1,"")</f>
        <v/>
      </c>
      <c r="W625">
        <f>IF(AND($A625&lt;&gt;"",$B625&lt;&gt;"",$R625='تقرير سبتمبر'!$C$4,$P625='تقرير سبتمبر'!$C$6),COUNT(W$4:W624)+1,"")</f>
        <v/>
      </c>
      <c r="X625">
        <f>IF(AND($A625&lt;&gt;"",$B625&lt;&gt;"",$R625='تقرير أكتوبر'!$C$4,$P625='تقرير أكتوبر'!$C$6),COUNT(X$4:X624)+1,"")</f>
        <v/>
      </c>
      <c r="Y625">
        <f>IF(AND($A625&lt;&gt;"",$B625&lt;&gt;"",$R625='تقرير نوفمبر'!$C$4,$P625='تقرير نوفمبر'!$C$6),COUNT(Y$4:Y624)+1,"")</f>
        <v/>
      </c>
      <c r="Z625">
        <f>IF(AND($A625&lt;&gt;"",$B625&lt;&gt;"",$R625='تقرير ديسمبر'!$C$4,$P625='تقرير ديسمبر'!$C$6),COUNT(Z$4:Z624)+1,"")</f>
        <v/>
      </c>
      <c r="AA625">
        <f>IF(AND($A625&lt;&gt;"",$B625&lt;&gt;"",$R625='تقرير يناير'!$C$4,$P625='تقرير يناير'!$C$6),COUNT(AA$4:AA624)+1,"")</f>
        <v/>
      </c>
      <c r="AB625">
        <f>IF(AND($A625&lt;&gt;"",$B625&lt;&gt;"",$R625='تقرير فبراير'!$C$4,$P625='تقرير فبراير'!$C$6),COUNT(AB$4:AB624)+1,"")</f>
        <v/>
      </c>
      <c r="AC625">
        <f>IF(AND($A625&lt;&gt;"",$B625&lt;&gt;"",$R625='تقرير مارس'!$C$4,$P625='تقرير مارس'!$C$6),COUNT(AC$4:AC624)+1,"")</f>
        <v/>
      </c>
      <c r="AD625">
        <f>IF(AND($A625&lt;&gt;"",$B625&lt;&gt;"",$R625='تقرير أبريل'!$C$4,$P625='تقرير أبريل'!$C$6),COUNT(AD$4:AD624)+1,"")</f>
        <v/>
      </c>
      <c r="AE625">
        <f>IF(AND($A625&lt;&gt;"",$B625&lt;&gt;"",$R625='تقرير مايو'!$C$4,$P625='تقرير مايو'!$C$6),COUNT(AE$4:AE624)+1,"")</f>
        <v/>
      </c>
    </row>
    <row r="626">
      <c r="A626" s="16" t="n"/>
      <c r="B626" s="17" t="n"/>
      <c r="C626" s="17" t="n"/>
      <c r="D626" s="18" t="n"/>
      <c r="E626" s="17" t="n"/>
      <c r="F626" s="17" t="n"/>
      <c r="G626" s="19" t="n"/>
      <c r="H626" s="17" t="n"/>
      <c r="I626" s="17" t="n"/>
      <c r="J626" s="17" t="n"/>
      <c r="K626" s="20">
        <f>IF($B626="","",IFERROR(INDEX(الموظفات!$A$5:$A$304,MATCH($B626,الموظفات!$B$5:$B$304,0))&amp;"",""))</f>
        <v/>
      </c>
      <c r="L626" s="21">
        <f>IF($B626="","",IFERROR(INDEX(الموظفات!$C$5:$C$304,MATCH($B626,الموظفات!$B$5:$B$304,0))&amp;"",""))</f>
        <v/>
      </c>
      <c r="M626" s="20">
        <f>IF($B626="","",IFERROR(INDEX(الموظفات!$D$5:$D$304,MATCH($B626,الموظفات!$B$5:$B$304,0))&amp;"",""))</f>
        <v/>
      </c>
      <c r="N626" s="20">
        <f>IF($B626="","",IFERROR(INDEX(الموظفات!$E$5:$E$304,MATCH($B626,الموظفات!$B$5:$B$304,0))&amp;"",""))</f>
        <v/>
      </c>
      <c r="O626" s="21">
        <f>IF(C626="","",IFERROR(INDEX(الإعدادات!$D$7:$D$35,MATCH(C626,الإعدادات!$A$7:$A$35,0))&amp;"",""))</f>
        <v/>
      </c>
      <c r="P626" s="20">
        <f>IF(A626="","",INDEX(الإعدادات!$H$7:$H$18,MONTH(A626)))</f>
        <v/>
      </c>
      <c r="Q626" s="20">
        <f>IF(A626="","",INDEX(الإعدادات!$I$7:$I$18,MONTH(A626)))</f>
        <v/>
      </c>
      <c r="R626" s="20">
        <f>IF(A626="","",IF(MONTH(A626)&gt;=8,YEAR(A626)&amp;"-"&amp;(YEAR(A626)+1),(YEAR(A626)-1)&amp;"-"&amp;YEAR(A626)))</f>
        <v/>
      </c>
      <c r="S626" s="20">
        <f>IF(OR(A626="",B626=""),0,IF(AND(R626=التقارير!$C$4,OR(التقارير!$C$5="سنوي",AND(التقارير!$C$5="شهري",P626=التقارير!$C$6),AND(التقارير!$C$5="فصلي",Q626=التقارير!$C$7))),1,0))</f>
        <v/>
      </c>
      <c r="T626" s="20">
        <f>IF(S626=1,COUNTIF($S$5:S626,1),"")</f>
        <v/>
      </c>
      <c r="U626">
        <f>IF(AND($A626&lt;&gt;"",$B626&lt;&gt;"",$R626='تقرير الفصل الأول'!$C$4,$Q626='تقرير الفصل الأول'!$C$7),COUNT(U$4:U625)+1,"")</f>
        <v/>
      </c>
      <c r="V626">
        <f>IF(AND($A626&lt;&gt;"",$B626&lt;&gt;"",$R626='تقرير الفصل الثاني'!$C$4,$Q626='تقرير الفصل الثاني'!$C$7),COUNT(V$4:V625)+1,"")</f>
        <v/>
      </c>
      <c r="W626">
        <f>IF(AND($A626&lt;&gt;"",$B626&lt;&gt;"",$R626='تقرير سبتمبر'!$C$4,$P626='تقرير سبتمبر'!$C$6),COUNT(W$4:W625)+1,"")</f>
        <v/>
      </c>
      <c r="X626">
        <f>IF(AND($A626&lt;&gt;"",$B626&lt;&gt;"",$R626='تقرير أكتوبر'!$C$4,$P626='تقرير أكتوبر'!$C$6),COUNT(X$4:X625)+1,"")</f>
        <v/>
      </c>
      <c r="Y626">
        <f>IF(AND($A626&lt;&gt;"",$B626&lt;&gt;"",$R626='تقرير نوفمبر'!$C$4,$P626='تقرير نوفمبر'!$C$6),COUNT(Y$4:Y625)+1,"")</f>
        <v/>
      </c>
      <c r="Z626">
        <f>IF(AND($A626&lt;&gt;"",$B626&lt;&gt;"",$R626='تقرير ديسمبر'!$C$4,$P626='تقرير ديسمبر'!$C$6),COUNT(Z$4:Z625)+1,"")</f>
        <v/>
      </c>
      <c r="AA626">
        <f>IF(AND($A626&lt;&gt;"",$B626&lt;&gt;"",$R626='تقرير يناير'!$C$4,$P626='تقرير يناير'!$C$6),COUNT(AA$4:AA625)+1,"")</f>
        <v/>
      </c>
      <c r="AB626">
        <f>IF(AND($A626&lt;&gt;"",$B626&lt;&gt;"",$R626='تقرير فبراير'!$C$4,$P626='تقرير فبراير'!$C$6),COUNT(AB$4:AB625)+1,"")</f>
        <v/>
      </c>
      <c r="AC626">
        <f>IF(AND($A626&lt;&gt;"",$B626&lt;&gt;"",$R626='تقرير مارس'!$C$4,$P626='تقرير مارس'!$C$6),COUNT(AC$4:AC625)+1,"")</f>
        <v/>
      </c>
      <c r="AD626">
        <f>IF(AND($A626&lt;&gt;"",$B626&lt;&gt;"",$R626='تقرير أبريل'!$C$4,$P626='تقرير أبريل'!$C$6),COUNT(AD$4:AD625)+1,"")</f>
        <v/>
      </c>
      <c r="AE626">
        <f>IF(AND($A626&lt;&gt;"",$B626&lt;&gt;"",$R626='تقرير مايو'!$C$4,$P626='تقرير مايو'!$C$6),COUNT(AE$4:AE625)+1,"")</f>
        <v/>
      </c>
    </row>
    <row r="627">
      <c r="A627" s="16" t="n"/>
      <c r="B627" s="17" t="n"/>
      <c r="C627" s="17" t="n"/>
      <c r="D627" s="18" t="n"/>
      <c r="E627" s="17" t="n"/>
      <c r="F627" s="17" t="n"/>
      <c r="G627" s="19" t="n"/>
      <c r="H627" s="17" t="n"/>
      <c r="I627" s="17" t="n"/>
      <c r="J627" s="17" t="n"/>
      <c r="K627" s="20">
        <f>IF($B627="","",IFERROR(INDEX(الموظفات!$A$5:$A$304,MATCH($B627,الموظفات!$B$5:$B$304,0))&amp;"",""))</f>
        <v/>
      </c>
      <c r="L627" s="21">
        <f>IF($B627="","",IFERROR(INDEX(الموظفات!$C$5:$C$304,MATCH($B627,الموظفات!$B$5:$B$304,0))&amp;"",""))</f>
        <v/>
      </c>
      <c r="M627" s="20">
        <f>IF($B627="","",IFERROR(INDEX(الموظفات!$D$5:$D$304,MATCH($B627,الموظفات!$B$5:$B$304,0))&amp;"",""))</f>
        <v/>
      </c>
      <c r="N627" s="20">
        <f>IF($B627="","",IFERROR(INDEX(الموظفات!$E$5:$E$304,MATCH($B627,الموظفات!$B$5:$B$304,0))&amp;"",""))</f>
        <v/>
      </c>
      <c r="O627" s="21">
        <f>IF(C627="","",IFERROR(INDEX(الإعدادات!$D$7:$D$35,MATCH(C627,الإعدادات!$A$7:$A$35,0))&amp;"",""))</f>
        <v/>
      </c>
      <c r="P627" s="20">
        <f>IF(A627="","",INDEX(الإعدادات!$H$7:$H$18,MONTH(A627)))</f>
        <v/>
      </c>
      <c r="Q627" s="20">
        <f>IF(A627="","",INDEX(الإعدادات!$I$7:$I$18,MONTH(A627)))</f>
        <v/>
      </c>
      <c r="R627" s="20">
        <f>IF(A627="","",IF(MONTH(A627)&gt;=8,YEAR(A627)&amp;"-"&amp;(YEAR(A627)+1),(YEAR(A627)-1)&amp;"-"&amp;YEAR(A627)))</f>
        <v/>
      </c>
      <c r="S627" s="20">
        <f>IF(OR(A627="",B627=""),0,IF(AND(R627=التقارير!$C$4,OR(التقارير!$C$5="سنوي",AND(التقارير!$C$5="شهري",P627=التقارير!$C$6),AND(التقارير!$C$5="فصلي",Q627=التقارير!$C$7))),1,0))</f>
        <v/>
      </c>
      <c r="T627" s="20">
        <f>IF(S627=1,COUNTIF($S$5:S627,1),"")</f>
        <v/>
      </c>
      <c r="U627">
        <f>IF(AND($A627&lt;&gt;"",$B627&lt;&gt;"",$R627='تقرير الفصل الأول'!$C$4,$Q627='تقرير الفصل الأول'!$C$7),COUNT(U$4:U626)+1,"")</f>
        <v/>
      </c>
      <c r="V627">
        <f>IF(AND($A627&lt;&gt;"",$B627&lt;&gt;"",$R627='تقرير الفصل الثاني'!$C$4,$Q627='تقرير الفصل الثاني'!$C$7),COUNT(V$4:V626)+1,"")</f>
        <v/>
      </c>
      <c r="W627">
        <f>IF(AND($A627&lt;&gt;"",$B627&lt;&gt;"",$R627='تقرير سبتمبر'!$C$4,$P627='تقرير سبتمبر'!$C$6),COUNT(W$4:W626)+1,"")</f>
        <v/>
      </c>
      <c r="X627">
        <f>IF(AND($A627&lt;&gt;"",$B627&lt;&gt;"",$R627='تقرير أكتوبر'!$C$4,$P627='تقرير أكتوبر'!$C$6),COUNT(X$4:X626)+1,"")</f>
        <v/>
      </c>
      <c r="Y627">
        <f>IF(AND($A627&lt;&gt;"",$B627&lt;&gt;"",$R627='تقرير نوفمبر'!$C$4,$P627='تقرير نوفمبر'!$C$6),COUNT(Y$4:Y626)+1,"")</f>
        <v/>
      </c>
      <c r="Z627">
        <f>IF(AND($A627&lt;&gt;"",$B627&lt;&gt;"",$R627='تقرير ديسمبر'!$C$4,$P627='تقرير ديسمبر'!$C$6),COUNT(Z$4:Z626)+1,"")</f>
        <v/>
      </c>
      <c r="AA627">
        <f>IF(AND($A627&lt;&gt;"",$B627&lt;&gt;"",$R627='تقرير يناير'!$C$4,$P627='تقرير يناير'!$C$6),COUNT(AA$4:AA626)+1,"")</f>
        <v/>
      </c>
      <c r="AB627">
        <f>IF(AND($A627&lt;&gt;"",$B627&lt;&gt;"",$R627='تقرير فبراير'!$C$4,$P627='تقرير فبراير'!$C$6),COUNT(AB$4:AB626)+1,"")</f>
        <v/>
      </c>
      <c r="AC627">
        <f>IF(AND($A627&lt;&gt;"",$B627&lt;&gt;"",$R627='تقرير مارس'!$C$4,$P627='تقرير مارس'!$C$6),COUNT(AC$4:AC626)+1,"")</f>
        <v/>
      </c>
      <c r="AD627">
        <f>IF(AND($A627&lt;&gt;"",$B627&lt;&gt;"",$R627='تقرير أبريل'!$C$4,$P627='تقرير أبريل'!$C$6),COUNT(AD$4:AD626)+1,"")</f>
        <v/>
      </c>
      <c r="AE627">
        <f>IF(AND($A627&lt;&gt;"",$B627&lt;&gt;"",$R627='تقرير مايو'!$C$4,$P627='تقرير مايو'!$C$6),COUNT(AE$4:AE626)+1,"")</f>
        <v/>
      </c>
    </row>
    <row r="628">
      <c r="A628" s="16" t="n"/>
      <c r="B628" s="17" t="n"/>
      <c r="C628" s="17" t="n"/>
      <c r="D628" s="18" t="n"/>
      <c r="E628" s="17" t="n"/>
      <c r="F628" s="17" t="n"/>
      <c r="G628" s="19" t="n"/>
      <c r="H628" s="17" t="n"/>
      <c r="I628" s="17" t="n"/>
      <c r="J628" s="17" t="n"/>
      <c r="K628" s="20">
        <f>IF($B628="","",IFERROR(INDEX(الموظفات!$A$5:$A$304,MATCH($B628,الموظفات!$B$5:$B$304,0))&amp;"",""))</f>
        <v/>
      </c>
      <c r="L628" s="21">
        <f>IF($B628="","",IFERROR(INDEX(الموظفات!$C$5:$C$304,MATCH($B628,الموظفات!$B$5:$B$304,0))&amp;"",""))</f>
        <v/>
      </c>
      <c r="M628" s="20">
        <f>IF($B628="","",IFERROR(INDEX(الموظفات!$D$5:$D$304,MATCH($B628,الموظفات!$B$5:$B$304,0))&amp;"",""))</f>
        <v/>
      </c>
      <c r="N628" s="20">
        <f>IF($B628="","",IFERROR(INDEX(الموظفات!$E$5:$E$304,MATCH($B628,الموظفات!$B$5:$B$304,0))&amp;"",""))</f>
        <v/>
      </c>
      <c r="O628" s="21">
        <f>IF(C628="","",IFERROR(INDEX(الإعدادات!$D$7:$D$35,MATCH(C628,الإعدادات!$A$7:$A$35,0))&amp;"",""))</f>
        <v/>
      </c>
      <c r="P628" s="20">
        <f>IF(A628="","",INDEX(الإعدادات!$H$7:$H$18,MONTH(A628)))</f>
        <v/>
      </c>
      <c r="Q628" s="20">
        <f>IF(A628="","",INDEX(الإعدادات!$I$7:$I$18,MONTH(A628)))</f>
        <v/>
      </c>
      <c r="R628" s="20">
        <f>IF(A628="","",IF(MONTH(A628)&gt;=8,YEAR(A628)&amp;"-"&amp;(YEAR(A628)+1),(YEAR(A628)-1)&amp;"-"&amp;YEAR(A628)))</f>
        <v/>
      </c>
      <c r="S628" s="20">
        <f>IF(OR(A628="",B628=""),0,IF(AND(R628=التقارير!$C$4,OR(التقارير!$C$5="سنوي",AND(التقارير!$C$5="شهري",P628=التقارير!$C$6),AND(التقارير!$C$5="فصلي",Q628=التقارير!$C$7))),1,0))</f>
        <v/>
      </c>
      <c r="T628" s="20">
        <f>IF(S628=1,COUNTIF($S$5:S628,1),"")</f>
        <v/>
      </c>
      <c r="U628">
        <f>IF(AND($A628&lt;&gt;"",$B628&lt;&gt;"",$R628='تقرير الفصل الأول'!$C$4,$Q628='تقرير الفصل الأول'!$C$7),COUNT(U$4:U627)+1,"")</f>
        <v/>
      </c>
      <c r="V628">
        <f>IF(AND($A628&lt;&gt;"",$B628&lt;&gt;"",$R628='تقرير الفصل الثاني'!$C$4,$Q628='تقرير الفصل الثاني'!$C$7),COUNT(V$4:V627)+1,"")</f>
        <v/>
      </c>
      <c r="W628">
        <f>IF(AND($A628&lt;&gt;"",$B628&lt;&gt;"",$R628='تقرير سبتمبر'!$C$4,$P628='تقرير سبتمبر'!$C$6),COUNT(W$4:W627)+1,"")</f>
        <v/>
      </c>
      <c r="X628">
        <f>IF(AND($A628&lt;&gt;"",$B628&lt;&gt;"",$R628='تقرير أكتوبر'!$C$4,$P628='تقرير أكتوبر'!$C$6),COUNT(X$4:X627)+1,"")</f>
        <v/>
      </c>
      <c r="Y628">
        <f>IF(AND($A628&lt;&gt;"",$B628&lt;&gt;"",$R628='تقرير نوفمبر'!$C$4,$P628='تقرير نوفمبر'!$C$6),COUNT(Y$4:Y627)+1,"")</f>
        <v/>
      </c>
      <c r="Z628">
        <f>IF(AND($A628&lt;&gt;"",$B628&lt;&gt;"",$R628='تقرير ديسمبر'!$C$4,$P628='تقرير ديسمبر'!$C$6),COUNT(Z$4:Z627)+1,"")</f>
        <v/>
      </c>
      <c r="AA628">
        <f>IF(AND($A628&lt;&gt;"",$B628&lt;&gt;"",$R628='تقرير يناير'!$C$4,$P628='تقرير يناير'!$C$6),COUNT(AA$4:AA627)+1,"")</f>
        <v/>
      </c>
      <c r="AB628">
        <f>IF(AND($A628&lt;&gt;"",$B628&lt;&gt;"",$R628='تقرير فبراير'!$C$4,$P628='تقرير فبراير'!$C$6),COUNT(AB$4:AB627)+1,"")</f>
        <v/>
      </c>
      <c r="AC628">
        <f>IF(AND($A628&lt;&gt;"",$B628&lt;&gt;"",$R628='تقرير مارس'!$C$4,$P628='تقرير مارس'!$C$6),COUNT(AC$4:AC627)+1,"")</f>
        <v/>
      </c>
      <c r="AD628">
        <f>IF(AND($A628&lt;&gt;"",$B628&lt;&gt;"",$R628='تقرير أبريل'!$C$4,$P628='تقرير أبريل'!$C$6),COUNT(AD$4:AD627)+1,"")</f>
        <v/>
      </c>
      <c r="AE628">
        <f>IF(AND($A628&lt;&gt;"",$B628&lt;&gt;"",$R628='تقرير مايو'!$C$4,$P628='تقرير مايو'!$C$6),COUNT(AE$4:AE627)+1,"")</f>
        <v/>
      </c>
    </row>
    <row r="629">
      <c r="A629" s="16" t="n"/>
      <c r="B629" s="17" t="n"/>
      <c r="C629" s="17" t="n"/>
      <c r="D629" s="18" t="n"/>
      <c r="E629" s="17" t="n"/>
      <c r="F629" s="17" t="n"/>
      <c r="G629" s="19" t="n"/>
      <c r="H629" s="17" t="n"/>
      <c r="I629" s="17" t="n"/>
      <c r="J629" s="17" t="n"/>
      <c r="K629" s="20">
        <f>IF($B629="","",IFERROR(INDEX(الموظفات!$A$5:$A$304,MATCH($B629,الموظفات!$B$5:$B$304,0))&amp;"",""))</f>
        <v/>
      </c>
      <c r="L629" s="21">
        <f>IF($B629="","",IFERROR(INDEX(الموظفات!$C$5:$C$304,MATCH($B629,الموظفات!$B$5:$B$304,0))&amp;"",""))</f>
        <v/>
      </c>
      <c r="M629" s="20">
        <f>IF($B629="","",IFERROR(INDEX(الموظفات!$D$5:$D$304,MATCH($B629,الموظفات!$B$5:$B$304,0))&amp;"",""))</f>
        <v/>
      </c>
      <c r="N629" s="20">
        <f>IF($B629="","",IFERROR(INDEX(الموظفات!$E$5:$E$304,MATCH($B629,الموظفات!$B$5:$B$304,0))&amp;"",""))</f>
        <v/>
      </c>
      <c r="O629" s="21">
        <f>IF(C629="","",IFERROR(INDEX(الإعدادات!$D$7:$D$35,MATCH(C629,الإعدادات!$A$7:$A$35,0))&amp;"",""))</f>
        <v/>
      </c>
      <c r="P629" s="20">
        <f>IF(A629="","",INDEX(الإعدادات!$H$7:$H$18,MONTH(A629)))</f>
        <v/>
      </c>
      <c r="Q629" s="20">
        <f>IF(A629="","",INDEX(الإعدادات!$I$7:$I$18,MONTH(A629)))</f>
        <v/>
      </c>
      <c r="R629" s="20">
        <f>IF(A629="","",IF(MONTH(A629)&gt;=8,YEAR(A629)&amp;"-"&amp;(YEAR(A629)+1),(YEAR(A629)-1)&amp;"-"&amp;YEAR(A629)))</f>
        <v/>
      </c>
      <c r="S629" s="20">
        <f>IF(OR(A629="",B629=""),0,IF(AND(R629=التقارير!$C$4,OR(التقارير!$C$5="سنوي",AND(التقارير!$C$5="شهري",P629=التقارير!$C$6),AND(التقارير!$C$5="فصلي",Q629=التقارير!$C$7))),1,0))</f>
        <v/>
      </c>
      <c r="T629" s="20">
        <f>IF(S629=1,COUNTIF($S$5:S629,1),"")</f>
        <v/>
      </c>
      <c r="U629">
        <f>IF(AND($A629&lt;&gt;"",$B629&lt;&gt;"",$R629='تقرير الفصل الأول'!$C$4,$Q629='تقرير الفصل الأول'!$C$7),COUNT(U$4:U628)+1,"")</f>
        <v/>
      </c>
      <c r="V629">
        <f>IF(AND($A629&lt;&gt;"",$B629&lt;&gt;"",$R629='تقرير الفصل الثاني'!$C$4,$Q629='تقرير الفصل الثاني'!$C$7),COUNT(V$4:V628)+1,"")</f>
        <v/>
      </c>
      <c r="W629">
        <f>IF(AND($A629&lt;&gt;"",$B629&lt;&gt;"",$R629='تقرير سبتمبر'!$C$4,$P629='تقرير سبتمبر'!$C$6),COUNT(W$4:W628)+1,"")</f>
        <v/>
      </c>
      <c r="X629">
        <f>IF(AND($A629&lt;&gt;"",$B629&lt;&gt;"",$R629='تقرير أكتوبر'!$C$4,$P629='تقرير أكتوبر'!$C$6),COUNT(X$4:X628)+1,"")</f>
        <v/>
      </c>
      <c r="Y629">
        <f>IF(AND($A629&lt;&gt;"",$B629&lt;&gt;"",$R629='تقرير نوفمبر'!$C$4,$P629='تقرير نوفمبر'!$C$6),COUNT(Y$4:Y628)+1,"")</f>
        <v/>
      </c>
      <c r="Z629">
        <f>IF(AND($A629&lt;&gt;"",$B629&lt;&gt;"",$R629='تقرير ديسمبر'!$C$4,$P629='تقرير ديسمبر'!$C$6),COUNT(Z$4:Z628)+1,"")</f>
        <v/>
      </c>
      <c r="AA629">
        <f>IF(AND($A629&lt;&gt;"",$B629&lt;&gt;"",$R629='تقرير يناير'!$C$4,$P629='تقرير يناير'!$C$6),COUNT(AA$4:AA628)+1,"")</f>
        <v/>
      </c>
      <c r="AB629">
        <f>IF(AND($A629&lt;&gt;"",$B629&lt;&gt;"",$R629='تقرير فبراير'!$C$4,$P629='تقرير فبراير'!$C$6),COUNT(AB$4:AB628)+1,"")</f>
        <v/>
      </c>
      <c r="AC629">
        <f>IF(AND($A629&lt;&gt;"",$B629&lt;&gt;"",$R629='تقرير مارس'!$C$4,$P629='تقرير مارس'!$C$6),COUNT(AC$4:AC628)+1,"")</f>
        <v/>
      </c>
      <c r="AD629">
        <f>IF(AND($A629&lt;&gt;"",$B629&lt;&gt;"",$R629='تقرير أبريل'!$C$4,$P629='تقرير أبريل'!$C$6),COUNT(AD$4:AD628)+1,"")</f>
        <v/>
      </c>
      <c r="AE629">
        <f>IF(AND($A629&lt;&gt;"",$B629&lt;&gt;"",$R629='تقرير مايو'!$C$4,$P629='تقرير مايو'!$C$6),COUNT(AE$4:AE628)+1,"")</f>
        <v/>
      </c>
    </row>
    <row r="630">
      <c r="A630" s="16" t="n"/>
      <c r="B630" s="17" t="n"/>
      <c r="C630" s="17" t="n"/>
      <c r="D630" s="18" t="n"/>
      <c r="E630" s="17" t="n"/>
      <c r="F630" s="17" t="n"/>
      <c r="G630" s="19" t="n"/>
      <c r="H630" s="17" t="n"/>
      <c r="I630" s="17" t="n"/>
      <c r="J630" s="17" t="n"/>
      <c r="K630" s="20">
        <f>IF($B630="","",IFERROR(INDEX(الموظفات!$A$5:$A$304,MATCH($B630,الموظفات!$B$5:$B$304,0))&amp;"",""))</f>
        <v/>
      </c>
      <c r="L630" s="21">
        <f>IF($B630="","",IFERROR(INDEX(الموظفات!$C$5:$C$304,MATCH($B630,الموظفات!$B$5:$B$304,0))&amp;"",""))</f>
        <v/>
      </c>
      <c r="M630" s="20">
        <f>IF($B630="","",IFERROR(INDEX(الموظفات!$D$5:$D$304,MATCH($B630,الموظفات!$B$5:$B$304,0))&amp;"",""))</f>
        <v/>
      </c>
      <c r="N630" s="20">
        <f>IF($B630="","",IFERROR(INDEX(الموظفات!$E$5:$E$304,MATCH($B630,الموظفات!$B$5:$B$304,0))&amp;"",""))</f>
        <v/>
      </c>
      <c r="O630" s="21">
        <f>IF(C630="","",IFERROR(INDEX(الإعدادات!$D$7:$D$35,MATCH(C630,الإعدادات!$A$7:$A$35,0))&amp;"",""))</f>
        <v/>
      </c>
      <c r="P630" s="20">
        <f>IF(A630="","",INDEX(الإعدادات!$H$7:$H$18,MONTH(A630)))</f>
        <v/>
      </c>
      <c r="Q630" s="20">
        <f>IF(A630="","",INDEX(الإعدادات!$I$7:$I$18,MONTH(A630)))</f>
        <v/>
      </c>
      <c r="R630" s="20">
        <f>IF(A630="","",IF(MONTH(A630)&gt;=8,YEAR(A630)&amp;"-"&amp;(YEAR(A630)+1),(YEAR(A630)-1)&amp;"-"&amp;YEAR(A630)))</f>
        <v/>
      </c>
      <c r="S630" s="20">
        <f>IF(OR(A630="",B630=""),0,IF(AND(R630=التقارير!$C$4,OR(التقارير!$C$5="سنوي",AND(التقارير!$C$5="شهري",P630=التقارير!$C$6),AND(التقارير!$C$5="فصلي",Q630=التقارير!$C$7))),1,0))</f>
        <v/>
      </c>
      <c r="T630" s="20">
        <f>IF(S630=1,COUNTIF($S$5:S630,1),"")</f>
        <v/>
      </c>
      <c r="U630">
        <f>IF(AND($A630&lt;&gt;"",$B630&lt;&gt;"",$R630='تقرير الفصل الأول'!$C$4,$Q630='تقرير الفصل الأول'!$C$7),COUNT(U$4:U629)+1,"")</f>
        <v/>
      </c>
      <c r="V630">
        <f>IF(AND($A630&lt;&gt;"",$B630&lt;&gt;"",$R630='تقرير الفصل الثاني'!$C$4,$Q630='تقرير الفصل الثاني'!$C$7),COUNT(V$4:V629)+1,"")</f>
        <v/>
      </c>
      <c r="W630">
        <f>IF(AND($A630&lt;&gt;"",$B630&lt;&gt;"",$R630='تقرير سبتمبر'!$C$4,$P630='تقرير سبتمبر'!$C$6),COUNT(W$4:W629)+1,"")</f>
        <v/>
      </c>
      <c r="X630">
        <f>IF(AND($A630&lt;&gt;"",$B630&lt;&gt;"",$R630='تقرير أكتوبر'!$C$4,$P630='تقرير أكتوبر'!$C$6),COUNT(X$4:X629)+1,"")</f>
        <v/>
      </c>
      <c r="Y630">
        <f>IF(AND($A630&lt;&gt;"",$B630&lt;&gt;"",$R630='تقرير نوفمبر'!$C$4,$P630='تقرير نوفمبر'!$C$6),COUNT(Y$4:Y629)+1,"")</f>
        <v/>
      </c>
      <c r="Z630">
        <f>IF(AND($A630&lt;&gt;"",$B630&lt;&gt;"",$R630='تقرير ديسمبر'!$C$4,$P630='تقرير ديسمبر'!$C$6),COUNT(Z$4:Z629)+1,"")</f>
        <v/>
      </c>
      <c r="AA630">
        <f>IF(AND($A630&lt;&gt;"",$B630&lt;&gt;"",$R630='تقرير يناير'!$C$4,$P630='تقرير يناير'!$C$6),COUNT(AA$4:AA629)+1,"")</f>
        <v/>
      </c>
      <c r="AB630">
        <f>IF(AND($A630&lt;&gt;"",$B630&lt;&gt;"",$R630='تقرير فبراير'!$C$4,$P630='تقرير فبراير'!$C$6),COUNT(AB$4:AB629)+1,"")</f>
        <v/>
      </c>
      <c r="AC630">
        <f>IF(AND($A630&lt;&gt;"",$B630&lt;&gt;"",$R630='تقرير مارس'!$C$4,$P630='تقرير مارس'!$C$6),COUNT(AC$4:AC629)+1,"")</f>
        <v/>
      </c>
      <c r="AD630">
        <f>IF(AND($A630&lt;&gt;"",$B630&lt;&gt;"",$R630='تقرير أبريل'!$C$4,$P630='تقرير أبريل'!$C$6),COUNT(AD$4:AD629)+1,"")</f>
        <v/>
      </c>
      <c r="AE630">
        <f>IF(AND($A630&lt;&gt;"",$B630&lt;&gt;"",$R630='تقرير مايو'!$C$4,$P630='تقرير مايو'!$C$6),COUNT(AE$4:AE629)+1,"")</f>
        <v/>
      </c>
    </row>
    <row r="631">
      <c r="A631" s="16" t="n"/>
      <c r="B631" s="17" t="n"/>
      <c r="C631" s="17" t="n"/>
      <c r="D631" s="18" t="n"/>
      <c r="E631" s="17" t="n"/>
      <c r="F631" s="17" t="n"/>
      <c r="G631" s="19" t="n"/>
      <c r="H631" s="17" t="n"/>
      <c r="I631" s="17" t="n"/>
      <c r="J631" s="17" t="n"/>
      <c r="K631" s="20">
        <f>IF($B631="","",IFERROR(INDEX(الموظفات!$A$5:$A$304,MATCH($B631,الموظفات!$B$5:$B$304,0))&amp;"",""))</f>
        <v/>
      </c>
      <c r="L631" s="21">
        <f>IF($B631="","",IFERROR(INDEX(الموظفات!$C$5:$C$304,MATCH($B631,الموظفات!$B$5:$B$304,0))&amp;"",""))</f>
        <v/>
      </c>
      <c r="M631" s="20">
        <f>IF($B631="","",IFERROR(INDEX(الموظفات!$D$5:$D$304,MATCH($B631,الموظفات!$B$5:$B$304,0))&amp;"",""))</f>
        <v/>
      </c>
      <c r="N631" s="20">
        <f>IF($B631="","",IFERROR(INDEX(الموظفات!$E$5:$E$304,MATCH($B631,الموظفات!$B$5:$B$304,0))&amp;"",""))</f>
        <v/>
      </c>
      <c r="O631" s="21">
        <f>IF(C631="","",IFERROR(INDEX(الإعدادات!$D$7:$D$35,MATCH(C631,الإعدادات!$A$7:$A$35,0))&amp;"",""))</f>
        <v/>
      </c>
      <c r="P631" s="20">
        <f>IF(A631="","",INDEX(الإعدادات!$H$7:$H$18,MONTH(A631)))</f>
        <v/>
      </c>
      <c r="Q631" s="20">
        <f>IF(A631="","",INDEX(الإعدادات!$I$7:$I$18,MONTH(A631)))</f>
        <v/>
      </c>
      <c r="R631" s="20">
        <f>IF(A631="","",IF(MONTH(A631)&gt;=8,YEAR(A631)&amp;"-"&amp;(YEAR(A631)+1),(YEAR(A631)-1)&amp;"-"&amp;YEAR(A631)))</f>
        <v/>
      </c>
      <c r="S631" s="20">
        <f>IF(OR(A631="",B631=""),0,IF(AND(R631=التقارير!$C$4,OR(التقارير!$C$5="سنوي",AND(التقارير!$C$5="شهري",P631=التقارير!$C$6),AND(التقارير!$C$5="فصلي",Q631=التقارير!$C$7))),1,0))</f>
        <v/>
      </c>
      <c r="T631" s="20">
        <f>IF(S631=1,COUNTIF($S$5:S631,1),"")</f>
        <v/>
      </c>
      <c r="U631">
        <f>IF(AND($A631&lt;&gt;"",$B631&lt;&gt;"",$R631='تقرير الفصل الأول'!$C$4,$Q631='تقرير الفصل الأول'!$C$7),COUNT(U$4:U630)+1,"")</f>
        <v/>
      </c>
      <c r="V631">
        <f>IF(AND($A631&lt;&gt;"",$B631&lt;&gt;"",$R631='تقرير الفصل الثاني'!$C$4,$Q631='تقرير الفصل الثاني'!$C$7),COUNT(V$4:V630)+1,"")</f>
        <v/>
      </c>
      <c r="W631">
        <f>IF(AND($A631&lt;&gt;"",$B631&lt;&gt;"",$R631='تقرير سبتمبر'!$C$4,$P631='تقرير سبتمبر'!$C$6),COUNT(W$4:W630)+1,"")</f>
        <v/>
      </c>
      <c r="X631">
        <f>IF(AND($A631&lt;&gt;"",$B631&lt;&gt;"",$R631='تقرير أكتوبر'!$C$4,$P631='تقرير أكتوبر'!$C$6),COUNT(X$4:X630)+1,"")</f>
        <v/>
      </c>
      <c r="Y631">
        <f>IF(AND($A631&lt;&gt;"",$B631&lt;&gt;"",$R631='تقرير نوفمبر'!$C$4,$P631='تقرير نوفمبر'!$C$6),COUNT(Y$4:Y630)+1,"")</f>
        <v/>
      </c>
      <c r="Z631">
        <f>IF(AND($A631&lt;&gt;"",$B631&lt;&gt;"",$R631='تقرير ديسمبر'!$C$4,$P631='تقرير ديسمبر'!$C$6),COUNT(Z$4:Z630)+1,"")</f>
        <v/>
      </c>
      <c r="AA631">
        <f>IF(AND($A631&lt;&gt;"",$B631&lt;&gt;"",$R631='تقرير يناير'!$C$4,$P631='تقرير يناير'!$C$6),COUNT(AA$4:AA630)+1,"")</f>
        <v/>
      </c>
      <c r="AB631">
        <f>IF(AND($A631&lt;&gt;"",$B631&lt;&gt;"",$R631='تقرير فبراير'!$C$4,$P631='تقرير فبراير'!$C$6),COUNT(AB$4:AB630)+1,"")</f>
        <v/>
      </c>
      <c r="AC631">
        <f>IF(AND($A631&lt;&gt;"",$B631&lt;&gt;"",$R631='تقرير مارس'!$C$4,$P631='تقرير مارس'!$C$6),COUNT(AC$4:AC630)+1,"")</f>
        <v/>
      </c>
      <c r="AD631">
        <f>IF(AND($A631&lt;&gt;"",$B631&lt;&gt;"",$R631='تقرير أبريل'!$C$4,$P631='تقرير أبريل'!$C$6),COUNT(AD$4:AD630)+1,"")</f>
        <v/>
      </c>
      <c r="AE631">
        <f>IF(AND($A631&lt;&gt;"",$B631&lt;&gt;"",$R631='تقرير مايو'!$C$4,$P631='تقرير مايو'!$C$6),COUNT(AE$4:AE630)+1,"")</f>
        <v/>
      </c>
    </row>
    <row r="632">
      <c r="A632" s="16" t="n"/>
      <c r="B632" s="17" t="n"/>
      <c r="C632" s="17" t="n"/>
      <c r="D632" s="18" t="n"/>
      <c r="E632" s="17" t="n"/>
      <c r="F632" s="17" t="n"/>
      <c r="G632" s="19" t="n"/>
      <c r="H632" s="17" t="n"/>
      <c r="I632" s="17" t="n"/>
      <c r="J632" s="17" t="n"/>
      <c r="K632" s="20">
        <f>IF($B632="","",IFERROR(INDEX(الموظفات!$A$5:$A$304,MATCH($B632,الموظفات!$B$5:$B$304,0))&amp;"",""))</f>
        <v/>
      </c>
      <c r="L632" s="21">
        <f>IF($B632="","",IFERROR(INDEX(الموظفات!$C$5:$C$304,MATCH($B632,الموظفات!$B$5:$B$304,0))&amp;"",""))</f>
        <v/>
      </c>
      <c r="M632" s="20">
        <f>IF($B632="","",IFERROR(INDEX(الموظفات!$D$5:$D$304,MATCH($B632,الموظفات!$B$5:$B$304,0))&amp;"",""))</f>
        <v/>
      </c>
      <c r="N632" s="20">
        <f>IF($B632="","",IFERROR(INDEX(الموظفات!$E$5:$E$304,MATCH($B632,الموظفات!$B$5:$B$304,0))&amp;"",""))</f>
        <v/>
      </c>
      <c r="O632" s="21">
        <f>IF(C632="","",IFERROR(INDEX(الإعدادات!$D$7:$D$35,MATCH(C632,الإعدادات!$A$7:$A$35,0))&amp;"",""))</f>
        <v/>
      </c>
      <c r="P632" s="20">
        <f>IF(A632="","",INDEX(الإعدادات!$H$7:$H$18,MONTH(A632)))</f>
        <v/>
      </c>
      <c r="Q632" s="20">
        <f>IF(A632="","",INDEX(الإعدادات!$I$7:$I$18,MONTH(A632)))</f>
        <v/>
      </c>
      <c r="R632" s="20">
        <f>IF(A632="","",IF(MONTH(A632)&gt;=8,YEAR(A632)&amp;"-"&amp;(YEAR(A632)+1),(YEAR(A632)-1)&amp;"-"&amp;YEAR(A632)))</f>
        <v/>
      </c>
      <c r="S632" s="20">
        <f>IF(OR(A632="",B632=""),0,IF(AND(R632=التقارير!$C$4,OR(التقارير!$C$5="سنوي",AND(التقارير!$C$5="شهري",P632=التقارير!$C$6),AND(التقارير!$C$5="فصلي",Q632=التقارير!$C$7))),1,0))</f>
        <v/>
      </c>
      <c r="T632" s="20">
        <f>IF(S632=1,COUNTIF($S$5:S632,1),"")</f>
        <v/>
      </c>
      <c r="U632">
        <f>IF(AND($A632&lt;&gt;"",$B632&lt;&gt;"",$R632='تقرير الفصل الأول'!$C$4,$Q632='تقرير الفصل الأول'!$C$7),COUNT(U$4:U631)+1,"")</f>
        <v/>
      </c>
      <c r="V632">
        <f>IF(AND($A632&lt;&gt;"",$B632&lt;&gt;"",$R632='تقرير الفصل الثاني'!$C$4,$Q632='تقرير الفصل الثاني'!$C$7),COUNT(V$4:V631)+1,"")</f>
        <v/>
      </c>
      <c r="W632">
        <f>IF(AND($A632&lt;&gt;"",$B632&lt;&gt;"",$R632='تقرير سبتمبر'!$C$4,$P632='تقرير سبتمبر'!$C$6),COUNT(W$4:W631)+1,"")</f>
        <v/>
      </c>
      <c r="X632">
        <f>IF(AND($A632&lt;&gt;"",$B632&lt;&gt;"",$R632='تقرير أكتوبر'!$C$4,$P632='تقرير أكتوبر'!$C$6),COUNT(X$4:X631)+1,"")</f>
        <v/>
      </c>
      <c r="Y632">
        <f>IF(AND($A632&lt;&gt;"",$B632&lt;&gt;"",$R632='تقرير نوفمبر'!$C$4,$P632='تقرير نوفمبر'!$C$6),COUNT(Y$4:Y631)+1,"")</f>
        <v/>
      </c>
      <c r="Z632">
        <f>IF(AND($A632&lt;&gt;"",$B632&lt;&gt;"",$R632='تقرير ديسمبر'!$C$4,$P632='تقرير ديسمبر'!$C$6),COUNT(Z$4:Z631)+1,"")</f>
        <v/>
      </c>
      <c r="AA632">
        <f>IF(AND($A632&lt;&gt;"",$B632&lt;&gt;"",$R632='تقرير يناير'!$C$4,$P632='تقرير يناير'!$C$6),COUNT(AA$4:AA631)+1,"")</f>
        <v/>
      </c>
      <c r="AB632">
        <f>IF(AND($A632&lt;&gt;"",$B632&lt;&gt;"",$R632='تقرير فبراير'!$C$4,$P632='تقرير فبراير'!$C$6),COUNT(AB$4:AB631)+1,"")</f>
        <v/>
      </c>
      <c r="AC632">
        <f>IF(AND($A632&lt;&gt;"",$B632&lt;&gt;"",$R632='تقرير مارس'!$C$4,$P632='تقرير مارس'!$C$6),COUNT(AC$4:AC631)+1,"")</f>
        <v/>
      </c>
      <c r="AD632">
        <f>IF(AND($A632&lt;&gt;"",$B632&lt;&gt;"",$R632='تقرير أبريل'!$C$4,$P632='تقرير أبريل'!$C$6),COUNT(AD$4:AD631)+1,"")</f>
        <v/>
      </c>
      <c r="AE632">
        <f>IF(AND($A632&lt;&gt;"",$B632&lt;&gt;"",$R632='تقرير مايو'!$C$4,$P632='تقرير مايو'!$C$6),COUNT(AE$4:AE631)+1,"")</f>
        <v/>
      </c>
    </row>
    <row r="633">
      <c r="A633" s="16" t="n"/>
      <c r="B633" s="17" t="n"/>
      <c r="C633" s="17" t="n"/>
      <c r="D633" s="18" t="n"/>
      <c r="E633" s="17" t="n"/>
      <c r="F633" s="17" t="n"/>
      <c r="G633" s="19" t="n"/>
      <c r="H633" s="17" t="n"/>
      <c r="I633" s="17" t="n"/>
      <c r="J633" s="17" t="n"/>
      <c r="K633" s="20">
        <f>IF($B633="","",IFERROR(INDEX(الموظفات!$A$5:$A$304,MATCH($B633,الموظفات!$B$5:$B$304,0))&amp;"",""))</f>
        <v/>
      </c>
      <c r="L633" s="21">
        <f>IF($B633="","",IFERROR(INDEX(الموظفات!$C$5:$C$304,MATCH($B633,الموظفات!$B$5:$B$304,0))&amp;"",""))</f>
        <v/>
      </c>
      <c r="M633" s="20">
        <f>IF($B633="","",IFERROR(INDEX(الموظفات!$D$5:$D$304,MATCH($B633,الموظفات!$B$5:$B$304,0))&amp;"",""))</f>
        <v/>
      </c>
      <c r="N633" s="20">
        <f>IF($B633="","",IFERROR(INDEX(الموظفات!$E$5:$E$304,MATCH($B633,الموظفات!$B$5:$B$304,0))&amp;"",""))</f>
        <v/>
      </c>
      <c r="O633" s="21">
        <f>IF(C633="","",IFERROR(INDEX(الإعدادات!$D$7:$D$35,MATCH(C633,الإعدادات!$A$7:$A$35,0))&amp;"",""))</f>
        <v/>
      </c>
      <c r="P633" s="20">
        <f>IF(A633="","",INDEX(الإعدادات!$H$7:$H$18,MONTH(A633)))</f>
        <v/>
      </c>
      <c r="Q633" s="20">
        <f>IF(A633="","",INDEX(الإعدادات!$I$7:$I$18,MONTH(A633)))</f>
        <v/>
      </c>
      <c r="R633" s="20">
        <f>IF(A633="","",IF(MONTH(A633)&gt;=8,YEAR(A633)&amp;"-"&amp;(YEAR(A633)+1),(YEAR(A633)-1)&amp;"-"&amp;YEAR(A633)))</f>
        <v/>
      </c>
      <c r="S633" s="20">
        <f>IF(OR(A633="",B633=""),0,IF(AND(R633=التقارير!$C$4,OR(التقارير!$C$5="سنوي",AND(التقارير!$C$5="شهري",P633=التقارير!$C$6),AND(التقارير!$C$5="فصلي",Q633=التقارير!$C$7))),1,0))</f>
        <v/>
      </c>
      <c r="T633" s="20">
        <f>IF(S633=1,COUNTIF($S$5:S633,1),"")</f>
        <v/>
      </c>
      <c r="U633">
        <f>IF(AND($A633&lt;&gt;"",$B633&lt;&gt;"",$R633='تقرير الفصل الأول'!$C$4,$Q633='تقرير الفصل الأول'!$C$7),COUNT(U$4:U632)+1,"")</f>
        <v/>
      </c>
      <c r="V633">
        <f>IF(AND($A633&lt;&gt;"",$B633&lt;&gt;"",$R633='تقرير الفصل الثاني'!$C$4,$Q633='تقرير الفصل الثاني'!$C$7),COUNT(V$4:V632)+1,"")</f>
        <v/>
      </c>
      <c r="W633">
        <f>IF(AND($A633&lt;&gt;"",$B633&lt;&gt;"",$R633='تقرير سبتمبر'!$C$4,$P633='تقرير سبتمبر'!$C$6),COUNT(W$4:W632)+1,"")</f>
        <v/>
      </c>
      <c r="X633">
        <f>IF(AND($A633&lt;&gt;"",$B633&lt;&gt;"",$R633='تقرير أكتوبر'!$C$4,$P633='تقرير أكتوبر'!$C$6),COUNT(X$4:X632)+1,"")</f>
        <v/>
      </c>
      <c r="Y633">
        <f>IF(AND($A633&lt;&gt;"",$B633&lt;&gt;"",$R633='تقرير نوفمبر'!$C$4,$P633='تقرير نوفمبر'!$C$6),COUNT(Y$4:Y632)+1,"")</f>
        <v/>
      </c>
      <c r="Z633">
        <f>IF(AND($A633&lt;&gt;"",$B633&lt;&gt;"",$R633='تقرير ديسمبر'!$C$4,$P633='تقرير ديسمبر'!$C$6),COUNT(Z$4:Z632)+1,"")</f>
        <v/>
      </c>
      <c r="AA633">
        <f>IF(AND($A633&lt;&gt;"",$B633&lt;&gt;"",$R633='تقرير يناير'!$C$4,$P633='تقرير يناير'!$C$6),COUNT(AA$4:AA632)+1,"")</f>
        <v/>
      </c>
      <c r="AB633">
        <f>IF(AND($A633&lt;&gt;"",$B633&lt;&gt;"",$R633='تقرير فبراير'!$C$4,$P633='تقرير فبراير'!$C$6),COUNT(AB$4:AB632)+1,"")</f>
        <v/>
      </c>
      <c r="AC633">
        <f>IF(AND($A633&lt;&gt;"",$B633&lt;&gt;"",$R633='تقرير مارس'!$C$4,$P633='تقرير مارس'!$C$6),COUNT(AC$4:AC632)+1,"")</f>
        <v/>
      </c>
      <c r="AD633">
        <f>IF(AND($A633&lt;&gt;"",$B633&lt;&gt;"",$R633='تقرير أبريل'!$C$4,$P633='تقرير أبريل'!$C$6),COUNT(AD$4:AD632)+1,"")</f>
        <v/>
      </c>
      <c r="AE633">
        <f>IF(AND($A633&lt;&gt;"",$B633&lt;&gt;"",$R633='تقرير مايو'!$C$4,$P633='تقرير مايو'!$C$6),COUNT(AE$4:AE632)+1,"")</f>
        <v/>
      </c>
    </row>
    <row r="634">
      <c r="A634" s="16" t="n"/>
      <c r="B634" s="17" t="n"/>
      <c r="C634" s="17" t="n"/>
      <c r="D634" s="18" t="n"/>
      <c r="E634" s="17" t="n"/>
      <c r="F634" s="17" t="n"/>
      <c r="G634" s="19" t="n"/>
      <c r="H634" s="17" t="n"/>
      <c r="I634" s="17" t="n"/>
      <c r="J634" s="17" t="n"/>
      <c r="K634" s="20">
        <f>IF($B634="","",IFERROR(INDEX(الموظفات!$A$5:$A$304,MATCH($B634,الموظفات!$B$5:$B$304,0))&amp;"",""))</f>
        <v/>
      </c>
      <c r="L634" s="21">
        <f>IF($B634="","",IFERROR(INDEX(الموظفات!$C$5:$C$304,MATCH($B634,الموظفات!$B$5:$B$304,0))&amp;"",""))</f>
        <v/>
      </c>
      <c r="M634" s="20">
        <f>IF($B634="","",IFERROR(INDEX(الموظفات!$D$5:$D$304,MATCH($B634,الموظفات!$B$5:$B$304,0))&amp;"",""))</f>
        <v/>
      </c>
      <c r="N634" s="20">
        <f>IF($B634="","",IFERROR(INDEX(الموظفات!$E$5:$E$304,MATCH($B634,الموظفات!$B$5:$B$304,0))&amp;"",""))</f>
        <v/>
      </c>
      <c r="O634" s="21">
        <f>IF(C634="","",IFERROR(INDEX(الإعدادات!$D$7:$D$35,MATCH(C634,الإعدادات!$A$7:$A$35,0))&amp;"",""))</f>
        <v/>
      </c>
      <c r="P634" s="20">
        <f>IF(A634="","",INDEX(الإعدادات!$H$7:$H$18,MONTH(A634)))</f>
        <v/>
      </c>
      <c r="Q634" s="20">
        <f>IF(A634="","",INDEX(الإعدادات!$I$7:$I$18,MONTH(A634)))</f>
        <v/>
      </c>
      <c r="R634" s="20">
        <f>IF(A634="","",IF(MONTH(A634)&gt;=8,YEAR(A634)&amp;"-"&amp;(YEAR(A634)+1),(YEAR(A634)-1)&amp;"-"&amp;YEAR(A634)))</f>
        <v/>
      </c>
      <c r="S634" s="20">
        <f>IF(OR(A634="",B634=""),0,IF(AND(R634=التقارير!$C$4,OR(التقارير!$C$5="سنوي",AND(التقارير!$C$5="شهري",P634=التقارير!$C$6),AND(التقارير!$C$5="فصلي",Q634=التقارير!$C$7))),1,0))</f>
        <v/>
      </c>
      <c r="T634" s="20">
        <f>IF(S634=1,COUNTIF($S$5:S634,1),"")</f>
        <v/>
      </c>
      <c r="U634">
        <f>IF(AND($A634&lt;&gt;"",$B634&lt;&gt;"",$R634='تقرير الفصل الأول'!$C$4,$Q634='تقرير الفصل الأول'!$C$7),COUNT(U$4:U633)+1,"")</f>
        <v/>
      </c>
      <c r="V634">
        <f>IF(AND($A634&lt;&gt;"",$B634&lt;&gt;"",$R634='تقرير الفصل الثاني'!$C$4,$Q634='تقرير الفصل الثاني'!$C$7),COUNT(V$4:V633)+1,"")</f>
        <v/>
      </c>
      <c r="W634">
        <f>IF(AND($A634&lt;&gt;"",$B634&lt;&gt;"",$R634='تقرير سبتمبر'!$C$4,$P634='تقرير سبتمبر'!$C$6),COUNT(W$4:W633)+1,"")</f>
        <v/>
      </c>
      <c r="X634">
        <f>IF(AND($A634&lt;&gt;"",$B634&lt;&gt;"",$R634='تقرير أكتوبر'!$C$4,$P634='تقرير أكتوبر'!$C$6),COUNT(X$4:X633)+1,"")</f>
        <v/>
      </c>
      <c r="Y634">
        <f>IF(AND($A634&lt;&gt;"",$B634&lt;&gt;"",$R634='تقرير نوفمبر'!$C$4,$P634='تقرير نوفمبر'!$C$6),COUNT(Y$4:Y633)+1,"")</f>
        <v/>
      </c>
      <c r="Z634">
        <f>IF(AND($A634&lt;&gt;"",$B634&lt;&gt;"",$R634='تقرير ديسمبر'!$C$4,$P634='تقرير ديسمبر'!$C$6),COUNT(Z$4:Z633)+1,"")</f>
        <v/>
      </c>
      <c r="AA634">
        <f>IF(AND($A634&lt;&gt;"",$B634&lt;&gt;"",$R634='تقرير يناير'!$C$4,$P634='تقرير يناير'!$C$6),COUNT(AA$4:AA633)+1,"")</f>
        <v/>
      </c>
      <c r="AB634">
        <f>IF(AND($A634&lt;&gt;"",$B634&lt;&gt;"",$R634='تقرير فبراير'!$C$4,$P634='تقرير فبراير'!$C$6),COUNT(AB$4:AB633)+1,"")</f>
        <v/>
      </c>
      <c r="AC634">
        <f>IF(AND($A634&lt;&gt;"",$B634&lt;&gt;"",$R634='تقرير مارس'!$C$4,$P634='تقرير مارس'!$C$6),COUNT(AC$4:AC633)+1,"")</f>
        <v/>
      </c>
      <c r="AD634">
        <f>IF(AND($A634&lt;&gt;"",$B634&lt;&gt;"",$R634='تقرير أبريل'!$C$4,$P634='تقرير أبريل'!$C$6),COUNT(AD$4:AD633)+1,"")</f>
        <v/>
      </c>
      <c r="AE634">
        <f>IF(AND($A634&lt;&gt;"",$B634&lt;&gt;"",$R634='تقرير مايو'!$C$4,$P634='تقرير مايو'!$C$6),COUNT(AE$4:AE633)+1,"")</f>
        <v/>
      </c>
    </row>
    <row r="635">
      <c r="A635" s="16" t="n"/>
      <c r="B635" s="17" t="n"/>
      <c r="C635" s="17" t="n"/>
      <c r="D635" s="18" t="n"/>
      <c r="E635" s="17" t="n"/>
      <c r="F635" s="17" t="n"/>
      <c r="G635" s="19" t="n"/>
      <c r="H635" s="17" t="n"/>
      <c r="I635" s="17" t="n"/>
      <c r="J635" s="17" t="n"/>
      <c r="K635" s="20">
        <f>IF($B635="","",IFERROR(INDEX(الموظفات!$A$5:$A$304,MATCH($B635,الموظفات!$B$5:$B$304,0))&amp;"",""))</f>
        <v/>
      </c>
      <c r="L635" s="21">
        <f>IF($B635="","",IFERROR(INDEX(الموظفات!$C$5:$C$304,MATCH($B635,الموظفات!$B$5:$B$304,0))&amp;"",""))</f>
        <v/>
      </c>
      <c r="M635" s="20">
        <f>IF($B635="","",IFERROR(INDEX(الموظفات!$D$5:$D$304,MATCH($B635,الموظفات!$B$5:$B$304,0))&amp;"",""))</f>
        <v/>
      </c>
      <c r="N635" s="20">
        <f>IF($B635="","",IFERROR(INDEX(الموظفات!$E$5:$E$304,MATCH($B635,الموظفات!$B$5:$B$304,0))&amp;"",""))</f>
        <v/>
      </c>
      <c r="O635" s="21">
        <f>IF(C635="","",IFERROR(INDEX(الإعدادات!$D$7:$D$35,MATCH(C635,الإعدادات!$A$7:$A$35,0))&amp;"",""))</f>
        <v/>
      </c>
      <c r="P635" s="20">
        <f>IF(A635="","",INDEX(الإعدادات!$H$7:$H$18,MONTH(A635)))</f>
        <v/>
      </c>
      <c r="Q635" s="20">
        <f>IF(A635="","",INDEX(الإعدادات!$I$7:$I$18,MONTH(A635)))</f>
        <v/>
      </c>
      <c r="R635" s="20">
        <f>IF(A635="","",IF(MONTH(A635)&gt;=8,YEAR(A635)&amp;"-"&amp;(YEAR(A635)+1),(YEAR(A635)-1)&amp;"-"&amp;YEAR(A635)))</f>
        <v/>
      </c>
      <c r="S635" s="20">
        <f>IF(OR(A635="",B635=""),0,IF(AND(R635=التقارير!$C$4,OR(التقارير!$C$5="سنوي",AND(التقارير!$C$5="شهري",P635=التقارير!$C$6),AND(التقارير!$C$5="فصلي",Q635=التقارير!$C$7))),1,0))</f>
        <v/>
      </c>
      <c r="T635" s="20">
        <f>IF(S635=1,COUNTIF($S$5:S635,1),"")</f>
        <v/>
      </c>
      <c r="U635">
        <f>IF(AND($A635&lt;&gt;"",$B635&lt;&gt;"",$R635='تقرير الفصل الأول'!$C$4,$Q635='تقرير الفصل الأول'!$C$7),COUNT(U$4:U634)+1,"")</f>
        <v/>
      </c>
      <c r="V635">
        <f>IF(AND($A635&lt;&gt;"",$B635&lt;&gt;"",$R635='تقرير الفصل الثاني'!$C$4,$Q635='تقرير الفصل الثاني'!$C$7),COUNT(V$4:V634)+1,"")</f>
        <v/>
      </c>
      <c r="W635">
        <f>IF(AND($A635&lt;&gt;"",$B635&lt;&gt;"",$R635='تقرير سبتمبر'!$C$4,$P635='تقرير سبتمبر'!$C$6),COUNT(W$4:W634)+1,"")</f>
        <v/>
      </c>
      <c r="X635">
        <f>IF(AND($A635&lt;&gt;"",$B635&lt;&gt;"",$R635='تقرير أكتوبر'!$C$4,$P635='تقرير أكتوبر'!$C$6),COUNT(X$4:X634)+1,"")</f>
        <v/>
      </c>
      <c r="Y635">
        <f>IF(AND($A635&lt;&gt;"",$B635&lt;&gt;"",$R635='تقرير نوفمبر'!$C$4,$P635='تقرير نوفمبر'!$C$6),COUNT(Y$4:Y634)+1,"")</f>
        <v/>
      </c>
      <c r="Z635">
        <f>IF(AND($A635&lt;&gt;"",$B635&lt;&gt;"",$R635='تقرير ديسمبر'!$C$4,$P635='تقرير ديسمبر'!$C$6),COUNT(Z$4:Z634)+1,"")</f>
        <v/>
      </c>
      <c r="AA635">
        <f>IF(AND($A635&lt;&gt;"",$B635&lt;&gt;"",$R635='تقرير يناير'!$C$4,$P635='تقرير يناير'!$C$6),COUNT(AA$4:AA634)+1,"")</f>
        <v/>
      </c>
      <c r="AB635">
        <f>IF(AND($A635&lt;&gt;"",$B635&lt;&gt;"",$R635='تقرير فبراير'!$C$4,$P635='تقرير فبراير'!$C$6),COUNT(AB$4:AB634)+1,"")</f>
        <v/>
      </c>
      <c r="AC635">
        <f>IF(AND($A635&lt;&gt;"",$B635&lt;&gt;"",$R635='تقرير مارس'!$C$4,$P635='تقرير مارس'!$C$6),COUNT(AC$4:AC634)+1,"")</f>
        <v/>
      </c>
      <c r="AD635">
        <f>IF(AND($A635&lt;&gt;"",$B635&lt;&gt;"",$R635='تقرير أبريل'!$C$4,$P635='تقرير أبريل'!$C$6),COUNT(AD$4:AD634)+1,"")</f>
        <v/>
      </c>
      <c r="AE635">
        <f>IF(AND($A635&lt;&gt;"",$B635&lt;&gt;"",$R635='تقرير مايو'!$C$4,$P635='تقرير مايو'!$C$6),COUNT(AE$4:AE634)+1,"")</f>
        <v/>
      </c>
    </row>
    <row r="636">
      <c r="A636" s="16" t="n"/>
      <c r="B636" s="17" t="n"/>
      <c r="C636" s="17" t="n"/>
      <c r="D636" s="18" t="n"/>
      <c r="E636" s="17" t="n"/>
      <c r="F636" s="17" t="n"/>
      <c r="G636" s="19" t="n"/>
      <c r="H636" s="17" t="n"/>
      <c r="I636" s="17" t="n"/>
      <c r="J636" s="17" t="n"/>
      <c r="K636" s="20">
        <f>IF($B636="","",IFERROR(INDEX(الموظفات!$A$5:$A$304,MATCH($B636,الموظفات!$B$5:$B$304,0))&amp;"",""))</f>
        <v/>
      </c>
      <c r="L636" s="21">
        <f>IF($B636="","",IFERROR(INDEX(الموظفات!$C$5:$C$304,MATCH($B636,الموظفات!$B$5:$B$304,0))&amp;"",""))</f>
        <v/>
      </c>
      <c r="M636" s="20">
        <f>IF($B636="","",IFERROR(INDEX(الموظفات!$D$5:$D$304,MATCH($B636,الموظفات!$B$5:$B$304,0))&amp;"",""))</f>
        <v/>
      </c>
      <c r="N636" s="20">
        <f>IF($B636="","",IFERROR(INDEX(الموظفات!$E$5:$E$304,MATCH($B636,الموظفات!$B$5:$B$304,0))&amp;"",""))</f>
        <v/>
      </c>
      <c r="O636" s="21">
        <f>IF(C636="","",IFERROR(INDEX(الإعدادات!$D$7:$D$35,MATCH(C636,الإعدادات!$A$7:$A$35,0))&amp;"",""))</f>
        <v/>
      </c>
      <c r="P636" s="20">
        <f>IF(A636="","",INDEX(الإعدادات!$H$7:$H$18,MONTH(A636)))</f>
        <v/>
      </c>
      <c r="Q636" s="20">
        <f>IF(A636="","",INDEX(الإعدادات!$I$7:$I$18,MONTH(A636)))</f>
        <v/>
      </c>
      <c r="R636" s="20">
        <f>IF(A636="","",IF(MONTH(A636)&gt;=8,YEAR(A636)&amp;"-"&amp;(YEAR(A636)+1),(YEAR(A636)-1)&amp;"-"&amp;YEAR(A636)))</f>
        <v/>
      </c>
      <c r="S636" s="20">
        <f>IF(OR(A636="",B636=""),0,IF(AND(R636=التقارير!$C$4,OR(التقارير!$C$5="سنوي",AND(التقارير!$C$5="شهري",P636=التقارير!$C$6),AND(التقارير!$C$5="فصلي",Q636=التقارير!$C$7))),1,0))</f>
        <v/>
      </c>
      <c r="T636" s="20">
        <f>IF(S636=1,COUNTIF($S$5:S636,1),"")</f>
        <v/>
      </c>
      <c r="U636">
        <f>IF(AND($A636&lt;&gt;"",$B636&lt;&gt;"",$R636='تقرير الفصل الأول'!$C$4,$Q636='تقرير الفصل الأول'!$C$7),COUNT(U$4:U635)+1,"")</f>
        <v/>
      </c>
      <c r="V636">
        <f>IF(AND($A636&lt;&gt;"",$B636&lt;&gt;"",$R636='تقرير الفصل الثاني'!$C$4,$Q636='تقرير الفصل الثاني'!$C$7),COUNT(V$4:V635)+1,"")</f>
        <v/>
      </c>
      <c r="W636">
        <f>IF(AND($A636&lt;&gt;"",$B636&lt;&gt;"",$R636='تقرير سبتمبر'!$C$4,$P636='تقرير سبتمبر'!$C$6),COUNT(W$4:W635)+1,"")</f>
        <v/>
      </c>
      <c r="X636">
        <f>IF(AND($A636&lt;&gt;"",$B636&lt;&gt;"",$R636='تقرير أكتوبر'!$C$4,$P636='تقرير أكتوبر'!$C$6),COUNT(X$4:X635)+1,"")</f>
        <v/>
      </c>
      <c r="Y636">
        <f>IF(AND($A636&lt;&gt;"",$B636&lt;&gt;"",$R636='تقرير نوفمبر'!$C$4,$P636='تقرير نوفمبر'!$C$6),COUNT(Y$4:Y635)+1,"")</f>
        <v/>
      </c>
      <c r="Z636">
        <f>IF(AND($A636&lt;&gt;"",$B636&lt;&gt;"",$R636='تقرير ديسمبر'!$C$4,$P636='تقرير ديسمبر'!$C$6),COUNT(Z$4:Z635)+1,"")</f>
        <v/>
      </c>
      <c r="AA636">
        <f>IF(AND($A636&lt;&gt;"",$B636&lt;&gt;"",$R636='تقرير يناير'!$C$4,$P636='تقرير يناير'!$C$6),COUNT(AA$4:AA635)+1,"")</f>
        <v/>
      </c>
      <c r="AB636">
        <f>IF(AND($A636&lt;&gt;"",$B636&lt;&gt;"",$R636='تقرير فبراير'!$C$4,$P636='تقرير فبراير'!$C$6),COUNT(AB$4:AB635)+1,"")</f>
        <v/>
      </c>
      <c r="AC636">
        <f>IF(AND($A636&lt;&gt;"",$B636&lt;&gt;"",$R636='تقرير مارس'!$C$4,$P636='تقرير مارس'!$C$6),COUNT(AC$4:AC635)+1,"")</f>
        <v/>
      </c>
      <c r="AD636">
        <f>IF(AND($A636&lt;&gt;"",$B636&lt;&gt;"",$R636='تقرير أبريل'!$C$4,$P636='تقرير أبريل'!$C$6),COUNT(AD$4:AD635)+1,"")</f>
        <v/>
      </c>
      <c r="AE636">
        <f>IF(AND($A636&lt;&gt;"",$B636&lt;&gt;"",$R636='تقرير مايو'!$C$4,$P636='تقرير مايو'!$C$6),COUNT(AE$4:AE635)+1,"")</f>
        <v/>
      </c>
    </row>
    <row r="637">
      <c r="A637" s="16" t="n"/>
      <c r="B637" s="17" t="n"/>
      <c r="C637" s="17" t="n"/>
      <c r="D637" s="18" t="n"/>
      <c r="E637" s="17" t="n"/>
      <c r="F637" s="17" t="n"/>
      <c r="G637" s="19" t="n"/>
      <c r="H637" s="17" t="n"/>
      <c r="I637" s="17" t="n"/>
      <c r="J637" s="17" t="n"/>
      <c r="K637" s="20">
        <f>IF($B637="","",IFERROR(INDEX(الموظفات!$A$5:$A$304,MATCH($B637,الموظفات!$B$5:$B$304,0))&amp;"",""))</f>
        <v/>
      </c>
      <c r="L637" s="21">
        <f>IF($B637="","",IFERROR(INDEX(الموظفات!$C$5:$C$304,MATCH($B637,الموظفات!$B$5:$B$304,0))&amp;"",""))</f>
        <v/>
      </c>
      <c r="M637" s="20">
        <f>IF($B637="","",IFERROR(INDEX(الموظفات!$D$5:$D$304,MATCH($B637,الموظفات!$B$5:$B$304,0))&amp;"",""))</f>
        <v/>
      </c>
      <c r="N637" s="20">
        <f>IF($B637="","",IFERROR(INDEX(الموظفات!$E$5:$E$304,MATCH($B637,الموظفات!$B$5:$B$304,0))&amp;"",""))</f>
        <v/>
      </c>
      <c r="O637" s="21">
        <f>IF(C637="","",IFERROR(INDEX(الإعدادات!$D$7:$D$35,MATCH(C637,الإعدادات!$A$7:$A$35,0))&amp;"",""))</f>
        <v/>
      </c>
      <c r="P637" s="20">
        <f>IF(A637="","",INDEX(الإعدادات!$H$7:$H$18,MONTH(A637)))</f>
        <v/>
      </c>
      <c r="Q637" s="20">
        <f>IF(A637="","",INDEX(الإعدادات!$I$7:$I$18,MONTH(A637)))</f>
        <v/>
      </c>
      <c r="R637" s="20">
        <f>IF(A637="","",IF(MONTH(A637)&gt;=8,YEAR(A637)&amp;"-"&amp;(YEAR(A637)+1),(YEAR(A637)-1)&amp;"-"&amp;YEAR(A637)))</f>
        <v/>
      </c>
      <c r="S637" s="20">
        <f>IF(OR(A637="",B637=""),0,IF(AND(R637=التقارير!$C$4,OR(التقارير!$C$5="سنوي",AND(التقارير!$C$5="شهري",P637=التقارير!$C$6),AND(التقارير!$C$5="فصلي",Q637=التقارير!$C$7))),1,0))</f>
        <v/>
      </c>
      <c r="T637" s="20">
        <f>IF(S637=1,COUNTIF($S$5:S637,1),"")</f>
        <v/>
      </c>
      <c r="U637">
        <f>IF(AND($A637&lt;&gt;"",$B637&lt;&gt;"",$R637='تقرير الفصل الأول'!$C$4,$Q637='تقرير الفصل الأول'!$C$7),COUNT(U$4:U636)+1,"")</f>
        <v/>
      </c>
      <c r="V637">
        <f>IF(AND($A637&lt;&gt;"",$B637&lt;&gt;"",$R637='تقرير الفصل الثاني'!$C$4,$Q637='تقرير الفصل الثاني'!$C$7),COUNT(V$4:V636)+1,"")</f>
        <v/>
      </c>
      <c r="W637">
        <f>IF(AND($A637&lt;&gt;"",$B637&lt;&gt;"",$R637='تقرير سبتمبر'!$C$4,$P637='تقرير سبتمبر'!$C$6),COUNT(W$4:W636)+1,"")</f>
        <v/>
      </c>
      <c r="X637">
        <f>IF(AND($A637&lt;&gt;"",$B637&lt;&gt;"",$R637='تقرير أكتوبر'!$C$4,$P637='تقرير أكتوبر'!$C$6),COUNT(X$4:X636)+1,"")</f>
        <v/>
      </c>
      <c r="Y637">
        <f>IF(AND($A637&lt;&gt;"",$B637&lt;&gt;"",$R637='تقرير نوفمبر'!$C$4,$P637='تقرير نوفمبر'!$C$6),COUNT(Y$4:Y636)+1,"")</f>
        <v/>
      </c>
      <c r="Z637">
        <f>IF(AND($A637&lt;&gt;"",$B637&lt;&gt;"",$R637='تقرير ديسمبر'!$C$4,$P637='تقرير ديسمبر'!$C$6),COUNT(Z$4:Z636)+1,"")</f>
        <v/>
      </c>
      <c r="AA637">
        <f>IF(AND($A637&lt;&gt;"",$B637&lt;&gt;"",$R637='تقرير يناير'!$C$4,$P637='تقرير يناير'!$C$6),COUNT(AA$4:AA636)+1,"")</f>
        <v/>
      </c>
      <c r="AB637">
        <f>IF(AND($A637&lt;&gt;"",$B637&lt;&gt;"",$R637='تقرير فبراير'!$C$4,$P637='تقرير فبراير'!$C$6),COUNT(AB$4:AB636)+1,"")</f>
        <v/>
      </c>
      <c r="AC637">
        <f>IF(AND($A637&lt;&gt;"",$B637&lt;&gt;"",$R637='تقرير مارس'!$C$4,$P637='تقرير مارس'!$C$6),COUNT(AC$4:AC636)+1,"")</f>
        <v/>
      </c>
      <c r="AD637">
        <f>IF(AND($A637&lt;&gt;"",$B637&lt;&gt;"",$R637='تقرير أبريل'!$C$4,$P637='تقرير أبريل'!$C$6),COUNT(AD$4:AD636)+1,"")</f>
        <v/>
      </c>
      <c r="AE637">
        <f>IF(AND($A637&lt;&gt;"",$B637&lt;&gt;"",$R637='تقرير مايو'!$C$4,$P637='تقرير مايو'!$C$6),COUNT(AE$4:AE636)+1,"")</f>
        <v/>
      </c>
    </row>
    <row r="638">
      <c r="A638" s="16" t="n"/>
      <c r="B638" s="17" t="n"/>
      <c r="C638" s="17" t="n"/>
      <c r="D638" s="18" t="n"/>
      <c r="E638" s="17" t="n"/>
      <c r="F638" s="17" t="n"/>
      <c r="G638" s="19" t="n"/>
      <c r="H638" s="17" t="n"/>
      <c r="I638" s="17" t="n"/>
      <c r="J638" s="17" t="n"/>
      <c r="K638" s="20">
        <f>IF($B638="","",IFERROR(INDEX(الموظفات!$A$5:$A$304,MATCH($B638,الموظفات!$B$5:$B$304,0))&amp;"",""))</f>
        <v/>
      </c>
      <c r="L638" s="21">
        <f>IF($B638="","",IFERROR(INDEX(الموظفات!$C$5:$C$304,MATCH($B638,الموظفات!$B$5:$B$304,0))&amp;"",""))</f>
        <v/>
      </c>
      <c r="M638" s="20">
        <f>IF($B638="","",IFERROR(INDEX(الموظفات!$D$5:$D$304,MATCH($B638,الموظفات!$B$5:$B$304,0))&amp;"",""))</f>
        <v/>
      </c>
      <c r="N638" s="20">
        <f>IF($B638="","",IFERROR(INDEX(الموظفات!$E$5:$E$304,MATCH($B638,الموظفات!$B$5:$B$304,0))&amp;"",""))</f>
        <v/>
      </c>
      <c r="O638" s="21">
        <f>IF(C638="","",IFERROR(INDEX(الإعدادات!$D$7:$D$35,MATCH(C638,الإعدادات!$A$7:$A$35,0))&amp;"",""))</f>
        <v/>
      </c>
      <c r="P638" s="20">
        <f>IF(A638="","",INDEX(الإعدادات!$H$7:$H$18,MONTH(A638)))</f>
        <v/>
      </c>
      <c r="Q638" s="20">
        <f>IF(A638="","",INDEX(الإعدادات!$I$7:$I$18,MONTH(A638)))</f>
        <v/>
      </c>
      <c r="R638" s="20">
        <f>IF(A638="","",IF(MONTH(A638)&gt;=8,YEAR(A638)&amp;"-"&amp;(YEAR(A638)+1),(YEAR(A638)-1)&amp;"-"&amp;YEAR(A638)))</f>
        <v/>
      </c>
      <c r="S638" s="20">
        <f>IF(OR(A638="",B638=""),0,IF(AND(R638=التقارير!$C$4,OR(التقارير!$C$5="سنوي",AND(التقارير!$C$5="شهري",P638=التقارير!$C$6),AND(التقارير!$C$5="فصلي",Q638=التقارير!$C$7))),1,0))</f>
        <v/>
      </c>
      <c r="T638" s="20">
        <f>IF(S638=1,COUNTIF($S$5:S638,1),"")</f>
        <v/>
      </c>
      <c r="U638">
        <f>IF(AND($A638&lt;&gt;"",$B638&lt;&gt;"",$R638='تقرير الفصل الأول'!$C$4,$Q638='تقرير الفصل الأول'!$C$7),COUNT(U$4:U637)+1,"")</f>
        <v/>
      </c>
      <c r="V638">
        <f>IF(AND($A638&lt;&gt;"",$B638&lt;&gt;"",$R638='تقرير الفصل الثاني'!$C$4,$Q638='تقرير الفصل الثاني'!$C$7),COUNT(V$4:V637)+1,"")</f>
        <v/>
      </c>
      <c r="W638">
        <f>IF(AND($A638&lt;&gt;"",$B638&lt;&gt;"",$R638='تقرير سبتمبر'!$C$4,$P638='تقرير سبتمبر'!$C$6),COUNT(W$4:W637)+1,"")</f>
        <v/>
      </c>
      <c r="X638">
        <f>IF(AND($A638&lt;&gt;"",$B638&lt;&gt;"",$R638='تقرير أكتوبر'!$C$4,$P638='تقرير أكتوبر'!$C$6),COUNT(X$4:X637)+1,"")</f>
        <v/>
      </c>
      <c r="Y638">
        <f>IF(AND($A638&lt;&gt;"",$B638&lt;&gt;"",$R638='تقرير نوفمبر'!$C$4,$P638='تقرير نوفمبر'!$C$6),COUNT(Y$4:Y637)+1,"")</f>
        <v/>
      </c>
      <c r="Z638">
        <f>IF(AND($A638&lt;&gt;"",$B638&lt;&gt;"",$R638='تقرير ديسمبر'!$C$4,$P638='تقرير ديسمبر'!$C$6),COUNT(Z$4:Z637)+1,"")</f>
        <v/>
      </c>
      <c r="AA638">
        <f>IF(AND($A638&lt;&gt;"",$B638&lt;&gt;"",$R638='تقرير يناير'!$C$4,$P638='تقرير يناير'!$C$6),COUNT(AA$4:AA637)+1,"")</f>
        <v/>
      </c>
      <c r="AB638">
        <f>IF(AND($A638&lt;&gt;"",$B638&lt;&gt;"",$R638='تقرير فبراير'!$C$4,$P638='تقرير فبراير'!$C$6),COUNT(AB$4:AB637)+1,"")</f>
        <v/>
      </c>
      <c r="AC638">
        <f>IF(AND($A638&lt;&gt;"",$B638&lt;&gt;"",$R638='تقرير مارس'!$C$4,$P638='تقرير مارس'!$C$6),COUNT(AC$4:AC637)+1,"")</f>
        <v/>
      </c>
      <c r="AD638">
        <f>IF(AND($A638&lt;&gt;"",$B638&lt;&gt;"",$R638='تقرير أبريل'!$C$4,$P638='تقرير أبريل'!$C$6),COUNT(AD$4:AD637)+1,"")</f>
        <v/>
      </c>
      <c r="AE638">
        <f>IF(AND($A638&lt;&gt;"",$B638&lt;&gt;"",$R638='تقرير مايو'!$C$4,$P638='تقرير مايو'!$C$6),COUNT(AE$4:AE637)+1,"")</f>
        <v/>
      </c>
    </row>
    <row r="639">
      <c r="A639" s="16" t="n"/>
      <c r="B639" s="17" t="n"/>
      <c r="C639" s="17" t="n"/>
      <c r="D639" s="18" t="n"/>
      <c r="E639" s="17" t="n"/>
      <c r="F639" s="17" t="n"/>
      <c r="G639" s="19" t="n"/>
      <c r="H639" s="17" t="n"/>
      <c r="I639" s="17" t="n"/>
      <c r="J639" s="17" t="n"/>
      <c r="K639" s="20">
        <f>IF($B639="","",IFERROR(INDEX(الموظفات!$A$5:$A$304,MATCH($B639,الموظفات!$B$5:$B$304,0))&amp;"",""))</f>
        <v/>
      </c>
      <c r="L639" s="21">
        <f>IF($B639="","",IFERROR(INDEX(الموظفات!$C$5:$C$304,MATCH($B639,الموظفات!$B$5:$B$304,0))&amp;"",""))</f>
        <v/>
      </c>
      <c r="M639" s="20">
        <f>IF($B639="","",IFERROR(INDEX(الموظفات!$D$5:$D$304,MATCH($B639,الموظفات!$B$5:$B$304,0))&amp;"",""))</f>
        <v/>
      </c>
      <c r="N639" s="20">
        <f>IF($B639="","",IFERROR(INDEX(الموظفات!$E$5:$E$304,MATCH($B639,الموظفات!$B$5:$B$304,0))&amp;"",""))</f>
        <v/>
      </c>
      <c r="O639" s="21">
        <f>IF(C639="","",IFERROR(INDEX(الإعدادات!$D$7:$D$35,MATCH(C639,الإعدادات!$A$7:$A$35,0))&amp;"",""))</f>
        <v/>
      </c>
      <c r="P639" s="20">
        <f>IF(A639="","",INDEX(الإعدادات!$H$7:$H$18,MONTH(A639)))</f>
        <v/>
      </c>
      <c r="Q639" s="20">
        <f>IF(A639="","",INDEX(الإعدادات!$I$7:$I$18,MONTH(A639)))</f>
        <v/>
      </c>
      <c r="R639" s="20">
        <f>IF(A639="","",IF(MONTH(A639)&gt;=8,YEAR(A639)&amp;"-"&amp;(YEAR(A639)+1),(YEAR(A639)-1)&amp;"-"&amp;YEAR(A639)))</f>
        <v/>
      </c>
      <c r="S639" s="20">
        <f>IF(OR(A639="",B639=""),0,IF(AND(R639=التقارير!$C$4,OR(التقارير!$C$5="سنوي",AND(التقارير!$C$5="شهري",P639=التقارير!$C$6),AND(التقارير!$C$5="فصلي",Q639=التقارير!$C$7))),1,0))</f>
        <v/>
      </c>
      <c r="T639" s="20">
        <f>IF(S639=1,COUNTIF($S$5:S639,1),"")</f>
        <v/>
      </c>
      <c r="U639">
        <f>IF(AND($A639&lt;&gt;"",$B639&lt;&gt;"",$R639='تقرير الفصل الأول'!$C$4,$Q639='تقرير الفصل الأول'!$C$7),COUNT(U$4:U638)+1,"")</f>
        <v/>
      </c>
      <c r="V639">
        <f>IF(AND($A639&lt;&gt;"",$B639&lt;&gt;"",$R639='تقرير الفصل الثاني'!$C$4,$Q639='تقرير الفصل الثاني'!$C$7),COUNT(V$4:V638)+1,"")</f>
        <v/>
      </c>
      <c r="W639">
        <f>IF(AND($A639&lt;&gt;"",$B639&lt;&gt;"",$R639='تقرير سبتمبر'!$C$4,$P639='تقرير سبتمبر'!$C$6),COUNT(W$4:W638)+1,"")</f>
        <v/>
      </c>
      <c r="X639">
        <f>IF(AND($A639&lt;&gt;"",$B639&lt;&gt;"",$R639='تقرير أكتوبر'!$C$4,$P639='تقرير أكتوبر'!$C$6),COUNT(X$4:X638)+1,"")</f>
        <v/>
      </c>
      <c r="Y639">
        <f>IF(AND($A639&lt;&gt;"",$B639&lt;&gt;"",$R639='تقرير نوفمبر'!$C$4,$P639='تقرير نوفمبر'!$C$6),COUNT(Y$4:Y638)+1,"")</f>
        <v/>
      </c>
      <c r="Z639">
        <f>IF(AND($A639&lt;&gt;"",$B639&lt;&gt;"",$R639='تقرير ديسمبر'!$C$4,$P639='تقرير ديسمبر'!$C$6),COUNT(Z$4:Z638)+1,"")</f>
        <v/>
      </c>
      <c r="AA639">
        <f>IF(AND($A639&lt;&gt;"",$B639&lt;&gt;"",$R639='تقرير يناير'!$C$4,$P639='تقرير يناير'!$C$6),COUNT(AA$4:AA638)+1,"")</f>
        <v/>
      </c>
      <c r="AB639">
        <f>IF(AND($A639&lt;&gt;"",$B639&lt;&gt;"",$R639='تقرير فبراير'!$C$4,$P639='تقرير فبراير'!$C$6),COUNT(AB$4:AB638)+1,"")</f>
        <v/>
      </c>
      <c r="AC639">
        <f>IF(AND($A639&lt;&gt;"",$B639&lt;&gt;"",$R639='تقرير مارس'!$C$4,$P639='تقرير مارس'!$C$6),COUNT(AC$4:AC638)+1,"")</f>
        <v/>
      </c>
      <c r="AD639">
        <f>IF(AND($A639&lt;&gt;"",$B639&lt;&gt;"",$R639='تقرير أبريل'!$C$4,$P639='تقرير أبريل'!$C$6),COUNT(AD$4:AD638)+1,"")</f>
        <v/>
      </c>
      <c r="AE639">
        <f>IF(AND($A639&lt;&gt;"",$B639&lt;&gt;"",$R639='تقرير مايو'!$C$4,$P639='تقرير مايو'!$C$6),COUNT(AE$4:AE638)+1,"")</f>
        <v/>
      </c>
    </row>
    <row r="640">
      <c r="A640" s="16" t="n"/>
      <c r="B640" s="17" t="n"/>
      <c r="C640" s="17" t="n"/>
      <c r="D640" s="18" t="n"/>
      <c r="E640" s="17" t="n"/>
      <c r="F640" s="17" t="n"/>
      <c r="G640" s="19" t="n"/>
      <c r="H640" s="17" t="n"/>
      <c r="I640" s="17" t="n"/>
      <c r="J640" s="17" t="n"/>
      <c r="K640" s="20">
        <f>IF($B640="","",IFERROR(INDEX(الموظفات!$A$5:$A$304,MATCH($B640,الموظفات!$B$5:$B$304,0))&amp;"",""))</f>
        <v/>
      </c>
      <c r="L640" s="21">
        <f>IF($B640="","",IFERROR(INDEX(الموظفات!$C$5:$C$304,MATCH($B640,الموظفات!$B$5:$B$304,0))&amp;"",""))</f>
        <v/>
      </c>
      <c r="M640" s="20">
        <f>IF($B640="","",IFERROR(INDEX(الموظفات!$D$5:$D$304,MATCH($B640,الموظفات!$B$5:$B$304,0))&amp;"",""))</f>
        <v/>
      </c>
      <c r="N640" s="20">
        <f>IF($B640="","",IFERROR(INDEX(الموظفات!$E$5:$E$304,MATCH($B640,الموظفات!$B$5:$B$304,0))&amp;"",""))</f>
        <v/>
      </c>
      <c r="O640" s="21">
        <f>IF(C640="","",IFERROR(INDEX(الإعدادات!$D$7:$D$35,MATCH(C640,الإعدادات!$A$7:$A$35,0))&amp;"",""))</f>
        <v/>
      </c>
      <c r="P640" s="20">
        <f>IF(A640="","",INDEX(الإعدادات!$H$7:$H$18,MONTH(A640)))</f>
        <v/>
      </c>
      <c r="Q640" s="20">
        <f>IF(A640="","",INDEX(الإعدادات!$I$7:$I$18,MONTH(A640)))</f>
        <v/>
      </c>
      <c r="R640" s="20">
        <f>IF(A640="","",IF(MONTH(A640)&gt;=8,YEAR(A640)&amp;"-"&amp;(YEAR(A640)+1),(YEAR(A640)-1)&amp;"-"&amp;YEAR(A640)))</f>
        <v/>
      </c>
      <c r="S640" s="20">
        <f>IF(OR(A640="",B640=""),0,IF(AND(R640=التقارير!$C$4,OR(التقارير!$C$5="سنوي",AND(التقارير!$C$5="شهري",P640=التقارير!$C$6),AND(التقارير!$C$5="فصلي",Q640=التقارير!$C$7))),1,0))</f>
        <v/>
      </c>
      <c r="T640" s="20">
        <f>IF(S640=1,COUNTIF($S$5:S640,1),"")</f>
        <v/>
      </c>
      <c r="U640">
        <f>IF(AND($A640&lt;&gt;"",$B640&lt;&gt;"",$R640='تقرير الفصل الأول'!$C$4,$Q640='تقرير الفصل الأول'!$C$7),COUNT(U$4:U639)+1,"")</f>
        <v/>
      </c>
      <c r="V640">
        <f>IF(AND($A640&lt;&gt;"",$B640&lt;&gt;"",$R640='تقرير الفصل الثاني'!$C$4,$Q640='تقرير الفصل الثاني'!$C$7),COUNT(V$4:V639)+1,"")</f>
        <v/>
      </c>
      <c r="W640">
        <f>IF(AND($A640&lt;&gt;"",$B640&lt;&gt;"",$R640='تقرير سبتمبر'!$C$4,$P640='تقرير سبتمبر'!$C$6),COUNT(W$4:W639)+1,"")</f>
        <v/>
      </c>
      <c r="X640">
        <f>IF(AND($A640&lt;&gt;"",$B640&lt;&gt;"",$R640='تقرير أكتوبر'!$C$4,$P640='تقرير أكتوبر'!$C$6),COUNT(X$4:X639)+1,"")</f>
        <v/>
      </c>
      <c r="Y640">
        <f>IF(AND($A640&lt;&gt;"",$B640&lt;&gt;"",$R640='تقرير نوفمبر'!$C$4,$P640='تقرير نوفمبر'!$C$6),COUNT(Y$4:Y639)+1,"")</f>
        <v/>
      </c>
      <c r="Z640">
        <f>IF(AND($A640&lt;&gt;"",$B640&lt;&gt;"",$R640='تقرير ديسمبر'!$C$4,$P640='تقرير ديسمبر'!$C$6),COUNT(Z$4:Z639)+1,"")</f>
        <v/>
      </c>
      <c r="AA640">
        <f>IF(AND($A640&lt;&gt;"",$B640&lt;&gt;"",$R640='تقرير يناير'!$C$4,$P640='تقرير يناير'!$C$6),COUNT(AA$4:AA639)+1,"")</f>
        <v/>
      </c>
      <c r="AB640">
        <f>IF(AND($A640&lt;&gt;"",$B640&lt;&gt;"",$R640='تقرير فبراير'!$C$4,$P640='تقرير فبراير'!$C$6),COUNT(AB$4:AB639)+1,"")</f>
        <v/>
      </c>
      <c r="AC640">
        <f>IF(AND($A640&lt;&gt;"",$B640&lt;&gt;"",$R640='تقرير مارس'!$C$4,$P640='تقرير مارس'!$C$6),COUNT(AC$4:AC639)+1,"")</f>
        <v/>
      </c>
      <c r="AD640">
        <f>IF(AND($A640&lt;&gt;"",$B640&lt;&gt;"",$R640='تقرير أبريل'!$C$4,$P640='تقرير أبريل'!$C$6),COUNT(AD$4:AD639)+1,"")</f>
        <v/>
      </c>
      <c r="AE640">
        <f>IF(AND($A640&lt;&gt;"",$B640&lt;&gt;"",$R640='تقرير مايو'!$C$4,$P640='تقرير مايو'!$C$6),COUNT(AE$4:AE639)+1,"")</f>
        <v/>
      </c>
    </row>
    <row r="641">
      <c r="A641" s="16" t="n"/>
      <c r="B641" s="17" t="n"/>
      <c r="C641" s="17" t="n"/>
      <c r="D641" s="18" t="n"/>
      <c r="E641" s="17" t="n"/>
      <c r="F641" s="17" t="n"/>
      <c r="G641" s="19" t="n"/>
      <c r="H641" s="17" t="n"/>
      <c r="I641" s="17" t="n"/>
      <c r="J641" s="17" t="n"/>
      <c r="K641" s="20">
        <f>IF($B641="","",IFERROR(INDEX(الموظفات!$A$5:$A$304,MATCH($B641,الموظفات!$B$5:$B$304,0))&amp;"",""))</f>
        <v/>
      </c>
      <c r="L641" s="21">
        <f>IF($B641="","",IFERROR(INDEX(الموظفات!$C$5:$C$304,MATCH($B641,الموظفات!$B$5:$B$304,0))&amp;"",""))</f>
        <v/>
      </c>
      <c r="M641" s="20">
        <f>IF($B641="","",IFERROR(INDEX(الموظفات!$D$5:$D$304,MATCH($B641,الموظفات!$B$5:$B$304,0))&amp;"",""))</f>
        <v/>
      </c>
      <c r="N641" s="20">
        <f>IF($B641="","",IFERROR(INDEX(الموظفات!$E$5:$E$304,MATCH($B641,الموظفات!$B$5:$B$304,0))&amp;"",""))</f>
        <v/>
      </c>
      <c r="O641" s="21">
        <f>IF(C641="","",IFERROR(INDEX(الإعدادات!$D$7:$D$35,MATCH(C641,الإعدادات!$A$7:$A$35,0))&amp;"",""))</f>
        <v/>
      </c>
      <c r="P641" s="20">
        <f>IF(A641="","",INDEX(الإعدادات!$H$7:$H$18,MONTH(A641)))</f>
        <v/>
      </c>
      <c r="Q641" s="20">
        <f>IF(A641="","",INDEX(الإعدادات!$I$7:$I$18,MONTH(A641)))</f>
        <v/>
      </c>
      <c r="R641" s="20">
        <f>IF(A641="","",IF(MONTH(A641)&gt;=8,YEAR(A641)&amp;"-"&amp;(YEAR(A641)+1),(YEAR(A641)-1)&amp;"-"&amp;YEAR(A641)))</f>
        <v/>
      </c>
      <c r="S641" s="20">
        <f>IF(OR(A641="",B641=""),0,IF(AND(R641=التقارير!$C$4,OR(التقارير!$C$5="سنوي",AND(التقارير!$C$5="شهري",P641=التقارير!$C$6),AND(التقارير!$C$5="فصلي",Q641=التقارير!$C$7))),1,0))</f>
        <v/>
      </c>
      <c r="T641" s="20">
        <f>IF(S641=1,COUNTIF($S$5:S641,1),"")</f>
        <v/>
      </c>
      <c r="U641">
        <f>IF(AND($A641&lt;&gt;"",$B641&lt;&gt;"",$R641='تقرير الفصل الأول'!$C$4,$Q641='تقرير الفصل الأول'!$C$7),COUNT(U$4:U640)+1,"")</f>
        <v/>
      </c>
      <c r="V641">
        <f>IF(AND($A641&lt;&gt;"",$B641&lt;&gt;"",$R641='تقرير الفصل الثاني'!$C$4,$Q641='تقرير الفصل الثاني'!$C$7),COUNT(V$4:V640)+1,"")</f>
        <v/>
      </c>
      <c r="W641">
        <f>IF(AND($A641&lt;&gt;"",$B641&lt;&gt;"",$R641='تقرير سبتمبر'!$C$4,$P641='تقرير سبتمبر'!$C$6),COUNT(W$4:W640)+1,"")</f>
        <v/>
      </c>
      <c r="X641">
        <f>IF(AND($A641&lt;&gt;"",$B641&lt;&gt;"",$R641='تقرير أكتوبر'!$C$4,$P641='تقرير أكتوبر'!$C$6),COUNT(X$4:X640)+1,"")</f>
        <v/>
      </c>
      <c r="Y641">
        <f>IF(AND($A641&lt;&gt;"",$B641&lt;&gt;"",$R641='تقرير نوفمبر'!$C$4,$P641='تقرير نوفمبر'!$C$6),COUNT(Y$4:Y640)+1,"")</f>
        <v/>
      </c>
      <c r="Z641">
        <f>IF(AND($A641&lt;&gt;"",$B641&lt;&gt;"",$R641='تقرير ديسمبر'!$C$4,$P641='تقرير ديسمبر'!$C$6),COUNT(Z$4:Z640)+1,"")</f>
        <v/>
      </c>
      <c r="AA641">
        <f>IF(AND($A641&lt;&gt;"",$B641&lt;&gt;"",$R641='تقرير يناير'!$C$4,$P641='تقرير يناير'!$C$6),COUNT(AA$4:AA640)+1,"")</f>
        <v/>
      </c>
      <c r="AB641">
        <f>IF(AND($A641&lt;&gt;"",$B641&lt;&gt;"",$R641='تقرير فبراير'!$C$4,$P641='تقرير فبراير'!$C$6),COUNT(AB$4:AB640)+1,"")</f>
        <v/>
      </c>
      <c r="AC641">
        <f>IF(AND($A641&lt;&gt;"",$B641&lt;&gt;"",$R641='تقرير مارس'!$C$4,$P641='تقرير مارس'!$C$6),COUNT(AC$4:AC640)+1,"")</f>
        <v/>
      </c>
      <c r="AD641">
        <f>IF(AND($A641&lt;&gt;"",$B641&lt;&gt;"",$R641='تقرير أبريل'!$C$4,$P641='تقرير أبريل'!$C$6),COUNT(AD$4:AD640)+1,"")</f>
        <v/>
      </c>
      <c r="AE641">
        <f>IF(AND($A641&lt;&gt;"",$B641&lt;&gt;"",$R641='تقرير مايو'!$C$4,$P641='تقرير مايو'!$C$6),COUNT(AE$4:AE640)+1,"")</f>
        <v/>
      </c>
    </row>
    <row r="642">
      <c r="A642" s="16" t="n"/>
      <c r="B642" s="17" t="n"/>
      <c r="C642" s="17" t="n"/>
      <c r="D642" s="18" t="n"/>
      <c r="E642" s="17" t="n"/>
      <c r="F642" s="17" t="n"/>
      <c r="G642" s="19" t="n"/>
      <c r="H642" s="17" t="n"/>
      <c r="I642" s="17" t="n"/>
      <c r="J642" s="17" t="n"/>
      <c r="K642" s="20">
        <f>IF($B642="","",IFERROR(INDEX(الموظفات!$A$5:$A$304,MATCH($B642,الموظفات!$B$5:$B$304,0))&amp;"",""))</f>
        <v/>
      </c>
      <c r="L642" s="21">
        <f>IF($B642="","",IFERROR(INDEX(الموظفات!$C$5:$C$304,MATCH($B642,الموظفات!$B$5:$B$304,0))&amp;"",""))</f>
        <v/>
      </c>
      <c r="M642" s="20">
        <f>IF($B642="","",IFERROR(INDEX(الموظفات!$D$5:$D$304,MATCH($B642,الموظفات!$B$5:$B$304,0))&amp;"",""))</f>
        <v/>
      </c>
      <c r="N642" s="20">
        <f>IF($B642="","",IFERROR(INDEX(الموظفات!$E$5:$E$304,MATCH($B642,الموظفات!$B$5:$B$304,0))&amp;"",""))</f>
        <v/>
      </c>
      <c r="O642" s="21">
        <f>IF(C642="","",IFERROR(INDEX(الإعدادات!$D$7:$D$35,MATCH(C642,الإعدادات!$A$7:$A$35,0))&amp;"",""))</f>
        <v/>
      </c>
      <c r="P642" s="20">
        <f>IF(A642="","",INDEX(الإعدادات!$H$7:$H$18,MONTH(A642)))</f>
        <v/>
      </c>
      <c r="Q642" s="20">
        <f>IF(A642="","",INDEX(الإعدادات!$I$7:$I$18,MONTH(A642)))</f>
        <v/>
      </c>
      <c r="R642" s="20">
        <f>IF(A642="","",IF(MONTH(A642)&gt;=8,YEAR(A642)&amp;"-"&amp;(YEAR(A642)+1),(YEAR(A642)-1)&amp;"-"&amp;YEAR(A642)))</f>
        <v/>
      </c>
      <c r="S642" s="20">
        <f>IF(OR(A642="",B642=""),0,IF(AND(R642=التقارير!$C$4,OR(التقارير!$C$5="سنوي",AND(التقارير!$C$5="شهري",P642=التقارير!$C$6),AND(التقارير!$C$5="فصلي",Q642=التقارير!$C$7))),1,0))</f>
        <v/>
      </c>
      <c r="T642" s="20">
        <f>IF(S642=1,COUNTIF($S$5:S642,1),"")</f>
        <v/>
      </c>
      <c r="U642">
        <f>IF(AND($A642&lt;&gt;"",$B642&lt;&gt;"",$R642='تقرير الفصل الأول'!$C$4,$Q642='تقرير الفصل الأول'!$C$7),COUNT(U$4:U641)+1,"")</f>
        <v/>
      </c>
      <c r="V642">
        <f>IF(AND($A642&lt;&gt;"",$B642&lt;&gt;"",$R642='تقرير الفصل الثاني'!$C$4,$Q642='تقرير الفصل الثاني'!$C$7),COUNT(V$4:V641)+1,"")</f>
        <v/>
      </c>
      <c r="W642">
        <f>IF(AND($A642&lt;&gt;"",$B642&lt;&gt;"",$R642='تقرير سبتمبر'!$C$4,$P642='تقرير سبتمبر'!$C$6),COUNT(W$4:W641)+1,"")</f>
        <v/>
      </c>
      <c r="X642">
        <f>IF(AND($A642&lt;&gt;"",$B642&lt;&gt;"",$R642='تقرير أكتوبر'!$C$4,$P642='تقرير أكتوبر'!$C$6),COUNT(X$4:X641)+1,"")</f>
        <v/>
      </c>
      <c r="Y642">
        <f>IF(AND($A642&lt;&gt;"",$B642&lt;&gt;"",$R642='تقرير نوفمبر'!$C$4,$P642='تقرير نوفمبر'!$C$6),COUNT(Y$4:Y641)+1,"")</f>
        <v/>
      </c>
      <c r="Z642">
        <f>IF(AND($A642&lt;&gt;"",$B642&lt;&gt;"",$R642='تقرير ديسمبر'!$C$4,$P642='تقرير ديسمبر'!$C$6),COUNT(Z$4:Z641)+1,"")</f>
        <v/>
      </c>
      <c r="AA642">
        <f>IF(AND($A642&lt;&gt;"",$B642&lt;&gt;"",$R642='تقرير يناير'!$C$4,$P642='تقرير يناير'!$C$6),COUNT(AA$4:AA641)+1,"")</f>
        <v/>
      </c>
      <c r="AB642">
        <f>IF(AND($A642&lt;&gt;"",$B642&lt;&gt;"",$R642='تقرير فبراير'!$C$4,$P642='تقرير فبراير'!$C$6),COUNT(AB$4:AB641)+1,"")</f>
        <v/>
      </c>
      <c r="AC642">
        <f>IF(AND($A642&lt;&gt;"",$B642&lt;&gt;"",$R642='تقرير مارس'!$C$4,$P642='تقرير مارس'!$C$6),COUNT(AC$4:AC641)+1,"")</f>
        <v/>
      </c>
      <c r="AD642">
        <f>IF(AND($A642&lt;&gt;"",$B642&lt;&gt;"",$R642='تقرير أبريل'!$C$4,$P642='تقرير أبريل'!$C$6),COUNT(AD$4:AD641)+1,"")</f>
        <v/>
      </c>
      <c r="AE642">
        <f>IF(AND($A642&lt;&gt;"",$B642&lt;&gt;"",$R642='تقرير مايو'!$C$4,$P642='تقرير مايو'!$C$6),COUNT(AE$4:AE641)+1,"")</f>
        <v/>
      </c>
    </row>
    <row r="643">
      <c r="A643" s="16" t="n"/>
      <c r="B643" s="17" t="n"/>
      <c r="C643" s="17" t="n"/>
      <c r="D643" s="18" t="n"/>
      <c r="E643" s="17" t="n"/>
      <c r="F643" s="17" t="n"/>
      <c r="G643" s="19" t="n"/>
      <c r="H643" s="17" t="n"/>
      <c r="I643" s="17" t="n"/>
      <c r="J643" s="17" t="n"/>
      <c r="K643" s="20">
        <f>IF($B643="","",IFERROR(INDEX(الموظفات!$A$5:$A$304,MATCH($B643,الموظفات!$B$5:$B$304,0))&amp;"",""))</f>
        <v/>
      </c>
      <c r="L643" s="21">
        <f>IF($B643="","",IFERROR(INDEX(الموظفات!$C$5:$C$304,MATCH($B643,الموظفات!$B$5:$B$304,0))&amp;"",""))</f>
        <v/>
      </c>
      <c r="M643" s="20">
        <f>IF($B643="","",IFERROR(INDEX(الموظفات!$D$5:$D$304,MATCH($B643,الموظفات!$B$5:$B$304,0))&amp;"",""))</f>
        <v/>
      </c>
      <c r="N643" s="20">
        <f>IF($B643="","",IFERROR(INDEX(الموظفات!$E$5:$E$304,MATCH($B643,الموظفات!$B$5:$B$304,0))&amp;"",""))</f>
        <v/>
      </c>
      <c r="O643" s="21">
        <f>IF(C643="","",IFERROR(INDEX(الإعدادات!$D$7:$D$35,MATCH(C643,الإعدادات!$A$7:$A$35,0))&amp;"",""))</f>
        <v/>
      </c>
      <c r="P643" s="20">
        <f>IF(A643="","",INDEX(الإعدادات!$H$7:$H$18,MONTH(A643)))</f>
        <v/>
      </c>
      <c r="Q643" s="20">
        <f>IF(A643="","",INDEX(الإعدادات!$I$7:$I$18,MONTH(A643)))</f>
        <v/>
      </c>
      <c r="R643" s="20">
        <f>IF(A643="","",IF(MONTH(A643)&gt;=8,YEAR(A643)&amp;"-"&amp;(YEAR(A643)+1),(YEAR(A643)-1)&amp;"-"&amp;YEAR(A643)))</f>
        <v/>
      </c>
      <c r="S643" s="20">
        <f>IF(OR(A643="",B643=""),0,IF(AND(R643=التقارير!$C$4,OR(التقارير!$C$5="سنوي",AND(التقارير!$C$5="شهري",P643=التقارير!$C$6),AND(التقارير!$C$5="فصلي",Q643=التقارير!$C$7))),1,0))</f>
        <v/>
      </c>
      <c r="T643" s="20">
        <f>IF(S643=1,COUNTIF($S$5:S643,1),"")</f>
        <v/>
      </c>
      <c r="U643">
        <f>IF(AND($A643&lt;&gt;"",$B643&lt;&gt;"",$R643='تقرير الفصل الأول'!$C$4,$Q643='تقرير الفصل الأول'!$C$7),COUNT(U$4:U642)+1,"")</f>
        <v/>
      </c>
      <c r="V643">
        <f>IF(AND($A643&lt;&gt;"",$B643&lt;&gt;"",$R643='تقرير الفصل الثاني'!$C$4,$Q643='تقرير الفصل الثاني'!$C$7),COUNT(V$4:V642)+1,"")</f>
        <v/>
      </c>
      <c r="W643">
        <f>IF(AND($A643&lt;&gt;"",$B643&lt;&gt;"",$R643='تقرير سبتمبر'!$C$4,$P643='تقرير سبتمبر'!$C$6),COUNT(W$4:W642)+1,"")</f>
        <v/>
      </c>
      <c r="X643">
        <f>IF(AND($A643&lt;&gt;"",$B643&lt;&gt;"",$R643='تقرير أكتوبر'!$C$4,$P643='تقرير أكتوبر'!$C$6),COUNT(X$4:X642)+1,"")</f>
        <v/>
      </c>
      <c r="Y643">
        <f>IF(AND($A643&lt;&gt;"",$B643&lt;&gt;"",$R643='تقرير نوفمبر'!$C$4,$P643='تقرير نوفمبر'!$C$6),COUNT(Y$4:Y642)+1,"")</f>
        <v/>
      </c>
      <c r="Z643">
        <f>IF(AND($A643&lt;&gt;"",$B643&lt;&gt;"",$R643='تقرير ديسمبر'!$C$4,$P643='تقرير ديسمبر'!$C$6),COUNT(Z$4:Z642)+1,"")</f>
        <v/>
      </c>
      <c r="AA643">
        <f>IF(AND($A643&lt;&gt;"",$B643&lt;&gt;"",$R643='تقرير يناير'!$C$4,$P643='تقرير يناير'!$C$6),COUNT(AA$4:AA642)+1,"")</f>
        <v/>
      </c>
      <c r="AB643">
        <f>IF(AND($A643&lt;&gt;"",$B643&lt;&gt;"",$R643='تقرير فبراير'!$C$4,$P643='تقرير فبراير'!$C$6),COUNT(AB$4:AB642)+1,"")</f>
        <v/>
      </c>
      <c r="AC643">
        <f>IF(AND($A643&lt;&gt;"",$B643&lt;&gt;"",$R643='تقرير مارس'!$C$4,$P643='تقرير مارس'!$C$6),COUNT(AC$4:AC642)+1,"")</f>
        <v/>
      </c>
      <c r="AD643">
        <f>IF(AND($A643&lt;&gt;"",$B643&lt;&gt;"",$R643='تقرير أبريل'!$C$4,$P643='تقرير أبريل'!$C$6),COUNT(AD$4:AD642)+1,"")</f>
        <v/>
      </c>
      <c r="AE643">
        <f>IF(AND($A643&lt;&gt;"",$B643&lt;&gt;"",$R643='تقرير مايو'!$C$4,$P643='تقرير مايو'!$C$6),COUNT(AE$4:AE642)+1,"")</f>
        <v/>
      </c>
    </row>
    <row r="644">
      <c r="A644" s="16" t="n"/>
      <c r="B644" s="17" t="n"/>
      <c r="C644" s="17" t="n"/>
      <c r="D644" s="18" t="n"/>
      <c r="E644" s="17" t="n"/>
      <c r="F644" s="17" t="n"/>
      <c r="G644" s="19" t="n"/>
      <c r="H644" s="17" t="n"/>
      <c r="I644" s="17" t="n"/>
      <c r="J644" s="17" t="n"/>
      <c r="K644" s="20">
        <f>IF($B644="","",IFERROR(INDEX(الموظفات!$A$5:$A$304,MATCH($B644,الموظفات!$B$5:$B$304,0))&amp;"",""))</f>
        <v/>
      </c>
      <c r="L644" s="21">
        <f>IF($B644="","",IFERROR(INDEX(الموظفات!$C$5:$C$304,MATCH($B644,الموظفات!$B$5:$B$304,0))&amp;"",""))</f>
        <v/>
      </c>
      <c r="M644" s="20">
        <f>IF($B644="","",IFERROR(INDEX(الموظفات!$D$5:$D$304,MATCH($B644,الموظفات!$B$5:$B$304,0))&amp;"",""))</f>
        <v/>
      </c>
      <c r="N644" s="20">
        <f>IF($B644="","",IFERROR(INDEX(الموظفات!$E$5:$E$304,MATCH($B644,الموظفات!$B$5:$B$304,0))&amp;"",""))</f>
        <v/>
      </c>
      <c r="O644" s="21">
        <f>IF(C644="","",IFERROR(INDEX(الإعدادات!$D$7:$D$35,MATCH(C644,الإعدادات!$A$7:$A$35,0))&amp;"",""))</f>
        <v/>
      </c>
      <c r="P644" s="20">
        <f>IF(A644="","",INDEX(الإعدادات!$H$7:$H$18,MONTH(A644)))</f>
        <v/>
      </c>
      <c r="Q644" s="20">
        <f>IF(A644="","",INDEX(الإعدادات!$I$7:$I$18,MONTH(A644)))</f>
        <v/>
      </c>
      <c r="R644" s="20">
        <f>IF(A644="","",IF(MONTH(A644)&gt;=8,YEAR(A644)&amp;"-"&amp;(YEAR(A644)+1),(YEAR(A644)-1)&amp;"-"&amp;YEAR(A644)))</f>
        <v/>
      </c>
      <c r="S644" s="20">
        <f>IF(OR(A644="",B644=""),0,IF(AND(R644=التقارير!$C$4,OR(التقارير!$C$5="سنوي",AND(التقارير!$C$5="شهري",P644=التقارير!$C$6),AND(التقارير!$C$5="فصلي",Q644=التقارير!$C$7))),1,0))</f>
        <v/>
      </c>
      <c r="T644" s="20">
        <f>IF(S644=1,COUNTIF($S$5:S644,1),"")</f>
        <v/>
      </c>
      <c r="U644">
        <f>IF(AND($A644&lt;&gt;"",$B644&lt;&gt;"",$R644='تقرير الفصل الأول'!$C$4,$Q644='تقرير الفصل الأول'!$C$7),COUNT(U$4:U643)+1,"")</f>
        <v/>
      </c>
      <c r="V644">
        <f>IF(AND($A644&lt;&gt;"",$B644&lt;&gt;"",$R644='تقرير الفصل الثاني'!$C$4,$Q644='تقرير الفصل الثاني'!$C$7),COUNT(V$4:V643)+1,"")</f>
        <v/>
      </c>
      <c r="W644">
        <f>IF(AND($A644&lt;&gt;"",$B644&lt;&gt;"",$R644='تقرير سبتمبر'!$C$4,$P644='تقرير سبتمبر'!$C$6),COUNT(W$4:W643)+1,"")</f>
        <v/>
      </c>
      <c r="X644">
        <f>IF(AND($A644&lt;&gt;"",$B644&lt;&gt;"",$R644='تقرير أكتوبر'!$C$4,$P644='تقرير أكتوبر'!$C$6),COUNT(X$4:X643)+1,"")</f>
        <v/>
      </c>
      <c r="Y644">
        <f>IF(AND($A644&lt;&gt;"",$B644&lt;&gt;"",$R644='تقرير نوفمبر'!$C$4,$P644='تقرير نوفمبر'!$C$6),COUNT(Y$4:Y643)+1,"")</f>
        <v/>
      </c>
      <c r="Z644">
        <f>IF(AND($A644&lt;&gt;"",$B644&lt;&gt;"",$R644='تقرير ديسمبر'!$C$4,$P644='تقرير ديسمبر'!$C$6),COUNT(Z$4:Z643)+1,"")</f>
        <v/>
      </c>
      <c r="AA644">
        <f>IF(AND($A644&lt;&gt;"",$B644&lt;&gt;"",$R644='تقرير يناير'!$C$4,$P644='تقرير يناير'!$C$6),COUNT(AA$4:AA643)+1,"")</f>
        <v/>
      </c>
      <c r="AB644">
        <f>IF(AND($A644&lt;&gt;"",$B644&lt;&gt;"",$R644='تقرير فبراير'!$C$4,$P644='تقرير فبراير'!$C$6),COUNT(AB$4:AB643)+1,"")</f>
        <v/>
      </c>
      <c r="AC644">
        <f>IF(AND($A644&lt;&gt;"",$B644&lt;&gt;"",$R644='تقرير مارس'!$C$4,$P644='تقرير مارس'!$C$6),COUNT(AC$4:AC643)+1,"")</f>
        <v/>
      </c>
      <c r="AD644">
        <f>IF(AND($A644&lt;&gt;"",$B644&lt;&gt;"",$R644='تقرير أبريل'!$C$4,$P644='تقرير أبريل'!$C$6),COUNT(AD$4:AD643)+1,"")</f>
        <v/>
      </c>
      <c r="AE644">
        <f>IF(AND($A644&lt;&gt;"",$B644&lt;&gt;"",$R644='تقرير مايو'!$C$4,$P644='تقرير مايو'!$C$6),COUNT(AE$4:AE643)+1,"")</f>
        <v/>
      </c>
    </row>
    <row r="645">
      <c r="A645" s="16" t="n"/>
      <c r="B645" s="17" t="n"/>
      <c r="C645" s="17" t="n"/>
      <c r="D645" s="18" t="n"/>
      <c r="E645" s="17" t="n"/>
      <c r="F645" s="17" t="n"/>
      <c r="G645" s="19" t="n"/>
      <c r="H645" s="17" t="n"/>
      <c r="I645" s="17" t="n"/>
      <c r="J645" s="17" t="n"/>
      <c r="K645" s="20">
        <f>IF($B645="","",IFERROR(INDEX(الموظفات!$A$5:$A$304,MATCH($B645,الموظفات!$B$5:$B$304,0))&amp;"",""))</f>
        <v/>
      </c>
      <c r="L645" s="21">
        <f>IF($B645="","",IFERROR(INDEX(الموظفات!$C$5:$C$304,MATCH($B645,الموظفات!$B$5:$B$304,0))&amp;"",""))</f>
        <v/>
      </c>
      <c r="M645" s="20">
        <f>IF($B645="","",IFERROR(INDEX(الموظفات!$D$5:$D$304,MATCH($B645,الموظفات!$B$5:$B$304,0))&amp;"",""))</f>
        <v/>
      </c>
      <c r="N645" s="20">
        <f>IF($B645="","",IFERROR(INDEX(الموظفات!$E$5:$E$304,MATCH($B645,الموظفات!$B$5:$B$304,0))&amp;"",""))</f>
        <v/>
      </c>
      <c r="O645" s="21">
        <f>IF(C645="","",IFERROR(INDEX(الإعدادات!$D$7:$D$35,MATCH(C645,الإعدادات!$A$7:$A$35,0))&amp;"",""))</f>
        <v/>
      </c>
      <c r="P645" s="20">
        <f>IF(A645="","",INDEX(الإعدادات!$H$7:$H$18,MONTH(A645)))</f>
        <v/>
      </c>
      <c r="Q645" s="20">
        <f>IF(A645="","",INDEX(الإعدادات!$I$7:$I$18,MONTH(A645)))</f>
        <v/>
      </c>
      <c r="R645" s="20">
        <f>IF(A645="","",IF(MONTH(A645)&gt;=8,YEAR(A645)&amp;"-"&amp;(YEAR(A645)+1),(YEAR(A645)-1)&amp;"-"&amp;YEAR(A645)))</f>
        <v/>
      </c>
      <c r="S645" s="20">
        <f>IF(OR(A645="",B645=""),0,IF(AND(R645=التقارير!$C$4,OR(التقارير!$C$5="سنوي",AND(التقارير!$C$5="شهري",P645=التقارير!$C$6),AND(التقارير!$C$5="فصلي",Q645=التقارير!$C$7))),1,0))</f>
        <v/>
      </c>
      <c r="T645" s="20">
        <f>IF(S645=1,COUNTIF($S$5:S645,1),"")</f>
        <v/>
      </c>
      <c r="U645">
        <f>IF(AND($A645&lt;&gt;"",$B645&lt;&gt;"",$R645='تقرير الفصل الأول'!$C$4,$Q645='تقرير الفصل الأول'!$C$7),COUNT(U$4:U644)+1,"")</f>
        <v/>
      </c>
      <c r="V645">
        <f>IF(AND($A645&lt;&gt;"",$B645&lt;&gt;"",$R645='تقرير الفصل الثاني'!$C$4,$Q645='تقرير الفصل الثاني'!$C$7),COUNT(V$4:V644)+1,"")</f>
        <v/>
      </c>
      <c r="W645">
        <f>IF(AND($A645&lt;&gt;"",$B645&lt;&gt;"",$R645='تقرير سبتمبر'!$C$4,$P645='تقرير سبتمبر'!$C$6),COUNT(W$4:W644)+1,"")</f>
        <v/>
      </c>
      <c r="X645">
        <f>IF(AND($A645&lt;&gt;"",$B645&lt;&gt;"",$R645='تقرير أكتوبر'!$C$4,$P645='تقرير أكتوبر'!$C$6),COUNT(X$4:X644)+1,"")</f>
        <v/>
      </c>
      <c r="Y645">
        <f>IF(AND($A645&lt;&gt;"",$B645&lt;&gt;"",$R645='تقرير نوفمبر'!$C$4,$P645='تقرير نوفمبر'!$C$6),COUNT(Y$4:Y644)+1,"")</f>
        <v/>
      </c>
      <c r="Z645">
        <f>IF(AND($A645&lt;&gt;"",$B645&lt;&gt;"",$R645='تقرير ديسمبر'!$C$4,$P645='تقرير ديسمبر'!$C$6),COUNT(Z$4:Z644)+1,"")</f>
        <v/>
      </c>
      <c r="AA645">
        <f>IF(AND($A645&lt;&gt;"",$B645&lt;&gt;"",$R645='تقرير يناير'!$C$4,$P645='تقرير يناير'!$C$6),COUNT(AA$4:AA644)+1,"")</f>
        <v/>
      </c>
      <c r="AB645">
        <f>IF(AND($A645&lt;&gt;"",$B645&lt;&gt;"",$R645='تقرير فبراير'!$C$4,$P645='تقرير فبراير'!$C$6),COUNT(AB$4:AB644)+1,"")</f>
        <v/>
      </c>
      <c r="AC645">
        <f>IF(AND($A645&lt;&gt;"",$B645&lt;&gt;"",$R645='تقرير مارس'!$C$4,$P645='تقرير مارس'!$C$6),COUNT(AC$4:AC644)+1,"")</f>
        <v/>
      </c>
      <c r="AD645">
        <f>IF(AND($A645&lt;&gt;"",$B645&lt;&gt;"",$R645='تقرير أبريل'!$C$4,$P645='تقرير أبريل'!$C$6),COUNT(AD$4:AD644)+1,"")</f>
        <v/>
      </c>
      <c r="AE645">
        <f>IF(AND($A645&lt;&gt;"",$B645&lt;&gt;"",$R645='تقرير مايو'!$C$4,$P645='تقرير مايو'!$C$6),COUNT(AE$4:AE644)+1,"")</f>
        <v/>
      </c>
    </row>
    <row r="646">
      <c r="A646" s="16" t="n"/>
      <c r="B646" s="17" t="n"/>
      <c r="C646" s="17" t="n"/>
      <c r="D646" s="18" t="n"/>
      <c r="E646" s="17" t="n"/>
      <c r="F646" s="17" t="n"/>
      <c r="G646" s="19" t="n"/>
      <c r="H646" s="17" t="n"/>
      <c r="I646" s="17" t="n"/>
      <c r="J646" s="17" t="n"/>
      <c r="K646" s="20">
        <f>IF($B646="","",IFERROR(INDEX(الموظفات!$A$5:$A$304,MATCH($B646,الموظفات!$B$5:$B$304,0))&amp;"",""))</f>
        <v/>
      </c>
      <c r="L646" s="21">
        <f>IF($B646="","",IFERROR(INDEX(الموظفات!$C$5:$C$304,MATCH($B646,الموظفات!$B$5:$B$304,0))&amp;"",""))</f>
        <v/>
      </c>
      <c r="M646" s="20">
        <f>IF($B646="","",IFERROR(INDEX(الموظفات!$D$5:$D$304,MATCH($B646,الموظفات!$B$5:$B$304,0))&amp;"",""))</f>
        <v/>
      </c>
      <c r="N646" s="20">
        <f>IF($B646="","",IFERROR(INDEX(الموظفات!$E$5:$E$304,MATCH($B646,الموظفات!$B$5:$B$304,0))&amp;"",""))</f>
        <v/>
      </c>
      <c r="O646" s="21">
        <f>IF(C646="","",IFERROR(INDEX(الإعدادات!$D$7:$D$35,MATCH(C646,الإعدادات!$A$7:$A$35,0))&amp;"",""))</f>
        <v/>
      </c>
      <c r="P646" s="20">
        <f>IF(A646="","",INDEX(الإعدادات!$H$7:$H$18,MONTH(A646)))</f>
        <v/>
      </c>
      <c r="Q646" s="20">
        <f>IF(A646="","",INDEX(الإعدادات!$I$7:$I$18,MONTH(A646)))</f>
        <v/>
      </c>
      <c r="R646" s="20">
        <f>IF(A646="","",IF(MONTH(A646)&gt;=8,YEAR(A646)&amp;"-"&amp;(YEAR(A646)+1),(YEAR(A646)-1)&amp;"-"&amp;YEAR(A646)))</f>
        <v/>
      </c>
      <c r="S646" s="20">
        <f>IF(OR(A646="",B646=""),0,IF(AND(R646=التقارير!$C$4,OR(التقارير!$C$5="سنوي",AND(التقارير!$C$5="شهري",P646=التقارير!$C$6),AND(التقارير!$C$5="فصلي",Q646=التقارير!$C$7))),1,0))</f>
        <v/>
      </c>
      <c r="T646" s="20">
        <f>IF(S646=1,COUNTIF($S$5:S646,1),"")</f>
        <v/>
      </c>
      <c r="U646">
        <f>IF(AND($A646&lt;&gt;"",$B646&lt;&gt;"",$R646='تقرير الفصل الأول'!$C$4,$Q646='تقرير الفصل الأول'!$C$7),COUNT(U$4:U645)+1,"")</f>
        <v/>
      </c>
      <c r="V646">
        <f>IF(AND($A646&lt;&gt;"",$B646&lt;&gt;"",$R646='تقرير الفصل الثاني'!$C$4,$Q646='تقرير الفصل الثاني'!$C$7),COUNT(V$4:V645)+1,"")</f>
        <v/>
      </c>
      <c r="W646">
        <f>IF(AND($A646&lt;&gt;"",$B646&lt;&gt;"",$R646='تقرير سبتمبر'!$C$4,$P646='تقرير سبتمبر'!$C$6),COUNT(W$4:W645)+1,"")</f>
        <v/>
      </c>
      <c r="X646">
        <f>IF(AND($A646&lt;&gt;"",$B646&lt;&gt;"",$R646='تقرير أكتوبر'!$C$4,$P646='تقرير أكتوبر'!$C$6),COUNT(X$4:X645)+1,"")</f>
        <v/>
      </c>
      <c r="Y646">
        <f>IF(AND($A646&lt;&gt;"",$B646&lt;&gt;"",$R646='تقرير نوفمبر'!$C$4,$P646='تقرير نوفمبر'!$C$6),COUNT(Y$4:Y645)+1,"")</f>
        <v/>
      </c>
      <c r="Z646">
        <f>IF(AND($A646&lt;&gt;"",$B646&lt;&gt;"",$R646='تقرير ديسمبر'!$C$4,$P646='تقرير ديسمبر'!$C$6),COUNT(Z$4:Z645)+1,"")</f>
        <v/>
      </c>
      <c r="AA646">
        <f>IF(AND($A646&lt;&gt;"",$B646&lt;&gt;"",$R646='تقرير يناير'!$C$4,$P646='تقرير يناير'!$C$6),COUNT(AA$4:AA645)+1,"")</f>
        <v/>
      </c>
      <c r="AB646">
        <f>IF(AND($A646&lt;&gt;"",$B646&lt;&gt;"",$R646='تقرير فبراير'!$C$4,$P646='تقرير فبراير'!$C$6),COUNT(AB$4:AB645)+1,"")</f>
        <v/>
      </c>
      <c r="AC646">
        <f>IF(AND($A646&lt;&gt;"",$B646&lt;&gt;"",$R646='تقرير مارس'!$C$4,$P646='تقرير مارس'!$C$6),COUNT(AC$4:AC645)+1,"")</f>
        <v/>
      </c>
      <c r="AD646">
        <f>IF(AND($A646&lt;&gt;"",$B646&lt;&gt;"",$R646='تقرير أبريل'!$C$4,$P646='تقرير أبريل'!$C$6),COUNT(AD$4:AD645)+1,"")</f>
        <v/>
      </c>
      <c r="AE646">
        <f>IF(AND($A646&lt;&gt;"",$B646&lt;&gt;"",$R646='تقرير مايو'!$C$4,$P646='تقرير مايو'!$C$6),COUNT(AE$4:AE645)+1,"")</f>
        <v/>
      </c>
    </row>
    <row r="647">
      <c r="A647" s="16" t="n"/>
      <c r="B647" s="17" t="n"/>
      <c r="C647" s="17" t="n"/>
      <c r="D647" s="18" t="n"/>
      <c r="E647" s="17" t="n"/>
      <c r="F647" s="17" t="n"/>
      <c r="G647" s="19" t="n"/>
      <c r="H647" s="17" t="n"/>
      <c r="I647" s="17" t="n"/>
      <c r="J647" s="17" t="n"/>
      <c r="K647" s="20">
        <f>IF($B647="","",IFERROR(INDEX(الموظفات!$A$5:$A$304,MATCH($B647,الموظفات!$B$5:$B$304,0))&amp;"",""))</f>
        <v/>
      </c>
      <c r="L647" s="21">
        <f>IF($B647="","",IFERROR(INDEX(الموظفات!$C$5:$C$304,MATCH($B647,الموظفات!$B$5:$B$304,0))&amp;"",""))</f>
        <v/>
      </c>
      <c r="M647" s="20">
        <f>IF($B647="","",IFERROR(INDEX(الموظفات!$D$5:$D$304,MATCH($B647,الموظفات!$B$5:$B$304,0))&amp;"",""))</f>
        <v/>
      </c>
      <c r="N647" s="20">
        <f>IF($B647="","",IFERROR(INDEX(الموظفات!$E$5:$E$304,MATCH($B647,الموظفات!$B$5:$B$304,0))&amp;"",""))</f>
        <v/>
      </c>
      <c r="O647" s="21">
        <f>IF(C647="","",IFERROR(INDEX(الإعدادات!$D$7:$D$35,MATCH(C647,الإعدادات!$A$7:$A$35,0))&amp;"",""))</f>
        <v/>
      </c>
      <c r="P647" s="20">
        <f>IF(A647="","",INDEX(الإعدادات!$H$7:$H$18,MONTH(A647)))</f>
        <v/>
      </c>
      <c r="Q647" s="20">
        <f>IF(A647="","",INDEX(الإعدادات!$I$7:$I$18,MONTH(A647)))</f>
        <v/>
      </c>
      <c r="R647" s="20">
        <f>IF(A647="","",IF(MONTH(A647)&gt;=8,YEAR(A647)&amp;"-"&amp;(YEAR(A647)+1),(YEAR(A647)-1)&amp;"-"&amp;YEAR(A647)))</f>
        <v/>
      </c>
      <c r="S647" s="20">
        <f>IF(OR(A647="",B647=""),0,IF(AND(R647=التقارير!$C$4,OR(التقارير!$C$5="سنوي",AND(التقارير!$C$5="شهري",P647=التقارير!$C$6),AND(التقارير!$C$5="فصلي",Q647=التقارير!$C$7))),1,0))</f>
        <v/>
      </c>
      <c r="T647" s="20">
        <f>IF(S647=1,COUNTIF($S$5:S647,1),"")</f>
        <v/>
      </c>
      <c r="U647">
        <f>IF(AND($A647&lt;&gt;"",$B647&lt;&gt;"",$R647='تقرير الفصل الأول'!$C$4,$Q647='تقرير الفصل الأول'!$C$7),COUNT(U$4:U646)+1,"")</f>
        <v/>
      </c>
      <c r="V647">
        <f>IF(AND($A647&lt;&gt;"",$B647&lt;&gt;"",$R647='تقرير الفصل الثاني'!$C$4,$Q647='تقرير الفصل الثاني'!$C$7),COUNT(V$4:V646)+1,"")</f>
        <v/>
      </c>
      <c r="W647">
        <f>IF(AND($A647&lt;&gt;"",$B647&lt;&gt;"",$R647='تقرير سبتمبر'!$C$4,$P647='تقرير سبتمبر'!$C$6),COUNT(W$4:W646)+1,"")</f>
        <v/>
      </c>
      <c r="X647">
        <f>IF(AND($A647&lt;&gt;"",$B647&lt;&gt;"",$R647='تقرير أكتوبر'!$C$4,$P647='تقرير أكتوبر'!$C$6),COUNT(X$4:X646)+1,"")</f>
        <v/>
      </c>
      <c r="Y647">
        <f>IF(AND($A647&lt;&gt;"",$B647&lt;&gt;"",$R647='تقرير نوفمبر'!$C$4,$P647='تقرير نوفمبر'!$C$6),COUNT(Y$4:Y646)+1,"")</f>
        <v/>
      </c>
      <c r="Z647">
        <f>IF(AND($A647&lt;&gt;"",$B647&lt;&gt;"",$R647='تقرير ديسمبر'!$C$4,$P647='تقرير ديسمبر'!$C$6),COUNT(Z$4:Z646)+1,"")</f>
        <v/>
      </c>
      <c r="AA647">
        <f>IF(AND($A647&lt;&gt;"",$B647&lt;&gt;"",$R647='تقرير يناير'!$C$4,$P647='تقرير يناير'!$C$6),COUNT(AA$4:AA646)+1,"")</f>
        <v/>
      </c>
      <c r="AB647">
        <f>IF(AND($A647&lt;&gt;"",$B647&lt;&gt;"",$R647='تقرير فبراير'!$C$4,$P647='تقرير فبراير'!$C$6),COUNT(AB$4:AB646)+1,"")</f>
        <v/>
      </c>
      <c r="AC647">
        <f>IF(AND($A647&lt;&gt;"",$B647&lt;&gt;"",$R647='تقرير مارس'!$C$4,$P647='تقرير مارس'!$C$6),COUNT(AC$4:AC646)+1,"")</f>
        <v/>
      </c>
      <c r="AD647">
        <f>IF(AND($A647&lt;&gt;"",$B647&lt;&gt;"",$R647='تقرير أبريل'!$C$4,$P647='تقرير أبريل'!$C$6),COUNT(AD$4:AD646)+1,"")</f>
        <v/>
      </c>
      <c r="AE647">
        <f>IF(AND($A647&lt;&gt;"",$B647&lt;&gt;"",$R647='تقرير مايو'!$C$4,$P647='تقرير مايو'!$C$6),COUNT(AE$4:AE646)+1,"")</f>
        <v/>
      </c>
    </row>
    <row r="648">
      <c r="A648" s="16" t="n"/>
      <c r="B648" s="17" t="n"/>
      <c r="C648" s="17" t="n"/>
      <c r="D648" s="18" t="n"/>
      <c r="E648" s="17" t="n"/>
      <c r="F648" s="17" t="n"/>
      <c r="G648" s="19" t="n"/>
      <c r="H648" s="17" t="n"/>
      <c r="I648" s="17" t="n"/>
      <c r="J648" s="17" t="n"/>
      <c r="K648" s="20">
        <f>IF($B648="","",IFERROR(INDEX(الموظفات!$A$5:$A$304,MATCH($B648,الموظفات!$B$5:$B$304,0))&amp;"",""))</f>
        <v/>
      </c>
      <c r="L648" s="21">
        <f>IF($B648="","",IFERROR(INDEX(الموظفات!$C$5:$C$304,MATCH($B648,الموظفات!$B$5:$B$304,0))&amp;"",""))</f>
        <v/>
      </c>
      <c r="M648" s="20">
        <f>IF($B648="","",IFERROR(INDEX(الموظفات!$D$5:$D$304,MATCH($B648,الموظفات!$B$5:$B$304,0))&amp;"",""))</f>
        <v/>
      </c>
      <c r="N648" s="20">
        <f>IF($B648="","",IFERROR(INDEX(الموظفات!$E$5:$E$304,MATCH($B648,الموظفات!$B$5:$B$304,0))&amp;"",""))</f>
        <v/>
      </c>
      <c r="O648" s="21">
        <f>IF(C648="","",IFERROR(INDEX(الإعدادات!$D$7:$D$35,MATCH(C648,الإعدادات!$A$7:$A$35,0))&amp;"",""))</f>
        <v/>
      </c>
      <c r="P648" s="20">
        <f>IF(A648="","",INDEX(الإعدادات!$H$7:$H$18,MONTH(A648)))</f>
        <v/>
      </c>
      <c r="Q648" s="20">
        <f>IF(A648="","",INDEX(الإعدادات!$I$7:$I$18,MONTH(A648)))</f>
        <v/>
      </c>
      <c r="R648" s="20">
        <f>IF(A648="","",IF(MONTH(A648)&gt;=8,YEAR(A648)&amp;"-"&amp;(YEAR(A648)+1),(YEAR(A648)-1)&amp;"-"&amp;YEAR(A648)))</f>
        <v/>
      </c>
      <c r="S648" s="20">
        <f>IF(OR(A648="",B648=""),0,IF(AND(R648=التقارير!$C$4,OR(التقارير!$C$5="سنوي",AND(التقارير!$C$5="شهري",P648=التقارير!$C$6),AND(التقارير!$C$5="فصلي",Q648=التقارير!$C$7))),1,0))</f>
        <v/>
      </c>
      <c r="T648" s="20">
        <f>IF(S648=1,COUNTIF($S$5:S648,1),"")</f>
        <v/>
      </c>
      <c r="U648">
        <f>IF(AND($A648&lt;&gt;"",$B648&lt;&gt;"",$R648='تقرير الفصل الأول'!$C$4,$Q648='تقرير الفصل الأول'!$C$7),COUNT(U$4:U647)+1,"")</f>
        <v/>
      </c>
      <c r="V648">
        <f>IF(AND($A648&lt;&gt;"",$B648&lt;&gt;"",$R648='تقرير الفصل الثاني'!$C$4,$Q648='تقرير الفصل الثاني'!$C$7),COUNT(V$4:V647)+1,"")</f>
        <v/>
      </c>
      <c r="W648">
        <f>IF(AND($A648&lt;&gt;"",$B648&lt;&gt;"",$R648='تقرير سبتمبر'!$C$4,$P648='تقرير سبتمبر'!$C$6),COUNT(W$4:W647)+1,"")</f>
        <v/>
      </c>
      <c r="X648">
        <f>IF(AND($A648&lt;&gt;"",$B648&lt;&gt;"",$R648='تقرير أكتوبر'!$C$4,$P648='تقرير أكتوبر'!$C$6),COUNT(X$4:X647)+1,"")</f>
        <v/>
      </c>
      <c r="Y648">
        <f>IF(AND($A648&lt;&gt;"",$B648&lt;&gt;"",$R648='تقرير نوفمبر'!$C$4,$P648='تقرير نوفمبر'!$C$6),COUNT(Y$4:Y647)+1,"")</f>
        <v/>
      </c>
      <c r="Z648">
        <f>IF(AND($A648&lt;&gt;"",$B648&lt;&gt;"",$R648='تقرير ديسمبر'!$C$4,$P648='تقرير ديسمبر'!$C$6),COUNT(Z$4:Z647)+1,"")</f>
        <v/>
      </c>
      <c r="AA648">
        <f>IF(AND($A648&lt;&gt;"",$B648&lt;&gt;"",$R648='تقرير يناير'!$C$4,$P648='تقرير يناير'!$C$6),COUNT(AA$4:AA647)+1,"")</f>
        <v/>
      </c>
      <c r="AB648">
        <f>IF(AND($A648&lt;&gt;"",$B648&lt;&gt;"",$R648='تقرير فبراير'!$C$4,$P648='تقرير فبراير'!$C$6),COUNT(AB$4:AB647)+1,"")</f>
        <v/>
      </c>
      <c r="AC648">
        <f>IF(AND($A648&lt;&gt;"",$B648&lt;&gt;"",$R648='تقرير مارس'!$C$4,$P648='تقرير مارس'!$C$6),COUNT(AC$4:AC647)+1,"")</f>
        <v/>
      </c>
      <c r="AD648">
        <f>IF(AND($A648&lt;&gt;"",$B648&lt;&gt;"",$R648='تقرير أبريل'!$C$4,$P648='تقرير أبريل'!$C$6),COUNT(AD$4:AD647)+1,"")</f>
        <v/>
      </c>
      <c r="AE648">
        <f>IF(AND($A648&lt;&gt;"",$B648&lt;&gt;"",$R648='تقرير مايو'!$C$4,$P648='تقرير مايو'!$C$6),COUNT(AE$4:AE647)+1,"")</f>
        <v/>
      </c>
    </row>
    <row r="649">
      <c r="A649" s="16" t="n"/>
      <c r="B649" s="17" t="n"/>
      <c r="C649" s="17" t="n"/>
      <c r="D649" s="18" t="n"/>
      <c r="E649" s="17" t="n"/>
      <c r="F649" s="17" t="n"/>
      <c r="G649" s="19" t="n"/>
      <c r="H649" s="17" t="n"/>
      <c r="I649" s="17" t="n"/>
      <c r="J649" s="17" t="n"/>
      <c r="K649" s="20">
        <f>IF($B649="","",IFERROR(INDEX(الموظفات!$A$5:$A$304,MATCH($B649,الموظفات!$B$5:$B$304,0))&amp;"",""))</f>
        <v/>
      </c>
      <c r="L649" s="21">
        <f>IF($B649="","",IFERROR(INDEX(الموظفات!$C$5:$C$304,MATCH($B649,الموظفات!$B$5:$B$304,0))&amp;"",""))</f>
        <v/>
      </c>
      <c r="M649" s="20">
        <f>IF($B649="","",IFERROR(INDEX(الموظفات!$D$5:$D$304,MATCH($B649,الموظفات!$B$5:$B$304,0))&amp;"",""))</f>
        <v/>
      </c>
      <c r="N649" s="20">
        <f>IF($B649="","",IFERROR(INDEX(الموظفات!$E$5:$E$304,MATCH($B649,الموظفات!$B$5:$B$304,0))&amp;"",""))</f>
        <v/>
      </c>
      <c r="O649" s="21">
        <f>IF(C649="","",IFERROR(INDEX(الإعدادات!$D$7:$D$35,MATCH(C649,الإعدادات!$A$7:$A$35,0))&amp;"",""))</f>
        <v/>
      </c>
      <c r="P649" s="20">
        <f>IF(A649="","",INDEX(الإعدادات!$H$7:$H$18,MONTH(A649)))</f>
        <v/>
      </c>
      <c r="Q649" s="20">
        <f>IF(A649="","",INDEX(الإعدادات!$I$7:$I$18,MONTH(A649)))</f>
        <v/>
      </c>
      <c r="R649" s="20">
        <f>IF(A649="","",IF(MONTH(A649)&gt;=8,YEAR(A649)&amp;"-"&amp;(YEAR(A649)+1),(YEAR(A649)-1)&amp;"-"&amp;YEAR(A649)))</f>
        <v/>
      </c>
      <c r="S649" s="20">
        <f>IF(OR(A649="",B649=""),0,IF(AND(R649=التقارير!$C$4,OR(التقارير!$C$5="سنوي",AND(التقارير!$C$5="شهري",P649=التقارير!$C$6),AND(التقارير!$C$5="فصلي",Q649=التقارير!$C$7))),1,0))</f>
        <v/>
      </c>
      <c r="T649" s="20">
        <f>IF(S649=1,COUNTIF($S$5:S649,1),"")</f>
        <v/>
      </c>
      <c r="U649">
        <f>IF(AND($A649&lt;&gt;"",$B649&lt;&gt;"",$R649='تقرير الفصل الأول'!$C$4,$Q649='تقرير الفصل الأول'!$C$7),COUNT(U$4:U648)+1,"")</f>
        <v/>
      </c>
      <c r="V649">
        <f>IF(AND($A649&lt;&gt;"",$B649&lt;&gt;"",$R649='تقرير الفصل الثاني'!$C$4,$Q649='تقرير الفصل الثاني'!$C$7),COUNT(V$4:V648)+1,"")</f>
        <v/>
      </c>
      <c r="W649">
        <f>IF(AND($A649&lt;&gt;"",$B649&lt;&gt;"",$R649='تقرير سبتمبر'!$C$4,$P649='تقرير سبتمبر'!$C$6),COUNT(W$4:W648)+1,"")</f>
        <v/>
      </c>
      <c r="X649">
        <f>IF(AND($A649&lt;&gt;"",$B649&lt;&gt;"",$R649='تقرير أكتوبر'!$C$4,$P649='تقرير أكتوبر'!$C$6),COUNT(X$4:X648)+1,"")</f>
        <v/>
      </c>
      <c r="Y649">
        <f>IF(AND($A649&lt;&gt;"",$B649&lt;&gt;"",$R649='تقرير نوفمبر'!$C$4,$P649='تقرير نوفمبر'!$C$6),COUNT(Y$4:Y648)+1,"")</f>
        <v/>
      </c>
      <c r="Z649">
        <f>IF(AND($A649&lt;&gt;"",$B649&lt;&gt;"",$R649='تقرير ديسمبر'!$C$4,$P649='تقرير ديسمبر'!$C$6),COUNT(Z$4:Z648)+1,"")</f>
        <v/>
      </c>
      <c r="AA649">
        <f>IF(AND($A649&lt;&gt;"",$B649&lt;&gt;"",$R649='تقرير يناير'!$C$4,$P649='تقرير يناير'!$C$6),COUNT(AA$4:AA648)+1,"")</f>
        <v/>
      </c>
      <c r="AB649">
        <f>IF(AND($A649&lt;&gt;"",$B649&lt;&gt;"",$R649='تقرير فبراير'!$C$4,$P649='تقرير فبراير'!$C$6),COUNT(AB$4:AB648)+1,"")</f>
        <v/>
      </c>
      <c r="AC649">
        <f>IF(AND($A649&lt;&gt;"",$B649&lt;&gt;"",$R649='تقرير مارس'!$C$4,$P649='تقرير مارس'!$C$6),COUNT(AC$4:AC648)+1,"")</f>
        <v/>
      </c>
      <c r="AD649">
        <f>IF(AND($A649&lt;&gt;"",$B649&lt;&gt;"",$R649='تقرير أبريل'!$C$4,$P649='تقرير أبريل'!$C$6),COUNT(AD$4:AD648)+1,"")</f>
        <v/>
      </c>
      <c r="AE649">
        <f>IF(AND($A649&lt;&gt;"",$B649&lt;&gt;"",$R649='تقرير مايو'!$C$4,$P649='تقرير مايو'!$C$6),COUNT(AE$4:AE648)+1,"")</f>
        <v/>
      </c>
    </row>
    <row r="650">
      <c r="A650" s="16" t="n"/>
      <c r="B650" s="17" t="n"/>
      <c r="C650" s="17" t="n"/>
      <c r="D650" s="18" t="n"/>
      <c r="E650" s="17" t="n"/>
      <c r="F650" s="17" t="n"/>
      <c r="G650" s="19" t="n"/>
      <c r="H650" s="17" t="n"/>
      <c r="I650" s="17" t="n"/>
      <c r="J650" s="17" t="n"/>
      <c r="K650" s="20">
        <f>IF($B650="","",IFERROR(INDEX(الموظفات!$A$5:$A$304,MATCH($B650,الموظفات!$B$5:$B$304,0))&amp;"",""))</f>
        <v/>
      </c>
      <c r="L650" s="21">
        <f>IF($B650="","",IFERROR(INDEX(الموظفات!$C$5:$C$304,MATCH($B650,الموظفات!$B$5:$B$304,0))&amp;"",""))</f>
        <v/>
      </c>
      <c r="M650" s="20">
        <f>IF($B650="","",IFERROR(INDEX(الموظفات!$D$5:$D$304,MATCH($B650,الموظفات!$B$5:$B$304,0))&amp;"",""))</f>
        <v/>
      </c>
      <c r="N650" s="20">
        <f>IF($B650="","",IFERROR(INDEX(الموظفات!$E$5:$E$304,MATCH($B650,الموظفات!$B$5:$B$304,0))&amp;"",""))</f>
        <v/>
      </c>
      <c r="O650" s="21">
        <f>IF(C650="","",IFERROR(INDEX(الإعدادات!$D$7:$D$35,MATCH(C650,الإعدادات!$A$7:$A$35,0))&amp;"",""))</f>
        <v/>
      </c>
      <c r="P650" s="20">
        <f>IF(A650="","",INDEX(الإعدادات!$H$7:$H$18,MONTH(A650)))</f>
        <v/>
      </c>
      <c r="Q650" s="20">
        <f>IF(A650="","",INDEX(الإعدادات!$I$7:$I$18,MONTH(A650)))</f>
        <v/>
      </c>
      <c r="R650" s="20">
        <f>IF(A650="","",IF(MONTH(A650)&gt;=8,YEAR(A650)&amp;"-"&amp;(YEAR(A650)+1),(YEAR(A650)-1)&amp;"-"&amp;YEAR(A650)))</f>
        <v/>
      </c>
      <c r="S650" s="20">
        <f>IF(OR(A650="",B650=""),0,IF(AND(R650=التقارير!$C$4,OR(التقارير!$C$5="سنوي",AND(التقارير!$C$5="شهري",P650=التقارير!$C$6),AND(التقارير!$C$5="فصلي",Q650=التقارير!$C$7))),1,0))</f>
        <v/>
      </c>
      <c r="T650" s="20">
        <f>IF(S650=1,COUNTIF($S$5:S650,1),"")</f>
        <v/>
      </c>
      <c r="U650">
        <f>IF(AND($A650&lt;&gt;"",$B650&lt;&gt;"",$R650='تقرير الفصل الأول'!$C$4,$Q650='تقرير الفصل الأول'!$C$7),COUNT(U$4:U649)+1,"")</f>
        <v/>
      </c>
      <c r="V650">
        <f>IF(AND($A650&lt;&gt;"",$B650&lt;&gt;"",$R650='تقرير الفصل الثاني'!$C$4,$Q650='تقرير الفصل الثاني'!$C$7),COUNT(V$4:V649)+1,"")</f>
        <v/>
      </c>
      <c r="W650">
        <f>IF(AND($A650&lt;&gt;"",$B650&lt;&gt;"",$R650='تقرير سبتمبر'!$C$4,$P650='تقرير سبتمبر'!$C$6),COUNT(W$4:W649)+1,"")</f>
        <v/>
      </c>
      <c r="X650">
        <f>IF(AND($A650&lt;&gt;"",$B650&lt;&gt;"",$R650='تقرير أكتوبر'!$C$4,$P650='تقرير أكتوبر'!$C$6),COUNT(X$4:X649)+1,"")</f>
        <v/>
      </c>
      <c r="Y650">
        <f>IF(AND($A650&lt;&gt;"",$B650&lt;&gt;"",$R650='تقرير نوفمبر'!$C$4,$P650='تقرير نوفمبر'!$C$6),COUNT(Y$4:Y649)+1,"")</f>
        <v/>
      </c>
      <c r="Z650">
        <f>IF(AND($A650&lt;&gt;"",$B650&lt;&gt;"",$R650='تقرير ديسمبر'!$C$4,$P650='تقرير ديسمبر'!$C$6),COUNT(Z$4:Z649)+1,"")</f>
        <v/>
      </c>
      <c r="AA650">
        <f>IF(AND($A650&lt;&gt;"",$B650&lt;&gt;"",$R650='تقرير يناير'!$C$4,$P650='تقرير يناير'!$C$6),COUNT(AA$4:AA649)+1,"")</f>
        <v/>
      </c>
      <c r="AB650">
        <f>IF(AND($A650&lt;&gt;"",$B650&lt;&gt;"",$R650='تقرير فبراير'!$C$4,$P650='تقرير فبراير'!$C$6),COUNT(AB$4:AB649)+1,"")</f>
        <v/>
      </c>
      <c r="AC650">
        <f>IF(AND($A650&lt;&gt;"",$B650&lt;&gt;"",$R650='تقرير مارس'!$C$4,$P650='تقرير مارس'!$C$6),COUNT(AC$4:AC649)+1,"")</f>
        <v/>
      </c>
      <c r="AD650">
        <f>IF(AND($A650&lt;&gt;"",$B650&lt;&gt;"",$R650='تقرير أبريل'!$C$4,$P650='تقرير أبريل'!$C$6),COUNT(AD$4:AD649)+1,"")</f>
        <v/>
      </c>
      <c r="AE650">
        <f>IF(AND($A650&lt;&gt;"",$B650&lt;&gt;"",$R650='تقرير مايو'!$C$4,$P650='تقرير مايو'!$C$6),COUNT(AE$4:AE649)+1,"")</f>
        <v/>
      </c>
    </row>
    <row r="651">
      <c r="A651" s="16" t="n"/>
      <c r="B651" s="17" t="n"/>
      <c r="C651" s="17" t="n"/>
      <c r="D651" s="18" t="n"/>
      <c r="E651" s="17" t="n"/>
      <c r="F651" s="17" t="n"/>
      <c r="G651" s="19" t="n"/>
      <c r="H651" s="17" t="n"/>
      <c r="I651" s="17" t="n"/>
      <c r="J651" s="17" t="n"/>
      <c r="K651" s="20">
        <f>IF($B651="","",IFERROR(INDEX(الموظفات!$A$5:$A$304,MATCH($B651,الموظفات!$B$5:$B$304,0))&amp;"",""))</f>
        <v/>
      </c>
      <c r="L651" s="21">
        <f>IF($B651="","",IFERROR(INDEX(الموظفات!$C$5:$C$304,MATCH($B651,الموظفات!$B$5:$B$304,0))&amp;"",""))</f>
        <v/>
      </c>
      <c r="M651" s="20">
        <f>IF($B651="","",IFERROR(INDEX(الموظفات!$D$5:$D$304,MATCH($B651,الموظفات!$B$5:$B$304,0))&amp;"",""))</f>
        <v/>
      </c>
      <c r="N651" s="20">
        <f>IF($B651="","",IFERROR(INDEX(الموظفات!$E$5:$E$304,MATCH($B651,الموظفات!$B$5:$B$304,0))&amp;"",""))</f>
        <v/>
      </c>
      <c r="O651" s="21">
        <f>IF(C651="","",IFERROR(INDEX(الإعدادات!$D$7:$D$35,MATCH(C651,الإعدادات!$A$7:$A$35,0))&amp;"",""))</f>
        <v/>
      </c>
      <c r="P651" s="20">
        <f>IF(A651="","",INDEX(الإعدادات!$H$7:$H$18,MONTH(A651)))</f>
        <v/>
      </c>
      <c r="Q651" s="20">
        <f>IF(A651="","",INDEX(الإعدادات!$I$7:$I$18,MONTH(A651)))</f>
        <v/>
      </c>
      <c r="R651" s="20">
        <f>IF(A651="","",IF(MONTH(A651)&gt;=8,YEAR(A651)&amp;"-"&amp;(YEAR(A651)+1),(YEAR(A651)-1)&amp;"-"&amp;YEAR(A651)))</f>
        <v/>
      </c>
      <c r="S651" s="20">
        <f>IF(OR(A651="",B651=""),0,IF(AND(R651=التقارير!$C$4,OR(التقارير!$C$5="سنوي",AND(التقارير!$C$5="شهري",P651=التقارير!$C$6),AND(التقارير!$C$5="فصلي",Q651=التقارير!$C$7))),1,0))</f>
        <v/>
      </c>
      <c r="T651" s="20">
        <f>IF(S651=1,COUNTIF($S$5:S651,1),"")</f>
        <v/>
      </c>
      <c r="U651">
        <f>IF(AND($A651&lt;&gt;"",$B651&lt;&gt;"",$R651='تقرير الفصل الأول'!$C$4,$Q651='تقرير الفصل الأول'!$C$7),COUNT(U$4:U650)+1,"")</f>
        <v/>
      </c>
      <c r="V651">
        <f>IF(AND($A651&lt;&gt;"",$B651&lt;&gt;"",$R651='تقرير الفصل الثاني'!$C$4,$Q651='تقرير الفصل الثاني'!$C$7),COUNT(V$4:V650)+1,"")</f>
        <v/>
      </c>
      <c r="W651">
        <f>IF(AND($A651&lt;&gt;"",$B651&lt;&gt;"",$R651='تقرير سبتمبر'!$C$4,$P651='تقرير سبتمبر'!$C$6),COUNT(W$4:W650)+1,"")</f>
        <v/>
      </c>
      <c r="X651">
        <f>IF(AND($A651&lt;&gt;"",$B651&lt;&gt;"",$R651='تقرير أكتوبر'!$C$4,$P651='تقرير أكتوبر'!$C$6),COUNT(X$4:X650)+1,"")</f>
        <v/>
      </c>
      <c r="Y651">
        <f>IF(AND($A651&lt;&gt;"",$B651&lt;&gt;"",$R651='تقرير نوفمبر'!$C$4,$P651='تقرير نوفمبر'!$C$6),COUNT(Y$4:Y650)+1,"")</f>
        <v/>
      </c>
      <c r="Z651">
        <f>IF(AND($A651&lt;&gt;"",$B651&lt;&gt;"",$R651='تقرير ديسمبر'!$C$4,$P651='تقرير ديسمبر'!$C$6),COUNT(Z$4:Z650)+1,"")</f>
        <v/>
      </c>
      <c r="AA651">
        <f>IF(AND($A651&lt;&gt;"",$B651&lt;&gt;"",$R651='تقرير يناير'!$C$4,$P651='تقرير يناير'!$C$6),COUNT(AA$4:AA650)+1,"")</f>
        <v/>
      </c>
      <c r="AB651">
        <f>IF(AND($A651&lt;&gt;"",$B651&lt;&gt;"",$R651='تقرير فبراير'!$C$4,$P651='تقرير فبراير'!$C$6),COUNT(AB$4:AB650)+1,"")</f>
        <v/>
      </c>
      <c r="AC651">
        <f>IF(AND($A651&lt;&gt;"",$B651&lt;&gt;"",$R651='تقرير مارس'!$C$4,$P651='تقرير مارس'!$C$6),COUNT(AC$4:AC650)+1,"")</f>
        <v/>
      </c>
      <c r="AD651">
        <f>IF(AND($A651&lt;&gt;"",$B651&lt;&gt;"",$R651='تقرير أبريل'!$C$4,$P651='تقرير أبريل'!$C$6),COUNT(AD$4:AD650)+1,"")</f>
        <v/>
      </c>
      <c r="AE651">
        <f>IF(AND($A651&lt;&gt;"",$B651&lt;&gt;"",$R651='تقرير مايو'!$C$4,$P651='تقرير مايو'!$C$6),COUNT(AE$4:AE650)+1,"")</f>
        <v/>
      </c>
    </row>
    <row r="652">
      <c r="A652" s="16" t="n"/>
      <c r="B652" s="17" t="n"/>
      <c r="C652" s="17" t="n"/>
      <c r="D652" s="18" t="n"/>
      <c r="E652" s="17" t="n"/>
      <c r="F652" s="17" t="n"/>
      <c r="G652" s="19" t="n"/>
      <c r="H652" s="17" t="n"/>
      <c r="I652" s="17" t="n"/>
      <c r="J652" s="17" t="n"/>
      <c r="K652" s="20">
        <f>IF($B652="","",IFERROR(INDEX(الموظفات!$A$5:$A$304,MATCH($B652,الموظفات!$B$5:$B$304,0))&amp;"",""))</f>
        <v/>
      </c>
      <c r="L652" s="21">
        <f>IF($B652="","",IFERROR(INDEX(الموظفات!$C$5:$C$304,MATCH($B652,الموظفات!$B$5:$B$304,0))&amp;"",""))</f>
        <v/>
      </c>
      <c r="M652" s="20">
        <f>IF($B652="","",IFERROR(INDEX(الموظفات!$D$5:$D$304,MATCH($B652,الموظفات!$B$5:$B$304,0))&amp;"",""))</f>
        <v/>
      </c>
      <c r="N652" s="20">
        <f>IF($B652="","",IFERROR(INDEX(الموظفات!$E$5:$E$304,MATCH($B652,الموظفات!$B$5:$B$304,0))&amp;"",""))</f>
        <v/>
      </c>
      <c r="O652" s="21">
        <f>IF(C652="","",IFERROR(INDEX(الإعدادات!$D$7:$D$35,MATCH(C652,الإعدادات!$A$7:$A$35,0))&amp;"",""))</f>
        <v/>
      </c>
      <c r="P652" s="20">
        <f>IF(A652="","",INDEX(الإعدادات!$H$7:$H$18,MONTH(A652)))</f>
        <v/>
      </c>
      <c r="Q652" s="20">
        <f>IF(A652="","",INDEX(الإعدادات!$I$7:$I$18,MONTH(A652)))</f>
        <v/>
      </c>
      <c r="R652" s="20">
        <f>IF(A652="","",IF(MONTH(A652)&gt;=8,YEAR(A652)&amp;"-"&amp;(YEAR(A652)+1),(YEAR(A652)-1)&amp;"-"&amp;YEAR(A652)))</f>
        <v/>
      </c>
      <c r="S652" s="20">
        <f>IF(OR(A652="",B652=""),0,IF(AND(R652=التقارير!$C$4,OR(التقارير!$C$5="سنوي",AND(التقارير!$C$5="شهري",P652=التقارير!$C$6),AND(التقارير!$C$5="فصلي",Q652=التقارير!$C$7))),1,0))</f>
        <v/>
      </c>
      <c r="T652" s="20">
        <f>IF(S652=1,COUNTIF($S$5:S652,1),"")</f>
        <v/>
      </c>
      <c r="U652">
        <f>IF(AND($A652&lt;&gt;"",$B652&lt;&gt;"",$R652='تقرير الفصل الأول'!$C$4,$Q652='تقرير الفصل الأول'!$C$7),COUNT(U$4:U651)+1,"")</f>
        <v/>
      </c>
      <c r="V652">
        <f>IF(AND($A652&lt;&gt;"",$B652&lt;&gt;"",$R652='تقرير الفصل الثاني'!$C$4,$Q652='تقرير الفصل الثاني'!$C$7),COUNT(V$4:V651)+1,"")</f>
        <v/>
      </c>
      <c r="W652">
        <f>IF(AND($A652&lt;&gt;"",$B652&lt;&gt;"",$R652='تقرير سبتمبر'!$C$4,$P652='تقرير سبتمبر'!$C$6),COUNT(W$4:W651)+1,"")</f>
        <v/>
      </c>
      <c r="X652">
        <f>IF(AND($A652&lt;&gt;"",$B652&lt;&gt;"",$R652='تقرير أكتوبر'!$C$4,$P652='تقرير أكتوبر'!$C$6),COUNT(X$4:X651)+1,"")</f>
        <v/>
      </c>
      <c r="Y652">
        <f>IF(AND($A652&lt;&gt;"",$B652&lt;&gt;"",$R652='تقرير نوفمبر'!$C$4,$P652='تقرير نوفمبر'!$C$6),COUNT(Y$4:Y651)+1,"")</f>
        <v/>
      </c>
      <c r="Z652">
        <f>IF(AND($A652&lt;&gt;"",$B652&lt;&gt;"",$R652='تقرير ديسمبر'!$C$4,$P652='تقرير ديسمبر'!$C$6),COUNT(Z$4:Z651)+1,"")</f>
        <v/>
      </c>
      <c r="AA652">
        <f>IF(AND($A652&lt;&gt;"",$B652&lt;&gt;"",$R652='تقرير يناير'!$C$4,$P652='تقرير يناير'!$C$6),COUNT(AA$4:AA651)+1,"")</f>
        <v/>
      </c>
      <c r="AB652">
        <f>IF(AND($A652&lt;&gt;"",$B652&lt;&gt;"",$R652='تقرير فبراير'!$C$4,$P652='تقرير فبراير'!$C$6),COUNT(AB$4:AB651)+1,"")</f>
        <v/>
      </c>
      <c r="AC652">
        <f>IF(AND($A652&lt;&gt;"",$B652&lt;&gt;"",$R652='تقرير مارس'!$C$4,$P652='تقرير مارس'!$C$6),COUNT(AC$4:AC651)+1,"")</f>
        <v/>
      </c>
      <c r="AD652">
        <f>IF(AND($A652&lt;&gt;"",$B652&lt;&gt;"",$R652='تقرير أبريل'!$C$4,$P652='تقرير أبريل'!$C$6),COUNT(AD$4:AD651)+1,"")</f>
        <v/>
      </c>
      <c r="AE652">
        <f>IF(AND($A652&lt;&gt;"",$B652&lt;&gt;"",$R652='تقرير مايو'!$C$4,$P652='تقرير مايو'!$C$6),COUNT(AE$4:AE651)+1,"")</f>
        <v/>
      </c>
    </row>
    <row r="653">
      <c r="A653" s="16" t="n"/>
      <c r="B653" s="17" t="n"/>
      <c r="C653" s="17" t="n"/>
      <c r="D653" s="18" t="n"/>
      <c r="E653" s="17" t="n"/>
      <c r="F653" s="17" t="n"/>
      <c r="G653" s="19" t="n"/>
      <c r="H653" s="17" t="n"/>
      <c r="I653" s="17" t="n"/>
      <c r="J653" s="17" t="n"/>
      <c r="K653" s="20">
        <f>IF($B653="","",IFERROR(INDEX(الموظفات!$A$5:$A$304,MATCH($B653,الموظفات!$B$5:$B$304,0))&amp;"",""))</f>
        <v/>
      </c>
      <c r="L653" s="21">
        <f>IF($B653="","",IFERROR(INDEX(الموظفات!$C$5:$C$304,MATCH($B653,الموظفات!$B$5:$B$304,0))&amp;"",""))</f>
        <v/>
      </c>
      <c r="M653" s="20">
        <f>IF($B653="","",IFERROR(INDEX(الموظفات!$D$5:$D$304,MATCH($B653,الموظفات!$B$5:$B$304,0))&amp;"",""))</f>
        <v/>
      </c>
      <c r="N653" s="20">
        <f>IF($B653="","",IFERROR(INDEX(الموظفات!$E$5:$E$304,MATCH($B653,الموظفات!$B$5:$B$304,0))&amp;"",""))</f>
        <v/>
      </c>
      <c r="O653" s="21">
        <f>IF(C653="","",IFERROR(INDEX(الإعدادات!$D$7:$D$35,MATCH(C653,الإعدادات!$A$7:$A$35,0))&amp;"",""))</f>
        <v/>
      </c>
      <c r="P653" s="20">
        <f>IF(A653="","",INDEX(الإعدادات!$H$7:$H$18,MONTH(A653)))</f>
        <v/>
      </c>
      <c r="Q653" s="20">
        <f>IF(A653="","",INDEX(الإعدادات!$I$7:$I$18,MONTH(A653)))</f>
        <v/>
      </c>
      <c r="R653" s="20">
        <f>IF(A653="","",IF(MONTH(A653)&gt;=8,YEAR(A653)&amp;"-"&amp;(YEAR(A653)+1),(YEAR(A653)-1)&amp;"-"&amp;YEAR(A653)))</f>
        <v/>
      </c>
      <c r="S653" s="20">
        <f>IF(OR(A653="",B653=""),0,IF(AND(R653=التقارير!$C$4,OR(التقارير!$C$5="سنوي",AND(التقارير!$C$5="شهري",P653=التقارير!$C$6),AND(التقارير!$C$5="فصلي",Q653=التقارير!$C$7))),1,0))</f>
        <v/>
      </c>
      <c r="T653" s="20">
        <f>IF(S653=1,COUNTIF($S$5:S653,1),"")</f>
        <v/>
      </c>
      <c r="U653">
        <f>IF(AND($A653&lt;&gt;"",$B653&lt;&gt;"",$R653='تقرير الفصل الأول'!$C$4,$Q653='تقرير الفصل الأول'!$C$7),COUNT(U$4:U652)+1,"")</f>
        <v/>
      </c>
      <c r="V653">
        <f>IF(AND($A653&lt;&gt;"",$B653&lt;&gt;"",$R653='تقرير الفصل الثاني'!$C$4,$Q653='تقرير الفصل الثاني'!$C$7),COUNT(V$4:V652)+1,"")</f>
        <v/>
      </c>
      <c r="W653">
        <f>IF(AND($A653&lt;&gt;"",$B653&lt;&gt;"",$R653='تقرير سبتمبر'!$C$4,$P653='تقرير سبتمبر'!$C$6),COUNT(W$4:W652)+1,"")</f>
        <v/>
      </c>
      <c r="X653">
        <f>IF(AND($A653&lt;&gt;"",$B653&lt;&gt;"",$R653='تقرير أكتوبر'!$C$4,$P653='تقرير أكتوبر'!$C$6),COUNT(X$4:X652)+1,"")</f>
        <v/>
      </c>
      <c r="Y653">
        <f>IF(AND($A653&lt;&gt;"",$B653&lt;&gt;"",$R653='تقرير نوفمبر'!$C$4,$P653='تقرير نوفمبر'!$C$6),COUNT(Y$4:Y652)+1,"")</f>
        <v/>
      </c>
      <c r="Z653">
        <f>IF(AND($A653&lt;&gt;"",$B653&lt;&gt;"",$R653='تقرير ديسمبر'!$C$4,$P653='تقرير ديسمبر'!$C$6),COUNT(Z$4:Z652)+1,"")</f>
        <v/>
      </c>
      <c r="AA653">
        <f>IF(AND($A653&lt;&gt;"",$B653&lt;&gt;"",$R653='تقرير يناير'!$C$4,$P653='تقرير يناير'!$C$6),COUNT(AA$4:AA652)+1,"")</f>
        <v/>
      </c>
      <c r="AB653">
        <f>IF(AND($A653&lt;&gt;"",$B653&lt;&gt;"",$R653='تقرير فبراير'!$C$4,$P653='تقرير فبراير'!$C$6),COUNT(AB$4:AB652)+1,"")</f>
        <v/>
      </c>
      <c r="AC653">
        <f>IF(AND($A653&lt;&gt;"",$B653&lt;&gt;"",$R653='تقرير مارس'!$C$4,$P653='تقرير مارس'!$C$6),COUNT(AC$4:AC652)+1,"")</f>
        <v/>
      </c>
      <c r="AD653">
        <f>IF(AND($A653&lt;&gt;"",$B653&lt;&gt;"",$R653='تقرير أبريل'!$C$4,$P653='تقرير أبريل'!$C$6),COUNT(AD$4:AD652)+1,"")</f>
        <v/>
      </c>
      <c r="AE653">
        <f>IF(AND($A653&lt;&gt;"",$B653&lt;&gt;"",$R653='تقرير مايو'!$C$4,$P653='تقرير مايو'!$C$6),COUNT(AE$4:AE652)+1,"")</f>
        <v/>
      </c>
    </row>
    <row r="654">
      <c r="A654" s="16" t="n"/>
      <c r="B654" s="17" t="n"/>
      <c r="C654" s="17" t="n"/>
      <c r="D654" s="18" t="n"/>
      <c r="E654" s="17" t="n"/>
      <c r="F654" s="17" t="n"/>
      <c r="G654" s="19" t="n"/>
      <c r="H654" s="17" t="n"/>
      <c r="I654" s="17" t="n"/>
      <c r="J654" s="17" t="n"/>
      <c r="K654" s="20">
        <f>IF($B654="","",IFERROR(INDEX(الموظفات!$A$5:$A$304,MATCH($B654,الموظفات!$B$5:$B$304,0))&amp;"",""))</f>
        <v/>
      </c>
      <c r="L654" s="21">
        <f>IF($B654="","",IFERROR(INDEX(الموظفات!$C$5:$C$304,MATCH($B654,الموظفات!$B$5:$B$304,0))&amp;"",""))</f>
        <v/>
      </c>
      <c r="M654" s="20">
        <f>IF($B654="","",IFERROR(INDEX(الموظفات!$D$5:$D$304,MATCH($B654,الموظفات!$B$5:$B$304,0))&amp;"",""))</f>
        <v/>
      </c>
      <c r="N654" s="20">
        <f>IF($B654="","",IFERROR(INDEX(الموظفات!$E$5:$E$304,MATCH($B654,الموظفات!$B$5:$B$304,0))&amp;"",""))</f>
        <v/>
      </c>
      <c r="O654" s="21">
        <f>IF(C654="","",IFERROR(INDEX(الإعدادات!$D$7:$D$35,MATCH(C654,الإعدادات!$A$7:$A$35,0))&amp;"",""))</f>
        <v/>
      </c>
      <c r="P654" s="20">
        <f>IF(A654="","",INDEX(الإعدادات!$H$7:$H$18,MONTH(A654)))</f>
        <v/>
      </c>
      <c r="Q654" s="20">
        <f>IF(A654="","",INDEX(الإعدادات!$I$7:$I$18,MONTH(A654)))</f>
        <v/>
      </c>
      <c r="R654" s="20">
        <f>IF(A654="","",IF(MONTH(A654)&gt;=8,YEAR(A654)&amp;"-"&amp;(YEAR(A654)+1),(YEAR(A654)-1)&amp;"-"&amp;YEAR(A654)))</f>
        <v/>
      </c>
      <c r="S654" s="20">
        <f>IF(OR(A654="",B654=""),0,IF(AND(R654=التقارير!$C$4,OR(التقارير!$C$5="سنوي",AND(التقارير!$C$5="شهري",P654=التقارير!$C$6),AND(التقارير!$C$5="فصلي",Q654=التقارير!$C$7))),1,0))</f>
        <v/>
      </c>
      <c r="T654" s="20">
        <f>IF(S654=1,COUNTIF($S$5:S654,1),"")</f>
        <v/>
      </c>
      <c r="U654">
        <f>IF(AND($A654&lt;&gt;"",$B654&lt;&gt;"",$R654='تقرير الفصل الأول'!$C$4,$Q654='تقرير الفصل الأول'!$C$7),COUNT(U$4:U653)+1,"")</f>
        <v/>
      </c>
      <c r="V654">
        <f>IF(AND($A654&lt;&gt;"",$B654&lt;&gt;"",$R654='تقرير الفصل الثاني'!$C$4,$Q654='تقرير الفصل الثاني'!$C$7),COUNT(V$4:V653)+1,"")</f>
        <v/>
      </c>
      <c r="W654">
        <f>IF(AND($A654&lt;&gt;"",$B654&lt;&gt;"",$R654='تقرير سبتمبر'!$C$4,$P654='تقرير سبتمبر'!$C$6),COUNT(W$4:W653)+1,"")</f>
        <v/>
      </c>
      <c r="X654">
        <f>IF(AND($A654&lt;&gt;"",$B654&lt;&gt;"",$R654='تقرير أكتوبر'!$C$4,$P654='تقرير أكتوبر'!$C$6),COUNT(X$4:X653)+1,"")</f>
        <v/>
      </c>
      <c r="Y654">
        <f>IF(AND($A654&lt;&gt;"",$B654&lt;&gt;"",$R654='تقرير نوفمبر'!$C$4,$P654='تقرير نوفمبر'!$C$6),COUNT(Y$4:Y653)+1,"")</f>
        <v/>
      </c>
      <c r="Z654">
        <f>IF(AND($A654&lt;&gt;"",$B654&lt;&gt;"",$R654='تقرير ديسمبر'!$C$4,$P654='تقرير ديسمبر'!$C$6),COUNT(Z$4:Z653)+1,"")</f>
        <v/>
      </c>
      <c r="AA654">
        <f>IF(AND($A654&lt;&gt;"",$B654&lt;&gt;"",$R654='تقرير يناير'!$C$4,$P654='تقرير يناير'!$C$6),COUNT(AA$4:AA653)+1,"")</f>
        <v/>
      </c>
      <c r="AB654">
        <f>IF(AND($A654&lt;&gt;"",$B654&lt;&gt;"",$R654='تقرير فبراير'!$C$4,$P654='تقرير فبراير'!$C$6),COUNT(AB$4:AB653)+1,"")</f>
        <v/>
      </c>
      <c r="AC654">
        <f>IF(AND($A654&lt;&gt;"",$B654&lt;&gt;"",$R654='تقرير مارس'!$C$4,$P654='تقرير مارس'!$C$6),COUNT(AC$4:AC653)+1,"")</f>
        <v/>
      </c>
      <c r="AD654">
        <f>IF(AND($A654&lt;&gt;"",$B654&lt;&gt;"",$R654='تقرير أبريل'!$C$4,$P654='تقرير أبريل'!$C$6),COUNT(AD$4:AD653)+1,"")</f>
        <v/>
      </c>
      <c r="AE654">
        <f>IF(AND($A654&lt;&gt;"",$B654&lt;&gt;"",$R654='تقرير مايو'!$C$4,$P654='تقرير مايو'!$C$6),COUNT(AE$4:AE653)+1,"")</f>
        <v/>
      </c>
    </row>
    <row r="655">
      <c r="A655" s="16" t="n"/>
      <c r="B655" s="17" t="n"/>
      <c r="C655" s="17" t="n"/>
      <c r="D655" s="18" t="n"/>
      <c r="E655" s="17" t="n"/>
      <c r="F655" s="17" t="n"/>
      <c r="G655" s="19" t="n"/>
      <c r="H655" s="17" t="n"/>
      <c r="I655" s="17" t="n"/>
      <c r="J655" s="17" t="n"/>
      <c r="K655" s="20">
        <f>IF($B655="","",IFERROR(INDEX(الموظفات!$A$5:$A$304,MATCH($B655,الموظفات!$B$5:$B$304,0))&amp;"",""))</f>
        <v/>
      </c>
      <c r="L655" s="21">
        <f>IF($B655="","",IFERROR(INDEX(الموظفات!$C$5:$C$304,MATCH($B655,الموظفات!$B$5:$B$304,0))&amp;"",""))</f>
        <v/>
      </c>
      <c r="M655" s="20">
        <f>IF($B655="","",IFERROR(INDEX(الموظفات!$D$5:$D$304,MATCH($B655,الموظفات!$B$5:$B$304,0))&amp;"",""))</f>
        <v/>
      </c>
      <c r="N655" s="20">
        <f>IF($B655="","",IFERROR(INDEX(الموظفات!$E$5:$E$304,MATCH($B655,الموظفات!$B$5:$B$304,0))&amp;"",""))</f>
        <v/>
      </c>
      <c r="O655" s="21">
        <f>IF(C655="","",IFERROR(INDEX(الإعدادات!$D$7:$D$35,MATCH(C655,الإعدادات!$A$7:$A$35,0))&amp;"",""))</f>
        <v/>
      </c>
      <c r="P655" s="20">
        <f>IF(A655="","",INDEX(الإعدادات!$H$7:$H$18,MONTH(A655)))</f>
        <v/>
      </c>
      <c r="Q655" s="20">
        <f>IF(A655="","",INDEX(الإعدادات!$I$7:$I$18,MONTH(A655)))</f>
        <v/>
      </c>
      <c r="R655" s="20">
        <f>IF(A655="","",IF(MONTH(A655)&gt;=8,YEAR(A655)&amp;"-"&amp;(YEAR(A655)+1),(YEAR(A655)-1)&amp;"-"&amp;YEAR(A655)))</f>
        <v/>
      </c>
      <c r="S655" s="20">
        <f>IF(OR(A655="",B655=""),0,IF(AND(R655=التقارير!$C$4,OR(التقارير!$C$5="سنوي",AND(التقارير!$C$5="شهري",P655=التقارير!$C$6),AND(التقارير!$C$5="فصلي",Q655=التقارير!$C$7))),1,0))</f>
        <v/>
      </c>
      <c r="T655" s="20">
        <f>IF(S655=1,COUNTIF($S$5:S655,1),"")</f>
        <v/>
      </c>
      <c r="U655">
        <f>IF(AND($A655&lt;&gt;"",$B655&lt;&gt;"",$R655='تقرير الفصل الأول'!$C$4,$Q655='تقرير الفصل الأول'!$C$7),COUNT(U$4:U654)+1,"")</f>
        <v/>
      </c>
      <c r="V655">
        <f>IF(AND($A655&lt;&gt;"",$B655&lt;&gt;"",$R655='تقرير الفصل الثاني'!$C$4,$Q655='تقرير الفصل الثاني'!$C$7),COUNT(V$4:V654)+1,"")</f>
        <v/>
      </c>
      <c r="W655">
        <f>IF(AND($A655&lt;&gt;"",$B655&lt;&gt;"",$R655='تقرير سبتمبر'!$C$4,$P655='تقرير سبتمبر'!$C$6),COUNT(W$4:W654)+1,"")</f>
        <v/>
      </c>
      <c r="X655">
        <f>IF(AND($A655&lt;&gt;"",$B655&lt;&gt;"",$R655='تقرير أكتوبر'!$C$4,$P655='تقرير أكتوبر'!$C$6),COUNT(X$4:X654)+1,"")</f>
        <v/>
      </c>
      <c r="Y655">
        <f>IF(AND($A655&lt;&gt;"",$B655&lt;&gt;"",$R655='تقرير نوفمبر'!$C$4,$P655='تقرير نوفمبر'!$C$6),COUNT(Y$4:Y654)+1,"")</f>
        <v/>
      </c>
      <c r="Z655">
        <f>IF(AND($A655&lt;&gt;"",$B655&lt;&gt;"",$R655='تقرير ديسمبر'!$C$4,$P655='تقرير ديسمبر'!$C$6),COUNT(Z$4:Z654)+1,"")</f>
        <v/>
      </c>
      <c r="AA655">
        <f>IF(AND($A655&lt;&gt;"",$B655&lt;&gt;"",$R655='تقرير يناير'!$C$4,$P655='تقرير يناير'!$C$6),COUNT(AA$4:AA654)+1,"")</f>
        <v/>
      </c>
      <c r="AB655">
        <f>IF(AND($A655&lt;&gt;"",$B655&lt;&gt;"",$R655='تقرير فبراير'!$C$4,$P655='تقرير فبراير'!$C$6),COUNT(AB$4:AB654)+1,"")</f>
        <v/>
      </c>
      <c r="AC655">
        <f>IF(AND($A655&lt;&gt;"",$B655&lt;&gt;"",$R655='تقرير مارس'!$C$4,$P655='تقرير مارس'!$C$6),COUNT(AC$4:AC654)+1,"")</f>
        <v/>
      </c>
      <c r="AD655">
        <f>IF(AND($A655&lt;&gt;"",$B655&lt;&gt;"",$R655='تقرير أبريل'!$C$4,$P655='تقرير أبريل'!$C$6),COUNT(AD$4:AD654)+1,"")</f>
        <v/>
      </c>
      <c r="AE655">
        <f>IF(AND($A655&lt;&gt;"",$B655&lt;&gt;"",$R655='تقرير مايو'!$C$4,$P655='تقرير مايو'!$C$6),COUNT(AE$4:AE654)+1,"")</f>
        <v/>
      </c>
    </row>
    <row r="656">
      <c r="A656" s="16" t="n"/>
      <c r="B656" s="17" t="n"/>
      <c r="C656" s="17" t="n"/>
      <c r="D656" s="18" t="n"/>
      <c r="E656" s="17" t="n"/>
      <c r="F656" s="17" t="n"/>
      <c r="G656" s="19" t="n"/>
      <c r="H656" s="17" t="n"/>
      <c r="I656" s="17" t="n"/>
      <c r="J656" s="17" t="n"/>
      <c r="K656" s="20">
        <f>IF($B656="","",IFERROR(INDEX(الموظفات!$A$5:$A$304,MATCH($B656,الموظفات!$B$5:$B$304,0))&amp;"",""))</f>
        <v/>
      </c>
      <c r="L656" s="21">
        <f>IF($B656="","",IFERROR(INDEX(الموظفات!$C$5:$C$304,MATCH($B656,الموظفات!$B$5:$B$304,0))&amp;"",""))</f>
        <v/>
      </c>
      <c r="M656" s="20">
        <f>IF($B656="","",IFERROR(INDEX(الموظفات!$D$5:$D$304,MATCH($B656,الموظفات!$B$5:$B$304,0))&amp;"",""))</f>
        <v/>
      </c>
      <c r="N656" s="20">
        <f>IF($B656="","",IFERROR(INDEX(الموظفات!$E$5:$E$304,MATCH($B656,الموظفات!$B$5:$B$304,0))&amp;"",""))</f>
        <v/>
      </c>
      <c r="O656" s="21">
        <f>IF(C656="","",IFERROR(INDEX(الإعدادات!$D$7:$D$35,MATCH(C656,الإعدادات!$A$7:$A$35,0))&amp;"",""))</f>
        <v/>
      </c>
      <c r="P656" s="20">
        <f>IF(A656="","",INDEX(الإعدادات!$H$7:$H$18,MONTH(A656)))</f>
        <v/>
      </c>
      <c r="Q656" s="20">
        <f>IF(A656="","",INDEX(الإعدادات!$I$7:$I$18,MONTH(A656)))</f>
        <v/>
      </c>
      <c r="R656" s="20">
        <f>IF(A656="","",IF(MONTH(A656)&gt;=8,YEAR(A656)&amp;"-"&amp;(YEAR(A656)+1),(YEAR(A656)-1)&amp;"-"&amp;YEAR(A656)))</f>
        <v/>
      </c>
      <c r="S656" s="20">
        <f>IF(OR(A656="",B656=""),0,IF(AND(R656=التقارير!$C$4,OR(التقارير!$C$5="سنوي",AND(التقارير!$C$5="شهري",P656=التقارير!$C$6),AND(التقارير!$C$5="فصلي",Q656=التقارير!$C$7))),1,0))</f>
        <v/>
      </c>
      <c r="T656" s="20">
        <f>IF(S656=1,COUNTIF($S$5:S656,1),"")</f>
        <v/>
      </c>
      <c r="U656">
        <f>IF(AND($A656&lt;&gt;"",$B656&lt;&gt;"",$R656='تقرير الفصل الأول'!$C$4,$Q656='تقرير الفصل الأول'!$C$7),COUNT(U$4:U655)+1,"")</f>
        <v/>
      </c>
      <c r="V656">
        <f>IF(AND($A656&lt;&gt;"",$B656&lt;&gt;"",$R656='تقرير الفصل الثاني'!$C$4,$Q656='تقرير الفصل الثاني'!$C$7),COUNT(V$4:V655)+1,"")</f>
        <v/>
      </c>
      <c r="W656">
        <f>IF(AND($A656&lt;&gt;"",$B656&lt;&gt;"",$R656='تقرير سبتمبر'!$C$4,$P656='تقرير سبتمبر'!$C$6),COUNT(W$4:W655)+1,"")</f>
        <v/>
      </c>
      <c r="X656">
        <f>IF(AND($A656&lt;&gt;"",$B656&lt;&gt;"",$R656='تقرير أكتوبر'!$C$4,$P656='تقرير أكتوبر'!$C$6),COUNT(X$4:X655)+1,"")</f>
        <v/>
      </c>
      <c r="Y656">
        <f>IF(AND($A656&lt;&gt;"",$B656&lt;&gt;"",$R656='تقرير نوفمبر'!$C$4,$P656='تقرير نوفمبر'!$C$6),COUNT(Y$4:Y655)+1,"")</f>
        <v/>
      </c>
      <c r="Z656">
        <f>IF(AND($A656&lt;&gt;"",$B656&lt;&gt;"",$R656='تقرير ديسمبر'!$C$4,$P656='تقرير ديسمبر'!$C$6),COUNT(Z$4:Z655)+1,"")</f>
        <v/>
      </c>
      <c r="AA656">
        <f>IF(AND($A656&lt;&gt;"",$B656&lt;&gt;"",$R656='تقرير يناير'!$C$4,$P656='تقرير يناير'!$C$6),COUNT(AA$4:AA655)+1,"")</f>
        <v/>
      </c>
      <c r="AB656">
        <f>IF(AND($A656&lt;&gt;"",$B656&lt;&gt;"",$R656='تقرير فبراير'!$C$4,$P656='تقرير فبراير'!$C$6),COUNT(AB$4:AB655)+1,"")</f>
        <v/>
      </c>
      <c r="AC656">
        <f>IF(AND($A656&lt;&gt;"",$B656&lt;&gt;"",$R656='تقرير مارس'!$C$4,$P656='تقرير مارس'!$C$6),COUNT(AC$4:AC655)+1,"")</f>
        <v/>
      </c>
      <c r="AD656">
        <f>IF(AND($A656&lt;&gt;"",$B656&lt;&gt;"",$R656='تقرير أبريل'!$C$4,$P656='تقرير أبريل'!$C$6),COUNT(AD$4:AD655)+1,"")</f>
        <v/>
      </c>
      <c r="AE656">
        <f>IF(AND($A656&lt;&gt;"",$B656&lt;&gt;"",$R656='تقرير مايو'!$C$4,$P656='تقرير مايو'!$C$6),COUNT(AE$4:AE655)+1,"")</f>
        <v/>
      </c>
    </row>
    <row r="657">
      <c r="A657" s="16" t="n"/>
      <c r="B657" s="17" t="n"/>
      <c r="C657" s="17" t="n"/>
      <c r="D657" s="18" t="n"/>
      <c r="E657" s="17" t="n"/>
      <c r="F657" s="17" t="n"/>
      <c r="G657" s="19" t="n"/>
      <c r="H657" s="17" t="n"/>
      <c r="I657" s="17" t="n"/>
      <c r="J657" s="17" t="n"/>
      <c r="K657" s="20">
        <f>IF($B657="","",IFERROR(INDEX(الموظفات!$A$5:$A$304,MATCH($B657,الموظفات!$B$5:$B$304,0))&amp;"",""))</f>
        <v/>
      </c>
      <c r="L657" s="21">
        <f>IF($B657="","",IFERROR(INDEX(الموظفات!$C$5:$C$304,MATCH($B657,الموظفات!$B$5:$B$304,0))&amp;"",""))</f>
        <v/>
      </c>
      <c r="M657" s="20">
        <f>IF($B657="","",IFERROR(INDEX(الموظفات!$D$5:$D$304,MATCH($B657,الموظفات!$B$5:$B$304,0))&amp;"",""))</f>
        <v/>
      </c>
      <c r="N657" s="20">
        <f>IF($B657="","",IFERROR(INDEX(الموظفات!$E$5:$E$304,MATCH($B657,الموظفات!$B$5:$B$304,0))&amp;"",""))</f>
        <v/>
      </c>
      <c r="O657" s="21">
        <f>IF(C657="","",IFERROR(INDEX(الإعدادات!$D$7:$D$35,MATCH(C657,الإعدادات!$A$7:$A$35,0))&amp;"",""))</f>
        <v/>
      </c>
      <c r="P657" s="20">
        <f>IF(A657="","",INDEX(الإعدادات!$H$7:$H$18,MONTH(A657)))</f>
        <v/>
      </c>
      <c r="Q657" s="20">
        <f>IF(A657="","",INDEX(الإعدادات!$I$7:$I$18,MONTH(A657)))</f>
        <v/>
      </c>
      <c r="R657" s="20">
        <f>IF(A657="","",IF(MONTH(A657)&gt;=8,YEAR(A657)&amp;"-"&amp;(YEAR(A657)+1),(YEAR(A657)-1)&amp;"-"&amp;YEAR(A657)))</f>
        <v/>
      </c>
      <c r="S657" s="20">
        <f>IF(OR(A657="",B657=""),0,IF(AND(R657=التقارير!$C$4,OR(التقارير!$C$5="سنوي",AND(التقارير!$C$5="شهري",P657=التقارير!$C$6),AND(التقارير!$C$5="فصلي",Q657=التقارير!$C$7))),1,0))</f>
        <v/>
      </c>
      <c r="T657" s="20">
        <f>IF(S657=1,COUNTIF($S$5:S657,1),"")</f>
        <v/>
      </c>
      <c r="U657">
        <f>IF(AND($A657&lt;&gt;"",$B657&lt;&gt;"",$R657='تقرير الفصل الأول'!$C$4,$Q657='تقرير الفصل الأول'!$C$7),COUNT(U$4:U656)+1,"")</f>
        <v/>
      </c>
      <c r="V657">
        <f>IF(AND($A657&lt;&gt;"",$B657&lt;&gt;"",$R657='تقرير الفصل الثاني'!$C$4,$Q657='تقرير الفصل الثاني'!$C$7),COUNT(V$4:V656)+1,"")</f>
        <v/>
      </c>
      <c r="W657">
        <f>IF(AND($A657&lt;&gt;"",$B657&lt;&gt;"",$R657='تقرير سبتمبر'!$C$4,$P657='تقرير سبتمبر'!$C$6),COUNT(W$4:W656)+1,"")</f>
        <v/>
      </c>
      <c r="X657">
        <f>IF(AND($A657&lt;&gt;"",$B657&lt;&gt;"",$R657='تقرير أكتوبر'!$C$4,$P657='تقرير أكتوبر'!$C$6),COUNT(X$4:X656)+1,"")</f>
        <v/>
      </c>
      <c r="Y657">
        <f>IF(AND($A657&lt;&gt;"",$B657&lt;&gt;"",$R657='تقرير نوفمبر'!$C$4,$P657='تقرير نوفمبر'!$C$6),COUNT(Y$4:Y656)+1,"")</f>
        <v/>
      </c>
      <c r="Z657">
        <f>IF(AND($A657&lt;&gt;"",$B657&lt;&gt;"",$R657='تقرير ديسمبر'!$C$4,$P657='تقرير ديسمبر'!$C$6),COUNT(Z$4:Z656)+1,"")</f>
        <v/>
      </c>
      <c r="AA657">
        <f>IF(AND($A657&lt;&gt;"",$B657&lt;&gt;"",$R657='تقرير يناير'!$C$4,$P657='تقرير يناير'!$C$6),COUNT(AA$4:AA656)+1,"")</f>
        <v/>
      </c>
      <c r="AB657">
        <f>IF(AND($A657&lt;&gt;"",$B657&lt;&gt;"",$R657='تقرير فبراير'!$C$4,$P657='تقرير فبراير'!$C$6),COUNT(AB$4:AB656)+1,"")</f>
        <v/>
      </c>
      <c r="AC657">
        <f>IF(AND($A657&lt;&gt;"",$B657&lt;&gt;"",$R657='تقرير مارس'!$C$4,$P657='تقرير مارس'!$C$6),COUNT(AC$4:AC656)+1,"")</f>
        <v/>
      </c>
      <c r="AD657">
        <f>IF(AND($A657&lt;&gt;"",$B657&lt;&gt;"",$R657='تقرير أبريل'!$C$4,$P657='تقرير أبريل'!$C$6),COUNT(AD$4:AD656)+1,"")</f>
        <v/>
      </c>
      <c r="AE657">
        <f>IF(AND($A657&lt;&gt;"",$B657&lt;&gt;"",$R657='تقرير مايو'!$C$4,$P657='تقرير مايو'!$C$6),COUNT(AE$4:AE656)+1,"")</f>
        <v/>
      </c>
    </row>
    <row r="658">
      <c r="A658" s="16" t="n"/>
      <c r="B658" s="17" t="n"/>
      <c r="C658" s="17" t="n"/>
      <c r="D658" s="18" t="n"/>
      <c r="E658" s="17" t="n"/>
      <c r="F658" s="17" t="n"/>
      <c r="G658" s="19" t="n"/>
      <c r="H658" s="17" t="n"/>
      <c r="I658" s="17" t="n"/>
      <c r="J658" s="17" t="n"/>
      <c r="K658" s="20">
        <f>IF($B658="","",IFERROR(INDEX(الموظفات!$A$5:$A$304,MATCH($B658,الموظفات!$B$5:$B$304,0))&amp;"",""))</f>
        <v/>
      </c>
      <c r="L658" s="21">
        <f>IF($B658="","",IFERROR(INDEX(الموظفات!$C$5:$C$304,MATCH($B658,الموظفات!$B$5:$B$304,0))&amp;"",""))</f>
        <v/>
      </c>
      <c r="M658" s="20">
        <f>IF($B658="","",IFERROR(INDEX(الموظفات!$D$5:$D$304,MATCH($B658,الموظفات!$B$5:$B$304,0))&amp;"",""))</f>
        <v/>
      </c>
      <c r="N658" s="20">
        <f>IF($B658="","",IFERROR(INDEX(الموظفات!$E$5:$E$304,MATCH($B658,الموظفات!$B$5:$B$304,0))&amp;"",""))</f>
        <v/>
      </c>
      <c r="O658" s="21">
        <f>IF(C658="","",IFERROR(INDEX(الإعدادات!$D$7:$D$35,MATCH(C658,الإعدادات!$A$7:$A$35,0))&amp;"",""))</f>
        <v/>
      </c>
      <c r="P658" s="20">
        <f>IF(A658="","",INDEX(الإعدادات!$H$7:$H$18,MONTH(A658)))</f>
        <v/>
      </c>
      <c r="Q658" s="20">
        <f>IF(A658="","",INDEX(الإعدادات!$I$7:$I$18,MONTH(A658)))</f>
        <v/>
      </c>
      <c r="R658" s="20">
        <f>IF(A658="","",IF(MONTH(A658)&gt;=8,YEAR(A658)&amp;"-"&amp;(YEAR(A658)+1),(YEAR(A658)-1)&amp;"-"&amp;YEAR(A658)))</f>
        <v/>
      </c>
      <c r="S658" s="20">
        <f>IF(OR(A658="",B658=""),0,IF(AND(R658=التقارير!$C$4,OR(التقارير!$C$5="سنوي",AND(التقارير!$C$5="شهري",P658=التقارير!$C$6),AND(التقارير!$C$5="فصلي",Q658=التقارير!$C$7))),1,0))</f>
        <v/>
      </c>
      <c r="T658" s="20">
        <f>IF(S658=1,COUNTIF($S$5:S658,1),"")</f>
        <v/>
      </c>
      <c r="U658">
        <f>IF(AND($A658&lt;&gt;"",$B658&lt;&gt;"",$R658='تقرير الفصل الأول'!$C$4,$Q658='تقرير الفصل الأول'!$C$7),COUNT(U$4:U657)+1,"")</f>
        <v/>
      </c>
      <c r="V658">
        <f>IF(AND($A658&lt;&gt;"",$B658&lt;&gt;"",$R658='تقرير الفصل الثاني'!$C$4,$Q658='تقرير الفصل الثاني'!$C$7),COUNT(V$4:V657)+1,"")</f>
        <v/>
      </c>
      <c r="W658">
        <f>IF(AND($A658&lt;&gt;"",$B658&lt;&gt;"",$R658='تقرير سبتمبر'!$C$4,$P658='تقرير سبتمبر'!$C$6),COUNT(W$4:W657)+1,"")</f>
        <v/>
      </c>
      <c r="X658">
        <f>IF(AND($A658&lt;&gt;"",$B658&lt;&gt;"",$R658='تقرير أكتوبر'!$C$4,$P658='تقرير أكتوبر'!$C$6),COUNT(X$4:X657)+1,"")</f>
        <v/>
      </c>
      <c r="Y658">
        <f>IF(AND($A658&lt;&gt;"",$B658&lt;&gt;"",$R658='تقرير نوفمبر'!$C$4,$P658='تقرير نوفمبر'!$C$6),COUNT(Y$4:Y657)+1,"")</f>
        <v/>
      </c>
      <c r="Z658">
        <f>IF(AND($A658&lt;&gt;"",$B658&lt;&gt;"",$R658='تقرير ديسمبر'!$C$4,$P658='تقرير ديسمبر'!$C$6),COUNT(Z$4:Z657)+1,"")</f>
        <v/>
      </c>
      <c r="AA658">
        <f>IF(AND($A658&lt;&gt;"",$B658&lt;&gt;"",$R658='تقرير يناير'!$C$4,$P658='تقرير يناير'!$C$6),COUNT(AA$4:AA657)+1,"")</f>
        <v/>
      </c>
      <c r="AB658">
        <f>IF(AND($A658&lt;&gt;"",$B658&lt;&gt;"",$R658='تقرير فبراير'!$C$4,$P658='تقرير فبراير'!$C$6),COUNT(AB$4:AB657)+1,"")</f>
        <v/>
      </c>
      <c r="AC658">
        <f>IF(AND($A658&lt;&gt;"",$B658&lt;&gt;"",$R658='تقرير مارس'!$C$4,$P658='تقرير مارس'!$C$6),COUNT(AC$4:AC657)+1,"")</f>
        <v/>
      </c>
      <c r="AD658">
        <f>IF(AND($A658&lt;&gt;"",$B658&lt;&gt;"",$R658='تقرير أبريل'!$C$4,$P658='تقرير أبريل'!$C$6),COUNT(AD$4:AD657)+1,"")</f>
        <v/>
      </c>
      <c r="AE658">
        <f>IF(AND($A658&lt;&gt;"",$B658&lt;&gt;"",$R658='تقرير مايو'!$C$4,$P658='تقرير مايو'!$C$6),COUNT(AE$4:AE657)+1,"")</f>
        <v/>
      </c>
    </row>
    <row r="659">
      <c r="A659" s="16" t="n"/>
      <c r="B659" s="17" t="n"/>
      <c r="C659" s="17" t="n"/>
      <c r="D659" s="18" t="n"/>
      <c r="E659" s="17" t="n"/>
      <c r="F659" s="17" t="n"/>
      <c r="G659" s="19" t="n"/>
      <c r="H659" s="17" t="n"/>
      <c r="I659" s="17" t="n"/>
      <c r="J659" s="17" t="n"/>
      <c r="K659" s="20">
        <f>IF($B659="","",IFERROR(INDEX(الموظفات!$A$5:$A$304,MATCH($B659,الموظفات!$B$5:$B$304,0))&amp;"",""))</f>
        <v/>
      </c>
      <c r="L659" s="21">
        <f>IF($B659="","",IFERROR(INDEX(الموظفات!$C$5:$C$304,MATCH($B659,الموظفات!$B$5:$B$304,0))&amp;"",""))</f>
        <v/>
      </c>
      <c r="M659" s="20">
        <f>IF($B659="","",IFERROR(INDEX(الموظفات!$D$5:$D$304,MATCH($B659,الموظفات!$B$5:$B$304,0))&amp;"",""))</f>
        <v/>
      </c>
      <c r="N659" s="20">
        <f>IF($B659="","",IFERROR(INDEX(الموظفات!$E$5:$E$304,MATCH($B659,الموظفات!$B$5:$B$304,0))&amp;"",""))</f>
        <v/>
      </c>
      <c r="O659" s="21">
        <f>IF(C659="","",IFERROR(INDEX(الإعدادات!$D$7:$D$35,MATCH(C659,الإعدادات!$A$7:$A$35,0))&amp;"",""))</f>
        <v/>
      </c>
      <c r="P659" s="20">
        <f>IF(A659="","",INDEX(الإعدادات!$H$7:$H$18,MONTH(A659)))</f>
        <v/>
      </c>
      <c r="Q659" s="20">
        <f>IF(A659="","",INDEX(الإعدادات!$I$7:$I$18,MONTH(A659)))</f>
        <v/>
      </c>
      <c r="R659" s="20">
        <f>IF(A659="","",IF(MONTH(A659)&gt;=8,YEAR(A659)&amp;"-"&amp;(YEAR(A659)+1),(YEAR(A659)-1)&amp;"-"&amp;YEAR(A659)))</f>
        <v/>
      </c>
      <c r="S659" s="20">
        <f>IF(OR(A659="",B659=""),0,IF(AND(R659=التقارير!$C$4,OR(التقارير!$C$5="سنوي",AND(التقارير!$C$5="شهري",P659=التقارير!$C$6),AND(التقارير!$C$5="فصلي",Q659=التقارير!$C$7))),1,0))</f>
        <v/>
      </c>
      <c r="T659" s="20">
        <f>IF(S659=1,COUNTIF($S$5:S659,1),"")</f>
        <v/>
      </c>
      <c r="U659">
        <f>IF(AND($A659&lt;&gt;"",$B659&lt;&gt;"",$R659='تقرير الفصل الأول'!$C$4,$Q659='تقرير الفصل الأول'!$C$7),COUNT(U$4:U658)+1,"")</f>
        <v/>
      </c>
      <c r="V659">
        <f>IF(AND($A659&lt;&gt;"",$B659&lt;&gt;"",$R659='تقرير الفصل الثاني'!$C$4,$Q659='تقرير الفصل الثاني'!$C$7),COUNT(V$4:V658)+1,"")</f>
        <v/>
      </c>
      <c r="W659">
        <f>IF(AND($A659&lt;&gt;"",$B659&lt;&gt;"",$R659='تقرير سبتمبر'!$C$4,$P659='تقرير سبتمبر'!$C$6),COUNT(W$4:W658)+1,"")</f>
        <v/>
      </c>
      <c r="X659">
        <f>IF(AND($A659&lt;&gt;"",$B659&lt;&gt;"",$R659='تقرير أكتوبر'!$C$4,$P659='تقرير أكتوبر'!$C$6),COUNT(X$4:X658)+1,"")</f>
        <v/>
      </c>
      <c r="Y659">
        <f>IF(AND($A659&lt;&gt;"",$B659&lt;&gt;"",$R659='تقرير نوفمبر'!$C$4,$P659='تقرير نوفمبر'!$C$6),COUNT(Y$4:Y658)+1,"")</f>
        <v/>
      </c>
      <c r="Z659">
        <f>IF(AND($A659&lt;&gt;"",$B659&lt;&gt;"",$R659='تقرير ديسمبر'!$C$4,$P659='تقرير ديسمبر'!$C$6),COUNT(Z$4:Z658)+1,"")</f>
        <v/>
      </c>
      <c r="AA659">
        <f>IF(AND($A659&lt;&gt;"",$B659&lt;&gt;"",$R659='تقرير يناير'!$C$4,$P659='تقرير يناير'!$C$6),COUNT(AA$4:AA658)+1,"")</f>
        <v/>
      </c>
      <c r="AB659">
        <f>IF(AND($A659&lt;&gt;"",$B659&lt;&gt;"",$R659='تقرير فبراير'!$C$4,$P659='تقرير فبراير'!$C$6),COUNT(AB$4:AB658)+1,"")</f>
        <v/>
      </c>
      <c r="AC659">
        <f>IF(AND($A659&lt;&gt;"",$B659&lt;&gt;"",$R659='تقرير مارس'!$C$4,$P659='تقرير مارس'!$C$6),COUNT(AC$4:AC658)+1,"")</f>
        <v/>
      </c>
      <c r="AD659">
        <f>IF(AND($A659&lt;&gt;"",$B659&lt;&gt;"",$R659='تقرير أبريل'!$C$4,$P659='تقرير أبريل'!$C$6),COUNT(AD$4:AD658)+1,"")</f>
        <v/>
      </c>
      <c r="AE659">
        <f>IF(AND($A659&lt;&gt;"",$B659&lt;&gt;"",$R659='تقرير مايو'!$C$4,$P659='تقرير مايو'!$C$6),COUNT(AE$4:AE658)+1,"")</f>
        <v/>
      </c>
    </row>
    <row r="660">
      <c r="A660" s="16" t="n"/>
      <c r="B660" s="17" t="n"/>
      <c r="C660" s="17" t="n"/>
      <c r="D660" s="18" t="n"/>
      <c r="E660" s="17" t="n"/>
      <c r="F660" s="17" t="n"/>
      <c r="G660" s="19" t="n"/>
      <c r="H660" s="17" t="n"/>
      <c r="I660" s="17" t="n"/>
      <c r="J660" s="17" t="n"/>
      <c r="K660" s="20">
        <f>IF($B660="","",IFERROR(INDEX(الموظفات!$A$5:$A$304,MATCH($B660,الموظفات!$B$5:$B$304,0))&amp;"",""))</f>
        <v/>
      </c>
      <c r="L660" s="21">
        <f>IF($B660="","",IFERROR(INDEX(الموظفات!$C$5:$C$304,MATCH($B660,الموظفات!$B$5:$B$304,0))&amp;"",""))</f>
        <v/>
      </c>
      <c r="M660" s="20">
        <f>IF($B660="","",IFERROR(INDEX(الموظفات!$D$5:$D$304,MATCH($B660,الموظفات!$B$5:$B$304,0))&amp;"",""))</f>
        <v/>
      </c>
      <c r="N660" s="20">
        <f>IF($B660="","",IFERROR(INDEX(الموظفات!$E$5:$E$304,MATCH($B660,الموظفات!$B$5:$B$304,0))&amp;"",""))</f>
        <v/>
      </c>
      <c r="O660" s="21">
        <f>IF(C660="","",IFERROR(INDEX(الإعدادات!$D$7:$D$35,MATCH(C660,الإعدادات!$A$7:$A$35,0))&amp;"",""))</f>
        <v/>
      </c>
      <c r="P660" s="20">
        <f>IF(A660="","",INDEX(الإعدادات!$H$7:$H$18,MONTH(A660)))</f>
        <v/>
      </c>
      <c r="Q660" s="20">
        <f>IF(A660="","",INDEX(الإعدادات!$I$7:$I$18,MONTH(A660)))</f>
        <v/>
      </c>
      <c r="R660" s="20">
        <f>IF(A660="","",IF(MONTH(A660)&gt;=8,YEAR(A660)&amp;"-"&amp;(YEAR(A660)+1),(YEAR(A660)-1)&amp;"-"&amp;YEAR(A660)))</f>
        <v/>
      </c>
      <c r="S660" s="20">
        <f>IF(OR(A660="",B660=""),0,IF(AND(R660=التقارير!$C$4,OR(التقارير!$C$5="سنوي",AND(التقارير!$C$5="شهري",P660=التقارير!$C$6),AND(التقارير!$C$5="فصلي",Q660=التقارير!$C$7))),1,0))</f>
        <v/>
      </c>
      <c r="T660" s="20">
        <f>IF(S660=1,COUNTIF($S$5:S660,1),"")</f>
        <v/>
      </c>
      <c r="U660">
        <f>IF(AND($A660&lt;&gt;"",$B660&lt;&gt;"",$R660='تقرير الفصل الأول'!$C$4,$Q660='تقرير الفصل الأول'!$C$7),COUNT(U$4:U659)+1,"")</f>
        <v/>
      </c>
      <c r="V660">
        <f>IF(AND($A660&lt;&gt;"",$B660&lt;&gt;"",$R660='تقرير الفصل الثاني'!$C$4,$Q660='تقرير الفصل الثاني'!$C$7),COUNT(V$4:V659)+1,"")</f>
        <v/>
      </c>
      <c r="W660">
        <f>IF(AND($A660&lt;&gt;"",$B660&lt;&gt;"",$R660='تقرير سبتمبر'!$C$4,$P660='تقرير سبتمبر'!$C$6),COUNT(W$4:W659)+1,"")</f>
        <v/>
      </c>
      <c r="X660">
        <f>IF(AND($A660&lt;&gt;"",$B660&lt;&gt;"",$R660='تقرير أكتوبر'!$C$4,$P660='تقرير أكتوبر'!$C$6),COUNT(X$4:X659)+1,"")</f>
        <v/>
      </c>
      <c r="Y660">
        <f>IF(AND($A660&lt;&gt;"",$B660&lt;&gt;"",$R660='تقرير نوفمبر'!$C$4,$P660='تقرير نوفمبر'!$C$6),COUNT(Y$4:Y659)+1,"")</f>
        <v/>
      </c>
      <c r="Z660">
        <f>IF(AND($A660&lt;&gt;"",$B660&lt;&gt;"",$R660='تقرير ديسمبر'!$C$4,$P660='تقرير ديسمبر'!$C$6),COUNT(Z$4:Z659)+1,"")</f>
        <v/>
      </c>
      <c r="AA660">
        <f>IF(AND($A660&lt;&gt;"",$B660&lt;&gt;"",$R660='تقرير يناير'!$C$4,$P660='تقرير يناير'!$C$6),COUNT(AA$4:AA659)+1,"")</f>
        <v/>
      </c>
      <c r="AB660">
        <f>IF(AND($A660&lt;&gt;"",$B660&lt;&gt;"",$R660='تقرير فبراير'!$C$4,$P660='تقرير فبراير'!$C$6),COUNT(AB$4:AB659)+1,"")</f>
        <v/>
      </c>
      <c r="AC660">
        <f>IF(AND($A660&lt;&gt;"",$B660&lt;&gt;"",$R660='تقرير مارس'!$C$4,$P660='تقرير مارس'!$C$6),COUNT(AC$4:AC659)+1,"")</f>
        <v/>
      </c>
      <c r="AD660">
        <f>IF(AND($A660&lt;&gt;"",$B660&lt;&gt;"",$R660='تقرير أبريل'!$C$4,$P660='تقرير أبريل'!$C$6),COUNT(AD$4:AD659)+1,"")</f>
        <v/>
      </c>
      <c r="AE660">
        <f>IF(AND($A660&lt;&gt;"",$B660&lt;&gt;"",$R660='تقرير مايو'!$C$4,$P660='تقرير مايو'!$C$6),COUNT(AE$4:AE659)+1,"")</f>
        <v/>
      </c>
    </row>
    <row r="661">
      <c r="A661" s="16" t="n"/>
      <c r="B661" s="17" t="n"/>
      <c r="C661" s="17" t="n"/>
      <c r="D661" s="18" t="n"/>
      <c r="E661" s="17" t="n"/>
      <c r="F661" s="17" t="n"/>
      <c r="G661" s="19" t="n"/>
      <c r="H661" s="17" t="n"/>
      <c r="I661" s="17" t="n"/>
      <c r="J661" s="17" t="n"/>
      <c r="K661" s="20">
        <f>IF($B661="","",IFERROR(INDEX(الموظفات!$A$5:$A$304,MATCH($B661,الموظفات!$B$5:$B$304,0))&amp;"",""))</f>
        <v/>
      </c>
      <c r="L661" s="21">
        <f>IF($B661="","",IFERROR(INDEX(الموظفات!$C$5:$C$304,MATCH($B661,الموظفات!$B$5:$B$304,0))&amp;"",""))</f>
        <v/>
      </c>
      <c r="M661" s="20">
        <f>IF($B661="","",IFERROR(INDEX(الموظفات!$D$5:$D$304,MATCH($B661,الموظفات!$B$5:$B$304,0))&amp;"",""))</f>
        <v/>
      </c>
      <c r="N661" s="20">
        <f>IF($B661="","",IFERROR(INDEX(الموظفات!$E$5:$E$304,MATCH($B661,الموظفات!$B$5:$B$304,0))&amp;"",""))</f>
        <v/>
      </c>
      <c r="O661" s="21">
        <f>IF(C661="","",IFERROR(INDEX(الإعدادات!$D$7:$D$35,MATCH(C661,الإعدادات!$A$7:$A$35,0))&amp;"",""))</f>
        <v/>
      </c>
      <c r="P661" s="20">
        <f>IF(A661="","",INDEX(الإعدادات!$H$7:$H$18,MONTH(A661)))</f>
        <v/>
      </c>
      <c r="Q661" s="20">
        <f>IF(A661="","",INDEX(الإعدادات!$I$7:$I$18,MONTH(A661)))</f>
        <v/>
      </c>
      <c r="R661" s="20">
        <f>IF(A661="","",IF(MONTH(A661)&gt;=8,YEAR(A661)&amp;"-"&amp;(YEAR(A661)+1),(YEAR(A661)-1)&amp;"-"&amp;YEAR(A661)))</f>
        <v/>
      </c>
      <c r="S661" s="20">
        <f>IF(OR(A661="",B661=""),0,IF(AND(R661=التقارير!$C$4,OR(التقارير!$C$5="سنوي",AND(التقارير!$C$5="شهري",P661=التقارير!$C$6),AND(التقارير!$C$5="فصلي",Q661=التقارير!$C$7))),1,0))</f>
        <v/>
      </c>
      <c r="T661" s="20">
        <f>IF(S661=1,COUNTIF($S$5:S661,1),"")</f>
        <v/>
      </c>
      <c r="U661">
        <f>IF(AND($A661&lt;&gt;"",$B661&lt;&gt;"",$R661='تقرير الفصل الأول'!$C$4,$Q661='تقرير الفصل الأول'!$C$7),COUNT(U$4:U660)+1,"")</f>
        <v/>
      </c>
      <c r="V661">
        <f>IF(AND($A661&lt;&gt;"",$B661&lt;&gt;"",$R661='تقرير الفصل الثاني'!$C$4,$Q661='تقرير الفصل الثاني'!$C$7),COUNT(V$4:V660)+1,"")</f>
        <v/>
      </c>
      <c r="W661">
        <f>IF(AND($A661&lt;&gt;"",$B661&lt;&gt;"",$R661='تقرير سبتمبر'!$C$4,$P661='تقرير سبتمبر'!$C$6),COUNT(W$4:W660)+1,"")</f>
        <v/>
      </c>
      <c r="X661">
        <f>IF(AND($A661&lt;&gt;"",$B661&lt;&gt;"",$R661='تقرير أكتوبر'!$C$4,$P661='تقرير أكتوبر'!$C$6),COUNT(X$4:X660)+1,"")</f>
        <v/>
      </c>
      <c r="Y661">
        <f>IF(AND($A661&lt;&gt;"",$B661&lt;&gt;"",$R661='تقرير نوفمبر'!$C$4,$P661='تقرير نوفمبر'!$C$6),COUNT(Y$4:Y660)+1,"")</f>
        <v/>
      </c>
      <c r="Z661">
        <f>IF(AND($A661&lt;&gt;"",$B661&lt;&gt;"",$R661='تقرير ديسمبر'!$C$4,$P661='تقرير ديسمبر'!$C$6),COUNT(Z$4:Z660)+1,"")</f>
        <v/>
      </c>
      <c r="AA661">
        <f>IF(AND($A661&lt;&gt;"",$B661&lt;&gt;"",$R661='تقرير يناير'!$C$4,$P661='تقرير يناير'!$C$6),COUNT(AA$4:AA660)+1,"")</f>
        <v/>
      </c>
      <c r="AB661">
        <f>IF(AND($A661&lt;&gt;"",$B661&lt;&gt;"",$R661='تقرير فبراير'!$C$4,$P661='تقرير فبراير'!$C$6),COUNT(AB$4:AB660)+1,"")</f>
        <v/>
      </c>
      <c r="AC661">
        <f>IF(AND($A661&lt;&gt;"",$B661&lt;&gt;"",$R661='تقرير مارس'!$C$4,$P661='تقرير مارس'!$C$6),COUNT(AC$4:AC660)+1,"")</f>
        <v/>
      </c>
      <c r="AD661">
        <f>IF(AND($A661&lt;&gt;"",$B661&lt;&gt;"",$R661='تقرير أبريل'!$C$4,$P661='تقرير أبريل'!$C$6),COUNT(AD$4:AD660)+1,"")</f>
        <v/>
      </c>
      <c r="AE661">
        <f>IF(AND($A661&lt;&gt;"",$B661&lt;&gt;"",$R661='تقرير مايو'!$C$4,$P661='تقرير مايو'!$C$6),COUNT(AE$4:AE660)+1,"")</f>
        <v/>
      </c>
    </row>
    <row r="662">
      <c r="A662" s="16" t="n"/>
      <c r="B662" s="17" t="n"/>
      <c r="C662" s="17" t="n"/>
      <c r="D662" s="18" t="n"/>
      <c r="E662" s="17" t="n"/>
      <c r="F662" s="17" t="n"/>
      <c r="G662" s="19" t="n"/>
      <c r="H662" s="17" t="n"/>
      <c r="I662" s="17" t="n"/>
      <c r="J662" s="17" t="n"/>
      <c r="K662" s="20">
        <f>IF($B662="","",IFERROR(INDEX(الموظفات!$A$5:$A$304,MATCH($B662,الموظفات!$B$5:$B$304,0))&amp;"",""))</f>
        <v/>
      </c>
      <c r="L662" s="21">
        <f>IF($B662="","",IFERROR(INDEX(الموظفات!$C$5:$C$304,MATCH($B662,الموظفات!$B$5:$B$304,0))&amp;"",""))</f>
        <v/>
      </c>
      <c r="M662" s="20">
        <f>IF($B662="","",IFERROR(INDEX(الموظفات!$D$5:$D$304,MATCH($B662,الموظفات!$B$5:$B$304,0))&amp;"",""))</f>
        <v/>
      </c>
      <c r="N662" s="20">
        <f>IF($B662="","",IFERROR(INDEX(الموظفات!$E$5:$E$304,MATCH($B662,الموظفات!$B$5:$B$304,0))&amp;"",""))</f>
        <v/>
      </c>
      <c r="O662" s="21">
        <f>IF(C662="","",IFERROR(INDEX(الإعدادات!$D$7:$D$35,MATCH(C662,الإعدادات!$A$7:$A$35,0))&amp;"",""))</f>
        <v/>
      </c>
      <c r="P662" s="20">
        <f>IF(A662="","",INDEX(الإعدادات!$H$7:$H$18,MONTH(A662)))</f>
        <v/>
      </c>
      <c r="Q662" s="20">
        <f>IF(A662="","",INDEX(الإعدادات!$I$7:$I$18,MONTH(A662)))</f>
        <v/>
      </c>
      <c r="R662" s="20">
        <f>IF(A662="","",IF(MONTH(A662)&gt;=8,YEAR(A662)&amp;"-"&amp;(YEAR(A662)+1),(YEAR(A662)-1)&amp;"-"&amp;YEAR(A662)))</f>
        <v/>
      </c>
      <c r="S662" s="20">
        <f>IF(OR(A662="",B662=""),0,IF(AND(R662=التقارير!$C$4,OR(التقارير!$C$5="سنوي",AND(التقارير!$C$5="شهري",P662=التقارير!$C$6),AND(التقارير!$C$5="فصلي",Q662=التقارير!$C$7))),1,0))</f>
        <v/>
      </c>
      <c r="T662" s="20">
        <f>IF(S662=1,COUNTIF($S$5:S662,1),"")</f>
        <v/>
      </c>
      <c r="U662">
        <f>IF(AND($A662&lt;&gt;"",$B662&lt;&gt;"",$R662='تقرير الفصل الأول'!$C$4,$Q662='تقرير الفصل الأول'!$C$7),COUNT(U$4:U661)+1,"")</f>
        <v/>
      </c>
      <c r="V662">
        <f>IF(AND($A662&lt;&gt;"",$B662&lt;&gt;"",$R662='تقرير الفصل الثاني'!$C$4,$Q662='تقرير الفصل الثاني'!$C$7),COUNT(V$4:V661)+1,"")</f>
        <v/>
      </c>
      <c r="W662">
        <f>IF(AND($A662&lt;&gt;"",$B662&lt;&gt;"",$R662='تقرير سبتمبر'!$C$4,$P662='تقرير سبتمبر'!$C$6),COUNT(W$4:W661)+1,"")</f>
        <v/>
      </c>
      <c r="X662">
        <f>IF(AND($A662&lt;&gt;"",$B662&lt;&gt;"",$R662='تقرير أكتوبر'!$C$4,$P662='تقرير أكتوبر'!$C$6),COUNT(X$4:X661)+1,"")</f>
        <v/>
      </c>
      <c r="Y662">
        <f>IF(AND($A662&lt;&gt;"",$B662&lt;&gt;"",$R662='تقرير نوفمبر'!$C$4,$P662='تقرير نوفمبر'!$C$6),COUNT(Y$4:Y661)+1,"")</f>
        <v/>
      </c>
      <c r="Z662">
        <f>IF(AND($A662&lt;&gt;"",$B662&lt;&gt;"",$R662='تقرير ديسمبر'!$C$4,$P662='تقرير ديسمبر'!$C$6),COUNT(Z$4:Z661)+1,"")</f>
        <v/>
      </c>
      <c r="AA662">
        <f>IF(AND($A662&lt;&gt;"",$B662&lt;&gt;"",$R662='تقرير يناير'!$C$4,$P662='تقرير يناير'!$C$6),COUNT(AA$4:AA661)+1,"")</f>
        <v/>
      </c>
      <c r="AB662">
        <f>IF(AND($A662&lt;&gt;"",$B662&lt;&gt;"",$R662='تقرير فبراير'!$C$4,$P662='تقرير فبراير'!$C$6),COUNT(AB$4:AB661)+1,"")</f>
        <v/>
      </c>
      <c r="AC662">
        <f>IF(AND($A662&lt;&gt;"",$B662&lt;&gt;"",$R662='تقرير مارس'!$C$4,$P662='تقرير مارس'!$C$6),COUNT(AC$4:AC661)+1,"")</f>
        <v/>
      </c>
      <c r="AD662">
        <f>IF(AND($A662&lt;&gt;"",$B662&lt;&gt;"",$R662='تقرير أبريل'!$C$4,$P662='تقرير أبريل'!$C$6),COUNT(AD$4:AD661)+1,"")</f>
        <v/>
      </c>
      <c r="AE662">
        <f>IF(AND($A662&lt;&gt;"",$B662&lt;&gt;"",$R662='تقرير مايو'!$C$4,$P662='تقرير مايو'!$C$6),COUNT(AE$4:AE661)+1,"")</f>
        <v/>
      </c>
    </row>
    <row r="663">
      <c r="A663" s="16" t="n"/>
      <c r="B663" s="17" t="n"/>
      <c r="C663" s="17" t="n"/>
      <c r="D663" s="18" t="n"/>
      <c r="E663" s="17" t="n"/>
      <c r="F663" s="17" t="n"/>
      <c r="G663" s="19" t="n"/>
      <c r="H663" s="17" t="n"/>
      <c r="I663" s="17" t="n"/>
      <c r="J663" s="17" t="n"/>
      <c r="K663" s="20">
        <f>IF($B663="","",IFERROR(INDEX(الموظفات!$A$5:$A$304,MATCH($B663,الموظفات!$B$5:$B$304,0))&amp;"",""))</f>
        <v/>
      </c>
      <c r="L663" s="21">
        <f>IF($B663="","",IFERROR(INDEX(الموظفات!$C$5:$C$304,MATCH($B663,الموظفات!$B$5:$B$304,0))&amp;"",""))</f>
        <v/>
      </c>
      <c r="M663" s="20">
        <f>IF($B663="","",IFERROR(INDEX(الموظفات!$D$5:$D$304,MATCH($B663,الموظفات!$B$5:$B$304,0))&amp;"",""))</f>
        <v/>
      </c>
      <c r="N663" s="20">
        <f>IF($B663="","",IFERROR(INDEX(الموظفات!$E$5:$E$304,MATCH($B663,الموظفات!$B$5:$B$304,0))&amp;"",""))</f>
        <v/>
      </c>
      <c r="O663" s="21">
        <f>IF(C663="","",IFERROR(INDEX(الإعدادات!$D$7:$D$35,MATCH(C663,الإعدادات!$A$7:$A$35,0))&amp;"",""))</f>
        <v/>
      </c>
      <c r="P663" s="20">
        <f>IF(A663="","",INDEX(الإعدادات!$H$7:$H$18,MONTH(A663)))</f>
        <v/>
      </c>
      <c r="Q663" s="20">
        <f>IF(A663="","",INDEX(الإعدادات!$I$7:$I$18,MONTH(A663)))</f>
        <v/>
      </c>
      <c r="R663" s="20">
        <f>IF(A663="","",IF(MONTH(A663)&gt;=8,YEAR(A663)&amp;"-"&amp;(YEAR(A663)+1),(YEAR(A663)-1)&amp;"-"&amp;YEAR(A663)))</f>
        <v/>
      </c>
      <c r="S663" s="20">
        <f>IF(OR(A663="",B663=""),0,IF(AND(R663=التقارير!$C$4,OR(التقارير!$C$5="سنوي",AND(التقارير!$C$5="شهري",P663=التقارير!$C$6),AND(التقارير!$C$5="فصلي",Q663=التقارير!$C$7))),1,0))</f>
        <v/>
      </c>
      <c r="T663" s="20">
        <f>IF(S663=1,COUNTIF($S$5:S663,1),"")</f>
        <v/>
      </c>
      <c r="U663">
        <f>IF(AND($A663&lt;&gt;"",$B663&lt;&gt;"",$R663='تقرير الفصل الأول'!$C$4,$Q663='تقرير الفصل الأول'!$C$7),COUNT(U$4:U662)+1,"")</f>
        <v/>
      </c>
      <c r="V663">
        <f>IF(AND($A663&lt;&gt;"",$B663&lt;&gt;"",$R663='تقرير الفصل الثاني'!$C$4,$Q663='تقرير الفصل الثاني'!$C$7),COUNT(V$4:V662)+1,"")</f>
        <v/>
      </c>
      <c r="W663">
        <f>IF(AND($A663&lt;&gt;"",$B663&lt;&gt;"",$R663='تقرير سبتمبر'!$C$4,$P663='تقرير سبتمبر'!$C$6),COUNT(W$4:W662)+1,"")</f>
        <v/>
      </c>
      <c r="X663">
        <f>IF(AND($A663&lt;&gt;"",$B663&lt;&gt;"",$R663='تقرير أكتوبر'!$C$4,$P663='تقرير أكتوبر'!$C$6),COUNT(X$4:X662)+1,"")</f>
        <v/>
      </c>
      <c r="Y663">
        <f>IF(AND($A663&lt;&gt;"",$B663&lt;&gt;"",$R663='تقرير نوفمبر'!$C$4,$P663='تقرير نوفمبر'!$C$6),COUNT(Y$4:Y662)+1,"")</f>
        <v/>
      </c>
      <c r="Z663">
        <f>IF(AND($A663&lt;&gt;"",$B663&lt;&gt;"",$R663='تقرير ديسمبر'!$C$4,$P663='تقرير ديسمبر'!$C$6),COUNT(Z$4:Z662)+1,"")</f>
        <v/>
      </c>
      <c r="AA663">
        <f>IF(AND($A663&lt;&gt;"",$B663&lt;&gt;"",$R663='تقرير يناير'!$C$4,$P663='تقرير يناير'!$C$6),COUNT(AA$4:AA662)+1,"")</f>
        <v/>
      </c>
      <c r="AB663">
        <f>IF(AND($A663&lt;&gt;"",$B663&lt;&gt;"",$R663='تقرير فبراير'!$C$4,$P663='تقرير فبراير'!$C$6),COUNT(AB$4:AB662)+1,"")</f>
        <v/>
      </c>
      <c r="AC663">
        <f>IF(AND($A663&lt;&gt;"",$B663&lt;&gt;"",$R663='تقرير مارس'!$C$4,$P663='تقرير مارس'!$C$6),COUNT(AC$4:AC662)+1,"")</f>
        <v/>
      </c>
      <c r="AD663">
        <f>IF(AND($A663&lt;&gt;"",$B663&lt;&gt;"",$R663='تقرير أبريل'!$C$4,$P663='تقرير أبريل'!$C$6),COUNT(AD$4:AD662)+1,"")</f>
        <v/>
      </c>
      <c r="AE663">
        <f>IF(AND($A663&lt;&gt;"",$B663&lt;&gt;"",$R663='تقرير مايو'!$C$4,$P663='تقرير مايو'!$C$6),COUNT(AE$4:AE662)+1,"")</f>
        <v/>
      </c>
    </row>
    <row r="664">
      <c r="A664" s="16" t="n"/>
      <c r="B664" s="17" t="n"/>
      <c r="C664" s="17" t="n"/>
      <c r="D664" s="18" t="n"/>
      <c r="E664" s="17" t="n"/>
      <c r="F664" s="17" t="n"/>
      <c r="G664" s="19" t="n"/>
      <c r="H664" s="17" t="n"/>
      <c r="I664" s="17" t="n"/>
      <c r="J664" s="17" t="n"/>
      <c r="K664" s="20">
        <f>IF($B664="","",IFERROR(INDEX(الموظفات!$A$5:$A$304,MATCH($B664,الموظفات!$B$5:$B$304,0))&amp;"",""))</f>
        <v/>
      </c>
      <c r="L664" s="21">
        <f>IF($B664="","",IFERROR(INDEX(الموظفات!$C$5:$C$304,MATCH($B664,الموظفات!$B$5:$B$304,0))&amp;"",""))</f>
        <v/>
      </c>
      <c r="M664" s="20">
        <f>IF($B664="","",IFERROR(INDEX(الموظفات!$D$5:$D$304,MATCH($B664,الموظفات!$B$5:$B$304,0))&amp;"",""))</f>
        <v/>
      </c>
      <c r="N664" s="20">
        <f>IF($B664="","",IFERROR(INDEX(الموظفات!$E$5:$E$304,MATCH($B664,الموظفات!$B$5:$B$304,0))&amp;"",""))</f>
        <v/>
      </c>
      <c r="O664" s="21">
        <f>IF(C664="","",IFERROR(INDEX(الإعدادات!$D$7:$D$35,MATCH(C664,الإعدادات!$A$7:$A$35,0))&amp;"",""))</f>
        <v/>
      </c>
      <c r="P664" s="20">
        <f>IF(A664="","",INDEX(الإعدادات!$H$7:$H$18,MONTH(A664)))</f>
        <v/>
      </c>
      <c r="Q664" s="20">
        <f>IF(A664="","",INDEX(الإعدادات!$I$7:$I$18,MONTH(A664)))</f>
        <v/>
      </c>
      <c r="R664" s="20">
        <f>IF(A664="","",IF(MONTH(A664)&gt;=8,YEAR(A664)&amp;"-"&amp;(YEAR(A664)+1),(YEAR(A664)-1)&amp;"-"&amp;YEAR(A664)))</f>
        <v/>
      </c>
      <c r="S664" s="20">
        <f>IF(OR(A664="",B664=""),0,IF(AND(R664=التقارير!$C$4,OR(التقارير!$C$5="سنوي",AND(التقارير!$C$5="شهري",P664=التقارير!$C$6),AND(التقارير!$C$5="فصلي",Q664=التقارير!$C$7))),1,0))</f>
        <v/>
      </c>
      <c r="T664" s="20">
        <f>IF(S664=1,COUNTIF($S$5:S664,1),"")</f>
        <v/>
      </c>
      <c r="U664">
        <f>IF(AND($A664&lt;&gt;"",$B664&lt;&gt;"",$R664='تقرير الفصل الأول'!$C$4,$Q664='تقرير الفصل الأول'!$C$7),COUNT(U$4:U663)+1,"")</f>
        <v/>
      </c>
      <c r="V664">
        <f>IF(AND($A664&lt;&gt;"",$B664&lt;&gt;"",$R664='تقرير الفصل الثاني'!$C$4,$Q664='تقرير الفصل الثاني'!$C$7),COUNT(V$4:V663)+1,"")</f>
        <v/>
      </c>
      <c r="W664">
        <f>IF(AND($A664&lt;&gt;"",$B664&lt;&gt;"",$R664='تقرير سبتمبر'!$C$4,$P664='تقرير سبتمبر'!$C$6),COUNT(W$4:W663)+1,"")</f>
        <v/>
      </c>
      <c r="X664">
        <f>IF(AND($A664&lt;&gt;"",$B664&lt;&gt;"",$R664='تقرير أكتوبر'!$C$4,$P664='تقرير أكتوبر'!$C$6),COUNT(X$4:X663)+1,"")</f>
        <v/>
      </c>
      <c r="Y664">
        <f>IF(AND($A664&lt;&gt;"",$B664&lt;&gt;"",$R664='تقرير نوفمبر'!$C$4,$P664='تقرير نوفمبر'!$C$6),COUNT(Y$4:Y663)+1,"")</f>
        <v/>
      </c>
      <c r="Z664">
        <f>IF(AND($A664&lt;&gt;"",$B664&lt;&gt;"",$R664='تقرير ديسمبر'!$C$4,$P664='تقرير ديسمبر'!$C$6),COUNT(Z$4:Z663)+1,"")</f>
        <v/>
      </c>
      <c r="AA664">
        <f>IF(AND($A664&lt;&gt;"",$B664&lt;&gt;"",$R664='تقرير يناير'!$C$4,$P664='تقرير يناير'!$C$6),COUNT(AA$4:AA663)+1,"")</f>
        <v/>
      </c>
      <c r="AB664">
        <f>IF(AND($A664&lt;&gt;"",$B664&lt;&gt;"",$R664='تقرير فبراير'!$C$4,$P664='تقرير فبراير'!$C$6),COUNT(AB$4:AB663)+1,"")</f>
        <v/>
      </c>
      <c r="AC664">
        <f>IF(AND($A664&lt;&gt;"",$B664&lt;&gt;"",$R664='تقرير مارس'!$C$4,$P664='تقرير مارس'!$C$6),COUNT(AC$4:AC663)+1,"")</f>
        <v/>
      </c>
      <c r="AD664">
        <f>IF(AND($A664&lt;&gt;"",$B664&lt;&gt;"",$R664='تقرير أبريل'!$C$4,$P664='تقرير أبريل'!$C$6),COUNT(AD$4:AD663)+1,"")</f>
        <v/>
      </c>
      <c r="AE664">
        <f>IF(AND($A664&lt;&gt;"",$B664&lt;&gt;"",$R664='تقرير مايو'!$C$4,$P664='تقرير مايو'!$C$6),COUNT(AE$4:AE663)+1,"")</f>
        <v/>
      </c>
    </row>
    <row r="665">
      <c r="A665" s="16" t="n"/>
      <c r="B665" s="17" t="n"/>
      <c r="C665" s="17" t="n"/>
      <c r="D665" s="18" t="n"/>
      <c r="E665" s="17" t="n"/>
      <c r="F665" s="17" t="n"/>
      <c r="G665" s="19" t="n"/>
      <c r="H665" s="17" t="n"/>
      <c r="I665" s="17" t="n"/>
      <c r="J665" s="17" t="n"/>
      <c r="K665" s="20">
        <f>IF($B665="","",IFERROR(INDEX(الموظفات!$A$5:$A$304,MATCH($B665,الموظفات!$B$5:$B$304,0))&amp;"",""))</f>
        <v/>
      </c>
      <c r="L665" s="21">
        <f>IF($B665="","",IFERROR(INDEX(الموظفات!$C$5:$C$304,MATCH($B665,الموظفات!$B$5:$B$304,0))&amp;"",""))</f>
        <v/>
      </c>
      <c r="M665" s="20">
        <f>IF($B665="","",IFERROR(INDEX(الموظفات!$D$5:$D$304,MATCH($B665,الموظفات!$B$5:$B$304,0))&amp;"",""))</f>
        <v/>
      </c>
      <c r="N665" s="20">
        <f>IF($B665="","",IFERROR(INDEX(الموظفات!$E$5:$E$304,MATCH($B665,الموظفات!$B$5:$B$304,0))&amp;"",""))</f>
        <v/>
      </c>
      <c r="O665" s="21">
        <f>IF(C665="","",IFERROR(INDEX(الإعدادات!$D$7:$D$35,MATCH(C665,الإعدادات!$A$7:$A$35,0))&amp;"",""))</f>
        <v/>
      </c>
      <c r="P665" s="20">
        <f>IF(A665="","",INDEX(الإعدادات!$H$7:$H$18,MONTH(A665)))</f>
        <v/>
      </c>
      <c r="Q665" s="20">
        <f>IF(A665="","",INDEX(الإعدادات!$I$7:$I$18,MONTH(A665)))</f>
        <v/>
      </c>
      <c r="R665" s="20">
        <f>IF(A665="","",IF(MONTH(A665)&gt;=8,YEAR(A665)&amp;"-"&amp;(YEAR(A665)+1),(YEAR(A665)-1)&amp;"-"&amp;YEAR(A665)))</f>
        <v/>
      </c>
      <c r="S665" s="20">
        <f>IF(OR(A665="",B665=""),0,IF(AND(R665=التقارير!$C$4,OR(التقارير!$C$5="سنوي",AND(التقارير!$C$5="شهري",P665=التقارير!$C$6),AND(التقارير!$C$5="فصلي",Q665=التقارير!$C$7))),1,0))</f>
        <v/>
      </c>
      <c r="T665" s="20">
        <f>IF(S665=1,COUNTIF($S$5:S665,1),"")</f>
        <v/>
      </c>
      <c r="U665">
        <f>IF(AND($A665&lt;&gt;"",$B665&lt;&gt;"",$R665='تقرير الفصل الأول'!$C$4,$Q665='تقرير الفصل الأول'!$C$7),COUNT(U$4:U664)+1,"")</f>
        <v/>
      </c>
      <c r="V665">
        <f>IF(AND($A665&lt;&gt;"",$B665&lt;&gt;"",$R665='تقرير الفصل الثاني'!$C$4,$Q665='تقرير الفصل الثاني'!$C$7),COUNT(V$4:V664)+1,"")</f>
        <v/>
      </c>
      <c r="W665">
        <f>IF(AND($A665&lt;&gt;"",$B665&lt;&gt;"",$R665='تقرير سبتمبر'!$C$4,$P665='تقرير سبتمبر'!$C$6),COUNT(W$4:W664)+1,"")</f>
        <v/>
      </c>
      <c r="X665">
        <f>IF(AND($A665&lt;&gt;"",$B665&lt;&gt;"",$R665='تقرير أكتوبر'!$C$4,$P665='تقرير أكتوبر'!$C$6),COUNT(X$4:X664)+1,"")</f>
        <v/>
      </c>
      <c r="Y665">
        <f>IF(AND($A665&lt;&gt;"",$B665&lt;&gt;"",$R665='تقرير نوفمبر'!$C$4,$P665='تقرير نوفمبر'!$C$6),COUNT(Y$4:Y664)+1,"")</f>
        <v/>
      </c>
      <c r="Z665">
        <f>IF(AND($A665&lt;&gt;"",$B665&lt;&gt;"",$R665='تقرير ديسمبر'!$C$4,$P665='تقرير ديسمبر'!$C$6),COUNT(Z$4:Z664)+1,"")</f>
        <v/>
      </c>
      <c r="AA665">
        <f>IF(AND($A665&lt;&gt;"",$B665&lt;&gt;"",$R665='تقرير يناير'!$C$4,$P665='تقرير يناير'!$C$6),COUNT(AA$4:AA664)+1,"")</f>
        <v/>
      </c>
      <c r="AB665">
        <f>IF(AND($A665&lt;&gt;"",$B665&lt;&gt;"",$R665='تقرير فبراير'!$C$4,$P665='تقرير فبراير'!$C$6),COUNT(AB$4:AB664)+1,"")</f>
        <v/>
      </c>
      <c r="AC665">
        <f>IF(AND($A665&lt;&gt;"",$B665&lt;&gt;"",$R665='تقرير مارس'!$C$4,$P665='تقرير مارس'!$C$6),COUNT(AC$4:AC664)+1,"")</f>
        <v/>
      </c>
      <c r="AD665">
        <f>IF(AND($A665&lt;&gt;"",$B665&lt;&gt;"",$R665='تقرير أبريل'!$C$4,$P665='تقرير أبريل'!$C$6),COUNT(AD$4:AD664)+1,"")</f>
        <v/>
      </c>
      <c r="AE665">
        <f>IF(AND($A665&lt;&gt;"",$B665&lt;&gt;"",$R665='تقرير مايو'!$C$4,$P665='تقرير مايو'!$C$6),COUNT(AE$4:AE664)+1,"")</f>
        <v/>
      </c>
    </row>
    <row r="666">
      <c r="A666" s="16" t="n"/>
      <c r="B666" s="17" t="n"/>
      <c r="C666" s="17" t="n"/>
      <c r="D666" s="18" t="n"/>
      <c r="E666" s="17" t="n"/>
      <c r="F666" s="17" t="n"/>
      <c r="G666" s="19" t="n"/>
      <c r="H666" s="17" t="n"/>
      <c r="I666" s="17" t="n"/>
      <c r="J666" s="17" t="n"/>
      <c r="K666" s="20">
        <f>IF($B666="","",IFERROR(INDEX(الموظفات!$A$5:$A$304,MATCH($B666,الموظفات!$B$5:$B$304,0))&amp;"",""))</f>
        <v/>
      </c>
      <c r="L666" s="21">
        <f>IF($B666="","",IFERROR(INDEX(الموظفات!$C$5:$C$304,MATCH($B666,الموظفات!$B$5:$B$304,0))&amp;"",""))</f>
        <v/>
      </c>
      <c r="M666" s="20">
        <f>IF($B666="","",IFERROR(INDEX(الموظفات!$D$5:$D$304,MATCH($B666,الموظفات!$B$5:$B$304,0))&amp;"",""))</f>
        <v/>
      </c>
      <c r="N666" s="20">
        <f>IF($B666="","",IFERROR(INDEX(الموظفات!$E$5:$E$304,MATCH($B666,الموظفات!$B$5:$B$304,0))&amp;"",""))</f>
        <v/>
      </c>
      <c r="O666" s="21">
        <f>IF(C666="","",IFERROR(INDEX(الإعدادات!$D$7:$D$35,MATCH(C666,الإعدادات!$A$7:$A$35,0))&amp;"",""))</f>
        <v/>
      </c>
      <c r="P666" s="20">
        <f>IF(A666="","",INDEX(الإعدادات!$H$7:$H$18,MONTH(A666)))</f>
        <v/>
      </c>
      <c r="Q666" s="20">
        <f>IF(A666="","",INDEX(الإعدادات!$I$7:$I$18,MONTH(A666)))</f>
        <v/>
      </c>
      <c r="R666" s="20">
        <f>IF(A666="","",IF(MONTH(A666)&gt;=8,YEAR(A666)&amp;"-"&amp;(YEAR(A666)+1),(YEAR(A666)-1)&amp;"-"&amp;YEAR(A666)))</f>
        <v/>
      </c>
      <c r="S666" s="20">
        <f>IF(OR(A666="",B666=""),0,IF(AND(R666=التقارير!$C$4,OR(التقارير!$C$5="سنوي",AND(التقارير!$C$5="شهري",P666=التقارير!$C$6),AND(التقارير!$C$5="فصلي",Q666=التقارير!$C$7))),1,0))</f>
        <v/>
      </c>
      <c r="T666" s="20">
        <f>IF(S666=1,COUNTIF($S$5:S666,1),"")</f>
        <v/>
      </c>
      <c r="U666">
        <f>IF(AND($A666&lt;&gt;"",$B666&lt;&gt;"",$R666='تقرير الفصل الأول'!$C$4,$Q666='تقرير الفصل الأول'!$C$7),COUNT(U$4:U665)+1,"")</f>
        <v/>
      </c>
      <c r="V666">
        <f>IF(AND($A666&lt;&gt;"",$B666&lt;&gt;"",$R666='تقرير الفصل الثاني'!$C$4,$Q666='تقرير الفصل الثاني'!$C$7),COUNT(V$4:V665)+1,"")</f>
        <v/>
      </c>
      <c r="W666">
        <f>IF(AND($A666&lt;&gt;"",$B666&lt;&gt;"",$R666='تقرير سبتمبر'!$C$4,$P666='تقرير سبتمبر'!$C$6),COUNT(W$4:W665)+1,"")</f>
        <v/>
      </c>
      <c r="X666">
        <f>IF(AND($A666&lt;&gt;"",$B666&lt;&gt;"",$R666='تقرير أكتوبر'!$C$4,$P666='تقرير أكتوبر'!$C$6),COUNT(X$4:X665)+1,"")</f>
        <v/>
      </c>
      <c r="Y666">
        <f>IF(AND($A666&lt;&gt;"",$B666&lt;&gt;"",$R666='تقرير نوفمبر'!$C$4,$P666='تقرير نوفمبر'!$C$6),COUNT(Y$4:Y665)+1,"")</f>
        <v/>
      </c>
      <c r="Z666">
        <f>IF(AND($A666&lt;&gt;"",$B666&lt;&gt;"",$R666='تقرير ديسمبر'!$C$4,$P666='تقرير ديسمبر'!$C$6),COUNT(Z$4:Z665)+1,"")</f>
        <v/>
      </c>
      <c r="AA666">
        <f>IF(AND($A666&lt;&gt;"",$B666&lt;&gt;"",$R666='تقرير يناير'!$C$4,$P666='تقرير يناير'!$C$6),COUNT(AA$4:AA665)+1,"")</f>
        <v/>
      </c>
      <c r="AB666">
        <f>IF(AND($A666&lt;&gt;"",$B666&lt;&gt;"",$R666='تقرير فبراير'!$C$4,$P666='تقرير فبراير'!$C$6),COUNT(AB$4:AB665)+1,"")</f>
        <v/>
      </c>
      <c r="AC666">
        <f>IF(AND($A666&lt;&gt;"",$B666&lt;&gt;"",$R666='تقرير مارس'!$C$4,$P666='تقرير مارس'!$C$6),COUNT(AC$4:AC665)+1,"")</f>
        <v/>
      </c>
      <c r="AD666">
        <f>IF(AND($A666&lt;&gt;"",$B666&lt;&gt;"",$R666='تقرير أبريل'!$C$4,$P666='تقرير أبريل'!$C$6),COUNT(AD$4:AD665)+1,"")</f>
        <v/>
      </c>
      <c r="AE666">
        <f>IF(AND($A666&lt;&gt;"",$B666&lt;&gt;"",$R666='تقرير مايو'!$C$4,$P666='تقرير مايو'!$C$6),COUNT(AE$4:AE665)+1,"")</f>
        <v/>
      </c>
    </row>
    <row r="667">
      <c r="A667" s="16" t="n"/>
      <c r="B667" s="17" t="n"/>
      <c r="C667" s="17" t="n"/>
      <c r="D667" s="18" t="n"/>
      <c r="E667" s="17" t="n"/>
      <c r="F667" s="17" t="n"/>
      <c r="G667" s="19" t="n"/>
      <c r="H667" s="17" t="n"/>
      <c r="I667" s="17" t="n"/>
      <c r="J667" s="17" t="n"/>
      <c r="K667" s="20">
        <f>IF($B667="","",IFERROR(INDEX(الموظفات!$A$5:$A$304,MATCH($B667,الموظفات!$B$5:$B$304,0))&amp;"",""))</f>
        <v/>
      </c>
      <c r="L667" s="21">
        <f>IF($B667="","",IFERROR(INDEX(الموظفات!$C$5:$C$304,MATCH($B667,الموظفات!$B$5:$B$304,0))&amp;"",""))</f>
        <v/>
      </c>
      <c r="M667" s="20">
        <f>IF($B667="","",IFERROR(INDEX(الموظفات!$D$5:$D$304,MATCH($B667,الموظفات!$B$5:$B$304,0))&amp;"",""))</f>
        <v/>
      </c>
      <c r="N667" s="20">
        <f>IF($B667="","",IFERROR(INDEX(الموظفات!$E$5:$E$304,MATCH($B667,الموظفات!$B$5:$B$304,0))&amp;"",""))</f>
        <v/>
      </c>
      <c r="O667" s="21">
        <f>IF(C667="","",IFERROR(INDEX(الإعدادات!$D$7:$D$35,MATCH(C667,الإعدادات!$A$7:$A$35,0))&amp;"",""))</f>
        <v/>
      </c>
      <c r="P667" s="20">
        <f>IF(A667="","",INDEX(الإعدادات!$H$7:$H$18,MONTH(A667)))</f>
        <v/>
      </c>
      <c r="Q667" s="20">
        <f>IF(A667="","",INDEX(الإعدادات!$I$7:$I$18,MONTH(A667)))</f>
        <v/>
      </c>
      <c r="R667" s="20">
        <f>IF(A667="","",IF(MONTH(A667)&gt;=8,YEAR(A667)&amp;"-"&amp;(YEAR(A667)+1),(YEAR(A667)-1)&amp;"-"&amp;YEAR(A667)))</f>
        <v/>
      </c>
      <c r="S667" s="20">
        <f>IF(OR(A667="",B667=""),0,IF(AND(R667=التقارير!$C$4,OR(التقارير!$C$5="سنوي",AND(التقارير!$C$5="شهري",P667=التقارير!$C$6),AND(التقارير!$C$5="فصلي",Q667=التقارير!$C$7))),1,0))</f>
        <v/>
      </c>
      <c r="T667" s="20">
        <f>IF(S667=1,COUNTIF($S$5:S667,1),"")</f>
        <v/>
      </c>
      <c r="U667">
        <f>IF(AND($A667&lt;&gt;"",$B667&lt;&gt;"",$R667='تقرير الفصل الأول'!$C$4,$Q667='تقرير الفصل الأول'!$C$7),COUNT(U$4:U666)+1,"")</f>
        <v/>
      </c>
      <c r="V667">
        <f>IF(AND($A667&lt;&gt;"",$B667&lt;&gt;"",$R667='تقرير الفصل الثاني'!$C$4,$Q667='تقرير الفصل الثاني'!$C$7),COUNT(V$4:V666)+1,"")</f>
        <v/>
      </c>
      <c r="W667">
        <f>IF(AND($A667&lt;&gt;"",$B667&lt;&gt;"",$R667='تقرير سبتمبر'!$C$4,$P667='تقرير سبتمبر'!$C$6),COUNT(W$4:W666)+1,"")</f>
        <v/>
      </c>
      <c r="X667">
        <f>IF(AND($A667&lt;&gt;"",$B667&lt;&gt;"",$R667='تقرير أكتوبر'!$C$4,$P667='تقرير أكتوبر'!$C$6),COUNT(X$4:X666)+1,"")</f>
        <v/>
      </c>
      <c r="Y667">
        <f>IF(AND($A667&lt;&gt;"",$B667&lt;&gt;"",$R667='تقرير نوفمبر'!$C$4,$P667='تقرير نوفمبر'!$C$6),COUNT(Y$4:Y666)+1,"")</f>
        <v/>
      </c>
      <c r="Z667">
        <f>IF(AND($A667&lt;&gt;"",$B667&lt;&gt;"",$R667='تقرير ديسمبر'!$C$4,$P667='تقرير ديسمبر'!$C$6),COUNT(Z$4:Z666)+1,"")</f>
        <v/>
      </c>
      <c r="AA667">
        <f>IF(AND($A667&lt;&gt;"",$B667&lt;&gt;"",$R667='تقرير يناير'!$C$4,$P667='تقرير يناير'!$C$6),COUNT(AA$4:AA666)+1,"")</f>
        <v/>
      </c>
      <c r="AB667">
        <f>IF(AND($A667&lt;&gt;"",$B667&lt;&gt;"",$R667='تقرير فبراير'!$C$4,$P667='تقرير فبراير'!$C$6),COUNT(AB$4:AB666)+1,"")</f>
        <v/>
      </c>
      <c r="AC667">
        <f>IF(AND($A667&lt;&gt;"",$B667&lt;&gt;"",$R667='تقرير مارس'!$C$4,$P667='تقرير مارس'!$C$6),COUNT(AC$4:AC666)+1,"")</f>
        <v/>
      </c>
      <c r="AD667">
        <f>IF(AND($A667&lt;&gt;"",$B667&lt;&gt;"",$R667='تقرير أبريل'!$C$4,$P667='تقرير أبريل'!$C$6),COUNT(AD$4:AD666)+1,"")</f>
        <v/>
      </c>
      <c r="AE667">
        <f>IF(AND($A667&lt;&gt;"",$B667&lt;&gt;"",$R667='تقرير مايو'!$C$4,$P667='تقرير مايو'!$C$6),COUNT(AE$4:AE666)+1,"")</f>
        <v/>
      </c>
    </row>
    <row r="668">
      <c r="A668" s="16" t="n"/>
      <c r="B668" s="17" t="n"/>
      <c r="C668" s="17" t="n"/>
      <c r="D668" s="18" t="n"/>
      <c r="E668" s="17" t="n"/>
      <c r="F668" s="17" t="n"/>
      <c r="G668" s="19" t="n"/>
      <c r="H668" s="17" t="n"/>
      <c r="I668" s="17" t="n"/>
      <c r="J668" s="17" t="n"/>
      <c r="K668" s="20">
        <f>IF($B668="","",IFERROR(INDEX(الموظفات!$A$5:$A$304,MATCH($B668,الموظفات!$B$5:$B$304,0))&amp;"",""))</f>
        <v/>
      </c>
      <c r="L668" s="21">
        <f>IF($B668="","",IFERROR(INDEX(الموظفات!$C$5:$C$304,MATCH($B668,الموظفات!$B$5:$B$304,0))&amp;"",""))</f>
        <v/>
      </c>
      <c r="M668" s="20">
        <f>IF($B668="","",IFERROR(INDEX(الموظفات!$D$5:$D$304,MATCH($B668,الموظفات!$B$5:$B$304,0))&amp;"",""))</f>
        <v/>
      </c>
      <c r="N668" s="20">
        <f>IF($B668="","",IFERROR(INDEX(الموظفات!$E$5:$E$304,MATCH($B668,الموظفات!$B$5:$B$304,0))&amp;"",""))</f>
        <v/>
      </c>
      <c r="O668" s="21">
        <f>IF(C668="","",IFERROR(INDEX(الإعدادات!$D$7:$D$35,MATCH(C668,الإعدادات!$A$7:$A$35,0))&amp;"",""))</f>
        <v/>
      </c>
      <c r="P668" s="20">
        <f>IF(A668="","",INDEX(الإعدادات!$H$7:$H$18,MONTH(A668)))</f>
        <v/>
      </c>
      <c r="Q668" s="20">
        <f>IF(A668="","",INDEX(الإعدادات!$I$7:$I$18,MONTH(A668)))</f>
        <v/>
      </c>
      <c r="R668" s="20">
        <f>IF(A668="","",IF(MONTH(A668)&gt;=8,YEAR(A668)&amp;"-"&amp;(YEAR(A668)+1),(YEAR(A668)-1)&amp;"-"&amp;YEAR(A668)))</f>
        <v/>
      </c>
      <c r="S668" s="20">
        <f>IF(OR(A668="",B668=""),0,IF(AND(R668=التقارير!$C$4,OR(التقارير!$C$5="سنوي",AND(التقارير!$C$5="شهري",P668=التقارير!$C$6),AND(التقارير!$C$5="فصلي",Q668=التقارير!$C$7))),1,0))</f>
        <v/>
      </c>
      <c r="T668" s="20">
        <f>IF(S668=1,COUNTIF($S$5:S668,1),"")</f>
        <v/>
      </c>
      <c r="U668">
        <f>IF(AND($A668&lt;&gt;"",$B668&lt;&gt;"",$R668='تقرير الفصل الأول'!$C$4,$Q668='تقرير الفصل الأول'!$C$7),COUNT(U$4:U667)+1,"")</f>
        <v/>
      </c>
      <c r="V668">
        <f>IF(AND($A668&lt;&gt;"",$B668&lt;&gt;"",$R668='تقرير الفصل الثاني'!$C$4,$Q668='تقرير الفصل الثاني'!$C$7),COUNT(V$4:V667)+1,"")</f>
        <v/>
      </c>
      <c r="W668">
        <f>IF(AND($A668&lt;&gt;"",$B668&lt;&gt;"",$R668='تقرير سبتمبر'!$C$4,$P668='تقرير سبتمبر'!$C$6),COUNT(W$4:W667)+1,"")</f>
        <v/>
      </c>
      <c r="X668">
        <f>IF(AND($A668&lt;&gt;"",$B668&lt;&gt;"",$R668='تقرير أكتوبر'!$C$4,$P668='تقرير أكتوبر'!$C$6),COUNT(X$4:X667)+1,"")</f>
        <v/>
      </c>
      <c r="Y668">
        <f>IF(AND($A668&lt;&gt;"",$B668&lt;&gt;"",$R668='تقرير نوفمبر'!$C$4,$P668='تقرير نوفمبر'!$C$6),COUNT(Y$4:Y667)+1,"")</f>
        <v/>
      </c>
      <c r="Z668">
        <f>IF(AND($A668&lt;&gt;"",$B668&lt;&gt;"",$R668='تقرير ديسمبر'!$C$4,$P668='تقرير ديسمبر'!$C$6),COUNT(Z$4:Z667)+1,"")</f>
        <v/>
      </c>
      <c r="AA668">
        <f>IF(AND($A668&lt;&gt;"",$B668&lt;&gt;"",$R668='تقرير يناير'!$C$4,$P668='تقرير يناير'!$C$6),COUNT(AA$4:AA667)+1,"")</f>
        <v/>
      </c>
      <c r="AB668">
        <f>IF(AND($A668&lt;&gt;"",$B668&lt;&gt;"",$R668='تقرير فبراير'!$C$4,$P668='تقرير فبراير'!$C$6),COUNT(AB$4:AB667)+1,"")</f>
        <v/>
      </c>
      <c r="AC668">
        <f>IF(AND($A668&lt;&gt;"",$B668&lt;&gt;"",$R668='تقرير مارس'!$C$4,$P668='تقرير مارس'!$C$6),COUNT(AC$4:AC667)+1,"")</f>
        <v/>
      </c>
      <c r="AD668">
        <f>IF(AND($A668&lt;&gt;"",$B668&lt;&gt;"",$R668='تقرير أبريل'!$C$4,$P668='تقرير أبريل'!$C$6),COUNT(AD$4:AD667)+1,"")</f>
        <v/>
      </c>
      <c r="AE668">
        <f>IF(AND($A668&lt;&gt;"",$B668&lt;&gt;"",$R668='تقرير مايو'!$C$4,$P668='تقرير مايو'!$C$6),COUNT(AE$4:AE667)+1,"")</f>
        <v/>
      </c>
    </row>
    <row r="669">
      <c r="A669" s="16" t="n"/>
      <c r="B669" s="17" t="n"/>
      <c r="C669" s="17" t="n"/>
      <c r="D669" s="18" t="n"/>
      <c r="E669" s="17" t="n"/>
      <c r="F669" s="17" t="n"/>
      <c r="G669" s="19" t="n"/>
      <c r="H669" s="17" t="n"/>
      <c r="I669" s="17" t="n"/>
      <c r="J669" s="17" t="n"/>
      <c r="K669" s="20">
        <f>IF($B669="","",IFERROR(INDEX(الموظفات!$A$5:$A$304,MATCH($B669,الموظفات!$B$5:$B$304,0))&amp;"",""))</f>
        <v/>
      </c>
      <c r="L669" s="21">
        <f>IF($B669="","",IFERROR(INDEX(الموظفات!$C$5:$C$304,MATCH($B669,الموظفات!$B$5:$B$304,0))&amp;"",""))</f>
        <v/>
      </c>
      <c r="M669" s="20">
        <f>IF($B669="","",IFERROR(INDEX(الموظفات!$D$5:$D$304,MATCH($B669,الموظفات!$B$5:$B$304,0))&amp;"",""))</f>
        <v/>
      </c>
      <c r="N669" s="20">
        <f>IF($B669="","",IFERROR(INDEX(الموظفات!$E$5:$E$304,MATCH($B669,الموظفات!$B$5:$B$304,0))&amp;"",""))</f>
        <v/>
      </c>
      <c r="O669" s="21">
        <f>IF(C669="","",IFERROR(INDEX(الإعدادات!$D$7:$D$35,MATCH(C669,الإعدادات!$A$7:$A$35,0))&amp;"",""))</f>
        <v/>
      </c>
      <c r="P669" s="20">
        <f>IF(A669="","",INDEX(الإعدادات!$H$7:$H$18,MONTH(A669)))</f>
        <v/>
      </c>
      <c r="Q669" s="20">
        <f>IF(A669="","",INDEX(الإعدادات!$I$7:$I$18,MONTH(A669)))</f>
        <v/>
      </c>
      <c r="R669" s="20">
        <f>IF(A669="","",IF(MONTH(A669)&gt;=8,YEAR(A669)&amp;"-"&amp;(YEAR(A669)+1),(YEAR(A669)-1)&amp;"-"&amp;YEAR(A669)))</f>
        <v/>
      </c>
      <c r="S669" s="20">
        <f>IF(OR(A669="",B669=""),0,IF(AND(R669=التقارير!$C$4,OR(التقارير!$C$5="سنوي",AND(التقارير!$C$5="شهري",P669=التقارير!$C$6),AND(التقارير!$C$5="فصلي",Q669=التقارير!$C$7))),1,0))</f>
        <v/>
      </c>
      <c r="T669" s="20">
        <f>IF(S669=1,COUNTIF($S$5:S669,1),"")</f>
        <v/>
      </c>
      <c r="U669">
        <f>IF(AND($A669&lt;&gt;"",$B669&lt;&gt;"",$R669='تقرير الفصل الأول'!$C$4,$Q669='تقرير الفصل الأول'!$C$7),COUNT(U$4:U668)+1,"")</f>
        <v/>
      </c>
      <c r="V669">
        <f>IF(AND($A669&lt;&gt;"",$B669&lt;&gt;"",$R669='تقرير الفصل الثاني'!$C$4,$Q669='تقرير الفصل الثاني'!$C$7),COUNT(V$4:V668)+1,"")</f>
        <v/>
      </c>
      <c r="W669">
        <f>IF(AND($A669&lt;&gt;"",$B669&lt;&gt;"",$R669='تقرير سبتمبر'!$C$4,$P669='تقرير سبتمبر'!$C$6),COUNT(W$4:W668)+1,"")</f>
        <v/>
      </c>
      <c r="X669">
        <f>IF(AND($A669&lt;&gt;"",$B669&lt;&gt;"",$R669='تقرير أكتوبر'!$C$4,$P669='تقرير أكتوبر'!$C$6),COUNT(X$4:X668)+1,"")</f>
        <v/>
      </c>
      <c r="Y669">
        <f>IF(AND($A669&lt;&gt;"",$B669&lt;&gt;"",$R669='تقرير نوفمبر'!$C$4,$P669='تقرير نوفمبر'!$C$6),COUNT(Y$4:Y668)+1,"")</f>
        <v/>
      </c>
      <c r="Z669">
        <f>IF(AND($A669&lt;&gt;"",$B669&lt;&gt;"",$R669='تقرير ديسمبر'!$C$4,$P669='تقرير ديسمبر'!$C$6),COUNT(Z$4:Z668)+1,"")</f>
        <v/>
      </c>
      <c r="AA669">
        <f>IF(AND($A669&lt;&gt;"",$B669&lt;&gt;"",$R669='تقرير يناير'!$C$4,$P669='تقرير يناير'!$C$6),COUNT(AA$4:AA668)+1,"")</f>
        <v/>
      </c>
      <c r="AB669">
        <f>IF(AND($A669&lt;&gt;"",$B669&lt;&gt;"",$R669='تقرير فبراير'!$C$4,$P669='تقرير فبراير'!$C$6),COUNT(AB$4:AB668)+1,"")</f>
        <v/>
      </c>
      <c r="AC669">
        <f>IF(AND($A669&lt;&gt;"",$B669&lt;&gt;"",$R669='تقرير مارس'!$C$4,$P669='تقرير مارس'!$C$6),COUNT(AC$4:AC668)+1,"")</f>
        <v/>
      </c>
      <c r="AD669">
        <f>IF(AND($A669&lt;&gt;"",$B669&lt;&gt;"",$R669='تقرير أبريل'!$C$4,$P669='تقرير أبريل'!$C$6),COUNT(AD$4:AD668)+1,"")</f>
        <v/>
      </c>
      <c r="AE669">
        <f>IF(AND($A669&lt;&gt;"",$B669&lt;&gt;"",$R669='تقرير مايو'!$C$4,$P669='تقرير مايو'!$C$6),COUNT(AE$4:AE668)+1,"")</f>
        <v/>
      </c>
    </row>
    <row r="670">
      <c r="A670" s="16" t="n"/>
      <c r="B670" s="17" t="n"/>
      <c r="C670" s="17" t="n"/>
      <c r="D670" s="18" t="n"/>
      <c r="E670" s="17" t="n"/>
      <c r="F670" s="17" t="n"/>
      <c r="G670" s="19" t="n"/>
      <c r="H670" s="17" t="n"/>
      <c r="I670" s="17" t="n"/>
      <c r="J670" s="17" t="n"/>
      <c r="K670" s="20">
        <f>IF($B670="","",IFERROR(INDEX(الموظفات!$A$5:$A$304,MATCH($B670,الموظفات!$B$5:$B$304,0))&amp;"",""))</f>
        <v/>
      </c>
      <c r="L670" s="21">
        <f>IF($B670="","",IFERROR(INDEX(الموظفات!$C$5:$C$304,MATCH($B670,الموظفات!$B$5:$B$304,0))&amp;"",""))</f>
        <v/>
      </c>
      <c r="M670" s="20">
        <f>IF($B670="","",IFERROR(INDEX(الموظفات!$D$5:$D$304,MATCH($B670,الموظفات!$B$5:$B$304,0))&amp;"",""))</f>
        <v/>
      </c>
      <c r="N670" s="20">
        <f>IF($B670="","",IFERROR(INDEX(الموظفات!$E$5:$E$304,MATCH($B670,الموظفات!$B$5:$B$304,0))&amp;"",""))</f>
        <v/>
      </c>
      <c r="O670" s="21">
        <f>IF(C670="","",IFERROR(INDEX(الإعدادات!$D$7:$D$35,MATCH(C670,الإعدادات!$A$7:$A$35,0))&amp;"",""))</f>
        <v/>
      </c>
      <c r="P670" s="20">
        <f>IF(A670="","",INDEX(الإعدادات!$H$7:$H$18,MONTH(A670)))</f>
        <v/>
      </c>
      <c r="Q670" s="20">
        <f>IF(A670="","",INDEX(الإعدادات!$I$7:$I$18,MONTH(A670)))</f>
        <v/>
      </c>
      <c r="R670" s="20">
        <f>IF(A670="","",IF(MONTH(A670)&gt;=8,YEAR(A670)&amp;"-"&amp;(YEAR(A670)+1),(YEAR(A670)-1)&amp;"-"&amp;YEAR(A670)))</f>
        <v/>
      </c>
      <c r="S670" s="20">
        <f>IF(OR(A670="",B670=""),0,IF(AND(R670=التقارير!$C$4,OR(التقارير!$C$5="سنوي",AND(التقارير!$C$5="شهري",P670=التقارير!$C$6),AND(التقارير!$C$5="فصلي",Q670=التقارير!$C$7))),1,0))</f>
        <v/>
      </c>
      <c r="T670" s="20">
        <f>IF(S670=1,COUNTIF($S$5:S670,1),"")</f>
        <v/>
      </c>
      <c r="U670">
        <f>IF(AND($A670&lt;&gt;"",$B670&lt;&gt;"",$R670='تقرير الفصل الأول'!$C$4,$Q670='تقرير الفصل الأول'!$C$7),COUNT(U$4:U669)+1,"")</f>
        <v/>
      </c>
      <c r="V670">
        <f>IF(AND($A670&lt;&gt;"",$B670&lt;&gt;"",$R670='تقرير الفصل الثاني'!$C$4,$Q670='تقرير الفصل الثاني'!$C$7),COUNT(V$4:V669)+1,"")</f>
        <v/>
      </c>
      <c r="W670">
        <f>IF(AND($A670&lt;&gt;"",$B670&lt;&gt;"",$R670='تقرير سبتمبر'!$C$4,$P670='تقرير سبتمبر'!$C$6),COUNT(W$4:W669)+1,"")</f>
        <v/>
      </c>
      <c r="X670">
        <f>IF(AND($A670&lt;&gt;"",$B670&lt;&gt;"",$R670='تقرير أكتوبر'!$C$4,$P670='تقرير أكتوبر'!$C$6),COUNT(X$4:X669)+1,"")</f>
        <v/>
      </c>
      <c r="Y670">
        <f>IF(AND($A670&lt;&gt;"",$B670&lt;&gt;"",$R670='تقرير نوفمبر'!$C$4,$P670='تقرير نوفمبر'!$C$6),COUNT(Y$4:Y669)+1,"")</f>
        <v/>
      </c>
      <c r="Z670">
        <f>IF(AND($A670&lt;&gt;"",$B670&lt;&gt;"",$R670='تقرير ديسمبر'!$C$4,$P670='تقرير ديسمبر'!$C$6),COUNT(Z$4:Z669)+1,"")</f>
        <v/>
      </c>
      <c r="AA670">
        <f>IF(AND($A670&lt;&gt;"",$B670&lt;&gt;"",$R670='تقرير يناير'!$C$4,$P670='تقرير يناير'!$C$6),COUNT(AA$4:AA669)+1,"")</f>
        <v/>
      </c>
      <c r="AB670">
        <f>IF(AND($A670&lt;&gt;"",$B670&lt;&gt;"",$R670='تقرير فبراير'!$C$4,$P670='تقرير فبراير'!$C$6),COUNT(AB$4:AB669)+1,"")</f>
        <v/>
      </c>
      <c r="AC670">
        <f>IF(AND($A670&lt;&gt;"",$B670&lt;&gt;"",$R670='تقرير مارس'!$C$4,$P670='تقرير مارس'!$C$6),COUNT(AC$4:AC669)+1,"")</f>
        <v/>
      </c>
      <c r="AD670">
        <f>IF(AND($A670&lt;&gt;"",$B670&lt;&gt;"",$R670='تقرير أبريل'!$C$4,$P670='تقرير أبريل'!$C$6),COUNT(AD$4:AD669)+1,"")</f>
        <v/>
      </c>
      <c r="AE670">
        <f>IF(AND($A670&lt;&gt;"",$B670&lt;&gt;"",$R670='تقرير مايو'!$C$4,$P670='تقرير مايو'!$C$6),COUNT(AE$4:AE669)+1,"")</f>
        <v/>
      </c>
    </row>
    <row r="671">
      <c r="A671" s="16" t="n"/>
      <c r="B671" s="17" t="n"/>
      <c r="C671" s="17" t="n"/>
      <c r="D671" s="18" t="n"/>
      <c r="E671" s="17" t="n"/>
      <c r="F671" s="17" t="n"/>
      <c r="G671" s="19" t="n"/>
      <c r="H671" s="17" t="n"/>
      <c r="I671" s="17" t="n"/>
      <c r="J671" s="17" t="n"/>
      <c r="K671" s="20">
        <f>IF($B671="","",IFERROR(INDEX(الموظفات!$A$5:$A$304,MATCH($B671,الموظفات!$B$5:$B$304,0))&amp;"",""))</f>
        <v/>
      </c>
      <c r="L671" s="21">
        <f>IF($B671="","",IFERROR(INDEX(الموظفات!$C$5:$C$304,MATCH($B671,الموظفات!$B$5:$B$304,0))&amp;"",""))</f>
        <v/>
      </c>
      <c r="M671" s="20">
        <f>IF($B671="","",IFERROR(INDEX(الموظفات!$D$5:$D$304,MATCH($B671,الموظفات!$B$5:$B$304,0))&amp;"",""))</f>
        <v/>
      </c>
      <c r="N671" s="20">
        <f>IF($B671="","",IFERROR(INDEX(الموظفات!$E$5:$E$304,MATCH($B671,الموظفات!$B$5:$B$304,0))&amp;"",""))</f>
        <v/>
      </c>
      <c r="O671" s="21">
        <f>IF(C671="","",IFERROR(INDEX(الإعدادات!$D$7:$D$35,MATCH(C671,الإعدادات!$A$7:$A$35,0))&amp;"",""))</f>
        <v/>
      </c>
      <c r="P671" s="20">
        <f>IF(A671="","",INDEX(الإعدادات!$H$7:$H$18,MONTH(A671)))</f>
        <v/>
      </c>
      <c r="Q671" s="20">
        <f>IF(A671="","",INDEX(الإعدادات!$I$7:$I$18,MONTH(A671)))</f>
        <v/>
      </c>
      <c r="R671" s="20">
        <f>IF(A671="","",IF(MONTH(A671)&gt;=8,YEAR(A671)&amp;"-"&amp;(YEAR(A671)+1),(YEAR(A671)-1)&amp;"-"&amp;YEAR(A671)))</f>
        <v/>
      </c>
      <c r="S671" s="20">
        <f>IF(OR(A671="",B671=""),0,IF(AND(R671=التقارير!$C$4,OR(التقارير!$C$5="سنوي",AND(التقارير!$C$5="شهري",P671=التقارير!$C$6),AND(التقارير!$C$5="فصلي",Q671=التقارير!$C$7))),1,0))</f>
        <v/>
      </c>
      <c r="T671" s="20">
        <f>IF(S671=1,COUNTIF($S$5:S671,1),"")</f>
        <v/>
      </c>
      <c r="U671">
        <f>IF(AND($A671&lt;&gt;"",$B671&lt;&gt;"",$R671='تقرير الفصل الأول'!$C$4,$Q671='تقرير الفصل الأول'!$C$7),COUNT(U$4:U670)+1,"")</f>
        <v/>
      </c>
      <c r="V671">
        <f>IF(AND($A671&lt;&gt;"",$B671&lt;&gt;"",$R671='تقرير الفصل الثاني'!$C$4,$Q671='تقرير الفصل الثاني'!$C$7),COUNT(V$4:V670)+1,"")</f>
        <v/>
      </c>
      <c r="W671">
        <f>IF(AND($A671&lt;&gt;"",$B671&lt;&gt;"",$R671='تقرير سبتمبر'!$C$4,$P671='تقرير سبتمبر'!$C$6),COUNT(W$4:W670)+1,"")</f>
        <v/>
      </c>
      <c r="X671">
        <f>IF(AND($A671&lt;&gt;"",$B671&lt;&gt;"",$R671='تقرير أكتوبر'!$C$4,$P671='تقرير أكتوبر'!$C$6),COUNT(X$4:X670)+1,"")</f>
        <v/>
      </c>
      <c r="Y671">
        <f>IF(AND($A671&lt;&gt;"",$B671&lt;&gt;"",$R671='تقرير نوفمبر'!$C$4,$P671='تقرير نوفمبر'!$C$6),COUNT(Y$4:Y670)+1,"")</f>
        <v/>
      </c>
      <c r="Z671">
        <f>IF(AND($A671&lt;&gt;"",$B671&lt;&gt;"",$R671='تقرير ديسمبر'!$C$4,$P671='تقرير ديسمبر'!$C$6),COUNT(Z$4:Z670)+1,"")</f>
        <v/>
      </c>
      <c r="AA671">
        <f>IF(AND($A671&lt;&gt;"",$B671&lt;&gt;"",$R671='تقرير يناير'!$C$4,$P671='تقرير يناير'!$C$6),COUNT(AA$4:AA670)+1,"")</f>
        <v/>
      </c>
      <c r="AB671">
        <f>IF(AND($A671&lt;&gt;"",$B671&lt;&gt;"",$R671='تقرير فبراير'!$C$4,$P671='تقرير فبراير'!$C$6),COUNT(AB$4:AB670)+1,"")</f>
        <v/>
      </c>
      <c r="AC671">
        <f>IF(AND($A671&lt;&gt;"",$B671&lt;&gt;"",$R671='تقرير مارس'!$C$4,$P671='تقرير مارس'!$C$6),COUNT(AC$4:AC670)+1,"")</f>
        <v/>
      </c>
      <c r="AD671">
        <f>IF(AND($A671&lt;&gt;"",$B671&lt;&gt;"",$R671='تقرير أبريل'!$C$4,$P671='تقرير أبريل'!$C$6),COUNT(AD$4:AD670)+1,"")</f>
        <v/>
      </c>
      <c r="AE671">
        <f>IF(AND($A671&lt;&gt;"",$B671&lt;&gt;"",$R671='تقرير مايو'!$C$4,$P671='تقرير مايو'!$C$6),COUNT(AE$4:AE670)+1,"")</f>
        <v/>
      </c>
    </row>
    <row r="672">
      <c r="A672" s="16" t="n"/>
      <c r="B672" s="17" t="n"/>
      <c r="C672" s="17" t="n"/>
      <c r="D672" s="18" t="n"/>
      <c r="E672" s="17" t="n"/>
      <c r="F672" s="17" t="n"/>
      <c r="G672" s="19" t="n"/>
      <c r="H672" s="17" t="n"/>
      <c r="I672" s="17" t="n"/>
      <c r="J672" s="17" t="n"/>
      <c r="K672" s="20">
        <f>IF($B672="","",IFERROR(INDEX(الموظفات!$A$5:$A$304,MATCH($B672,الموظفات!$B$5:$B$304,0))&amp;"",""))</f>
        <v/>
      </c>
      <c r="L672" s="21">
        <f>IF($B672="","",IFERROR(INDEX(الموظفات!$C$5:$C$304,MATCH($B672,الموظفات!$B$5:$B$304,0))&amp;"",""))</f>
        <v/>
      </c>
      <c r="M672" s="20">
        <f>IF($B672="","",IFERROR(INDEX(الموظفات!$D$5:$D$304,MATCH($B672,الموظفات!$B$5:$B$304,0))&amp;"",""))</f>
        <v/>
      </c>
      <c r="N672" s="20">
        <f>IF($B672="","",IFERROR(INDEX(الموظفات!$E$5:$E$304,MATCH($B672,الموظفات!$B$5:$B$304,0))&amp;"",""))</f>
        <v/>
      </c>
      <c r="O672" s="21">
        <f>IF(C672="","",IFERROR(INDEX(الإعدادات!$D$7:$D$35,MATCH(C672,الإعدادات!$A$7:$A$35,0))&amp;"",""))</f>
        <v/>
      </c>
      <c r="P672" s="20">
        <f>IF(A672="","",INDEX(الإعدادات!$H$7:$H$18,MONTH(A672)))</f>
        <v/>
      </c>
      <c r="Q672" s="20">
        <f>IF(A672="","",INDEX(الإعدادات!$I$7:$I$18,MONTH(A672)))</f>
        <v/>
      </c>
      <c r="R672" s="20">
        <f>IF(A672="","",IF(MONTH(A672)&gt;=8,YEAR(A672)&amp;"-"&amp;(YEAR(A672)+1),(YEAR(A672)-1)&amp;"-"&amp;YEAR(A672)))</f>
        <v/>
      </c>
      <c r="S672" s="20">
        <f>IF(OR(A672="",B672=""),0,IF(AND(R672=التقارير!$C$4,OR(التقارير!$C$5="سنوي",AND(التقارير!$C$5="شهري",P672=التقارير!$C$6),AND(التقارير!$C$5="فصلي",Q672=التقارير!$C$7))),1,0))</f>
        <v/>
      </c>
      <c r="T672" s="20">
        <f>IF(S672=1,COUNTIF($S$5:S672,1),"")</f>
        <v/>
      </c>
      <c r="U672">
        <f>IF(AND($A672&lt;&gt;"",$B672&lt;&gt;"",$R672='تقرير الفصل الأول'!$C$4,$Q672='تقرير الفصل الأول'!$C$7),COUNT(U$4:U671)+1,"")</f>
        <v/>
      </c>
      <c r="V672">
        <f>IF(AND($A672&lt;&gt;"",$B672&lt;&gt;"",$R672='تقرير الفصل الثاني'!$C$4,$Q672='تقرير الفصل الثاني'!$C$7),COUNT(V$4:V671)+1,"")</f>
        <v/>
      </c>
      <c r="W672">
        <f>IF(AND($A672&lt;&gt;"",$B672&lt;&gt;"",$R672='تقرير سبتمبر'!$C$4,$P672='تقرير سبتمبر'!$C$6),COUNT(W$4:W671)+1,"")</f>
        <v/>
      </c>
      <c r="X672">
        <f>IF(AND($A672&lt;&gt;"",$B672&lt;&gt;"",$R672='تقرير أكتوبر'!$C$4,$P672='تقرير أكتوبر'!$C$6),COUNT(X$4:X671)+1,"")</f>
        <v/>
      </c>
      <c r="Y672">
        <f>IF(AND($A672&lt;&gt;"",$B672&lt;&gt;"",$R672='تقرير نوفمبر'!$C$4,$P672='تقرير نوفمبر'!$C$6),COUNT(Y$4:Y671)+1,"")</f>
        <v/>
      </c>
      <c r="Z672">
        <f>IF(AND($A672&lt;&gt;"",$B672&lt;&gt;"",$R672='تقرير ديسمبر'!$C$4,$P672='تقرير ديسمبر'!$C$6),COUNT(Z$4:Z671)+1,"")</f>
        <v/>
      </c>
      <c r="AA672">
        <f>IF(AND($A672&lt;&gt;"",$B672&lt;&gt;"",$R672='تقرير يناير'!$C$4,$P672='تقرير يناير'!$C$6),COUNT(AA$4:AA671)+1,"")</f>
        <v/>
      </c>
      <c r="AB672">
        <f>IF(AND($A672&lt;&gt;"",$B672&lt;&gt;"",$R672='تقرير فبراير'!$C$4,$P672='تقرير فبراير'!$C$6),COUNT(AB$4:AB671)+1,"")</f>
        <v/>
      </c>
      <c r="AC672">
        <f>IF(AND($A672&lt;&gt;"",$B672&lt;&gt;"",$R672='تقرير مارس'!$C$4,$P672='تقرير مارس'!$C$6),COUNT(AC$4:AC671)+1,"")</f>
        <v/>
      </c>
      <c r="AD672">
        <f>IF(AND($A672&lt;&gt;"",$B672&lt;&gt;"",$R672='تقرير أبريل'!$C$4,$P672='تقرير أبريل'!$C$6),COUNT(AD$4:AD671)+1,"")</f>
        <v/>
      </c>
      <c r="AE672">
        <f>IF(AND($A672&lt;&gt;"",$B672&lt;&gt;"",$R672='تقرير مايو'!$C$4,$P672='تقرير مايو'!$C$6),COUNT(AE$4:AE671)+1,"")</f>
        <v/>
      </c>
    </row>
    <row r="673">
      <c r="A673" s="16" t="n"/>
      <c r="B673" s="17" t="n"/>
      <c r="C673" s="17" t="n"/>
      <c r="D673" s="18" t="n"/>
      <c r="E673" s="17" t="n"/>
      <c r="F673" s="17" t="n"/>
      <c r="G673" s="19" t="n"/>
      <c r="H673" s="17" t="n"/>
      <c r="I673" s="17" t="n"/>
      <c r="J673" s="17" t="n"/>
      <c r="K673" s="20">
        <f>IF($B673="","",IFERROR(INDEX(الموظفات!$A$5:$A$304,MATCH($B673,الموظفات!$B$5:$B$304,0))&amp;"",""))</f>
        <v/>
      </c>
      <c r="L673" s="21">
        <f>IF($B673="","",IFERROR(INDEX(الموظفات!$C$5:$C$304,MATCH($B673,الموظفات!$B$5:$B$304,0))&amp;"",""))</f>
        <v/>
      </c>
      <c r="M673" s="20">
        <f>IF($B673="","",IFERROR(INDEX(الموظفات!$D$5:$D$304,MATCH($B673,الموظفات!$B$5:$B$304,0))&amp;"",""))</f>
        <v/>
      </c>
      <c r="N673" s="20">
        <f>IF($B673="","",IFERROR(INDEX(الموظفات!$E$5:$E$304,MATCH($B673,الموظفات!$B$5:$B$304,0))&amp;"",""))</f>
        <v/>
      </c>
      <c r="O673" s="21">
        <f>IF(C673="","",IFERROR(INDEX(الإعدادات!$D$7:$D$35,MATCH(C673,الإعدادات!$A$7:$A$35,0))&amp;"",""))</f>
        <v/>
      </c>
      <c r="P673" s="20">
        <f>IF(A673="","",INDEX(الإعدادات!$H$7:$H$18,MONTH(A673)))</f>
        <v/>
      </c>
      <c r="Q673" s="20">
        <f>IF(A673="","",INDEX(الإعدادات!$I$7:$I$18,MONTH(A673)))</f>
        <v/>
      </c>
      <c r="R673" s="20">
        <f>IF(A673="","",IF(MONTH(A673)&gt;=8,YEAR(A673)&amp;"-"&amp;(YEAR(A673)+1),(YEAR(A673)-1)&amp;"-"&amp;YEAR(A673)))</f>
        <v/>
      </c>
      <c r="S673" s="20">
        <f>IF(OR(A673="",B673=""),0,IF(AND(R673=التقارير!$C$4,OR(التقارير!$C$5="سنوي",AND(التقارير!$C$5="شهري",P673=التقارير!$C$6),AND(التقارير!$C$5="فصلي",Q673=التقارير!$C$7))),1,0))</f>
        <v/>
      </c>
      <c r="T673" s="20">
        <f>IF(S673=1,COUNTIF($S$5:S673,1),"")</f>
        <v/>
      </c>
      <c r="U673">
        <f>IF(AND($A673&lt;&gt;"",$B673&lt;&gt;"",$R673='تقرير الفصل الأول'!$C$4,$Q673='تقرير الفصل الأول'!$C$7),COUNT(U$4:U672)+1,"")</f>
        <v/>
      </c>
      <c r="V673">
        <f>IF(AND($A673&lt;&gt;"",$B673&lt;&gt;"",$R673='تقرير الفصل الثاني'!$C$4,$Q673='تقرير الفصل الثاني'!$C$7),COUNT(V$4:V672)+1,"")</f>
        <v/>
      </c>
      <c r="W673">
        <f>IF(AND($A673&lt;&gt;"",$B673&lt;&gt;"",$R673='تقرير سبتمبر'!$C$4,$P673='تقرير سبتمبر'!$C$6),COUNT(W$4:W672)+1,"")</f>
        <v/>
      </c>
      <c r="X673">
        <f>IF(AND($A673&lt;&gt;"",$B673&lt;&gt;"",$R673='تقرير أكتوبر'!$C$4,$P673='تقرير أكتوبر'!$C$6),COUNT(X$4:X672)+1,"")</f>
        <v/>
      </c>
      <c r="Y673">
        <f>IF(AND($A673&lt;&gt;"",$B673&lt;&gt;"",$R673='تقرير نوفمبر'!$C$4,$P673='تقرير نوفمبر'!$C$6),COUNT(Y$4:Y672)+1,"")</f>
        <v/>
      </c>
      <c r="Z673">
        <f>IF(AND($A673&lt;&gt;"",$B673&lt;&gt;"",$R673='تقرير ديسمبر'!$C$4,$P673='تقرير ديسمبر'!$C$6),COUNT(Z$4:Z672)+1,"")</f>
        <v/>
      </c>
      <c r="AA673">
        <f>IF(AND($A673&lt;&gt;"",$B673&lt;&gt;"",$R673='تقرير يناير'!$C$4,$P673='تقرير يناير'!$C$6),COUNT(AA$4:AA672)+1,"")</f>
        <v/>
      </c>
      <c r="AB673">
        <f>IF(AND($A673&lt;&gt;"",$B673&lt;&gt;"",$R673='تقرير فبراير'!$C$4,$P673='تقرير فبراير'!$C$6),COUNT(AB$4:AB672)+1,"")</f>
        <v/>
      </c>
      <c r="AC673">
        <f>IF(AND($A673&lt;&gt;"",$B673&lt;&gt;"",$R673='تقرير مارس'!$C$4,$P673='تقرير مارس'!$C$6),COUNT(AC$4:AC672)+1,"")</f>
        <v/>
      </c>
      <c r="AD673">
        <f>IF(AND($A673&lt;&gt;"",$B673&lt;&gt;"",$R673='تقرير أبريل'!$C$4,$P673='تقرير أبريل'!$C$6),COUNT(AD$4:AD672)+1,"")</f>
        <v/>
      </c>
      <c r="AE673">
        <f>IF(AND($A673&lt;&gt;"",$B673&lt;&gt;"",$R673='تقرير مايو'!$C$4,$P673='تقرير مايو'!$C$6),COUNT(AE$4:AE672)+1,"")</f>
        <v/>
      </c>
    </row>
    <row r="674">
      <c r="A674" s="16" t="n"/>
      <c r="B674" s="17" t="n"/>
      <c r="C674" s="17" t="n"/>
      <c r="D674" s="18" t="n"/>
      <c r="E674" s="17" t="n"/>
      <c r="F674" s="17" t="n"/>
      <c r="G674" s="19" t="n"/>
      <c r="H674" s="17" t="n"/>
      <c r="I674" s="17" t="n"/>
      <c r="J674" s="17" t="n"/>
      <c r="K674" s="20">
        <f>IF($B674="","",IFERROR(INDEX(الموظفات!$A$5:$A$304,MATCH($B674,الموظفات!$B$5:$B$304,0))&amp;"",""))</f>
        <v/>
      </c>
      <c r="L674" s="21">
        <f>IF($B674="","",IFERROR(INDEX(الموظفات!$C$5:$C$304,MATCH($B674,الموظفات!$B$5:$B$304,0))&amp;"",""))</f>
        <v/>
      </c>
      <c r="M674" s="20">
        <f>IF($B674="","",IFERROR(INDEX(الموظفات!$D$5:$D$304,MATCH($B674,الموظفات!$B$5:$B$304,0))&amp;"",""))</f>
        <v/>
      </c>
      <c r="N674" s="20">
        <f>IF($B674="","",IFERROR(INDEX(الموظفات!$E$5:$E$304,MATCH($B674,الموظفات!$B$5:$B$304,0))&amp;"",""))</f>
        <v/>
      </c>
      <c r="O674" s="21">
        <f>IF(C674="","",IFERROR(INDEX(الإعدادات!$D$7:$D$35,MATCH(C674,الإعدادات!$A$7:$A$35,0))&amp;"",""))</f>
        <v/>
      </c>
      <c r="P674" s="20">
        <f>IF(A674="","",INDEX(الإعدادات!$H$7:$H$18,MONTH(A674)))</f>
        <v/>
      </c>
      <c r="Q674" s="20">
        <f>IF(A674="","",INDEX(الإعدادات!$I$7:$I$18,MONTH(A674)))</f>
        <v/>
      </c>
      <c r="R674" s="20">
        <f>IF(A674="","",IF(MONTH(A674)&gt;=8,YEAR(A674)&amp;"-"&amp;(YEAR(A674)+1),(YEAR(A674)-1)&amp;"-"&amp;YEAR(A674)))</f>
        <v/>
      </c>
      <c r="S674" s="20">
        <f>IF(OR(A674="",B674=""),0,IF(AND(R674=التقارير!$C$4,OR(التقارير!$C$5="سنوي",AND(التقارير!$C$5="شهري",P674=التقارير!$C$6),AND(التقارير!$C$5="فصلي",Q674=التقارير!$C$7))),1,0))</f>
        <v/>
      </c>
      <c r="T674" s="20">
        <f>IF(S674=1,COUNTIF($S$5:S674,1),"")</f>
        <v/>
      </c>
      <c r="U674">
        <f>IF(AND($A674&lt;&gt;"",$B674&lt;&gt;"",$R674='تقرير الفصل الأول'!$C$4,$Q674='تقرير الفصل الأول'!$C$7),COUNT(U$4:U673)+1,"")</f>
        <v/>
      </c>
      <c r="V674">
        <f>IF(AND($A674&lt;&gt;"",$B674&lt;&gt;"",$R674='تقرير الفصل الثاني'!$C$4,$Q674='تقرير الفصل الثاني'!$C$7),COUNT(V$4:V673)+1,"")</f>
        <v/>
      </c>
      <c r="W674">
        <f>IF(AND($A674&lt;&gt;"",$B674&lt;&gt;"",$R674='تقرير سبتمبر'!$C$4,$P674='تقرير سبتمبر'!$C$6),COUNT(W$4:W673)+1,"")</f>
        <v/>
      </c>
      <c r="X674">
        <f>IF(AND($A674&lt;&gt;"",$B674&lt;&gt;"",$R674='تقرير أكتوبر'!$C$4,$P674='تقرير أكتوبر'!$C$6),COUNT(X$4:X673)+1,"")</f>
        <v/>
      </c>
      <c r="Y674">
        <f>IF(AND($A674&lt;&gt;"",$B674&lt;&gt;"",$R674='تقرير نوفمبر'!$C$4,$P674='تقرير نوفمبر'!$C$6),COUNT(Y$4:Y673)+1,"")</f>
        <v/>
      </c>
      <c r="Z674">
        <f>IF(AND($A674&lt;&gt;"",$B674&lt;&gt;"",$R674='تقرير ديسمبر'!$C$4,$P674='تقرير ديسمبر'!$C$6),COUNT(Z$4:Z673)+1,"")</f>
        <v/>
      </c>
      <c r="AA674">
        <f>IF(AND($A674&lt;&gt;"",$B674&lt;&gt;"",$R674='تقرير يناير'!$C$4,$P674='تقرير يناير'!$C$6),COUNT(AA$4:AA673)+1,"")</f>
        <v/>
      </c>
      <c r="AB674">
        <f>IF(AND($A674&lt;&gt;"",$B674&lt;&gt;"",$R674='تقرير فبراير'!$C$4,$P674='تقرير فبراير'!$C$6),COUNT(AB$4:AB673)+1,"")</f>
        <v/>
      </c>
      <c r="AC674">
        <f>IF(AND($A674&lt;&gt;"",$B674&lt;&gt;"",$R674='تقرير مارس'!$C$4,$P674='تقرير مارس'!$C$6),COUNT(AC$4:AC673)+1,"")</f>
        <v/>
      </c>
      <c r="AD674">
        <f>IF(AND($A674&lt;&gt;"",$B674&lt;&gt;"",$R674='تقرير أبريل'!$C$4,$P674='تقرير أبريل'!$C$6),COUNT(AD$4:AD673)+1,"")</f>
        <v/>
      </c>
      <c r="AE674">
        <f>IF(AND($A674&lt;&gt;"",$B674&lt;&gt;"",$R674='تقرير مايو'!$C$4,$P674='تقرير مايو'!$C$6),COUNT(AE$4:AE673)+1,"")</f>
        <v/>
      </c>
    </row>
    <row r="675">
      <c r="A675" s="16" t="n"/>
      <c r="B675" s="17" t="n"/>
      <c r="C675" s="17" t="n"/>
      <c r="D675" s="18" t="n"/>
      <c r="E675" s="17" t="n"/>
      <c r="F675" s="17" t="n"/>
      <c r="G675" s="19" t="n"/>
      <c r="H675" s="17" t="n"/>
      <c r="I675" s="17" t="n"/>
      <c r="J675" s="17" t="n"/>
      <c r="K675" s="20">
        <f>IF($B675="","",IFERROR(INDEX(الموظفات!$A$5:$A$304,MATCH($B675,الموظفات!$B$5:$B$304,0))&amp;"",""))</f>
        <v/>
      </c>
      <c r="L675" s="21">
        <f>IF($B675="","",IFERROR(INDEX(الموظفات!$C$5:$C$304,MATCH($B675,الموظفات!$B$5:$B$304,0))&amp;"",""))</f>
        <v/>
      </c>
      <c r="M675" s="20">
        <f>IF($B675="","",IFERROR(INDEX(الموظفات!$D$5:$D$304,MATCH($B675,الموظفات!$B$5:$B$304,0))&amp;"",""))</f>
        <v/>
      </c>
      <c r="N675" s="20">
        <f>IF($B675="","",IFERROR(INDEX(الموظفات!$E$5:$E$304,MATCH($B675,الموظفات!$B$5:$B$304,0))&amp;"",""))</f>
        <v/>
      </c>
      <c r="O675" s="21">
        <f>IF(C675="","",IFERROR(INDEX(الإعدادات!$D$7:$D$35,MATCH(C675,الإعدادات!$A$7:$A$35,0))&amp;"",""))</f>
        <v/>
      </c>
      <c r="P675" s="20">
        <f>IF(A675="","",INDEX(الإعدادات!$H$7:$H$18,MONTH(A675)))</f>
        <v/>
      </c>
      <c r="Q675" s="20">
        <f>IF(A675="","",INDEX(الإعدادات!$I$7:$I$18,MONTH(A675)))</f>
        <v/>
      </c>
      <c r="R675" s="20">
        <f>IF(A675="","",IF(MONTH(A675)&gt;=8,YEAR(A675)&amp;"-"&amp;(YEAR(A675)+1),(YEAR(A675)-1)&amp;"-"&amp;YEAR(A675)))</f>
        <v/>
      </c>
      <c r="S675" s="20">
        <f>IF(OR(A675="",B675=""),0,IF(AND(R675=التقارير!$C$4,OR(التقارير!$C$5="سنوي",AND(التقارير!$C$5="شهري",P675=التقارير!$C$6),AND(التقارير!$C$5="فصلي",Q675=التقارير!$C$7))),1,0))</f>
        <v/>
      </c>
      <c r="T675" s="20">
        <f>IF(S675=1,COUNTIF($S$5:S675,1),"")</f>
        <v/>
      </c>
      <c r="U675">
        <f>IF(AND($A675&lt;&gt;"",$B675&lt;&gt;"",$R675='تقرير الفصل الأول'!$C$4,$Q675='تقرير الفصل الأول'!$C$7),COUNT(U$4:U674)+1,"")</f>
        <v/>
      </c>
      <c r="V675">
        <f>IF(AND($A675&lt;&gt;"",$B675&lt;&gt;"",$R675='تقرير الفصل الثاني'!$C$4,$Q675='تقرير الفصل الثاني'!$C$7),COUNT(V$4:V674)+1,"")</f>
        <v/>
      </c>
      <c r="W675">
        <f>IF(AND($A675&lt;&gt;"",$B675&lt;&gt;"",$R675='تقرير سبتمبر'!$C$4,$P675='تقرير سبتمبر'!$C$6),COUNT(W$4:W674)+1,"")</f>
        <v/>
      </c>
      <c r="X675">
        <f>IF(AND($A675&lt;&gt;"",$B675&lt;&gt;"",$R675='تقرير أكتوبر'!$C$4,$P675='تقرير أكتوبر'!$C$6),COUNT(X$4:X674)+1,"")</f>
        <v/>
      </c>
      <c r="Y675">
        <f>IF(AND($A675&lt;&gt;"",$B675&lt;&gt;"",$R675='تقرير نوفمبر'!$C$4,$P675='تقرير نوفمبر'!$C$6),COUNT(Y$4:Y674)+1,"")</f>
        <v/>
      </c>
      <c r="Z675">
        <f>IF(AND($A675&lt;&gt;"",$B675&lt;&gt;"",$R675='تقرير ديسمبر'!$C$4,$P675='تقرير ديسمبر'!$C$6),COUNT(Z$4:Z674)+1,"")</f>
        <v/>
      </c>
      <c r="AA675">
        <f>IF(AND($A675&lt;&gt;"",$B675&lt;&gt;"",$R675='تقرير يناير'!$C$4,$P675='تقرير يناير'!$C$6),COUNT(AA$4:AA674)+1,"")</f>
        <v/>
      </c>
      <c r="AB675">
        <f>IF(AND($A675&lt;&gt;"",$B675&lt;&gt;"",$R675='تقرير فبراير'!$C$4,$P675='تقرير فبراير'!$C$6),COUNT(AB$4:AB674)+1,"")</f>
        <v/>
      </c>
      <c r="AC675">
        <f>IF(AND($A675&lt;&gt;"",$B675&lt;&gt;"",$R675='تقرير مارس'!$C$4,$P675='تقرير مارس'!$C$6),COUNT(AC$4:AC674)+1,"")</f>
        <v/>
      </c>
      <c r="AD675">
        <f>IF(AND($A675&lt;&gt;"",$B675&lt;&gt;"",$R675='تقرير أبريل'!$C$4,$P675='تقرير أبريل'!$C$6),COUNT(AD$4:AD674)+1,"")</f>
        <v/>
      </c>
      <c r="AE675">
        <f>IF(AND($A675&lt;&gt;"",$B675&lt;&gt;"",$R675='تقرير مايو'!$C$4,$P675='تقرير مايو'!$C$6),COUNT(AE$4:AE674)+1,"")</f>
        <v/>
      </c>
    </row>
    <row r="676">
      <c r="A676" s="16" t="n"/>
      <c r="B676" s="17" t="n"/>
      <c r="C676" s="17" t="n"/>
      <c r="D676" s="18" t="n"/>
      <c r="E676" s="17" t="n"/>
      <c r="F676" s="17" t="n"/>
      <c r="G676" s="19" t="n"/>
      <c r="H676" s="17" t="n"/>
      <c r="I676" s="17" t="n"/>
      <c r="J676" s="17" t="n"/>
      <c r="K676" s="20">
        <f>IF($B676="","",IFERROR(INDEX(الموظفات!$A$5:$A$304,MATCH($B676,الموظفات!$B$5:$B$304,0))&amp;"",""))</f>
        <v/>
      </c>
      <c r="L676" s="21">
        <f>IF($B676="","",IFERROR(INDEX(الموظفات!$C$5:$C$304,MATCH($B676,الموظفات!$B$5:$B$304,0))&amp;"",""))</f>
        <v/>
      </c>
      <c r="M676" s="20">
        <f>IF($B676="","",IFERROR(INDEX(الموظفات!$D$5:$D$304,MATCH($B676,الموظفات!$B$5:$B$304,0))&amp;"",""))</f>
        <v/>
      </c>
      <c r="N676" s="20">
        <f>IF($B676="","",IFERROR(INDEX(الموظفات!$E$5:$E$304,MATCH($B676,الموظفات!$B$5:$B$304,0))&amp;"",""))</f>
        <v/>
      </c>
      <c r="O676" s="21">
        <f>IF(C676="","",IFERROR(INDEX(الإعدادات!$D$7:$D$35,MATCH(C676,الإعدادات!$A$7:$A$35,0))&amp;"",""))</f>
        <v/>
      </c>
      <c r="P676" s="20">
        <f>IF(A676="","",INDEX(الإعدادات!$H$7:$H$18,MONTH(A676)))</f>
        <v/>
      </c>
      <c r="Q676" s="20">
        <f>IF(A676="","",INDEX(الإعدادات!$I$7:$I$18,MONTH(A676)))</f>
        <v/>
      </c>
      <c r="R676" s="20">
        <f>IF(A676="","",IF(MONTH(A676)&gt;=8,YEAR(A676)&amp;"-"&amp;(YEAR(A676)+1),(YEAR(A676)-1)&amp;"-"&amp;YEAR(A676)))</f>
        <v/>
      </c>
      <c r="S676" s="20">
        <f>IF(OR(A676="",B676=""),0,IF(AND(R676=التقارير!$C$4,OR(التقارير!$C$5="سنوي",AND(التقارير!$C$5="شهري",P676=التقارير!$C$6),AND(التقارير!$C$5="فصلي",Q676=التقارير!$C$7))),1,0))</f>
        <v/>
      </c>
      <c r="T676" s="20">
        <f>IF(S676=1,COUNTIF($S$5:S676,1),"")</f>
        <v/>
      </c>
      <c r="U676">
        <f>IF(AND($A676&lt;&gt;"",$B676&lt;&gt;"",$R676='تقرير الفصل الأول'!$C$4,$Q676='تقرير الفصل الأول'!$C$7),COUNT(U$4:U675)+1,"")</f>
        <v/>
      </c>
      <c r="V676">
        <f>IF(AND($A676&lt;&gt;"",$B676&lt;&gt;"",$R676='تقرير الفصل الثاني'!$C$4,$Q676='تقرير الفصل الثاني'!$C$7),COUNT(V$4:V675)+1,"")</f>
        <v/>
      </c>
      <c r="W676">
        <f>IF(AND($A676&lt;&gt;"",$B676&lt;&gt;"",$R676='تقرير سبتمبر'!$C$4,$P676='تقرير سبتمبر'!$C$6),COUNT(W$4:W675)+1,"")</f>
        <v/>
      </c>
      <c r="X676">
        <f>IF(AND($A676&lt;&gt;"",$B676&lt;&gt;"",$R676='تقرير أكتوبر'!$C$4,$P676='تقرير أكتوبر'!$C$6),COUNT(X$4:X675)+1,"")</f>
        <v/>
      </c>
      <c r="Y676">
        <f>IF(AND($A676&lt;&gt;"",$B676&lt;&gt;"",$R676='تقرير نوفمبر'!$C$4,$P676='تقرير نوفمبر'!$C$6),COUNT(Y$4:Y675)+1,"")</f>
        <v/>
      </c>
      <c r="Z676">
        <f>IF(AND($A676&lt;&gt;"",$B676&lt;&gt;"",$R676='تقرير ديسمبر'!$C$4,$P676='تقرير ديسمبر'!$C$6),COUNT(Z$4:Z675)+1,"")</f>
        <v/>
      </c>
      <c r="AA676">
        <f>IF(AND($A676&lt;&gt;"",$B676&lt;&gt;"",$R676='تقرير يناير'!$C$4,$P676='تقرير يناير'!$C$6),COUNT(AA$4:AA675)+1,"")</f>
        <v/>
      </c>
      <c r="AB676">
        <f>IF(AND($A676&lt;&gt;"",$B676&lt;&gt;"",$R676='تقرير فبراير'!$C$4,$P676='تقرير فبراير'!$C$6),COUNT(AB$4:AB675)+1,"")</f>
        <v/>
      </c>
      <c r="AC676">
        <f>IF(AND($A676&lt;&gt;"",$B676&lt;&gt;"",$R676='تقرير مارس'!$C$4,$P676='تقرير مارس'!$C$6),COUNT(AC$4:AC675)+1,"")</f>
        <v/>
      </c>
      <c r="AD676">
        <f>IF(AND($A676&lt;&gt;"",$B676&lt;&gt;"",$R676='تقرير أبريل'!$C$4,$P676='تقرير أبريل'!$C$6),COUNT(AD$4:AD675)+1,"")</f>
        <v/>
      </c>
      <c r="AE676">
        <f>IF(AND($A676&lt;&gt;"",$B676&lt;&gt;"",$R676='تقرير مايو'!$C$4,$P676='تقرير مايو'!$C$6),COUNT(AE$4:AE675)+1,"")</f>
        <v/>
      </c>
    </row>
    <row r="677">
      <c r="A677" s="16" t="n"/>
      <c r="B677" s="17" t="n"/>
      <c r="C677" s="17" t="n"/>
      <c r="D677" s="18" t="n"/>
      <c r="E677" s="17" t="n"/>
      <c r="F677" s="17" t="n"/>
      <c r="G677" s="19" t="n"/>
      <c r="H677" s="17" t="n"/>
      <c r="I677" s="17" t="n"/>
      <c r="J677" s="17" t="n"/>
      <c r="K677" s="20">
        <f>IF($B677="","",IFERROR(INDEX(الموظفات!$A$5:$A$304,MATCH($B677,الموظفات!$B$5:$B$304,0))&amp;"",""))</f>
        <v/>
      </c>
      <c r="L677" s="21">
        <f>IF($B677="","",IFERROR(INDEX(الموظفات!$C$5:$C$304,MATCH($B677,الموظفات!$B$5:$B$304,0))&amp;"",""))</f>
        <v/>
      </c>
      <c r="M677" s="20">
        <f>IF($B677="","",IFERROR(INDEX(الموظفات!$D$5:$D$304,MATCH($B677,الموظفات!$B$5:$B$304,0))&amp;"",""))</f>
        <v/>
      </c>
      <c r="N677" s="20">
        <f>IF($B677="","",IFERROR(INDEX(الموظفات!$E$5:$E$304,MATCH($B677,الموظفات!$B$5:$B$304,0))&amp;"",""))</f>
        <v/>
      </c>
      <c r="O677" s="21">
        <f>IF(C677="","",IFERROR(INDEX(الإعدادات!$D$7:$D$35,MATCH(C677,الإعدادات!$A$7:$A$35,0))&amp;"",""))</f>
        <v/>
      </c>
      <c r="P677" s="20">
        <f>IF(A677="","",INDEX(الإعدادات!$H$7:$H$18,MONTH(A677)))</f>
        <v/>
      </c>
      <c r="Q677" s="20">
        <f>IF(A677="","",INDEX(الإعدادات!$I$7:$I$18,MONTH(A677)))</f>
        <v/>
      </c>
      <c r="R677" s="20">
        <f>IF(A677="","",IF(MONTH(A677)&gt;=8,YEAR(A677)&amp;"-"&amp;(YEAR(A677)+1),(YEAR(A677)-1)&amp;"-"&amp;YEAR(A677)))</f>
        <v/>
      </c>
      <c r="S677" s="20">
        <f>IF(OR(A677="",B677=""),0,IF(AND(R677=التقارير!$C$4,OR(التقارير!$C$5="سنوي",AND(التقارير!$C$5="شهري",P677=التقارير!$C$6),AND(التقارير!$C$5="فصلي",Q677=التقارير!$C$7))),1,0))</f>
        <v/>
      </c>
      <c r="T677" s="20">
        <f>IF(S677=1,COUNTIF($S$5:S677,1),"")</f>
        <v/>
      </c>
      <c r="U677">
        <f>IF(AND($A677&lt;&gt;"",$B677&lt;&gt;"",$R677='تقرير الفصل الأول'!$C$4,$Q677='تقرير الفصل الأول'!$C$7),COUNT(U$4:U676)+1,"")</f>
        <v/>
      </c>
      <c r="V677">
        <f>IF(AND($A677&lt;&gt;"",$B677&lt;&gt;"",$R677='تقرير الفصل الثاني'!$C$4,$Q677='تقرير الفصل الثاني'!$C$7),COUNT(V$4:V676)+1,"")</f>
        <v/>
      </c>
      <c r="W677">
        <f>IF(AND($A677&lt;&gt;"",$B677&lt;&gt;"",$R677='تقرير سبتمبر'!$C$4,$P677='تقرير سبتمبر'!$C$6),COUNT(W$4:W676)+1,"")</f>
        <v/>
      </c>
      <c r="X677">
        <f>IF(AND($A677&lt;&gt;"",$B677&lt;&gt;"",$R677='تقرير أكتوبر'!$C$4,$P677='تقرير أكتوبر'!$C$6),COUNT(X$4:X676)+1,"")</f>
        <v/>
      </c>
      <c r="Y677">
        <f>IF(AND($A677&lt;&gt;"",$B677&lt;&gt;"",$R677='تقرير نوفمبر'!$C$4,$P677='تقرير نوفمبر'!$C$6),COUNT(Y$4:Y676)+1,"")</f>
        <v/>
      </c>
      <c r="Z677">
        <f>IF(AND($A677&lt;&gt;"",$B677&lt;&gt;"",$R677='تقرير ديسمبر'!$C$4,$P677='تقرير ديسمبر'!$C$6),COUNT(Z$4:Z676)+1,"")</f>
        <v/>
      </c>
      <c r="AA677">
        <f>IF(AND($A677&lt;&gt;"",$B677&lt;&gt;"",$R677='تقرير يناير'!$C$4,$P677='تقرير يناير'!$C$6),COUNT(AA$4:AA676)+1,"")</f>
        <v/>
      </c>
      <c r="AB677">
        <f>IF(AND($A677&lt;&gt;"",$B677&lt;&gt;"",$R677='تقرير فبراير'!$C$4,$P677='تقرير فبراير'!$C$6),COUNT(AB$4:AB676)+1,"")</f>
        <v/>
      </c>
      <c r="AC677">
        <f>IF(AND($A677&lt;&gt;"",$B677&lt;&gt;"",$R677='تقرير مارس'!$C$4,$P677='تقرير مارس'!$C$6),COUNT(AC$4:AC676)+1,"")</f>
        <v/>
      </c>
      <c r="AD677">
        <f>IF(AND($A677&lt;&gt;"",$B677&lt;&gt;"",$R677='تقرير أبريل'!$C$4,$P677='تقرير أبريل'!$C$6),COUNT(AD$4:AD676)+1,"")</f>
        <v/>
      </c>
      <c r="AE677">
        <f>IF(AND($A677&lt;&gt;"",$B677&lt;&gt;"",$R677='تقرير مايو'!$C$4,$P677='تقرير مايو'!$C$6),COUNT(AE$4:AE676)+1,"")</f>
        <v/>
      </c>
    </row>
    <row r="678">
      <c r="A678" s="16" t="n"/>
      <c r="B678" s="17" t="n"/>
      <c r="C678" s="17" t="n"/>
      <c r="D678" s="18" t="n"/>
      <c r="E678" s="17" t="n"/>
      <c r="F678" s="17" t="n"/>
      <c r="G678" s="19" t="n"/>
      <c r="H678" s="17" t="n"/>
      <c r="I678" s="17" t="n"/>
      <c r="J678" s="17" t="n"/>
      <c r="K678" s="20">
        <f>IF($B678="","",IFERROR(INDEX(الموظفات!$A$5:$A$304,MATCH($B678,الموظفات!$B$5:$B$304,0))&amp;"",""))</f>
        <v/>
      </c>
      <c r="L678" s="21">
        <f>IF($B678="","",IFERROR(INDEX(الموظفات!$C$5:$C$304,MATCH($B678,الموظفات!$B$5:$B$304,0))&amp;"",""))</f>
        <v/>
      </c>
      <c r="M678" s="20">
        <f>IF($B678="","",IFERROR(INDEX(الموظفات!$D$5:$D$304,MATCH($B678,الموظفات!$B$5:$B$304,0))&amp;"",""))</f>
        <v/>
      </c>
      <c r="N678" s="20">
        <f>IF($B678="","",IFERROR(INDEX(الموظفات!$E$5:$E$304,MATCH($B678,الموظفات!$B$5:$B$304,0))&amp;"",""))</f>
        <v/>
      </c>
      <c r="O678" s="21">
        <f>IF(C678="","",IFERROR(INDEX(الإعدادات!$D$7:$D$35,MATCH(C678,الإعدادات!$A$7:$A$35,0))&amp;"",""))</f>
        <v/>
      </c>
      <c r="P678" s="20">
        <f>IF(A678="","",INDEX(الإعدادات!$H$7:$H$18,MONTH(A678)))</f>
        <v/>
      </c>
      <c r="Q678" s="20">
        <f>IF(A678="","",INDEX(الإعدادات!$I$7:$I$18,MONTH(A678)))</f>
        <v/>
      </c>
      <c r="R678" s="20">
        <f>IF(A678="","",IF(MONTH(A678)&gt;=8,YEAR(A678)&amp;"-"&amp;(YEAR(A678)+1),(YEAR(A678)-1)&amp;"-"&amp;YEAR(A678)))</f>
        <v/>
      </c>
      <c r="S678" s="20">
        <f>IF(OR(A678="",B678=""),0,IF(AND(R678=التقارير!$C$4,OR(التقارير!$C$5="سنوي",AND(التقارير!$C$5="شهري",P678=التقارير!$C$6),AND(التقارير!$C$5="فصلي",Q678=التقارير!$C$7))),1,0))</f>
        <v/>
      </c>
      <c r="T678" s="20">
        <f>IF(S678=1,COUNTIF($S$5:S678,1),"")</f>
        <v/>
      </c>
      <c r="U678">
        <f>IF(AND($A678&lt;&gt;"",$B678&lt;&gt;"",$R678='تقرير الفصل الأول'!$C$4,$Q678='تقرير الفصل الأول'!$C$7),COUNT(U$4:U677)+1,"")</f>
        <v/>
      </c>
      <c r="V678">
        <f>IF(AND($A678&lt;&gt;"",$B678&lt;&gt;"",$R678='تقرير الفصل الثاني'!$C$4,$Q678='تقرير الفصل الثاني'!$C$7),COUNT(V$4:V677)+1,"")</f>
        <v/>
      </c>
      <c r="W678">
        <f>IF(AND($A678&lt;&gt;"",$B678&lt;&gt;"",$R678='تقرير سبتمبر'!$C$4,$P678='تقرير سبتمبر'!$C$6),COUNT(W$4:W677)+1,"")</f>
        <v/>
      </c>
      <c r="X678">
        <f>IF(AND($A678&lt;&gt;"",$B678&lt;&gt;"",$R678='تقرير أكتوبر'!$C$4,$P678='تقرير أكتوبر'!$C$6),COUNT(X$4:X677)+1,"")</f>
        <v/>
      </c>
      <c r="Y678">
        <f>IF(AND($A678&lt;&gt;"",$B678&lt;&gt;"",$R678='تقرير نوفمبر'!$C$4,$P678='تقرير نوفمبر'!$C$6),COUNT(Y$4:Y677)+1,"")</f>
        <v/>
      </c>
      <c r="Z678">
        <f>IF(AND($A678&lt;&gt;"",$B678&lt;&gt;"",$R678='تقرير ديسمبر'!$C$4,$P678='تقرير ديسمبر'!$C$6),COUNT(Z$4:Z677)+1,"")</f>
        <v/>
      </c>
      <c r="AA678">
        <f>IF(AND($A678&lt;&gt;"",$B678&lt;&gt;"",$R678='تقرير يناير'!$C$4,$P678='تقرير يناير'!$C$6),COUNT(AA$4:AA677)+1,"")</f>
        <v/>
      </c>
      <c r="AB678">
        <f>IF(AND($A678&lt;&gt;"",$B678&lt;&gt;"",$R678='تقرير فبراير'!$C$4,$P678='تقرير فبراير'!$C$6),COUNT(AB$4:AB677)+1,"")</f>
        <v/>
      </c>
      <c r="AC678">
        <f>IF(AND($A678&lt;&gt;"",$B678&lt;&gt;"",$R678='تقرير مارس'!$C$4,$P678='تقرير مارس'!$C$6),COUNT(AC$4:AC677)+1,"")</f>
        <v/>
      </c>
      <c r="AD678">
        <f>IF(AND($A678&lt;&gt;"",$B678&lt;&gt;"",$R678='تقرير أبريل'!$C$4,$P678='تقرير أبريل'!$C$6),COUNT(AD$4:AD677)+1,"")</f>
        <v/>
      </c>
      <c r="AE678">
        <f>IF(AND($A678&lt;&gt;"",$B678&lt;&gt;"",$R678='تقرير مايو'!$C$4,$P678='تقرير مايو'!$C$6),COUNT(AE$4:AE677)+1,"")</f>
        <v/>
      </c>
    </row>
    <row r="679">
      <c r="A679" s="16" t="n"/>
      <c r="B679" s="17" t="n"/>
      <c r="C679" s="17" t="n"/>
      <c r="D679" s="18" t="n"/>
      <c r="E679" s="17" t="n"/>
      <c r="F679" s="17" t="n"/>
      <c r="G679" s="19" t="n"/>
      <c r="H679" s="17" t="n"/>
      <c r="I679" s="17" t="n"/>
      <c r="J679" s="17" t="n"/>
      <c r="K679" s="20">
        <f>IF($B679="","",IFERROR(INDEX(الموظفات!$A$5:$A$304,MATCH($B679,الموظفات!$B$5:$B$304,0))&amp;"",""))</f>
        <v/>
      </c>
      <c r="L679" s="21">
        <f>IF($B679="","",IFERROR(INDEX(الموظفات!$C$5:$C$304,MATCH($B679,الموظفات!$B$5:$B$304,0))&amp;"",""))</f>
        <v/>
      </c>
      <c r="M679" s="20">
        <f>IF($B679="","",IFERROR(INDEX(الموظفات!$D$5:$D$304,MATCH($B679,الموظفات!$B$5:$B$304,0))&amp;"",""))</f>
        <v/>
      </c>
      <c r="N679" s="20">
        <f>IF($B679="","",IFERROR(INDEX(الموظفات!$E$5:$E$304,MATCH($B679,الموظفات!$B$5:$B$304,0))&amp;"",""))</f>
        <v/>
      </c>
      <c r="O679" s="21">
        <f>IF(C679="","",IFERROR(INDEX(الإعدادات!$D$7:$D$35,MATCH(C679,الإعدادات!$A$7:$A$35,0))&amp;"",""))</f>
        <v/>
      </c>
      <c r="P679" s="20">
        <f>IF(A679="","",INDEX(الإعدادات!$H$7:$H$18,MONTH(A679)))</f>
        <v/>
      </c>
      <c r="Q679" s="20">
        <f>IF(A679="","",INDEX(الإعدادات!$I$7:$I$18,MONTH(A679)))</f>
        <v/>
      </c>
      <c r="R679" s="20">
        <f>IF(A679="","",IF(MONTH(A679)&gt;=8,YEAR(A679)&amp;"-"&amp;(YEAR(A679)+1),(YEAR(A679)-1)&amp;"-"&amp;YEAR(A679)))</f>
        <v/>
      </c>
      <c r="S679" s="20">
        <f>IF(OR(A679="",B679=""),0,IF(AND(R679=التقارير!$C$4,OR(التقارير!$C$5="سنوي",AND(التقارير!$C$5="شهري",P679=التقارير!$C$6),AND(التقارير!$C$5="فصلي",Q679=التقارير!$C$7))),1,0))</f>
        <v/>
      </c>
      <c r="T679" s="20">
        <f>IF(S679=1,COUNTIF($S$5:S679,1),"")</f>
        <v/>
      </c>
      <c r="U679">
        <f>IF(AND($A679&lt;&gt;"",$B679&lt;&gt;"",$R679='تقرير الفصل الأول'!$C$4,$Q679='تقرير الفصل الأول'!$C$7),COUNT(U$4:U678)+1,"")</f>
        <v/>
      </c>
      <c r="V679">
        <f>IF(AND($A679&lt;&gt;"",$B679&lt;&gt;"",$R679='تقرير الفصل الثاني'!$C$4,$Q679='تقرير الفصل الثاني'!$C$7),COUNT(V$4:V678)+1,"")</f>
        <v/>
      </c>
      <c r="W679">
        <f>IF(AND($A679&lt;&gt;"",$B679&lt;&gt;"",$R679='تقرير سبتمبر'!$C$4,$P679='تقرير سبتمبر'!$C$6),COUNT(W$4:W678)+1,"")</f>
        <v/>
      </c>
      <c r="X679">
        <f>IF(AND($A679&lt;&gt;"",$B679&lt;&gt;"",$R679='تقرير أكتوبر'!$C$4,$P679='تقرير أكتوبر'!$C$6),COUNT(X$4:X678)+1,"")</f>
        <v/>
      </c>
      <c r="Y679">
        <f>IF(AND($A679&lt;&gt;"",$B679&lt;&gt;"",$R679='تقرير نوفمبر'!$C$4,$P679='تقرير نوفمبر'!$C$6),COUNT(Y$4:Y678)+1,"")</f>
        <v/>
      </c>
      <c r="Z679">
        <f>IF(AND($A679&lt;&gt;"",$B679&lt;&gt;"",$R679='تقرير ديسمبر'!$C$4,$P679='تقرير ديسمبر'!$C$6),COUNT(Z$4:Z678)+1,"")</f>
        <v/>
      </c>
      <c r="AA679">
        <f>IF(AND($A679&lt;&gt;"",$B679&lt;&gt;"",$R679='تقرير يناير'!$C$4,$P679='تقرير يناير'!$C$6),COUNT(AA$4:AA678)+1,"")</f>
        <v/>
      </c>
      <c r="AB679">
        <f>IF(AND($A679&lt;&gt;"",$B679&lt;&gt;"",$R679='تقرير فبراير'!$C$4,$P679='تقرير فبراير'!$C$6),COUNT(AB$4:AB678)+1,"")</f>
        <v/>
      </c>
      <c r="AC679">
        <f>IF(AND($A679&lt;&gt;"",$B679&lt;&gt;"",$R679='تقرير مارس'!$C$4,$P679='تقرير مارس'!$C$6),COUNT(AC$4:AC678)+1,"")</f>
        <v/>
      </c>
      <c r="AD679">
        <f>IF(AND($A679&lt;&gt;"",$B679&lt;&gt;"",$R679='تقرير أبريل'!$C$4,$P679='تقرير أبريل'!$C$6),COUNT(AD$4:AD678)+1,"")</f>
        <v/>
      </c>
      <c r="AE679">
        <f>IF(AND($A679&lt;&gt;"",$B679&lt;&gt;"",$R679='تقرير مايو'!$C$4,$P679='تقرير مايو'!$C$6),COUNT(AE$4:AE678)+1,"")</f>
        <v/>
      </c>
    </row>
    <row r="680">
      <c r="A680" s="16" t="n"/>
      <c r="B680" s="17" t="n"/>
      <c r="C680" s="17" t="n"/>
      <c r="D680" s="18" t="n"/>
      <c r="E680" s="17" t="n"/>
      <c r="F680" s="17" t="n"/>
      <c r="G680" s="19" t="n"/>
      <c r="H680" s="17" t="n"/>
      <c r="I680" s="17" t="n"/>
      <c r="J680" s="17" t="n"/>
      <c r="K680" s="20">
        <f>IF($B680="","",IFERROR(INDEX(الموظفات!$A$5:$A$304,MATCH($B680,الموظفات!$B$5:$B$304,0))&amp;"",""))</f>
        <v/>
      </c>
      <c r="L680" s="21">
        <f>IF($B680="","",IFERROR(INDEX(الموظفات!$C$5:$C$304,MATCH($B680,الموظفات!$B$5:$B$304,0))&amp;"",""))</f>
        <v/>
      </c>
      <c r="M680" s="20">
        <f>IF($B680="","",IFERROR(INDEX(الموظفات!$D$5:$D$304,MATCH($B680,الموظفات!$B$5:$B$304,0))&amp;"",""))</f>
        <v/>
      </c>
      <c r="N680" s="20">
        <f>IF($B680="","",IFERROR(INDEX(الموظفات!$E$5:$E$304,MATCH($B680,الموظفات!$B$5:$B$304,0))&amp;"",""))</f>
        <v/>
      </c>
      <c r="O680" s="21">
        <f>IF(C680="","",IFERROR(INDEX(الإعدادات!$D$7:$D$35,MATCH(C680,الإعدادات!$A$7:$A$35,0))&amp;"",""))</f>
        <v/>
      </c>
      <c r="P680" s="20">
        <f>IF(A680="","",INDEX(الإعدادات!$H$7:$H$18,MONTH(A680)))</f>
        <v/>
      </c>
      <c r="Q680" s="20">
        <f>IF(A680="","",INDEX(الإعدادات!$I$7:$I$18,MONTH(A680)))</f>
        <v/>
      </c>
      <c r="R680" s="20">
        <f>IF(A680="","",IF(MONTH(A680)&gt;=8,YEAR(A680)&amp;"-"&amp;(YEAR(A680)+1),(YEAR(A680)-1)&amp;"-"&amp;YEAR(A680)))</f>
        <v/>
      </c>
      <c r="S680" s="20">
        <f>IF(OR(A680="",B680=""),0,IF(AND(R680=التقارير!$C$4,OR(التقارير!$C$5="سنوي",AND(التقارير!$C$5="شهري",P680=التقارير!$C$6),AND(التقارير!$C$5="فصلي",Q680=التقارير!$C$7))),1,0))</f>
        <v/>
      </c>
      <c r="T680" s="20">
        <f>IF(S680=1,COUNTIF($S$5:S680,1),"")</f>
        <v/>
      </c>
      <c r="U680">
        <f>IF(AND($A680&lt;&gt;"",$B680&lt;&gt;"",$R680='تقرير الفصل الأول'!$C$4,$Q680='تقرير الفصل الأول'!$C$7),COUNT(U$4:U679)+1,"")</f>
        <v/>
      </c>
      <c r="V680">
        <f>IF(AND($A680&lt;&gt;"",$B680&lt;&gt;"",$R680='تقرير الفصل الثاني'!$C$4,$Q680='تقرير الفصل الثاني'!$C$7),COUNT(V$4:V679)+1,"")</f>
        <v/>
      </c>
      <c r="W680">
        <f>IF(AND($A680&lt;&gt;"",$B680&lt;&gt;"",$R680='تقرير سبتمبر'!$C$4,$P680='تقرير سبتمبر'!$C$6),COUNT(W$4:W679)+1,"")</f>
        <v/>
      </c>
      <c r="X680">
        <f>IF(AND($A680&lt;&gt;"",$B680&lt;&gt;"",$R680='تقرير أكتوبر'!$C$4,$P680='تقرير أكتوبر'!$C$6),COUNT(X$4:X679)+1,"")</f>
        <v/>
      </c>
      <c r="Y680">
        <f>IF(AND($A680&lt;&gt;"",$B680&lt;&gt;"",$R680='تقرير نوفمبر'!$C$4,$P680='تقرير نوفمبر'!$C$6),COUNT(Y$4:Y679)+1,"")</f>
        <v/>
      </c>
      <c r="Z680">
        <f>IF(AND($A680&lt;&gt;"",$B680&lt;&gt;"",$R680='تقرير ديسمبر'!$C$4,$P680='تقرير ديسمبر'!$C$6),COUNT(Z$4:Z679)+1,"")</f>
        <v/>
      </c>
      <c r="AA680">
        <f>IF(AND($A680&lt;&gt;"",$B680&lt;&gt;"",$R680='تقرير يناير'!$C$4,$P680='تقرير يناير'!$C$6),COUNT(AA$4:AA679)+1,"")</f>
        <v/>
      </c>
      <c r="AB680">
        <f>IF(AND($A680&lt;&gt;"",$B680&lt;&gt;"",$R680='تقرير فبراير'!$C$4,$P680='تقرير فبراير'!$C$6),COUNT(AB$4:AB679)+1,"")</f>
        <v/>
      </c>
      <c r="AC680">
        <f>IF(AND($A680&lt;&gt;"",$B680&lt;&gt;"",$R680='تقرير مارس'!$C$4,$P680='تقرير مارس'!$C$6),COUNT(AC$4:AC679)+1,"")</f>
        <v/>
      </c>
      <c r="AD680">
        <f>IF(AND($A680&lt;&gt;"",$B680&lt;&gt;"",$R680='تقرير أبريل'!$C$4,$P680='تقرير أبريل'!$C$6),COUNT(AD$4:AD679)+1,"")</f>
        <v/>
      </c>
      <c r="AE680">
        <f>IF(AND($A680&lt;&gt;"",$B680&lt;&gt;"",$R680='تقرير مايو'!$C$4,$P680='تقرير مايو'!$C$6),COUNT(AE$4:AE679)+1,"")</f>
        <v/>
      </c>
    </row>
    <row r="681">
      <c r="A681" s="16" t="n"/>
      <c r="B681" s="17" t="n"/>
      <c r="C681" s="17" t="n"/>
      <c r="D681" s="18" t="n"/>
      <c r="E681" s="17" t="n"/>
      <c r="F681" s="17" t="n"/>
      <c r="G681" s="19" t="n"/>
      <c r="H681" s="17" t="n"/>
      <c r="I681" s="17" t="n"/>
      <c r="J681" s="17" t="n"/>
      <c r="K681" s="20">
        <f>IF($B681="","",IFERROR(INDEX(الموظفات!$A$5:$A$304,MATCH($B681,الموظفات!$B$5:$B$304,0))&amp;"",""))</f>
        <v/>
      </c>
      <c r="L681" s="21">
        <f>IF($B681="","",IFERROR(INDEX(الموظفات!$C$5:$C$304,MATCH($B681,الموظفات!$B$5:$B$304,0))&amp;"",""))</f>
        <v/>
      </c>
      <c r="M681" s="20">
        <f>IF($B681="","",IFERROR(INDEX(الموظفات!$D$5:$D$304,MATCH($B681,الموظفات!$B$5:$B$304,0))&amp;"",""))</f>
        <v/>
      </c>
      <c r="N681" s="20">
        <f>IF($B681="","",IFERROR(INDEX(الموظفات!$E$5:$E$304,MATCH($B681,الموظفات!$B$5:$B$304,0))&amp;"",""))</f>
        <v/>
      </c>
      <c r="O681" s="21">
        <f>IF(C681="","",IFERROR(INDEX(الإعدادات!$D$7:$D$35,MATCH(C681,الإعدادات!$A$7:$A$35,0))&amp;"",""))</f>
        <v/>
      </c>
      <c r="P681" s="20">
        <f>IF(A681="","",INDEX(الإعدادات!$H$7:$H$18,MONTH(A681)))</f>
        <v/>
      </c>
      <c r="Q681" s="20">
        <f>IF(A681="","",INDEX(الإعدادات!$I$7:$I$18,MONTH(A681)))</f>
        <v/>
      </c>
      <c r="R681" s="20">
        <f>IF(A681="","",IF(MONTH(A681)&gt;=8,YEAR(A681)&amp;"-"&amp;(YEAR(A681)+1),(YEAR(A681)-1)&amp;"-"&amp;YEAR(A681)))</f>
        <v/>
      </c>
      <c r="S681" s="20">
        <f>IF(OR(A681="",B681=""),0,IF(AND(R681=التقارير!$C$4,OR(التقارير!$C$5="سنوي",AND(التقارير!$C$5="شهري",P681=التقارير!$C$6),AND(التقارير!$C$5="فصلي",Q681=التقارير!$C$7))),1,0))</f>
        <v/>
      </c>
      <c r="T681" s="20">
        <f>IF(S681=1,COUNTIF($S$5:S681,1),"")</f>
        <v/>
      </c>
      <c r="U681">
        <f>IF(AND($A681&lt;&gt;"",$B681&lt;&gt;"",$R681='تقرير الفصل الأول'!$C$4,$Q681='تقرير الفصل الأول'!$C$7),COUNT(U$4:U680)+1,"")</f>
        <v/>
      </c>
      <c r="V681">
        <f>IF(AND($A681&lt;&gt;"",$B681&lt;&gt;"",$R681='تقرير الفصل الثاني'!$C$4,$Q681='تقرير الفصل الثاني'!$C$7),COUNT(V$4:V680)+1,"")</f>
        <v/>
      </c>
      <c r="W681">
        <f>IF(AND($A681&lt;&gt;"",$B681&lt;&gt;"",$R681='تقرير سبتمبر'!$C$4,$P681='تقرير سبتمبر'!$C$6),COUNT(W$4:W680)+1,"")</f>
        <v/>
      </c>
      <c r="X681">
        <f>IF(AND($A681&lt;&gt;"",$B681&lt;&gt;"",$R681='تقرير أكتوبر'!$C$4,$P681='تقرير أكتوبر'!$C$6),COUNT(X$4:X680)+1,"")</f>
        <v/>
      </c>
      <c r="Y681">
        <f>IF(AND($A681&lt;&gt;"",$B681&lt;&gt;"",$R681='تقرير نوفمبر'!$C$4,$P681='تقرير نوفمبر'!$C$6),COUNT(Y$4:Y680)+1,"")</f>
        <v/>
      </c>
      <c r="Z681">
        <f>IF(AND($A681&lt;&gt;"",$B681&lt;&gt;"",$R681='تقرير ديسمبر'!$C$4,$P681='تقرير ديسمبر'!$C$6),COUNT(Z$4:Z680)+1,"")</f>
        <v/>
      </c>
      <c r="AA681">
        <f>IF(AND($A681&lt;&gt;"",$B681&lt;&gt;"",$R681='تقرير يناير'!$C$4,$P681='تقرير يناير'!$C$6),COUNT(AA$4:AA680)+1,"")</f>
        <v/>
      </c>
      <c r="AB681">
        <f>IF(AND($A681&lt;&gt;"",$B681&lt;&gt;"",$R681='تقرير فبراير'!$C$4,$P681='تقرير فبراير'!$C$6),COUNT(AB$4:AB680)+1,"")</f>
        <v/>
      </c>
      <c r="AC681">
        <f>IF(AND($A681&lt;&gt;"",$B681&lt;&gt;"",$R681='تقرير مارس'!$C$4,$P681='تقرير مارس'!$C$6),COUNT(AC$4:AC680)+1,"")</f>
        <v/>
      </c>
      <c r="AD681">
        <f>IF(AND($A681&lt;&gt;"",$B681&lt;&gt;"",$R681='تقرير أبريل'!$C$4,$P681='تقرير أبريل'!$C$6),COUNT(AD$4:AD680)+1,"")</f>
        <v/>
      </c>
      <c r="AE681">
        <f>IF(AND($A681&lt;&gt;"",$B681&lt;&gt;"",$R681='تقرير مايو'!$C$4,$P681='تقرير مايو'!$C$6),COUNT(AE$4:AE680)+1,"")</f>
        <v/>
      </c>
    </row>
    <row r="682">
      <c r="A682" s="16" t="n"/>
      <c r="B682" s="17" t="n"/>
      <c r="C682" s="17" t="n"/>
      <c r="D682" s="18" t="n"/>
      <c r="E682" s="17" t="n"/>
      <c r="F682" s="17" t="n"/>
      <c r="G682" s="19" t="n"/>
      <c r="H682" s="17" t="n"/>
      <c r="I682" s="17" t="n"/>
      <c r="J682" s="17" t="n"/>
      <c r="K682" s="20">
        <f>IF($B682="","",IFERROR(INDEX(الموظفات!$A$5:$A$304,MATCH($B682,الموظفات!$B$5:$B$304,0))&amp;"",""))</f>
        <v/>
      </c>
      <c r="L682" s="21">
        <f>IF($B682="","",IFERROR(INDEX(الموظفات!$C$5:$C$304,MATCH($B682,الموظفات!$B$5:$B$304,0))&amp;"",""))</f>
        <v/>
      </c>
      <c r="M682" s="20">
        <f>IF($B682="","",IFERROR(INDEX(الموظفات!$D$5:$D$304,MATCH($B682,الموظفات!$B$5:$B$304,0))&amp;"",""))</f>
        <v/>
      </c>
      <c r="N682" s="20">
        <f>IF($B682="","",IFERROR(INDEX(الموظفات!$E$5:$E$304,MATCH($B682,الموظفات!$B$5:$B$304,0))&amp;"",""))</f>
        <v/>
      </c>
      <c r="O682" s="21">
        <f>IF(C682="","",IFERROR(INDEX(الإعدادات!$D$7:$D$35,MATCH(C682,الإعدادات!$A$7:$A$35,0))&amp;"",""))</f>
        <v/>
      </c>
      <c r="P682" s="20">
        <f>IF(A682="","",INDEX(الإعدادات!$H$7:$H$18,MONTH(A682)))</f>
        <v/>
      </c>
      <c r="Q682" s="20">
        <f>IF(A682="","",INDEX(الإعدادات!$I$7:$I$18,MONTH(A682)))</f>
        <v/>
      </c>
      <c r="R682" s="20">
        <f>IF(A682="","",IF(MONTH(A682)&gt;=8,YEAR(A682)&amp;"-"&amp;(YEAR(A682)+1),(YEAR(A682)-1)&amp;"-"&amp;YEAR(A682)))</f>
        <v/>
      </c>
      <c r="S682" s="20">
        <f>IF(OR(A682="",B682=""),0,IF(AND(R682=التقارير!$C$4,OR(التقارير!$C$5="سنوي",AND(التقارير!$C$5="شهري",P682=التقارير!$C$6),AND(التقارير!$C$5="فصلي",Q682=التقارير!$C$7))),1,0))</f>
        <v/>
      </c>
      <c r="T682" s="20">
        <f>IF(S682=1,COUNTIF($S$5:S682,1),"")</f>
        <v/>
      </c>
      <c r="U682">
        <f>IF(AND($A682&lt;&gt;"",$B682&lt;&gt;"",$R682='تقرير الفصل الأول'!$C$4,$Q682='تقرير الفصل الأول'!$C$7),COUNT(U$4:U681)+1,"")</f>
        <v/>
      </c>
      <c r="V682">
        <f>IF(AND($A682&lt;&gt;"",$B682&lt;&gt;"",$R682='تقرير الفصل الثاني'!$C$4,$Q682='تقرير الفصل الثاني'!$C$7),COUNT(V$4:V681)+1,"")</f>
        <v/>
      </c>
      <c r="W682">
        <f>IF(AND($A682&lt;&gt;"",$B682&lt;&gt;"",$R682='تقرير سبتمبر'!$C$4,$P682='تقرير سبتمبر'!$C$6),COUNT(W$4:W681)+1,"")</f>
        <v/>
      </c>
      <c r="X682">
        <f>IF(AND($A682&lt;&gt;"",$B682&lt;&gt;"",$R682='تقرير أكتوبر'!$C$4,$P682='تقرير أكتوبر'!$C$6),COUNT(X$4:X681)+1,"")</f>
        <v/>
      </c>
      <c r="Y682">
        <f>IF(AND($A682&lt;&gt;"",$B682&lt;&gt;"",$R682='تقرير نوفمبر'!$C$4,$P682='تقرير نوفمبر'!$C$6),COUNT(Y$4:Y681)+1,"")</f>
        <v/>
      </c>
      <c r="Z682">
        <f>IF(AND($A682&lt;&gt;"",$B682&lt;&gt;"",$R682='تقرير ديسمبر'!$C$4,$P682='تقرير ديسمبر'!$C$6),COUNT(Z$4:Z681)+1,"")</f>
        <v/>
      </c>
      <c r="AA682">
        <f>IF(AND($A682&lt;&gt;"",$B682&lt;&gt;"",$R682='تقرير يناير'!$C$4,$P682='تقرير يناير'!$C$6),COUNT(AA$4:AA681)+1,"")</f>
        <v/>
      </c>
      <c r="AB682">
        <f>IF(AND($A682&lt;&gt;"",$B682&lt;&gt;"",$R682='تقرير فبراير'!$C$4,$P682='تقرير فبراير'!$C$6),COUNT(AB$4:AB681)+1,"")</f>
        <v/>
      </c>
      <c r="AC682">
        <f>IF(AND($A682&lt;&gt;"",$B682&lt;&gt;"",$R682='تقرير مارس'!$C$4,$P682='تقرير مارس'!$C$6),COUNT(AC$4:AC681)+1,"")</f>
        <v/>
      </c>
      <c r="AD682">
        <f>IF(AND($A682&lt;&gt;"",$B682&lt;&gt;"",$R682='تقرير أبريل'!$C$4,$P682='تقرير أبريل'!$C$6),COUNT(AD$4:AD681)+1,"")</f>
        <v/>
      </c>
      <c r="AE682">
        <f>IF(AND($A682&lt;&gt;"",$B682&lt;&gt;"",$R682='تقرير مايو'!$C$4,$P682='تقرير مايو'!$C$6),COUNT(AE$4:AE681)+1,"")</f>
        <v/>
      </c>
    </row>
    <row r="683">
      <c r="A683" s="16" t="n"/>
      <c r="B683" s="17" t="n"/>
      <c r="C683" s="17" t="n"/>
      <c r="D683" s="18" t="n"/>
      <c r="E683" s="17" t="n"/>
      <c r="F683" s="17" t="n"/>
      <c r="G683" s="19" t="n"/>
      <c r="H683" s="17" t="n"/>
      <c r="I683" s="17" t="n"/>
      <c r="J683" s="17" t="n"/>
      <c r="K683" s="20">
        <f>IF($B683="","",IFERROR(INDEX(الموظفات!$A$5:$A$304,MATCH($B683,الموظفات!$B$5:$B$304,0))&amp;"",""))</f>
        <v/>
      </c>
      <c r="L683" s="21">
        <f>IF($B683="","",IFERROR(INDEX(الموظفات!$C$5:$C$304,MATCH($B683,الموظفات!$B$5:$B$304,0))&amp;"",""))</f>
        <v/>
      </c>
      <c r="M683" s="20">
        <f>IF($B683="","",IFERROR(INDEX(الموظفات!$D$5:$D$304,MATCH($B683,الموظفات!$B$5:$B$304,0))&amp;"",""))</f>
        <v/>
      </c>
      <c r="N683" s="20">
        <f>IF($B683="","",IFERROR(INDEX(الموظفات!$E$5:$E$304,MATCH($B683,الموظفات!$B$5:$B$304,0))&amp;"",""))</f>
        <v/>
      </c>
      <c r="O683" s="21">
        <f>IF(C683="","",IFERROR(INDEX(الإعدادات!$D$7:$D$35,MATCH(C683,الإعدادات!$A$7:$A$35,0))&amp;"",""))</f>
        <v/>
      </c>
      <c r="P683" s="20">
        <f>IF(A683="","",INDEX(الإعدادات!$H$7:$H$18,MONTH(A683)))</f>
        <v/>
      </c>
      <c r="Q683" s="20">
        <f>IF(A683="","",INDEX(الإعدادات!$I$7:$I$18,MONTH(A683)))</f>
        <v/>
      </c>
      <c r="R683" s="20">
        <f>IF(A683="","",IF(MONTH(A683)&gt;=8,YEAR(A683)&amp;"-"&amp;(YEAR(A683)+1),(YEAR(A683)-1)&amp;"-"&amp;YEAR(A683)))</f>
        <v/>
      </c>
      <c r="S683" s="20">
        <f>IF(OR(A683="",B683=""),0,IF(AND(R683=التقارير!$C$4,OR(التقارير!$C$5="سنوي",AND(التقارير!$C$5="شهري",P683=التقارير!$C$6),AND(التقارير!$C$5="فصلي",Q683=التقارير!$C$7))),1,0))</f>
        <v/>
      </c>
      <c r="T683" s="20">
        <f>IF(S683=1,COUNTIF($S$5:S683,1),"")</f>
        <v/>
      </c>
      <c r="U683">
        <f>IF(AND($A683&lt;&gt;"",$B683&lt;&gt;"",$R683='تقرير الفصل الأول'!$C$4,$Q683='تقرير الفصل الأول'!$C$7),COUNT(U$4:U682)+1,"")</f>
        <v/>
      </c>
      <c r="V683">
        <f>IF(AND($A683&lt;&gt;"",$B683&lt;&gt;"",$R683='تقرير الفصل الثاني'!$C$4,$Q683='تقرير الفصل الثاني'!$C$7),COUNT(V$4:V682)+1,"")</f>
        <v/>
      </c>
      <c r="W683">
        <f>IF(AND($A683&lt;&gt;"",$B683&lt;&gt;"",$R683='تقرير سبتمبر'!$C$4,$P683='تقرير سبتمبر'!$C$6),COUNT(W$4:W682)+1,"")</f>
        <v/>
      </c>
      <c r="X683">
        <f>IF(AND($A683&lt;&gt;"",$B683&lt;&gt;"",$R683='تقرير أكتوبر'!$C$4,$P683='تقرير أكتوبر'!$C$6),COUNT(X$4:X682)+1,"")</f>
        <v/>
      </c>
      <c r="Y683">
        <f>IF(AND($A683&lt;&gt;"",$B683&lt;&gt;"",$R683='تقرير نوفمبر'!$C$4,$P683='تقرير نوفمبر'!$C$6),COUNT(Y$4:Y682)+1,"")</f>
        <v/>
      </c>
      <c r="Z683">
        <f>IF(AND($A683&lt;&gt;"",$B683&lt;&gt;"",$R683='تقرير ديسمبر'!$C$4,$P683='تقرير ديسمبر'!$C$6),COUNT(Z$4:Z682)+1,"")</f>
        <v/>
      </c>
      <c r="AA683">
        <f>IF(AND($A683&lt;&gt;"",$B683&lt;&gt;"",$R683='تقرير يناير'!$C$4,$P683='تقرير يناير'!$C$6),COUNT(AA$4:AA682)+1,"")</f>
        <v/>
      </c>
      <c r="AB683">
        <f>IF(AND($A683&lt;&gt;"",$B683&lt;&gt;"",$R683='تقرير فبراير'!$C$4,$P683='تقرير فبراير'!$C$6),COUNT(AB$4:AB682)+1,"")</f>
        <v/>
      </c>
      <c r="AC683">
        <f>IF(AND($A683&lt;&gt;"",$B683&lt;&gt;"",$R683='تقرير مارس'!$C$4,$P683='تقرير مارس'!$C$6),COUNT(AC$4:AC682)+1,"")</f>
        <v/>
      </c>
      <c r="AD683">
        <f>IF(AND($A683&lt;&gt;"",$B683&lt;&gt;"",$R683='تقرير أبريل'!$C$4,$P683='تقرير أبريل'!$C$6),COUNT(AD$4:AD682)+1,"")</f>
        <v/>
      </c>
      <c r="AE683">
        <f>IF(AND($A683&lt;&gt;"",$B683&lt;&gt;"",$R683='تقرير مايو'!$C$4,$P683='تقرير مايو'!$C$6),COUNT(AE$4:AE682)+1,"")</f>
        <v/>
      </c>
    </row>
    <row r="684">
      <c r="A684" s="16" t="n"/>
      <c r="B684" s="17" t="n"/>
      <c r="C684" s="17" t="n"/>
      <c r="D684" s="18" t="n"/>
      <c r="E684" s="17" t="n"/>
      <c r="F684" s="17" t="n"/>
      <c r="G684" s="19" t="n"/>
      <c r="H684" s="17" t="n"/>
      <c r="I684" s="17" t="n"/>
      <c r="J684" s="17" t="n"/>
      <c r="K684" s="20">
        <f>IF($B684="","",IFERROR(INDEX(الموظفات!$A$5:$A$304,MATCH($B684,الموظفات!$B$5:$B$304,0))&amp;"",""))</f>
        <v/>
      </c>
      <c r="L684" s="21">
        <f>IF($B684="","",IFERROR(INDEX(الموظفات!$C$5:$C$304,MATCH($B684,الموظفات!$B$5:$B$304,0))&amp;"",""))</f>
        <v/>
      </c>
      <c r="M684" s="20">
        <f>IF($B684="","",IFERROR(INDEX(الموظفات!$D$5:$D$304,MATCH($B684,الموظفات!$B$5:$B$304,0))&amp;"",""))</f>
        <v/>
      </c>
      <c r="N684" s="20">
        <f>IF($B684="","",IFERROR(INDEX(الموظفات!$E$5:$E$304,MATCH($B684,الموظفات!$B$5:$B$304,0))&amp;"",""))</f>
        <v/>
      </c>
      <c r="O684" s="21">
        <f>IF(C684="","",IFERROR(INDEX(الإعدادات!$D$7:$D$35,MATCH(C684,الإعدادات!$A$7:$A$35,0))&amp;"",""))</f>
        <v/>
      </c>
      <c r="P684" s="20">
        <f>IF(A684="","",INDEX(الإعدادات!$H$7:$H$18,MONTH(A684)))</f>
        <v/>
      </c>
      <c r="Q684" s="20">
        <f>IF(A684="","",INDEX(الإعدادات!$I$7:$I$18,MONTH(A684)))</f>
        <v/>
      </c>
      <c r="R684" s="20">
        <f>IF(A684="","",IF(MONTH(A684)&gt;=8,YEAR(A684)&amp;"-"&amp;(YEAR(A684)+1),(YEAR(A684)-1)&amp;"-"&amp;YEAR(A684)))</f>
        <v/>
      </c>
      <c r="S684" s="20">
        <f>IF(OR(A684="",B684=""),0,IF(AND(R684=التقارير!$C$4,OR(التقارير!$C$5="سنوي",AND(التقارير!$C$5="شهري",P684=التقارير!$C$6),AND(التقارير!$C$5="فصلي",Q684=التقارير!$C$7))),1,0))</f>
        <v/>
      </c>
      <c r="T684" s="20">
        <f>IF(S684=1,COUNTIF($S$5:S684,1),"")</f>
        <v/>
      </c>
      <c r="U684">
        <f>IF(AND($A684&lt;&gt;"",$B684&lt;&gt;"",$R684='تقرير الفصل الأول'!$C$4,$Q684='تقرير الفصل الأول'!$C$7),COUNT(U$4:U683)+1,"")</f>
        <v/>
      </c>
      <c r="V684">
        <f>IF(AND($A684&lt;&gt;"",$B684&lt;&gt;"",$R684='تقرير الفصل الثاني'!$C$4,$Q684='تقرير الفصل الثاني'!$C$7),COUNT(V$4:V683)+1,"")</f>
        <v/>
      </c>
      <c r="W684">
        <f>IF(AND($A684&lt;&gt;"",$B684&lt;&gt;"",$R684='تقرير سبتمبر'!$C$4,$P684='تقرير سبتمبر'!$C$6),COUNT(W$4:W683)+1,"")</f>
        <v/>
      </c>
      <c r="X684">
        <f>IF(AND($A684&lt;&gt;"",$B684&lt;&gt;"",$R684='تقرير أكتوبر'!$C$4,$P684='تقرير أكتوبر'!$C$6),COUNT(X$4:X683)+1,"")</f>
        <v/>
      </c>
      <c r="Y684">
        <f>IF(AND($A684&lt;&gt;"",$B684&lt;&gt;"",$R684='تقرير نوفمبر'!$C$4,$P684='تقرير نوفمبر'!$C$6),COUNT(Y$4:Y683)+1,"")</f>
        <v/>
      </c>
      <c r="Z684">
        <f>IF(AND($A684&lt;&gt;"",$B684&lt;&gt;"",$R684='تقرير ديسمبر'!$C$4,$P684='تقرير ديسمبر'!$C$6),COUNT(Z$4:Z683)+1,"")</f>
        <v/>
      </c>
      <c r="AA684">
        <f>IF(AND($A684&lt;&gt;"",$B684&lt;&gt;"",$R684='تقرير يناير'!$C$4,$P684='تقرير يناير'!$C$6),COUNT(AA$4:AA683)+1,"")</f>
        <v/>
      </c>
      <c r="AB684">
        <f>IF(AND($A684&lt;&gt;"",$B684&lt;&gt;"",$R684='تقرير فبراير'!$C$4,$P684='تقرير فبراير'!$C$6),COUNT(AB$4:AB683)+1,"")</f>
        <v/>
      </c>
      <c r="AC684">
        <f>IF(AND($A684&lt;&gt;"",$B684&lt;&gt;"",$R684='تقرير مارس'!$C$4,$P684='تقرير مارس'!$C$6),COUNT(AC$4:AC683)+1,"")</f>
        <v/>
      </c>
      <c r="AD684">
        <f>IF(AND($A684&lt;&gt;"",$B684&lt;&gt;"",$R684='تقرير أبريل'!$C$4,$P684='تقرير أبريل'!$C$6),COUNT(AD$4:AD683)+1,"")</f>
        <v/>
      </c>
      <c r="AE684">
        <f>IF(AND($A684&lt;&gt;"",$B684&lt;&gt;"",$R684='تقرير مايو'!$C$4,$P684='تقرير مايو'!$C$6),COUNT(AE$4:AE683)+1,"")</f>
        <v/>
      </c>
    </row>
    <row r="685">
      <c r="A685" s="16" t="n"/>
      <c r="B685" s="17" t="n"/>
      <c r="C685" s="17" t="n"/>
      <c r="D685" s="18" t="n"/>
      <c r="E685" s="17" t="n"/>
      <c r="F685" s="17" t="n"/>
      <c r="G685" s="19" t="n"/>
      <c r="H685" s="17" t="n"/>
      <c r="I685" s="17" t="n"/>
      <c r="J685" s="17" t="n"/>
      <c r="K685" s="20">
        <f>IF($B685="","",IFERROR(INDEX(الموظفات!$A$5:$A$304,MATCH($B685,الموظفات!$B$5:$B$304,0))&amp;"",""))</f>
        <v/>
      </c>
      <c r="L685" s="21">
        <f>IF($B685="","",IFERROR(INDEX(الموظفات!$C$5:$C$304,MATCH($B685,الموظفات!$B$5:$B$304,0))&amp;"",""))</f>
        <v/>
      </c>
      <c r="M685" s="20">
        <f>IF($B685="","",IFERROR(INDEX(الموظفات!$D$5:$D$304,MATCH($B685,الموظفات!$B$5:$B$304,0))&amp;"",""))</f>
        <v/>
      </c>
      <c r="N685" s="20">
        <f>IF($B685="","",IFERROR(INDEX(الموظفات!$E$5:$E$304,MATCH($B685,الموظفات!$B$5:$B$304,0))&amp;"",""))</f>
        <v/>
      </c>
      <c r="O685" s="21">
        <f>IF(C685="","",IFERROR(INDEX(الإعدادات!$D$7:$D$35,MATCH(C685,الإعدادات!$A$7:$A$35,0))&amp;"",""))</f>
        <v/>
      </c>
      <c r="P685" s="20">
        <f>IF(A685="","",INDEX(الإعدادات!$H$7:$H$18,MONTH(A685)))</f>
        <v/>
      </c>
      <c r="Q685" s="20">
        <f>IF(A685="","",INDEX(الإعدادات!$I$7:$I$18,MONTH(A685)))</f>
        <v/>
      </c>
      <c r="R685" s="20">
        <f>IF(A685="","",IF(MONTH(A685)&gt;=8,YEAR(A685)&amp;"-"&amp;(YEAR(A685)+1),(YEAR(A685)-1)&amp;"-"&amp;YEAR(A685)))</f>
        <v/>
      </c>
      <c r="S685" s="20">
        <f>IF(OR(A685="",B685=""),0,IF(AND(R685=التقارير!$C$4,OR(التقارير!$C$5="سنوي",AND(التقارير!$C$5="شهري",P685=التقارير!$C$6),AND(التقارير!$C$5="فصلي",Q685=التقارير!$C$7))),1,0))</f>
        <v/>
      </c>
      <c r="T685" s="20">
        <f>IF(S685=1,COUNTIF($S$5:S685,1),"")</f>
        <v/>
      </c>
      <c r="U685">
        <f>IF(AND($A685&lt;&gt;"",$B685&lt;&gt;"",$R685='تقرير الفصل الأول'!$C$4,$Q685='تقرير الفصل الأول'!$C$7),COUNT(U$4:U684)+1,"")</f>
        <v/>
      </c>
      <c r="V685">
        <f>IF(AND($A685&lt;&gt;"",$B685&lt;&gt;"",$R685='تقرير الفصل الثاني'!$C$4,$Q685='تقرير الفصل الثاني'!$C$7),COUNT(V$4:V684)+1,"")</f>
        <v/>
      </c>
      <c r="W685">
        <f>IF(AND($A685&lt;&gt;"",$B685&lt;&gt;"",$R685='تقرير سبتمبر'!$C$4,$P685='تقرير سبتمبر'!$C$6),COUNT(W$4:W684)+1,"")</f>
        <v/>
      </c>
      <c r="X685">
        <f>IF(AND($A685&lt;&gt;"",$B685&lt;&gt;"",$R685='تقرير أكتوبر'!$C$4,$P685='تقرير أكتوبر'!$C$6),COUNT(X$4:X684)+1,"")</f>
        <v/>
      </c>
      <c r="Y685">
        <f>IF(AND($A685&lt;&gt;"",$B685&lt;&gt;"",$R685='تقرير نوفمبر'!$C$4,$P685='تقرير نوفمبر'!$C$6),COUNT(Y$4:Y684)+1,"")</f>
        <v/>
      </c>
      <c r="Z685">
        <f>IF(AND($A685&lt;&gt;"",$B685&lt;&gt;"",$R685='تقرير ديسمبر'!$C$4,$P685='تقرير ديسمبر'!$C$6),COUNT(Z$4:Z684)+1,"")</f>
        <v/>
      </c>
      <c r="AA685">
        <f>IF(AND($A685&lt;&gt;"",$B685&lt;&gt;"",$R685='تقرير يناير'!$C$4,$P685='تقرير يناير'!$C$6),COUNT(AA$4:AA684)+1,"")</f>
        <v/>
      </c>
      <c r="AB685">
        <f>IF(AND($A685&lt;&gt;"",$B685&lt;&gt;"",$R685='تقرير فبراير'!$C$4,$P685='تقرير فبراير'!$C$6),COUNT(AB$4:AB684)+1,"")</f>
        <v/>
      </c>
      <c r="AC685">
        <f>IF(AND($A685&lt;&gt;"",$B685&lt;&gt;"",$R685='تقرير مارس'!$C$4,$P685='تقرير مارس'!$C$6),COUNT(AC$4:AC684)+1,"")</f>
        <v/>
      </c>
      <c r="AD685">
        <f>IF(AND($A685&lt;&gt;"",$B685&lt;&gt;"",$R685='تقرير أبريل'!$C$4,$P685='تقرير أبريل'!$C$6),COUNT(AD$4:AD684)+1,"")</f>
        <v/>
      </c>
      <c r="AE685">
        <f>IF(AND($A685&lt;&gt;"",$B685&lt;&gt;"",$R685='تقرير مايو'!$C$4,$P685='تقرير مايو'!$C$6),COUNT(AE$4:AE684)+1,"")</f>
        <v/>
      </c>
    </row>
    <row r="686">
      <c r="A686" s="16" t="n"/>
      <c r="B686" s="17" t="n"/>
      <c r="C686" s="17" t="n"/>
      <c r="D686" s="18" t="n"/>
      <c r="E686" s="17" t="n"/>
      <c r="F686" s="17" t="n"/>
      <c r="G686" s="19" t="n"/>
      <c r="H686" s="17" t="n"/>
      <c r="I686" s="17" t="n"/>
      <c r="J686" s="17" t="n"/>
      <c r="K686" s="20">
        <f>IF($B686="","",IFERROR(INDEX(الموظفات!$A$5:$A$304,MATCH($B686,الموظفات!$B$5:$B$304,0))&amp;"",""))</f>
        <v/>
      </c>
      <c r="L686" s="21">
        <f>IF($B686="","",IFERROR(INDEX(الموظفات!$C$5:$C$304,MATCH($B686,الموظفات!$B$5:$B$304,0))&amp;"",""))</f>
        <v/>
      </c>
      <c r="M686" s="20">
        <f>IF($B686="","",IFERROR(INDEX(الموظفات!$D$5:$D$304,MATCH($B686,الموظفات!$B$5:$B$304,0))&amp;"",""))</f>
        <v/>
      </c>
      <c r="N686" s="20">
        <f>IF($B686="","",IFERROR(INDEX(الموظفات!$E$5:$E$304,MATCH($B686,الموظفات!$B$5:$B$304,0))&amp;"",""))</f>
        <v/>
      </c>
      <c r="O686" s="21">
        <f>IF(C686="","",IFERROR(INDEX(الإعدادات!$D$7:$D$35,MATCH(C686,الإعدادات!$A$7:$A$35,0))&amp;"",""))</f>
        <v/>
      </c>
      <c r="P686" s="20">
        <f>IF(A686="","",INDEX(الإعدادات!$H$7:$H$18,MONTH(A686)))</f>
        <v/>
      </c>
      <c r="Q686" s="20">
        <f>IF(A686="","",INDEX(الإعدادات!$I$7:$I$18,MONTH(A686)))</f>
        <v/>
      </c>
      <c r="R686" s="20">
        <f>IF(A686="","",IF(MONTH(A686)&gt;=8,YEAR(A686)&amp;"-"&amp;(YEAR(A686)+1),(YEAR(A686)-1)&amp;"-"&amp;YEAR(A686)))</f>
        <v/>
      </c>
      <c r="S686" s="20">
        <f>IF(OR(A686="",B686=""),0,IF(AND(R686=التقارير!$C$4,OR(التقارير!$C$5="سنوي",AND(التقارير!$C$5="شهري",P686=التقارير!$C$6),AND(التقارير!$C$5="فصلي",Q686=التقارير!$C$7))),1,0))</f>
        <v/>
      </c>
      <c r="T686" s="20">
        <f>IF(S686=1,COUNTIF($S$5:S686,1),"")</f>
        <v/>
      </c>
      <c r="U686">
        <f>IF(AND($A686&lt;&gt;"",$B686&lt;&gt;"",$R686='تقرير الفصل الأول'!$C$4,$Q686='تقرير الفصل الأول'!$C$7),COUNT(U$4:U685)+1,"")</f>
        <v/>
      </c>
      <c r="V686">
        <f>IF(AND($A686&lt;&gt;"",$B686&lt;&gt;"",$R686='تقرير الفصل الثاني'!$C$4,$Q686='تقرير الفصل الثاني'!$C$7),COUNT(V$4:V685)+1,"")</f>
        <v/>
      </c>
      <c r="W686">
        <f>IF(AND($A686&lt;&gt;"",$B686&lt;&gt;"",$R686='تقرير سبتمبر'!$C$4,$P686='تقرير سبتمبر'!$C$6),COUNT(W$4:W685)+1,"")</f>
        <v/>
      </c>
      <c r="X686">
        <f>IF(AND($A686&lt;&gt;"",$B686&lt;&gt;"",$R686='تقرير أكتوبر'!$C$4,$P686='تقرير أكتوبر'!$C$6),COUNT(X$4:X685)+1,"")</f>
        <v/>
      </c>
      <c r="Y686">
        <f>IF(AND($A686&lt;&gt;"",$B686&lt;&gt;"",$R686='تقرير نوفمبر'!$C$4,$P686='تقرير نوفمبر'!$C$6),COUNT(Y$4:Y685)+1,"")</f>
        <v/>
      </c>
      <c r="Z686">
        <f>IF(AND($A686&lt;&gt;"",$B686&lt;&gt;"",$R686='تقرير ديسمبر'!$C$4,$P686='تقرير ديسمبر'!$C$6),COUNT(Z$4:Z685)+1,"")</f>
        <v/>
      </c>
      <c r="AA686">
        <f>IF(AND($A686&lt;&gt;"",$B686&lt;&gt;"",$R686='تقرير يناير'!$C$4,$P686='تقرير يناير'!$C$6),COUNT(AA$4:AA685)+1,"")</f>
        <v/>
      </c>
      <c r="AB686">
        <f>IF(AND($A686&lt;&gt;"",$B686&lt;&gt;"",$R686='تقرير فبراير'!$C$4,$P686='تقرير فبراير'!$C$6),COUNT(AB$4:AB685)+1,"")</f>
        <v/>
      </c>
      <c r="AC686">
        <f>IF(AND($A686&lt;&gt;"",$B686&lt;&gt;"",$R686='تقرير مارس'!$C$4,$P686='تقرير مارس'!$C$6),COUNT(AC$4:AC685)+1,"")</f>
        <v/>
      </c>
      <c r="AD686">
        <f>IF(AND($A686&lt;&gt;"",$B686&lt;&gt;"",$R686='تقرير أبريل'!$C$4,$P686='تقرير أبريل'!$C$6),COUNT(AD$4:AD685)+1,"")</f>
        <v/>
      </c>
      <c r="AE686">
        <f>IF(AND($A686&lt;&gt;"",$B686&lt;&gt;"",$R686='تقرير مايو'!$C$4,$P686='تقرير مايو'!$C$6),COUNT(AE$4:AE685)+1,"")</f>
        <v/>
      </c>
    </row>
    <row r="687">
      <c r="A687" s="16" t="n"/>
      <c r="B687" s="17" t="n"/>
      <c r="C687" s="17" t="n"/>
      <c r="D687" s="18" t="n"/>
      <c r="E687" s="17" t="n"/>
      <c r="F687" s="17" t="n"/>
      <c r="G687" s="19" t="n"/>
      <c r="H687" s="17" t="n"/>
      <c r="I687" s="17" t="n"/>
      <c r="J687" s="17" t="n"/>
      <c r="K687" s="20">
        <f>IF($B687="","",IFERROR(INDEX(الموظفات!$A$5:$A$304,MATCH($B687,الموظفات!$B$5:$B$304,0))&amp;"",""))</f>
        <v/>
      </c>
      <c r="L687" s="21">
        <f>IF($B687="","",IFERROR(INDEX(الموظفات!$C$5:$C$304,MATCH($B687,الموظفات!$B$5:$B$304,0))&amp;"",""))</f>
        <v/>
      </c>
      <c r="M687" s="20">
        <f>IF($B687="","",IFERROR(INDEX(الموظفات!$D$5:$D$304,MATCH($B687,الموظفات!$B$5:$B$304,0))&amp;"",""))</f>
        <v/>
      </c>
      <c r="N687" s="20">
        <f>IF($B687="","",IFERROR(INDEX(الموظفات!$E$5:$E$304,MATCH($B687,الموظفات!$B$5:$B$304,0))&amp;"",""))</f>
        <v/>
      </c>
      <c r="O687" s="21">
        <f>IF(C687="","",IFERROR(INDEX(الإعدادات!$D$7:$D$35,MATCH(C687,الإعدادات!$A$7:$A$35,0))&amp;"",""))</f>
        <v/>
      </c>
      <c r="P687" s="20">
        <f>IF(A687="","",INDEX(الإعدادات!$H$7:$H$18,MONTH(A687)))</f>
        <v/>
      </c>
      <c r="Q687" s="20">
        <f>IF(A687="","",INDEX(الإعدادات!$I$7:$I$18,MONTH(A687)))</f>
        <v/>
      </c>
      <c r="R687" s="20">
        <f>IF(A687="","",IF(MONTH(A687)&gt;=8,YEAR(A687)&amp;"-"&amp;(YEAR(A687)+1),(YEAR(A687)-1)&amp;"-"&amp;YEAR(A687)))</f>
        <v/>
      </c>
      <c r="S687" s="20">
        <f>IF(OR(A687="",B687=""),0,IF(AND(R687=التقارير!$C$4,OR(التقارير!$C$5="سنوي",AND(التقارير!$C$5="شهري",P687=التقارير!$C$6),AND(التقارير!$C$5="فصلي",Q687=التقارير!$C$7))),1,0))</f>
        <v/>
      </c>
      <c r="T687" s="20">
        <f>IF(S687=1,COUNTIF($S$5:S687,1),"")</f>
        <v/>
      </c>
      <c r="U687">
        <f>IF(AND($A687&lt;&gt;"",$B687&lt;&gt;"",$R687='تقرير الفصل الأول'!$C$4,$Q687='تقرير الفصل الأول'!$C$7),COUNT(U$4:U686)+1,"")</f>
        <v/>
      </c>
      <c r="V687">
        <f>IF(AND($A687&lt;&gt;"",$B687&lt;&gt;"",$R687='تقرير الفصل الثاني'!$C$4,$Q687='تقرير الفصل الثاني'!$C$7),COUNT(V$4:V686)+1,"")</f>
        <v/>
      </c>
      <c r="W687">
        <f>IF(AND($A687&lt;&gt;"",$B687&lt;&gt;"",$R687='تقرير سبتمبر'!$C$4,$P687='تقرير سبتمبر'!$C$6),COUNT(W$4:W686)+1,"")</f>
        <v/>
      </c>
      <c r="X687">
        <f>IF(AND($A687&lt;&gt;"",$B687&lt;&gt;"",$R687='تقرير أكتوبر'!$C$4,$P687='تقرير أكتوبر'!$C$6),COUNT(X$4:X686)+1,"")</f>
        <v/>
      </c>
      <c r="Y687">
        <f>IF(AND($A687&lt;&gt;"",$B687&lt;&gt;"",$R687='تقرير نوفمبر'!$C$4,$P687='تقرير نوفمبر'!$C$6),COUNT(Y$4:Y686)+1,"")</f>
        <v/>
      </c>
      <c r="Z687">
        <f>IF(AND($A687&lt;&gt;"",$B687&lt;&gt;"",$R687='تقرير ديسمبر'!$C$4,$P687='تقرير ديسمبر'!$C$6),COUNT(Z$4:Z686)+1,"")</f>
        <v/>
      </c>
      <c r="AA687">
        <f>IF(AND($A687&lt;&gt;"",$B687&lt;&gt;"",$R687='تقرير يناير'!$C$4,$P687='تقرير يناير'!$C$6),COUNT(AA$4:AA686)+1,"")</f>
        <v/>
      </c>
      <c r="AB687">
        <f>IF(AND($A687&lt;&gt;"",$B687&lt;&gt;"",$R687='تقرير فبراير'!$C$4,$P687='تقرير فبراير'!$C$6),COUNT(AB$4:AB686)+1,"")</f>
        <v/>
      </c>
      <c r="AC687">
        <f>IF(AND($A687&lt;&gt;"",$B687&lt;&gt;"",$R687='تقرير مارس'!$C$4,$P687='تقرير مارس'!$C$6),COUNT(AC$4:AC686)+1,"")</f>
        <v/>
      </c>
      <c r="AD687">
        <f>IF(AND($A687&lt;&gt;"",$B687&lt;&gt;"",$R687='تقرير أبريل'!$C$4,$P687='تقرير أبريل'!$C$6),COUNT(AD$4:AD686)+1,"")</f>
        <v/>
      </c>
      <c r="AE687">
        <f>IF(AND($A687&lt;&gt;"",$B687&lt;&gt;"",$R687='تقرير مايو'!$C$4,$P687='تقرير مايو'!$C$6),COUNT(AE$4:AE686)+1,"")</f>
        <v/>
      </c>
    </row>
    <row r="688">
      <c r="A688" s="16" t="n"/>
      <c r="B688" s="17" t="n"/>
      <c r="C688" s="17" t="n"/>
      <c r="D688" s="18" t="n"/>
      <c r="E688" s="17" t="n"/>
      <c r="F688" s="17" t="n"/>
      <c r="G688" s="19" t="n"/>
      <c r="H688" s="17" t="n"/>
      <c r="I688" s="17" t="n"/>
      <c r="J688" s="17" t="n"/>
      <c r="K688" s="20">
        <f>IF($B688="","",IFERROR(INDEX(الموظفات!$A$5:$A$304,MATCH($B688,الموظفات!$B$5:$B$304,0))&amp;"",""))</f>
        <v/>
      </c>
      <c r="L688" s="21">
        <f>IF($B688="","",IFERROR(INDEX(الموظفات!$C$5:$C$304,MATCH($B688,الموظفات!$B$5:$B$304,0))&amp;"",""))</f>
        <v/>
      </c>
      <c r="M688" s="20">
        <f>IF($B688="","",IFERROR(INDEX(الموظفات!$D$5:$D$304,MATCH($B688,الموظفات!$B$5:$B$304,0))&amp;"",""))</f>
        <v/>
      </c>
      <c r="N688" s="20">
        <f>IF($B688="","",IFERROR(INDEX(الموظفات!$E$5:$E$304,MATCH($B688,الموظفات!$B$5:$B$304,0))&amp;"",""))</f>
        <v/>
      </c>
      <c r="O688" s="21">
        <f>IF(C688="","",IFERROR(INDEX(الإعدادات!$D$7:$D$35,MATCH(C688,الإعدادات!$A$7:$A$35,0))&amp;"",""))</f>
        <v/>
      </c>
      <c r="P688" s="20">
        <f>IF(A688="","",INDEX(الإعدادات!$H$7:$H$18,MONTH(A688)))</f>
        <v/>
      </c>
      <c r="Q688" s="20">
        <f>IF(A688="","",INDEX(الإعدادات!$I$7:$I$18,MONTH(A688)))</f>
        <v/>
      </c>
      <c r="R688" s="20">
        <f>IF(A688="","",IF(MONTH(A688)&gt;=8,YEAR(A688)&amp;"-"&amp;(YEAR(A688)+1),(YEAR(A688)-1)&amp;"-"&amp;YEAR(A688)))</f>
        <v/>
      </c>
      <c r="S688" s="20">
        <f>IF(OR(A688="",B688=""),0,IF(AND(R688=التقارير!$C$4,OR(التقارير!$C$5="سنوي",AND(التقارير!$C$5="شهري",P688=التقارير!$C$6),AND(التقارير!$C$5="فصلي",Q688=التقارير!$C$7))),1,0))</f>
        <v/>
      </c>
      <c r="T688" s="20">
        <f>IF(S688=1,COUNTIF($S$5:S688,1),"")</f>
        <v/>
      </c>
      <c r="U688">
        <f>IF(AND($A688&lt;&gt;"",$B688&lt;&gt;"",$R688='تقرير الفصل الأول'!$C$4,$Q688='تقرير الفصل الأول'!$C$7),COUNT(U$4:U687)+1,"")</f>
        <v/>
      </c>
      <c r="V688">
        <f>IF(AND($A688&lt;&gt;"",$B688&lt;&gt;"",$R688='تقرير الفصل الثاني'!$C$4,$Q688='تقرير الفصل الثاني'!$C$7),COUNT(V$4:V687)+1,"")</f>
        <v/>
      </c>
      <c r="W688">
        <f>IF(AND($A688&lt;&gt;"",$B688&lt;&gt;"",$R688='تقرير سبتمبر'!$C$4,$P688='تقرير سبتمبر'!$C$6),COUNT(W$4:W687)+1,"")</f>
        <v/>
      </c>
      <c r="X688">
        <f>IF(AND($A688&lt;&gt;"",$B688&lt;&gt;"",$R688='تقرير أكتوبر'!$C$4,$P688='تقرير أكتوبر'!$C$6),COUNT(X$4:X687)+1,"")</f>
        <v/>
      </c>
      <c r="Y688">
        <f>IF(AND($A688&lt;&gt;"",$B688&lt;&gt;"",$R688='تقرير نوفمبر'!$C$4,$P688='تقرير نوفمبر'!$C$6),COUNT(Y$4:Y687)+1,"")</f>
        <v/>
      </c>
      <c r="Z688">
        <f>IF(AND($A688&lt;&gt;"",$B688&lt;&gt;"",$R688='تقرير ديسمبر'!$C$4,$P688='تقرير ديسمبر'!$C$6),COUNT(Z$4:Z687)+1,"")</f>
        <v/>
      </c>
      <c r="AA688">
        <f>IF(AND($A688&lt;&gt;"",$B688&lt;&gt;"",$R688='تقرير يناير'!$C$4,$P688='تقرير يناير'!$C$6),COUNT(AA$4:AA687)+1,"")</f>
        <v/>
      </c>
      <c r="AB688">
        <f>IF(AND($A688&lt;&gt;"",$B688&lt;&gt;"",$R688='تقرير فبراير'!$C$4,$P688='تقرير فبراير'!$C$6),COUNT(AB$4:AB687)+1,"")</f>
        <v/>
      </c>
      <c r="AC688">
        <f>IF(AND($A688&lt;&gt;"",$B688&lt;&gt;"",$R688='تقرير مارس'!$C$4,$P688='تقرير مارس'!$C$6),COUNT(AC$4:AC687)+1,"")</f>
        <v/>
      </c>
      <c r="AD688">
        <f>IF(AND($A688&lt;&gt;"",$B688&lt;&gt;"",$R688='تقرير أبريل'!$C$4,$P688='تقرير أبريل'!$C$6),COUNT(AD$4:AD687)+1,"")</f>
        <v/>
      </c>
      <c r="AE688">
        <f>IF(AND($A688&lt;&gt;"",$B688&lt;&gt;"",$R688='تقرير مايو'!$C$4,$P688='تقرير مايو'!$C$6),COUNT(AE$4:AE687)+1,"")</f>
        <v/>
      </c>
    </row>
    <row r="689">
      <c r="A689" s="16" t="n"/>
      <c r="B689" s="17" t="n"/>
      <c r="C689" s="17" t="n"/>
      <c r="D689" s="18" t="n"/>
      <c r="E689" s="17" t="n"/>
      <c r="F689" s="17" t="n"/>
      <c r="G689" s="19" t="n"/>
      <c r="H689" s="17" t="n"/>
      <c r="I689" s="17" t="n"/>
      <c r="J689" s="17" t="n"/>
      <c r="K689" s="20">
        <f>IF($B689="","",IFERROR(INDEX(الموظفات!$A$5:$A$304,MATCH($B689,الموظفات!$B$5:$B$304,0))&amp;"",""))</f>
        <v/>
      </c>
      <c r="L689" s="21">
        <f>IF($B689="","",IFERROR(INDEX(الموظفات!$C$5:$C$304,MATCH($B689,الموظفات!$B$5:$B$304,0))&amp;"",""))</f>
        <v/>
      </c>
      <c r="M689" s="20">
        <f>IF($B689="","",IFERROR(INDEX(الموظفات!$D$5:$D$304,MATCH($B689,الموظفات!$B$5:$B$304,0))&amp;"",""))</f>
        <v/>
      </c>
      <c r="N689" s="20">
        <f>IF($B689="","",IFERROR(INDEX(الموظفات!$E$5:$E$304,MATCH($B689,الموظفات!$B$5:$B$304,0))&amp;"",""))</f>
        <v/>
      </c>
      <c r="O689" s="21">
        <f>IF(C689="","",IFERROR(INDEX(الإعدادات!$D$7:$D$35,MATCH(C689,الإعدادات!$A$7:$A$35,0))&amp;"",""))</f>
        <v/>
      </c>
      <c r="P689" s="20">
        <f>IF(A689="","",INDEX(الإعدادات!$H$7:$H$18,MONTH(A689)))</f>
        <v/>
      </c>
      <c r="Q689" s="20">
        <f>IF(A689="","",INDEX(الإعدادات!$I$7:$I$18,MONTH(A689)))</f>
        <v/>
      </c>
      <c r="R689" s="20">
        <f>IF(A689="","",IF(MONTH(A689)&gt;=8,YEAR(A689)&amp;"-"&amp;(YEAR(A689)+1),(YEAR(A689)-1)&amp;"-"&amp;YEAR(A689)))</f>
        <v/>
      </c>
      <c r="S689" s="20">
        <f>IF(OR(A689="",B689=""),0,IF(AND(R689=التقارير!$C$4,OR(التقارير!$C$5="سنوي",AND(التقارير!$C$5="شهري",P689=التقارير!$C$6),AND(التقارير!$C$5="فصلي",Q689=التقارير!$C$7))),1,0))</f>
        <v/>
      </c>
      <c r="T689" s="20">
        <f>IF(S689=1,COUNTIF($S$5:S689,1),"")</f>
        <v/>
      </c>
      <c r="U689">
        <f>IF(AND($A689&lt;&gt;"",$B689&lt;&gt;"",$R689='تقرير الفصل الأول'!$C$4,$Q689='تقرير الفصل الأول'!$C$7),COUNT(U$4:U688)+1,"")</f>
        <v/>
      </c>
      <c r="V689">
        <f>IF(AND($A689&lt;&gt;"",$B689&lt;&gt;"",$R689='تقرير الفصل الثاني'!$C$4,$Q689='تقرير الفصل الثاني'!$C$7),COUNT(V$4:V688)+1,"")</f>
        <v/>
      </c>
      <c r="W689">
        <f>IF(AND($A689&lt;&gt;"",$B689&lt;&gt;"",$R689='تقرير سبتمبر'!$C$4,$P689='تقرير سبتمبر'!$C$6),COUNT(W$4:W688)+1,"")</f>
        <v/>
      </c>
      <c r="X689">
        <f>IF(AND($A689&lt;&gt;"",$B689&lt;&gt;"",$R689='تقرير أكتوبر'!$C$4,$P689='تقرير أكتوبر'!$C$6),COUNT(X$4:X688)+1,"")</f>
        <v/>
      </c>
      <c r="Y689">
        <f>IF(AND($A689&lt;&gt;"",$B689&lt;&gt;"",$R689='تقرير نوفمبر'!$C$4,$P689='تقرير نوفمبر'!$C$6),COUNT(Y$4:Y688)+1,"")</f>
        <v/>
      </c>
      <c r="Z689">
        <f>IF(AND($A689&lt;&gt;"",$B689&lt;&gt;"",$R689='تقرير ديسمبر'!$C$4,$P689='تقرير ديسمبر'!$C$6),COUNT(Z$4:Z688)+1,"")</f>
        <v/>
      </c>
      <c r="AA689">
        <f>IF(AND($A689&lt;&gt;"",$B689&lt;&gt;"",$R689='تقرير يناير'!$C$4,$P689='تقرير يناير'!$C$6),COUNT(AA$4:AA688)+1,"")</f>
        <v/>
      </c>
      <c r="AB689">
        <f>IF(AND($A689&lt;&gt;"",$B689&lt;&gt;"",$R689='تقرير فبراير'!$C$4,$P689='تقرير فبراير'!$C$6),COUNT(AB$4:AB688)+1,"")</f>
        <v/>
      </c>
      <c r="AC689">
        <f>IF(AND($A689&lt;&gt;"",$B689&lt;&gt;"",$R689='تقرير مارس'!$C$4,$P689='تقرير مارس'!$C$6),COUNT(AC$4:AC688)+1,"")</f>
        <v/>
      </c>
      <c r="AD689">
        <f>IF(AND($A689&lt;&gt;"",$B689&lt;&gt;"",$R689='تقرير أبريل'!$C$4,$P689='تقرير أبريل'!$C$6),COUNT(AD$4:AD688)+1,"")</f>
        <v/>
      </c>
      <c r="AE689">
        <f>IF(AND($A689&lt;&gt;"",$B689&lt;&gt;"",$R689='تقرير مايو'!$C$4,$P689='تقرير مايو'!$C$6),COUNT(AE$4:AE688)+1,"")</f>
        <v/>
      </c>
    </row>
    <row r="690">
      <c r="A690" s="16" t="n"/>
      <c r="B690" s="17" t="n"/>
      <c r="C690" s="17" t="n"/>
      <c r="D690" s="18" t="n"/>
      <c r="E690" s="17" t="n"/>
      <c r="F690" s="17" t="n"/>
      <c r="G690" s="19" t="n"/>
      <c r="H690" s="17" t="n"/>
      <c r="I690" s="17" t="n"/>
      <c r="J690" s="17" t="n"/>
      <c r="K690" s="20">
        <f>IF($B690="","",IFERROR(INDEX(الموظفات!$A$5:$A$304,MATCH($B690,الموظفات!$B$5:$B$304,0))&amp;"",""))</f>
        <v/>
      </c>
      <c r="L690" s="21">
        <f>IF($B690="","",IFERROR(INDEX(الموظفات!$C$5:$C$304,MATCH($B690,الموظفات!$B$5:$B$304,0))&amp;"",""))</f>
        <v/>
      </c>
      <c r="M690" s="20">
        <f>IF($B690="","",IFERROR(INDEX(الموظفات!$D$5:$D$304,MATCH($B690,الموظفات!$B$5:$B$304,0))&amp;"",""))</f>
        <v/>
      </c>
      <c r="N690" s="20">
        <f>IF($B690="","",IFERROR(INDEX(الموظفات!$E$5:$E$304,MATCH($B690,الموظفات!$B$5:$B$304,0))&amp;"",""))</f>
        <v/>
      </c>
      <c r="O690" s="21">
        <f>IF(C690="","",IFERROR(INDEX(الإعدادات!$D$7:$D$35,MATCH(C690,الإعدادات!$A$7:$A$35,0))&amp;"",""))</f>
        <v/>
      </c>
      <c r="P690" s="20">
        <f>IF(A690="","",INDEX(الإعدادات!$H$7:$H$18,MONTH(A690)))</f>
        <v/>
      </c>
      <c r="Q690" s="20">
        <f>IF(A690="","",INDEX(الإعدادات!$I$7:$I$18,MONTH(A690)))</f>
        <v/>
      </c>
      <c r="R690" s="20">
        <f>IF(A690="","",IF(MONTH(A690)&gt;=8,YEAR(A690)&amp;"-"&amp;(YEAR(A690)+1),(YEAR(A690)-1)&amp;"-"&amp;YEAR(A690)))</f>
        <v/>
      </c>
      <c r="S690" s="20">
        <f>IF(OR(A690="",B690=""),0,IF(AND(R690=التقارير!$C$4,OR(التقارير!$C$5="سنوي",AND(التقارير!$C$5="شهري",P690=التقارير!$C$6),AND(التقارير!$C$5="فصلي",Q690=التقارير!$C$7))),1,0))</f>
        <v/>
      </c>
      <c r="T690" s="20">
        <f>IF(S690=1,COUNTIF($S$5:S690,1),"")</f>
        <v/>
      </c>
      <c r="U690">
        <f>IF(AND($A690&lt;&gt;"",$B690&lt;&gt;"",$R690='تقرير الفصل الأول'!$C$4,$Q690='تقرير الفصل الأول'!$C$7),COUNT(U$4:U689)+1,"")</f>
        <v/>
      </c>
      <c r="V690">
        <f>IF(AND($A690&lt;&gt;"",$B690&lt;&gt;"",$R690='تقرير الفصل الثاني'!$C$4,$Q690='تقرير الفصل الثاني'!$C$7),COUNT(V$4:V689)+1,"")</f>
        <v/>
      </c>
      <c r="W690">
        <f>IF(AND($A690&lt;&gt;"",$B690&lt;&gt;"",$R690='تقرير سبتمبر'!$C$4,$P690='تقرير سبتمبر'!$C$6),COUNT(W$4:W689)+1,"")</f>
        <v/>
      </c>
      <c r="X690">
        <f>IF(AND($A690&lt;&gt;"",$B690&lt;&gt;"",$R690='تقرير أكتوبر'!$C$4,$P690='تقرير أكتوبر'!$C$6),COUNT(X$4:X689)+1,"")</f>
        <v/>
      </c>
      <c r="Y690">
        <f>IF(AND($A690&lt;&gt;"",$B690&lt;&gt;"",$R690='تقرير نوفمبر'!$C$4,$P690='تقرير نوفمبر'!$C$6),COUNT(Y$4:Y689)+1,"")</f>
        <v/>
      </c>
      <c r="Z690">
        <f>IF(AND($A690&lt;&gt;"",$B690&lt;&gt;"",$R690='تقرير ديسمبر'!$C$4,$P690='تقرير ديسمبر'!$C$6),COUNT(Z$4:Z689)+1,"")</f>
        <v/>
      </c>
      <c r="AA690">
        <f>IF(AND($A690&lt;&gt;"",$B690&lt;&gt;"",$R690='تقرير يناير'!$C$4,$P690='تقرير يناير'!$C$6),COUNT(AA$4:AA689)+1,"")</f>
        <v/>
      </c>
      <c r="AB690">
        <f>IF(AND($A690&lt;&gt;"",$B690&lt;&gt;"",$R690='تقرير فبراير'!$C$4,$P690='تقرير فبراير'!$C$6),COUNT(AB$4:AB689)+1,"")</f>
        <v/>
      </c>
      <c r="AC690">
        <f>IF(AND($A690&lt;&gt;"",$B690&lt;&gt;"",$R690='تقرير مارس'!$C$4,$P690='تقرير مارس'!$C$6),COUNT(AC$4:AC689)+1,"")</f>
        <v/>
      </c>
      <c r="AD690">
        <f>IF(AND($A690&lt;&gt;"",$B690&lt;&gt;"",$R690='تقرير أبريل'!$C$4,$P690='تقرير أبريل'!$C$6),COUNT(AD$4:AD689)+1,"")</f>
        <v/>
      </c>
      <c r="AE690">
        <f>IF(AND($A690&lt;&gt;"",$B690&lt;&gt;"",$R690='تقرير مايو'!$C$4,$P690='تقرير مايو'!$C$6),COUNT(AE$4:AE689)+1,"")</f>
        <v/>
      </c>
    </row>
    <row r="691">
      <c r="A691" s="16" t="n"/>
      <c r="B691" s="17" t="n"/>
      <c r="C691" s="17" t="n"/>
      <c r="D691" s="18" t="n"/>
      <c r="E691" s="17" t="n"/>
      <c r="F691" s="17" t="n"/>
      <c r="G691" s="19" t="n"/>
      <c r="H691" s="17" t="n"/>
      <c r="I691" s="17" t="n"/>
      <c r="J691" s="17" t="n"/>
      <c r="K691" s="20">
        <f>IF($B691="","",IFERROR(INDEX(الموظفات!$A$5:$A$304,MATCH($B691,الموظفات!$B$5:$B$304,0))&amp;"",""))</f>
        <v/>
      </c>
      <c r="L691" s="21">
        <f>IF($B691="","",IFERROR(INDEX(الموظفات!$C$5:$C$304,MATCH($B691,الموظفات!$B$5:$B$304,0))&amp;"",""))</f>
        <v/>
      </c>
      <c r="M691" s="20">
        <f>IF($B691="","",IFERROR(INDEX(الموظفات!$D$5:$D$304,MATCH($B691,الموظفات!$B$5:$B$304,0))&amp;"",""))</f>
        <v/>
      </c>
      <c r="N691" s="20">
        <f>IF($B691="","",IFERROR(INDEX(الموظفات!$E$5:$E$304,MATCH($B691,الموظفات!$B$5:$B$304,0))&amp;"",""))</f>
        <v/>
      </c>
      <c r="O691" s="21">
        <f>IF(C691="","",IFERROR(INDEX(الإعدادات!$D$7:$D$35,MATCH(C691,الإعدادات!$A$7:$A$35,0))&amp;"",""))</f>
        <v/>
      </c>
      <c r="P691" s="20">
        <f>IF(A691="","",INDEX(الإعدادات!$H$7:$H$18,MONTH(A691)))</f>
        <v/>
      </c>
      <c r="Q691" s="20">
        <f>IF(A691="","",INDEX(الإعدادات!$I$7:$I$18,MONTH(A691)))</f>
        <v/>
      </c>
      <c r="R691" s="20">
        <f>IF(A691="","",IF(MONTH(A691)&gt;=8,YEAR(A691)&amp;"-"&amp;(YEAR(A691)+1),(YEAR(A691)-1)&amp;"-"&amp;YEAR(A691)))</f>
        <v/>
      </c>
      <c r="S691" s="20">
        <f>IF(OR(A691="",B691=""),0,IF(AND(R691=التقارير!$C$4,OR(التقارير!$C$5="سنوي",AND(التقارير!$C$5="شهري",P691=التقارير!$C$6),AND(التقارير!$C$5="فصلي",Q691=التقارير!$C$7))),1,0))</f>
        <v/>
      </c>
      <c r="T691" s="20">
        <f>IF(S691=1,COUNTIF($S$5:S691,1),"")</f>
        <v/>
      </c>
      <c r="U691">
        <f>IF(AND($A691&lt;&gt;"",$B691&lt;&gt;"",$R691='تقرير الفصل الأول'!$C$4,$Q691='تقرير الفصل الأول'!$C$7),COUNT(U$4:U690)+1,"")</f>
        <v/>
      </c>
      <c r="V691">
        <f>IF(AND($A691&lt;&gt;"",$B691&lt;&gt;"",$R691='تقرير الفصل الثاني'!$C$4,$Q691='تقرير الفصل الثاني'!$C$7),COUNT(V$4:V690)+1,"")</f>
        <v/>
      </c>
      <c r="W691">
        <f>IF(AND($A691&lt;&gt;"",$B691&lt;&gt;"",$R691='تقرير سبتمبر'!$C$4,$P691='تقرير سبتمبر'!$C$6),COUNT(W$4:W690)+1,"")</f>
        <v/>
      </c>
      <c r="X691">
        <f>IF(AND($A691&lt;&gt;"",$B691&lt;&gt;"",$R691='تقرير أكتوبر'!$C$4,$P691='تقرير أكتوبر'!$C$6),COUNT(X$4:X690)+1,"")</f>
        <v/>
      </c>
      <c r="Y691">
        <f>IF(AND($A691&lt;&gt;"",$B691&lt;&gt;"",$R691='تقرير نوفمبر'!$C$4,$P691='تقرير نوفمبر'!$C$6),COUNT(Y$4:Y690)+1,"")</f>
        <v/>
      </c>
      <c r="Z691">
        <f>IF(AND($A691&lt;&gt;"",$B691&lt;&gt;"",$R691='تقرير ديسمبر'!$C$4,$P691='تقرير ديسمبر'!$C$6),COUNT(Z$4:Z690)+1,"")</f>
        <v/>
      </c>
      <c r="AA691">
        <f>IF(AND($A691&lt;&gt;"",$B691&lt;&gt;"",$R691='تقرير يناير'!$C$4,$P691='تقرير يناير'!$C$6),COUNT(AA$4:AA690)+1,"")</f>
        <v/>
      </c>
      <c r="AB691">
        <f>IF(AND($A691&lt;&gt;"",$B691&lt;&gt;"",$R691='تقرير فبراير'!$C$4,$P691='تقرير فبراير'!$C$6),COUNT(AB$4:AB690)+1,"")</f>
        <v/>
      </c>
      <c r="AC691">
        <f>IF(AND($A691&lt;&gt;"",$B691&lt;&gt;"",$R691='تقرير مارس'!$C$4,$P691='تقرير مارس'!$C$6),COUNT(AC$4:AC690)+1,"")</f>
        <v/>
      </c>
      <c r="AD691">
        <f>IF(AND($A691&lt;&gt;"",$B691&lt;&gt;"",$R691='تقرير أبريل'!$C$4,$P691='تقرير أبريل'!$C$6),COUNT(AD$4:AD690)+1,"")</f>
        <v/>
      </c>
      <c r="AE691">
        <f>IF(AND($A691&lt;&gt;"",$B691&lt;&gt;"",$R691='تقرير مايو'!$C$4,$P691='تقرير مايو'!$C$6),COUNT(AE$4:AE690)+1,"")</f>
        <v/>
      </c>
    </row>
    <row r="692">
      <c r="A692" s="16" t="n"/>
      <c r="B692" s="17" t="n"/>
      <c r="C692" s="17" t="n"/>
      <c r="D692" s="18" t="n"/>
      <c r="E692" s="17" t="n"/>
      <c r="F692" s="17" t="n"/>
      <c r="G692" s="19" t="n"/>
      <c r="H692" s="17" t="n"/>
      <c r="I692" s="17" t="n"/>
      <c r="J692" s="17" t="n"/>
      <c r="K692" s="20">
        <f>IF($B692="","",IFERROR(INDEX(الموظفات!$A$5:$A$304,MATCH($B692,الموظفات!$B$5:$B$304,0))&amp;"",""))</f>
        <v/>
      </c>
      <c r="L692" s="21">
        <f>IF($B692="","",IFERROR(INDEX(الموظفات!$C$5:$C$304,MATCH($B692,الموظفات!$B$5:$B$304,0))&amp;"",""))</f>
        <v/>
      </c>
      <c r="M692" s="20">
        <f>IF($B692="","",IFERROR(INDEX(الموظفات!$D$5:$D$304,MATCH($B692,الموظفات!$B$5:$B$304,0))&amp;"",""))</f>
        <v/>
      </c>
      <c r="N692" s="20">
        <f>IF($B692="","",IFERROR(INDEX(الموظفات!$E$5:$E$304,MATCH($B692,الموظفات!$B$5:$B$304,0))&amp;"",""))</f>
        <v/>
      </c>
      <c r="O692" s="21">
        <f>IF(C692="","",IFERROR(INDEX(الإعدادات!$D$7:$D$35,MATCH(C692,الإعدادات!$A$7:$A$35,0))&amp;"",""))</f>
        <v/>
      </c>
      <c r="P692" s="20">
        <f>IF(A692="","",INDEX(الإعدادات!$H$7:$H$18,MONTH(A692)))</f>
        <v/>
      </c>
      <c r="Q692" s="20">
        <f>IF(A692="","",INDEX(الإعدادات!$I$7:$I$18,MONTH(A692)))</f>
        <v/>
      </c>
      <c r="R692" s="20">
        <f>IF(A692="","",IF(MONTH(A692)&gt;=8,YEAR(A692)&amp;"-"&amp;(YEAR(A692)+1),(YEAR(A692)-1)&amp;"-"&amp;YEAR(A692)))</f>
        <v/>
      </c>
      <c r="S692" s="20">
        <f>IF(OR(A692="",B692=""),0,IF(AND(R692=التقارير!$C$4,OR(التقارير!$C$5="سنوي",AND(التقارير!$C$5="شهري",P692=التقارير!$C$6),AND(التقارير!$C$5="فصلي",Q692=التقارير!$C$7))),1,0))</f>
        <v/>
      </c>
      <c r="T692" s="20">
        <f>IF(S692=1,COUNTIF($S$5:S692,1),"")</f>
        <v/>
      </c>
      <c r="U692">
        <f>IF(AND($A692&lt;&gt;"",$B692&lt;&gt;"",$R692='تقرير الفصل الأول'!$C$4,$Q692='تقرير الفصل الأول'!$C$7),COUNT(U$4:U691)+1,"")</f>
        <v/>
      </c>
      <c r="V692">
        <f>IF(AND($A692&lt;&gt;"",$B692&lt;&gt;"",$R692='تقرير الفصل الثاني'!$C$4,$Q692='تقرير الفصل الثاني'!$C$7),COUNT(V$4:V691)+1,"")</f>
        <v/>
      </c>
      <c r="W692">
        <f>IF(AND($A692&lt;&gt;"",$B692&lt;&gt;"",$R692='تقرير سبتمبر'!$C$4,$P692='تقرير سبتمبر'!$C$6),COUNT(W$4:W691)+1,"")</f>
        <v/>
      </c>
      <c r="X692">
        <f>IF(AND($A692&lt;&gt;"",$B692&lt;&gt;"",$R692='تقرير أكتوبر'!$C$4,$P692='تقرير أكتوبر'!$C$6),COUNT(X$4:X691)+1,"")</f>
        <v/>
      </c>
      <c r="Y692">
        <f>IF(AND($A692&lt;&gt;"",$B692&lt;&gt;"",$R692='تقرير نوفمبر'!$C$4,$P692='تقرير نوفمبر'!$C$6),COUNT(Y$4:Y691)+1,"")</f>
        <v/>
      </c>
      <c r="Z692">
        <f>IF(AND($A692&lt;&gt;"",$B692&lt;&gt;"",$R692='تقرير ديسمبر'!$C$4,$P692='تقرير ديسمبر'!$C$6),COUNT(Z$4:Z691)+1,"")</f>
        <v/>
      </c>
      <c r="AA692">
        <f>IF(AND($A692&lt;&gt;"",$B692&lt;&gt;"",$R692='تقرير يناير'!$C$4,$P692='تقرير يناير'!$C$6),COUNT(AA$4:AA691)+1,"")</f>
        <v/>
      </c>
      <c r="AB692">
        <f>IF(AND($A692&lt;&gt;"",$B692&lt;&gt;"",$R692='تقرير فبراير'!$C$4,$P692='تقرير فبراير'!$C$6),COUNT(AB$4:AB691)+1,"")</f>
        <v/>
      </c>
      <c r="AC692">
        <f>IF(AND($A692&lt;&gt;"",$B692&lt;&gt;"",$R692='تقرير مارس'!$C$4,$P692='تقرير مارس'!$C$6),COUNT(AC$4:AC691)+1,"")</f>
        <v/>
      </c>
      <c r="AD692">
        <f>IF(AND($A692&lt;&gt;"",$B692&lt;&gt;"",$R692='تقرير أبريل'!$C$4,$P692='تقرير أبريل'!$C$6),COUNT(AD$4:AD691)+1,"")</f>
        <v/>
      </c>
      <c r="AE692">
        <f>IF(AND($A692&lt;&gt;"",$B692&lt;&gt;"",$R692='تقرير مايو'!$C$4,$P692='تقرير مايو'!$C$6),COUNT(AE$4:AE691)+1,"")</f>
        <v/>
      </c>
    </row>
    <row r="693">
      <c r="A693" s="16" t="n"/>
      <c r="B693" s="17" t="n"/>
      <c r="C693" s="17" t="n"/>
      <c r="D693" s="18" t="n"/>
      <c r="E693" s="17" t="n"/>
      <c r="F693" s="17" t="n"/>
      <c r="G693" s="19" t="n"/>
      <c r="H693" s="17" t="n"/>
      <c r="I693" s="17" t="n"/>
      <c r="J693" s="17" t="n"/>
      <c r="K693" s="20">
        <f>IF($B693="","",IFERROR(INDEX(الموظفات!$A$5:$A$304,MATCH($B693,الموظفات!$B$5:$B$304,0))&amp;"",""))</f>
        <v/>
      </c>
      <c r="L693" s="21">
        <f>IF($B693="","",IFERROR(INDEX(الموظفات!$C$5:$C$304,MATCH($B693,الموظفات!$B$5:$B$304,0))&amp;"",""))</f>
        <v/>
      </c>
      <c r="M693" s="20">
        <f>IF($B693="","",IFERROR(INDEX(الموظفات!$D$5:$D$304,MATCH($B693,الموظفات!$B$5:$B$304,0))&amp;"",""))</f>
        <v/>
      </c>
      <c r="N693" s="20">
        <f>IF($B693="","",IFERROR(INDEX(الموظفات!$E$5:$E$304,MATCH($B693,الموظفات!$B$5:$B$304,0))&amp;"",""))</f>
        <v/>
      </c>
      <c r="O693" s="21">
        <f>IF(C693="","",IFERROR(INDEX(الإعدادات!$D$7:$D$35,MATCH(C693,الإعدادات!$A$7:$A$35,0))&amp;"",""))</f>
        <v/>
      </c>
      <c r="P693" s="20">
        <f>IF(A693="","",INDEX(الإعدادات!$H$7:$H$18,MONTH(A693)))</f>
        <v/>
      </c>
      <c r="Q693" s="20">
        <f>IF(A693="","",INDEX(الإعدادات!$I$7:$I$18,MONTH(A693)))</f>
        <v/>
      </c>
      <c r="R693" s="20">
        <f>IF(A693="","",IF(MONTH(A693)&gt;=8,YEAR(A693)&amp;"-"&amp;(YEAR(A693)+1),(YEAR(A693)-1)&amp;"-"&amp;YEAR(A693)))</f>
        <v/>
      </c>
      <c r="S693" s="20">
        <f>IF(OR(A693="",B693=""),0,IF(AND(R693=التقارير!$C$4,OR(التقارير!$C$5="سنوي",AND(التقارير!$C$5="شهري",P693=التقارير!$C$6),AND(التقارير!$C$5="فصلي",Q693=التقارير!$C$7))),1,0))</f>
        <v/>
      </c>
      <c r="T693" s="20">
        <f>IF(S693=1,COUNTIF($S$5:S693,1),"")</f>
        <v/>
      </c>
      <c r="U693">
        <f>IF(AND($A693&lt;&gt;"",$B693&lt;&gt;"",$R693='تقرير الفصل الأول'!$C$4,$Q693='تقرير الفصل الأول'!$C$7),COUNT(U$4:U692)+1,"")</f>
        <v/>
      </c>
      <c r="V693">
        <f>IF(AND($A693&lt;&gt;"",$B693&lt;&gt;"",$R693='تقرير الفصل الثاني'!$C$4,$Q693='تقرير الفصل الثاني'!$C$7),COUNT(V$4:V692)+1,"")</f>
        <v/>
      </c>
      <c r="W693">
        <f>IF(AND($A693&lt;&gt;"",$B693&lt;&gt;"",$R693='تقرير سبتمبر'!$C$4,$P693='تقرير سبتمبر'!$C$6),COUNT(W$4:W692)+1,"")</f>
        <v/>
      </c>
      <c r="X693">
        <f>IF(AND($A693&lt;&gt;"",$B693&lt;&gt;"",$R693='تقرير أكتوبر'!$C$4,$P693='تقرير أكتوبر'!$C$6),COUNT(X$4:X692)+1,"")</f>
        <v/>
      </c>
      <c r="Y693">
        <f>IF(AND($A693&lt;&gt;"",$B693&lt;&gt;"",$R693='تقرير نوفمبر'!$C$4,$P693='تقرير نوفمبر'!$C$6),COUNT(Y$4:Y692)+1,"")</f>
        <v/>
      </c>
      <c r="Z693">
        <f>IF(AND($A693&lt;&gt;"",$B693&lt;&gt;"",$R693='تقرير ديسمبر'!$C$4,$P693='تقرير ديسمبر'!$C$6),COUNT(Z$4:Z692)+1,"")</f>
        <v/>
      </c>
      <c r="AA693">
        <f>IF(AND($A693&lt;&gt;"",$B693&lt;&gt;"",$R693='تقرير يناير'!$C$4,$P693='تقرير يناير'!$C$6),COUNT(AA$4:AA692)+1,"")</f>
        <v/>
      </c>
      <c r="AB693">
        <f>IF(AND($A693&lt;&gt;"",$B693&lt;&gt;"",$R693='تقرير فبراير'!$C$4,$P693='تقرير فبراير'!$C$6),COUNT(AB$4:AB692)+1,"")</f>
        <v/>
      </c>
      <c r="AC693">
        <f>IF(AND($A693&lt;&gt;"",$B693&lt;&gt;"",$R693='تقرير مارس'!$C$4,$P693='تقرير مارس'!$C$6),COUNT(AC$4:AC692)+1,"")</f>
        <v/>
      </c>
      <c r="AD693">
        <f>IF(AND($A693&lt;&gt;"",$B693&lt;&gt;"",$R693='تقرير أبريل'!$C$4,$P693='تقرير أبريل'!$C$6),COUNT(AD$4:AD692)+1,"")</f>
        <v/>
      </c>
      <c r="AE693">
        <f>IF(AND($A693&lt;&gt;"",$B693&lt;&gt;"",$R693='تقرير مايو'!$C$4,$P693='تقرير مايو'!$C$6),COUNT(AE$4:AE692)+1,"")</f>
        <v/>
      </c>
    </row>
    <row r="694">
      <c r="A694" s="16" t="n"/>
      <c r="B694" s="17" t="n"/>
      <c r="C694" s="17" t="n"/>
      <c r="D694" s="18" t="n"/>
      <c r="E694" s="17" t="n"/>
      <c r="F694" s="17" t="n"/>
      <c r="G694" s="19" t="n"/>
      <c r="H694" s="17" t="n"/>
      <c r="I694" s="17" t="n"/>
      <c r="J694" s="17" t="n"/>
      <c r="K694" s="20">
        <f>IF($B694="","",IFERROR(INDEX(الموظفات!$A$5:$A$304,MATCH($B694,الموظفات!$B$5:$B$304,0))&amp;"",""))</f>
        <v/>
      </c>
      <c r="L694" s="21">
        <f>IF($B694="","",IFERROR(INDEX(الموظفات!$C$5:$C$304,MATCH($B694,الموظفات!$B$5:$B$304,0))&amp;"",""))</f>
        <v/>
      </c>
      <c r="M694" s="20">
        <f>IF($B694="","",IFERROR(INDEX(الموظفات!$D$5:$D$304,MATCH($B694,الموظفات!$B$5:$B$304,0))&amp;"",""))</f>
        <v/>
      </c>
      <c r="N694" s="20">
        <f>IF($B694="","",IFERROR(INDEX(الموظفات!$E$5:$E$304,MATCH($B694,الموظفات!$B$5:$B$304,0))&amp;"",""))</f>
        <v/>
      </c>
      <c r="O694" s="21">
        <f>IF(C694="","",IFERROR(INDEX(الإعدادات!$D$7:$D$35,MATCH(C694,الإعدادات!$A$7:$A$35,0))&amp;"",""))</f>
        <v/>
      </c>
      <c r="P694" s="20">
        <f>IF(A694="","",INDEX(الإعدادات!$H$7:$H$18,MONTH(A694)))</f>
        <v/>
      </c>
      <c r="Q694" s="20">
        <f>IF(A694="","",INDEX(الإعدادات!$I$7:$I$18,MONTH(A694)))</f>
        <v/>
      </c>
      <c r="R694" s="20">
        <f>IF(A694="","",IF(MONTH(A694)&gt;=8,YEAR(A694)&amp;"-"&amp;(YEAR(A694)+1),(YEAR(A694)-1)&amp;"-"&amp;YEAR(A694)))</f>
        <v/>
      </c>
      <c r="S694" s="20">
        <f>IF(OR(A694="",B694=""),0,IF(AND(R694=التقارير!$C$4,OR(التقارير!$C$5="سنوي",AND(التقارير!$C$5="شهري",P694=التقارير!$C$6),AND(التقارير!$C$5="فصلي",Q694=التقارير!$C$7))),1,0))</f>
        <v/>
      </c>
      <c r="T694" s="20">
        <f>IF(S694=1,COUNTIF($S$5:S694,1),"")</f>
        <v/>
      </c>
      <c r="U694">
        <f>IF(AND($A694&lt;&gt;"",$B694&lt;&gt;"",$R694='تقرير الفصل الأول'!$C$4,$Q694='تقرير الفصل الأول'!$C$7),COUNT(U$4:U693)+1,"")</f>
        <v/>
      </c>
      <c r="V694">
        <f>IF(AND($A694&lt;&gt;"",$B694&lt;&gt;"",$R694='تقرير الفصل الثاني'!$C$4,$Q694='تقرير الفصل الثاني'!$C$7),COUNT(V$4:V693)+1,"")</f>
        <v/>
      </c>
      <c r="W694">
        <f>IF(AND($A694&lt;&gt;"",$B694&lt;&gt;"",$R694='تقرير سبتمبر'!$C$4,$P694='تقرير سبتمبر'!$C$6),COUNT(W$4:W693)+1,"")</f>
        <v/>
      </c>
      <c r="X694">
        <f>IF(AND($A694&lt;&gt;"",$B694&lt;&gt;"",$R694='تقرير أكتوبر'!$C$4,$P694='تقرير أكتوبر'!$C$6),COUNT(X$4:X693)+1,"")</f>
        <v/>
      </c>
      <c r="Y694">
        <f>IF(AND($A694&lt;&gt;"",$B694&lt;&gt;"",$R694='تقرير نوفمبر'!$C$4,$P694='تقرير نوفمبر'!$C$6),COUNT(Y$4:Y693)+1,"")</f>
        <v/>
      </c>
      <c r="Z694">
        <f>IF(AND($A694&lt;&gt;"",$B694&lt;&gt;"",$R694='تقرير ديسمبر'!$C$4,$P694='تقرير ديسمبر'!$C$6),COUNT(Z$4:Z693)+1,"")</f>
        <v/>
      </c>
      <c r="AA694">
        <f>IF(AND($A694&lt;&gt;"",$B694&lt;&gt;"",$R694='تقرير يناير'!$C$4,$P694='تقرير يناير'!$C$6),COUNT(AA$4:AA693)+1,"")</f>
        <v/>
      </c>
      <c r="AB694">
        <f>IF(AND($A694&lt;&gt;"",$B694&lt;&gt;"",$R694='تقرير فبراير'!$C$4,$P694='تقرير فبراير'!$C$6),COUNT(AB$4:AB693)+1,"")</f>
        <v/>
      </c>
      <c r="AC694">
        <f>IF(AND($A694&lt;&gt;"",$B694&lt;&gt;"",$R694='تقرير مارس'!$C$4,$P694='تقرير مارس'!$C$6),COUNT(AC$4:AC693)+1,"")</f>
        <v/>
      </c>
      <c r="AD694">
        <f>IF(AND($A694&lt;&gt;"",$B694&lt;&gt;"",$R694='تقرير أبريل'!$C$4,$P694='تقرير أبريل'!$C$6),COUNT(AD$4:AD693)+1,"")</f>
        <v/>
      </c>
      <c r="AE694">
        <f>IF(AND($A694&lt;&gt;"",$B694&lt;&gt;"",$R694='تقرير مايو'!$C$4,$P694='تقرير مايو'!$C$6),COUNT(AE$4:AE693)+1,"")</f>
        <v/>
      </c>
    </row>
    <row r="695">
      <c r="A695" s="16" t="n"/>
      <c r="B695" s="17" t="n"/>
      <c r="C695" s="17" t="n"/>
      <c r="D695" s="18" t="n"/>
      <c r="E695" s="17" t="n"/>
      <c r="F695" s="17" t="n"/>
      <c r="G695" s="19" t="n"/>
      <c r="H695" s="17" t="n"/>
      <c r="I695" s="17" t="n"/>
      <c r="J695" s="17" t="n"/>
      <c r="K695" s="20">
        <f>IF($B695="","",IFERROR(INDEX(الموظفات!$A$5:$A$304,MATCH($B695,الموظفات!$B$5:$B$304,0))&amp;"",""))</f>
        <v/>
      </c>
      <c r="L695" s="21">
        <f>IF($B695="","",IFERROR(INDEX(الموظفات!$C$5:$C$304,MATCH($B695,الموظفات!$B$5:$B$304,0))&amp;"",""))</f>
        <v/>
      </c>
      <c r="M695" s="20">
        <f>IF($B695="","",IFERROR(INDEX(الموظفات!$D$5:$D$304,MATCH($B695,الموظفات!$B$5:$B$304,0))&amp;"",""))</f>
        <v/>
      </c>
      <c r="N695" s="20">
        <f>IF($B695="","",IFERROR(INDEX(الموظفات!$E$5:$E$304,MATCH($B695,الموظفات!$B$5:$B$304,0))&amp;"",""))</f>
        <v/>
      </c>
      <c r="O695" s="21">
        <f>IF(C695="","",IFERROR(INDEX(الإعدادات!$D$7:$D$35,MATCH(C695,الإعدادات!$A$7:$A$35,0))&amp;"",""))</f>
        <v/>
      </c>
      <c r="P695" s="20">
        <f>IF(A695="","",INDEX(الإعدادات!$H$7:$H$18,MONTH(A695)))</f>
        <v/>
      </c>
      <c r="Q695" s="20">
        <f>IF(A695="","",INDEX(الإعدادات!$I$7:$I$18,MONTH(A695)))</f>
        <v/>
      </c>
      <c r="R695" s="20">
        <f>IF(A695="","",IF(MONTH(A695)&gt;=8,YEAR(A695)&amp;"-"&amp;(YEAR(A695)+1),(YEAR(A695)-1)&amp;"-"&amp;YEAR(A695)))</f>
        <v/>
      </c>
      <c r="S695" s="20">
        <f>IF(OR(A695="",B695=""),0,IF(AND(R695=التقارير!$C$4,OR(التقارير!$C$5="سنوي",AND(التقارير!$C$5="شهري",P695=التقارير!$C$6),AND(التقارير!$C$5="فصلي",Q695=التقارير!$C$7))),1,0))</f>
        <v/>
      </c>
      <c r="T695" s="20">
        <f>IF(S695=1,COUNTIF($S$5:S695,1),"")</f>
        <v/>
      </c>
      <c r="U695">
        <f>IF(AND($A695&lt;&gt;"",$B695&lt;&gt;"",$R695='تقرير الفصل الأول'!$C$4,$Q695='تقرير الفصل الأول'!$C$7),COUNT(U$4:U694)+1,"")</f>
        <v/>
      </c>
      <c r="V695">
        <f>IF(AND($A695&lt;&gt;"",$B695&lt;&gt;"",$R695='تقرير الفصل الثاني'!$C$4,$Q695='تقرير الفصل الثاني'!$C$7),COUNT(V$4:V694)+1,"")</f>
        <v/>
      </c>
      <c r="W695">
        <f>IF(AND($A695&lt;&gt;"",$B695&lt;&gt;"",$R695='تقرير سبتمبر'!$C$4,$P695='تقرير سبتمبر'!$C$6),COUNT(W$4:W694)+1,"")</f>
        <v/>
      </c>
      <c r="X695">
        <f>IF(AND($A695&lt;&gt;"",$B695&lt;&gt;"",$R695='تقرير أكتوبر'!$C$4,$P695='تقرير أكتوبر'!$C$6),COUNT(X$4:X694)+1,"")</f>
        <v/>
      </c>
      <c r="Y695">
        <f>IF(AND($A695&lt;&gt;"",$B695&lt;&gt;"",$R695='تقرير نوفمبر'!$C$4,$P695='تقرير نوفمبر'!$C$6),COUNT(Y$4:Y694)+1,"")</f>
        <v/>
      </c>
      <c r="Z695">
        <f>IF(AND($A695&lt;&gt;"",$B695&lt;&gt;"",$R695='تقرير ديسمبر'!$C$4,$P695='تقرير ديسمبر'!$C$6),COUNT(Z$4:Z694)+1,"")</f>
        <v/>
      </c>
      <c r="AA695">
        <f>IF(AND($A695&lt;&gt;"",$B695&lt;&gt;"",$R695='تقرير يناير'!$C$4,$P695='تقرير يناير'!$C$6),COUNT(AA$4:AA694)+1,"")</f>
        <v/>
      </c>
      <c r="AB695">
        <f>IF(AND($A695&lt;&gt;"",$B695&lt;&gt;"",$R695='تقرير فبراير'!$C$4,$P695='تقرير فبراير'!$C$6),COUNT(AB$4:AB694)+1,"")</f>
        <v/>
      </c>
      <c r="AC695">
        <f>IF(AND($A695&lt;&gt;"",$B695&lt;&gt;"",$R695='تقرير مارس'!$C$4,$P695='تقرير مارس'!$C$6),COUNT(AC$4:AC694)+1,"")</f>
        <v/>
      </c>
      <c r="AD695">
        <f>IF(AND($A695&lt;&gt;"",$B695&lt;&gt;"",$R695='تقرير أبريل'!$C$4,$P695='تقرير أبريل'!$C$6),COUNT(AD$4:AD694)+1,"")</f>
        <v/>
      </c>
      <c r="AE695">
        <f>IF(AND($A695&lt;&gt;"",$B695&lt;&gt;"",$R695='تقرير مايو'!$C$4,$P695='تقرير مايو'!$C$6),COUNT(AE$4:AE694)+1,"")</f>
        <v/>
      </c>
    </row>
    <row r="696">
      <c r="A696" s="16" t="n"/>
      <c r="B696" s="17" t="n"/>
      <c r="C696" s="17" t="n"/>
      <c r="D696" s="18" t="n"/>
      <c r="E696" s="17" t="n"/>
      <c r="F696" s="17" t="n"/>
      <c r="G696" s="19" t="n"/>
      <c r="H696" s="17" t="n"/>
      <c r="I696" s="17" t="n"/>
      <c r="J696" s="17" t="n"/>
      <c r="K696" s="20">
        <f>IF($B696="","",IFERROR(INDEX(الموظفات!$A$5:$A$304,MATCH($B696,الموظفات!$B$5:$B$304,0))&amp;"",""))</f>
        <v/>
      </c>
      <c r="L696" s="21">
        <f>IF($B696="","",IFERROR(INDEX(الموظفات!$C$5:$C$304,MATCH($B696,الموظفات!$B$5:$B$304,0))&amp;"",""))</f>
        <v/>
      </c>
      <c r="M696" s="20">
        <f>IF($B696="","",IFERROR(INDEX(الموظفات!$D$5:$D$304,MATCH($B696,الموظفات!$B$5:$B$304,0))&amp;"",""))</f>
        <v/>
      </c>
      <c r="N696" s="20">
        <f>IF($B696="","",IFERROR(INDEX(الموظفات!$E$5:$E$304,MATCH($B696,الموظفات!$B$5:$B$304,0))&amp;"",""))</f>
        <v/>
      </c>
      <c r="O696" s="21">
        <f>IF(C696="","",IFERROR(INDEX(الإعدادات!$D$7:$D$35,MATCH(C696,الإعدادات!$A$7:$A$35,0))&amp;"",""))</f>
        <v/>
      </c>
      <c r="P696" s="20">
        <f>IF(A696="","",INDEX(الإعدادات!$H$7:$H$18,MONTH(A696)))</f>
        <v/>
      </c>
      <c r="Q696" s="20">
        <f>IF(A696="","",INDEX(الإعدادات!$I$7:$I$18,MONTH(A696)))</f>
        <v/>
      </c>
      <c r="R696" s="20">
        <f>IF(A696="","",IF(MONTH(A696)&gt;=8,YEAR(A696)&amp;"-"&amp;(YEAR(A696)+1),(YEAR(A696)-1)&amp;"-"&amp;YEAR(A696)))</f>
        <v/>
      </c>
      <c r="S696" s="20">
        <f>IF(OR(A696="",B696=""),0,IF(AND(R696=التقارير!$C$4,OR(التقارير!$C$5="سنوي",AND(التقارير!$C$5="شهري",P696=التقارير!$C$6),AND(التقارير!$C$5="فصلي",Q696=التقارير!$C$7))),1,0))</f>
        <v/>
      </c>
      <c r="T696" s="20">
        <f>IF(S696=1,COUNTIF($S$5:S696,1),"")</f>
        <v/>
      </c>
      <c r="U696">
        <f>IF(AND($A696&lt;&gt;"",$B696&lt;&gt;"",$R696='تقرير الفصل الأول'!$C$4,$Q696='تقرير الفصل الأول'!$C$7),COUNT(U$4:U695)+1,"")</f>
        <v/>
      </c>
      <c r="V696">
        <f>IF(AND($A696&lt;&gt;"",$B696&lt;&gt;"",$R696='تقرير الفصل الثاني'!$C$4,$Q696='تقرير الفصل الثاني'!$C$7),COUNT(V$4:V695)+1,"")</f>
        <v/>
      </c>
      <c r="W696">
        <f>IF(AND($A696&lt;&gt;"",$B696&lt;&gt;"",$R696='تقرير سبتمبر'!$C$4,$P696='تقرير سبتمبر'!$C$6),COUNT(W$4:W695)+1,"")</f>
        <v/>
      </c>
      <c r="X696">
        <f>IF(AND($A696&lt;&gt;"",$B696&lt;&gt;"",$R696='تقرير أكتوبر'!$C$4,$P696='تقرير أكتوبر'!$C$6),COUNT(X$4:X695)+1,"")</f>
        <v/>
      </c>
      <c r="Y696">
        <f>IF(AND($A696&lt;&gt;"",$B696&lt;&gt;"",$R696='تقرير نوفمبر'!$C$4,$P696='تقرير نوفمبر'!$C$6),COUNT(Y$4:Y695)+1,"")</f>
        <v/>
      </c>
      <c r="Z696">
        <f>IF(AND($A696&lt;&gt;"",$B696&lt;&gt;"",$R696='تقرير ديسمبر'!$C$4,$P696='تقرير ديسمبر'!$C$6),COUNT(Z$4:Z695)+1,"")</f>
        <v/>
      </c>
      <c r="AA696">
        <f>IF(AND($A696&lt;&gt;"",$B696&lt;&gt;"",$R696='تقرير يناير'!$C$4,$P696='تقرير يناير'!$C$6),COUNT(AA$4:AA695)+1,"")</f>
        <v/>
      </c>
      <c r="AB696">
        <f>IF(AND($A696&lt;&gt;"",$B696&lt;&gt;"",$R696='تقرير فبراير'!$C$4,$P696='تقرير فبراير'!$C$6),COUNT(AB$4:AB695)+1,"")</f>
        <v/>
      </c>
      <c r="AC696">
        <f>IF(AND($A696&lt;&gt;"",$B696&lt;&gt;"",$R696='تقرير مارس'!$C$4,$P696='تقرير مارس'!$C$6),COUNT(AC$4:AC695)+1,"")</f>
        <v/>
      </c>
      <c r="AD696">
        <f>IF(AND($A696&lt;&gt;"",$B696&lt;&gt;"",$R696='تقرير أبريل'!$C$4,$P696='تقرير أبريل'!$C$6),COUNT(AD$4:AD695)+1,"")</f>
        <v/>
      </c>
      <c r="AE696">
        <f>IF(AND($A696&lt;&gt;"",$B696&lt;&gt;"",$R696='تقرير مايو'!$C$4,$P696='تقرير مايو'!$C$6),COUNT(AE$4:AE695)+1,"")</f>
        <v/>
      </c>
    </row>
    <row r="697">
      <c r="A697" s="16" t="n"/>
      <c r="B697" s="17" t="n"/>
      <c r="C697" s="17" t="n"/>
      <c r="D697" s="18" t="n"/>
      <c r="E697" s="17" t="n"/>
      <c r="F697" s="17" t="n"/>
      <c r="G697" s="19" t="n"/>
      <c r="H697" s="17" t="n"/>
      <c r="I697" s="17" t="n"/>
      <c r="J697" s="17" t="n"/>
      <c r="K697" s="20">
        <f>IF($B697="","",IFERROR(INDEX(الموظفات!$A$5:$A$304,MATCH($B697,الموظفات!$B$5:$B$304,0))&amp;"",""))</f>
        <v/>
      </c>
      <c r="L697" s="21">
        <f>IF($B697="","",IFERROR(INDEX(الموظفات!$C$5:$C$304,MATCH($B697,الموظفات!$B$5:$B$304,0))&amp;"",""))</f>
        <v/>
      </c>
      <c r="M697" s="20">
        <f>IF($B697="","",IFERROR(INDEX(الموظفات!$D$5:$D$304,MATCH($B697,الموظفات!$B$5:$B$304,0))&amp;"",""))</f>
        <v/>
      </c>
      <c r="N697" s="20">
        <f>IF($B697="","",IFERROR(INDEX(الموظفات!$E$5:$E$304,MATCH($B697,الموظفات!$B$5:$B$304,0))&amp;"",""))</f>
        <v/>
      </c>
      <c r="O697" s="21">
        <f>IF(C697="","",IFERROR(INDEX(الإعدادات!$D$7:$D$35,MATCH(C697,الإعدادات!$A$7:$A$35,0))&amp;"",""))</f>
        <v/>
      </c>
      <c r="P697" s="20">
        <f>IF(A697="","",INDEX(الإعدادات!$H$7:$H$18,MONTH(A697)))</f>
        <v/>
      </c>
      <c r="Q697" s="20">
        <f>IF(A697="","",INDEX(الإعدادات!$I$7:$I$18,MONTH(A697)))</f>
        <v/>
      </c>
      <c r="R697" s="20">
        <f>IF(A697="","",IF(MONTH(A697)&gt;=8,YEAR(A697)&amp;"-"&amp;(YEAR(A697)+1),(YEAR(A697)-1)&amp;"-"&amp;YEAR(A697)))</f>
        <v/>
      </c>
      <c r="S697" s="20">
        <f>IF(OR(A697="",B697=""),0,IF(AND(R697=التقارير!$C$4,OR(التقارير!$C$5="سنوي",AND(التقارير!$C$5="شهري",P697=التقارير!$C$6),AND(التقارير!$C$5="فصلي",Q697=التقارير!$C$7))),1,0))</f>
        <v/>
      </c>
      <c r="T697" s="20">
        <f>IF(S697=1,COUNTIF($S$5:S697,1),"")</f>
        <v/>
      </c>
      <c r="U697">
        <f>IF(AND($A697&lt;&gt;"",$B697&lt;&gt;"",$R697='تقرير الفصل الأول'!$C$4,$Q697='تقرير الفصل الأول'!$C$7),COUNT(U$4:U696)+1,"")</f>
        <v/>
      </c>
      <c r="V697">
        <f>IF(AND($A697&lt;&gt;"",$B697&lt;&gt;"",$R697='تقرير الفصل الثاني'!$C$4,$Q697='تقرير الفصل الثاني'!$C$7),COUNT(V$4:V696)+1,"")</f>
        <v/>
      </c>
      <c r="W697">
        <f>IF(AND($A697&lt;&gt;"",$B697&lt;&gt;"",$R697='تقرير سبتمبر'!$C$4,$P697='تقرير سبتمبر'!$C$6),COUNT(W$4:W696)+1,"")</f>
        <v/>
      </c>
      <c r="X697">
        <f>IF(AND($A697&lt;&gt;"",$B697&lt;&gt;"",$R697='تقرير أكتوبر'!$C$4,$P697='تقرير أكتوبر'!$C$6),COUNT(X$4:X696)+1,"")</f>
        <v/>
      </c>
      <c r="Y697">
        <f>IF(AND($A697&lt;&gt;"",$B697&lt;&gt;"",$R697='تقرير نوفمبر'!$C$4,$P697='تقرير نوفمبر'!$C$6),COUNT(Y$4:Y696)+1,"")</f>
        <v/>
      </c>
      <c r="Z697">
        <f>IF(AND($A697&lt;&gt;"",$B697&lt;&gt;"",$R697='تقرير ديسمبر'!$C$4,$P697='تقرير ديسمبر'!$C$6),COUNT(Z$4:Z696)+1,"")</f>
        <v/>
      </c>
      <c r="AA697">
        <f>IF(AND($A697&lt;&gt;"",$B697&lt;&gt;"",$R697='تقرير يناير'!$C$4,$P697='تقرير يناير'!$C$6),COUNT(AA$4:AA696)+1,"")</f>
        <v/>
      </c>
      <c r="AB697">
        <f>IF(AND($A697&lt;&gt;"",$B697&lt;&gt;"",$R697='تقرير فبراير'!$C$4,$P697='تقرير فبراير'!$C$6),COUNT(AB$4:AB696)+1,"")</f>
        <v/>
      </c>
      <c r="AC697">
        <f>IF(AND($A697&lt;&gt;"",$B697&lt;&gt;"",$R697='تقرير مارس'!$C$4,$P697='تقرير مارس'!$C$6),COUNT(AC$4:AC696)+1,"")</f>
        <v/>
      </c>
      <c r="AD697">
        <f>IF(AND($A697&lt;&gt;"",$B697&lt;&gt;"",$R697='تقرير أبريل'!$C$4,$P697='تقرير أبريل'!$C$6),COUNT(AD$4:AD696)+1,"")</f>
        <v/>
      </c>
      <c r="AE697">
        <f>IF(AND($A697&lt;&gt;"",$B697&lt;&gt;"",$R697='تقرير مايو'!$C$4,$P697='تقرير مايو'!$C$6),COUNT(AE$4:AE696)+1,"")</f>
        <v/>
      </c>
    </row>
    <row r="698">
      <c r="A698" s="16" t="n"/>
      <c r="B698" s="17" t="n"/>
      <c r="C698" s="17" t="n"/>
      <c r="D698" s="18" t="n"/>
      <c r="E698" s="17" t="n"/>
      <c r="F698" s="17" t="n"/>
      <c r="G698" s="19" t="n"/>
      <c r="H698" s="17" t="n"/>
      <c r="I698" s="17" t="n"/>
      <c r="J698" s="17" t="n"/>
      <c r="K698" s="20">
        <f>IF($B698="","",IFERROR(INDEX(الموظفات!$A$5:$A$304,MATCH($B698,الموظفات!$B$5:$B$304,0))&amp;"",""))</f>
        <v/>
      </c>
      <c r="L698" s="21">
        <f>IF($B698="","",IFERROR(INDEX(الموظفات!$C$5:$C$304,MATCH($B698,الموظفات!$B$5:$B$304,0))&amp;"",""))</f>
        <v/>
      </c>
      <c r="M698" s="20">
        <f>IF($B698="","",IFERROR(INDEX(الموظفات!$D$5:$D$304,MATCH($B698,الموظفات!$B$5:$B$304,0))&amp;"",""))</f>
        <v/>
      </c>
      <c r="N698" s="20">
        <f>IF($B698="","",IFERROR(INDEX(الموظفات!$E$5:$E$304,MATCH($B698,الموظفات!$B$5:$B$304,0))&amp;"",""))</f>
        <v/>
      </c>
      <c r="O698" s="21">
        <f>IF(C698="","",IFERROR(INDEX(الإعدادات!$D$7:$D$35,MATCH(C698,الإعدادات!$A$7:$A$35,0))&amp;"",""))</f>
        <v/>
      </c>
      <c r="P698" s="20">
        <f>IF(A698="","",INDEX(الإعدادات!$H$7:$H$18,MONTH(A698)))</f>
        <v/>
      </c>
      <c r="Q698" s="20">
        <f>IF(A698="","",INDEX(الإعدادات!$I$7:$I$18,MONTH(A698)))</f>
        <v/>
      </c>
      <c r="R698" s="20">
        <f>IF(A698="","",IF(MONTH(A698)&gt;=8,YEAR(A698)&amp;"-"&amp;(YEAR(A698)+1),(YEAR(A698)-1)&amp;"-"&amp;YEAR(A698)))</f>
        <v/>
      </c>
      <c r="S698" s="20">
        <f>IF(OR(A698="",B698=""),0,IF(AND(R698=التقارير!$C$4,OR(التقارير!$C$5="سنوي",AND(التقارير!$C$5="شهري",P698=التقارير!$C$6),AND(التقارير!$C$5="فصلي",Q698=التقارير!$C$7))),1,0))</f>
        <v/>
      </c>
      <c r="T698" s="20">
        <f>IF(S698=1,COUNTIF($S$5:S698,1),"")</f>
        <v/>
      </c>
      <c r="U698">
        <f>IF(AND($A698&lt;&gt;"",$B698&lt;&gt;"",$R698='تقرير الفصل الأول'!$C$4,$Q698='تقرير الفصل الأول'!$C$7),COUNT(U$4:U697)+1,"")</f>
        <v/>
      </c>
      <c r="V698">
        <f>IF(AND($A698&lt;&gt;"",$B698&lt;&gt;"",$R698='تقرير الفصل الثاني'!$C$4,$Q698='تقرير الفصل الثاني'!$C$7),COUNT(V$4:V697)+1,"")</f>
        <v/>
      </c>
      <c r="W698">
        <f>IF(AND($A698&lt;&gt;"",$B698&lt;&gt;"",$R698='تقرير سبتمبر'!$C$4,$P698='تقرير سبتمبر'!$C$6),COUNT(W$4:W697)+1,"")</f>
        <v/>
      </c>
      <c r="X698">
        <f>IF(AND($A698&lt;&gt;"",$B698&lt;&gt;"",$R698='تقرير أكتوبر'!$C$4,$P698='تقرير أكتوبر'!$C$6),COUNT(X$4:X697)+1,"")</f>
        <v/>
      </c>
      <c r="Y698">
        <f>IF(AND($A698&lt;&gt;"",$B698&lt;&gt;"",$R698='تقرير نوفمبر'!$C$4,$P698='تقرير نوفمبر'!$C$6),COUNT(Y$4:Y697)+1,"")</f>
        <v/>
      </c>
      <c r="Z698">
        <f>IF(AND($A698&lt;&gt;"",$B698&lt;&gt;"",$R698='تقرير ديسمبر'!$C$4,$P698='تقرير ديسمبر'!$C$6),COUNT(Z$4:Z697)+1,"")</f>
        <v/>
      </c>
      <c r="AA698">
        <f>IF(AND($A698&lt;&gt;"",$B698&lt;&gt;"",$R698='تقرير يناير'!$C$4,$P698='تقرير يناير'!$C$6),COUNT(AA$4:AA697)+1,"")</f>
        <v/>
      </c>
      <c r="AB698">
        <f>IF(AND($A698&lt;&gt;"",$B698&lt;&gt;"",$R698='تقرير فبراير'!$C$4,$P698='تقرير فبراير'!$C$6),COUNT(AB$4:AB697)+1,"")</f>
        <v/>
      </c>
      <c r="AC698">
        <f>IF(AND($A698&lt;&gt;"",$B698&lt;&gt;"",$R698='تقرير مارس'!$C$4,$P698='تقرير مارس'!$C$6),COUNT(AC$4:AC697)+1,"")</f>
        <v/>
      </c>
      <c r="AD698">
        <f>IF(AND($A698&lt;&gt;"",$B698&lt;&gt;"",$R698='تقرير أبريل'!$C$4,$P698='تقرير أبريل'!$C$6),COUNT(AD$4:AD697)+1,"")</f>
        <v/>
      </c>
      <c r="AE698">
        <f>IF(AND($A698&lt;&gt;"",$B698&lt;&gt;"",$R698='تقرير مايو'!$C$4,$P698='تقرير مايو'!$C$6),COUNT(AE$4:AE697)+1,"")</f>
        <v/>
      </c>
    </row>
    <row r="699">
      <c r="A699" s="16" t="n"/>
      <c r="B699" s="17" t="n"/>
      <c r="C699" s="17" t="n"/>
      <c r="D699" s="18" t="n"/>
      <c r="E699" s="17" t="n"/>
      <c r="F699" s="17" t="n"/>
      <c r="G699" s="19" t="n"/>
      <c r="H699" s="17" t="n"/>
      <c r="I699" s="17" t="n"/>
      <c r="J699" s="17" t="n"/>
      <c r="K699" s="20">
        <f>IF($B699="","",IFERROR(INDEX(الموظفات!$A$5:$A$304,MATCH($B699,الموظفات!$B$5:$B$304,0))&amp;"",""))</f>
        <v/>
      </c>
      <c r="L699" s="21">
        <f>IF($B699="","",IFERROR(INDEX(الموظفات!$C$5:$C$304,MATCH($B699,الموظفات!$B$5:$B$304,0))&amp;"",""))</f>
        <v/>
      </c>
      <c r="M699" s="20">
        <f>IF($B699="","",IFERROR(INDEX(الموظفات!$D$5:$D$304,MATCH($B699,الموظفات!$B$5:$B$304,0))&amp;"",""))</f>
        <v/>
      </c>
      <c r="N699" s="20">
        <f>IF($B699="","",IFERROR(INDEX(الموظفات!$E$5:$E$304,MATCH($B699,الموظفات!$B$5:$B$304,0))&amp;"",""))</f>
        <v/>
      </c>
      <c r="O699" s="21">
        <f>IF(C699="","",IFERROR(INDEX(الإعدادات!$D$7:$D$35,MATCH(C699,الإعدادات!$A$7:$A$35,0))&amp;"",""))</f>
        <v/>
      </c>
      <c r="P699" s="20">
        <f>IF(A699="","",INDEX(الإعدادات!$H$7:$H$18,MONTH(A699)))</f>
        <v/>
      </c>
      <c r="Q699" s="20">
        <f>IF(A699="","",INDEX(الإعدادات!$I$7:$I$18,MONTH(A699)))</f>
        <v/>
      </c>
      <c r="R699" s="20">
        <f>IF(A699="","",IF(MONTH(A699)&gt;=8,YEAR(A699)&amp;"-"&amp;(YEAR(A699)+1),(YEAR(A699)-1)&amp;"-"&amp;YEAR(A699)))</f>
        <v/>
      </c>
      <c r="S699" s="20">
        <f>IF(OR(A699="",B699=""),0,IF(AND(R699=التقارير!$C$4,OR(التقارير!$C$5="سنوي",AND(التقارير!$C$5="شهري",P699=التقارير!$C$6),AND(التقارير!$C$5="فصلي",Q699=التقارير!$C$7))),1,0))</f>
        <v/>
      </c>
      <c r="T699" s="20">
        <f>IF(S699=1,COUNTIF($S$5:S699,1),"")</f>
        <v/>
      </c>
      <c r="U699">
        <f>IF(AND($A699&lt;&gt;"",$B699&lt;&gt;"",$R699='تقرير الفصل الأول'!$C$4,$Q699='تقرير الفصل الأول'!$C$7),COUNT(U$4:U698)+1,"")</f>
        <v/>
      </c>
      <c r="V699">
        <f>IF(AND($A699&lt;&gt;"",$B699&lt;&gt;"",$R699='تقرير الفصل الثاني'!$C$4,$Q699='تقرير الفصل الثاني'!$C$7),COUNT(V$4:V698)+1,"")</f>
        <v/>
      </c>
      <c r="W699">
        <f>IF(AND($A699&lt;&gt;"",$B699&lt;&gt;"",$R699='تقرير سبتمبر'!$C$4,$P699='تقرير سبتمبر'!$C$6),COUNT(W$4:W698)+1,"")</f>
        <v/>
      </c>
      <c r="X699">
        <f>IF(AND($A699&lt;&gt;"",$B699&lt;&gt;"",$R699='تقرير أكتوبر'!$C$4,$P699='تقرير أكتوبر'!$C$6),COUNT(X$4:X698)+1,"")</f>
        <v/>
      </c>
      <c r="Y699">
        <f>IF(AND($A699&lt;&gt;"",$B699&lt;&gt;"",$R699='تقرير نوفمبر'!$C$4,$P699='تقرير نوفمبر'!$C$6),COUNT(Y$4:Y698)+1,"")</f>
        <v/>
      </c>
      <c r="Z699">
        <f>IF(AND($A699&lt;&gt;"",$B699&lt;&gt;"",$R699='تقرير ديسمبر'!$C$4,$P699='تقرير ديسمبر'!$C$6),COUNT(Z$4:Z698)+1,"")</f>
        <v/>
      </c>
      <c r="AA699">
        <f>IF(AND($A699&lt;&gt;"",$B699&lt;&gt;"",$R699='تقرير يناير'!$C$4,$P699='تقرير يناير'!$C$6),COUNT(AA$4:AA698)+1,"")</f>
        <v/>
      </c>
      <c r="AB699">
        <f>IF(AND($A699&lt;&gt;"",$B699&lt;&gt;"",$R699='تقرير فبراير'!$C$4,$P699='تقرير فبراير'!$C$6),COUNT(AB$4:AB698)+1,"")</f>
        <v/>
      </c>
      <c r="AC699">
        <f>IF(AND($A699&lt;&gt;"",$B699&lt;&gt;"",$R699='تقرير مارس'!$C$4,$P699='تقرير مارس'!$C$6),COUNT(AC$4:AC698)+1,"")</f>
        <v/>
      </c>
      <c r="AD699">
        <f>IF(AND($A699&lt;&gt;"",$B699&lt;&gt;"",$R699='تقرير أبريل'!$C$4,$P699='تقرير أبريل'!$C$6),COUNT(AD$4:AD698)+1,"")</f>
        <v/>
      </c>
      <c r="AE699">
        <f>IF(AND($A699&lt;&gt;"",$B699&lt;&gt;"",$R699='تقرير مايو'!$C$4,$P699='تقرير مايو'!$C$6),COUNT(AE$4:AE698)+1,"")</f>
        <v/>
      </c>
    </row>
    <row r="700">
      <c r="A700" s="16" t="n"/>
      <c r="B700" s="17" t="n"/>
      <c r="C700" s="17" t="n"/>
      <c r="D700" s="18" t="n"/>
      <c r="E700" s="17" t="n"/>
      <c r="F700" s="17" t="n"/>
      <c r="G700" s="19" t="n"/>
      <c r="H700" s="17" t="n"/>
      <c r="I700" s="17" t="n"/>
      <c r="J700" s="17" t="n"/>
      <c r="K700" s="20">
        <f>IF($B700="","",IFERROR(INDEX(الموظفات!$A$5:$A$304,MATCH($B700,الموظفات!$B$5:$B$304,0))&amp;"",""))</f>
        <v/>
      </c>
      <c r="L700" s="21">
        <f>IF($B700="","",IFERROR(INDEX(الموظفات!$C$5:$C$304,MATCH($B700,الموظفات!$B$5:$B$304,0))&amp;"",""))</f>
        <v/>
      </c>
      <c r="M700" s="20">
        <f>IF($B700="","",IFERROR(INDEX(الموظفات!$D$5:$D$304,MATCH($B700,الموظفات!$B$5:$B$304,0))&amp;"",""))</f>
        <v/>
      </c>
      <c r="N700" s="20">
        <f>IF($B700="","",IFERROR(INDEX(الموظفات!$E$5:$E$304,MATCH($B700,الموظفات!$B$5:$B$304,0))&amp;"",""))</f>
        <v/>
      </c>
      <c r="O700" s="21">
        <f>IF(C700="","",IFERROR(INDEX(الإعدادات!$D$7:$D$35,MATCH(C700,الإعدادات!$A$7:$A$35,0))&amp;"",""))</f>
        <v/>
      </c>
      <c r="P700" s="20">
        <f>IF(A700="","",INDEX(الإعدادات!$H$7:$H$18,MONTH(A700)))</f>
        <v/>
      </c>
      <c r="Q700" s="20">
        <f>IF(A700="","",INDEX(الإعدادات!$I$7:$I$18,MONTH(A700)))</f>
        <v/>
      </c>
      <c r="R700" s="20">
        <f>IF(A700="","",IF(MONTH(A700)&gt;=8,YEAR(A700)&amp;"-"&amp;(YEAR(A700)+1),(YEAR(A700)-1)&amp;"-"&amp;YEAR(A700)))</f>
        <v/>
      </c>
      <c r="S700" s="20">
        <f>IF(OR(A700="",B700=""),0,IF(AND(R700=التقارير!$C$4,OR(التقارير!$C$5="سنوي",AND(التقارير!$C$5="شهري",P700=التقارير!$C$6),AND(التقارير!$C$5="فصلي",Q700=التقارير!$C$7))),1,0))</f>
        <v/>
      </c>
      <c r="T700" s="20">
        <f>IF(S700=1,COUNTIF($S$5:S700,1),"")</f>
        <v/>
      </c>
      <c r="U700">
        <f>IF(AND($A700&lt;&gt;"",$B700&lt;&gt;"",$R700='تقرير الفصل الأول'!$C$4,$Q700='تقرير الفصل الأول'!$C$7),COUNT(U$4:U699)+1,"")</f>
        <v/>
      </c>
      <c r="V700">
        <f>IF(AND($A700&lt;&gt;"",$B700&lt;&gt;"",$R700='تقرير الفصل الثاني'!$C$4,$Q700='تقرير الفصل الثاني'!$C$7),COUNT(V$4:V699)+1,"")</f>
        <v/>
      </c>
      <c r="W700">
        <f>IF(AND($A700&lt;&gt;"",$B700&lt;&gt;"",$R700='تقرير سبتمبر'!$C$4,$P700='تقرير سبتمبر'!$C$6),COUNT(W$4:W699)+1,"")</f>
        <v/>
      </c>
      <c r="X700">
        <f>IF(AND($A700&lt;&gt;"",$B700&lt;&gt;"",$R700='تقرير أكتوبر'!$C$4,$P700='تقرير أكتوبر'!$C$6),COUNT(X$4:X699)+1,"")</f>
        <v/>
      </c>
      <c r="Y700">
        <f>IF(AND($A700&lt;&gt;"",$B700&lt;&gt;"",$R700='تقرير نوفمبر'!$C$4,$P700='تقرير نوفمبر'!$C$6),COUNT(Y$4:Y699)+1,"")</f>
        <v/>
      </c>
      <c r="Z700">
        <f>IF(AND($A700&lt;&gt;"",$B700&lt;&gt;"",$R700='تقرير ديسمبر'!$C$4,$P700='تقرير ديسمبر'!$C$6),COUNT(Z$4:Z699)+1,"")</f>
        <v/>
      </c>
      <c r="AA700">
        <f>IF(AND($A700&lt;&gt;"",$B700&lt;&gt;"",$R700='تقرير يناير'!$C$4,$P700='تقرير يناير'!$C$6),COUNT(AA$4:AA699)+1,"")</f>
        <v/>
      </c>
      <c r="AB700">
        <f>IF(AND($A700&lt;&gt;"",$B700&lt;&gt;"",$R700='تقرير فبراير'!$C$4,$P700='تقرير فبراير'!$C$6),COUNT(AB$4:AB699)+1,"")</f>
        <v/>
      </c>
      <c r="AC700">
        <f>IF(AND($A700&lt;&gt;"",$B700&lt;&gt;"",$R700='تقرير مارس'!$C$4,$P700='تقرير مارس'!$C$6),COUNT(AC$4:AC699)+1,"")</f>
        <v/>
      </c>
      <c r="AD700">
        <f>IF(AND($A700&lt;&gt;"",$B700&lt;&gt;"",$R700='تقرير أبريل'!$C$4,$P700='تقرير أبريل'!$C$6),COUNT(AD$4:AD699)+1,"")</f>
        <v/>
      </c>
      <c r="AE700">
        <f>IF(AND($A700&lt;&gt;"",$B700&lt;&gt;"",$R700='تقرير مايو'!$C$4,$P700='تقرير مايو'!$C$6),COUNT(AE$4:AE699)+1,"")</f>
        <v/>
      </c>
    </row>
    <row r="701">
      <c r="A701" s="16" t="n"/>
      <c r="B701" s="17" t="n"/>
      <c r="C701" s="17" t="n"/>
      <c r="D701" s="18" t="n"/>
      <c r="E701" s="17" t="n"/>
      <c r="F701" s="17" t="n"/>
      <c r="G701" s="19" t="n"/>
      <c r="H701" s="17" t="n"/>
      <c r="I701" s="17" t="n"/>
      <c r="J701" s="17" t="n"/>
      <c r="K701" s="20">
        <f>IF($B701="","",IFERROR(INDEX(الموظفات!$A$5:$A$304,MATCH($B701,الموظفات!$B$5:$B$304,0))&amp;"",""))</f>
        <v/>
      </c>
      <c r="L701" s="21">
        <f>IF($B701="","",IFERROR(INDEX(الموظفات!$C$5:$C$304,MATCH($B701,الموظفات!$B$5:$B$304,0))&amp;"",""))</f>
        <v/>
      </c>
      <c r="M701" s="20">
        <f>IF($B701="","",IFERROR(INDEX(الموظفات!$D$5:$D$304,MATCH($B701,الموظفات!$B$5:$B$304,0))&amp;"",""))</f>
        <v/>
      </c>
      <c r="N701" s="20">
        <f>IF($B701="","",IFERROR(INDEX(الموظفات!$E$5:$E$304,MATCH($B701,الموظفات!$B$5:$B$304,0))&amp;"",""))</f>
        <v/>
      </c>
      <c r="O701" s="21">
        <f>IF(C701="","",IFERROR(INDEX(الإعدادات!$D$7:$D$35,MATCH(C701,الإعدادات!$A$7:$A$35,0))&amp;"",""))</f>
        <v/>
      </c>
      <c r="P701" s="20">
        <f>IF(A701="","",INDEX(الإعدادات!$H$7:$H$18,MONTH(A701)))</f>
        <v/>
      </c>
      <c r="Q701" s="20">
        <f>IF(A701="","",INDEX(الإعدادات!$I$7:$I$18,MONTH(A701)))</f>
        <v/>
      </c>
      <c r="R701" s="20">
        <f>IF(A701="","",IF(MONTH(A701)&gt;=8,YEAR(A701)&amp;"-"&amp;(YEAR(A701)+1),(YEAR(A701)-1)&amp;"-"&amp;YEAR(A701)))</f>
        <v/>
      </c>
      <c r="S701" s="20">
        <f>IF(OR(A701="",B701=""),0,IF(AND(R701=التقارير!$C$4,OR(التقارير!$C$5="سنوي",AND(التقارير!$C$5="شهري",P701=التقارير!$C$6),AND(التقارير!$C$5="فصلي",Q701=التقارير!$C$7))),1,0))</f>
        <v/>
      </c>
      <c r="T701" s="20">
        <f>IF(S701=1,COUNTIF($S$5:S701,1),"")</f>
        <v/>
      </c>
      <c r="U701">
        <f>IF(AND($A701&lt;&gt;"",$B701&lt;&gt;"",$R701='تقرير الفصل الأول'!$C$4,$Q701='تقرير الفصل الأول'!$C$7),COUNT(U$4:U700)+1,"")</f>
        <v/>
      </c>
      <c r="V701">
        <f>IF(AND($A701&lt;&gt;"",$B701&lt;&gt;"",$R701='تقرير الفصل الثاني'!$C$4,$Q701='تقرير الفصل الثاني'!$C$7),COUNT(V$4:V700)+1,"")</f>
        <v/>
      </c>
      <c r="W701">
        <f>IF(AND($A701&lt;&gt;"",$B701&lt;&gt;"",$R701='تقرير سبتمبر'!$C$4,$P701='تقرير سبتمبر'!$C$6),COUNT(W$4:W700)+1,"")</f>
        <v/>
      </c>
      <c r="X701">
        <f>IF(AND($A701&lt;&gt;"",$B701&lt;&gt;"",$R701='تقرير أكتوبر'!$C$4,$P701='تقرير أكتوبر'!$C$6),COUNT(X$4:X700)+1,"")</f>
        <v/>
      </c>
      <c r="Y701">
        <f>IF(AND($A701&lt;&gt;"",$B701&lt;&gt;"",$R701='تقرير نوفمبر'!$C$4,$P701='تقرير نوفمبر'!$C$6),COUNT(Y$4:Y700)+1,"")</f>
        <v/>
      </c>
      <c r="Z701">
        <f>IF(AND($A701&lt;&gt;"",$B701&lt;&gt;"",$R701='تقرير ديسمبر'!$C$4,$P701='تقرير ديسمبر'!$C$6),COUNT(Z$4:Z700)+1,"")</f>
        <v/>
      </c>
      <c r="AA701">
        <f>IF(AND($A701&lt;&gt;"",$B701&lt;&gt;"",$R701='تقرير يناير'!$C$4,$P701='تقرير يناير'!$C$6),COUNT(AA$4:AA700)+1,"")</f>
        <v/>
      </c>
      <c r="AB701">
        <f>IF(AND($A701&lt;&gt;"",$B701&lt;&gt;"",$R701='تقرير فبراير'!$C$4,$P701='تقرير فبراير'!$C$6),COUNT(AB$4:AB700)+1,"")</f>
        <v/>
      </c>
      <c r="AC701">
        <f>IF(AND($A701&lt;&gt;"",$B701&lt;&gt;"",$R701='تقرير مارس'!$C$4,$P701='تقرير مارس'!$C$6),COUNT(AC$4:AC700)+1,"")</f>
        <v/>
      </c>
      <c r="AD701">
        <f>IF(AND($A701&lt;&gt;"",$B701&lt;&gt;"",$R701='تقرير أبريل'!$C$4,$P701='تقرير أبريل'!$C$6),COUNT(AD$4:AD700)+1,"")</f>
        <v/>
      </c>
      <c r="AE701">
        <f>IF(AND($A701&lt;&gt;"",$B701&lt;&gt;"",$R701='تقرير مايو'!$C$4,$P701='تقرير مايو'!$C$6),COUNT(AE$4:AE700)+1,"")</f>
        <v/>
      </c>
    </row>
    <row r="702">
      <c r="A702" s="16" t="n"/>
      <c r="B702" s="17" t="n"/>
      <c r="C702" s="17" t="n"/>
      <c r="D702" s="18" t="n"/>
      <c r="E702" s="17" t="n"/>
      <c r="F702" s="17" t="n"/>
      <c r="G702" s="19" t="n"/>
      <c r="H702" s="17" t="n"/>
      <c r="I702" s="17" t="n"/>
      <c r="J702" s="17" t="n"/>
      <c r="K702" s="20">
        <f>IF($B702="","",IFERROR(INDEX(الموظفات!$A$5:$A$304,MATCH($B702,الموظفات!$B$5:$B$304,0))&amp;"",""))</f>
        <v/>
      </c>
      <c r="L702" s="21">
        <f>IF($B702="","",IFERROR(INDEX(الموظفات!$C$5:$C$304,MATCH($B702,الموظفات!$B$5:$B$304,0))&amp;"",""))</f>
        <v/>
      </c>
      <c r="M702" s="20">
        <f>IF($B702="","",IFERROR(INDEX(الموظفات!$D$5:$D$304,MATCH($B702,الموظفات!$B$5:$B$304,0))&amp;"",""))</f>
        <v/>
      </c>
      <c r="N702" s="20">
        <f>IF($B702="","",IFERROR(INDEX(الموظفات!$E$5:$E$304,MATCH($B702,الموظفات!$B$5:$B$304,0))&amp;"",""))</f>
        <v/>
      </c>
      <c r="O702" s="21">
        <f>IF(C702="","",IFERROR(INDEX(الإعدادات!$D$7:$D$35,MATCH(C702,الإعدادات!$A$7:$A$35,0))&amp;"",""))</f>
        <v/>
      </c>
      <c r="P702" s="20">
        <f>IF(A702="","",INDEX(الإعدادات!$H$7:$H$18,MONTH(A702)))</f>
        <v/>
      </c>
      <c r="Q702" s="20">
        <f>IF(A702="","",INDEX(الإعدادات!$I$7:$I$18,MONTH(A702)))</f>
        <v/>
      </c>
      <c r="R702" s="20">
        <f>IF(A702="","",IF(MONTH(A702)&gt;=8,YEAR(A702)&amp;"-"&amp;(YEAR(A702)+1),(YEAR(A702)-1)&amp;"-"&amp;YEAR(A702)))</f>
        <v/>
      </c>
      <c r="S702" s="20">
        <f>IF(OR(A702="",B702=""),0,IF(AND(R702=التقارير!$C$4,OR(التقارير!$C$5="سنوي",AND(التقارير!$C$5="شهري",P702=التقارير!$C$6),AND(التقارير!$C$5="فصلي",Q702=التقارير!$C$7))),1,0))</f>
        <v/>
      </c>
      <c r="T702" s="20">
        <f>IF(S702=1,COUNTIF($S$5:S702,1),"")</f>
        <v/>
      </c>
      <c r="U702">
        <f>IF(AND($A702&lt;&gt;"",$B702&lt;&gt;"",$R702='تقرير الفصل الأول'!$C$4,$Q702='تقرير الفصل الأول'!$C$7),COUNT(U$4:U701)+1,"")</f>
        <v/>
      </c>
      <c r="V702">
        <f>IF(AND($A702&lt;&gt;"",$B702&lt;&gt;"",$R702='تقرير الفصل الثاني'!$C$4,$Q702='تقرير الفصل الثاني'!$C$7),COUNT(V$4:V701)+1,"")</f>
        <v/>
      </c>
      <c r="W702">
        <f>IF(AND($A702&lt;&gt;"",$B702&lt;&gt;"",$R702='تقرير سبتمبر'!$C$4,$P702='تقرير سبتمبر'!$C$6),COUNT(W$4:W701)+1,"")</f>
        <v/>
      </c>
      <c r="X702">
        <f>IF(AND($A702&lt;&gt;"",$B702&lt;&gt;"",$R702='تقرير أكتوبر'!$C$4,$P702='تقرير أكتوبر'!$C$6),COUNT(X$4:X701)+1,"")</f>
        <v/>
      </c>
      <c r="Y702">
        <f>IF(AND($A702&lt;&gt;"",$B702&lt;&gt;"",$R702='تقرير نوفمبر'!$C$4,$P702='تقرير نوفمبر'!$C$6),COUNT(Y$4:Y701)+1,"")</f>
        <v/>
      </c>
      <c r="Z702">
        <f>IF(AND($A702&lt;&gt;"",$B702&lt;&gt;"",$R702='تقرير ديسمبر'!$C$4,$P702='تقرير ديسمبر'!$C$6),COUNT(Z$4:Z701)+1,"")</f>
        <v/>
      </c>
      <c r="AA702">
        <f>IF(AND($A702&lt;&gt;"",$B702&lt;&gt;"",$R702='تقرير يناير'!$C$4,$P702='تقرير يناير'!$C$6),COUNT(AA$4:AA701)+1,"")</f>
        <v/>
      </c>
      <c r="AB702">
        <f>IF(AND($A702&lt;&gt;"",$B702&lt;&gt;"",$R702='تقرير فبراير'!$C$4,$P702='تقرير فبراير'!$C$6),COUNT(AB$4:AB701)+1,"")</f>
        <v/>
      </c>
      <c r="AC702">
        <f>IF(AND($A702&lt;&gt;"",$B702&lt;&gt;"",$R702='تقرير مارس'!$C$4,$P702='تقرير مارس'!$C$6),COUNT(AC$4:AC701)+1,"")</f>
        <v/>
      </c>
      <c r="AD702">
        <f>IF(AND($A702&lt;&gt;"",$B702&lt;&gt;"",$R702='تقرير أبريل'!$C$4,$P702='تقرير أبريل'!$C$6),COUNT(AD$4:AD701)+1,"")</f>
        <v/>
      </c>
      <c r="AE702">
        <f>IF(AND($A702&lt;&gt;"",$B702&lt;&gt;"",$R702='تقرير مايو'!$C$4,$P702='تقرير مايو'!$C$6),COUNT(AE$4:AE701)+1,"")</f>
        <v/>
      </c>
    </row>
    <row r="703">
      <c r="A703" s="16" t="n"/>
      <c r="B703" s="17" t="n"/>
      <c r="C703" s="17" t="n"/>
      <c r="D703" s="18" t="n"/>
      <c r="E703" s="17" t="n"/>
      <c r="F703" s="17" t="n"/>
      <c r="G703" s="19" t="n"/>
      <c r="H703" s="17" t="n"/>
      <c r="I703" s="17" t="n"/>
      <c r="J703" s="17" t="n"/>
      <c r="K703" s="20">
        <f>IF($B703="","",IFERROR(INDEX(الموظفات!$A$5:$A$304,MATCH($B703,الموظفات!$B$5:$B$304,0))&amp;"",""))</f>
        <v/>
      </c>
      <c r="L703" s="21">
        <f>IF($B703="","",IFERROR(INDEX(الموظفات!$C$5:$C$304,MATCH($B703,الموظفات!$B$5:$B$304,0))&amp;"",""))</f>
        <v/>
      </c>
      <c r="M703" s="20">
        <f>IF($B703="","",IFERROR(INDEX(الموظفات!$D$5:$D$304,MATCH($B703,الموظفات!$B$5:$B$304,0))&amp;"",""))</f>
        <v/>
      </c>
      <c r="N703" s="20">
        <f>IF($B703="","",IFERROR(INDEX(الموظفات!$E$5:$E$304,MATCH($B703,الموظفات!$B$5:$B$304,0))&amp;"",""))</f>
        <v/>
      </c>
      <c r="O703" s="21">
        <f>IF(C703="","",IFERROR(INDEX(الإعدادات!$D$7:$D$35,MATCH(C703,الإعدادات!$A$7:$A$35,0))&amp;"",""))</f>
        <v/>
      </c>
      <c r="P703" s="20">
        <f>IF(A703="","",INDEX(الإعدادات!$H$7:$H$18,MONTH(A703)))</f>
        <v/>
      </c>
      <c r="Q703" s="20">
        <f>IF(A703="","",INDEX(الإعدادات!$I$7:$I$18,MONTH(A703)))</f>
        <v/>
      </c>
      <c r="R703" s="20">
        <f>IF(A703="","",IF(MONTH(A703)&gt;=8,YEAR(A703)&amp;"-"&amp;(YEAR(A703)+1),(YEAR(A703)-1)&amp;"-"&amp;YEAR(A703)))</f>
        <v/>
      </c>
      <c r="S703" s="20">
        <f>IF(OR(A703="",B703=""),0,IF(AND(R703=التقارير!$C$4,OR(التقارير!$C$5="سنوي",AND(التقارير!$C$5="شهري",P703=التقارير!$C$6),AND(التقارير!$C$5="فصلي",Q703=التقارير!$C$7))),1,0))</f>
        <v/>
      </c>
      <c r="T703" s="20">
        <f>IF(S703=1,COUNTIF($S$5:S703,1),"")</f>
        <v/>
      </c>
      <c r="U703">
        <f>IF(AND($A703&lt;&gt;"",$B703&lt;&gt;"",$R703='تقرير الفصل الأول'!$C$4,$Q703='تقرير الفصل الأول'!$C$7),COUNT(U$4:U702)+1,"")</f>
        <v/>
      </c>
      <c r="V703">
        <f>IF(AND($A703&lt;&gt;"",$B703&lt;&gt;"",$R703='تقرير الفصل الثاني'!$C$4,$Q703='تقرير الفصل الثاني'!$C$7),COUNT(V$4:V702)+1,"")</f>
        <v/>
      </c>
      <c r="W703">
        <f>IF(AND($A703&lt;&gt;"",$B703&lt;&gt;"",$R703='تقرير سبتمبر'!$C$4,$P703='تقرير سبتمبر'!$C$6),COUNT(W$4:W702)+1,"")</f>
        <v/>
      </c>
      <c r="X703">
        <f>IF(AND($A703&lt;&gt;"",$B703&lt;&gt;"",$R703='تقرير أكتوبر'!$C$4,$P703='تقرير أكتوبر'!$C$6),COUNT(X$4:X702)+1,"")</f>
        <v/>
      </c>
      <c r="Y703">
        <f>IF(AND($A703&lt;&gt;"",$B703&lt;&gt;"",$R703='تقرير نوفمبر'!$C$4,$P703='تقرير نوفمبر'!$C$6),COUNT(Y$4:Y702)+1,"")</f>
        <v/>
      </c>
      <c r="Z703">
        <f>IF(AND($A703&lt;&gt;"",$B703&lt;&gt;"",$R703='تقرير ديسمبر'!$C$4,$P703='تقرير ديسمبر'!$C$6),COUNT(Z$4:Z702)+1,"")</f>
        <v/>
      </c>
      <c r="AA703">
        <f>IF(AND($A703&lt;&gt;"",$B703&lt;&gt;"",$R703='تقرير يناير'!$C$4,$P703='تقرير يناير'!$C$6),COUNT(AA$4:AA702)+1,"")</f>
        <v/>
      </c>
      <c r="AB703">
        <f>IF(AND($A703&lt;&gt;"",$B703&lt;&gt;"",$R703='تقرير فبراير'!$C$4,$P703='تقرير فبراير'!$C$6),COUNT(AB$4:AB702)+1,"")</f>
        <v/>
      </c>
      <c r="AC703">
        <f>IF(AND($A703&lt;&gt;"",$B703&lt;&gt;"",$R703='تقرير مارس'!$C$4,$P703='تقرير مارس'!$C$6),COUNT(AC$4:AC702)+1,"")</f>
        <v/>
      </c>
      <c r="AD703">
        <f>IF(AND($A703&lt;&gt;"",$B703&lt;&gt;"",$R703='تقرير أبريل'!$C$4,$P703='تقرير أبريل'!$C$6),COUNT(AD$4:AD702)+1,"")</f>
        <v/>
      </c>
      <c r="AE703">
        <f>IF(AND($A703&lt;&gt;"",$B703&lt;&gt;"",$R703='تقرير مايو'!$C$4,$P703='تقرير مايو'!$C$6),COUNT(AE$4:AE702)+1,"")</f>
        <v/>
      </c>
    </row>
    <row r="704">
      <c r="A704" s="16" t="n"/>
      <c r="B704" s="17" t="n"/>
      <c r="C704" s="17" t="n"/>
      <c r="D704" s="18" t="n"/>
      <c r="E704" s="17" t="n"/>
      <c r="F704" s="17" t="n"/>
      <c r="G704" s="19" t="n"/>
      <c r="H704" s="17" t="n"/>
      <c r="I704" s="17" t="n"/>
      <c r="J704" s="17" t="n"/>
      <c r="K704" s="20">
        <f>IF($B704="","",IFERROR(INDEX(الموظفات!$A$5:$A$304,MATCH($B704,الموظفات!$B$5:$B$304,0))&amp;"",""))</f>
        <v/>
      </c>
      <c r="L704" s="21">
        <f>IF($B704="","",IFERROR(INDEX(الموظفات!$C$5:$C$304,MATCH($B704,الموظفات!$B$5:$B$304,0))&amp;"",""))</f>
        <v/>
      </c>
      <c r="M704" s="20">
        <f>IF($B704="","",IFERROR(INDEX(الموظفات!$D$5:$D$304,MATCH($B704,الموظفات!$B$5:$B$304,0))&amp;"",""))</f>
        <v/>
      </c>
      <c r="N704" s="20">
        <f>IF($B704="","",IFERROR(INDEX(الموظفات!$E$5:$E$304,MATCH($B704,الموظفات!$B$5:$B$304,0))&amp;"",""))</f>
        <v/>
      </c>
      <c r="O704" s="21">
        <f>IF(C704="","",IFERROR(INDEX(الإعدادات!$D$7:$D$35,MATCH(C704,الإعدادات!$A$7:$A$35,0))&amp;"",""))</f>
        <v/>
      </c>
      <c r="P704" s="20">
        <f>IF(A704="","",INDEX(الإعدادات!$H$7:$H$18,MONTH(A704)))</f>
        <v/>
      </c>
      <c r="Q704" s="20">
        <f>IF(A704="","",INDEX(الإعدادات!$I$7:$I$18,MONTH(A704)))</f>
        <v/>
      </c>
      <c r="R704" s="20">
        <f>IF(A704="","",IF(MONTH(A704)&gt;=8,YEAR(A704)&amp;"-"&amp;(YEAR(A704)+1),(YEAR(A704)-1)&amp;"-"&amp;YEAR(A704)))</f>
        <v/>
      </c>
      <c r="S704" s="20">
        <f>IF(OR(A704="",B704=""),0,IF(AND(R704=التقارير!$C$4,OR(التقارير!$C$5="سنوي",AND(التقارير!$C$5="شهري",P704=التقارير!$C$6),AND(التقارير!$C$5="فصلي",Q704=التقارير!$C$7))),1,0))</f>
        <v/>
      </c>
      <c r="T704" s="20">
        <f>IF(S704=1,COUNTIF($S$5:S704,1),"")</f>
        <v/>
      </c>
      <c r="U704">
        <f>IF(AND($A704&lt;&gt;"",$B704&lt;&gt;"",$R704='تقرير الفصل الأول'!$C$4,$Q704='تقرير الفصل الأول'!$C$7),COUNT(U$4:U703)+1,"")</f>
        <v/>
      </c>
      <c r="V704">
        <f>IF(AND($A704&lt;&gt;"",$B704&lt;&gt;"",$R704='تقرير الفصل الثاني'!$C$4,$Q704='تقرير الفصل الثاني'!$C$7),COUNT(V$4:V703)+1,"")</f>
        <v/>
      </c>
      <c r="W704">
        <f>IF(AND($A704&lt;&gt;"",$B704&lt;&gt;"",$R704='تقرير سبتمبر'!$C$4,$P704='تقرير سبتمبر'!$C$6),COUNT(W$4:W703)+1,"")</f>
        <v/>
      </c>
      <c r="X704">
        <f>IF(AND($A704&lt;&gt;"",$B704&lt;&gt;"",$R704='تقرير أكتوبر'!$C$4,$P704='تقرير أكتوبر'!$C$6),COUNT(X$4:X703)+1,"")</f>
        <v/>
      </c>
      <c r="Y704">
        <f>IF(AND($A704&lt;&gt;"",$B704&lt;&gt;"",$R704='تقرير نوفمبر'!$C$4,$P704='تقرير نوفمبر'!$C$6),COUNT(Y$4:Y703)+1,"")</f>
        <v/>
      </c>
      <c r="Z704">
        <f>IF(AND($A704&lt;&gt;"",$B704&lt;&gt;"",$R704='تقرير ديسمبر'!$C$4,$P704='تقرير ديسمبر'!$C$6),COUNT(Z$4:Z703)+1,"")</f>
        <v/>
      </c>
      <c r="AA704">
        <f>IF(AND($A704&lt;&gt;"",$B704&lt;&gt;"",$R704='تقرير يناير'!$C$4,$P704='تقرير يناير'!$C$6),COUNT(AA$4:AA703)+1,"")</f>
        <v/>
      </c>
      <c r="AB704">
        <f>IF(AND($A704&lt;&gt;"",$B704&lt;&gt;"",$R704='تقرير فبراير'!$C$4,$P704='تقرير فبراير'!$C$6),COUNT(AB$4:AB703)+1,"")</f>
        <v/>
      </c>
      <c r="AC704">
        <f>IF(AND($A704&lt;&gt;"",$B704&lt;&gt;"",$R704='تقرير مارس'!$C$4,$P704='تقرير مارس'!$C$6),COUNT(AC$4:AC703)+1,"")</f>
        <v/>
      </c>
      <c r="AD704">
        <f>IF(AND($A704&lt;&gt;"",$B704&lt;&gt;"",$R704='تقرير أبريل'!$C$4,$P704='تقرير أبريل'!$C$6),COUNT(AD$4:AD703)+1,"")</f>
        <v/>
      </c>
      <c r="AE704">
        <f>IF(AND($A704&lt;&gt;"",$B704&lt;&gt;"",$R704='تقرير مايو'!$C$4,$P704='تقرير مايو'!$C$6),COUNT(AE$4:AE703)+1,"")</f>
        <v/>
      </c>
    </row>
    <row r="705">
      <c r="A705" s="16" t="n"/>
      <c r="B705" s="17" t="n"/>
      <c r="C705" s="17" t="n"/>
      <c r="D705" s="18" t="n"/>
      <c r="E705" s="17" t="n"/>
      <c r="F705" s="17" t="n"/>
      <c r="G705" s="19" t="n"/>
      <c r="H705" s="17" t="n"/>
      <c r="I705" s="17" t="n"/>
      <c r="J705" s="17" t="n"/>
      <c r="K705" s="20">
        <f>IF($B705="","",IFERROR(INDEX(الموظفات!$A$5:$A$304,MATCH($B705,الموظفات!$B$5:$B$304,0))&amp;"",""))</f>
        <v/>
      </c>
      <c r="L705" s="21">
        <f>IF($B705="","",IFERROR(INDEX(الموظفات!$C$5:$C$304,MATCH($B705,الموظفات!$B$5:$B$304,0))&amp;"",""))</f>
        <v/>
      </c>
      <c r="M705" s="20">
        <f>IF($B705="","",IFERROR(INDEX(الموظفات!$D$5:$D$304,MATCH($B705,الموظفات!$B$5:$B$304,0))&amp;"",""))</f>
        <v/>
      </c>
      <c r="N705" s="20">
        <f>IF($B705="","",IFERROR(INDEX(الموظفات!$E$5:$E$304,MATCH($B705,الموظفات!$B$5:$B$304,0))&amp;"",""))</f>
        <v/>
      </c>
      <c r="O705" s="21">
        <f>IF(C705="","",IFERROR(INDEX(الإعدادات!$D$7:$D$35,MATCH(C705,الإعدادات!$A$7:$A$35,0))&amp;"",""))</f>
        <v/>
      </c>
      <c r="P705" s="20">
        <f>IF(A705="","",INDEX(الإعدادات!$H$7:$H$18,MONTH(A705)))</f>
        <v/>
      </c>
      <c r="Q705" s="20">
        <f>IF(A705="","",INDEX(الإعدادات!$I$7:$I$18,MONTH(A705)))</f>
        <v/>
      </c>
      <c r="R705" s="20">
        <f>IF(A705="","",IF(MONTH(A705)&gt;=8,YEAR(A705)&amp;"-"&amp;(YEAR(A705)+1),(YEAR(A705)-1)&amp;"-"&amp;YEAR(A705)))</f>
        <v/>
      </c>
      <c r="S705" s="20">
        <f>IF(OR(A705="",B705=""),0,IF(AND(R705=التقارير!$C$4,OR(التقارير!$C$5="سنوي",AND(التقارير!$C$5="شهري",P705=التقارير!$C$6),AND(التقارير!$C$5="فصلي",Q705=التقارير!$C$7))),1,0))</f>
        <v/>
      </c>
      <c r="T705" s="20">
        <f>IF(S705=1,COUNTIF($S$5:S705,1),"")</f>
        <v/>
      </c>
      <c r="U705">
        <f>IF(AND($A705&lt;&gt;"",$B705&lt;&gt;"",$R705='تقرير الفصل الأول'!$C$4,$Q705='تقرير الفصل الأول'!$C$7),COUNT(U$4:U704)+1,"")</f>
        <v/>
      </c>
      <c r="V705">
        <f>IF(AND($A705&lt;&gt;"",$B705&lt;&gt;"",$R705='تقرير الفصل الثاني'!$C$4,$Q705='تقرير الفصل الثاني'!$C$7),COUNT(V$4:V704)+1,"")</f>
        <v/>
      </c>
      <c r="W705">
        <f>IF(AND($A705&lt;&gt;"",$B705&lt;&gt;"",$R705='تقرير سبتمبر'!$C$4,$P705='تقرير سبتمبر'!$C$6),COUNT(W$4:W704)+1,"")</f>
        <v/>
      </c>
      <c r="X705">
        <f>IF(AND($A705&lt;&gt;"",$B705&lt;&gt;"",$R705='تقرير أكتوبر'!$C$4,$P705='تقرير أكتوبر'!$C$6),COUNT(X$4:X704)+1,"")</f>
        <v/>
      </c>
      <c r="Y705">
        <f>IF(AND($A705&lt;&gt;"",$B705&lt;&gt;"",$R705='تقرير نوفمبر'!$C$4,$P705='تقرير نوفمبر'!$C$6),COUNT(Y$4:Y704)+1,"")</f>
        <v/>
      </c>
      <c r="Z705">
        <f>IF(AND($A705&lt;&gt;"",$B705&lt;&gt;"",$R705='تقرير ديسمبر'!$C$4,$P705='تقرير ديسمبر'!$C$6),COUNT(Z$4:Z704)+1,"")</f>
        <v/>
      </c>
      <c r="AA705">
        <f>IF(AND($A705&lt;&gt;"",$B705&lt;&gt;"",$R705='تقرير يناير'!$C$4,$P705='تقرير يناير'!$C$6),COUNT(AA$4:AA704)+1,"")</f>
        <v/>
      </c>
      <c r="AB705">
        <f>IF(AND($A705&lt;&gt;"",$B705&lt;&gt;"",$R705='تقرير فبراير'!$C$4,$P705='تقرير فبراير'!$C$6),COUNT(AB$4:AB704)+1,"")</f>
        <v/>
      </c>
      <c r="AC705">
        <f>IF(AND($A705&lt;&gt;"",$B705&lt;&gt;"",$R705='تقرير مارس'!$C$4,$P705='تقرير مارس'!$C$6),COUNT(AC$4:AC704)+1,"")</f>
        <v/>
      </c>
      <c r="AD705">
        <f>IF(AND($A705&lt;&gt;"",$B705&lt;&gt;"",$R705='تقرير أبريل'!$C$4,$P705='تقرير أبريل'!$C$6),COUNT(AD$4:AD704)+1,"")</f>
        <v/>
      </c>
      <c r="AE705">
        <f>IF(AND($A705&lt;&gt;"",$B705&lt;&gt;"",$R705='تقرير مايو'!$C$4,$P705='تقرير مايو'!$C$6),COUNT(AE$4:AE704)+1,"")</f>
        <v/>
      </c>
    </row>
    <row r="706">
      <c r="A706" s="16" t="n"/>
      <c r="B706" s="17" t="n"/>
      <c r="C706" s="17" t="n"/>
      <c r="D706" s="18" t="n"/>
      <c r="E706" s="17" t="n"/>
      <c r="F706" s="17" t="n"/>
      <c r="G706" s="19" t="n"/>
      <c r="H706" s="17" t="n"/>
      <c r="I706" s="17" t="n"/>
      <c r="J706" s="17" t="n"/>
      <c r="K706" s="20">
        <f>IF($B706="","",IFERROR(INDEX(الموظفات!$A$5:$A$304,MATCH($B706,الموظفات!$B$5:$B$304,0))&amp;"",""))</f>
        <v/>
      </c>
      <c r="L706" s="21">
        <f>IF($B706="","",IFERROR(INDEX(الموظفات!$C$5:$C$304,MATCH($B706,الموظفات!$B$5:$B$304,0))&amp;"",""))</f>
        <v/>
      </c>
      <c r="M706" s="20">
        <f>IF($B706="","",IFERROR(INDEX(الموظفات!$D$5:$D$304,MATCH($B706,الموظفات!$B$5:$B$304,0))&amp;"",""))</f>
        <v/>
      </c>
      <c r="N706" s="20">
        <f>IF($B706="","",IFERROR(INDEX(الموظفات!$E$5:$E$304,MATCH($B706,الموظفات!$B$5:$B$304,0))&amp;"",""))</f>
        <v/>
      </c>
      <c r="O706" s="21">
        <f>IF(C706="","",IFERROR(INDEX(الإعدادات!$D$7:$D$35,MATCH(C706,الإعدادات!$A$7:$A$35,0))&amp;"",""))</f>
        <v/>
      </c>
      <c r="P706" s="20">
        <f>IF(A706="","",INDEX(الإعدادات!$H$7:$H$18,MONTH(A706)))</f>
        <v/>
      </c>
      <c r="Q706" s="20">
        <f>IF(A706="","",INDEX(الإعدادات!$I$7:$I$18,MONTH(A706)))</f>
        <v/>
      </c>
      <c r="R706" s="20">
        <f>IF(A706="","",IF(MONTH(A706)&gt;=8,YEAR(A706)&amp;"-"&amp;(YEAR(A706)+1),(YEAR(A706)-1)&amp;"-"&amp;YEAR(A706)))</f>
        <v/>
      </c>
      <c r="S706" s="20">
        <f>IF(OR(A706="",B706=""),0,IF(AND(R706=التقارير!$C$4,OR(التقارير!$C$5="سنوي",AND(التقارير!$C$5="شهري",P706=التقارير!$C$6),AND(التقارير!$C$5="فصلي",Q706=التقارير!$C$7))),1,0))</f>
        <v/>
      </c>
      <c r="T706" s="20">
        <f>IF(S706=1,COUNTIF($S$5:S706,1),"")</f>
        <v/>
      </c>
      <c r="U706">
        <f>IF(AND($A706&lt;&gt;"",$B706&lt;&gt;"",$R706='تقرير الفصل الأول'!$C$4,$Q706='تقرير الفصل الأول'!$C$7),COUNT(U$4:U705)+1,"")</f>
        <v/>
      </c>
      <c r="V706">
        <f>IF(AND($A706&lt;&gt;"",$B706&lt;&gt;"",$R706='تقرير الفصل الثاني'!$C$4,$Q706='تقرير الفصل الثاني'!$C$7),COUNT(V$4:V705)+1,"")</f>
        <v/>
      </c>
      <c r="W706">
        <f>IF(AND($A706&lt;&gt;"",$B706&lt;&gt;"",$R706='تقرير سبتمبر'!$C$4,$P706='تقرير سبتمبر'!$C$6),COUNT(W$4:W705)+1,"")</f>
        <v/>
      </c>
      <c r="X706">
        <f>IF(AND($A706&lt;&gt;"",$B706&lt;&gt;"",$R706='تقرير أكتوبر'!$C$4,$P706='تقرير أكتوبر'!$C$6),COUNT(X$4:X705)+1,"")</f>
        <v/>
      </c>
      <c r="Y706">
        <f>IF(AND($A706&lt;&gt;"",$B706&lt;&gt;"",$R706='تقرير نوفمبر'!$C$4,$P706='تقرير نوفمبر'!$C$6),COUNT(Y$4:Y705)+1,"")</f>
        <v/>
      </c>
      <c r="Z706">
        <f>IF(AND($A706&lt;&gt;"",$B706&lt;&gt;"",$R706='تقرير ديسمبر'!$C$4,$P706='تقرير ديسمبر'!$C$6),COUNT(Z$4:Z705)+1,"")</f>
        <v/>
      </c>
      <c r="AA706">
        <f>IF(AND($A706&lt;&gt;"",$B706&lt;&gt;"",$R706='تقرير يناير'!$C$4,$P706='تقرير يناير'!$C$6),COUNT(AA$4:AA705)+1,"")</f>
        <v/>
      </c>
      <c r="AB706">
        <f>IF(AND($A706&lt;&gt;"",$B706&lt;&gt;"",$R706='تقرير فبراير'!$C$4,$P706='تقرير فبراير'!$C$6),COUNT(AB$4:AB705)+1,"")</f>
        <v/>
      </c>
      <c r="AC706">
        <f>IF(AND($A706&lt;&gt;"",$B706&lt;&gt;"",$R706='تقرير مارس'!$C$4,$P706='تقرير مارس'!$C$6),COUNT(AC$4:AC705)+1,"")</f>
        <v/>
      </c>
      <c r="AD706">
        <f>IF(AND($A706&lt;&gt;"",$B706&lt;&gt;"",$R706='تقرير أبريل'!$C$4,$P706='تقرير أبريل'!$C$6),COUNT(AD$4:AD705)+1,"")</f>
        <v/>
      </c>
      <c r="AE706">
        <f>IF(AND($A706&lt;&gt;"",$B706&lt;&gt;"",$R706='تقرير مايو'!$C$4,$P706='تقرير مايو'!$C$6),COUNT(AE$4:AE705)+1,"")</f>
        <v/>
      </c>
    </row>
    <row r="707">
      <c r="A707" s="16" t="n"/>
      <c r="B707" s="17" t="n"/>
      <c r="C707" s="17" t="n"/>
      <c r="D707" s="18" t="n"/>
      <c r="E707" s="17" t="n"/>
      <c r="F707" s="17" t="n"/>
      <c r="G707" s="19" t="n"/>
      <c r="H707" s="17" t="n"/>
      <c r="I707" s="17" t="n"/>
      <c r="J707" s="17" t="n"/>
      <c r="K707" s="20">
        <f>IF($B707="","",IFERROR(INDEX(الموظفات!$A$5:$A$304,MATCH($B707,الموظفات!$B$5:$B$304,0))&amp;"",""))</f>
        <v/>
      </c>
      <c r="L707" s="21">
        <f>IF($B707="","",IFERROR(INDEX(الموظفات!$C$5:$C$304,MATCH($B707,الموظفات!$B$5:$B$304,0))&amp;"",""))</f>
        <v/>
      </c>
      <c r="M707" s="20">
        <f>IF($B707="","",IFERROR(INDEX(الموظفات!$D$5:$D$304,MATCH($B707,الموظفات!$B$5:$B$304,0))&amp;"",""))</f>
        <v/>
      </c>
      <c r="N707" s="20">
        <f>IF($B707="","",IFERROR(INDEX(الموظفات!$E$5:$E$304,MATCH($B707,الموظفات!$B$5:$B$304,0))&amp;"",""))</f>
        <v/>
      </c>
      <c r="O707" s="21">
        <f>IF(C707="","",IFERROR(INDEX(الإعدادات!$D$7:$D$35,MATCH(C707,الإعدادات!$A$7:$A$35,0))&amp;"",""))</f>
        <v/>
      </c>
      <c r="P707" s="20">
        <f>IF(A707="","",INDEX(الإعدادات!$H$7:$H$18,MONTH(A707)))</f>
        <v/>
      </c>
      <c r="Q707" s="20">
        <f>IF(A707="","",INDEX(الإعدادات!$I$7:$I$18,MONTH(A707)))</f>
        <v/>
      </c>
      <c r="R707" s="20">
        <f>IF(A707="","",IF(MONTH(A707)&gt;=8,YEAR(A707)&amp;"-"&amp;(YEAR(A707)+1),(YEAR(A707)-1)&amp;"-"&amp;YEAR(A707)))</f>
        <v/>
      </c>
      <c r="S707" s="20">
        <f>IF(OR(A707="",B707=""),0,IF(AND(R707=التقارير!$C$4,OR(التقارير!$C$5="سنوي",AND(التقارير!$C$5="شهري",P707=التقارير!$C$6),AND(التقارير!$C$5="فصلي",Q707=التقارير!$C$7))),1,0))</f>
        <v/>
      </c>
      <c r="T707" s="20">
        <f>IF(S707=1,COUNTIF($S$5:S707,1),"")</f>
        <v/>
      </c>
      <c r="U707">
        <f>IF(AND($A707&lt;&gt;"",$B707&lt;&gt;"",$R707='تقرير الفصل الأول'!$C$4,$Q707='تقرير الفصل الأول'!$C$7),COUNT(U$4:U706)+1,"")</f>
        <v/>
      </c>
      <c r="V707">
        <f>IF(AND($A707&lt;&gt;"",$B707&lt;&gt;"",$R707='تقرير الفصل الثاني'!$C$4,$Q707='تقرير الفصل الثاني'!$C$7),COUNT(V$4:V706)+1,"")</f>
        <v/>
      </c>
      <c r="W707">
        <f>IF(AND($A707&lt;&gt;"",$B707&lt;&gt;"",$R707='تقرير سبتمبر'!$C$4,$P707='تقرير سبتمبر'!$C$6),COUNT(W$4:W706)+1,"")</f>
        <v/>
      </c>
      <c r="X707">
        <f>IF(AND($A707&lt;&gt;"",$B707&lt;&gt;"",$R707='تقرير أكتوبر'!$C$4,$P707='تقرير أكتوبر'!$C$6),COUNT(X$4:X706)+1,"")</f>
        <v/>
      </c>
      <c r="Y707">
        <f>IF(AND($A707&lt;&gt;"",$B707&lt;&gt;"",$R707='تقرير نوفمبر'!$C$4,$P707='تقرير نوفمبر'!$C$6),COUNT(Y$4:Y706)+1,"")</f>
        <v/>
      </c>
      <c r="Z707">
        <f>IF(AND($A707&lt;&gt;"",$B707&lt;&gt;"",$R707='تقرير ديسمبر'!$C$4,$P707='تقرير ديسمبر'!$C$6),COUNT(Z$4:Z706)+1,"")</f>
        <v/>
      </c>
      <c r="AA707">
        <f>IF(AND($A707&lt;&gt;"",$B707&lt;&gt;"",$R707='تقرير يناير'!$C$4,$P707='تقرير يناير'!$C$6),COUNT(AA$4:AA706)+1,"")</f>
        <v/>
      </c>
      <c r="AB707">
        <f>IF(AND($A707&lt;&gt;"",$B707&lt;&gt;"",$R707='تقرير فبراير'!$C$4,$P707='تقرير فبراير'!$C$6),COUNT(AB$4:AB706)+1,"")</f>
        <v/>
      </c>
      <c r="AC707">
        <f>IF(AND($A707&lt;&gt;"",$B707&lt;&gt;"",$R707='تقرير مارس'!$C$4,$P707='تقرير مارس'!$C$6),COUNT(AC$4:AC706)+1,"")</f>
        <v/>
      </c>
      <c r="AD707">
        <f>IF(AND($A707&lt;&gt;"",$B707&lt;&gt;"",$R707='تقرير أبريل'!$C$4,$P707='تقرير أبريل'!$C$6),COUNT(AD$4:AD706)+1,"")</f>
        <v/>
      </c>
      <c r="AE707">
        <f>IF(AND($A707&lt;&gt;"",$B707&lt;&gt;"",$R707='تقرير مايو'!$C$4,$P707='تقرير مايو'!$C$6),COUNT(AE$4:AE706)+1,"")</f>
        <v/>
      </c>
    </row>
    <row r="708">
      <c r="A708" s="16" t="n"/>
      <c r="B708" s="17" t="n"/>
      <c r="C708" s="17" t="n"/>
      <c r="D708" s="18" t="n"/>
      <c r="E708" s="17" t="n"/>
      <c r="F708" s="17" t="n"/>
      <c r="G708" s="19" t="n"/>
      <c r="H708" s="17" t="n"/>
      <c r="I708" s="17" t="n"/>
      <c r="J708" s="17" t="n"/>
      <c r="K708" s="20">
        <f>IF($B708="","",IFERROR(INDEX(الموظفات!$A$5:$A$304,MATCH($B708,الموظفات!$B$5:$B$304,0))&amp;"",""))</f>
        <v/>
      </c>
      <c r="L708" s="21">
        <f>IF($B708="","",IFERROR(INDEX(الموظفات!$C$5:$C$304,MATCH($B708,الموظفات!$B$5:$B$304,0))&amp;"",""))</f>
        <v/>
      </c>
      <c r="M708" s="20">
        <f>IF($B708="","",IFERROR(INDEX(الموظفات!$D$5:$D$304,MATCH($B708,الموظفات!$B$5:$B$304,0))&amp;"",""))</f>
        <v/>
      </c>
      <c r="N708" s="20">
        <f>IF($B708="","",IFERROR(INDEX(الموظفات!$E$5:$E$304,MATCH($B708,الموظفات!$B$5:$B$304,0))&amp;"",""))</f>
        <v/>
      </c>
      <c r="O708" s="21">
        <f>IF(C708="","",IFERROR(INDEX(الإعدادات!$D$7:$D$35,MATCH(C708,الإعدادات!$A$7:$A$35,0))&amp;"",""))</f>
        <v/>
      </c>
      <c r="P708" s="20">
        <f>IF(A708="","",INDEX(الإعدادات!$H$7:$H$18,MONTH(A708)))</f>
        <v/>
      </c>
      <c r="Q708" s="20">
        <f>IF(A708="","",INDEX(الإعدادات!$I$7:$I$18,MONTH(A708)))</f>
        <v/>
      </c>
      <c r="R708" s="20">
        <f>IF(A708="","",IF(MONTH(A708)&gt;=8,YEAR(A708)&amp;"-"&amp;(YEAR(A708)+1),(YEAR(A708)-1)&amp;"-"&amp;YEAR(A708)))</f>
        <v/>
      </c>
      <c r="S708" s="20">
        <f>IF(OR(A708="",B708=""),0,IF(AND(R708=التقارير!$C$4,OR(التقارير!$C$5="سنوي",AND(التقارير!$C$5="شهري",P708=التقارير!$C$6),AND(التقارير!$C$5="فصلي",Q708=التقارير!$C$7))),1,0))</f>
        <v/>
      </c>
      <c r="T708" s="20">
        <f>IF(S708=1,COUNTIF($S$5:S708,1),"")</f>
        <v/>
      </c>
      <c r="U708">
        <f>IF(AND($A708&lt;&gt;"",$B708&lt;&gt;"",$R708='تقرير الفصل الأول'!$C$4,$Q708='تقرير الفصل الأول'!$C$7),COUNT(U$4:U707)+1,"")</f>
        <v/>
      </c>
      <c r="V708">
        <f>IF(AND($A708&lt;&gt;"",$B708&lt;&gt;"",$R708='تقرير الفصل الثاني'!$C$4,$Q708='تقرير الفصل الثاني'!$C$7),COUNT(V$4:V707)+1,"")</f>
        <v/>
      </c>
      <c r="W708">
        <f>IF(AND($A708&lt;&gt;"",$B708&lt;&gt;"",$R708='تقرير سبتمبر'!$C$4,$P708='تقرير سبتمبر'!$C$6),COUNT(W$4:W707)+1,"")</f>
        <v/>
      </c>
      <c r="X708">
        <f>IF(AND($A708&lt;&gt;"",$B708&lt;&gt;"",$R708='تقرير أكتوبر'!$C$4,$P708='تقرير أكتوبر'!$C$6),COUNT(X$4:X707)+1,"")</f>
        <v/>
      </c>
      <c r="Y708">
        <f>IF(AND($A708&lt;&gt;"",$B708&lt;&gt;"",$R708='تقرير نوفمبر'!$C$4,$P708='تقرير نوفمبر'!$C$6),COUNT(Y$4:Y707)+1,"")</f>
        <v/>
      </c>
      <c r="Z708">
        <f>IF(AND($A708&lt;&gt;"",$B708&lt;&gt;"",$R708='تقرير ديسمبر'!$C$4,$P708='تقرير ديسمبر'!$C$6),COUNT(Z$4:Z707)+1,"")</f>
        <v/>
      </c>
      <c r="AA708">
        <f>IF(AND($A708&lt;&gt;"",$B708&lt;&gt;"",$R708='تقرير يناير'!$C$4,$P708='تقرير يناير'!$C$6),COUNT(AA$4:AA707)+1,"")</f>
        <v/>
      </c>
      <c r="AB708">
        <f>IF(AND($A708&lt;&gt;"",$B708&lt;&gt;"",$R708='تقرير فبراير'!$C$4,$P708='تقرير فبراير'!$C$6),COUNT(AB$4:AB707)+1,"")</f>
        <v/>
      </c>
      <c r="AC708">
        <f>IF(AND($A708&lt;&gt;"",$B708&lt;&gt;"",$R708='تقرير مارس'!$C$4,$P708='تقرير مارس'!$C$6),COUNT(AC$4:AC707)+1,"")</f>
        <v/>
      </c>
      <c r="AD708">
        <f>IF(AND($A708&lt;&gt;"",$B708&lt;&gt;"",$R708='تقرير أبريل'!$C$4,$P708='تقرير أبريل'!$C$6),COUNT(AD$4:AD707)+1,"")</f>
        <v/>
      </c>
      <c r="AE708">
        <f>IF(AND($A708&lt;&gt;"",$B708&lt;&gt;"",$R708='تقرير مايو'!$C$4,$P708='تقرير مايو'!$C$6),COUNT(AE$4:AE707)+1,"")</f>
        <v/>
      </c>
    </row>
    <row r="709">
      <c r="A709" s="16" t="n"/>
      <c r="B709" s="17" t="n"/>
      <c r="C709" s="17" t="n"/>
      <c r="D709" s="18" t="n"/>
      <c r="E709" s="17" t="n"/>
      <c r="F709" s="17" t="n"/>
      <c r="G709" s="19" t="n"/>
      <c r="H709" s="17" t="n"/>
      <c r="I709" s="17" t="n"/>
      <c r="J709" s="17" t="n"/>
      <c r="K709" s="20">
        <f>IF($B709="","",IFERROR(INDEX(الموظفات!$A$5:$A$304,MATCH($B709,الموظفات!$B$5:$B$304,0))&amp;"",""))</f>
        <v/>
      </c>
      <c r="L709" s="21">
        <f>IF($B709="","",IFERROR(INDEX(الموظفات!$C$5:$C$304,MATCH($B709,الموظفات!$B$5:$B$304,0))&amp;"",""))</f>
        <v/>
      </c>
      <c r="M709" s="20">
        <f>IF($B709="","",IFERROR(INDEX(الموظفات!$D$5:$D$304,MATCH($B709,الموظفات!$B$5:$B$304,0))&amp;"",""))</f>
        <v/>
      </c>
      <c r="N709" s="20">
        <f>IF($B709="","",IFERROR(INDEX(الموظفات!$E$5:$E$304,MATCH($B709,الموظفات!$B$5:$B$304,0))&amp;"",""))</f>
        <v/>
      </c>
      <c r="O709" s="21">
        <f>IF(C709="","",IFERROR(INDEX(الإعدادات!$D$7:$D$35,MATCH(C709,الإعدادات!$A$7:$A$35,0))&amp;"",""))</f>
        <v/>
      </c>
      <c r="P709" s="20">
        <f>IF(A709="","",INDEX(الإعدادات!$H$7:$H$18,MONTH(A709)))</f>
        <v/>
      </c>
      <c r="Q709" s="20">
        <f>IF(A709="","",INDEX(الإعدادات!$I$7:$I$18,MONTH(A709)))</f>
        <v/>
      </c>
      <c r="R709" s="20">
        <f>IF(A709="","",IF(MONTH(A709)&gt;=8,YEAR(A709)&amp;"-"&amp;(YEAR(A709)+1),(YEAR(A709)-1)&amp;"-"&amp;YEAR(A709)))</f>
        <v/>
      </c>
      <c r="S709" s="20">
        <f>IF(OR(A709="",B709=""),0,IF(AND(R709=التقارير!$C$4,OR(التقارير!$C$5="سنوي",AND(التقارير!$C$5="شهري",P709=التقارير!$C$6),AND(التقارير!$C$5="فصلي",Q709=التقارير!$C$7))),1,0))</f>
        <v/>
      </c>
      <c r="T709" s="20">
        <f>IF(S709=1,COUNTIF($S$5:S709,1),"")</f>
        <v/>
      </c>
      <c r="U709">
        <f>IF(AND($A709&lt;&gt;"",$B709&lt;&gt;"",$R709='تقرير الفصل الأول'!$C$4,$Q709='تقرير الفصل الأول'!$C$7),COUNT(U$4:U708)+1,"")</f>
        <v/>
      </c>
      <c r="V709">
        <f>IF(AND($A709&lt;&gt;"",$B709&lt;&gt;"",$R709='تقرير الفصل الثاني'!$C$4,$Q709='تقرير الفصل الثاني'!$C$7),COUNT(V$4:V708)+1,"")</f>
        <v/>
      </c>
      <c r="W709">
        <f>IF(AND($A709&lt;&gt;"",$B709&lt;&gt;"",$R709='تقرير سبتمبر'!$C$4,$P709='تقرير سبتمبر'!$C$6),COUNT(W$4:W708)+1,"")</f>
        <v/>
      </c>
      <c r="X709">
        <f>IF(AND($A709&lt;&gt;"",$B709&lt;&gt;"",$R709='تقرير أكتوبر'!$C$4,$P709='تقرير أكتوبر'!$C$6),COUNT(X$4:X708)+1,"")</f>
        <v/>
      </c>
      <c r="Y709">
        <f>IF(AND($A709&lt;&gt;"",$B709&lt;&gt;"",$R709='تقرير نوفمبر'!$C$4,$P709='تقرير نوفمبر'!$C$6),COUNT(Y$4:Y708)+1,"")</f>
        <v/>
      </c>
      <c r="Z709">
        <f>IF(AND($A709&lt;&gt;"",$B709&lt;&gt;"",$R709='تقرير ديسمبر'!$C$4,$P709='تقرير ديسمبر'!$C$6),COUNT(Z$4:Z708)+1,"")</f>
        <v/>
      </c>
      <c r="AA709">
        <f>IF(AND($A709&lt;&gt;"",$B709&lt;&gt;"",$R709='تقرير يناير'!$C$4,$P709='تقرير يناير'!$C$6),COUNT(AA$4:AA708)+1,"")</f>
        <v/>
      </c>
      <c r="AB709">
        <f>IF(AND($A709&lt;&gt;"",$B709&lt;&gt;"",$R709='تقرير فبراير'!$C$4,$P709='تقرير فبراير'!$C$6),COUNT(AB$4:AB708)+1,"")</f>
        <v/>
      </c>
      <c r="AC709">
        <f>IF(AND($A709&lt;&gt;"",$B709&lt;&gt;"",$R709='تقرير مارس'!$C$4,$P709='تقرير مارس'!$C$6),COUNT(AC$4:AC708)+1,"")</f>
        <v/>
      </c>
      <c r="AD709">
        <f>IF(AND($A709&lt;&gt;"",$B709&lt;&gt;"",$R709='تقرير أبريل'!$C$4,$P709='تقرير أبريل'!$C$6),COUNT(AD$4:AD708)+1,"")</f>
        <v/>
      </c>
      <c r="AE709">
        <f>IF(AND($A709&lt;&gt;"",$B709&lt;&gt;"",$R709='تقرير مايو'!$C$4,$P709='تقرير مايو'!$C$6),COUNT(AE$4:AE708)+1,"")</f>
        <v/>
      </c>
    </row>
    <row r="710">
      <c r="A710" s="16" t="n"/>
      <c r="B710" s="17" t="n"/>
      <c r="C710" s="17" t="n"/>
      <c r="D710" s="18" t="n"/>
      <c r="E710" s="17" t="n"/>
      <c r="F710" s="17" t="n"/>
      <c r="G710" s="19" t="n"/>
      <c r="H710" s="17" t="n"/>
      <c r="I710" s="17" t="n"/>
      <c r="J710" s="17" t="n"/>
      <c r="K710" s="20">
        <f>IF($B710="","",IFERROR(INDEX(الموظفات!$A$5:$A$304,MATCH($B710,الموظفات!$B$5:$B$304,0))&amp;"",""))</f>
        <v/>
      </c>
      <c r="L710" s="21">
        <f>IF($B710="","",IFERROR(INDEX(الموظفات!$C$5:$C$304,MATCH($B710,الموظفات!$B$5:$B$304,0))&amp;"",""))</f>
        <v/>
      </c>
      <c r="M710" s="20">
        <f>IF($B710="","",IFERROR(INDEX(الموظفات!$D$5:$D$304,MATCH($B710,الموظفات!$B$5:$B$304,0))&amp;"",""))</f>
        <v/>
      </c>
      <c r="N710" s="20">
        <f>IF($B710="","",IFERROR(INDEX(الموظفات!$E$5:$E$304,MATCH($B710,الموظفات!$B$5:$B$304,0))&amp;"",""))</f>
        <v/>
      </c>
      <c r="O710" s="21">
        <f>IF(C710="","",IFERROR(INDEX(الإعدادات!$D$7:$D$35,MATCH(C710,الإعدادات!$A$7:$A$35,0))&amp;"",""))</f>
        <v/>
      </c>
      <c r="P710" s="20">
        <f>IF(A710="","",INDEX(الإعدادات!$H$7:$H$18,MONTH(A710)))</f>
        <v/>
      </c>
      <c r="Q710" s="20">
        <f>IF(A710="","",INDEX(الإعدادات!$I$7:$I$18,MONTH(A710)))</f>
        <v/>
      </c>
      <c r="R710" s="20">
        <f>IF(A710="","",IF(MONTH(A710)&gt;=8,YEAR(A710)&amp;"-"&amp;(YEAR(A710)+1),(YEAR(A710)-1)&amp;"-"&amp;YEAR(A710)))</f>
        <v/>
      </c>
      <c r="S710" s="20">
        <f>IF(OR(A710="",B710=""),0,IF(AND(R710=التقارير!$C$4,OR(التقارير!$C$5="سنوي",AND(التقارير!$C$5="شهري",P710=التقارير!$C$6),AND(التقارير!$C$5="فصلي",Q710=التقارير!$C$7))),1,0))</f>
        <v/>
      </c>
      <c r="T710" s="20">
        <f>IF(S710=1,COUNTIF($S$5:S710,1),"")</f>
        <v/>
      </c>
      <c r="U710">
        <f>IF(AND($A710&lt;&gt;"",$B710&lt;&gt;"",$R710='تقرير الفصل الأول'!$C$4,$Q710='تقرير الفصل الأول'!$C$7),COUNT(U$4:U709)+1,"")</f>
        <v/>
      </c>
      <c r="V710">
        <f>IF(AND($A710&lt;&gt;"",$B710&lt;&gt;"",$R710='تقرير الفصل الثاني'!$C$4,$Q710='تقرير الفصل الثاني'!$C$7),COUNT(V$4:V709)+1,"")</f>
        <v/>
      </c>
      <c r="W710">
        <f>IF(AND($A710&lt;&gt;"",$B710&lt;&gt;"",$R710='تقرير سبتمبر'!$C$4,$P710='تقرير سبتمبر'!$C$6),COUNT(W$4:W709)+1,"")</f>
        <v/>
      </c>
      <c r="X710">
        <f>IF(AND($A710&lt;&gt;"",$B710&lt;&gt;"",$R710='تقرير أكتوبر'!$C$4,$P710='تقرير أكتوبر'!$C$6),COUNT(X$4:X709)+1,"")</f>
        <v/>
      </c>
      <c r="Y710">
        <f>IF(AND($A710&lt;&gt;"",$B710&lt;&gt;"",$R710='تقرير نوفمبر'!$C$4,$P710='تقرير نوفمبر'!$C$6),COUNT(Y$4:Y709)+1,"")</f>
        <v/>
      </c>
      <c r="Z710">
        <f>IF(AND($A710&lt;&gt;"",$B710&lt;&gt;"",$R710='تقرير ديسمبر'!$C$4,$P710='تقرير ديسمبر'!$C$6),COUNT(Z$4:Z709)+1,"")</f>
        <v/>
      </c>
      <c r="AA710">
        <f>IF(AND($A710&lt;&gt;"",$B710&lt;&gt;"",$R710='تقرير يناير'!$C$4,$P710='تقرير يناير'!$C$6),COUNT(AA$4:AA709)+1,"")</f>
        <v/>
      </c>
      <c r="AB710">
        <f>IF(AND($A710&lt;&gt;"",$B710&lt;&gt;"",$R710='تقرير فبراير'!$C$4,$P710='تقرير فبراير'!$C$6),COUNT(AB$4:AB709)+1,"")</f>
        <v/>
      </c>
      <c r="AC710">
        <f>IF(AND($A710&lt;&gt;"",$B710&lt;&gt;"",$R710='تقرير مارس'!$C$4,$P710='تقرير مارس'!$C$6),COUNT(AC$4:AC709)+1,"")</f>
        <v/>
      </c>
      <c r="AD710">
        <f>IF(AND($A710&lt;&gt;"",$B710&lt;&gt;"",$R710='تقرير أبريل'!$C$4,$P710='تقرير أبريل'!$C$6),COUNT(AD$4:AD709)+1,"")</f>
        <v/>
      </c>
      <c r="AE710">
        <f>IF(AND($A710&lt;&gt;"",$B710&lt;&gt;"",$R710='تقرير مايو'!$C$4,$P710='تقرير مايو'!$C$6),COUNT(AE$4:AE709)+1,"")</f>
        <v/>
      </c>
    </row>
    <row r="711">
      <c r="A711" s="16" t="n"/>
      <c r="B711" s="17" t="n"/>
      <c r="C711" s="17" t="n"/>
      <c r="D711" s="18" t="n"/>
      <c r="E711" s="17" t="n"/>
      <c r="F711" s="17" t="n"/>
      <c r="G711" s="19" t="n"/>
      <c r="H711" s="17" t="n"/>
      <c r="I711" s="17" t="n"/>
      <c r="J711" s="17" t="n"/>
      <c r="K711" s="20">
        <f>IF($B711="","",IFERROR(INDEX(الموظفات!$A$5:$A$304,MATCH($B711,الموظفات!$B$5:$B$304,0))&amp;"",""))</f>
        <v/>
      </c>
      <c r="L711" s="21">
        <f>IF($B711="","",IFERROR(INDEX(الموظفات!$C$5:$C$304,MATCH($B711,الموظفات!$B$5:$B$304,0))&amp;"",""))</f>
        <v/>
      </c>
      <c r="M711" s="20">
        <f>IF($B711="","",IFERROR(INDEX(الموظفات!$D$5:$D$304,MATCH($B711,الموظفات!$B$5:$B$304,0))&amp;"",""))</f>
        <v/>
      </c>
      <c r="N711" s="20">
        <f>IF($B711="","",IFERROR(INDEX(الموظفات!$E$5:$E$304,MATCH($B711,الموظفات!$B$5:$B$304,0))&amp;"",""))</f>
        <v/>
      </c>
      <c r="O711" s="21">
        <f>IF(C711="","",IFERROR(INDEX(الإعدادات!$D$7:$D$35,MATCH(C711,الإعدادات!$A$7:$A$35,0))&amp;"",""))</f>
        <v/>
      </c>
      <c r="P711" s="20">
        <f>IF(A711="","",INDEX(الإعدادات!$H$7:$H$18,MONTH(A711)))</f>
        <v/>
      </c>
      <c r="Q711" s="20">
        <f>IF(A711="","",INDEX(الإعدادات!$I$7:$I$18,MONTH(A711)))</f>
        <v/>
      </c>
      <c r="R711" s="20">
        <f>IF(A711="","",IF(MONTH(A711)&gt;=8,YEAR(A711)&amp;"-"&amp;(YEAR(A711)+1),(YEAR(A711)-1)&amp;"-"&amp;YEAR(A711)))</f>
        <v/>
      </c>
      <c r="S711" s="20">
        <f>IF(OR(A711="",B711=""),0,IF(AND(R711=التقارير!$C$4,OR(التقارير!$C$5="سنوي",AND(التقارير!$C$5="شهري",P711=التقارير!$C$6),AND(التقارير!$C$5="فصلي",Q711=التقارير!$C$7))),1,0))</f>
        <v/>
      </c>
      <c r="T711" s="20">
        <f>IF(S711=1,COUNTIF($S$5:S711,1),"")</f>
        <v/>
      </c>
      <c r="U711">
        <f>IF(AND($A711&lt;&gt;"",$B711&lt;&gt;"",$R711='تقرير الفصل الأول'!$C$4,$Q711='تقرير الفصل الأول'!$C$7),COUNT(U$4:U710)+1,"")</f>
        <v/>
      </c>
      <c r="V711">
        <f>IF(AND($A711&lt;&gt;"",$B711&lt;&gt;"",$R711='تقرير الفصل الثاني'!$C$4,$Q711='تقرير الفصل الثاني'!$C$7),COUNT(V$4:V710)+1,"")</f>
        <v/>
      </c>
      <c r="W711">
        <f>IF(AND($A711&lt;&gt;"",$B711&lt;&gt;"",$R711='تقرير سبتمبر'!$C$4,$P711='تقرير سبتمبر'!$C$6),COUNT(W$4:W710)+1,"")</f>
        <v/>
      </c>
      <c r="X711">
        <f>IF(AND($A711&lt;&gt;"",$B711&lt;&gt;"",$R711='تقرير أكتوبر'!$C$4,$P711='تقرير أكتوبر'!$C$6),COUNT(X$4:X710)+1,"")</f>
        <v/>
      </c>
      <c r="Y711">
        <f>IF(AND($A711&lt;&gt;"",$B711&lt;&gt;"",$R711='تقرير نوفمبر'!$C$4,$P711='تقرير نوفمبر'!$C$6),COUNT(Y$4:Y710)+1,"")</f>
        <v/>
      </c>
      <c r="Z711">
        <f>IF(AND($A711&lt;&gt;"",$B711&lt;&gt;"",$R711='تقرير ديسمبر'!$C$4,$P711='تقرير ديسمبر'!$C$6),COUNT(Z$4:Z710)+1,"")</f>
        <v/>
      </c>
      <c r="AA711">
        <f>IF(AND($A711&lt;&gt;"",$B711&lt;&gt;"",$R711='تقرير يناير'!$C$4,$P711='تقرير يناير'!$C$6),COUNT(AA$4:AA710)+1,"")</f>
        <v/>
      </c>
      <c r="AB711">
        <f>IF(AND($A711&lt;&gt;"",$B711&lt;&gt;"",$R711='تقرير فبراير'!$C$4,$P711='تقرير فبراير'!$C$6),COUNT(AB$4:AB710)+1,"")</f>
        <v/>
      </c>
      <c r="AC711">
        <f>IF(AND($A711&lt;&gt;"",$B711&lt;&gt;"",$R711='تقرير مارس'!$C$4,$P711='تقرير مارس'!$C$6),COUNT(AC$4:AC710)+1,"")</f>
        <v/>
      </c>
      <c r="AD711">
        <f>IF(AND($A711&lt;&gt;"",$B711&lt;&gt;"",$R711='تقرير أبريل'!$C$4,$P711='تقرير أبريل'!$C$6),COUNT(AD$4:AD710)+1,"")</f>
        <v/>
      </c>
      <c r="AE711">
        <f>IF(AND($A711&lt;&gt;"",$B711&lt;&gt;"",$R711='تقرير مايو'!$C$4,$P711='تقرير مايو'!$C$6),COUNT(AE$4:AE710)+1,"")</f>
        <v/>
      </c>
    </row>
    <row r="712">
      <c r="A712" s="16" t="n"/>
      <c r="B712" s="17" t="n"/>
      <c r="C712" s="17" t="n"/>
      <c r="D712" s="18" t="n"/>
      <c r="E712" s="17" t="n"/>
      <c r="F712" s="17" t="n"/>
      <c r="G712" s="19" t="n"/>
      <c r="H712" s="17" t="n"/>
      <c r="I712" s="17" t="n"/>
      <c r="J712" s="17" t="n"/>
      <c r="K712" s="20">
        <f>IF($B712="","",IFERROR(INDEX(الموظفات!$A$5:$A$304,MATCH($B712,الموظفات!$B$5:$B$304,0))&amp;"",""))</f>
        <v/>
      </c>
      <c r="L712" s="21">
        <f>IF($B712="","",IFERROR(INDEX(الموظفات!$C$5:$C$304,MATCH($B712,الموظفات!$B$5:$B$304,0))&amp;"",""))</f>
        <v/>
      </c>
      <c r="M712" s="20">
        <f>IF($B712="","",IFERROR(INDEX(الموظفات!$D$5:$D$304,MATCH($B712,الموظفات!$B$5:$B$304,0))&amp;"",""))</f>
        <v/>
      </c>
      <c r="N712" s="20">
        <f>IF($B712="","",IFERROR(INDEX(الموظفات!$E$5:$E$304,MATCH($B712,الموظفات!$B$5:$B$304,0))&amp;"",""))</f>
        <v/>
      </c>
      <c r="O712" s="21">
        <f>IF(C712="","",IFERROR(INDEX(الإعدادات!$D$7:$D$35,MATCH(C712,الإعدادات!$A$7:$A$35,0))&amp;"",""))</f>
        <v/>
      </c>
      <c r="P712" s="20">
        <f>IF(A712="","",INDEX(الإعدادات!$H$7:$H$18,MONTH(A712)))</f>
        <v/>
      </c>
      <c r="Q712" s="20">
        <f>IF(A712="","",INDEX(الإعدادات!$I$7:$I$18,MONTH(A712)))</f>
        <v/>
      </c>
      <c r="R712" s="20">
        <f>IF(A712="","",IF(MONTH(A712)&gt;=8,YEAR(A712)&amp;"-"&amp;(YEAR(A712)+1),(YEAR(A712)-1)&amp;"-"&amp;YEAR(A712)))</f>
        <v/>
      </c>
      <c r="S712" s="20">
        <f>IF(OR(A712="",B712=""),0,IF(AND(R712=التقارير!$C$4,OR(التقارير!$C$5="سنوي",AND(التقارير!$C$5="شهري",P712=التقارير!$C$6),AND(التقارير!$C$5="فصلي",Q712=التقارير!$C$7))),1,0))</f>
        <v/>
      </c>
      <c r="T712" s="20">
        <f>IF(S712=1,COUNTIF($S$5:S712,1),"")</f>
        <v/>
      </c>
      <c r="U712">
        <f>IF(AND($A712&lt;&gt;"",$B712&lt;&gt;"",$R712='تقرير الفصل الأول'!$C$4,$Q712='تقرير الفصل الأول'!$C$7),COUNT(U$4:U711)+1,"")</f>
        <v/>
      </c>
      <c r="V712">
        <f>IF(AND($A712&lt;&gt;"",$B712&lt;&gt;"",$R712='تقرير الفصل الثاني'!$C$4,$Q712='تقرير الفصل الثاني'!$C$7),COUNT(V$4:V711)+1,"")</f>
        <v/>
      </c>
      <c r="W712">
        <f>IF(AND($A712&lt;&gt;"",$B712&lt;&gt;"",$R712='تقرير سبتمبر'!$C$4,$P712='تقرير سبتمبر'!$C$6),COUNT(W$4:W711)+1,"")</f>
        <v/>
      </c>
      <c r="X712">
        <f>IF(AND($A712&lt;&gt;"",$B712&lt;&gt;"",$R712='تقرير أكتوبر'!$C$4,$P712='تقرير أكتوبر'!$C$6),COUNT(X$4:X711)+1,"")</f>
        <v/>
      </c>
      <c r="Y712">
        <f>IF(AND($A712&lt;&gt;"",$B712&lt;&gt;"",$R712='تقرير نوفمبر'!$C$4,$P712='تقرير نوفمبر'!$C$6),COUNT(Y$4:Y711)+1,"")</f>
        <v/>
      </c>
      <c r="Z712">
        <f>IF(AND($A712&lt;&gt;"",$B712&lt;&gt;"",$R712='تقرير ديسمبر'!$C$4,$P712='تقرير ديسمبر'!$C$6),COUNT(Z$4:Z711)+1,"")</f>
        <v/>
      </c>
      <c r="AA712">
        <f>IF(AND($A712&lt;&gt;"",$B712&lt;&gt;"",$R712='تقرير يناير'!$C$4,$P712='تقرير يناير'!$C$6),COUNT(AA$4:AA711)+1,"")</f>
        <v/>
      </c>
      <c r="AB712">
        <f>IF(AND($A712&lt;&gt;"",$B712&lt;&gt;"",$R712='تقرير فبراير'!$C$4,$P712='تقرير فبراير'!$C$6),COUNT(AB$4:AB711)+1,"")</f>
        <v/>
      </c>
      <c r="AC712">
        <f>IF(AND($A712&lt;&gt;"",$B712&lt;&gt;"",$R712='تقرير مارس'!$C$4,$P712='تقرير مارس'!$C$6),COUNT(AC$4:AC711)+1,"")</f>
        <v/>
      </c>
      <c r="AD712">
        <f>IF(AND($A712&lt;&gt;"",$B712&lt;&gt;"",$R712='تقرير أبريل'!$C$4,$P712='تقرير أبريل'!$C$6),COUNT(AD$4:AD711)+1,"")</f>
        <v/>
      </c>
      <c r="AE712">
        <f>IF(AND($A712&lt;&gt;"",$B712&lt;&gt;"",$R712='تقرير مايو'!$C$4,$P712='تقرير مايو'!$C$6),COUNT(AE$4:AE711)+1,"")</f>
        <v/>
      </c>
    </row>
    <row r="713">
      <c r="A713" s="16" t="n"/>
      <c r="B713" s="17" t="n"/>
      <c r="C713" s="17" t="n"/>
      <c r="D713" s="18" t="n"/>
      <c r="E713" s="17" t="n"/>
      <c r="F713" s="17" t="n"/>
      <c r="G713" s="19" t="n"/>
      <c r="H713" s="17" t="n"/>
      <c r="I713" s="17" t="n"/>
      <c r="J713" s="17" t="n"/>
      <c r="K713" s="20">
        <f>IF($B713="","",IFERROR(INDEX(الموظفات!$A$5:$A$304,MATCH($B713,الموظفات!$B$5:$B$304,0))&amp;"",""))</f>
        <v/>
      </c>
      <c r="L713" s="21">
        <f>IF($B713="","",IFERROR(INDEX(الموظفات!$C$5:$C$304,MATCH($B713,الموظفات!$B$5:$B$304,0))&amp;"",""))</f>
        <v/>
      </c>
      <c r="M713" s="20">
        <f>IF($B713="","",IFERROR(INDEX(الموظفات!$D$5:$D$304,MATCH($B713,الموظفات!$B$5:$B$304,0))&amp;"",""))</f>
        <v/>
      </c>
      <c r="N713" s="20">
        <f>IF($B713="","",IFERROR(INDEX(الموظفات!$E$5:$E$304,MATCH($B713,الموظفات!$B$5:$B$304,0))&amp;"",""))</f>
        <v/>
      </c>
      <c r="O713" s="21">
        <f>IF(C713="","",IFERROR(INDEX(الإعدادات!$D$7:$D$35,MATCH(C713,الإعدادات!$A$7:$A$35,0))&amp;"",""))</f>
        <v/>
      </c>
      <c r="P713" s="20">
        <f>IF(A713="","",INDEX(الإعدادات!$H$7:$H$18,MONTH(A713)))</f>
        <v/>
      </c>
      <c r="Q713" s="20">
        <f>IF(A713="","",INDEX(الإعدادات!$I$7:$I$18,MONTH(A713)))</f>
        <v/>
      </c>
      <c r="R713" s="20">
        <f>IF(A713="","",IF(MONTH(A713)&gt;=8,YEAR(A713)&amp;"-"&amp;(YEAR(A713)+1),(YEAR(A713)-1)&amp;"-"&amp;YEAR(A713)))</f>
        <v/>
      </c>
      <c r="S713" s="20">
        <f>IF(OR(A713="",B713=""),0,IF(AND(R713=التقارير!$C$4,OR(التقارير!$C$5="سنوي",AND(التقارير!$C$5="شهري",P713=التقارير!$C$6),AND(التقارير!$C$5="فصلي",Q713=التقارير!$C$7))),1,0))</f>
        <v/>
      </c>
      <c r="T713" s="20">
        <f>IF(S713=1,COUNTIF($S$5:S713,1),"")</f>
        <v/>
      </c>
      <c r="U713">
        <f>IF(AND($A713&lt;&gt;"",$B713&lt;&gt;"",$R713='تقرير الفصل الأول'!$C$4,$Q713='تقرير الفصل الأول'!$C$7),COUNT(U$4:U712)+1,"")</f>
        <v/>
      </c>
      <c r="V713">
        <f>IF(AND($A713&lt;&gt;"",$B713&lt;&gt;"",$R713='تقرير الفصل الثاني'!$C$4,$Q713='تقرير الفصل الثاني'!$C$7),COUNT(V$4:V712)+1,"")</f>
        <v/>
      </c>
      <c r="W713">
        <f>IF(AND($A713&lt;&gt;"",$B713&lt;&gt;"",$R713='تقرير سبتمبر'!$C$4,$P713='تقرير سبتمبر'!$C$6),COUNT(W$4:W712)+1,"")</f>
        <v/>
      </c>
      <c r="X713">
        <f>IF(AND($A713&lt;&gt;"",$B713&lt;&gt;"",$R713='تقرير أكتوبر'!$C$4,$P713='تقرير أكتوبر'!$C$6),COUNT(X$4:X712)+1,"")</f>
        <v/>
      </c>
      <c r="Y713">
        <f>IF(AND($A713&lt;&gt;"",$B713&lt;&gt;"",$R713='تقرير نوفمبر'!$C$4,$P713='تقرير نوفمبر'!$C$6),COUNT(Y$4:Y712)+1,"")</f>
        <v/>
      </c>
      <c r="Z713">
        <f>IF(AND($A713&lt;&gt;"",$B713&lt;&gt;"",$R713='تقرير ديسمبر'!$C$4,$P713='تقرير ديسمبر'!$C$6),COUNT(Z$4:Z712)+1,"")</f>
        <v/>
      </c>
      <c r="AA713">
        <f>IF(AND($A713&lt;&gt;"",$B713&lt;&gt;"",$R713='تقرير يناير'!$C$4,$P713='تقرير يناير'!$C$6),COUNT(AA$4:AA712)+1,"")</f>
        <v/>
      </c>
      <c r="AB713">
        <f>IF(AND($A713&lt;&gt;"",$B713&lt;&gt;"",$R713='تقرير فبراير'!$C$4,$P713='تقرير فبراير'!$C$6),COUNT(AB$4:AB712)+1,"")</f>
        <v/>
      </c>
      <c r="AC713">
        <f>IF(AND($A713&lt;&gt;"",$B713&lt;&gt;"",$R713='تقرير مارس'!$C$4,$P713='تقرير مارس'!$C$6),COUNT(AC$4:AC712)+1,"")</f>
        <v/>
      </c>
      <c r="AD713">
        <f>IF(AND($A713&lt;&gt;"",$B713&lt;&gt;"",$R713='تقرير أبريل'!$C$4,$P713='تقرير أبريل'!$C$6),COUNT(AD$4:AD712)+1,"")</f>
        <v/>
      </c>
      <c r="AE713">
        <f>IF(AND($A713&lt;&gt;"",$B713&lt;&gt;"",$R713='تقرير مايو'!$C$4,$P713='تقرير مايو'!$C$6),COUNT(AE$4:AE712)+1,"")</f>
        <v/>
      </c>
    </row>
    <row r="714">
      <c r="A714" s="16" t="n"/>
      <c r="B714" s="17" t="n"/>
      <c r="C714" s="17" t="n"/>
      <c r="D714" s="18" t="n"/>
      <c r="E714" s="17" t="n"/>
      <c r="F714" s="17" t="n"/>
      <c r="G714" s="19" t="n"/>
      <c r="H714" s="17" t="n"/>
      <c r="I714" s="17" t="n"/>
      <c r="J714" s="17" t="n"/>
      <c r="K714" s="20">
        <f>IF($B714="","",IFERROR(INDEX(الموظفات!$A$5:$A$304,MATCH($B714,الموظفات!$B$5:$B$304,0))&amp;"",""))</f>
        <v/>
      </c>
      <c r="L714" s="21">
        <f>IF($B714="","",IFERROR(INDEX(الموظفات!$C$5:$C$304,MATCH($B714,الموظفات!$B$5:$B$304,0))&amp;"",""))</f>
        <v/>
      </c>
      <c r="M714" s="20">
        <f>IF($B714="","",IFERROR(INDEX(الموظفات!$D$5:$D$304,MATCH($B714,الموظفات!$B$5:$B$304,0))&amp;"",""))</f>
        <v/>
      </c>
      <c r="N714" s="20">
        <f>IF($B714="","",IFERROR(INDEX(الموظفات!$E$5:$E$304,MATCH($B714,الموظفات!$B$5:$B$304,0))&amp;"",""))</f>
        <v/>
      </c>
      <c r="O714" s="21">
        <f>IF(C714="","",IFERROR(INDEX(الإعدادات!$D$7:$D$35,MATCH(C714,الإعدادات!$A$7:$A$35,0))&amp;"",""))</f>
        <v/>
      </c>
      <c r="P714" s="20">
        <f>IF(A714="","",INDEX(الإعدادات!$H$7:$H$18,MONTH(A714)))</f>
        <v/>
      </c>
      <c r="Q714" s="20">
        <f>IF(A714="","",INDEX(الإعدادات!$I$7:$I$18,MONTH(A714)))</f>
        <v/>
      </c>
      <c r="R714" s="20">
        <f>IF(A714="","",IF(MONTH(A714)&gt;=8,YEAR(A714)&amp;"-"&amp;(YEAR(A714)+1),(YEAR(A714)-1)&amp;"-"&amp;YEAR(A714)))</f>
        <v/>
      </c>
      <c r="S714" s="20">
        <f>IF(OR(A714="",B714=""),0,IF(AND(R714=التقارير!$C$4,OR(التقارير!$C$5="سنوي",AND(التقارير!$C$5="شهري",P714=التقارير!$C$6),AND(التقارير!$C$5="فصلي",Q714=التقارير!$C$7))),1,0))</f>
        <v/>
      </c>
      <c r="T714" s="20">
        <f>IF(S714=1,COUNTIF($S$5:S714,1),"")</f>
        <v/>
      </c>
      <c r="U714">
        <f>IF(AND($A714&lt;&gt;"",$B714&lt;&gt;"",$R714='تقرير الفصل الأول'!$C$4,$Q714='تقرير الفصل الأول'!$C$7),COUNT(U$4:U713)+1,"")</f>
        <v/>
      </c>
      <c r="V714">
        <f>IF(AND($A714&lt;&gt;"",$B714&lt;&gt;"",$R714='تقرير الفصل الثاني'!$C$4,$Q714='تقرير الفصل الثاني'!$C$7),COUNT(V$4:V713)+1,"")</f>
        <v/>
      </c>
      <c r="W714">
        <f>IF(AND($A714&lt;&gt;"",$B714&lt;&gt;"",$R714='تقرير سبتمبر'!$C$4,$P714='تقرير سبتمبر'!$C$6),COUNT(W$4:W713)+1,"")</f>
        <v/>
      </c>
      <c r="X714">
        <f>IF(AND($A714&lt;&gt;"",$B714&lt;&gt;"",$R714='تقرير أكتوبر'!$C$4,$P714='تقرير أكتوبر'!$C$6),COUNT(X$4:X713)+1,"")</f>
        <v/>
      </c>
      <c r="Y714">
        <f>IF(AND($A714&lt;&gt;"",$B714&lt;&gt;"",$R714='تقرير نوفمبر'!$C$4,$P714='تقرير نوفمبر'!$C$6),COUNT(Y$4:Y713)+1,"")</f>
        <v/>
      </c>
      <c r="Z714">
        <f>IF(AND($A714&lt;&gt;"",$B714&lt;&gt;"",$R714='تقرير ديسمبر'!$C$4,$P714='تقرير ديسمبر'!$C$6),COUNT(Z$4:Z713)+1,"")</f>
        <v/>
      </c>
      <c r="AA714">
        <f>IF(AND($A714&lt;&gt;"",$B714&lt;&gt;"",$R714='تقرير يناير'!$C$4,$P714='تقرير يناير'!$C$6),COUNT(AA$4:AA713)+1,"")</f>
        <v/>
      </c>
      <c r="AB714">
        <f>IF(AND($A714&lt;&gt;"",$B714&lt;&gt;"",$R714='تقرير فبراير'!$C$4,$P714='تقرير فبراير'!$C$6),COUNT(AB$4:AB713)+1,"")</f>
        <v/>
      </c>
      <c r="AC714">
        <f>IF(AND($A714&lt;&gt;"",$B714&lt;&gt;"",$R714='تقرير مارس'!$C$4,$P714='تقرير مارس'!$C$6),COUNT(AC$4:AC713)+1,"")</f>
        <v/>
      </c>
      <c r="AD714">
        <f>IF(AND($A714&lt;&gt;"",$B714&lt;&gt;"",$R714='تقرير أبريل'!$C$4,$P714='تقرير أبريل'!$C$6),COUNT(AD$4:AD713)+1,"")</f>
        <v/>
      </c>
      <c r="AE714">
        <f>IF(AND($A714&lt;&gt;"",$B714&lt;&gt;"",$R714='تقرير مايو'!$C$4,$P714='تقرير مايو'!$C$6),COUNT(AE$4:AE713)+1,"")</f>
        <v/>
      </c>
    </row>
    <row r="715">
      <c r="A715" s="16" t="n"/>
      <c r="B715" s="17" t="n"/>
      <c r="C715" s="17" t="n"/>
      <c r="D715" s="18" t="n"/>
      <c r="E715" s="17" t="n"/>
      <c r="F715" s="17" t="n"/>
      <c r="G715" s="19" t="n"/>
      <c r="H715" s="17" t="n"/>
      <c r="I715" s="17" t="n"/>
      <c r="J715" s="17" t="n"/>
      <c r="K715" s="20">
        <f>IF($B715="","",IFERROR(INDEX(الموظفات!$A$5:$A$304,MATCH($B715,الموظفات!$B$5:$B$304,0))&amp;"",""))</f>
        <v/>
      </c>
      <c r="L715" s="21">
        <f>IF($B715="","",IFERROR(INDEX(الموظفات!$C$5:$C$304,MATCH($B715,الموظفات!$B$5:$B$304,0))&amp;"",""))</f>
        <v/>
      </c>
      <c r="M715" s="20">
        <f>IF($B715="","",IFERROR(INDEX(الموظفات!$D$5:$D$304,MATCH($B715,الموظفات!$B$5:$B$304,0))&amp;"",""))</f>
        <v/>
      </c>
      <c r="N715" s="20">
        <f>IF($B715="","",IFERROR(INDEX(الموظفات!$E$5:$E$304,MATCH($B715,الموظفات!$B$5:$B$304,0))&amp;"",""))</f>
        <v/>
      </c>
      <c r="O715" s="21">
        <f>IF(C715="","",IFERROR(INDEX(الإعدادات!$D$7:$D$35,MATCH(C715,الإعدادات!$A$7:$A$35,0))&amp;"",""))</f>
        <v/>
      </c>
      <c r="P715" s="20">
        <f>IF(A715="","",INDEX(الإعدادات!$H$7:$H$18,MONTH(A715)))</f>
        <v/>
      </c>
      <c r="Q715" s="20">
        <f>IF(A715="","",INDEX(الإعدادات!$I$7:$I$18,MONTH(A715)))</f>
        <v/>
      </c>
      <c r="R715" s="20">
        <f>IF(A715="","",IF(MONTH(A715)&gt;=8,YEAR(A715)&amp;"-"&amp;(YEAR(A715)+1),(YEAR(A715)-1)&amp;"-"&amp;YEAR(A715)))</f>
        <v/>
      </c>
      <c r="S715" s="20">
        <f>IF(OR(A715="",B715=""),0,IF(AND(R715=التقارير!$C$4,OR(التقارير!$C$5="سنوي",AND(التقارير!$C$5="شهري",P715=التقارير!$C$6),AND(التقارير!$C$5="فصلي",Q715=التقارير!$C$7))),1,0))</f>
        <v/>
      </c>
      <c r="T715" s="20">
        <f>IF(S715=1,COUNTIF($S$5:S715,1),"")</f>
        <v/>
      </c>
      <c r="U715">
        <f>IF(AND($A715&lt;&gt;"",$B715&lt;&gt;"",$R715='تقرير الفصل الأول'!$C$4,$Q715='تقرير الفصل الأول'!$C$7),COUNT(U$4:U714)+1,"")</f>
        <v/>
      </c>
      <c r="V715">
        <f>IF(AND($A715&lt;&gt;"",$B715&lt;&gt;"",$R715='تقرير الفصل الثاني'!$C$4,$Q715='تقرير الفصل الثاني'!$C$7),COUNT(V$4:V714)+1,"")</f>
        <v/>
      </c>
      <c r="W715">
        <f>IF(AND($A715&lt;&gt;"",$B715&lt;&gt;"",$R715='تقرير سبتمبر'!$C$4,$P715='تقرير سبتمبر'!$C$6),COUNT(W$4:W714)+1,"")</f>
        <v/>
      </c>
      <c r="X715">
        <f>IF(AND($A715&lt;&gt;"",$B715&lt;&gt;"",$R715='تقرير أكتوبر'!$C$4,$P715='تقرير أكتوبر'!$C$6),COUNT(X$4:X714)+1,"")</f>
        <v/>
      </c>
      <c r="Y715">
        <f>IF(AND($A715&lt;&gt;"",$B715&lt;&gt;"",$R715='تقرير نوفمبر'!$C$4,$P715='تقرير نوفمبر'!$C$6),COUNT(Y$4:Y714)+1,"")</f>
        <v/>
      </c>
      <c r="Z715">
        <f>IF(AND($A715&lt;&gt;"",$B715&lt;&gt;"",$R715='تقرير ديسمبر'!$C$4,$P715='تقرير ديسمبر'!$C$6),COUNT(Z$4:Z714)+1,"")</f>
        <v/>
      </c>
      <c r="AA715">
        <f>IF(AND($A715&lt;&gt;"",$B715&lt;&gt;"",$R715='تقرير يناير'!$C$4,$P715='تقرير يناير'!$C$6),COUNT(AA$4:AA714)+1,"")</f>
        <v/>
      </c>
      <c r="AB715">
        <f>IF(AND($A715&lt;&gt;"",$B715&lt;&gt;"",$R715='تقرير فبراير'!$C$4,$P715='تقرير فبراير'!$C$6),COUNT(AB$4:AB714)+1,"")</f>
        <v/>
      </c>
      <c r="AC715">
        <f>IF(AND($A715&lt;&gt;"",$B715&lt;&gt;"",$R715='تقرير مارس'!$C$4,$P715='تقرير مارس'!$C$6),COUNT(AC$4:AC714)+1,"")</f>
        <v/>
      </c>
      <c r="AD715">
        <f>IF(AND($A715&lt;&gt;"",$B715&lt;&gt;"",$R715='تقرير أبريل'!$C$4,$P715='تقرير أبريل'!$C$6),COUNT(AD$4:AD714)+1,"")</f>
        <v/>
      </c>
      <c r="AE715">
        <f>IF(AND($A715&lt;&gt;"",$B715&lt;&gt;"",$R715='تقرير مايو'!$C$4,$P715='تقرير مايو'!$C$6),COUNT(AE$4:AE714)+1,"")</f>
        <v/>
      </c>
    </row>
    <row r="716">
      <c r="A716" s="16" t="n"/>
      <c r="B716" s="17" t="n"/>
      <c r="C716" s="17" t="n"/>
      <c r="D716" s="18" t="n"/>
      <c r="E716" s="17" t="n"/>
      <c r="F716" s="17" t="n"/>
      <c r="G716" s="19" t="n"/>
      <c r="H716" s="17" t="n"/>
      <c r="I716" s="17" t="n"/>
      <c r="J716" s="17" t="n"/>
      <c r="K716" s="20">
        <f>IF($B716="","",IFERROR(INDEX(الموظفات!$A$5:$A$304,MATCH($B716,الموظفات!$B$5:$B$304,0))&amp;"",""))</f>
        <v/>
      </c>
      <c r="L716" s="21">
        <f>IF($B716="","",IFERROR(INDEX(الموظفات!$C$5:$C$304,MATCH($B716,الموظفات!$B$5:$B$304,0))&amp;"",""))</f>
        <v/>
      </c>
      <c r="M716" s="20">
        <f>IF($B716="","",IFERROR(INDEX(الموظفات!$D$5:$D$304,MATCH($B716,الموظفات!$B$5:$B$304,0))&amp;"",""))</f>
        <v/>
      </c>
      <c r="N716" s="20">
        <f>IF($B716="","",IFERROR(INDEX(الموظفات!$E$5:$E$304,MATCH($B716,الموظفات!$B$5:$B$304,0))&amp;"",""))</f>
        <v/>
      </c>
      <c r="O716" s="21">
        <f>IF(C716="","",IFERROR(INDEX(الإعدادات!$D$7:$D$35,MATCH(C716,الإعدادات!$A$7:$A$35,0))&amp;"",""))</f>
        <v/>
      </c>
      <c r="P716" s="20">
        <f>IF(A716="","",INDEX(الإعدادات!$H$7:$H$18,MONTH(A716)))</f>
        <v/>
      </c>
      <c r="Q716" s="20">
        <f>IF(A716="","",INDEX(الإعدادات!$I$7:$I$18,MONTH(A716)))</f>
        <v/>
      </c>
      <c r="R716" s="20">
        <f>IF(A716="","",IF(MONTH(A716)&gt;=8,YEAR(A716)&amp;"-"&amp;(YEAR(A716)+1),(YEAR(A716)-1)&amp;"-"&amp;YEAR(A716)))</f>
        <v/>
      </c>
      <c r="S716" s="20">
        <f>IF(OR(A716="",B716=""),0,IF(AND(R716=التقارير!$C$4,OR(التقارير!$C$5="سنوي",AND(التقارير!$C$5="شهري",P716=التقارير!$C$6),AND(التقارير!$C$5="فصلي",Q716=التقارير!$C$7))),1,0))</f>
        <v/>
      </c>
      <c r="T716" s="20">
        <f>IF(S716=1,COUNTIF($S$5:S716,1),"")</f>
        <v/>
      </c>
      <c r="U716">
        <f>IF(AND($A716&lt;&gt;"",$B716&lt;&gt;"",$R716='تقرير الفصل الأول'!$C$4,$Q716='تقرير الفصل الأول'!$C$7),COUNT(U$4:U715)+1,"")</f>
        <v/>
      </c>
      <c r="V716">
        <f>IF(AND($A716&lt;&gt;"",$B716&lt;&gt;"",$R716='تقرير الفصل الثاني'!$C$4,$Q716='تقرير الفصل الثاني'!$C$7),COUNT(V$4:V715)+1,"")</f>
        <v/>
      </c>
      <c r="W716">
        <f>IF(AND($A716&lt;&gt;"",$B716&lt;&gt;"",$R716='تقرير سبتمبر'!$C$4,$P716='تقرير سبتمبر'!$C$6),COUNT(W$4:W715)+1,"")</f>
        <v/>
      </c>
      <c r="X716">
        <f>IF(AND($A716&lt;&gt;"",$B716&lt;&gt;"",$R716='تقرير أكتوبر'!$C$4,$P716='تقرير أكتوبر'!$C$6),COUNT(X$4:X715)+1,"")</f>
        <v/>
      </c>
      <c r="Y716">
        <f>IF(AND($A716&lt;&gt;"",$B716&lt;&gt;"",$R716='تقرير نوفمبر'!$C$4,$P716='تقرير نوفمبر'!$C$6),COUNT(Y$4:Y715)+1,"")</f>
        <v/>
      </c>
      <c r="Z716">
        <f>IF(AND($A716&lt;&gt;"",$B716&lt;&gt;"",$R716='تقرير ديسمبر'!$C$4,$P716='تقرير ديسمبر'!$C$6),COUNT(Z$4:Z715)+1,"")</f>
        <v/>
      </c>
      <c r="AA716">
        <f>IF(AND($A716&lt;&gt;"",$B716&lt;&gt;"",$R716='تقرير يناير'!$C$4,$P716='تقرير يناير'!$C$6),COUNT(AA$4:AA715)+1,"")</f>
        <v/>
      </c>
      <c r="AB716">
        <f>IF(AND($A716&lt;&gt;"",$B716&lt;&gt;"",$R716='تقرير فبراير'!$C$4,$P716='تقرير فبراير'!$C$6),COUNT(AB$4:AB715)+1,"")</f>
        <v/>
      </c>
      <c r="AC716">
        <f>IF(AND($A716&lt;&gt;"",$B716&lt;&gt;"",$R716='تقرير مارس'!$C$4,$P716='تقرير مارس'!$C$6),COUNT(AC$4:AC715)+1,"")</f>
        <v/>
      </c>
      <c r="AD716">
        <f>IF(AND($A716&lt;&gt;"",$B716&lt;&gt;"",$R716='تقرير أبريل'!$C$4,$P716='تقرير أبريل'!$C$6),COUNT(AD$4:AD715)+1,"")</f>
        <v/>
      </c>
      <c r="AE716">
        <f>IF(AND($A716&lt;&gt;"",$B716&lt;&gt;"",$R716='تقرير مايو'!$C$4,$P716='تقرير مايو'!$C$6),COUNT(AE$4:AE715)+1,"")</f>
        <v/>
      </c>
    </row>
    <row r="717">
      <c r="A717" s="16" t="n"/>
      <c r="B717" s="17" t="n"/>
      <c r="C717" s="17" t="n"/>
      <c r="D717" s="18" t="n"/>
      <c r="E717" s="17" t="n"/>
      <c r="F717" s="17" t="n"/>
      <c r="G717" s="19" t="n"/>
      <c r="H717" s="17" t="n"/>
      <c r="I717" s="17" t="n"/>
      <c r="J717" s="17" t="n"/>
      <c r="K717" s="20">
        <f>IF($B717="","",IFERROR(INDEX(الموظفات!$A$5:$A$304,MATCH($B717,الموظفات!$B$5:$B$304,0))&amp;"",""))</f>
        <v/>
      </c>
      <c r="L717" s="21">
        <f>IF($B717="","",IFERROR(INDEX(الموظفات!$C$5:$C$304,MATCH($B717,الموظفات!$B$5:$B$304,0))&amp;"",""))</f>
        <v/>
      </c>
      <c r="M717" s="20">
        <f>IF($B717="","",IFERROR(INDEX(الموظفات!$D$5:$D$304,MATCH($B717,الموظفات!$B$5:$B$304,0))&amp;"",""))</f>
        <v/>
      </c>
      <c r="N717" s="20">
        <f>IF($B717="","",IFERROR(INDEX(الموظفات!$E$5:$E$304,MATCH($B717,الموظفات!$B$5:$B$304,0))&amp;"",""))</f>
        <v/>
      </c>
      <c r="O717" s="21">
        <f>IF(C717="","",IFERROR(INDEX(الإعدادات!$D$7:$D$35,MATCH(C717,الإعدادات!$A$7:$A$35,0))&amp;"",""))</f>
        <v/>
      </c>
      <c r="P717" s="20">
        <f>IF(A717="","",INDEX(الإعدادات!$H$7:$H$18,MONTH(A717)))</f>
        <v/>
      </c>
      <c r="Q717" s="20">
        <f>IF(A717="","",INDEX(الإعدادات!$I$7:$I$18,MONTH(A717)))</f>
        <v/>
      </c>
      <c r="R717" s="20">
        <f>IF(A717="","",IF(MONTH(A717)&gt;=8,YEAR(A717)&amp;"-"&amp;(YEAR(A717)+1),(YEAR(A717)-1)&amp;"-"&amp;YEAR(A717)))</f>
        <v/>
      </c>
      <c r="S717" s="20">
        <f>IF(OR(A717="",B717=""),0,IF(AND(R717=التقارير!$C$4,OR(التقارير!$C$5="سنوي",AND(التقارير!$C$5="شهري",P717=التقارير!$C$6),AND(التقارير!$C$5="فصلي",Q717=التقارير!$C$7))),1,0))</f>
        <v/>
      </c>
      <c r="T717" s="20">
        <f>IF(S717=1,COUNTIF($S$5:S717,1),"")</f>
        <v/>
      </c>
      <c r="U717">
        <f>IF(AND($A717&lt;&gt;"",$B717&lt;&gt;"",$R717='تقرير الفصل الأول'!$C$4,$Q717='تقرير الفصل الأول'!$C$7),COUNT(U$4:U716)+1,"")</f>
        <v/>
      </c>
      <c r="V717">
        <f>IF(AND($A717&lt;&gt;"",$B717&lt;&gt;"",$R717='تقرير الفصل الثاني'!$C$4,$Q717='تقرير الفصل الثاني'!$C$7),COUNT(V$4:V716)+1,"")</f>
        <v/>
      </c>
      <c r="W717">
        <f>IF(AND($A717&lt;&gt;"",$B717&lt;&gt;"",$R717='تقرير سبتمبر'!$C$4,$P717='تقرير سبتمبر'!$C$6),COUNT(W$4:W716)+1,"")</f>
        <v/>
      </c>
      <c r="X717">
        <f>IF(AND($A717&lt;&gt;"",$B717&lt;&gt;"",$R717='تقرير أكتوبر'!$C$4,$P717='تقرير أكتوبر'!$C$6),COUNT(X$4:X716)+1,"")</f>
        <v/>
      </c>
      <c r="Y717">
        <f>IF(AND($A717&lt;&gt;"",$B717&lt;&gt;"",$R717='تقرير نوفمبر'!$C$4,$P717='تقرير نوفمبر'!$C$6),COUNT(Y$4:Y716)+1,"")</f>
        <v/>
      </c>
      <c r="Z717">
        <f>IF(AND($A717&lt;&gt;"",$B717&lt;&gt;"",$R717='تقرير ديسمبر'!$C$4,$P717='تقرير ديسمبر'!$C$6),COUNT(Z$4:Z716)+1,"")</f>
        <v/>
      </c>
      <c r="AA717">
        <f>IF(AND($A717&lt;&gt;"",$B717&lt;&gt;"",$R717='تقرير يناير'!$C$4,$P717='تقرير يناير'!$C$6),COUNT(AA$4:AA716)+1,"")</f>
        <v/>
      </c>
      <c r="AB717">
        <f>IF(AND($A717&lt;&gt;"",$B717&lt;&gt;"",$R717='تقرير فبراير'!$C$4,$P717='تقرير فبراير'!$C$6),COUNT(AB$4:AB716)+1,"")</f>
        <v/>
      </c>
      <c r="AC717">
        <f>IF(AND($A717&lt;&gt;"",$B717&lt;&gt;"",$R717='تقرير مارس'!$C$4,$P717='تقرير مارس'!$C$6),COUNT(AC$4:AC716)+1,"")</f>
        <v/>
      </c>
      <c r="AD717">
        <f>IF(AND($A717&lt;&gt;"",$B717&lt;&gt;"",$R717='تقرير أبريل'!$C$4,$P717='تقرير أبريل'!$C$6),COUNT(AD$4:AD716)+1,"")</f>
        <v/>
      </c>
      <c r="AE717">
        <f>IF(AND($A717&lt;&gt;"",$B717&lt;&gt;"",$R717='تقرير مايو'!$C$4,$P717='تقرير مايو'!$C$6),COUNT(AE$4:AE716)+1,"")</f>
        <v/>
      </c>
    </row>
    <row r="718">
      <c r="A718" s="16" t="n"/>
      <c r="B718" s="17" t="n"/>
      <c r="C718" s="17" t="n"/>
      <c r="D718" s="18" t="n"/>
      <c r="E718" s="17" t="n"/>
      <c r="F718" s="17" t="n"/>
      <c r="G718" s="19" t="n"/>
      <c r="H718" s="17" t="n"/>
      <c r="I718" s="17" t="n"/>
      <c r="J718" s="17" t="n"/>
      <c r="K718" s="20">
        <f>IF($B718="","",IFERROR(INDEX(الموظفات!$A$5:$A$304,MATCH($B718,الموظفات!$B$5:$B$304,0))&amp;"",""))</f>
        <v/>
      </c>
      <c r="L718" s="21">
        <f>IF($B718="","",IFERROR(INDEX(الموظفات!$C$5:$C$304,MATCH($B718,الموظفات!$B$5:$B$304,0))&amp;"",""))</f>
        <v/>
      </c>
      <c r="M718" s="20">
        <f>IF($B718="","",IFERROR(INDEX(الموظفات!$D$5:$D$304,MATCH($B718,الموظفات!$B$5:$B$304,0))&amp;"",""))</f>
        <v/>
      </c>
      <c r="N718" s="20">
        <f>IF($B718="","",IFERROR(INDEX(الموظفات!$E$5:$E$304,MATCH($B718,الموظفات!$B$5:$B$304,0))&amp;"",""))</f>
        <v/>
      </c>
      <c r="O718" s="21">
        <f>IF(C718="","",IFERROR(INDEX(الإعدادات!$D$7:$D$35,MATCH(C718,الإعدادات!$A$7:$A$35,0))&amp;"",""))</f>
        <v/>
      </c>
      <c r="P718" s="20">
        <f>IF(A718="","",INDEX(الإعدادات!$H$7:$H$18,MONTH(A718)))</f>
        <v/>
      </c>
      <c r="Q718" s="20">
        <f>IF(A718="","",INDEX(الإعدادات!$I$7:$I$18,MONTH(A718)))</f>
        <v/>
      </c>
      <c r="R718" s="20">
        <f>IF(A718="","",IF(MONTH(A718)&gt;=8,YEAR(A718)&amp;"-"&amp;(YEAR(A718)+1),(YEAR(A718)-1)&amp;"-"&amp;YEAR(A718)))</f>
        <v/>
      </c>
      <c r="S718" s="20">
        <f>IF(OR(A718="",B718=""),0,IF(AND(R718=التقارير!$C$4,OR(التقارير!$C$5="سنوي",AND(التقارير!$C$5="شهري",P718=التقارير!$C$6),AND(التقارير!$C$5="فصلي",Q718=التقارير!$C$7))),1,0))</f>
        <v/>
      </c>
      <c r="T718" s="20">
        <f>IF(S718=1,COUNTIF($S$5:S718,1),"")</f>
        <v/>
      </c>
      <c r="U718">
        <f>IF(AND($A718&lt;&gt;"",$B718&lt;&gt;"",$R718='تقرير الفصل الأول'!$C$4,$Q718='تقرير الفصل الأول'!$C$7),COUNT(U$4:U717)+1,"")</f>
        <v/>
      </c>
      <c r="V718">
        <f>IF(AND($A718&lt;&gt;"",$B718&lt;&gt;"",$R718='تقرير الفصل الثاني'!$C$4,$Q718='تقرير الفصل الثاني'!$C$7),COUNT(V$4:V717)+1,"")</f>
        <v/>
      </c>
      <c r="W718">
        <f>IF(AND($A718&lt;&gt;"",$B718&lt;&gt;"",$R718='تقرير سبتمبر'!$C$4,$P718='تقرير سبتمبر'!$C$6),COUNT(W$4:W717)+1,"")</f>
        <v/>
      </c>
      <c r="X718">
        <f>IF(AND($A718&lt;&gt;"",$B718&lt;&gt;"",$R718='تقرير أكتوبر'!$C$4,$P718='تقرير أكتوبر'!$C$6),COUNT(X$4:X717)+1,"")</f>
        <v/>
      </c>
      <c r="Y718">
        <f>IF(AND($A718&lt;&gt;"",$B718&lt;&gt;"",$R718='تقرير نوفمبر'!$C$4,$P718='تقرير نوفمبر'!$C$6),COUNT(Y$4:Y717)+1,"")</f>
        <v/>
      </c>
      <c r="Z718">
        <f>IF(AND($A718&lt;&gt;"",$B718&lt;&gt;"",$R718='تقرير ديسمبر'!$C$4,$P718='تقرير ديسمبر'!$C$6),COUNT(Z$4:Z717)+1,"")</f>
        <v/>
      </c>
      <c r="AA718">
        <f>IF(AND($A718&lt;&gt;"",$B718&lt;&gt;"",$R718='تقرير يناير'!$C$4,$P718='تقرير يناير'!$C$6),COUNT(AA$4:AA717)+1,"")</f>
        <v/>
      </c>
      <c r="AB718">
        <f>IF(AND($A718&lt;&gt;"",$B718&lt;&gt;"",$R718='تقرير فبراير'!$C$4,$P718='تقرير فبراير'!$C$6),COUNT(AB$4:AB717)+1,"")</f>
        <v/>
      </c>
      <c r="AC718">
        <f>IF(AND($A718&lt;&gt;"",$B718&lt;&gt;"",$R718='تقرير مارس'!$C$4,$P718='تقرير مارس'!$C$6),COUNT(AC$4:AC717)+1,"")</f>
        <v/>
      </c>
      <c r="AD718">
        <f>IF(AND($A718&lt;&gt;"",$B718&lt;&gt;"",$R718='تقرير أبريل'!$C$4,$P718='تقرير أبريل'!$C$6),COUNT(AD$4:AD717)+1,"")</f>
        <v/>
      </c>
      <c r="AE718">
        <f>IF(AND($A718&lt;&gt;"",$B718&lt;&gt;"",$R718='تقرير مايو'!$C$4,$P718='تقرير مايو'!$C$6),COUNT(AE$4:AE717)+1,"")</f>
        <v/>
      </c>
    </row>
    <row r="719">
      <c r="A719" s="16" t="n"/>
      <c r="B719" s="17" t="n"/>
      <c r="C719" s="17" t="n"/>
      <c r="D719" s="18" t="n"/>
      <c r="E719" s="17" t="n"/>
      <c r="F719" s="17" t="n"/>
      <c r="G719" s="19" t="n"/>
      <c r="H719" s="17" t="n"/>
      <c r="I719" s="17" t="n"/>
      <c r="J719" s="17" t="n"/>
      <c r="K719" s="20">
        <f>IF($B719="","",IFERROR(INDEX(الموظفات!$A$5:$A$304,MATCH($B719,الموظفات!$B$5:$B$304,0))&amp;"",""))</f>
        <v/>
      </c>
      <c r="L719" s="21">
        <f>IF($B719="","",IFERROR(INDEX(الموظفات!$C$5:$C$304,MATCH($B719,الموظفات!$B$5:$B$304,0))&amp;"",""))</f>
        <v/>
      </c>
      <c r="M719" s="20">
        <f>IF($B719="","",IFERROR(INDEX(الموظفات!$D$5:$D$304,MATCH($B719,الموظفات!$B$5:$B$304,0))&amp;"",""))</f>
        <v/>
      </c>
      <c r="N719" s="20">
        <f>IF($B719="","",IFERROR(INDEX(الموظفات!$E$5:$E$304,MATCH($B719,الموظفات!$B$5:$B$304,0))&amp;"",""))</f>
        <v/>
      </c>
      <c r="O719" s="21">
        <f>IF(C719="","",IFERROR(INDEX(الإعدادات!$D$7:$D$35,MATCH(C719,الإعدادات!$A$7:$A$35,0))&amp;"",""))</f>
        <v/>
      </c>
      <c r="P719" s="20">
        <f>IF(A719="","",INDEX(الإعدادات!$H$7:$H$18,MONTH(A719)))</f>
        <v/>
      </c>
      <c r="Q719" s="20">
        <f>IF(A719="","",INDEX(الإعدادات!$I$7:$I$18,MONTH(A719)))</f>
        <v/>
      </c>
      <c r="R719" s="20">
        <f>IF(A719="","",IF(MONTH(A719)&gt;=8,YEAR(A719)&amp;"-"&amp;(YEAR(A719)+1),(YEAR(A719)-1)&amp;"-"&amp;YEAR(A719)))</f>
        <v/>
      </c>
      <c r="S719" s="20">
        <f>IF(OR(A719="",B719=""),0,IF(AND(R719=التقارير!$C$4,OR(التقارير!$C$5="سنوي",AND(التقارير!$C$5="شهري",P719=التقارير!$C$6),AND(التقارير!$C$5="فصلي",Q719=التقارير!$C$7))),1,0))</f>
        <v/>
      </c>
      <c r="T719" s="20">
        <f>IF(S719=1,COUNTIF($S$5:S719,1),"")</f>
        <v/>
      </c>
      <c r="U719">
        <f>IF(AND($A719&lt;&gt;"",$B719&lt;&gt;"",$R719='تقرير الفصل الأول'!$C$4,$Q719='تقرير الفصل الأول'!$C$7),COUNT(U$4:U718)+1,"")</f>
        <v/>
      </c>
      <c r="V719">
        <f>IF(AND($A719&lt;&gt;"",$B719&lt;&gt;"",$R719='تقرير الفصل الثاني'!$C$4,$Q719='تقرير الفصل الثاني'!$C$7),COUNT(V$4:V718)+1,"")</f>
        <v/>
      </c>
      <c r="W719">
        <f>IF(AND($A719&lt;&gt;"",$B719&lt;&gt;"",$R719='تقرير سبتمبر'!$C$4,$P719='تقرير سبتمبر'!$C$6),COUNT(W$4:W718)+1,"")</f>
        <v/>
      </c>
      <c r="X719">
        <f>IF(AND($A719&lt;&gt;"",$B719&lt;&gt;"",$R719='تقرير أكتوبر'!$C$4,$P719='تقرير أكتوبر'!$C$6),COUNT(X$4:X718)+1,"")</f>
        <v/>
      </c>
      <c r="Y719">
        <f>IF(AND($A719&lt;&gt;"",$B719&lt;&gt;"",$R719='تقرير نوفمبر'!$C$4,$P719='تقرير نوفمبر'!$C$6),COUNT(Y$4:Y718)+1,"")</f>
        <v/>
      </c>
      <c r="Z719">
        <f>IF(AND($A719&lt;&gt;"",$B719&lt;&gt;"",$R719='تقرير ديسمبر'!$C$4,$P719='تقرير ديسمبر'!$C$6),COUNT(Z$4:Z718)+1,"")</f>
        <v/>
      </c>
      <c r="AA719">
        <f>IF(AND($A719&lt;&gt;"",$B719&lt;&gt;"",$R719='تقرير يناير'!$C$4,$P719='تقرير يناير'!$C$6),COUNT(AA$4:AA718)+1,"")</f>
        <v/>
      </c>
      <c r="AB719">
        <f>IF(AND($A719&lt;&gt;"",$B719&lt;&gt;"",$R719='تقرير فبراير'!$C$4,$P719='تقرير فبراير'!$C$6),COUNT(AB$4:AB718)+1,"")</f>
        <v/>
      </c>
      <c r="AC719">
        <f>IF(AND($A719&lt;&gt;"",$B719&lt;&gt;"",$R719='تقرير مارس'!$C$4,$P719='تقرير مارس'!$C$6),COUNT(AC$4:AC718)+1,"")</f>
        <v/>
      </c>
      <c r="AD719">
        <f>IF(AND($A719&lt;&gt;"",$B719&lt;&gt;"",$R719='تقرير أبريل'!$C$4,$P719='تقرير أبريل'!$C$6),COUNT(AD$4:AD718)+1,"")</f>
        <v/>
      </c>
      <c r="AE719">
        <f>IF(AND($A719&lt;&gt;"",$B719&lt;&gt;"",$R719='تقرير مايو'!$C$4,$P719='تقرير مايو'!$C$6),COUNT(AE$4:AE718)+1,"")</f>
        <v/>
      </c>
    </row>
    <row r="720">
      <c r="A720" s="16" t="n"/>
      <c r="B720" s="17" t="n"/>
      <c r="C720" s="17" t="n"/>
      <c r="D720" s="18" t="n"/>
      <c r="E720" s="17" t="n"/>
      <c r="F720" s="17" t="n"/>
      <c r="G720" s="19" t="n"/>
      <c r="H720" s="17" t="n"/>
      <c r="I720" s="17" t="n"/>
      <c r="J720" s="17" t="n"/>
      <c r="K720" s="20">
        <f>IF($B720="","",IFERROR(INDEX(الموظفات!$A$5:$A$304,MATCH($B720,الموظفات!$B$5:$B$304,0))&amp;"",""))</f>
        <v/>
      </c>
      <c r="L720" s="21">
        <f>IF($B720="","",IFERROR(INDEX(الموظفات!$C$5:$C$304,MATCH($B720,الموظفات!$B$5:$B$304,0))&amp;"",""))</f>
        <v/>
      </c>
      <c r="M720" s="20">
        <f>IF($B720="","",IFERROR(INDEX(الموظفات!$D$5:$D$304,MATCH($B720,الموظفات!$B$5:$B$304,0))&amp;"",""))</f>
        <v/>
      </c>
      <c r="N720" s="20">
        <f>IF($B720="","",IFERROR(INDEX(الموظفات!$E$5:$E$304,MATCH($B720,الموظفات!$B$5:$B$304,0))&amp;"",""))</f>
        <v/>
      </c>
      <c r="O720" s="21">
        <f>IF(C720="","",IFERROR(INDEX(الإعدادات!$D$7:$D$35,MATCH(C720,الإعدادات!$A$7:$A$35,0))&amp;"",""))</f>
        <v/>
      </c>
      <c r="P720" s="20">
        <f>IF(A720="","",INDEX(الإعدادات!$H$7:$H$18,MONTH(A720)))</f>
        <v/>
      </c>
      <c r="Q720" s="20">
        <f>IF(A720="","",INDEX(الإعدادات!$I$7:$I$18,MONTH(A720)))</f>
        <v/>
      </c>
      <c r="R720" s="20">
        <f>IF(A720="","",IF(MONTH(A720)&gt;=8,YEAR(A720)&amp;"-"&amp;(YEAR(A720)+1),(YEAR(A720)-1)&amp;"-"&amp;YEAR(A720)))</f>
        <v/>
      </c>
      <c r="S720" s="20">
        <f>IF(OR(A720="",B720=""),0,IF(AND(R720=التقارير!$C$4,OR(التقارير!$C$5="سنوي",AND(التقارير!$C$5="شهري",P720=التقارير!$C$6),AND(التقارير!$C$5="فصلي",Q720=التقارير!$C$7))),1,0))</f>
        <v/>
      </c>
      <c r="T720" s="20">
        <f>IF(S720=1,COUNTIF($S$5:S720,1),"")</f>
        <v/>
      </c>
      <c r="U720">
        <f>IF(AND($A720&lt;&gt;"",$B720&lt;&gt;"",$R720='تقرير الفصل الأول'!$C$4,$Q720='تقرير الفصل الأول'!$C$7),COUNT(U$4:U719)+1,"")</f>
        <v/>
      </c>
      <c r="V720">
        <f>IF(AND($A720&lt;&gt;"",$B720&lt;&gt;"",$R720='تقرير الفصل الثاني'!$C$4,$Q720='تقرير الفصل الثاني'!$C$7),COUNT(V$4:V719)+1,"")</f>
        <v/>
      </c>
      <c r="W720">
        <f>IF(AND($A720&lt;&gt;"",$B720&lt;&gt;"",$R720='تقرير سبتمبر'!$C$4,$P720='تقرير سبتمبر'!$C$6),COUNT(W$4:W719)+1,"")</f>
        <v/>
      </c>
      <c r="X720">
        <f>IF(AND($A720&lt;&gt;"",$B720&lt;&gt;"",$R720='تقرير أكتوبر'!$C$4,$P720='تقرير أكتوبر'!$C$6),COUNT(X$4:X719)+1,"")</f>
        <v/>
      </c>
      <c r="Y720">
        <f>IF(AND($A720&lt;&gt;"",$B720&lt;&gt;"",$R720='تقرير نوفمبر'!$C$4,$P720='تقرير نوفمبر'!$C$6),COUNT(Y$4:Y719)+1,"")</f>
        <v/>
      </c>
      <c r="Z720">
        <f>IF(AND($A720&lt;&gt;"",$B720&lt;&gt;"",$R720='تقرير ديسمبر'!$C$4,$P720='تقرير ديسمبر'!$C$6),COUNT(Z$4:Z719)+1,"")</f>
        <v/>
      </c>
      <c r="AA720">
        <f>IF(AND($A720&lt;&gt;"",$B720&lt;&gt;"",$R720='تقرير يناير'!$C$4,$P720='تقرير يناير'!$C$6),COUNT(AA$4:AA719)+1,"")</f>
        <v/>
      </c>
      <c r="AB720">
        <f>IF(AND($A720&lt;&gt;"",$B720&lt;&gt;"",$R720='تقرير فبراير'!$C$4,$P720='تقرير فبراير'!$C$6),COUNT(AB$4:AB719)+1,"")</f>
        <v/>
      </c>
      <c r="AC720">
        <f>IF(AND($A720&lt;&gt;"",$B720&lt;&gt;"",$R720='تقرير مارس'!$C$4,$P720='تقرير مارس'!$C$6),COUNT(AC$4:AC719)+1,"")</f>
        <v/>
      </c>
      <c r="AD720">
        <f>IF(AND($A720&lt;&gt;"",$B720&lt;&gt;"",$R720='تقرير أبريل'!$C$4,$P720='تقرير أبريل'!$C$6),COUNT(AD$4:AD719)+1,"")</f>
        <v/>
      </c>
      <c r="AE720">
        <f>IF(AND($A720&lt;&gt;"",$B720&lt;&gt;"",$R720='تقرير مايو'!$C$4,$P720='تقرير مايو'!$C$6),COUNT(AE$4:AE719)+1,"")</f>
        <v/>
      </c>
    </row>
    <row r="721">
      <c r="A721" s="16" t="n"/>
      <c r="B721" s="17" t="n"/>
      <c r="C721" s="17" t="n"/>
      <c r="D721" s="18" t="n"/>
      <c r="E721" s="17" t="n"/>
      <c r="F721" s="17" t="n"/>
      <c r="G721" s="19" t="n"/>
      <c r="H721" s="17" t="n"/>
      <c r="I721" s="17" t="n"/>
      <c r="J721" s="17" t="n"/>
      <c r="K721" s="20">
        <f>IF($B721="","",IFERROR(INDEX(الموظفات!$A$5:$A$304,MATCH($B721,الموظفات!$B$5:$B$304,0))&amp;"",""))</f>
        <v/>
      </c>
      <c r="L721" s="21">
        <f>IF($B721="","",IFERROR(INDEX(الموظفات!$C$5:$C$304,MATCH($B721,الموظفات!$B$5:$B$304,0))&amp;"",""))</f>
        <v/>
      </c>
      <c r="M721" s="20">
        <f>IF($B721="","",IFERROR(INDEX(الموظفات!$D$5:$D$304,MATCH($B721,الموظفات!$B$5:$B$304,0))&amp;"",""))</f>
        <v/>
      </c>
      <c r="N721" s="20">
        <f>IF($B721="","",IFERROR(INDEX(الموظفات!$E$5:$E$304,MATCH($B721,الموظفات!$B$5:$B$304,0))&amp;"",""))</f>
        <v/>
      </c>
      <c r="O721" s="21">
        <f>IF(C721="","",IFERROR(INDEX(الإعدادات!$D$7:$D$35,MATCH(C721,الإعدادات!$A$7:$A$35,0))&amp;"",""))</f>
        <v/>
      </c>
      <c r="P721" s="20">
        <f>IF(A721="","",INDEX(الإعدادات!$H$7:$H$18,MONTH(A721)))</f>
        <v/>
      </c>
      <c r="Q721" s="20">
        <f>IF(A721="","",INDEX(الإعدادات!$I$7:$I$18,MONTH(A721)))</f>
        <v/>
      </c>
      <c r="R721" s="20">
        <f>IF(A721="","",IF(MONTH(A721)&gt;=8,YEAR(A721)&amp;"-"&amp;(YEAR(A721)+1),(YEAR(A721)-1)&amp;"-"&amp;YEAR(A721)))</f>
        <v/>
      </c>
      <c r="S721" s="20">
        <f>IF(OR(A721="",B721=""),0,IF(AND(R721=التقارير!$C$4,OR(التقارير!$C$5="سنوي",AND(التقارير!$C$5="شهري",P721=التقارير!$C$6),AND(التقارير!$C$5="فصلي",Q721=التقارير!$C$7))),1,0))</f>
        <v/>
      </c>
      <c r="T721" s="20">
        <f>IF(S721=1,COUNTIF($S$5:S721,1),"")</f>
        <v/>
      </c>
      <c r="U721">
        <f>IF(AND($A721&lt;&gt;"",$B721&lt;&gt;"",$R721='تقرير الفصل الأول'!$C$4,$Q721='تقرير الفصل الأول'!$C$7),COUNT(U$4:U720)+1,"")</f>
        <v/>
      </c>
      <c r="V721">
        <f>IF(AND($A721&lt;&gt;"",$B721&lt;&gt;"",$R721='تقرير الفصل الثاني'!$C$4,$Q721='تقرير الفصل الثاني'!$C$7),COUNT(V$4:V720)+1,"")</f>
        <v/>
      </c>
      <c r="W721">
        <f>IF(AND($A721&lt;&gt;"",$B721&lt;&gt;"",$R721='تقرير سبتمبر'!$C$4,$P721='تقرير سبتمبر'!$C$6),COUNT(W$4:W720)+1,"")</f>
        <v/>
      </c>
      <c r="X721">
        <f>IF(AND($A721&lt;&gt;"",$B721&lt;&gt;"",$R721='تقرير أكتوبر'!$C$4,$P721='تقرير أكتوبر'!$C$6),COUNT(X$4:X720)+1,"")</f>
        <v/>
      </c>
      <c r="Y721">
        <f>IF(AND($A721&lt;&gt;"",$B721&lt;&gt;"",$R721='تقرير نوفمبر'!$C$4,$P721='تقرير نوفمبر'!$C$6),COUNT(Y$4:Y720)+1,"")</f>
        <v/>
      </c>
      <c r="Z721">
        <f>IF(AND($A721&lt;&gt;"",$B721&lt;&gt;"",$R721='تقرير ديسمبر'!$C$4,$P721='تقرير ديسمبر'!$C$6),COUNT(Z$4:Z720)+1,"")</f>
        <v/>
      </c>
      <c r="AA721">
        <f>IF(AND($A721&lt;&gt;"",$B721&lt;&gt;"",$R721='تقرير يناير'!$C$4,$P721='تقرير يناير'!$C$6),COUNT(AA$4:AA720)+1,"")</f>
        <v/>
      </c>
      <c r="AB721">
        <f>IF(AND($A721&lt;&gt;"",$B721&lt;&gt;"",$R721='تقرير فبراير'!$C$4,$P721='تقرير فبراير'!$C$6),COUNT(AB$4:AB720)+1,"")</f>
        <v/>
      </c>
      <c r="AC721">
        <f>IF(AND($A721&lt;&gt;"",$B721&lt;&gt;"",$R721='تقرير مارس'!$C$4,$P721='تقرير مارس'!$C$6),COUNT(AC$4:AC720)+1,"")</f>
        <v/>
      </c>
      <c r="AD721">
        <f>IF(AND($A721&lt;&gt;"",$B721&lt;&gt;"",$R721='تقرير أبريل'!$C$4,$P721='تقرير أبريل'!$C$6),COUNT(AD$4:AD720)+1,"")</f>
        <v/>
      </c>
      <c r="AE721">
        <f>IF(AND($A721&lt;&gt;"",$B721&lt;&gt;"",$R721='تقرير مايو'!$C$4,$P721='تقرير مايو'!$C$6),COUNT(AE$4:AE720)+1,"")</f>
        <v/>
      </c>
    </row>
    <row r="722">
      <c r="A722" s="16" t="n"/>
      <c r="B722" s="17" t="n"/>
      <c r="C722" s="17" t="n"/>
      <c r="D722" s="18" t="n"/>
      <c r="E722" s="17" t="n"/>
      <c r="F722" s="17" t="n"/>
      <c r="G722" s="19" t="n"/>
      <c r="H722" s="17" t="n"/>
      <c r="I722" s="17" t="n"/>
      <c r="J722" s="17" t="n"/>
      <c r="K722" s="20">
        <f>IF($B722="","",IFERROR(INDEX(الموظفات!$A$5:$A$304,MATCH($B722,الموظفات!$B$5:$B$304,0))&amp;"",""))</f>
        <v/>
      </c>
      <c r="L722" s="21">
        <f>IF($B722="","",IFERROR(INDEX(الموظفات!$C$5:$C$304,MATCH($B722,الموظفات!$B$5:$B$304,0))&amp;"",""))</f>
        <v/>
      </c>
      <c r="M722" s="20">
        <f>IF($B722="","",IFERROR(INDEX(الموظفات!$D$5:$D$304,MATCH($B722,الموظفات!$B$5:$B$304,0))&amp;"",""))</f>
        <v/>
      </c>
      <c r="N722" s="20">
        <f>IF($B722="","",IFERROR(INDEX(الموظفات!$E$5:$E$304,MATCH($B722,الموظفات!$B$5:$B$304,0))&amp;"",""))</f>
        <v/>
      </c>
      <c r="O722" s="21">
        <f>IF(C722="","",IFERROR(INDEX(الإعدادات!$D$7:$D$35,MATCH(C722,الإعدادات!$A$7:$A$35,0))&amp;"",""))</f>
        <v/>
      </c>
      <c r="P722" s="20">
        <f>IF(A722="","",INDEX(الإعدادات!$H$7:$H$18,MONTH(A722)))</f>
        <v/>
      </c>
      <c r="Q722" s="20">
        <f>IF(A722="","",INDEX(الإعدادات!$I$7:$I$18,MONTH(A722)))</f>
        <v/>
      </c>
      <c r="R722" s="20">
        <f>IF(A722="","",IF(MONTH(A722)&gt;=8,YEAR(A722)&amp;"-"&amp;(YEAR(A722)+1),(YEAR(A722)-1)&amp;"-"&amp;YEAR(A722)))</f>
        <v/>
      </c>
      <c r="S722" s="20">
        <f>IF(OR(A722="",B722=""),0,IF(AND(R722=التقارير!$C$4,OR(التقارير!$C$5="سنوي",AND(التقارير!$C$5="شهري",P722=التقارير!$C$6),AND(التقارير!$C$5="فصلي",Q722=التقارير!$C$7))),1,0))</f>
        <v/>
      </c>
      <c r="T722" s="20">
        <f>IF(S722=1,COUNTIF($S$5:S722,1),"")</f>
        <v/>
      </c>
      <c r="U722">
        <f>IF(AND($A722&lt;&gt;"",$B722&lt;&gt;"",$R722='تقرير الفصل الأول'!$C$4,$Q722='تقرير الفصل الأول'!$C$7),COUNT(U$4:U721)+1,"")</f>
        <v/>
      </c>
      <c r="V722">
        <f>IF(AND($A722&lt;&gt;"",$B722&lt;&gt;"",$R722='تقرير الفصل الثاني'!$C$4,$Q722='تقرير الفصل الثاني'!$C$7),COUNT(V$4:V721)+1,"")</f>
        <v/>
      </c>
      <c r="W722">
        <f>IF(AND($A722&lt;&gt;"",$B722&lt;&gt;"",$R722='تقرير سبتمبر'!$C$4,$P722='تقرير سبتمبر'!$C$6),COUNT(W$4:W721)+1,"")</f>
        <v/>
      </c>
      <c r="X722">
        <f>IF(AND($A722&lt;&gt;"",$B722&lt;&gt;"",$R722='تقرير أكتوبر'!$C$4,$P722='تقرير أكتوبر'!$C$6),COUNT(X$4:X721)+1,"")</f>
        <v/>
      </c>
      <c r="Y722">
        <f>IF(AND($A722&lt;&gt;"",$B722&lt;&gt;"",$R722='تقرير نوفمبر'!$C$4,$P722='تقرير نوفمبر'!$C$6),COUNT(Y$4:Y721)+1,"")</f>
        <v/>
      </c>
      <c r="Z722">
        <f>IF(AND($A722&lt;&gt;"",$B722&lt;&gt;"",$R722='تقرير ديسمبر'!$C$4,$P722='تقرير ديسمبر'!$C$6),COUNT(Z$4:Z721)+1,"")</f>
        <v/>
      </c>
      <c r="AA722">
        <f>IF(AND($A722&lt;&gt;"",$B722&lt;&gt;"",$R722='تقرير يناير'!$C$4,$P722='تقرير يناير'!$C$6),COUNT(AA$4:AA721)+1,"")</f>
        <v/>
      </c>
      <c r="AB722">
        <f>IF(AND($A722&lt;&gt;"",$B722&lt;&gt;"",$R722='تقرير فبراير'!$C$4,$P722='تقرير فبراير'!$C$6),COUNT(AB$4:AB721)+1,"")</f>
        <v/>
      </c>
      <c r="AC722">
        <f>IF(AND($A722&lt;&gt;"",$B722&lt;&gt;"",$R722='تقرير مارس'!$C$4,$P722='تقرير مارس'!$C$6),COUNT(AC$4:AC721)+1,"")</f>
        <v/>
      </c>
      <c r="AD722">
        <f>IF(AND($A722&lt;&gt;"",$B722&lt;&gt;"",$R722='تقرير أبريل'!$C$4,$P722='تقرير أبريل'!$C$6),COUNT(AD$4:AD721)+1,"")</f>
        <v/>
      </c>
      <c r="AE722">
        <f>IF(AND($A722&lt;&gt;"",$B722&lt;&gt;"",$R722='تقرير مايو'!$C$4,$P722='تقرير مايو'!$C$6),COUNT(AE$4:AE721)+1,"")</f>
        <v/>
      </c>
    </row>
    <row r="723">
      <c r="A723" s="16" t="n"/>
      <c r="B723" s="17" t="n"/>
      <c r="C723" s="17" t="n"/>
      <c r="D723" s="18" t="n"/>
      <c r="E723" s="17" t="n"/>
      <c r="F723" s="17" t="n"/>
      <c r="G723" s="19" t="n"/>
      <c r="H723" s="17" t="n"/>
      <c r="I723" s="17" t="n"/>
      <c r="J723" s="17" t="n"/>
      <c r="K723" s="20">
        <f>IF($B723="","",IFERROR(INDEX(الموظفات!$A$5:$A$304,MATCH($B723,الموظفات!$B$5:$B$304,0))&amp;"",""))</f>
        <v/>
      </c>
      <c r="L723" s="21">
        <f>IF($B723="","",IFERROR(INDEX(الموظفات!$C$5:$C$304,MATCH($B723,الموظفات!$B$5:$B$304,0))&amp;"",""))</f>
        <v/>
      </c>
      <c r="M723" s="20">
        <f>IF($B723="","",IFERROR(INDEX(الموظفات!$D$5:$D$304,MATCH($B723,الموظفات!$B$5:$B$304,0))&amp;"",""))</f>
        <v/>
      </c>
      <c r="N723" s="20">
        <f>IF($B723="","",IFERROR(INDEX(الموظفات!$E$5:$E$304,MATCH($B723,الموظفات!$B$5:$B$304,0))&amp;"",""))</f>
        <v/>
      </c>
      <c r="O723" s="21">
        <f>IF(C723="","",IFERROR(INDEX(الإعدادات!$D$7:$D$35,MATCH(C723,الإعدادات!$A$7:$A$35,0))&amp;"",""))</f>
        <v/>
      </c>
      <c r="P723" s="20">
        <f>IF(A723="","",INDEX(الإعدادات!$H$7:$H$18,MONTH(A723)))</f>
        <v/>
      </c>
      <c r="Q723" s="20">
        <f>IF(A723="","",INDEX(الإعدادات!$I$7:$I$18,MONTH(A723)))</f>
        <v/>
      </c>
      <c r="R723" s="20">
        <f>IF(A723="","",IF(MONTH(A723)&gt;=8,YEAR(A723)&amp;"-"&amp;(YEAR(A723)+1),(YEAR(A723)-1)&amp;"-"&amp;YEAR(A723)))</f>
        <v/>
      </c>
      <c r="S723" s="20">
        <f>IF(OR(A723="",B723=""),0,IF(AND(R723=التقارير!$C$4,OR(التقارير!$C$5="سنوي",AND(التقارير!$C$5="شهري",P723=التقارير!$C$6),AND(التقارير!$C$5="فصلي",Q723=التقارير!$C$7))),1,0))</f>
        <v/>
      </c>
      <c r="T723" s="20">
        <f>IF(S723=1,COUNTIF($S$5:S723,1),"")</f>
        <v/>
      </c>
      <c r="U723">
        <f>IF(AND($A723&lt;&gt;"",$B723&lt;&gt;"",$R723='تقرير الفصل الأول'!$C$4,$Q723='تقرير الفصل الأول'!$C$7),COUNT(U$4:U722)+1,"")</f>
        <v/>
      </c>
      <c r="V723">
        <f>IF(AND($A723&lt;&gt;"",$B723&lt;&gt;"",$R723='تقرير الفصل الثاني'!$C$4,$Q723='تقرير الفصل الثاني'!$C$7),COUNT(V$4:V722)+1,"")</f>
        <v/>
      </c>
      <c r="W723">
        <f>IF(AND($A723&lt;&gt;"",$B723&lt;&gt;"",$R723='تقرير سبتمبر'!$C$4,$P723='تقرير سبتمبر'!$C$6),COUNT(W$4:W722)+1,"")</f>
        <v/>
      </c>
      <c r="X723">
        <f>IF(AND($A723&lt;&gt;"",$B723&lt;&gt;"",$R723='تقرير أكتوبر'!$C$4,$P723='تقرير أكتوبر'!$C$6),COUNT(X$4:X722)+1,"")</f>
        <v/>
      </c>
      <c r="Y723">
        <f>IF(AND($A723&lt;&gt;"",$B723&lt;&gt;"",$R723='تقرير نوفمبر'!$C$4,$P723='تقرير نوفمبر'!$C$6),COUNT(Y$4:Y722)+1,"")</f>
        <v/>
      </c>
      <c r="Z723">
        <f>IF(AND($A723&lt;&gt;"",$B723&lt;&gt;"",$R723='تقرير ديسمبر'!$C$4,$P723='تقرير ديسمبر'!$C$6),COUNT(Z$4:Z722)+1,"")</f>
        <v/>
      </c>
      <c r="AA723">
        <f>IF(AND($A723&lt;&gt;"",$B723&lt;&gt;"",$R723='تقرير يناير'!$C$4,$P723='تقرير يناير'!$C$6),COUNT(AA$4:AA722)+1,"")</f>
        <v/>
      </c>
      <c r="AB723">
        <f>IF(AND($A723&lt;&gt;"",$B723&lt;&gt;"",$R723='تقرير فبراير'!$C$4,$P723='تقرير فبراير'!$C$6),COUNT(AB$4:AB722)+1,"")</f>
        <v/>
      </c>
      <c r="AC723">
        <f>IF(AND($A723&lt;&gt;"",$B723&lt;&gt;"",$R723='تقرير مارس'!$C$4,$P723='تقرير مارس'!$C$6),COUNT(AC$4:AC722)+1,"")</f>
        <v/>
      </c>
      <c r="AD723">
        <f>IF(AND($A723&lt;&gt;"",$B723&lt;&gt;"",$R723='تقرير أبريل'!$C$4,$P723='تقرير أبريل'!$C$6),COUNT(AD$4:AD722)+1,"")</f>
        <v/>
      </c>
      <c r="AE723">
        <f>IF(AND($A723&lt;&gt;"",$B723&lt;&gt;"",$R723='تقرير مايو'!$C$4,$P723='تقرير مايو'!$C$6),COUNT(AE$4:AE722)+1,"")</f>
        <v/>
      </c>
    </row>
    <row r="724">
      <c r="A724" s="16" t="n"/>
      <c r="B724" s="17" t="n"/>
      <c r="C724" s="17" t="n"/>
      <c r="D724" s="18" t="n"/>
      <c r="E724" s="17" t="n"/>
      <c r="F724" s="17" t="n"/>
      <c r="G724" s="19" t="n"/>
      <c r="H724" s="17" t="n"/>
      <c r="I724" s="17" t="n"/>
      <c r="J724" s="17" t="n"/>
      <c r="K724" s="20">
        <f>IF($B724="","",IFERROR(INDEX(الموظفات!$A$5:$A$304,MATCH($B724,الموظفات!$B$5:$B$304,0))&amp;"",""))</f>
        <v/>
      </c>
      <c r="L724" s="21">
        <f>IF($B724="","",IFERROR(INDEX(الموظفات!$C$5:$C$304,MATCH($B724,الموظفات!$B$5:$B$304,0))&amp;"",""))</f>
        <v/>
      </c>
      <c r="M724" s="20">
        <f>IF($B724="","",IFERROR(INDEX(الموظفات!$D$5:$D$304,MATCH($B724,الموظفات!$B$5:$B$304,0))&amp;"",""))</f>
        <v/>
      </c>
      <c r="N724" s="20">
        <f>IF($B724="","",IFERROR(INDEX(الموظفات!$E$5:$E$304,MATCH($B724,الموظفات!$B$5:$B$304,0))&amp;"",""))</f>
        <v/>
      </c>
      <c r="O724" s="21">
        <f>IF(C724="","",IFERROR(INDEX(الإعدادات!$D$7:$D$35,MATCH(C724,الإعدادات!$A$7:$A$35,0))&amp;"",""))</f>
        <v/>
      </c>
      <c r="P724" s="20">
        <f>IF(A724="","",INDEX(الإعدادات!$H$7:$H$18,MONTH(A724)))</f>
        <v/>
      </c>
      <c r="Q724" s="20">
        <f>IF(A724="","",INDEX(الإعدادات!$I$7:$I$18,MONTH(A724)))</f>
        <v/>
      </c>
      <c r="R724" s="20">
        <f>IF(A724="","",IF(MONTH(A724)&gt;=8,YEAR(A724)&amp;"-"&amp;(YEAR(A724)+1),(YEAR(A724)-1)&amp;"-"&amp;YEAR(A724)))</f>
        <v/>
      </c>
      <c r="S724" s="20">
        <f>IF(OR(A724="",B724=""),0,IF(AND(R724=التقارير!$C$4,OR(التقارير!$C$5="سنوي",AND(التقارير!$C$5="شهري",P724=التقارير!$C$6),AND(التقارير!$C$5="فصلي",Q724=التقارير!$C$7))),1,0))</f>
        <v/>
      </c>
      <c r="T724" s="20">
        <f>IF(S724=1,COUNTIF($S$5:S724,1),"")</f>
        <v/>
      </c>
      <c r="U724">
        <f>IF(AND($A724&lt;&gt;"",$B724&lt;&gt;"",$R724='تقرير الفصل الأول'!$C$4,$Q724='تقرير الفصل الأول'!$C$7),COUNT(U$4:U723)+1,"")</f>
        <v/>
      </c>
      <c r="V724">
        <f>IF(AND($A724&lt;&gt;"",$B724&lt;&gt;"",$R724='تقرير الفصل الثاني'!$C$4,$Q724='تقرير الفصل الثاني'!$C$7),COUNT(V$4:V723)+1,"")</f>
        <v/>
      </c>
      <c r="W724">
        <f>IF(AND($A724&lt;&gt;"",$B724&lt;&gt;"",$R724='تقرير سبتمبر'!$C$4,$P724='تقرير سبتمبر'!$C$6),COUNT(W$4:W723)+1,"")</f>
        <v/>
      </c>
      <c r="X724">
        <f>IF(AND($A724&lt;&gt;"",$B724&lt;&gt;"",$R724='تقرير أكتوبر'!$C$4,$P724='تقرير أكتوبر'!$C$6),COUNT(X$4:X723)+1,"")</f>
        <v/>
      </c>
      <c r="Y724">
        <f>IF(AND($A724&lt;&gt;"",$B724&lt;&gt;"",$R724='تقرير نوفمبر'!$C$4,$P724='تقرير نوفمبر'!$C$6),COUNT(Y$4:Y723)+1,"")</f>
        <v/>
      </c>
      <c r="Z724">
        <f>IF(AND($A724&lt;&gt;"",$B724&lt;&gt;"",$R724='تقرير ديسمبر'!$C$4,$P724='تقرير ديسمبر'!$C$6),COUNT(Z$4:Z723)+1,"")</f>
        <v/>
      </c>
      <c r="AA724">
        <f>IF(AND($A724&lt;&gt;"",$B724&lt;&gt;"",$R724='تقرير يناير'!$C$4,$P724='تقرير يناير'!$C$6),COUNT(AA$4:AA723)+1,"")</f>
        <v/>
      </c>
      <c r="AB724">
        <f>IF(AND($A724&lt;&gt;"",$B724&lt;&gt;"",$R724='تقرير فبراير'!$C$4,$P724='تقرير فبراير'!$C$6),COUNT(AB$4:AB723)+1,"")</f>
        <v/>
      </c>
      <c r="AC724">
        <f>IF(AND($A724&lt;&gt;"",$B724&lt;&gt;"",$R724='تقرير مارس'!$C$4,$P724='تقرير مارس'!$C$6),COUNT(AC$4:AC723)+1,"")</f>
        <v/>
      </c>
      <c r="AD724">
        <f>IF(AND($A724&lt;&gt;"",$B724&lt;&gt;"",$R724='تقرير أبريل'!$C$4,$P724='تقرير أبريل'!$C$6),COUNT(AD$4:AD723)+1,"")</f>
        <v/>
      </c>
      <c r="AE724">
        <f>IF(AND($A724&lt;&gt;"",$B724&lt;&gt;"",$R724='تقرير مايو'!$C$4,$P724='تقرير مايو'!$C$6),COUNT(AE$4:AE723)+1,"")</f>
        <v/>
      </c>
    </row>
    <row r="725">
      <c r="A725" s="16" t="n"/>
      <c r="B725" s="17" t="n"/>
      <c r="C725" s="17" t="n"/>
      <c r="D725" s="18" t="n"/>
      <c r="E725" s="17" t="n"/>
      <c r="F725" s="17" t="n"/>
      <c r="G725" s="19" t="n"/>
      <c r="H725" s="17" t="n"/>
      <c r="I725" s="17" t="n"/>
      <c r="J725" s="17" t="n"/>
      <c r="K725" s="20">
        <f>IF($B725="","",IFERROR(INDEX(الموظفات!$A$5:$A$304,MATCH($B725,الموظفات!$B$5:$B$304,0))&amp;"",""))</f>
        <v/>
      </c>
      <c r="L725" s="21">
        <f>IF($B725="","",IFERROR(INDEX(الموظفات!$C$5:$C$304,MATCH($B725,الموظفات!$B$5:$B$304,0))&amp;"",""))</f>
        <v/>
      </c>
      <c r="M725" s="20">
        <f>IF($B725="","",IFERROR(INDEX(الموظفات!$D$5:$D$304,MATCH($B725,الموظفات!$B$5:$B$304,0))&amp;"",""))</f>
        <v/>
      </c>
      <c r="N725" s="20">
        <f>IF($B725="","",IFERROR(INDEX(الموظفات!$E$5:$E$304,MATCH($B725,الموظفات!$B$5:$B$304,0))&amp;"",""))</f>
        <v/>
      </c>
      <c r="O725" s="21">
        <f>IF(C725="","",IFERROR(INDEX(الإعدادات!$D$7:$D$35,MATCH(C725,الإعدادات!$A$7:$A$35,0))&amp;"",""))</f>
        <v/>
      </c>
      <c r="P725" s="20">
        <f>IF(A725="","",INDEX(الإعدادات!$H$7:$H$18,MONTH(A725)))</f>
        <v/>
      </c>
      <c r="Q725" s="20">
        <f>IF(A725="","",INDEX(الإعدادات!$I$7:$I$18,MONTH(A725)))</f>
        <v/>
      </c>
      <c r="R725" s="20">
        <f>IF(A725="","",IF(MONTH(A725)&gt;=8,YEAR(A725)&amp;"-"&amp;(YEAR(A725)+1),(YEAR(A725)-1)&amp;"-"&amp;YEAR(A725)))</f>
        <v/>
      </c>
      <c r="S725" s="20">
        <f>IF(OR(A725="",B725=""),0,IF(AND(R725=التقارير!$C$4,OR(التقارير!$C$5="سنوي",AND(التقارير!$C$5="شهري",P725=التقارير!$C$6),AND(التقارير!$C$5="فصلي",Q725=التقارير!$C$7))),1,0))</f>
        <v/>
      </c>
      <c r="T725" s="20">
        <f>IF(S725=1,COUNTIF($S$5:S725,1),"")</f>
        <v/>
      </c>
      <c r="U725">
        <f>IF(AND($A725&lt;&gt;"",$B725&lt;&gt;"",$R725='تقرير الفصل الأول'!$C$4,$Q725='تقرير الفصل الأول'!$C$7),COUNT(U$4:U724)+1,"")</f>
        <v/>
      </c>
      <c r="V725">
        <f>IF(AND($A725&lt;&gt;"",$B725&lt;&gt;"",$R725='تقرير الفصل الثاني'!$C$4,$Q725='تقرير الفصل الثاني'!$C$7),COUNT(V$4:V724)+1,"")</f>
        <v/>
      </c>
      <c r="W725">
        <f>IF(AND($A725&lt;&gt;"",$B725&lt;&gt;"",$R725='تقرير سبتمبر'!$C$4,$P725='تقرير سبتمبر'!$C$6),COUNT(W$4:W724)+1,"")</f>
        <v/>
      </c>
      <c r="X725">
        <f>IF(AND($A725&lt;&gt;"",$B725&lt;&gt;"",$R725='تقرير أكتوبر'!$C$4,$P725='تقرير أكتوبر'!$C$6),COUNT(X$4:X724)+1,"")</f>
        <v/>
      </c>
      <c r="Y725">
        <f>IF(AND($A725&lt;&gt;"",$B725&lt;&gt;"",$R725='تقرير نوفمبر'!$C$4,$P725='تقرير نوفمبر'!$C$6),COUNT(Y$4:Y724)+1,"")</f>
        <v/>
      </c>
      <c r="Z725">
        <f>IF(AND($A725&lt;&gt;"",$B725&lt;&gt;"",$R725='تقرير ديسمبر'!$C$4,$P725='تقرير ديسمبر'!$C$6),COUNT(Z$4:Z724)+1,"")</f>
        <v/>
      </c>
      <c r="AA725">
        <f>IF(AND($A725&lt;&gt;"",$B725&lt;&gt;"",$R725='تقرير يناير'!$C$4,$P725='تقرير يناير'!$C$6),COUNT(AA$4:AA724)+1,"")</f>
        <v/>
      </c>
      <c r="AB725">
        <f>IF(AND($A725&lt;&gt;"",$B725&lt;&gt;"",$R725='تقرير فبراير'!$C$4,$P725='تقرير فبراير'!$C$6),COUNT(AB$4:AB724)+1,"")</f>
        <v/>
      </c>
      <c r="AC725">
        <f>IF(AND($A725&lt;&gt;"",$B725&lt;&gt;"",$R725='تقرير مارس'!$C$4,$P725='تقرير مارس'!$C$6),COUNT(AC$4:AC724)+1,"")</f>
        <v/>
      </c>
      <c r="AD725">
        <f>IF(AND($A725&lt;&gt;"",$B725&lt;&gt;"",$R725='تقرير أبريل'!$C$4,$P725='تقرير أبريل'!$C$6),COUNT(AD$4:AD724)+1,"")</f>
        <v/>
      </c>
      <c r="AE725">
        <f>IF(AND($A725&lt;&gt;"",$B725&lt;&gt;"",$R725='تقرير مايو'!$C$4,$P725='تقرير مايو'!$C$6),COUNT(AE$4:AE724)+1,"")</f>
        <v/>
      </c>
    </row>
    <row r="726">
      <c r="A726" s="16" t="n"/>
      <c r="B726" s="17" t="n"/>
      <c r="C726" s="17" t="n"/>
      <c r="D726" s="18" t="n"/>
      <c r="E726" s="17" t="n"/>
      <c r="F726" s="17" t="n"/>
      <c r="G726" s="19" t="n"/>
      <c r="H726" s="17" t="n"/>
      <c r="I726" s="17" t="n"/>
      <c r="J726" s="17" t="n"/>
      <c r="K726" s="20">
        <f>IF($B726="","",IFERROR(INDEX(الموظفات!$A$5:$A$304,MATCH($B726,الموظفات!$B$5:$B$304,0))&amp;"",""))</f>
        <v/>
      </c>
      <c r="L726" s="21">
        <f>IF($B726="","",IFERROR(INDEX(الموظفات!$C$5:$C$304,MATCH($B726,الموظفات!$B$5:$B$304,0))&amp;"",""))</f>
        <v/>
      </c>
      <c r="M726" s="20">
        <f>IF($B726="","",IFERROR(INDEX(الموظفات!$D$5:$D$304,MATCH($B726,الموظفات!$B$5:$B$304,0))&amp;"",""))</f>
        <v/>
      </c>
      <c r="N726" s="20">
        <f>IF($B726="","",IFERROR(INDEX(الموظفات!$E$5:$E$304,MATCH($B726,الموظفات!$B$5:$B$304,0))&amp;"",""))</f>
        <v/>
      </c>
      <c r="O726" s="21">
        <f>IF(C726="","",IFERROR(INDEX(الإعدادات!$D$7:$D$35,MATCH(C726,الإعدادات!$A$7:$A$35,0))&amp;"",""))</f>
        <v/>
      </c>
      <c r="P726" s="20">
        <f>IF(A726="","",INDEX(الإعدادات!$H$7:$H$18,MONTH(A726)))</f>
        <v/>
      </c>
      <c r="Q726" s="20">
        <f>IF(A726="","",INDEX(الإعدادات!$I$7:$I$18,MONTH(A726)))</f>
        <v/>
      </c>
      <c r="R726" s="20">
        <f>IF(A726="","",IF(MONTH(A726)&gt;=8,YEAR(A726)&amp;"-"&amp;(YEAR(A726)+1),(YEAR(A726)-1)&amp;"-"&amp;YEAR(A726)))</f>
        <v/>
      </c>
      <c r="S726" s="20">
        <f>IF(OR(A726="",B726=""),0,IF(AND(R726=التقارير!$C$4,OR(التقارير!$C$5="سنوي",AND(التقارير!$C$5="شهري",P726=التقارير!$C$6),AND(التقارير!$C$5="فصلي",Q726=التقارير!$C$7))),1,0))</f>
        <v/>
      </c>
      <c r="T726" s="20">
        <f>IF(S726=1,COUNTIF($S$5:S726,1),"")</f>
        <v/>
      </c>
      <c r="U726">
        <f>IF(AND($A726&lt;&gt;"",$B726&lt;&gt;"",$R726='تقرير الفصل الأول'!$C$4,$Q726='تقرير الفصل الأول'!$C$7),COUNT(U$4:U725)+1,"")</f>
        <v/>
      </c>
      <c r="V726">
        <f>IF(AND($A726&lt;&gt;"",$B726&lt;&gt;"",$R726='تقرير الفصل الثاني'!$C$4,$Q726='تقرير الفصل الثاني'!$C$7),COUNT(V$4:V725)+1,"")</f>
        <v/>
      </c>
      <c r="W726">
        <f>IF(AND($A726&lt;&gt;"",$B726&lt;&gt;"",$R726='تقرير سبتمبر'!$C$4,$P726='تقرير سبتمبر'!$C$6),COUNT(W$4:W725)+1,"")</f>
        <v/>
      </c>
      <c r="X726">
        <f>IF(AND($A726&lt;&gt;"",$B726&lt;&gt;"",$R726='تقرير أكتوبر'!$C$4,$P726='تقرير أكتوبر'!$C$6),COUNT(X$4:X725)+1,"")</f>
        <v/>
      </c>
      <c r="Y726">
        <f>IF(AND($A726&lt;&gt;"",$B726&lt;&gt;"",$R726='تقرير نوفمبر'!$C$4,$P726='تقرير نوفمبر'!$C$6),COUNT(Y$4:Y725)+1,"")</f>
        <v/>
      </c>
      <c r="Z726">
        <f>IF(AND($A726&lt;&gt;"",$B726&lt;&gt;"",$R726='تقرير ديسمبر'!$C$4,$P726='تقرير ديسمبر'!$C$6),COUNT(Z$4:Z725)+1,"")</f>
        <v/>
      </c>
      <c r="AA726">
        <f>IF(AND($A726&lt;&gt;"",$B726&lt;&gt;"",$R726='تقرير يناير'!$C$4,$P726='تقرير يناير'!$C$6),COUNT(AA$4:AA725)+1,"")</f>
        <v/>
      </c>
      <c r="AB726">
        <f>IF(AND($A726&lt;&gt;"",$B726&lt;&gt;"",$R726='تقرير فبراير'!$C$4,$P726='تقرير فبراير'!$C$6),COUNT(AB$4:AB725)+1,"")</f>
        <v/>
      </c>
      <c r="AC726">
        <f>IF(AND($A726&lt;&gt;"",$B726&lt;&gt;"",$R726='تقرير مارس'!$C$4,$P726='تقرير مارس'!$C$6),COUNT(AC$4:AC725)+1,"")</f>
        <v/>
      </c>
      <c r="AD726">
        <f>IF(AND($A726&lt;&gt;"",$B726&lt;&gt;"",$R726='تقرير أبريل'!$C$4,$P726='تقرير أبريل'!$C$6),COUNT(AD$4:AD725)+1,"")</f>
        <v/>
      </c>
      <c r="AE726">
        <f>IF(AND($A726&lt;&gt;"",$B726&lt;&gt;"",$R726='تقرير مايو'!$C$4,$P726='تقرير مايو'!$C$6),COUNT(AE$4:AE725)+1,"")</f>
        <v/>
      </c>
    </row>
    <row r="727">
      <c r="A727" s="16" t="n"/>
      <c r="B727" s="17" t="n"/>
      <c r="C727" s="17" t="n"/>
      <c r="D727" s="18" t="n"/>
      <c r="E727" s="17" t="n"/>
      <c r="F727" s="17" t="n"/>
      <c r="G727" s="19" t="n"/>
      <c r="H727" s="17" t="n"/>
      <c r="I727" s="17" t="n"/>
      <c r="J727" s="17" t="n"/>
      <c r="K727" s="20">
        <f>IF($B727="","",IFERROR(INDEX(الموظفات!$A$5:$A$304,MATCH($B727,الموظفات!$B$5:$B$304,0))&amp;"",""))</f>
        <v/>
      </c>
      <c r="L727" s="21">
        <f>IF($B727="","",IFERROR(INDEX(الموظفات!$C$5:$C$304,MATCH($B727,الموظفات!$B$5:$B$304,0))&amp;"",""))</f>
        <v/>
      </c>
      <c r="M727" s="20">
        <f>IF($B727="","",IFERROR(INDEX(الموظفات!$D$5:$D$304,MATCH($B727,الموظفات!$B$5:$B$304,0))&amp;"",""))</f>
        <v/>
      </c>
      <c r="N727" s="20">
        <f>IF($B727="","",IFERROR(INDEX(الموظفات!$E$5:$E$304,MATCH($B727,الموظفات!$B$5:$B$304,0))&amp;"",""))</f>
        <v/>
      </c>
      <c r="O727" s="21">
        <f>IF(C727="","",IFERROR(INDEX(الإعدادات!$D$7:$D$35,MATCH(C727,الإعدادات!$A$7:$A$35,0))&amp;"",""))</f>
        <v/>
      </c>
      <c r="P727" s="20">
        <f>IF(A727="","",INDEX(الإعدادات!$H$7:$H$18,MONTH(A727)))</f>
        <v/>
      </c>
      <c r="Q727" s="20">
        <f>IF(A727="","",INDEX(الإعدادات!$I$7:$I$18,MONTH(A727)))</f>
        <v/>
      </c>
      <c r="R727" s="20">
        <f>IF(A727="","",IF(MONTH(A727)&gt;=8,YEAR(A727)&amp;"-"&amp;(YEAR(A727)+1),(YEAR(A727)-1)&amp;"-"&amp;YEAR(A727)))</f>
        <v/>
      </c>
      <c r="S727" s="20">
        <f>IF(OR(A727="",B727=""),0,IF(AND(R727=التقارير!$C$4,OR(التقارير!$C$5="سنوي",AND(التقارير!$C$5="شهري",P727=التقارير!$C$6),AND(التقارير!$C$5="فصلي",Q727=التقارير!$C$7))),1,0))</f>
        <v/>
      </c>
      <c r="T727" s="20">
        <f>IF(S727=1,COUNTIF($S$5:S727,1),"")</f>
        <v/>
      </c>
      <c r="U727">
        <f>IF(AND($A727&lt;&gt;"",$B727&lt;&gt;"",$R727='تقرير الفصل الأول'!$C$4,$Q727='تقرير الفصل الأول'!$C$7),COUNT(U$4:U726)+1,"")</f>
        <v/>
      </c>
      <c r="V727">
        <f>IF(AND($A727&lt;&gt;"",$B727&lt;&gt;"",$R727='تقرير الفصل الثاني'!$C$4,$Q727='تقرير الفصل الثاني'!$C$7),COUNT(V$4:V726)+1,"")</f>
        <v/>
      </c>
      <c r="W727">
        <f>IF(AND($A727&lt;&gt;"",$B727&lt;&gt;"",$R727='تقرير سبتمبر'!$C$4,$P727='تقرير سبتمبر'!$C$6),COUNT(W$4:W726)+1,"")</f>
        <v/>
      </c>
      <c r="X727">
        <f>IF(AND($A727&lt;&gt;"",$B727&lt;&gt;"",$R727='تقرير أكتوبر'!$C$4,$P727='تقرير أكتوبر'!$C$6),COUNT(X$4:X726)+1,"")</f>
        <v/>
      </c>
      <c r="Y727">
        <f>IF(AND($A727&lt;&gt;"",$B727&lt;&gt;"",$R727='تقرير نوفمبر'!$C$4,$P727='تقرير نوفمبر'!$C$6),COUNT(Y$4:Y726)+1,"")</f>
        <v/>
      </c>
      <c r="Z727">
        <f>IF(AND($A727&lt;&gt;"",$B727&lt;&gt;"",$R727='تقرير ديسمبر'!$C$4,$P727='تقرير ديسمبر'!$C$6),COUNT(Z$4:Z726)+1,"")</f>
        <v/>
      </c>
      <c r="AA727">
        <f>IF(AND($A727&lt;&gt;"",$B727&lt;&gt;"",$R727='تقرير يناير'!$C$4,$P727='تقرير يناير'!$C$6),COUNT(AA$4:AA726)+1,"")</f>
        <v/>
      </c>
      <c r="AB727">
        <f>IF(AND($A727&lt;&gt;"",$B727&lt;&gt;"",$R727='تقرير فبراير'!$C$4,$P727='تقرير فبراير'!$C$6),COUNT(AB$4:AB726)+1,"")</f>
        <v/>
      </c>
      <c r="AC727">
        <f>IF(AND($A727&lt;&gt;"",$B727&lt;&gt;"",$R727='تقرير مارس'!$C$4,$P727='تقرير مارس'!$C$6),COUNT(AC$4:AC726)+1,"")</f>
        <v/>
      </c>
      <c r="AD727">
        <f>IF(AND($A727&lt;&gt;"",$B727&lt;&gt;"",$R727='تقرير أبريل'!$C$4,$P727='تقرير أبريل'!$C$6),COUNT(AD$4:AD726)+1,"")</f>
        <v/>
      </c>
      <c r="AE727">
        <f>IF(AND($A727&lt;&gt;"",$B727&lt;&gt;"",$R727='تقرير مايو'!$C$4,$P727='تقرير مايو'!$C$6),COUNT(AE$4:AE726)+1,"")</f>
        <v/>
      </c>
    </row>
    <row r="728">
      <c r="A728" s="16" t="n"/>
      <c r="B728" s="17" t="n"/>
      <c r="C728" s="17" t="n"/>
      <c r="D728" s="18" t="n"/>
      <c r="E728" s="17" t="n"/>
      <c r="F728" s="17" t="n"/>
      <c r="G728" s="19" t="n"/>
      <c r="H728" s="17" t="n"/>
      <c r="I728" s="17" t="n"/>
      <c r="J728" s="17" t="n"/>
      <c r="K728" s="20">
        <f>IF($B728="","",IFERROR(INDEX(الموظفات!$A$5:$A$304,MATCH($B728,الموظفات!$B$5:$B$304,0))&amp;"",""))</f>
        <v/>
      </c>
      <c r="L728" s="21">
        <f>IF($B728="","",IFERROR(INDEX(الموظفات!$C$5:$C$304,MATCH($B728,الموظفات!$B$5:$B$304,0))&amp;"",""))</f>
        <v/>
      </c>
      <c r="M728" s="20">
        <f>IF($B728="","",IFERROR(INDEX(الموظفات!$D$5:$D$304,MATCH($B728,الموظفات!$B$5:$B$304,0))&amp;"",""))</f>
        <v/>
      </c>
      <c r="N728" s="20">
        <f>IF($B728="","",IFERROR(INDEX(الموظفات!$E$5:$E$304,MATCH($B728,الموظفات!$B$5:$B$304,0))&amp;"",""))</f>
        <v/>
      </c>
      <c r="O728" s="21">
        <f>IF(C728="","",IFERROR(INDEX(الإعدادات!$D$7:$D$35,MATCH(C728,الإعدادات!$A$7:$A$35,0))&amp;"",""))</f>
        <v/>
      </c>
      <c r="P728" s="20">
        <f>IF(A728="","",INDEX(الإعدادات!$H$7:$H$18,MONTH(A728)))</f>
        <v/>
      </c>
      <c r="Q728" s="20">
        <f>IF(A728="","",INDEX(الإعدادات!$I$7:$I$18,MONTH(A728)))</f>
        <v/>
      </c>
      <c r="R728" s="20">
        <f>IF(A728="","",IF(MONTH(A728)&gt;=8,YEAR(A728)&amp;"-"&amp;(YEAR(A728)+1),(YEAR(A728)-1)&amp;"-"&amp;YEAR(A728)))</f>
        <v/>
      </c>
      <c r="S728" s="20">
        <f>IF(OR(A728="",B728=""),0,IF(AND(R728=التقارير!$C$4,OR(التقارير!$C$5="سنوي",AND(التقارير!$C$5="شهري",P728=التقارير!$C$6),AND(التقارير!$C$5="فصلي",Q728=التقارير!$C$7))),1,0))</f>
        <v/>
      </c>
      <c r="T728" s="20">
        <f>IF(S728=1,COUNTIF($S$5:S728,1),"")</f>
        <v/>
      </c>
      <c r="U728">
        <f>IF(AND($A728&lt;&gt;"",$B728&lt;&gt;"",$R728='تقرير الفصل الأول'!$C$4,$Q728='تقرير الفصل الأول'!$C$7),COUNT(U$4:U727)+1,"")</f>
        <v/>
      </c>
      <c r="V728">
        <f>IF(AND($A728&lt;&gt;"",$B728&lt;&gt;"",$R728='تقرير الفصل الثاني'!$C$4,$Q728='تقرير الفصل الثاني'!$C$7),COUNT(V$4:V727)+1,"")</f>
        <v/>
      </c>
      <c r="W728">
        <f>IF(AND($A728&lt;&gt;"",$B728&lt;&gt;"",$R728='تقرير سبتمبر'!$C$4,$P728='تقرير سبتمبر'!$C$6),COUNT(W$4:W727)+1,"")</f>
        <v/>
      </c>
      <c r="X728">
        <f>IF(AND($A728&lt;&gt;"",$B728&lt;&gt;"",$R728='تقرير أكتوبر'!$C$4,$P728='تقرير أكتوبر'!$C$6),COUNT(X$4:X727)+1,"")</f>
        <v/>
      </c>
      <c r="Y728">
        <f>IF(AND($A728&lt;&gt;"",$B728&lt;&gt;"",$R728='تقرير نوفمبر'!$C$4,$P728='تقرير نوفمبر'!$C$6),COUNT(Y$4:Y727)+1,"")</f>
        <v/>
      </c>
      <c r="Z728">
        <f>IF(AND($A728&lt;&gt;"",$B728&lt;&gt;"",$R728='تقرير ديسمبر'!$C$4,$P728='تقرير ديسمبر'!$C$6),COUNT(Z$4:Z727)+1,"")</f>
        <v/>
      </c>
      <c r="AA728">
        <f>IF(AND($A728&lt;&gt;"",$B728&lt;&gt;"",$R728='تقرير يناير'!$C$4,$P728='تقرير يناير'!$C$6),COUNT(AA$4:AA727)+1,"")</f>
        <v/>
      </c>
      <c r="AB728">
        <f>IF(AND($A728&lt;&gt;"",$B728&lt;&gt;"",$R728='تقرير فبراير'!$C$4,$P728='تقرير فبراير'!$C$6),COUNT(AB$4:AB727)+1,"")</f>
        <v/>
      </c>
      <c r="AC728">
        <f>IF(AND($A728&lt;&gt;"",$B728&lt;&gt;"",$R728='تقرير مارس'!$C$4,$P728='تقرير مارس'!$C$6),COUNT(AC$4:AC727)+1,"")</f>
        <v/>
      </c>
      <c r="AD728">
        <f>IF(AND($A728&lt;&gt;"",$B728&lt;&gt;"",$R728='تقرير أبريل'!$C$4,$P728='تقرير أبريل'!$C$6),COUNT(AD$4:AD727)+1,"")</f>
        <v/>
      </c>
      <c r="AE728">
        <f>IF(AND($A728&lt;&gt;"",$B728&lt;&gt;"",$R728='تقرير مايو'!$C$4,$P728='تقرير مايو'!$C$6),COUNT(AE$4:AE727)+1,"")</f>
        <v/>
      </c>
    </row>
    <row r="729">
      <c r="A729" s="16" t="n"/>
      <c r="B729" s="17" t="n"/>
      <c r="C729" s="17" t="n"/>
      <c r="D729" s="18" t="n"/>
      <c r="E729" s="17" t="n"/>
      <c r="F729" s="17" t="n"/>
      <c r="G729" s="19" t="n"/>
      <c r="H729" s="17" t="n"/>
      <c r="I729" s="17" t="n"/>
      <c r="J729" s="17" t="n"/>
      <c r="K729" s="20">
        <f>IF($B729="","",IFERROR(INDEX(الموظفات!$A$5:$A$304,MATCH($B729,الموظفات!$B$5:$B$304,0))&amp;"",""))</f>
        <v/>
      </c>
      <c r="L729" s="21">
        <f>IF($B729="","",IFERROR(INDEX(الموظفات!$C$5:$C$304,MATCH($B729,الموظفات!$B$5:$B$304,0))&amp;"",""))</f>
        <v/>
      </c>
      <c r="M729" s="20">
        <f>IF($B729="","",IFERROR(INDEX(الموظفات!$D$5:$D$304,MATCH($B729,الموظفات!$B$5:$B$304,0))&amp;"",""))</f>
        <v/>
      </c>
      <c r="N729" s="20">
        <f>IF($B729="","",IFERROR(INDEX(الموظفات!$E$5:$E$304,MATCH($B729,الموظفات!$B$5:$B$304,0))&amp;"",""))</f>
        <v/>
      </c>
      <c r="O729" s="21">
        <f>IF(C729="","",IFERROR(INDEX(الإعدادات!$D$7:$D$35,MATCH(C729,الإعدادات!$A$7:$A$35,0))&amp;"",""))</f>
        <v/>
      </c>
      <c r="P729" s="20">
        <f>IF(A729="","",INDEX(الإعدادات!$H$7:$H$18,MONTH(A729)))</f>
        <v/>
      </c>
      <c r="Q729" s="20">
        <f>IF(A729="","",INDEX(الإعدادات!$I$7:$I$18,MONTH(A729)))</f>
        <v/>
      </c>
      <c r="R729" s="20">
        <f>IF(A729="","",IF(MONTH(A729)&gt;=8,YEAR(A729)&amp;"-"&amp;(YEAR(A729)+1),(YEAR(A729)-1)&amp;"-"&amp;YEAR(A729)))</f>
        <v/>
      </c>
      <c r="S729" s="20">
        <f>IF(OR(A729="",B729=""),0,IF(AND(R729=التقارير!$C$4,OR(التقارير!$C$5="سنوي",AND(التقارير!$C$5="شهري",P729=التقارير!$C$6),AND(التقارير!$C$5="فصلي",Q729=التقارير!$C$7))),1,0))</f>
        <v/>
      </c>
      <c r="T729" s="20">
        <f>IF(S729=1,COUNTIF($S$5:S729,1),"")</f>
        <v/>
      </c>
      <c r="U729">
        <f>IF(AND($A729&lt;&gt;"",$B729&lt;&gt;"",$R729='تقرير الفصل الأول'!$C$4,$Q729='تقرير الفصل الأول'!$C$7),COUNT(U$4:U728)+1,"")</f>
        <v/>
      </c>
      <c r="V729">
        <f>IF(AND($A729&lt;&gt;"",$B729&lt;&gt;"",$R729='تقرير الفصل الثاني'!$C$4,$Q729='تقرير الفصل الثاني'!$C$7),COUNT(V$4:V728)+1,"")</f>
        <v/>
      </c>
      <c r="W729">
        <f>IF(AND($A729&lt;&gt;"",$B729&lt;&gt;"",$R729='تقرير سبتمبر'!$C$4,$P729='تقرير سبتمبر'!$C$6),COUNT(W$4:W728)+1,"")</f>
        <v/>
      </c>
      <c r="X729">
        <f>IF(AND($A729&lt;&gt;"",$B729&lt;&gt;"",$R729='تقرير أكتوبر'!$C$4,$P729='تقرير أكتوبر'!$C$6),COUNT(X$4:X728)+1,"")</f>
        <v/>
      </c>
      <c r="Y729">
        <f>IF(AND($A729&lt;&gt;"",$B729&lt;&gt;"",$R729='تقرير نوفمبر'!$C$4,$P729='تقرير نوفمبر'!$C$6),COUNT(Y$4:Y728)+1,"")</f>
        <v/>
      </c>
      <c r="Z729">
        <f>IF(AND($A729&lt;&gt;"",$B729&lt;&gt;"",$R729='تقرير ديسمبر'!$C$4,$P729='تقرير ديسمبر'!$C$6),COUNT(Z$4:Z728)+1,"")</f>
        <v/>
      </c>
      <c r="AA729">
        <f>IF(AND($A729&lt;&gt;"",$B729&lt;&gt;"",$R729='تقرير يناير'!$C$4,$P729='تقرير يناير'!$C$6),COUNT(AA$4:AA728)+1,"")</f>
        <v/>
      </c>
      <c r="AB729">
        <f>IF(AND($A729&lt;&gt;"",$B729&lt;&gt;"",$R729='تقرير فبراير'!$C$4,$P729='تقرير فبراير'!$C$6),COUNT(AB$4:AB728)+1,"")</f>
        <v/>
      </c>
      <c r="AC729">
        <f>IF(AND($A729&lt;&gt;"",$B729&lt;&gt;"",$R729='تقرير مارس'!$C$4,$P729='تقرير مارس'!$C$6),COUNT(AC$4:AC728)+1,"")</f>
        <v/>
      </c>
      <c r="AD729">
        <f>IF(AND($A729&lt;&gt;"",$B729&lt;&gt;"",$R729='تقرير أبريل'!$C$4,$P729='تقرير أبريل'!$C$6),COUNT(AD$4:AD728)+1,"")</f>
        <v/>
      </c>
      <c r="AE729">
        <f>IF(AND($A729&lt;&gt;"",$B729&lt;&gt;"",$R729='تقرير مايو'!$C$4,$P729='تقرير مايو'!$C$6),COUNT(AE$4:AE728)+1,"")</f>
        <v/>
      </c>
    </row>
    <row r="730">
      <c r="A730" s="16" t="n"/>
      <c r="B730" s="17" t="n"/>
      <c r="C730" s="17" t="n"/>
      <c r="D730" s="18" t="n"/>
      <c r="E730" s="17" t="n"/>
      <c r="F730" s="17" t="n"/>
      <c r="G730" s="19" t="n"/>
      <c r="H730" s="17" t="n"/>
      <c r="I730" s="17" t="n"/>
      <c r="J730" s="17" t="n"/>
      <c r="K730" s="20">
        <f>IF($B730="","",IFERROR(INDEX(الموظفات!$A$5:$A$304,MATCH($B730,الموظفات!$B$5:$B$304,0))&amp;"",""))</f>
        <v/>
      </c>
      <c r="L730" s="21">
        <f>IF($B730="","",IFERROR(INDEX(الموظفات!$C$5:$C$304,MATCH($B730,الموظفات!$B$5:$B$304,0))&amp;"",""))</f>
        <v/>
      </c>
      <c r="M730" s="20">
        <f>IF($B730="","",IFERROR(INDEX(الموظفات!$D$5:$D$304,MATCH($B730,الموظفات!$B$5:$B$304,0))&amp;"",""))</f>
        <v/>
      </c>
      <c r="N730" s="20">
        <f>IF($B730="","",IFERROR(INDEX(الموظفات!$E$5:$E$304,MATCH($B730,الموظفات!$B$5:$B$304,0))&amp;"",""))</f>
        <v/>
      </c>
      <c r="O730" s="21">
        <f>IF(C730="","",IFERROR(INDEX(الإعدادات!$D$7:$D$35,MATCH(C730,الإعدادات!$A$7:$A$35,0))&amp;"",""))</f>
        <v/>
      </c>
      <c r="P730" s="20">
        <f>IF(A730="","",INDEX(الإعدادات!$H$7:$H$18,MONTH(A730)))</f>
        <v/>
      </c>
      <c r="Q730" s="20">
        <f>IF(A730="","",INDEX(الإعدادات!$I$7:$I$18,MONTH(A730)))</f>
        <v/>
      </c>
      <c r="R730" s="20">
        <f>IF(A730="","",IF(MONTH(A730)&gt;=8,YEAR(A730)&amp;"-"&amp;(YEAR(A730)+1),(YEAR(A730)-1)&amp;"-"&amp;YEAR(A730)))</f>
        <v/>
      </c>
      <c r="S730" s="20">
        <f>IF(OR(A730="",B730=""),0,IF(AND(R730=التقارير!$C$4,OR(التقارير!$C$5="سنوي",AND(التقارير!$C$5="شهري",P730=التقارير!$C$6),AND(التقارير!$C$5="فصلي",Q730=التقارير!$C$7))),1,0))</f>
        <v/>
      </c>
      <c r="T730" s="20">
        <f>IF(S730=1,COUNTIF($S$5:S730,1),"")</f>
        <v/>
      </c>
      <c r="U730">
        <f>IF(AND($A730&lt;&gt;"",$B730&lt;&gt;"",$R730='تقرير الفصل الأول'!$C$4,$Q730='تقرير الفصل الأول'!$C$7),COUNT(U$4:U729)+1,"")</f>
        <v/>
      </c>
      <c r="V730">
        <f>IF(AND($A730&lt;&gt;"",$B730&lt;&gt;"",$R730='تقرير الفصل الثاني'!$C$4,$Q730='تقرير الفصل الثاني'!$C$7),COUNT(V$4:V729)+1,"")</f>
        <v/>
      </c>
      <c r="W730">
        <f>IF(AND($A730&lt;&gt;"",$B730&lt;&gt;"",$R730='تقرير سبتمبر'!$C$4,$P730='تقرير سبتمبر'!$C$6),COUNT(W$4:W729)+1,"")</f>
        <v/>
      </c>
      <c r="X730">
        <f>IF(AND($A730&lt;&gt;"",$B730&lt;&gt;"",$R730='تقرير أكتوبر'!$C$4,$P730='تقرير أكتوبر'!$C$6),COUNT(X$4:X729)+1,"")</f>
        <v/>
      </c>
      <c r="Y730">
        <f>IF(AND($A730&lt;&gt;"",$B730&lt;&gt;"",$R730='تقرير نوفمبر'!$C$4,$P730='تقرير نوفمبر'!$C$6),COUNT(Y$4:Y729)+1,"")</f>
        <v/>
      </c>
      <c r="Z730">
        <f>IF(AND($A730&lt;&gt;"",$B730&lt;&gt;"",$R730='تقرير ديسمبر'!$C$4,$P730='تقرير ديسمبر'!$C$6),COUNT(Z$4:Z729)+1,"")</f>
        <v/>
      </c>
      <c r="AA730">
        <f>IF(AND($A730&lt;&gt;"",$B730&lt;&gt;"",$R730='تقرير يناير'!$C$4,$P730='تقرير يناير'!$C$6),COUNT(AA$4:AA729)+1,"")</f>
        <v/>
      </c>
      <c r="AB730">
        <f>IF(AND($A730&lt;&gt;"",$B730&lt;&gt;"",$R730='تقرير فبراير'!$C$4,$P730='تقرير فبراير'!$C$6),COUNT(AB$4:AB729)+1,"")</f>
        <v/>
      </c>
      <c r="AC730">
        <f>IF(AND($A730&lt;&gt;"",$B730&lt;&gt;"",$R730='تقرير مارس'!$C$4,$P730='تقرير مارس'!$C$6),COUNT(AC$4:AC729)+1,"")</f>
        <v/>
      </c>
      <c r="AD730">
        <f>IF(AND($A730&lt;&gt;"",$B730&lt;&gt;"",$R730='تقرير أبريل'!$C$4,$P730='تقرير أبريل'!$C$6),COUNT(AD$4:AD729)+1,"")</f>
        <v/>
      </c>
      <c r="AE730">
        <f>IF(AND($A730&lt;&gt;"",$B730&lt;&gt;"",$R730='تقرير مايو'!$C$4,$P730='تقرير مايو'!$C$6),COUNT(AE$4:AE729)+1,"")</f>
        <v/>
      </c>
    </row>
    <row r="731">
      <c r="A731" s="16" t="n"/>
      <c r="B731" s="17" t="n"/>
      <c r="C731" s="17" t="n"/>
      <c r="D731" s="18" t="n"/>
      <c r="E731" s="17" t="n"/>
      <c r="F731" s="17" t="n"/>
      <c r="G731" s="19" t="n"/>
      <c r="H731" s="17" t="n"/>
      <c r="I731" s="17" t="n"/>
      <c r="J731" s="17" t="n"/>
      <c r="K731" s="20">
        <f>IF($B731="","",IFERROR(INDEX(الموظفات!$A$5:$A$304,MATCH($B731,الموظفات!$B$5:$B$304,0))&amp;"",""))</f>
        <v/>
      </c>
      <c r="L731" s="21">
        <f>IF($B731="","",IFERROR(INDEX(الموظفات!$C$5:$C$304,MATCH($B731,الموظفات!$B$5:$B$304,0))&amp;"",""))</f>
        <v/>
      </c>
      <c r="M731" s="20">
        <f>IF($B731="","",IFERROR(INDEX(الموظفات!$D$5:$D$304,MATCH($B731,الموظفات!$B$5:$B$304,0))&amp;"",""))</f>
        <v/>
      </c>
      <c r="N731" s="20">
        <f>IF($B731="","",IFERROR(INDEX(الموظفات!$E$5:$E$304,MATCH($B731,الموظفات!$B$5:$B$304,0))&amp;"",""))</f>
        <v/>
      </c>
      <c r="O731" s="21">
        <f>IF(C731="","",IFERROR(INDEX(الإعدادات!$D$7:$D$35,MATCH(C731,الإعدادات!$A$7:$A$35,0))&amp;"",""))</f>
        <v/>
      </c>
      <c r="P731" s="20">
        <f>IF(A731="","",INDEX(الإعدادات!$H$7:$H$18,MONTH(A731)))</f>
        <v/>
      </c>
      <c r="Q731" s="20">
        <f>IF(A731="","",INDEX(الإعدادات!$I$7:$I$18,MONTH(A731)))</f>
        <v/>
      </c>
      <c r="R731" s="20">
        <f>IF(A731="","",IF(MONTH(A731)&gt;=8,YEAR(A731)&amp;"-"&amp;(YEAR(A731)+1),(YEAR(A731)-1)&amp;"-"&amp;YEAR(A731)))</f>
        <v/>
      </c>
      <c r="S731" s="20">
        <f>IF(OR(A731="",B731=""),0,IF(AND(R731=التقارير!$C$4,OR(التقارير!$C$5="سنوي",AND(التقارير!$C$5="شهري",P731=التقارير!$C$6),AND(التقارير!$C$5="فصلي",Q731=التقارير!$C$7))),1,0))</f>
        <v/>
      </c>
      <c r="T731" s="20">
        <f>IF(S731=1,COUNTIF($S$5:S731,1),"")</f>
        <v/>
      </c>
      <c r="U731">
        <f>IF(AND($A731&lt;&gt;"",$B731&lt;&gt;"",$R731='تقرير الفصل الأول'!$C$4,$Q731='تقرير الفصل الأول'!$C$7),COUNT(U$4:U730)+1,"")</f>
        <v/>
      </c>
      <c r="V731">
        <f>IF(AND($A731&lt;&gt;"",$B731&lt;&gt;"",$R731='تقرير الفصل الثاني'!$C$4,$Q731='تقرير الفصل الثاني'!$C$7),COUNT(V$4:V730)+1,"")</f>
        <v/>
      </c>
      <c r="W731">
        <f>IF(AND($A731&lt;&gt;"",$B731&lt;&gt;"",$R731='تقرير سبتمبر'!$C$4,$P731='تقرير سبتمبر'!$C$6),COUNT(W$4:W730)+1,"")</f>
        <v/>
      </c>
      <c r="X731">
        <f>IF(AND($A731&lt;&gt;"",$B731&lt;&gt;"",$R731='تقرير أكتوبر'!$C$4,$P731='تقرير أكتوبر'!$C$6),COUNT(X$4:X730)+1,"")</f>
        <v/>
      </c>
      <c r="Y731">
        <f>IF(AND($A731&lt;&gt;"",$B731&lt;&gt;"",$R731='تقرير نوفمبر'!$C$4,$P731='تقرير نوفمبر'!$C$6),COUNT(Y$4:Y730)+1,"")</f>
        <v/>
      </c>
      <c r="Z731">
        <f>IF(AND($A731&lt;&gt;"",$B731&lt;&gt;"",$R731='تقرير ديسمبر'!$C$4,$P731='تقرير ديسمبر'!$C$6),COUNT(Z$4:Z730)+1,"")</f>
        <v/>
      </c>
      <c r="AA731">
        <f>IF(AND($A731&lt;&gt;"",$B731&lt;&gt;"",$R731='تقرير يناير'!$C$4,$P731='تقرير يناير'!$C$6),COUNT(AA$4:AA730)+1,"")</f>
        <v/>
      </c>
      <c r="AB731">
        <f>IF(AND($A731&lt;&gt;"",$B731&lt;&gt;"",$R731='تقرير فبراير'!$C$4,$P731='تقرير فبراير'!$C$6),COUNT(AB$4:AB730)+1,"")</f>
        <v/>
      </c>
      <c r="AC731">
        <f>IF(AND($A731&lt;&gt;"",$B731&lt;&gt;"",$R731='تقرير مارس'!$C$4,$P731='تقرير مارس'!$C$6),COUNT(AC$4:AC730)+1,"")</f>
        <v/>
      </c>
      <c r="AD731">
        <f>IF(AND($A731&lt;&gt;"",$B731&lt;&gt;"",$R731='تقرير أبريل'!$C$4,$P731='تقرير أبريل'!$C$6),COUNT(AD$4:AD730)+1,"")</f>
        <v/>
      </c>
      <c r="AE731">
        <f>IF(AND($A731&lt;&gt;"",$B731&lt;&gt;"",$R731='تقرير مايو'!$C$4,$P731='تقرير مايو'!$C$6),COUNT(AE$4:AE730)+1,"")</f>
        <v/>
      </c>
    </row>
    <row r="732">
      <c r="A732" s="16" t="n"/>
      <c r="B732" s="17" t="n"/>
      <c r="C732" s="17" t="n"/>
      <c r="D732" s="18" t="n"/>
      <c r="E732" s="17" t="n"/>
      <c r="F732" s="17" t="n"/>
      <c r="G732" s="19" t="n"/>
      <c r="H732" s="17" t="n"/>
      <c r="I732" s="17" t="n"/>
      <c r="J732" s="17" t="n"/>
      <c r="K732" s="20">
        <f>IF($B732="","",IFERROR(INDEX(الموظفات!$A$5:$A$304,MATCH($B732,الموظفات!$B$5:$B$304,0))&amp;"",""))</f>
        <v/>
      </c>
      <c r="L732" s="21">
        <f>IF($B732="","",IFERROR(INDEX(الموظفات!$C$5:$C$304,MATCH($B732,الموظفات!$B$5:$B$304,0))&amp;"",""))</f>
        <v/>
      </c>
      <c r="M732" s="20">
        <f>IF($B732="","",IFERROR(INDEX(الموظفات!$D$5:$D$304,MATCH($B732,الموظفات!$B$5:$B$304,0))&amp;"",""))</f>
        <v/>
      </c>
      <c r="N732" s="20">
        <f>IF($B732="","",IFERROR(INDEX(الموظفات!$E$5:$E$304,MATCH($B732,الموظفات!$B$5:$B$304,0))&amp;"",""))</f>
        <v/>
      </c>
      <c r="O732" s="21">
        <f>IF(C732="","",IFERROR(INDEX(الإعدادات!$D$7:$D$35,MATCH(C732,الإعدادات!$A$7:$A$35,0))&amp;"",""))</f>
        <v/>
      </c>
      <c r="P732" s="20">
        <f>IF(A732="","",INDEX(الإعدادات!$H$7:$H$18,MONTH(A732)))</f>
        <v/>
      </c>
      <c r="Q732" s="20">
        <f>IF(A732="","",INDEX(الإعدادات!$I$7:$I$18,MONTH(A732)))</f>
        <v/>
      </c>
      <c r="R732" s="20">
        <f>IF(A732="","",IF(MONTH(A732)&gt;=8,YEAR(A732)&amp;"-"&amp;(YEAR(A732)+1),(YEAR(A732)-1)&amp;"-"&amp;YEAR(A732)))</f>
        <v/>
      </c>
      <c r="S732" s="20">
        <f>IF(OR(A732="",B732=""),0,IF(AND(R732=التقارير!$C$4,OR(التقارير!$C$5="سنوي",AND(التقارير!$C$5="شهري",P732=التقارير!$C$6),AND(التقارير!$C$5="فصلي",Q732=التقارير!$C$7))),1,0))</f>
        <v/>
      </c>
      <c r="T732" s="20">
        <f>IF(S732=1,COUNTIF($S$5:S732,1),"")</f>
        <v/>
      </c>
      <c r="U732">
        <f>IF(AND($A732&lt;&gt;"",$B732&lt;&gt;"",$R732='تقرير الفصل الأول'!$C$4,$Q732='تقرير الفصل الأول'!$C$7),COUNT(U$4:U731)+1,"")</f>
        <v/>
      </c>
      <c r="V732">
        <f>IF(AND($A732&lt;&gt;"",$B732&lt;&gt;"",$R732='تقرير الفصل الثاني'!$C$4,$Q732='تقرير الفصل الثاني'!$C$7),COUNT(V$4:V731)+1,"")</f>
        <v/>
      </c>
      <c r="W732">
        <f>IF(AND($A732&lt;&gt;"",$B732&lt;&gt;"",$R732='تقرير سبتمبر'!$C$4,$P732='تقرير سبتمبر'!$C$6),COUNT(W$4:W731)+1,"")</f>
        <v/>
      </c>
      <c r="X732">
        <f>IF(AND($A732&lt;&gt;"",$B732&lt;&gt;"",$R732='تقرير أكتوبر'!$C$4,$P732='تقرير أكتوبر'!$C$6),COUNT(X$4:X731)+1,"")</f>
        <v/>
      </c>
      <c r="Y732">
        <f>IF(AND($A732&lt;&gt;"",$B732&lt;&gt;"",$R732='تقرير نوفمبر'!$C$4,$P732='تقرير نوفمبر'!$C$6),COUNT(Y$4:Y731)+1,"")</f>
        <v/>
      </c>
      <c r="Z732">
        <f>IF(AND($A732&lt;&gt;"",$B732&lt;&gt;"",$R732='تقرير ديسمبر'!$C$4,$P732='تقرير ديسمبر'!$C$6),COUNT(Z$4:Z731)+1,"")</f>
        <v/>
      </c>
      <c r="AA732">
        <f>IF(AND($A732&lt;&gt;"",$B732&lt;&gt;"",$R732='تقرير يناير'!$C$4,$P732='تقرير يناير'!$C$6),COUNT(AA$4:AA731)+1,"")</f>
        <v/>
      </c>
      <c r="AB732">
        <f>IF(AND($A732&lt;&gt;"",$B732&lt;&gt;"",$R732='تقرير فبراير'!$C$4,$P732='تقرير فبراير'!$C$6),COUNT(AB$4:AB731)+1,"")</f>
        <v/>
      </c>
      <c r="AC732">
        <f>IF(AND($A732&lt;&gt;"",$B732&lt;&gt;"",$R732='تقرير مارس'!$C$4,$P732='تقرير مارس'!$C$6),COUNT(AC$4:AC731)+1,"")</f>
        <v/>
      </c>
      <c r="AD732">
        <f>IF(AND($A732&lt;&gt;"",$B732&lt;&gt;"",$R732='تقرير أبريل'!$C$4,$P732='تقرير أبريل'!$C$6),COUNT(AD$4:AD731)+1,"")</f>
        <v/>
      </c>
      <c r="AE732">
        <f>IF(AND($A732&lt;&gt;"",$B732&lt;&gt;"",$R732='تقرير مايو'!$C$4,$P732='تقرير مايو'!$C$6),COUNT(AE$4:AE731)+1,"")</f>
        <v/>
      </c>
    </row>
    <row r="733">
      <c r="A733" s="16" t="n"/>
      <c r="B733" s="17" t="n"/>
      <c r="C733" s="17" t="n"/>
      <c r="D733" s="18" t="n"/>
      <c r="E733" s="17" t="n"/>
      <c r="F733" s="17" t="n"/>
      <c r="G733" s="19" t="n"/>
      <c r="H733" s="17" t="n"/>
      <c r="I733" s="17" t="n"/>
      <c r="J733" s="17" t="n"/>
      <c r="K733" s="20">
        <f>IF($B733="","",IFERROR(INDEX(الموظفات!$A$5:$A$304,MATCH($B733,الموظفات!$B$5:$B$304,0))&amp;"",""))</f>
        <v/>
      </c>
      <c r="L733" s="21">
        <f>IF($B733="","",IFERROR(INDEX(الموظفات!$C$5:$C$304,MATCH($B733,الموظفات!$B$5:$B$304,0))&amp;"",""))</f>
        <v/>
      </c>
      <c r="M733" s="20">
        <f>IF($B733="","",IFERROR(INDEX(الموظفات!$D$5:$D$304,MATCH($B733,الموظفات!$B$5:$B$304,0))&amp;"",""))</f>
        <v/>
      </c>
      <c r="N733" s="20">
        <f>IF($B733="","",IFERROR(INDEX(الموظفات!$E$5:$E$304,MATCH($B733,الموظفات!$B$5:$B$304,0))&amp;"",""))</f>
        <v/>
      </c>
      <c r="O733" s="21">
        <f>IF(C733="","",IFERROR(INDEX(الإعدادات!$D$7:$D$35,MATCH(C733,الإعدادات!$A$7:$A$35,0))&amp;"",""))</f>
        <v/>
      </c>
      <c r="P733" s="20">
        <f>IF(A733="","",INDEX(الإعدادات!$H$7:$H$18,MONTH(A733)))</f>
        <v/>
      </c>
      <c r="Q733" s="20">
        <f>IF(A733="","",INDEX(الإعدادات!$I$7:$I$18,MONTH(A733)))</f>
        <v/>
      </c>
      <c r="R733" s="20">
        <f>IF(A733="","",IF(MONTH(A733)&gt;=8,YEAR(A733)&amp;"-"&amp;(YEAR(A733)+1),(YEAR(A733)-1)&amp;"-"&amp;YEAR(A733)))</f>
        <v/>
      </c>
      <c r="S733" s="20">
        <f>IF(OR(A733="",B733=""),0,IF(AND(R733=التقارير!$C$4,OR(التقارير!$C$5="سنوي",AND(التقارير!$C$5="شهري",P733=التقارير!$C$6),AND(التقارير!$C$5="فصلي",Q733=التقارير!$C$7))),1,0))</f>
        <v/>
      </c>
      <c r="T733" s="20">
        <f>IF(S733=1,COUNTIF($S$5:S733,1),"")</f>
        <v/>
      </c>
      <c r="U733">
        <f>IF(AND($A733&lt;&gt;"",$B733&lt;&gt;"",$R733='تقرير الفصل الأول'!$C$4,$Q733='تقرير الفصل الأول'!$C$7),COUNT(U$4:U732)+1,"")</f>
        <v/>
      </c>
      <c r="V733">
        <f>IF(AND($A733&lt;&gt;"",$B733&lt;&gt;"",$R733='تقرير الفصل الثاني'!$C$4,$Q733='تقرير الفصل الثاني'!$C$7),COUNT(V$4:V732)+1,"")</f>
        <v/>
      </c>
      <c r="W733">
        <f>IF(AND($A733&lt;&gt;"",$B733&lt;&gt;"",$R733='تقرير سبتمبر'!$C$4,$P733='تقرير سبتمبر'!$C$6),COUNT(W$4:W732)+1,"")</f>
        <v/>
      </c>
      <c r="X733">
        <f>IF(AND($A733&lt;&gt;"",$B733&lt;&gt;"",$R733='تقرير أكتوبر'!$C$4,$P733='تقرير أكتوبر'!$C$6),COUNT(X$4:X732)+1,"")</f>
        <v/>
      </c>
      <c r="Y733">
        <f>IF(AND($A733&lt;&gt;"",$B733&lt;&gt;"",$R733='تقرير نوفمبر'!$C$4,$P733='تقرير نوفمبر'!$C$6),COUNT(Y$4:Y732)+1,"")</f>
        <v/>
      </c>
      <c r="Z733">
        <f>IF(AND($A733&lt;&gt;"",$B733&lt;&gt;"",$R733='تقرير ديسمبر'!$C$4,$P733='تقرير ديسمبر'!$C$6),COUNT(Z$4:Z732)+1,"")</f>
        <v/>
      </c>
      <c r="AA733">
        <f>IF(AND($A733&lt;&gt;"",$B733&lt;&gt;"",$R733='تقرير يناير'!$C$4,$P733='تقرير يناير'!$C$6),COUNT(AA$4:AA732)+1,"")</f>
        <v/>
      </c>
      <c r="AB733">
        <f>IF(AND($A733&lt;&gt;"",$B733&lt;&gt;"",$R733='تقرير فبراير'!$C$4,$P733='تقرير فبراير'!$C$6),COUNT(AB$4:AB732)+1,"")</f>
        <v/>
      </c>
      <c r="AC733">
        <f>IF(AND($A733&lt;&gt;"",$B733&lt;&gt;"",$R733='تقرير مارس'!$C$4,$P733='تقرير مارس'!$C$6),COUNT(AC$4:AC732)+1,"")</f>
        <v/>
      </c>
      <c r="AD733">
        <f>IF(AND($A733&lt;&gt;"",$B733&lt;&gt;"",$R733='تقرير أبريل'!$C$4,$P733='تقرير أبريل'!$C$6),COUNT(AD$4:AD732)+1,"")</f>
        <v/>
      </c>
      <c r="AE733">
        <f>IF(AND($A733&lt;&gt;"",$B733&lt;&gt;"",$R733='تقرير مايو'!$C$4,$P733='تقرير مايو'!$C$6),COUNT(AE$4:AE732)+1,"")</f>
        <v/>
      </c>
    </row>
    <row r="734">
      <c r="A734" s="16" t="n"/>
      <c r="B734" s="17" t="n"/>
      <c r="C734" s="17" t="n"/>
      <c r="D734" s="18" t="n"/>
      <c r="E734" s="17" t="n"/>
      <c r="F734" s="17" t="n"/>
      <c r="G734" s="19" t="n"/>
      <c r="H734" s="17" t="n"/>
      <c r="I734" s="17" t="n"/>
      <c r="J734" s="17" t="n"/>
      <c r="K734" s="20">
        <f>IF($B734="","",IFERROR(INDEX(الموظفات!$A$5:$A$304,MATCH($B734,الموظفات!$B$5:$B$304,0))&amp;"",""))</f>
        <v/>
      </c>
      <c r="L734" s="21">
        <f>IF($B734="","",IFERROR(INDEX(الموظفات!$C$5:$C$304,MATCH($B734,الموظفات!$B$5:$B$304,0))&amp;"",""))</f>
        <v/>
      </c>
      <c r="M734" s="20">
        <f>IF($B734="","",IFERROR(INDEX(الموظفات!$D$5:$D$304,MATCH($B734,الموظفات!$B$5:$B$304,0))&amp;"",""))</f>
        <v/>
      </c>
      <c r="N734" s="20">
        <f>IF($B734="","",IFERROR(INDEX(الموظفات!$E$5:$E$304,MATCH($B734,الموظفات!$B$5:$B$304,0))&amp;"",""))</f>
        <v/>
      </c>
      <c r="O734" s="21">
        <f>IF(C734="","",IFERROR(INDEX(الإعدادات!$D$7:$D$35,MATCH(C734,الإعدادات!$A$7:$A$35,0))&amp;"",""))</f>
        <v/>
      </c>
      <c r="P734" s="20">
        <f>IF(A734="","",INDEX(الإعدادات!$H$7:$H$18,MONTH(A734)))</f>
        <v/>
      </c>
      <c r="Q734" s="20">
        <f>IF(A734="","",INDEX(الإعدادات!$I$7:$I$18,MONTH(A734)))</f>
        <v/>
      </c>
      <c r="R734" s="20">
        <f>IF(A734="","",IF(MONTH(A734)&gt;=8,YEAR(A734)&amp;"-"&amp;(YEAR(A734)+1),(YEAR(A734)-1)&amp;"-"&amp;YEAR(A734)))</f>
        <v/>
      </c>
      <c r="S734" s="20">
        <f>IF(OR(A734="",B734=""),0,IF(AND(R734=التقارير!$C$4,OR(التقارير!$C$5="سنوي",AND(التقارير!$C$5="شهري",P734=التقارير!$C$6),AND(التقارير!$C$5="فصلي",Q734=التقارير!$C$7))),1,0))</f>
        <v/>
      </c>
      <c r="T734" s="20">
        <f>IF(S734=1,COUNTIF($S$5:S734,1),"")</f>
        <v/>
      </c>
      <c r="U734">
        <f>IF(AND($A734&lt;&gt;"",$B734&lt;&gt;"",$R734='تقرير الفصل الأول'!$C$4,$Q734='تقرير الفصل الأول'!$C$7),COUNT(U$4:U733)+1,"")</f>
        <v/>
      </c>
      <c r="V734">
        <f>IF(AND($A734&lt;&gt;"",$B734&lt;&gt;"",$R734='تقرير الفصل الثاني'!$C$4,$Q734='تقرير الفصل الثاني'!$C$7),COUNT(V$4:V733)+1,"")</f>
        <v/>
      </c>
      <c r="W734">
        <f>IF(AND($A734&lt;&gt;"",$B734&lt;&gt;"",$R734='تقرير سبتمبر'!$C$4,$P734='تقرير سبتمبر'!$C$6),COUNT(W$4:W733)+1,"")</f>
        <v/>
      </c>
      <c r="X734">
        <f>IF(AND($A734&lt;&gt;"",$B734&lt;&gt;"",$R734='تقرير أكتوبر'!$C$4,$P734='تقرير أكتوبر'!$C$6),COUNT(X$4:X733)+1,"")</f>
        <v/>
      </c>
      <c r="Y734">
        <f>IF(AND($A734&lt;&gt;"",$B734&lt;&gt;"",$R734='تقرير نوفمبر'!$C$4,$P734='تقرير نوفمبر'!$C$6),COUNT(Y$4:Y733)+1,"")</f>
        <v/>
      </c>
      <c r="Z734">
        <f>IF(AND($A734&lt;&gt;"",$B734&lt;&gt;"",$R734='تقرير ديسمبر'!$C$4,$P734='تقرير ديسمبر'!$C$6),COUNT(Z$4:Z733)+1,"")</f>
        <v/>
      </c>
      <c r="AA734">
        <f>IF(AND($A734&lt;&gt;"",$B734&lt;&gt;"",$R734='تقرير يناير'!$C$4,$P734='تقرير يناير'!$C$6),COUNT(AA$4:AA733)+1,"")</f>
        <v/>
      </c>
      <c r="AB734">
        <f>IF(AND($A734&lt;&gt;"",$B734&lt;&gt;"",$R734='تقرير فبراير'!$C$4,$P734='تقرير فبراير'!$C$6),COUNT(AB$4:AB733)+1,"")</f>
        <v/>
      </c>
      <c r="AC734">
        <f>IF(AND($A734&lt;&gt;"",$B734&lt;&gt;"",$R734='تقرير مارس'!$C$4,$P734='تقرير مارس'!$C$6),COUNT(AC$4:AC733)+1,"")</f>
        <v/>
      </c>
      <c r="AD734">
        <f>IF(AND($A734&lt;&gt;"",$B734&lt;&gt;"",$R734='تقرير أبريل'!$C$4,$P734='تقرير أبريل'!$C$6),COUNT(AD$4:AD733)+1,"")</f>
        <v/>
      </c>
      <c r="AE734">
        <f>IF(AND($A734&lt;&gt;"",$B734&lt;&gt;"",$R734='تقرير مايو'!$C$4,$P734='تقرير مايو'!$C$6),COUNT(AE$4:AE733)+1,"")</f>
        <v/>
      </c>
    </row>
    <row r="735">
      <c r="A735" s="16" t="n"/>
      <c r="B735" s="17" t="n"/>
      <c r="C735" s="17" t="n"/>
      <c r="D735" s="18" t="n"/>
      <c r="E735" s="17" t="n"/>
      <c r="F735" s="17" t="n"/>
      <c r="G735" s="19" t="n"/>
      <c r="H735" s="17" t="n"/>
      <c r="I735" s="17" t="n"/>
      <c r="J735" s="17" t="n"/>
      <c r="K735" s="20">
        <f>IF($B735="","",IFERROR(INDEX(الموظفات!$A$5:$A$304,MATCH($B735,الموظفات!$B$5:$B$304,0))&amp;"",""))</f>
        <v/>
      </c>
      <c r="L735" s="21">
        <f>IF($B735="","",IFERROR(INDEX(الموظفات!$C$5:$C$304,MATCH($B735,الموظفات!$B$5:$B$304,0))&amp;"",""))</f>
        <v/>
      </c>
      <c r="M735" s="20">
        <f>IF($B735="","",IFERROR(INDEX(الموظفات!$D$5:$D$304,MATCH($B735,الموظفات!$B$5:$B$304,0))&amp;"",""))</f>
        <v/>
      </c>
      <c r="N735" s="20">
        <f>IF($B735="","",IFERROR(INDEX(الموظفات!$E$5:$E$304,MATCH($B735,الموظفات!$B$5:$B$304,0))&amp;"",""))</f>
        <v/>
      </c>
      <c r="O735" s="21">
        <f>IF(C735="","",IFERROR(INDEX(الإعدادات!$D$7:$D$35,MATCH(C735,الإعدادات!$A$7:$A$35,0))&amp;"",""))</f>
        <v/>
      </c>
      <c r="P735" s="20">
        <f>IF(A735="","",INDEX(الإعدادات!$H$7:$H$18,MONTH(A735)))</f>
        <v/>
      </c>
      <c r="Q735" s="20">
        <f>IF(A735="","",INDEX(الإعدادات!$I$7:$I$18,MONTH(A735)))</f>
        <v/>
      </c>
      <c r="R735" s="20">
        <f>IF(A735="","",IF(MONTH(A735)&gt;=8,YEAR(A735)&amp;"-"&amp;(YEAR(A735)+1),(YEAR(A735)-1)&amp;"-"&amp;YEAR(A735)))</f>
        <v/>
      </c>
      <c r="S735" s="20">
        <f>IF(OR(A735="",B735=""),0,IF(AND(R735=التقارير!$C$4,OR(التقارير!$C$5="سنوي",AND(التقارير!$C$5="شهري",P735=التقارير!$C$6),AND(التقارير!$C$5="فصلي",Q735=التقارير!$C$7))),1,0))</f>
        <v/>
      </c>
      <c r="T735" s="20">
        <f>IF(S735=1,COUNTIF($S$5:S735,1),"")</f>
        <v/>
      </c>
      <c r="U735">
        <f>IF(AND($A735&lt;&gt;"",$B735&lt;&gt;"",$R735='تقرير الفصل الأول'!$C$4,$Q735='تقرير الفصل الأول'!$C$7),COUNT(U$4:U734)+1,"")</f>
        <v/>
      </c>
      <c r="V735">
        <f>IF(AND($A735&lt;&gt;"",$B735&lt;&gt;"",$R735='تقرير الفصل الثاني'!$C$4,$Q735='تقرير الفصل الثاني'!$C$7),COUNT(V$4:V734)+1,"")</f>
        <v/>
      </c>
      <c r="W735">
        <f>IF(AND($A735&lt;&gt;"",$B735&lt;&gt;"",$R735='تقرير سبتمبر'!$C$4,$P735='تقرير سبتمبر'!$C$6),COUNT(W$4:W734)+1,"")</f>
        <v/>
      </c>
      <c r="X735">
        <f>IF(AND($A735&lt;&gt;"",$B735&lt;&gt;"",$R735='تقرير أكتوبر'!$C$4,$P735='تقرير أكتوبر'!$C$6),COUNT(X$4:X734)+1,"")</f>
        <v/>
      </c>
      <c r="Y735">
        <f>IF(AND($A735&lt;&gt;"",$B735&lt;&gt;"",$R735='تقرير نوفمبر'!$C$4,$P735='تقرير نوفمبر'!$C$6),COUNT(Y$4:Y734)+1,"")</f>
        <v/>
      </c>
      <c r="Z735">
        <f>IF(AND($A735&lt;&gt;"",$B735&lt;&gt;"",$R735='تقرير ديسمبر'!$C$4,$P735='تقرير ديسمبر'!$C$6),COUNT(Z$4:Z734)+1,"")</f>
        <v/>
      </c>
      <c r="AA735">
        <f>IF(AND($A735&lt;&gt;"",$B735&lt;&gt;"",$R735='تقرير يناير'!$C$4,$P735='تقرير يناير'!$C$6),COUNT(AA$4:AA734)+1,"")</f>
        <v/>
      </c>
      <c r="AB735">
        <f>IF(AND($A735&lt;&gt;"",$B735&lt;&gt;"",$R735='تقرير فبراير'!$C$4,$P735='تقرير فبراير'!$C$6),COUNT(AB$4:AB734)+1,"")</f>
        <v/>
      </c>
      <c r="AC735">
        <f>IF(AND($A735&lt;&gt;"",$B735&lt;&gt;"",$R735='تقرير مارس'!$C$4,$P735='تقرير مارس'!$C$6),COUNT(AC$4:AC734)+1,"")</f>
        <v/>
      </c>
      <c r="AD735">
        <f>IF(AND($A735&lt;&gt;"",$B735&lt;&gt;"",$R735='تقرير أبريل'!$C$4,$P735='تقرير أبريل'!$C$6),COUNT(AD$4:AD734)+1,"")</f>
        <v/>
      </c>
      <c r="AE735">
        <f>IF(AND($A735&lt;&gt;"",$B735&lt;&gt;"",$R735='تقرير مايو'!$C$4,$P735='تقرير مايو'!$C$6),COUNT(AE$4:AE734)+1,"")</f>
        <v/>
      </c>
    </row>
    <row r="736">
      <c r="A736" s="16" t="n"/>
      <c r="B736" s="17" t="n"/>
      <c r="C736" s="17" t="n"/>
      <c r="D736" s="18" t="n"/>
      <c r="E736" s="17" t="n"/>
      <c r="F736" s="17" t="n"/>
      <c r="G736" s="19" t="n"/>
      <c r="H736" s="17" t="n"/>
      <c r="I736" s="17" t="n"/>
      <c r="J736" s="17" t="n"/>
      <c r="K736" s="20">
        <f>IF($B736="","",IFERROR(INDEX(الموظفات!$A$5:$A$304,MATCH($B736,الموظفات!$B$5:$B$304,0))&amp;"",""))</f>
        <v/>
      </c>
      <c r="L736" s="21">
        <f>IF($B736="","",IFERROR(INDEX(الموظفات!$C$5:$C$304,MATCH($B736,الموظفات!$B$5:$B$304,0))&amp;"",""))</f>
        <v/>
      </c>
      <c r="M736" s="20">
        <f>IF($B736="","",IFERROR(INDEX(الموظفات!$D$5:$D$304,MATCH($B736,الموظفات!$B$5:$B$304,0))&amp;"",""))</f>
        <v/>
      </c>
      <c r="N736" s="20">
        <f>IF($B736="","",IFERROR(INDEX(الموظفات!$E$5:$E$304,MATCH($B736,الموظفات!$B$5:$B$304,0))&amp;"",""))</f>
        <v/>
      </c>
      <c r="O736" s="21">
        <f>IF(C736="","",IFERROR(INDEX(الإعدادات!$D$7:$D$35,MATCH(C736,الإعدادات!$A$7:$A$35,0))&amp;"",""))</f>
        <v/>
      </c>
      <c r="P736" s="20">
        <f>IF(A736="","",INDEX(الإعدادات!$H$7:$H$18,MONTH(A736)))</f>
        <v/>
      </c>
      <c r="Q736" s="20">
        <f>IF(A736="","",INDEX(الإعدادات!$I$7:$I$18,MONTH(A736)))</f>
        <v/>
      </c>
      <c r="R736" s="20">
        <f>IF(A736="","",IF(MONTH(A736)&gt;=8,YEAR(A736)&amp;"-"&amp;(YEAR(A736)+1),(YEAR(A736)-1)&amp;"-"&amp;YEAR(A736)))</f>
        <v/>
      </c>
      <c r="S736" s="20">
        <f>IF(OR(A736="",B736=""),0,IF(AND(R736=التقارير!$C$4,OR(التقارير!$C$5="سنوي",AND(التقارير!$C$5="شهري",P736=التقارير!$C$6),AND(التقارير!$C$5="فصلي",Q736=التقارير!$C$7))),1,0))</f>
        <v/>
      </c>
      <c r="T736" s="20">
        <f>IF(S736=1,COUNTIF($S$5:S736,1),"")</f>
        <v/>
      </c>
      <c r="U736">
        <f>IF(AND($A736&lt;&gt;"",$B736&lt;&gt;"",$R736='تقرير الفصل الأول'!$C$4,$Q736='تقرير الفصل الأول'!$C$7),COUNT(U$4:U735)+1,"")</f>
        <v/>
      </c>
      <c r="V736">
        <f>IF(AND($A736&lt;&gt;"",$B736&lt;&gt;"",$R736='تقرير الفصل الثاني'!$C$4,$Q736='تقرير الفصل الثاني'!$C$7),COUNT(V$4:V735)+1,"")</f>
        <v/>
      </c>
      <c r="W736">
        <f>IF(AND($A736&lt;&gt;"",$B736&lt;&gt;"",$R736='تقرير سبتمبر'!$C$4,$P736='تقرير سبتمبر'!$C$6),COUNT(W$4:W735)+1,"")</f>
        <v/>
      </c>
      <c r="X736">
        <f>IF(AND($A736&lt;&gt;"",$B736&lt;&gt;"",$R736='تقرير أكتوبر'!$C$4,$P736='تقرير أكتوبر'!$C$6),COUNT(X$4:X735)+1,"")</f>
        <v/>
      </c>
      <c r="Y736">
        <f>IF(AND($A736&lt;&gt;"",$B736&lt;&gt;"",$R736='تقرير نوفمبر'!$C$4,$P736='تقرير نوفمبر'!$C$6),COUNT(Y$4:Y735)+1,"")</f>
        <v/>
      </c>
      <c r="Z736">
        <f>IF(AND($A736&lt;&gt;"",$B736&lt;&gt;"",$R736='تقرير ديسمبر'!$C$4,$P736='تقرير ديسمبر'!$C$6),COUNT(Z$4:Z735)+1,"")</f>
        <v/>
      </c>
      <c r="AA736">
        <f>IF(AND($A736&lt;&gt;"",$B736&lt;&gt;"",$R736='تقرير يناير'!$C$4,$P736='تقرير يناير'!$C$6),COUNT(AA$4:AA735)+1,"")</f>
        <v/>
      </c>
      <c r="AB736">
        <f>IF(AND($A736&lt;&gt;"",$B736&lt;&gt;"",$R736='تقرير فبراير'!$C$4,$P736='تقرير فبراير'!$C$6),COUNT(AB$4:AB735)+1,"")</f>
        <v/>
      </c>
      <c r="AC736">
        <f>IF(AND($A736&lt;&gt;"",$B736&lt;&gt;"",$R736='تقرير مارس'!$C$4,$P736='تقرير مارس'!$C$6),COUNT(AC$4:AC735)+1,"")</f>
        <v/>
      </c>
      <c r="AD736">
        <f>IF(AND($A736&lt;&gt;"",$B736&lt;&gt;"",$R736='تقرير أبريل'!$C$4,$P736='تقرير أبريل'!$C$6),COUNT(AD$4:AD735)+1,"")</f>
        <v/>
      </c>
      <c r="AE736">
        <f>IF(AND($A736&lt;&gt;"",$B736&lt;&gt;"",$R736='تقرير مايو'!$C$4,$P736='تقرير مايو'!$C$6),COUNT(AE$4:AE735)+1,"")</f>
        <v/>
      </c>
    </row>
    <row r="737">
      <c r="A737" s="16" t="n"/>
      <c r="B737" s="17" t="n"/>
      <c r="C737" s="17" t="n"/>
      <c r="D737" s="18" t="n"/>
      <c r="E737" s="17" t="n"/>
      <c r="F737" s="17" t="n"/>
      <c r="G737" s="19" t="n"/>
      <c r="H737" s="17" t="n"/>
      <c r="I737" s="17" t="n"/>
      <c r="J737" s="17" t="n"/>
      <c r="K737" s="20">
        <f>IF($B737="","",IFERROR(INDEX(الموظفات!$A$5:$A$304,MATCH($B737,الموظفات!$B$5:$B$304,0))&amp;"",""))</f>
        <v/>
      </c>
      <c r="L737" s="21">
        <f>IF($B737="","",IFERROR(INDEX(الموظفات!$C$5:$C$304,MATCH($B737,الموظفات!$B$5:$B$304,0))&amp;"",""))</f>
        <v/>
      </c>
      <c r="M737" s="20">
        <f>IF($B737="","",IFERROR(INDEX(الموظفات!$D$5:$D$304,MATCH($B737,الموظفات!$B$5:$B$304,0))&amp;"",""))</f>
        <v/>
      </c>
      <c r="N737" s="20">
        <f>IF($B737="","",IFERROR(INDEX(الموظفات!$E$5:$E$304,MATCH($B737,الموظفات!$B$5:$B$304,0))&amp;"",""))</f>
        <v/>
      </c>
      <c r="O737" s="21">
        <f>IF(C737="","",IFERROR(INDEX(الإعدادات!$D$7:$D$35,MATCH(C737,الإعدادات!$A$7:$A$35,0))&amp;"",""))</f>
        <v/>
      </c>
      <c r="P737" s="20">
        <f>IF(A737="","",INDEX(الإعدادات!$H$7:$H$18,MONTH(A737)))</f>
        <v/>
      </c>
      <c r="Q737" s="20">
        <f>IF(A737="","",INDEX(الإعدادات!$I$7:$I$18,MONTH(A737)))</f>
        <v/>
      </c>
      <c r="R737" s="20">
        <f>IF(A737="","",IF(MONTH(A737)&gt;=8,YEAR(A737)&amp;"-"&amp;(YEAR(A737)+1),(YEAR(A737)-1)&amp;"-"&amp;YEAR(A737)))</f>
        <v/>
      </c>
      <c r="S737" s="20">
        <f>IF(OR(A737="",B737=""),0,IF(AND(R737=التقارير!$C$4,OR(التقارير!$C$5="سنوي",AND(التقارير!$C$5="شهري",P737=التقارير!$C$6),AND(التقارير!$C$5="فصلي",Q737=التقارير!$C$7))),1,0))</f>
        <v/>
      </c>
      <c r="T737" s="20">
        <f>IF(S737=1,COUNTIF($S$5:S737,1),"")</f>
        <v/>
      </c>
      <c r="U737">
        <f>IF(AND($A737&lt;&gt;"",$B737&lt;&gt;"",$R737='تقرير الفصل الأول'!$C$4,$Q737='تقرير الفصل الأول'!$C$7),COUNT(U$4:U736)+1,"")</f>
        <v/>
      </c>
      <c r="V737">
        <f>IF(AND($A737&lt;&gt;"",$B737&lt;&gt;"",$R737='تقرير الفصل الثاني'!$C$4,$Q737='تقرير الفصل الثاني'!$C$7),COUNT(V$4:V736)+1,"")</f>
        <v/>
      </c>
      <c r="W737">
        <f>IF(AND($A737&lt;&gt;"",$B737&lt;&gt;"",$R737='تقرير سبتمبر'!$C$4,$P737='تقرير سبتمبر'!$C$6),COUNT(W$4:W736)+1,"")</f>
        <v/>
      </c>
      <c r="X737">
        <f>IF(AND($A737&lt;&gt;"",$B737&lt;&gt;"",$R737='تقرير أكتوبر'!$C$4,$P737='تقرير أكتوبر'!$C$6),COUNT(X$4:X736)+1,"")</f>
        <v/>
      </c>
      <c r="Y737">
        <f>IF(AND($A737&lt;&gt;"",$B737&lt;&gt;"",$R737='تقرير نوفمبر'!$C$4,$P737='تقرير نوفمبر'!$C$6),COUNT(Y$4:Y736)+1,"")</f>
        <v/>
      </c>
      <c r="Z737">
        <f>IF(AND($A737&lt;&gt;"",$B737&lt;&gt;"",$R737='تقرير ديسمبر'!$C$4,$P737='تقرير ديسمبر'!$C$6),COUNT(Z$4:Z736)+1,"")</f>
        <v/>
      </c>
      <c r="AA737">
        <f>IF(AND($A737&lt;&gt;"",$B737&lt;&gt;"",$R737='تقرير يناير'!$C$4,$P737='تقرير يناير'!$C$6),COUNT(AA$4:AA736)+1,"")</f>
        <v/>
      </c>
      <c r="AB737">
        <f>IF(AND($A737&lt;&gt;"",$B737&lt;&gt;"",$R737='تقرير فبراير'!$C$4,$P737='تقرير فبراير'!$C$6),COUNT(AB$4:AB736)+1,"")</f>
        <v/>
      </c>
      <c r="AC737">
        <f>IF(AND($A737&lt;&gt;"",$B737&lt;&gt;"",$R737='تقرير مارس'!$C$4,$P737='تقرير مارس'!$C$6),COUNT(AC$4:AC736)+1,"")</f>
        <v/>
      </c>
      <c r="AD737">
        <f>IF(AND($A737&lt;&gt;"",$B737&lt;&gt;"",$R737='تقرير أبريل'!$C$4,$P737='تقرير أبريل'!$C$6),COUNT(AD$4:AD736)+1,"")</f>
        <v/>
      </c>
      <c r="AE737">
        <f>IF(AND($A737&lt;&gt;"",$B737&lt;&gt;"",$R737='تقرير مايو'!$C$4,$P737='تقرير مايو'!$C$6),COUNT(AE$4:AE736)+1,"")</f>
        <v/>
      </c>
    </row>
    <row r="738">
      <c r="A738" s="16" t="n"/>
      <c r="B738" s="17" t="n"/>
      <c r="C738" s="17" t="n"/>
      <c r="D738" s="18" t="n"/>
      <c r="E738" s="17" t="n"/>
      <c r="F738" s="17" t="n"/>
      <c r="G738" s="19" t="n"/>
      <c r="H738" s="17" t="n"/>
      <c r="I738" s="17" t="n"/>
      <c r="J738" s="17" t="n"/>
      <c r="K738" s="20">
        <f>IF($B738="","",IFERROR(INDEX(الموظفات!$A$5:$A$304,MATCH($B738,الموظفات!$B$5:$B$304,0))&amp;"",""))</f>
        <v/>
      </c>
      <c r="L738" s="21">
        <f>IF($B738="","",IFERROR(INDEX(الموظفات!$C$5:$C$304,MATCH($B738,الموظفات!$B$5:$B$304,0))&amp;"",""))</f>
        <v/>
      </c>
      <c r="M738" s="20">
        <f>IF($B738="","",IFERROR(INDEX(الموظفات!$D$5:$D$304,MATCH($B738,الموظفات!$B$5:$B$304,0))&amp;"",""))</f>
        <v/>
      </c>
      <c r="N738" s="20">
        <f>IF($B738="","",IFERROR(INDEX(الموظفات!$E$5:$E$304,MATCH($B738,الموظفات!$B$5:$B$304,0))&amp;"",""))</f>
        <v/>
      </c>
      <c r="O738" s="21">
        <f>IF(C738="","",IFERROR(INDEX(الإعدادات!$D$7:$D$35,MATCH(C738,الإعدادات!$A$7:$A$35,0))&amp;"",""))</f>
        <v/>
      </c>
      <c r="P738" s="20">
        <f>IF(A738="","",INDEX(الإعدادات!$H$7:$H$18,MONTH(A738)))</f>
        <v/>
      </c>
      <c r="Q738" s="20">
        <f>IF(A738="","",INDEX(الإعدادات!$I$7:$I$18,MONTH(A738)))</f>
        <v/>
      </c>
      <c r="R738" s="20">
        <f>IF(A738="","",IF(MONTH(A738)&gt;=8,YEAR(A738)&amp;"-"&amp;(YEAR(A738)+1),(YEAR(A738)-1)&amp;"-"&amp;YEAR(A738)))</f>
        <v/>
      </c>
      <c r="S738" s="20">
        <f>IF(OR(A738="",B738=""),0,IF(AND(R738=التقارير!$C$4,OR(التقارير!$C$5="سنوي",AND(التقارير!$C$5="شهري",P738=التقارير!$C$6),AND(التقارير!$C$5="فصلي",Q738=التقارير!$C$7))),1,0))</f>
        <v/>
      </c>
      <c r="T738" s="20">
        <f>IF(S738=1,COUNTIF($S$5:S738,1),"")</f>
        <v/>
      </c>
      <c r="U738">
        <f>IF(AND($A738&lt;&gt;"",$B738&lt;&gt;"",$R738='تقرير الفصل الأول'!$C$4,$Q738='تقرير الفصل الأول'!$C$7),COUNT(U$4:U737)+1,"")</f>
        <v/>
      </c>
      <c r="V738">
        <f>IF(AND($A738&lt;&gt;"",$B738&lt;&gt;"",$R738='تقرير الفصل الثاني'!$C$4,$Q738='تقرير الفصل الثاني'!$C$7),COUNT(V$4:V737)+1,"")</f>
        <v/>
      </c>
      <c r="W738">
        <f>IF(AND($A738&lt;&gt;"",$B738&lt;&gt;"",$R738='تقرير سبتمبر'!$C$4,$P738='تقرير سبتمبر'!$C$6),COUNT(W$4:W737)+1,"")</f>
        <v/>
      </c>
      <c r="X738">
        <f>IF(AND($A738&lt;&gt;"",$B738&lt;&gt;"",$R738='تقرير أكتوبر'!$C$4,$P738='تقرير أكتوبر'!$C$6),COUNT(X$4:X737)+1,"")</f>
        <v/>
      </c>
      <c r="Y738">
        <f>IF(AND($A738&lt;&gt;"",$B738&lt;&gt;"",$R738='تقرير نوفمبر'!$C$4,$P738='تقرير نوفمبر'!$C$6),COUNT(Y$4:Y737)+1,"")</f>
        <v/>
      </c>
      <c r="Z738">
        <f>IF(AND($A738&lt;&gt;"",$B738&lt;&gt;"",$R738='تقرير ديسمبر'!$C$4,$P738='تقرير ديسمبر'!$C$6),COUNT(Z$4:Z737)+1,"")</f>
        <v/>
      </c>
      <c r="AA738">
        <f>IF(AND($A738&lt;&gt;"",$B738&lt;&gt;"",$R738='تقرير يناير'!$C$4,$P738='تقرير يناير'!$C$6),COUNT(AA$4:AA737)+1,"")</f>
        <v/>
      </c>
      <c r="AB738">
        <f>IF(AND($A738&lt;&gt;"",$B738&lt;&gt;"",$R738='تقرير فبراير'!$C$4,$P738='تقرير فبراير'!$C$6),COUNT(AB$4:AB737)+1,"")</f>
        <v/>
      </c>
      <c r="AC738">
        <f>IF(AND($A738&lt;&gt;"",$B738&lt;&gt;"",$R738='تقرير مارس'!$C$4,$P738='تقرير مارس'!$C$6),COUNT(AC$4:AC737)+1,"")</f>
        <v/>
      </c>
      <c r="AD738">
        <f>IF(AND($A738&lt;&gt;"",$B738&lt;&gt;"",$R738='تقرير أبريل'!$C$4,$P738='تقرير أبريل'!$C$6),COUNT(AD$4:AD737)+1,"")</f>
        <v/>
      </c>
      <c r="AE738">
        <f>IF(AND($A738&lt;&gt;"",$B738&lt;&gt;"",$R738='تقرير مايو'!$C$4,$P738='تقرير مايو'!$C$6),COUNT(AE$4:AE737)+1,"")</f>
        <v/>
      </c>
    </row>
    <row r="739">
      <c r="A739" s="16" t="n"/>
      <c r="B739" s="17" t="n"/>
      <c r="C739" s="17" t="n"/>
      <c r="D739" s="18" t="n"/>
      <c r="E739" s="17" t="n"/>
      <c r="F739" s="17" t="n"/>
      <c r="G739" s="19" t="n"/>
      <c r="H739" s="17" t="n"/>
      <c r="I739" s="17" t="n"/>
      <c r="J739" s="17" t="n"/>
      <c r="K739" s="20">
        <f>IF($B739="","",IFERROR(INDEX(الموظفات!$A$5:$A$304,MATCH($B739,الموظفات!$B$5:$B$304,0))&amp;"",""))</f>
        <v/>
      </c>
      <c r="L739" s="21">
        <f>IF($B739="","",IFERROR(INDEX(الموظفات!$C$5:$C$304,MATCH($B739,الموظفات!$B$5:$B$304,0))&amp;"",""))</f>
        <v/>
      </c>
      <c r="M739" s="20">
        <f>IF($B739="","",IFERROR(INDEX(الموظفات!$D$5:$D$304,MATCH($B739,الموظفات!$B$5:$B$304,0))&amp;"",""))</f>
        <v/>
      </c>
      <c r="N739" s="20">
        <f>IF($B739="","",IFERROR(INDEX(الموظفات!$E$5:$E$304,MATCH($B739,الموظفات!$B$5:$B$304,0))&amp;"",""))</f>
        <v/>
      </c>
      <c r="O739" s="21">
        <f>IF(C739="","",IFERROR(INDEX(الإعدادات!$D$7:$D$35,MATCH(C739,الإعدادات!$A$7:$A$35,0))&amp;"",""))</f>
        <v/>
      </c>
      <c r="P739" s="20">
        <f>IF(A739="","",INDEX(الإعدادات!$H$7:$H$18,MONTH(A739)))</f>
        <v/>
      </c>
      <c r="Q739" s="20">
        <f>IF(A739="","",INDEX(الإعدادات!$I$7:$I$18,MONTH(A739)))</f>
        <v/>
      </c>
      <c r="R739" s="20">
        <f>IF(A739="","",IF(MONTH(A739)&gt;=8,YEAR(A739)&amp;"-"&amp;(YEAR(A739)+1),(YEAR(A739)-1)&amp;"-"&amp;YEAR(A739)))</f>
        <v/>
      </c>
      <c r="S739" s="20">
        <f>IF(OR(A739="",B739=""),0,IF(AND(R739=التقارير!$C$4,OR(التقارير!$C$5="سنوي",AND(التقارير!$C$5="شهري",P739=التقارير!$C$6),AND(التقارير!$C$5="فصلي",Q739=التقارير!$C$7))),1,0))</f>
        <v/>
      </c>
      <c r="T739" s="20">
        <f>IF(S739=1,COUNTIF($S$5:S739,1),"")</f>
        <v/>
      </c>
      <c r="U739">
        <f>IF(AND($A739&lt;&gt;"",$B739&lt;&gt;"",$R739='تقرير الفصل الأول'!$C$4,$Q739='تقرير الفصل الأول'!$C$7),COUNT(U$4:U738)+1,"")</f>
        <v/>
      </c>
      <c r="V739">
        <f>IF(AND($A739&lt;&gt;"",$B739&lt;&gt;"",$R739='تقرير الفصل الثاني'!$C$4,$Q739='تقرير الفصل الثاني'!$C$7),COUNT(V$4:V738)+1,"")</f>
        <v/>
      </c>
      <c r="W739">
        <f>IF(AND($A739&lt;&gt;"",$B739&lt;&gt;"",$R739='تقرير سبتمبر'!$C$4,$P739='تقرير سبتمبر'!$C$6),COUNT(W$4:W738)+1,"")</f>
        <v/>
      </c>
      <c r="X739">
        <f>IF(AND($A739&lt;&gt;"",$B739&lt;&gt;"",$R739='تقرير أكتوبر'!$C$4,$P739='تقرير أكتوبر'!$C$6),COUNT(X$4:X738)+1,"")</f>
        <v/>
      </c>
      <c r="Y739">
        <f>IF(AND($A739&lt;&gt;"",$B739&lt;&gt;"",$R739='تقرير نوفمبر'!$C$4,$P739='تقرير نوفمبر'!$C$6),COUNT(Y$4:Y738)+1,"")</f>
        <v/>
      </c>
      <c r="Z739">
        <f>IF(AND($A739&lt;&gt;"",$B739&lt;&gt;"",$R739='تقرير ديسمبر'!$C$4,$P739='تقرير ديسمبر'!$C$6),COUNT(Z$4:Z738)+1,"")</f>
        <v/>
      </c>
      <c r="AA739">
        <f>IF(AND($A739&lt;&gt;"",$B739&lt;&gt;"",$R739='تقرير يناير'!$C$4,$P739='تقرير يناير'!$C$6),COUNT(AA$4:AA738)+1,"")</f>
        <v/>
      </c>
      <c r="AB739">
        <f>IF(AND($A739&lt;&gt;"",$B739&lt;&gt;"",$R739='تقرير فبراير'!$C$4,$P739='تقرير فبراير'!$C$6),COUNT(AB$4:AB738)+1,"")</f>
        <v/>
      </c>
      <c r="AC739">
        <f>IF(AND($A739&lt;&gt;"",$B739&lt;&gt;"",$R739='تقرير مارس'!$C$4,$P739='تقرير مارس'!$C$6),COUNT(AC$4:AC738)+1,"")</f>
        <v/>
      </c>
      <c r="AD739">
        <f>IF(AND($A739&lt;&gt;"",$B739&lt;&gt;"",$R739='تقرير أبريل'!$C$4,$P739='تقرير أبريل'!$C$6),COUNT(AD$4:AD738)+1,"")</f>
        <v/>
      </c>
      <c r="AE739">
        <f>IF(AND($A739&lt;&gt;"",$B739&lt;&gt;"",$R739='تقرير مايو'!$C$4,$P739='تقرير مايو'!$C$6),COUNT(AE$4:AE738)+1,"")</f>
        <v/>
      </c>
    </row>
    <row r="740">
      <c r="A740" s="16" t="n"/>
      <c r="B740" s="17" t="n"/>
      <c r="C740" s="17" t="n"/>
      <c r="D740" s="18" t="n"/>
      <c r="E740" s="17" t="n"/>
      <c r="F740" s="17" t="n"/>
      <c r="G740" s="19" t="n"/>
      <c r="H740" s="17" t="n"/>
      <c r="I740" s="17" t="n"/>
      <c r="J740" s="17" t="n"/>
      <c r="K740" s="20">
        <f>IF($B740="","",IFERROR(INDEX(الموظفات!$A$5:$A$304,MATCH($B740,الموظفات!$B$5:$B$304,0))&amp;"",""))</f>
        <v/>
      </c>
      <c r="L740" s="21">
        <f>IF($B740="","",IFERROR(INDEX(الموظفات!$C$5:$C$304,MATCH($B740,الموظفات!$B$5:$B$304,0))&amp;"",""))</f>
        <v/>
      </c>
      <c r="M740" s="20">
        <f>IF($B740="","",IFERROR(INDEX(الموظفات!$D$5:$D$304,MATCH($B740,الموظفات!$B$5:$B$304,0))&amp;"",""))</f>
        <v/>
      </c>
      <c r="N740" s="20">
        <f>IF($B740="","",IFERROR(INDEX(الموظفات!$E$5:$E$304,MATCH($B740,الموظفات!$B$5:$B$304,0))&amp;"",""))</f>
        <v/>
      </c>
      <c r="O740" s="21">
        <f>IF(C740="","",IFERROR(INDEX(الإعدادات!$D$7:$D$35,MATCH(C740,الإعدادات!$A$7:$A$35,0))&amp;"",""))</f>
        <v/>
      </c>
      <c r="P740" s="20">
        <f>IF(A740="","",INDEX(الإعدادات!$H$7:$H$18,MONTH(A740)))</f>
        <v/>
      </c>
      <c r="Q740" s="20">
        <f>IF(A740="","",INDEX(الإعدادات!$I$7:$I$18,MONTH(A740)))</f>
        <v/>
      </c>
      <c r="R740" s="20">
        <f>IF(A740="","",IF(MONTH(A740)&gt;=8,YEAR(A740)&amp;"-"&amp;(YEAR(A740)+1),(YEAR(A740)-1)&amp;"-"&amp;YEAR(A740)))</f>
        <v/>
      </c>
      <c r="S740" s="20">
        <f>IF(OR(A740="",B740=""),0,IF(AND(R740=التقارير!$C$4,OR(التقارير!$C$5="سنوي",AND(التقارير!$C$5="شهري",P740=التقارير!$C$6),AND(التقارير!$C$5="فصلي",Q740=التقارير!$C$7))),1,0))</f>
        <v/>
      </c>
      <c r="T740" s="20">
        <f>IF(S740=1,COUNTIF($S$5:S740,1),"")</f>
        <v/>
      </c>
      <c r="U740">
        <f>IF(AND($A740&lt;&gt;"",$B740&lt;&gt;"",$R740='تقرير الفصل الأول'!$C$4,$Q740='تقرير الفصل الأول'!$C$7),COUNT(U$4:U739)+1,"")</f>
        <v/>
      </c>
      <c r="V740">
        <f>IF(AND($A740&lt;&gt;"",$B740&lt;&gt;"",$R740='تقرير الفصل الثاني'!$C$4,$Q740='تقرير الفصل الثاني'!$C$7),COUNT(V$4:V739)+1,"")</f>
        <v/>
      </c>
      <c r="W740">
        <f>IF(AND($A740&lt;&gt;"",$B740&lt;&gt;"",$R740='تقرير سبتمبر'!$C$4,$P740='تقرير سبتمبر'!$C$6),COUNT(W$4:W739)+1,"")</f>
        <v/>
      </c>
      <c r="X740">
        <f>IF(AND($A740&lt;&gt;"",$B740&lt;&gt;"",$R740='تقرير أكتوبر'!$C$4,$P740='تقرير أكتوبر'!$C$6),COUNT(X$4:X739)+1,"")</f>
        <v/>
      </c>
      <c r="Y740">
        <f>IF(AND($A740&lt;&gt;"",$B740&lt;&gt;"",$R740='تقرير نوفمبر'!$C$4,$P740='تقرير نوفمبر'!$C$6),COUNT(Y$4:Y739)+1,"")</f>
        <v/>
      </c>
      <c r="Z740">
        <f>IF(AND($A740&lt;&gt;"",$B740&lt;&gt;"",$R740='تقرير ديسمبر'!$C$4,$P740='تقرير ديسمبر'!$C$6),COUNT(Z$4:Z739)+1,"")</f>
        <v/>
      </c>
      <c r="AA740">
        <f>IF(AND($A740&lt;&gt;"",$B740&lt;&gt;"",$R740='تقرير يناير'!$C$4,$P740='تقرير يناير'!$C$6),COUNT(AA$4:AA739)+1,"")</f>
        <v/>
      </c>
      <c r="AB740">
        <f>IF(AND($A740&lt;&gt;"",$B740&lt;&gt;"",$R740='تقرير فبراير'!$C$4,$P740='تقرير فبراير'!$C$6),COUNT(AB$4:AB739)+1,"")</f>
        <v/>
      </c>
      <c r="AC740">
        <f>IF(AND($A740&lt;&gt;"",$B740&lt;&gt;"",$R740='تقرير مارس'!$C$4,$P740='تقرير مارس'!$C$6),COUNT(AC$4:AC739)+1,"")</f>
        <v/>
      </c>
      <c r="AD740">
        <f>IF(AND($A740&lt;&gt;"",$B740&lt;&gt;"",$R740='تقرير أبريل'!$C$4,$P740='تقرير أبريل'!$C$6),COUNT(AD$4:AD739)+1,"")</f>
        <v/>
      </c>
      <c r="AE740">
        <f>IF(AND($A740&lt;&gt;"",$B740&lt;&gt;"",$R740='تقرير مايو'!$C$4,$P740='تقرير مايو'!$C$6),COUNT(AE$4:AE739)+1,"")</f>
        <v/>
      </c>
    </row>
    <row r="741">
      <c r="A741" s="16" t="n"/>
      <c r="B741" s="17" t="n"/>
      <c r="C741" s="17" t="n"/>
      <c r="D741" s="18" t="n"/>
      <c r="E741" s="17" t="n"/>
      <c r="F741" s="17" t="n"/>
      <c r="G741" s="19" t="n"/>
      <c r="H741" s="17" t="n"/>
      <c r="I741" s="17" t="n"/>
      <c r="J741" s="17" t="n"/>
      <c r="K741" s="20">
        <f>IF($B741="","",IFERROR(INDEX(الموظفات!$A$5:$A$304,MATCH($B741,الموظفات!$B$5:$B$304,0))&amp;"",""))</f>
        <v/>
      </c>
      <c r="L741" s="21">
        <f>IF($B741="","",IFERROR(INDEX(الموظفات!$C$5:$C$304,MATCH($B741,الموظفات!$B$5:$B$304,0))&amp;"",""))</f>
        <v/>
      </c>
      <c r="M741" s="20">
        <f>IF($B741="","",IFERROR(INDEX(الموظفات!$D$5:$D$304,MATCH($B741,الموظفات!$B$5:$B$304,0))&amp;"",""))</f>
        <v/>
      </c>
      <c r="N741" s="20">
        <f>IF($B741="","",IFERROR(INDEX(الموظفات!$E$5:$E$304,MATCH($B741,الموظفات!$B$5:$B$304,0))&amp;"",""))</f>
        <v/>
      </c>
      <c r="O741" s="21">
        <f>IF(C741="","",IFERROR(INDEX(الإعدادات!$D$7:$D$35,MATCH(C741,الإعدادات!$A$7:$A$35,0))&amp;"",""))</f>
        <v/>
      </c>
      <c r="P741" s="20">
        <f>IF(A741="","",INDEX(الإعدادات!$H$7:$H$18,MONTH(A741)))</f>
        <v/>
      </c>
      <c r="Q741" s="20">
        <f>IF(A741="","",INDEX(الإعدادات!$I$7:$I$18,MONTH(A741)))</f>
        <v/>
      </c>
      <c r="R741" s="20">
        <f>IF(A741="","",IF(MONTH(A741)&gt;=8,YEAR(A741)&amp;"-"&amp;(YEAR(A741)+1),(YEAR(A741)-1)&amp;"-"&amp;YEAR(A741)))</f>
        <v/>
      </c>
      <c r="S741" s="20">
        <f>IF(OR(A741="",B741=""),0,IF(AND(R741=التقارير!$C$4,OR(التقارير!$C$5="سنوي",AND(التقارير!$C$5="شهري",P741=التقارير!$C$6),AND(التقارير!$C$5="فصلي",Q741=التقارير!$C$7))),1,0))</f>
        <v/>
      </c>
      <c r="T741" s="20">
        <f>IF(S741=1,COUNTIF($S$5:S741,1),"")</f>
        <v/>
      </c>
      <c r="U741">
        <f>IF(AND($A741&lt;&gt;"",$B741&lt;&gt;"",$R741='تقرير الفصل الأول'!$C$4,$Q741='تقرير الفصل الأول'!$C$7),COUNT(U$4:U740)+1,"")</f>
        <v/>
      </c>
      <c r="V741">
        <f>IF(AND($A741&lt;&gt;"",$B741&lt;&gt;"",$R741='تقرير الفصل الثاني'!$C$4,$Q741='تقرير الفصل الثاني'!$C$7),COUNT(V$4:V740)+1,"")</f>
        <v/>
      </c>
      <c r="W741">
        <f>IF(AND($A741&lt;&gt;"",$B741&lt;&gt;"",$R741='تقرير سبتمبر'!$C$4,$P741='تقرير سبتمبر'!$C$6),COUNT(W$4:W740)+1,"")</f>
        <v/>
      </c>
      <c r="X741">
        <f>IF(AND($A741&lt;&gt;"",$B741&lt;&gt;"",$R741='تقرير أكتوبر'!$C$4,$P741='تقرير أكتوبر'!$C$6),COUNT(X$4:X740)+1,"")</f>
        <v/>
      </c>
      <c r="Y741">
        <f>IF(AND($A741&lt;&gt;"",$B741&lt;&gt;"",$R741='تقرير نوفمبر'!$C$4,$P741='تقرير نوفمبر'!$C$6),COUNT(Y$4:Y740)+1,"")</f>
        <v/>
      </c>
      <c r="Z741">
        <f>IF(AND($A741&lt;&gt;"",$B741&lt;&gt;"",$R741='تقرير ديسمبر'!$C$4,$P741='تقرير ديسمبر'!$C$6),COUNT(Z$4:Z740)+1,"")</f>
        <v/>
      </c>
      <c r="AA741">
        <f>IF(AND($A741&lt;&gt;"",$B741&lt;&gt;"",$R741='تقرير يناير'!$C$4,$P741='تقرير يناير'!$C$6),COUNT(AA$4:AA740)+1,"")</f>
        <v/>
      </c>
      <c r="AB741">
        <f>IF(AND($A741&lt;&gt;"",$B741&lt;&gt;"",$R741='تقرير فبراير'!$C$4,$P741='تقرير فبراير'!$C$6),COUNT(AB$4:AB740)+1,"")</f>
        <v/>
      </c>
      <c r="AC741">
        <f>IF(AND($A741&lt;&gt;"",$B741&lt;&gt;"",$R741='تقرير مارس'!$C$4,$P741='تقرير مارس'!$C$6),COUNT(AC$4:AC740)+1,"")</f>
        <v/>
      </c>
      <c r="AD741">
        <f>IF(AND($A741&lt;&gt;"",$B741&lt;&gt;"",$R741='تقرير أبريل'!$C$4,$P741='تقرير أبريل'!$C$6),COUNT(AD$4:AD740)+1,"")</f>
        <v/>
      </c>
      <c r="AE741">
        <f>IF(AND($A741&lt;&gt;"",$B741&lt;&gt;"",$R741='تقرير مايو'!$C$4,$P741='تقرير مايو'!$C$6),COUNT(AE$4:AE740)+1,"")</f>
        <v/>
      </c>
    </row>
    <row r="742">
      <c r="A742" s="16" t="n"/>
      <c r="B742" s="17" t="n"/>
      <c r="C742" s="17" t="n"/>
      <c r="D742" s="18" t="n"/>
      <c r="E742" s="17" t="n"/>
      <c r="F742" s="17" t="n"/>
      <c r="G742" s="19" t="n"/>
      <c r="H742" s="17" t="n"/>
      <c r="I742" s="17" t="n"/>
      <c r="J742" s="17" t="n"/>
      <c r="K742" s="20">
        <f>IF($B742="","",IFERROR(INDEX(الموظفات!$A$5:$A$304,MATCH($B742,الموظفات!$B$5:$B$304,0))&amp;"",""))</f>
        <v/>
      </c>
      <c r="L742" s="21">
        <f>IF($B742="","",IFERROR(INDEX(الموظفات!$C$5:$C$304,MATCH($B742,الموظفات!$B$5:$B$304,0))&amp;"",""))</f>
        <v/>
      </c>
      <c r="M742" s="20">
        <f>IF($B742="","",IFERROR(INDEX(الموظفات!$D$5:$D$304,MATCH($B742,الموظفات!$B$5:$B$304,0))&amp;"",""))</f>
        <v/>
      </c>
      <c r="N742" s="20">
        <f>IF($B742="","",IFERROR(INDEX(الموظفات!$E$5:$E$304,MATCH($B742,الموظفات!$B$5:$B$304,0))&amp;"",""))</f>
        <v/>
      </c>
      <c r="O742" s="21">
        <f>IF(C742="","",IFERROR(INDEX(الإعدادات!$D$7:$D$35,MATCH(C742,الإعدادات!$A$7:$A$35,0))&amp;"",""))</f>
        <v/>
      </c>
      <c r="P742" s="20">
        <f>IF(A742="","",INDEX(الإعدادات!$H$7:$H$18,MONTH(A742)))</f>
        <v/>
      </c>
      <c r="Q742" s="20">
        <f>IF(A742="","",INDEX(الإعدادات!$I$7:$I$18,MONTH(A742)))</f>
        <v/>
      </c>
      <c r="R742" s="20">
        <f>IF(A742="","",IF(MONTH(A742)&gt;=8,YEAR(A742)&amp;"-"&amp;(YEAR(A742)+1),(YEAR(A742)-1)&amp;"-"&amp;YEAR(A742)))</f>
        <v/>
      </c>
      <c r="S742" s="20">
        <f>IF(OR(A742="",B742=""),0,IF(AND(R742=التقارير!$C$4,OR(التقارير!$C$5="سنوي",AND(التقارير!$C$5="شهري",P742=التقارير!$C$6),AND(التقارير!$C$5="فصلي",Q742=التقارير!$C$7))),1,0))</f>
        <v/>
      </c>
      <c r="T742" s="20">
        <f>IF(S742=1,COUNTIF($S$5:S742,1),"")</f>
        <v/>
      </c>
      <c r="U742">
        <f>IF(AND($A742&lt;&gt;"",$B742&lt;&gt;"",$R742='تقرير الفصل الأول'!$C$4,$Q742='تقرير الفصل الأول'!$C$7),COUNT(U$4:U741)+1,"")</f>
        <v/>
      </c>
      <c r="V742">
        <f>IF(AND($A742&lt;&gt;"",$B742&lt;&gt;"",$R742='تقرير الفصل الثاني'!$C$4,$Q742='تقرير الفصل الثاني'!$C$7),COUNT(V$4:V741)+1,"")</f>
        <v/>
      </c>
      <c r="W742">
        <f>IF(AND($A742&lt;&gt;"",$B742&lt;&gt;"",$R742='تقرير سبتمبر'!$C$4,$P742='تقرير سبتمبر'!$C$6),COUNT(W$4:W741)+1,"")</f>
        <v/>
      </c>
      <c r="X742">
        <f>IF(AND($A742&lt;&gt;"",$B742&lt;&gt;"",$R742='تقرير أكتوبر'!$C$4,$P742='تقرير أكتوبر'!$C$6),COUNT(X$4:X741)+1,"")</f>
        <v/>
      </c>
      <c r="Y742">
        <f>IF(AND($A742&lt;&gt;"",$B742&lt;&gt;"",$R742='تقرير نوفمبر'!$C$4,$P742='تقرير نوفمبر'!$C$6),COUNT(Y$4:Y741)+1,"")</f>
        <v/>
      </c>
      <c r="Z742">
        <f>IF(AND($A742&lt;&gt;"",$B742&lt;&gt;"",$R742='تقرير ديسمبر'!$C$4,$P742='تقرير ديسمبر'!$C$6),COUNT(Z$4:Z741)+1,"")</f>
        <v/>
      </c>
      <c r="AA742">
        <f>IF(AND($A742&lt;&gt;"",$B742&lt;&gt;"",$R742='تقرير يناير'!$C$4,$P742='تقرير يناير'!$C$6),COUNT(AA$4:AA741)+1,"")</f>
        <v/>
      </c>
      <c r="AB742">
        <f>IF(AND($A742&lt;&gt;"",$B742&lt;&gt;"",$R742='تقرير فبراير'!$C$4,$P742='تقرير فبراير'!$C$6),COUNT(AB$4:AB741)+1,"")</f>
        <v/>
      </c>
      <c r="AC742">
        <f>IF(AND($A742&lt;&gt;"",$B742&lt;&gt;"",$R742='تقرير مارس'!$C$4,$P742='تقرير مارس'!$C$6),COUNT(AC$4:AC741)+1,"")</f>
        <v/>
      </c>
      <c r="AD742">
        <f>IF(AND($A742&lt;&gt;"",$B742&lt;&gt;"",$R742='تقرير أبريل'!$C$4,$P742='تقرير أبريل'!$C$6),COUNT(AD$4:AD741)+1,"")</f>
        <v/>
      </c>
      <c r="AE742">
        <f>IF(AND($A742&lt;&gt;"",$B742&lt;&gt;"",$R742='تقرير مايو'!$C$4,$P742='تقرير مايو'!$C$6),COUNT(AE$4:AE741)+1,"")</f>
        <v/>
      </c>
    </row>
    <row r="743">
      <c r="A743" s="16" t="n"/>
      <c r="B743" s="17" t="n"/>
      <c r="C743" s="17" t="n"/>
      <c r="D743" s="18" t="n"/>
      <c r="E743" s="17" t="n"/>
      <c r="F743" s="17" t="n"/>
      <c r="G743" s="19" t="n"/>
      <c r="H743" s="17" t="n"/>
      <c r="I743" s="17" t="n"/>
      <c r="J743" s="17" t="n"/>
      <c r="K743" s="20">
        <f>IF($B743="","",IFERROR(INDEX(الموظفات!$A$5:$A$304,MATCH($B743,الموظفات!$B$5:$B$304,0))&amp;"",""))</f>
        <v/>
      </c>
      <c r="L743" s="21">
        <f>IF($B743="","",IFERROR(INDEX(الموظفات!$C$5:$C$304,MATCH($B743,الموظفات!$B$5:$B$304,0))&amp;"",""))</f>
        <v/>
      </c>
      <c r="M743" s="20">
        <f>IF($B743="","",IFERROR(INDEX(الموظفات!$D$5:$D$304,MATCH($B743,الموظفات!$B$5:$B$304,0))&amp;"",""))</f>
        <v/>
      </c>
      <c r="N743" s="20">
        <f>IF($B743="","",IFERROR(INDEX(الموظفات!$E$5:$E$304,MATCH($B743,الموظفات!$B$5:$B$304,0))&amp;"",""))</f>
        <v/>
      </c>
      <c r="O743" s="21">
        <f>IF(C743="","",IFERROR(INDEX(الإعدادات!$D$7:$D$35,MATCH(C743,الإعدادات!$A$7:$A$35,0))&amp;"",""))</f>
        <v/>
      </c>
      <c r="P743" s="20">
        <f>IF(A743="","",INDEX(الإعدادات!$H$7:$H$18,MONTH(A743)))</f>
        <v/>
      </c>
      <c r="Q743" s="20">
        <f>IF(A743="","",INDEX(الإعدادات!$I$7:$I$18,MONTH(A743)))</f>
        <v/>
      </c>
      <c r="R743" s="20">
        <f>IF(A743="","",IF(MONTH(A743)&gt;=8,YEAR(A743)&amp;"-"&amp;(YEAR(A743)+1),(YEAR(A743)-1)&amp;"-"&amp;YEAR(A743)))</f>
        <v/>
      </c>
      <c r="S743" s="20">
        <f>IF(OR(A743="",B743=""),0,IF(AND(R743=التقارير!$C$4,OR(التقارير!$C$5="سنوي",AND(التقارير!$C$5="شهري",P743=التقارير!$C$6),AND(التقارير!$C$5="فصلي",Q743=التقارير!$C$7))),1,0))</f>
        <v/>
      </c>
      <c r="T743" s="20">
        <f>IF(S743=1,COUNTIF($S$5:S743,1),"")</f>
        <v/>
      </c>
      <c r="U743">
        <f>IF(AND($A743&lt;&gt;"",$B743&lt;&gt;"",$R743='تقرير الفصل الأول'!$C$4,$Q743='تقرير الفصل الأول'!$C$7),COUNT(U$4:U742)+1,"")</f>
        <v/>
      </c>
      <c r="V743">
        <f>IF(AND($A743&lt;&gt;"",$B743&lt;&gt;"",$R743='تقرير الفصل الثاني'!$C$4,$Q743='تقرير الفصل الثاني'!$C$7),COUNT(V$4:V742)+1,"")</f>
        <v/>
      </c>
      <c r="W743">
        <f>IF(AND($A743&lt;&gt;"",$B743&lt;&gt;"",$R743='تقرير سبتمبر'!$C$4,$P743='تقرير سبتمبر'!$C$6),COUNT(W$4:W742)+1,"")</f>
        <v/>
      </c>
      <c r="X743">
        <f>IF(AND($A743&lt;&gt;"",$B743&lt;&gt;"",$R743='تقرير أكتوبر'!$C$4,$P743='تقرير أكتوبر'!$C$6),COUNT(X$4:X742)+1,"")</f>
        <v/>
      </c>
      <c r="Y743">
        <f>IF(AND($A743&lt;&gt;"",$B743&lt;&gt;"",$R743='تقرير نوفمبر'!$C$4,$P743='تقرير نوفمبر'!$C$6),COUNT(Y$4:Y742)+1,"")</f>
        <v/>
      </c>
      <c r="Z743">
        <f>IF(AND($A743&lt;&gt;"",$B743&lt;&gt;"",$R743='تقرير ديسمبر'!$C$4,$P743='تقرير ديسمبر'!$C$6),COUNT(Z$4:Z742)+1,"")</f>
        <v/>
      </c>
      <c r="AA743">
        <f>IF(AND($A743&lt;&gt;"",$B743&lt;&gt;"",$R743='تقرير يناير'!$C$4,$P743='تقرير يناير'!$C$6),COUNT(AA$4:AA742)+1,"")</f>
        <v/>
      </c>
      <c r="AB743">
        <f>IF(AND($A743&lt;&gt;"",$B743&lt;&gt;"",$R743='تقرير فبراير'!$C$4,$P743='تقرير فبراير'!$C$6),COUNT(AB$4:AB742)+1,"")</f>
        <v/>
      </c>
      <c r="AC743">
        <f>IF(AND($A743&lt;&gt;"",$B743&lt;&gt;"",$R743='تقرير مارس'!$C$4,$P743='تقرير مارس'!$C$6),COUNT(AC$4:AC742)+1,"")</f>
        <v/>
      </c>
      <c r="AD743">
        <f>IF(AND($A743&lt;&gt;"",$B743&lt;&gt;"",$R743='تقرير أبريل'!$C$4,$P743='تقرير أبريل'!$C$6),COUNT(AD$4:AD742)+1,"")</f>
        <v/>
      </c>
      <c r="AE743">
        <f>IF(AND($A743&lt;&gt;"",$B743&lt;&gt;"",$R743='تقرير مايو'!$C$4,$P743='تقرير مايو'!$C$6),COUNT(AE$4:AE742)+1,"")</f>
        <v/>
      </c>
    </row>
    <row r="744">
      <c r="A744" s="16" t="n"/>
      <c r="B744" s="17" t="n"/>
      <c r="C744" s="17" t="n"/>
      <c r="D744" s="18" t="n"/>
      <c r="E744" s="17" t="n"/>
      <c r="F744" s="17" t="n"/>
      <c r="G744" s="19" t="n"/>
      <c r="H744" s="17" t="n"/>
      <c r="I744" s="17" t="n"/>
      <c r="J744" s="17" t="n"/>
      <c r="K744" s="20">
        <f>IF($B744="","",IFERROR(INDEX(الموظفات!$A$5:$A$304,MATCH($B744,الموظفات!$B$5:$B$304,0))&amp;"",""))</f>
        <v/>
      </c>
      <c r="L744" s="21">
        <f>IF($B744="","",IFERROR(INDEX(الموظفات!$C$5:$C$304,MATCH($B744,الموظفات!$B$5:$B$304,0))&amp;"",""))</f>
        <v/>
      </c>
      <c r="M744" s="20">
        <f>IF($B744="","",IFERROR(INDEX(الموظفات!$D$5:$D$304,MATCH($B744,الموظفات!$B$5:$B$304,0))&amp;"",""))</f>
        <v/>
      </c>
      <c r="N744" s="20">
        <f>IF($B744="","",IFERROR(INDEX(الموظفات!$E$5:$E$304,MATCH($B744,الموظفات!$B$5:$B$304,0))&amp;"",""))</f>
        <v/>
      </c>
      <c r="O744" s="21">
        <f>IF(C744="","",IFERROR(INDEX(الإعدادات!$D$7:$D$35,MATCH(C744,الإعدادات!$A$7:$A$35,0))&amp;"",""))</f>
        <v/>
      </c>
      <c r="P744" s="20">
        <f>IF(A744="","",INDEX(الإعدادات!$H$7:$H$18,MONTH(A744)))</f>
        <v/>
      </c>
      <c r="Q744" s="20">
        <f>IF(A744="","",INDEX(الإعدادات!$I$7:$I$18,MONTH(A744)))</f>
        <v/>
      </c>
      <c r="R744" s="20">
        <f>IF(A744="","",IF(MONTH(A744)&gt;=8,YEAR(A744)&amp;"-"&amp;(YEAR(A744)+1),(YEAR(A744)-1)&amp;"-"&amp;YEAR(A744)))</f>
        <v/>
      </c>
      <c r="S744" s="20">
        <f>IF(OR(A744="",B744=""),0,IF(AND(R744=التقارير!$C$4,OR(التقارير!$C$5="سنوي",AND(التقارير!$C$5="شهري",P744=التقارير!$C$6),AND(التقارير!$C$5="فصلي",Q744=التقارير!$C$7))),1,0))</f>
        <v/>
      </c>
      <c r="T744" s="20">
        <f>IF(S744=1,COUNTIF($S$5:S744,1),"")</f>
        <v/>
      </c>
      <c r="U744">
        <f>IF(AND($A744&lt;&gt;"",$B744&lt;&gt;"",$R744='تقرير الفصل الأول'!$C$4,$Q744='تقرير الفصل الأول'!$C$7),COUNT(U$4:U743)+1,"")</f>
        <v/>
      </c>
      <c r="V744">
        <f>IF(AND($A744&lt;&gt;"",$B744&lt;&gt;"",$R744='تقرير الفصل الثاني'!$C$4,$Q744='تقرير الفصل الثاني'!$C$7),COUNT(V$4:V743)+1,"")</f>
        <v/>
      </c>
      <c r="W744">
        <f>IF(AND($A744&lt;&gt;"",$B744&lt;&gt;"",$R744='تقرير سبتمبر'!$C$4,$P744='تقرير سبتمبر'!$C$6),COUNT(W$4:W743)+1,"")</f>
        <v/>
      </c>
      <c r="X744">
        <f>IF(AND($A744&lt;&gt;"",$B744&lt;&gt;"",$R744='تقرير أكتوبر'!$C$4,$P744='تقرير أكتوبر'!$C$6),COUNT(X$4:X743)+1,"")</f>
        <v/>
      </c>
      <c r="Y744">
        <f>IF(AND($A744&lt;&gt;"",$B744&lt;&gt;"",$R744='تقرير نوفمبر'!$C$4,$P744='تقرير نوفمبر'!$C$6),COUNT(Y$4:Y743)+1,"")</f>
        <v/>
      </c>
      <c r="Z744">
        <f>IF(AND($A744&lt;&gt;"",$B744&lt;&gt;"",$R744='تقرير ديسمبر'!$C$4,$P744='تقرير ديسمبر'!$C$6),COUNT(Z$4:Z743)+1,"")</f>
        <v/>
      </c>
      <c r="AA744">
        <f>IF(AND($A744&lt;&gt;"",$B744&lt;&gt;"",$R744='تقرير يناير'!$C$4,$P744='تقرير يناير'!$C$6),COUNT(AA$4:AA743)+1,"")</f>
        <v/>
      </c>
      <c r="AB744">
        <f>IF(AND($A744&lt;&gt;"",$B744&lt;&gt;"",$R744='تقرير فبراير'!$C$4,$P744='تقرير فبراير'!$C$6),COUNT(AB$4:AB743)+1,"")</f>
        <v/>
      </c>
      <c r="AC744">
        <f>IF(AND($A744&lt;&gt;"",$B744&lt;&gt;"",$R744='تقرير مارس'!$C$4,$P744='تقرير مارس'!$C$6),COUNT(AC$4:AC743)+1,"")</f>
        <v/>
      </c>
      <c r="AD744">
        <f>IF(AND($A744&lt;&gt;"",$B744&lt;&gt;"",$R744='تقرير أبريل'!$C$4,$P744='تقرير أبريل'!$C$6),COUNT(AD$4:AD743)+1,"")</f>
        <v/>
      </c>
      <c r="AE744">
        <f>IF(AND($A744&lt;&gt;"",$B744&lt;&gt;"",$R744='تقرير مايو'!$C$4,$P744='تقرير مايو'!$C$6),COUNT(AE$4:AE743)+1,"")</f>
        <v/>
      </c>
    </row>
    <row r="745">
      <c r="A745" s="16" t="n"/>
      <c r="B745" s="17" t="n"/>
      <c r="C745" s="17" t="n"/>
      <c r="D745" s="18" t="n"/>
      <c r="E745" s="17" t="n"/>
      <c r="F745" s="17" t="n"/>
      <c r="G745" s="19" t="n"/>
      <c r="H745" s="17" t="n"/>
      <c r="I745" s="17" t="n"/>
      <c r="J745" s="17" t="n"/>
      <c r="K745" s="20">
        <f>IF($B745="","",IFERROR(INDEX(الموظفات!$A$5:$A$304,MATCH($B745,الموظفات!$B$5:$B$304,0))&amp;"",""))</f>
        <v/>
      </c>
      <c r="L745" s="21">
        <f>IF($B745="","",IFERROR(INDEX(الموظفات!$C$5:$C$304,MATCH($B745,الموظفات!$B$5:$B$304,0))&amp;"",""))</f>
        <v/>
      </c>
      <c r="M745" s="20">
        <f>IF($B745="","",IFERROR(INDEX(الموظفات!$D$5:$D$304,MATCH($B745,الموظفات!$B$5:$B$304,0))&amp;"",""))</f>
        <v/>
      </c>
      <c r="N745" s="20">
        <f>IF($B745="","",IFERROR(INDEX(الموظفات!$E$5:$E$304,MATCH($B745,الموظفات!$B$5:$B$304,0))&amp;"",""))</f>
        <v/>
      </c>
      <c r="O745" s="21">
        <f>IF(C745="","",IFERROR(INDEX(الإعدادات!$D$7:$D$35,MATCH(C745,الإعدادات!$A$7:$A$35,0))&amp;"",""))</f>
        <v/>
      </c>
      <c r="P745" s="20">
        <f>IF(A745="","",INDEX(الإعدادات!$H$7:$H$18,MONTH(A745)))</f>
        <v/>
      </c>
      <c r="Q745" s="20">
        <f>IF(A745="","",INDEX(الإعدادات!$I$7:$I$18,MONTH(A745)))</f>
        <v/>
      </c>
      <c r="R745" s="20">
        <f>IF(A745="","",IF(MONTH(A745)&gt;=8,YEAR(A745)&amp;"-"&amp;(YEAR(A745)+1),(YEAR(A745)-1)&amp;"-"&amp;YEAR(A745)))</f>
        <v/>
      </c>
      <c r="S745" s="20">
        <f>IF(OR(A745="",B745=""),0,IF(AND(R745=التقارير!$C$4,OR(التقارير!$C$5="سنوي",AND(التقارير!$C$5="شهري",P745=التقارير!$C$6),AND(التقارير!$C$5="فصلي",Q745=التقارير!$C$7))),1,0))</f>
        <v/>
      </c>
      <c r="T745" s="20">
        <f>IF(S745=1,COUNTIF($S$5:S745,1),"")</f>
        <v/>
      </c>
      <c r="U745">
        <f>IF(AND($A745&lt;&gt;"",$B745&lt;&gt;"",$R745='تقرير الفصل الأول'!$C$4,$Q745='تقرير الفصل الأول'!$C$7),COUNT(U$4:U744)+1,"")</f>
        <v/>
      </c>
      <c r="V745">
        <f>IF(AND($A745&lt;&gt;"",$B745&lt;&gt;"",$R745='تقرير الفصل الثاني'!$C$4,$Q745='تقرير الفصل الثاني'!$C$7),COUNT(V$4:V744)+1,"")</f>
        <v/>
      </c>
      <c r="W745">
        <f>IF(AND($A745&lt;&gt;"",$B745&lt;&gt;"",$R745='تقرير سبتمبر'!$C$4,$P745='تقرير سبتمبر'!$C$6),COUNT(W$4:W744)+1,"")</f>
        <v/>
      </c>
      <c r="X745">
        <f>IF(AND($A745&lt;&gt;"",$B745&lt;&gt;"",$R745='تقرير أكتوبر'!$C$4,$P745='تقرير أكتوبر'!$C$6),COUNT(X$4:X744)+1,"")</f>
        <v/>
      </c>
      <c r="Y745">
        <f>IF(AND($A745&lt;&gt;"",$B745&lt;&gt;"",$R745='تقرير نوفمبر'!$C$4,$P745='تقرير نوفمبر'!$C$6),COUNT(Y$4:Y744)+1,"")</f>
        <v/>
      </c>
      <c r="Z745">
        <f>IF(AND($A745&lt;&gt;"",$B745&lt;&gt;"",$R745='تقرير ديسمبر'!$C$4,$P745='تقرير ديسمبر'!$C$6),COUNT(Z$4:Z744)+1,"")</f>
        <v/>
      </c>
      <c r="AA745">
        <f>IF(AND($A745&lt;&gt;"",$B745&lt;&gt;"",$R745='تقرير يناير'!$C$4,$P745='تقرير يناير'!$C$6),COUNT(AA$4:AA744)+1,"")</f>
        <v/>
      </c>
      <c r="AB745">
        <f>IF(AND($A745&lt;&gt;"",$B745&lt;&gt;"",$R745='تقرير فبراير'!$C$4,$P745='تقرير فبراير'!$C$6),COUNT(AB$4:AB744)+1,"")</f>
        <v/>
      </c>
      <c r="AC745">
        <f>IF(AND($A745&lt;&gt;"",$B745&lt;&gt;"",$R745='تقرير مارس'!$C$4,$P745='تقرير مارس'!$C$6),COUNT(AC$4:AC744)+1,"")</f>
        <v/>
      </c>
      <c r="AD745">
        <f>IF(AND($A745&lt;&gt;"",$B745&lt;&gt;"",$R745='تقرير أبريل'!$C$4,$P745='تقرير أبريل'!$C$6),COUNT(AD$4:AD744)+1,"")</f>
        <v/>
      </c>
      <c r="AE745">
        <f>IF(AND($A745&lt;&gt;"",$B745&lt;&gt;"",$R745='تقرير مايو'!$C$4,$P745='تقرير مايو'!$C$6),COUNT(AE$4:AE744)+1,"")</f>
        <v/>
      </c>
    </row>
    <row r="746">
      <c r="A746" s="16" t="n"/>
      <c r="B746" s="17" t="n"/>
      <c r="C746" s="17" t="n"/>
      <c r="D746" s="18" t="n"/>
      <c r="E746" s="17" t="n"/>
      <c r="F746" s="17" t="n"/>
      <c r="G746" s="19" t="n"/>
      <c r="H746" s="17" t="n"/>
      <c r="I746" s="17" t="n"/>
      <c r="J746" s="17" t="n"/>
      <c r="K746" s="20">
        <f>IF($B746="","",IFERROR(INDEX(الموظفات!$A$5:$A$304,MATCH($B746,الموظفات!$B$5:$B$304,0))&amp;"",""))</f>
        <v/>
      </c>
      <c r="L746" s="21">
        <f>IF($B746="","",IFERROR(INDEX(الموظفات!$C$5:$C$304,MATCH($B746,الموظفات!$B$5:$B$304,0))&amp;"",""))</f>
        <v/>
      </c>
      <c r="M746" s="20">
        <f>IF($B746="","",IFERROR(INDEX(الموظفات!$D$5:$D$304,MATCH($B746,الموظفات!$B$5:$B$304,0))&amp;"",""))</f>
        <v/>
      </c>
      <c r="N746" s="20">
        <f>IF($B746="","",IFERROR(INDEX(الموظفات!$E$5:$E$304,MATCH($B746,الموظفات!$B$5:$B$304,0))&amp;"",""))</f>
        <v/>
      </c>
      <c r="O746" s="21">
        <f>IF(C746="","",IFERROR(INDEX(الإعدادات!$D$7:$D$35,MATCH(C746,الإعدادات!$A$7:$A$35,0))&amp;"",""))</f>
        <v/>
      </c>
      <c r="P746" s="20">
        <f>IF(A746="","",INDEX(الإعدادات!$H$7:$H$18,MONTH(A746)))</f>
        <v/>
      </c>
      <c r="Q746" s="20">
        <f>IF(A746="","",INDEX(الإعدادات!$I$7:$I$18,MONTH(A746)))</f>
        <v/>
      </c>
      <c r="R746" s="20">
        <f>IF(A746="","",IF(MONTH(A746)&gt;=8,YEAR(A746)&amp;"-"&amp;(YEAR(A746)+1),(YEAR(A746)-1)&amp;"-"&amp;YEAR(A746)))</f>
        <v/>
      </c>
      <c r="S746" s="20">
        <f>IF(OR(A746="",B746=""),0,IF(AND(R746=التقارير!$C$4,OR(التقارير!$C$5="سنوي",AND(التقارير!$C$5="شهري",P746=التقارير!$C$6),AND(التقارير!$C$5="فصلي",Q746=التقارير!$C$7))),1,0))</f>
        <v/>
      </c>
      <c r="T746" s="20">
        <f>IF(S746=1,COUNTIF($S$5:S746,1),"")</f>
        <v/>
      </c>
      <c r="U746">
        <f>IF(AND($A746&lt;&gt;"",$B746&lt;&gt;"",$R746='تقرير الفصل الأول'!$C$4,$Q746='تقرير الفصل الأول'!$C$7),COUNT(U$4:U745)+1,"")</f>
        <v/>
      </c>
      <c r="V746">
        <f>IF(AND($A746&lt;&gt;"",$B746&lt;&gt;"",$R746='تقرير الفصل الثاني'!$C$4,$Q746='تقرير الفصل الثاني'!$C$7),COUNT(V$4:V745)+1,"")</f>
        <v/>
      </c>
      <c r="W746">
        <f>IF(AND($A746&lt;&gt;"",$B746&lt;&gt;"",$R746='تقرير سبتمبر'!$C$4,$P746='تقرير سبتمبر'!$C$6),COUNT(W$4:W745)+1,"")</f>
        <v/>
      </c>
      <c r="X746">
        <f>IF(AND($A746&lt;&gt;"",$B746&lt;&gt;"",$R746='تقرير أكتوبر'!$C$4,$P746='تقرير أكتوبر'!$C$6),COUNT(X$4:X745)+1,"")</f>
        <v/>
      </c>
      <c r="Y746">
        <f>IF(AND($A746&lt;&gt;"",$B746&lt;&gt;"",$R746='تقرير نوفمبر'!$C$4,$P746='تقرير نوفمبر'!$C$6),COUNT(Y$4:Y745)+1,"")</f>
        <v/>
      </c>
      <c r="Z746">
        <f>IF(AND($A746&lt;&gt;"",$B746&lt;&gt;"",$R746='تقرير ديسمبر'!$C$4,$P746='تقرير ديسمبر'!$C$6),COUNT(Z$4:Z745)+1,"")</f>
        <v/>
      </c>
      <c r="AA746">
        <f>IF(AND($A746&lt;&gt;"",$B746&lt;&gt;"",$R746='تقرير يناير'!$C$4,$P746='تقرير يناير'!$C$6),COUNT(AA$4:AA745)+1,"")</f>
        <v/>
      </c>
      <c r="AB746">
        <f>IF(AND($A746&lt;&gt;"",$B746&lt;&gt;"",$R746='تقرير فبراير'!$C$4,$P746='تقرير فبراير'!$C$6),COUNT(AB$4:AB745)+1,"")</f>
        <v/>
      </c>
      <c r="AC746">
        <f>IF(AND($A746&lt;&gt;"",$B746&lt;&gt;"",$R746='تقرير مارس'!$C$4,$P746='تقرير مارس'!$C$6),COUNT(AC$4:AC745)+1,"")</f>
        <v/>
      </c>
      <c r="AD746">
        <f>IF(AND($A746&lt;&gt;"",$B746&lt;&gt;"",$R746='تقرير أبريل'!$C$4,$P746='تقرير أبريل'!$C$6),COUNT(AD$4:AD745)+1,"")</f>
        <v/>
      </c>
      <c r="AE746">
        <f>IF(AND($A746&lt;&gt;"",$B746&lt;&gt;"",$R746='تقرير مايو'!$C$4,$P746='تقرير مايو'!$C$6),COUNT(AE$4:AE745)+1,"")</f>
        <v/>
      </c>
    </row>
    <row r="747">
      <c r="A747" s="16" t="n"/>
      <c r="B747" s="17" t="n"/>
      <c r="C747" s="17" t="n"/>
      <c r="D747" s="18" t="n"/>
      <c r="E747" s="17" t="n"/>
      <c r="F747" s="17" t="n"/>
      <c r="G747" s="19" t="n"/>
      <c r="H747" s="17" t="n"/>
      <c r="I747" s="17" t="n"/>
      <c r="J747" s="17" t="n"/>
      <c r="K747" s="20">
        <f>IF($B747="","",IFERROR(INDEX(الموظفات!$A$5:$A$304,MATCH($B747,الموظفات!$B$5:$B$304,0))&amp;"",""))</f>
        <v/>
      </c>
      <c r="L747" s="21">
        <f>IF($B747="","",IFERROR(INDEX(الموظفات!$C$5:$C$304,MATCH($B747,الموظفات!$B$5:$B$304,0))&amp;"",""))</f>
        <v/>
      </c>
      <c r="M747" s="20">
        <f>IF($B747="","",IFERROR(INDEX(الموظفات!$D$5:$D$304,MATCH($B747,الموظفات!$B$5:$B$304,0))&amp;"",""))</f>
        <v/>
      </c>
      <c r="N747" s="20">
        <f>IF($B747="","",IFERROR(INDEX(الموظفات!$E$5:$E$304,MATCH($B747,الموظفات!$B$5:$B$304,0))&amp;"",""))</f>
        <v/>
      </c>
      <c r="O747" s="21">
        <f>IF(C747="","",IFERROR(INDEX(الإعدادات!$D$7:$D$35,MATCH(C747,الإعدادات!$A$7:$A$35,0))&amp;"",""))</f>
        <v/>
      </c>
      <c r="P747" s="20">
        <f>IF(A747="","",INDEX(الإعدادات!$H$7:$H$18,MONTH(A747)))</f>
        <v/>
      </c>
      <c r="Q747" s="20">
        <f>IF(A747="","",INDEX(الإعدادات!$I$7:$I$18,MONTH(A747)))</f>
        <v/>
      </c>
      <c r="R747" s="20">
        <f>IF(A747="","",IF(MONTH(A747)&gt;=8,YEAR(A747)&amp;"-"&amp;(YEAR(A747)+1),(YEAR(A747)-1)&amp;"-"&amp;YEAR(A747)))</f>
        <v/>
      </c>
      <c r="S747" s="20">
        <f>IF(OR(A747="",B747=""),0,IF(AND(R747=التقارير!$C$4,OR(التقارير!$C$5="سنوي",AND(التقارير!$C$5="شهري",P747=التقارير!$C$6),AND(التقارير!$C$5="فصلي",Q747=التقارير!$C$7))),1,0))</f>
        <v/>
      </c>
      <c r="T747" s="20">
        <f>IF(S747=1,COUNTIF($S$5:S747,1),"")</f>
        <v/>
      </c>
      <c r="U747">
        <f>IF(AND($A747&lt;&gt;"",$B747&lt;&gt;"",$R747='تقرير الفصل الأول'!$C$4,$Q747='تقرير الفصل الأول'!$C$7),COUNT(U$4:U746)+1,"")</f>
        <v/>
      </c>
      <c r="V747">
        <f>IF(AND($A747&lt;&gt;"",$B747&lt;&gt;"",$R747='تقرير الفصل الثاني'!$C$4,$Q747='تقرير الفصل الثاني'!$C$7),COUNT(V$4:V746)+1,"")</f>
        <v/>
      </c>
      <c r="W747">
        <f>IF(AND($A747&lt;&gt;"",$B747&lt;&gt;"",$R747='تقرير سبتمبر'!$C$4,$P747='تقرير سبتمبر'!$C$6),COUNT(W$4:W746)+1,"")</f>
        <v/>
      </c>
      <c r="X747">
        <f>IF(AND($A747&lt;&gt;"",$B747&lt;&gt;"",$R747='تقرير أكتوبر'!$C$4,$P747='تقرير أكتوبر'!$C$6),COUNT(X$4:X746)+1,"")</f>
        <v/>
      </c>
      <c r="Y747">
        <f>IF(AND($A747&lt;&gt;"",$B747&lt;&gt;"",$R747='تقرير نوفمبر'!$C$4,$P747='تقرير نوفمبر'!$C$6),COUNT(Y$4:Y746)+1,"")</f>
        <v/>
      </c>
      <c r="Z747">
        <f>IF(AND($A747&lt;&gt;"",$B747&lt;&gt;"",$R747='تقرير ديسمبر'!$C$4,$P747='تقرير ديسمبر'!$C$6),COUNT(Z$4:Z746)+1,"")</f>
        <v/>
      </c>
      <c r="AA747">
        <f>IF(AND($A747&lt;&gt;"",$B747&lt;&gt;"",$R747='تقرير يناير'!$C$4,$P747='تقرير يناير'!$C$6),COUNT(AA$4:AA746)+1,"")</f>
        <v/>
      </c>
      <c r="AB747">
        <f>IF(AND($A747&lt;&gt;"",$B747&lt;&gt;"",$R747='تقرير فبراير'!$C$4,$P747='تقرير فبراير'!$C$6),COUNT(AB$4:AB746)+1,"")</f>
        <v/>
      </c>
      <c r="AC747">
        <f>IF(AND($A747&lt;&gt;"",$B747&lt;&gt;"",$R747='تقرير مارس'!$C$4,$P747='تقرير مارس'!$C$6),COUNT(AC$4:AC746)+1,"")</f>
        <v/>
      </c>
      <c r="AD747">
        <f>IF(AND($A747&lt;&gt;"",$B747&lt;&gt;"",$R747='تقرير أبريل'!$C$4,$P747='تقرير أبريل'!$C$6),COUNT(AD$4:AD746)+1,"")</f>
        <v/>
      </c>
      <c r="AE747">
        <f>IF(AND($A747&lt;&gt;"",$B747&lt;&gt;"",$R747='تقرير مايو'!$C$4,$P747='تقرير مايو'!$C$6),COUNT(AE$4:AE746)+1,"")</f>
        <v/>
      </c>
    </row>
    <row r="748">
      <c r="A748" s="16" t="n"/>
      <c r="B748" s="17" t="n"/>
      <c r="C748" s="17" t="n"/>
      <c r="D748" s="18" t="n"/>
      <c r="E748" s="17" t="n"/>
      <c r="F748" s="17" t="n"/>
      <c r="G748" s="19" t="n"/>
      <c r="H748" s="17" t="n"/>
      <c r="I748" s="17" t="n"/>
      <c r="J748" s="17" t="n"/>
      <c r="K748" s="20">
        <f>IF($B748="","",IFERROR(INDEX(الموظفات!$A$5:$A$304,MATCH($B748,الموظفات!$B$5:$B$304,0))&amp;"",""))</f>
        <v/>
      </c>
      <c r="L748" s="21">
        <f>IF($B748="","",IFERROR(INDEX(الموظفات!$C$5:$C$304,MATCH($B748,الموظفات!$B$5:$B$304,0))&amp;"",""))</f>
        <v/>
      </c>
      <c r="M748" s="20">
        <f>IF($B748="","",IFERROR(INDEX(الموظفات!$D$5:$D$304,MATCH($B748,الموظفات!$B$5:$B$304,0))&amp;"",""))</f>
        <v/>
      </c>
      <c r="N748" s="20">
        <f>IF($B748="","",IFERROR(INDEX(الموظفات!$E$5:$E$304,MATCH($B748,الموظفات!$B$5:$B$304,0))&amp;"",""))</f>
        <v/>
      </c>
      <c r="O748" s="21">
        <f>IF(C748="","",IFERROR(INDEX(الإعدادات!$D$7:$D$35,MATCH(C748,الإعدادات!$A$7:$A$35,0))&amp;"",""))</f>
        <v/>
      </c>
      <c r="P748" s="20">
        <f>IF(A748="","",INDEX(الإعدادات!$H$7:$H$18,MONTH(A748)))</f>
        <v/>
      </c>
      <c r="Q748" s="20">
        <f>IF(A748="","",INDEX(الإعدادات!$I$7:$I$18,MONTH(A748)))</f>
        <v/>
      </c>
      <c r="R748" s="20">
        <f>IF(A748="","",IF(MONTH(A748)&gt;=8,YEAR(A748)&amp;"-"&amp;(YEAR(A748)+1),(YEAR(A748)-1)&amp;"-"&amp;YEAR(A748)))</f>
        <v/>
      </c>
      <c r="S748" s="20">
        <f>IF(OR(A748="",B748=""),0,IF(AND(R748=التقارير!$C$4,OR(التقارير!$C$5="سنوي",AND(التقارير!$C$5="شهري",P748=التقارير!$C$6),AND(التقارير!$C$5="فصلي",Q748=التقارير!$C$7))),1,0))</f>
        <v/>
      </c>
      <c r="T748" s="20">
        <f>IF(S748=1,COUNTIF($S$5:S748,1),"")</f>
        <v/>
      </c>
      <c r="U748">
        <f>IF(AND($A748&lt;&gt;"",$B748&lt;&gt;"",$R748='تقرير الفصل الأول'!$C$4,$Q748='تقرير الفصل الأول'!$C$7),COUNT(U$4:U747)+1,"")</f>
        <v/>
      </c>
      <c r="V748">
        <f>IF(AND($A748&lt;&gt;"",$B748&lt;&gt;"",$R748='تقرير الفصل الثاني'!$C$4,$Q748='تقرير الفصل الثاني'!$C$7),COUNT(V$4:V747)+1,"")</f>
        <v/>
      </c>
      <c r="W748">
        <f>IF(AND($A748&lt;&gt;"",$B748&lt;&gt;"",$R748='تقرير سبتمبر'!$C$4,$P748='تقرير سبتمبر'!$C$6),COUNT(W$4:W747)+1,"")</f>
        <v/>
      </c>
      <c r="X748">
        <f>IF(AND($A748&lt;&gt;"",$B748&lt;&gt;"",$R748='تقرير أكتوبر'!$C$4,$P748='تقرير أكتوبر'!$C$6),COUNT(X$4:X747)+1,"")</f>
        <v/>
      </c>
      <c r="Y748">
        <f>IF(AND($A748&lt;&gt;"",$B748&lt;&gt;"",$R748='تقرير نوفمبر'!$C$4,$P748='تقرير نوفمبر'!$C$6),COUNT(Y$4:Y747)+1,"")</f>
        <v/>
      </c>
      <c r="Z748">
        <f>IF(AND($A748&lt;&gt;"",$B748&lt;&gt;"",$R748='تقرير ديسمبر'!$C$4,$P748='تقرير ديسمبر'!$C$6),COUNT(Z$4:Z747)+1,"")</f>
        <v/>
      </c>
      <c r="AA748">
        <f>IF(AND($A748&lt;&gt;"",$B748&lt;&gt;"",$R748='تقرير يناير'!$C$4,$P748='تقرير يناير'!$C$6),COUNT(AA$4:AA747)+1,"")</f>
        <v/>
      </c>
      <c r="AB748">
        <f>IF(AND($A748&lt;&gt;"",$B748&lt;&gt;"",$R748='تقرير فبراير'!$C$4,$P748='تقرير فبراير'!$C$6),COUNT(AB$4:AB747)+1,"")</f>
        <v/>
      </c>
      <c r="AC748">
        <f>IF(AND($A748&lt;&gt;"",$B748&lt;&gt;"",$R748='تقرير مارس'!$C$4,$P748='تقرير مارس'!$C$6),COUNT(AC$4:AC747)+1,"")</f>
        <v/>
      </c>
      <c r="AD748">
        <f>IF(AND($A748&lt;&gt;"",$B748&lt;&gt;"",$R748='تقرير أبريل'!$C$4,$P748='تقرير أبريل'!$C$6),COUNT(AD$4:AD747)+1,"")</f>
        <v/>
      </c>
      <c r="AE748">
        <f>IF(AND($A748&lt;&gt;"",$B748&lt;&gt;"",$R748='تقرير مايو'!$C$4,$P748='تقرير مايو'!$C$6),COUNT(AE$4:AE747)+1,"")</f>
        <v/>
      </c>
    </row>
    <row r="749">
      <c r="A749" s="16" t="n"/>
      <c r="B749" s="17" t="n"/>
      <c r="C749" s="17" t="n"/>
      <c r="D749" s="18" t="n"/>
      <c r="E749" s="17" t="n"/>
      <c r="F749" s="17" t="n"/>
      <c r="G749" s="19" t="n"/>
      <c r="H749" s="17" t="n"/>
      <c r="I749" s="17" t="n"/>
      <c r="J749" s="17" t="n"/>
      <c r="K749" s="20">
        <f>IF($B749="","",IFERROR(INDEX(الموظفات!$A$5:$A$304,MATCH($B749,الموظفات!$B$5:$B$304,0))&amp;"",""))</f>
        <v/>
      </c>
      <c r="L749" s="21">
        <f>IF($B749="","",IFERROR(INDEX(الموظفات!$C$5:$C$304,MATCH($B749,الموظفات!$B$5:$B$304,0))&amp;"",""))</f>
        <v/>
      </c>
      <c r="M749" s="20">
        <f>IF($B749="","",IFERROR(INDEX(الموظفات!$D$5:$D$304,MATCH($B749,الموظفات!$B$5:$B$304,0))&amp;"",""))</f>
        <v/>
      </c>
      <c r="N749" s="20">
        <f>IF($B749="","",IFERROR(INDEX(الموظفات!$E$5:$E$304,MATCH($B749,الموظفات!$B$5:$B$304,0))&amp;"",""))</f>
        <v/>
      </c>
      <c r="O749" s="21">
        <f>IF(C749="","",IFERROR(INDEX(الإعدادات!$D$7:$D$35,MATCH(C749,الإعدادات!$A$7:$A$35,0))&amp;"",""))</f>
        <v/>
      </c>
      <c r="P749" s="20">
        <f>IF(A749="","",INDEX(الإعدادات!$H$7:$H$18,MONTH(A749)))</f>
        <v/>
      </c>
      <c r="Q749" s="20">
        <f>IF(A749="","",INDEX(الإعدادات!$I$7:$I$18,MONTH(A749)))</f>
        <v/>
      </c>
      <c r="R749" s="20">
        <f>IF(A749="","",IF(MONTH(A749)&gt;=8,YEAR(A749)&amp;"-"&amp;(YEAR(A749)+1),(YEAR(A749)-1)&amp;"-"&amp;YEAR(A749)))</f>
        <v/>
      </c>
      <c r="S749" s="20">
        <f>IF(OR(A749="",B749=""),0,IF(AND(R749=التقارير!$C$4,OR(التقارير!$C$5="سنوي",AND(التقارير!$C$5="شهري",P749=التقارير!$C$6),AND(التقارير!$C$5="فصلي",Q749=التقارير!$C$7))),1,0))</f>
        <v/>
      </c>
      <c r="T749" s="20">
        <f>IF(S749=1,COUNTIF($S$5:S749,1),"")</f>
        <v/>
      </c>
      <c r="U749">
        <f>IF(AND($A749&lt;&gt;"",$B749&lt;&gt;"",$R749='تقرير الفصل الأول'!$C$4,$Q749='تقرير الفصل الأول'!$C$7),COUNT(U$4:U748)+1,"")</f>
        <v/>
      </c>
      <c r="V749">
        <f>IF(AND($A749&lt;&gt;"",$B749&lt;&gt;"",$R749='تقرير الفصل الثاني'!$C$4,$Q749='تقرير الفصل الثاني'!$C$7),COUNT(V$4:V748)+1,"")</f>
        <v/>
      </c>
      <c r="W749">
        <f>IF(AND($A749&lt;&gt;"",$B749&lt;&gt;"",$R749='تقرير سبتمبر'!$C$4,$P749='تقرير سبتمبر'!$C$6),COUNT(W$4:W748)+1,"")</f>
        <v/>
      </c>
      <c r="X749">
        <f>IF(AND($A749&lt;&gt;"",$B749&lt;&gt;"",$R749='تقرير أكتوبر'!$C$4,$P749='تقرير أكتوبر'!$C$6),COUNT(X$4:X748)+1,"")</f>
        <v/>
      </c>
      <c r="Y749">
        <f>IF(AND($A749&lt;&gt;"",$B749&lt;&gt;"",$R749='تقرير نوفمبر'!$C$4,$P749='تقرير نوفمبر'!$C$6),COUNT(Y$4:Y748)+1,"")</f>
        <v/>
      </c>
      <c r="Z749">
        <f>IF(AND($A749&lt;&gt;"",$B749&lt;&gt;"",$R749='تقرير ديسمبر'!$C$4,$P749='تقرير ديسمبر'!$C$6),COUNT(Z$4:Z748)+1,"")</f>
        <v/>
      </c>
      <c r="AA749">
        <f>IF(AND($A749&lt;&gt;"",$B749&lt;&gt;"",$R749='تقرير يناير'!$C$4,$P749='تقرير يناير'!$C$6),COUNT(AA$4:AA748)+1,"")</f>
        <v/>
      </c>
      <c r="AB749">
        <f>IF(AND($A749&lt;&gt;"",$B749&lt;&gt;"",$R749='تقرير فبراير'!$C$4,$P749='تقرير فبراير'!$C$6),COUNT(AB$4:AB748)+1,"")</f>
        <v/>
      </c>
      <c r="AC749">
        <f>IF(AND($A749&lt;&gt;"",$B749&lt;&gt;"",$R749='تقرير مارس'!$C$4,$P749='تقرير مارس'!$C$6),COUNT(AC$4:AC748)+1,"")</f>
        <v/>
      </c>
      <c r="AD749">
        <f>IF(AND($A749&lt;&gt;"",$B749&lt;&gt;"",$R749='تقرير أبريل'!$C$4,$P749='تقرير أبريل'!$C$6),COUNT(AD$4:AD748)+1,"")</f>
        <v/>
      </c>
      <c r="AE749">
        <f>IF(AND($A749&lt;&gt;"",$B749&lt;&gt;"",$R749='تقرير مايو'!$C$4,$P749='تقرير مايو'!$C$6),COUNT(AE$4:AE748)+1,"")</f>
        <v/>
      </c>
    </row>
    <row r="750">
      <c r="A750" s="16" t="n"/>
      <c r="B750" s="17" t="n"/>
      <c r="C750" s="17" t="n"/>
      <c r="D750" s="18" t="n"/>
      <c r="E750" s="17" t="n"/>
      <c r="F750" s="17" t="n"/>
      <c r="G750" s="19" t="n"/>
      <c r="H750" s="17" t="n"/>
      <c r="I750" s="17" t="n"/>
      <c r="J750" s="17" t="n"/>
      <c r="K750" s="20">
        <f>IF($B750="","",IFERROR(INDEX(الموظفات!$A$5:$A$304,MATCH($B750,الموظفات!$B$5:$B$304,0))&amp;"",""))</f>
        <v/>
      </c>
      <c r="L750" s="21">
        <f>IF($B750="","",IFERROR(INDEX(الموظفات!$C$5:$C$304,MATCH($B750,الموظفات!$B$5:$B$304,0))&amp;"",""))</f>
        <v/>
      </c>
      <c r="M750" s="20">
        <f>IF($B750="","",IFERROR(INDEX(الموظفات!$D$5:$D$304,MATCH($B750,الموظفات!$B$5:$B$304,0))&amp;"",""))</f>
        <v/>
      </c>
      <c r="N750" s="20">
        <f>IF($B750="","",IFERROR(INDEX(الموظفات!$E$5:$E$304,MATCH($B750,الموظفات!$B$5:$B$304,0))&amp;"",""))</f>
        <v/>
      </c>
      <c r="O750" s="21">
        <f>IF(C750="","",IFERROR(INDEX(الإعدادات!$D$7:$D$35,MATCH(C750,الإعدادات!$A$7:$A$35,0))&amp;"",""))</f>
        <v/>
      </c>
      <c r="P750" s="20">
        <f>IF(A750="","",INDEX(الإعدادات!$H$7:$H$18,MONTH(A750)))</f>
        <v/>
      </c>
      <c r="Q750" s="20">
        <f>IF(A750="","",INDEX(الإعدادات!$I$7:$I$18,MONTH(A750)))</f>
        <v/>
      </c>
      <c r="R750" s="20">
        <f>IF(A750="","",IF(MONTH(A750)&gt;=8,YEAR(A750)&amp;"-"&amp;(YEAR(A750)+1),(YEAR(A750)-1)&amp;"-"&amp;YEAR(A750)))</f>
        <v/>
      </c>
      <c r="S750" s="20">
        <f>IF(OR(A750="",B750=""),0,IF(AND(R750=التقارير!$C$4,OR(التقارير!$C$5="سنوي",AND(التقارير!$C$5="شهري",P750=التقارير!$C$6),AND(التقارير!$C$5="فصلي",Q750=التقارير!$C$7))),1,0))</f>
        <v/>
      </c>
      <c r="T750" s="20">
        <f>IF(S750=1,COUNTIF($S$5:S750,1),"")</f>
        <v/>
      </c>
      <c r="U750">
        <f>IF(AND($A750&lt;&gt;"",$B750&lt;&gt;"",$R750='تقرير الفصل الأول'!$C$4,$Q750='تقرير الفصل الأول'!$C$7),COUNT(U$4:U749)+1,"")</f>
        <v/>
      </c>
      <c r="V750">
        <f>IF(AND($A750&lt;&gt;"",$B750&lt;&gt;"",$R750='تقرير الفصل الثاني'!$C$4,$Q750='تقرير الفصل الثاني'!$C$7),COUNT(V$4:V749)+1,"")</f>
        <v/>
      </c>
      <c r="W750">
        <f>IF(AND($A750&lt;&gt;"",$B750&lt;&gt;"",$R750='تقرير سبتمبر'!$C$4,$P750='تقرير سبتمبر'!$C$6),COUNT(W$4:W749)+1,"")</f>
        <v/>
      </c>
      <c r="X750">
        <f>IF(AND($A750&lt;&gt;"",$B750&lt;&gt;"",$R750='تقرير أكتوبر'!$C$4,$P750='تقرير أكتوبر'!$C$6),COUNT(X$4:X749)+1,"")</f>
        <v/>
      </c>
      <c r="Y750">
        <f>IF(AND($A750&lt;&gt;"",$B750&lt;&gt;"",$R750='تقرير نوفمبر'!$C$4,$P750='تقرير نوفمبر'!$C$6),COUNT(Y$4:Y749)+1,"")</f>
        <v/>
      </c>
      <c r="Z750">
        <f>IF(AND($A750&lt;&gt;"",$B750&lt;&gt;"",$R750='تقرير ديسمبر'!$C$4,$P750='تقرير ديسمبر'!$C$6),COUNT(Z$4:Z749)+1,"")</f>
        <v/>
      </c>
      <c r="AA750">
        <f>IF(AND($A750&lt;&gt;"",$B750&lt;&gt;"",$R750='تقرير يناير'!$C$4,$P750='تقرير يناير'!$C$6),COUNT(AA$4:AA749)+1,"")</f>
        <v/>
      </c>
      <c r="AB750">
        <f>IF(AND($A750&lt;&gt;"",$B750&lt;&gt;"",$R750='تقرير فبراير'!$C$4,$P750='تقرير فبراير'!$C$6),COUNT(AB$4:AB749)+1,"")</f>
        <v/>
      </c>
      <c r="AC750">
        <f>IF(AND($A750&lt;&gt;"",$B750&lt;&gt;"",$R750='تقرير مارس'!$C$4,$P750='تقرير مارس'!$C$6),COUNT(AC$4:AC749)+1,"")</f>
        <v/>
      </c>
      <c r="AD750">
        <f>IF(AND($A750&lt;&gt;"",$B750&lt;&gt;"",$R750='تقرير أبريل'!$C$4,$P750='تقرير أبريل'!$C$6),COUNT(AD$4:AD749)+1,"")</f>
        <v/>
      </c>
      <c r="AE750">
        <f>IF(AND($A750&lt;&gt;"",$B750&lt;&gt;"",$R750='تقرير مايو'!$C$4,$P750='تقرير مايو'!$C$6),COUNT(AE$4:AE749)+1,"")</f>
        <v/>
      </c>
    </row>
    <row r="751">
      <c r="A751" s="16" t="n"/>
      <c r="B751" s="17" t="n"/>
      <c r="C751" s="17" t="n"/>
      <c r="D751" s="18" t="n"/>
      <c r="E751" s="17" t="n"/>
      <c r="F751" s="17" t="n"/>
      <c r="G751" s="19" t="n"/>
      <c r="H751" s="17" t="n"/>
      <c r="I751" s="17" t="n"/>
      <c r="J751" s="17" t="n"/>
      <c r="K751" s="20">
        <f>IF($B751="","",IFERROR(INDEX(الموظفات!$A$5:$A$304,MATCH($B751,الموظفات!$B$5:$B$304,0))&amp;"",""))</f>
        <v/>
      </c>
      <c r="L751" s="21">
        <f>IF($B751="","",IFERROR(INDEX(الموظفات!$C$5:$C$304,MATCH($B751,الموظفات!$B$5:$B$304,0))&amp;"",""))</f>
        <v/>
      </c>
      <c r="M751" s="20">
        <f>IF($B751="","",IFERROR(INDEX(الموظفات!$D$5:$D$304,MATCH($B751,الموظفات!$B$5:$B$304,0))&amp;"",""))</f>
        <v/>
      </c>
      <c r="N751" s="20">
        <f>IF($B751="","",IFERROR(INDEX(الموظفات!$E$5:$E$304,MATCH($B751,الموظفات!$B$5:$B$304,0))&amp;"",""))</f>
        <v/>
      </c>
      <c r="O751" s="21">
        <f>IF(C751="","",IFERROR(INDEX(الإعدادات!$D$7:$D$35,MATCH(C751,الإعدادات!$A$7:$A$35,0))&amp;"",""))</f>
        <v/>
      </c>
      <c r="P751" s="20">
        <f>IF(A751="","",INDEX(الإعدادات!$H$7:$H$18,MONTH(A751)))</f>
        <v/>
      </c>
      <c r="Q751" s="20">
        <f>IF(A751="","",INDEX(الإعدادات!$I$7:$I$18,MONTH(A751)))</f>
        <v/>
      </c>
      <c r="R751" s="20">
        <f>IF(A751="","",IF(MONTH(A751)&gt;=8,YEAR(A751)&amp;"-"&amp;(YEAR(A751)+1),(YEAR(A751)-1)&amp;"-"&amp;YEAR(A751)))</f>
        <v/>
      </c>
      <c r="S751" s="20">
        <f>IF(OR(A751="",B751=""),0,IF(AND(R751=التقارير!$C$4,OR(التقارير!$C$5="سنوي",AND(التقارير!$C$5="شهري",P751=التقارير!$C$6),AND(التقارير!$C$5="فصلي",Q751=التقارير!$C$7))),1,0))</f>
        <v/>
      </c>
      <c r="T751" s="20">
        <f>IF(S751=1,COUNTIF($S$5:S751,1),"")</f>
        <v/>
      </c>
      <c r="U751">
        <f>IF(AND($A751&lt;&gt;"",$B751&lt;&gt;"",$R751='تقرير الفصل الأول'!$C$4,$Q751='تقرير الفصل الأول'!$C$7),COUNT(U$4:U750)+1,"")</f>
        <v/>
      </c>
      <c r="V751">
        <f>IF(AND($A751&lt;&gt;"",$B751&lt;&gt;"",$R751='تقرير الفصل الثاني'!$C$4,$Q751='تقرير الفصل الثاني'!$C$7),COUNT(V$4:V750)+1,"")</f>
        <v/>
      </c>
      <c r="W751">
        <f>IF(AND($A751&lt;&gt;"",$B751&lt;&gt;"",$R751='تقرير سبتمبر'!$C$4,$P751='تقرير سبتمبر'!$C$6),COUNT(W$4:W750)+1,"")</f>
        <v/>
      </c>
      <c r="X751">
        <f>IF(AND($A751&lt;&gt;"",$B751&lt;&gt;"",$R751='تقرير أكتوبر'!$C$4,$P751='تقرير أكتوبر'!$C$6),COUNT(X$4:X750)+1,"")</f>
        <v/>
      </c>
      <c r="Y751">
        <f>IF(AND($A751&lt;&gt;"",$B751&lt;&gt;"",$R751='تقرير نوفمبر'!$C$4,$P751='تقرير نوفمبر'!$C$6),COUNT(Y$4:Y750)+1,"")</f>
        <v/>
      </c>
      <c r="Z751">
        <f>IF(AND($A751&lt;&gt;"",$B751&lt;&gt;"",$R751='تقرير ديسمبر'!$C$4,$P751='تقرير ديسمبر'!$C$6),COUNT(Z$4:Z750)+1,"")</f>
        <v/>
      </c>
      <c r="AA751">
        <f>IF(AND($A751&lt;&gt;"",$B751&lt;&gt;"",$R751='تقرير يناير'!$C$4,$P751='تقرير يناير'!$C$6),COUNT(AA$4:AA750)+1,"")</f>
        <v/>
      </c>
      <c r="AB751">
        <f>IF(AND($A751&lt;&gt;"",$B751&lt;&gt;"",$R751='تقرير فبراير'!$C$4,$P751='تقرير فبراير'!$C$6),COUNT(AB$4:AB750)+1,"")</f>
        <v/>
      </c>
      <c r="AC751">
        <f>IF(AND($A751&lt;&gt;"",$B751&lt;&gt;"",$R751='تقرير مارس'!$C$4,$P751='تقرير مارس'!$C$6),COUNT(AC$4:AC750)+1,"")</f>
        <v/>
      </c>
      <c r="AD751">
        <f>IF(AND($A751&lt;&gt;"",$B751&lt;&gt;"",$R751='تقرير أبريل'!$C$4,$P751='تقرير أبريل'!$C$6),COUNT(AD$4:AD750)+1,"")</f>
        <v/>
      </c>
      <c r="AE751">
        <f>IF(AND($A751&lt;&gt;"",$B751&lt;&gt;"",$R751='تقرير مايو'!$C$4,$P751='تقرير مايو'!$C$6),COUNT(AE$4:AE750)+1,"")</f>
        <v/>
      </c>
    </row>
    <row r="752">
      <c r="A752" s="16" t="n"/>
      <c r="B752" s="17" t="n"/>
      <c r="C752" s="17" t="n"/>
      <c r="D752" s="18" t="n"/>
      <c r="E752" s="17" t="n"/>
      <c r="F752" s="17" t="n"/>
      <c r="G752" s="19" t="n"/>
      <c r="H752" s="17" t="n"/>
      <c r="I752" s="17" t="n"/>
      <c r="J752" s="17" t="n"/>
      <c r="K752" s="20">
        <f>IF($B752="","",IFERROR(INDEX(الموظفات!$A$5:$A$304,MATCH($B752,الموظفات!$B$5:$B$304,0))&amp;"",""))</f>
        <v/>
      </c>
      <c r="L752" s="21">
        <f>IF($B752="","",IFERROR(INDEX(الموظفات!$C$5:$C$304,MATCH($B752,الموظفات!$B$5:$B$304,0))&amp;"",""))</f>
        <v/>
      </c>
      <c r="M752" s="20">
        <f>IF($B752="","",IFERROR(INDEX(الموظفات!$D$5:$D$304,MATCH($B752,الموظفات!$B$5:$B$304,0))&amp;"",""))</f>
        <v/>
      </c>
      <c r="N752" s="20">
        <f>IF($B752="","",IFERROR(INDEX(الموظفات!$E$5:$E$304,MATCH($B752,الموظفات!$B$5:$B$304,0))&amp;"",""))</f>
        <v/>
      </c>
      <c r="O752" s="21">
        <f>IF(C752="","",IFERROR(INDEX(الإعدادات!$D$7:$D$35,MATCH(C752,الإعدادات!$A$7:$A$35,0))&amp;"",""))</f>
        <v/>
      </c>
      <c r="P752" s="20">
        <f>IF(A752="","",INDEX(الإعدادات!$H$7:$H$18,MONTH(A752)))</f>
        <v/>
      </c>
      <c r="Q752" s="20">
        <f>IF(A752="","",INDEX(الإعدادات!$I$7:$I$18,MONTH(A752)))</f>
        <v/>
      </c>
      <c r="R752" s="20">
        <f>IF(A752="","",IF(MONTH(A752)&gt;=8,YEAR(A752)&amp;"-"&amp;(YEAR(A752)+1),(YEAR(A752)-1)&amp;"-"&amp;YEAR(A752)))</f>
        <v/>
      </c>
      <c r="S752" s="20">
        <f>IF(OR(A752="",B752=""),0,IF(AND(R752=التقارير!$C$4,OR(التقارير!$C$5="سنوي",AND(التقارير!$C$5="شهري",P752=التقارير!$C$6),AND(التقارير!$C$5="فصلي",Q752=التقارير!$C$7))),1,0))</f>
        <v/>
      </c>
      <c r="T752" s="20">
        <f>IF(S752=1,COUNTIF($S$5:S752,1),"")</f>
        <v/>
      </c>
      <c r="U752">
        <f>IF(AND($A752&lt;&gt;"",$B752&lt;&gt;"",$R752='تقرير الفصل الأول'!$C$4,$Q752='تقرير الفصل الأول'!$C$7),COUNT(U$4:U751)+1,"")</f>
        <v/>
      </c>
      <c r="V752">
        <f>IF(AND($A752&lt;&gt;"",$B752&lt;&gt;"",$R752='تقرير الفصل الثاني'!$C$4,$Q752='تقرير الفصل الثاني'!$C$7),COUNT(V$4:V751)+1,"")</f>
        <v/>
      </c>
      <c r="W752">
        <f>IF(AND($A752&lt;&gt;"",$B752&lt;&gt;"",$R752='تقرير سبتمبر'!$C$4,$P752='تقرير سبتمبر'!$C$6),COUNT(W$4:W751)+1,"")</f>
        <v/>
      </c>
      <c r="X752">
        <f>IF(AND($A752&lt;&gt;"",$B752&lt;&gt;"",$R752='تقرير أكتوبر'!$C$4,$P752='تقرير أكتوبر'!$C$6),COUNT(X$4:X751)+1,"")</f>
        <v/>
      </c>
      <c r="Y752">
        <f>IF(AND($A752&lt;&gt;"",$B752&lt;&gt;"",$R752='تقرير نوفمبر'!$C$4,$P752='تقرير نوفمبر'!$C$6),COUNT(Y$4:Y751)+1,"")</f>
        <v/>
      </c>
      <c r="Z752">
        <f>IF(AND($A752&lt;&gt;"",$B752&lt;&gt;"",$R752='تقرير ديسمبر'!$C$4,$P752='تقرير ديسمبر'!$C$6),COUNT(Z$4:Z751)+1,"")</f>
        <v/>
      </c>
      <c r="AA752">
        <f>IF(AND($A752&lt;&gt;"",$B752&lt;&gt;"",$R752='تقرير يناير'!$C$4,$P752='تقرير يناير'!$C$6),COUNT(AA$4:AA751)+1,"")</f>
        <v/>
      </c>
      <c r="AB752">
        <f>IF(AND($A752&lt;&gt;"",$B752&lt;&gt;"",$R752='تقرير فبراير'!$C$4,$P752='تقرير فبراير'!$C$6),COUNT(AB$4:AB751)+1,"")</f>
        <v/>
      </c>
      <c r="AC752">
        <f>IF(AND($A752&lt;&gt;"",$B752&lt;&gt;"",$R752='تقرير مارس'!$C$4,$P752='تقرير مارس'!$C$6),COUNT(AC$4:AC751)+1,"")</f>
        <v/>
      </c>
      <c r="AD752">
        <f>IF(AND($A752&lt;&gt;"",$B752&lt;&gt;"",$R752='تقرير أبريل'!$C$4,$P752='تقرير أبريل'!$C$6),COUNT(AD$4:AD751)+1,"")</f>
        <v/>
      </c>
      <c r="AE752">
        <f>IF(AND($A752&lt;&gt;"",$B752&lt;&gt;"",$R752='تقرير مايو'!$C$4,$P752='تقرير مايو'!$C$6),COUNT(AE$4:AE751)+1,"")</f>
        <v/>
      </c>
    </row>
    <row r="753">
      <c r="A753" s="16" t="n"/>
      <c r="B753" s="17" t="n"/>
      <c r="C753" s="17" t="n"/>
      <c r="D753" s="18" t="n"/>
      <c r="E753" s="17" t="n"/>
      <c r="F753" s="17" t="n"/>
      <c r="G753" s="19" t="n"/>
      <c r="H753" s="17" t="n"/>
      <c r="I753" s="17" t="n"/>
      <c r="J753" s="17" t="n"/>
      <c r="K753" s="20">
        <f>IF($B753="","",IFERROR(INDEX(الموظفات!$A$5:$A$304,MATCH($B753,الموظفات!$B$5:$B$304,0))&amp;"",""))</f>
        <v/>
      </c>
      <c r="L753" s="21">
        <f>IF($B753="","",IFERROR(INDEX(الموظفات!$C$5:$C$304,MATCH($B753,الموظفات!$B$5:$B$304,0))&amp;"",""))</f>
        <v/>
      </c>
      <c r="M753" s="20">
        <f>IF($B753="","",IFERROR(INDEX(الموظفات!$D$5:$D$304,MATCH($B753,الموظفات!$B$5:$B$304,0))&amp;"",""))</f>
        <v/>
      </c>
      <c r="N753" s="20">
        <f>IF($B753="","",IFERROR(INDEX(الموظفات!$E$5:$E$304,MATCH($B753,الموظفات!$B$5:$B$304,0))&amp;"",""))</f>
        <v/>
      </c>
      <c r="O753" s="21">
        <f>IF(C753="","",IFERROR(INDEX(الإعدادات!$D$7:$D$35,MATCH(C753,الإعدادات!$A$7:$A$35,0))&amp;"",""))</f>
        <v/>
      </c>
      <c r="P753" s="20">
        <f>IF(A753="","",INDEX(الإعدادات!$H$7:$H$18,MONTH(A753)))</f>
        <v/>
      </c>
      <c r="Q753" s="20">
        <f>IF(A753="","",INDEX(الإعدادات!$I$7:$I$18,MONTH(A753)))</f>
        <v/>
      </c>
      <c r="R753" s="20">
        <f>IF(A753="","",IF(MONTH(A753)&gt;=8,YEAR(A753)&amp;"-"&amp;(YEAR(A753)+1),(YEAR(A753)-1)&amp;"-"&amp;YEAR(A753)))</f>
        <v/>
      </c>
      <c r="S753" s="20">
        <f>IF(OR(A753="",B753=""),0,IF(AND(R753=التقارير!$C$4,OR(التقارير!$C$5="سنوي",AND(التقارير!$C$5="شهري",P753=التقارير!$C$6),AND(التقارير!$C$5="فصلي",Q753=التقارير!$C$7))),1,0))</f>
        <v/>
      </c>
      <c r="T753" s="20">
        <f>IF(S753=1,COUNTIF($S$5:S753,1),"")</f>
        <v/>
      </c>
      <c r="U753">
        <f>IF(AND($A753&lt;&gt;"",$B753&lt;&gt;"",$R753='تقرير الفصل الأول'!$C$4,$Q753='تقرير الفصل الأول'!$C$7),COUNT(U$4:U752)+1,"")</f>
        <v/>
      </c>
      <c r="V753">
        <f>IF(AND($A753&lt;&gt;"",$B753&lt;&gt;"",$R753='تقرير الفصل الثاني'!$C$4,$Q753='تقرير الفصل الثاني'!$C$7),COUNT(V$4:V752)+1,"")</f>
        <v/>
      </c>
      <c r="W753">
        <f>IF(AND($A753&lt;&gt;"",$B753&lt;&gt;"",$R753='تقرير سبتمبر'!$C$4,$P753='تقرير سبتمبر'!$C$6),COUNT(W$4:W752)+1,"")</f>
        <v/>
      </c>
      <c r="X753">
        <f>IF(AND($A753&lt;&gt;"",$B753&lt;&gt;"",$R753='تقرير أكتوبر'!$C$4,$P753='تقرير أكتوبر'!$C$6),COUNT(X$4:X752)+1,"")</f>
        <v/>
      </c>
      <c r="Y753">
        <f>IF(AND($A753&lt;&gt;"",$B753&lt;&gt;"",$R753='تقرير نوفمبر'!$C$4,$P753='تقرير نوفمبر'!$C$6),COUNT(Y$4:Y752)+1,"")</f>
        <v/>
      </c>
      <c r="Z753">
        <f>IF(AND($A753&lt;&gt;"",$B753&lt;&gt;"",$R753='تقرير ديسمبر'!$C$4,$P753='تقرير ديسمبر'!$C$6),COUNT(Z$4:Z752)+1,"")</f>
        <v/>
      </c>
      <c r="AA753">
        <f>IF(AND($A753&lt;&gt;"",$B753&lt;&gt;"",$R753='تقرير يناير'!$C$4,$P753='تقرير يناير'!$C$6),COUNT(AA$4:AA752)+1,"")</f>
        <v/>
      </c>
      <c r="AB753">
        <f>IF(AND($A753&lt;&gt;"",$B753&lt;&gt;"",$R753='تقرير فبراير'!$C$4,$P753='تقرير فبراير'!$C$6),COUNT(AB$4:AB752)+1,"")</f>
        <v/>
      </c>
      <c r="AC753">
        <f>IF(AND($A753&lt;&gt;"",$B753&lt;&gt;"",$R753='تقرير مارس'!$C$4,$P753='تقرير مارس'!$C$6),COUNT(AC$4:AC752)+1,"")</f>
        <v/>
      </c>
      <c r="AD753">
        <f>IF(AND($A753&lt;&gt;"",$B753&lt;&gt;"",$R753='تقرير أبريل'!$C$4,$P753='تقرير أبريل'!$C$6),COUNT(AD$4:AD752)+1,"")</f>
        <v/>
      </c>
      <c r="AE753">
        <f>IF(AND($A753&lt;&gt;"",$B753&lt;&gt;"",$R753='تقرير مايو'!$C$4,$P753='تقرير مايو'!$C$6),COUNT(AE$4:AE752)+1,"")</f>
        <v/>
      </c>
    </row>
    <row r="754">
      <c r="A754" s="16" t="n"/>
      <c r="B754" s="17" t="n"/>
      <c r="C754" s="17" t="n"/>
      <c r="D754" s="18" t="n"/>
      <c r="E754" s="17" t="n"/>
      <c r="F754" s="17" t="n"/>
      <c r="G754" s="19" t="n"/>
      <c r="H754" s="17" t="n"/>
      <c r="I754" s="17" t="n"/>
      <c r="J754" s="17" t="n"/>
      <c r="K754" s="20">
        <f>IF($B754="","",IFERROR(INDEX(الموظفات!$A$5:$A$304,MATCH($B754,الموظفات!$B$5:$B$304,0))&amp;"",""))</f>
        <v/>
      </c>
      <c r="L754" s="21">
        <f>IF($B754="","",IFERROR(INDEX(الموظفات!$C$5:$C$304,MATCH($B754,الموظفات!$B$5:$B$304,0))&amp;"",""))</f>
        <v/>
      </c>
      <c r="M754" s="20">
        <f>IF($B754="","",IFERROR(INDEX(الموظفات!$D$5:$D$304,MATCH($B754,الموظفات!$B$5:$B$304,0))&amp;"",""))</f>
        <v/>
      </c>
      <c r="N754" s="20">
        <f>IF($B754="","",IFERROR(INDEX(الموظفات!$E$5:$E$304,MATCH($B754,الموظفات!$B$5:$B$304,0))&amp;"",""))</f>
        <v/>
      </c>
      <c r="O754" s="21">
        <f>IF(C754="","",IFERROR(INDEX(الإعدادات!$D$7:$D$35,MATCH(C754,الإعدادات!$A$7:$A$35,0))&amp;"",""))</f>
        <v/>
      </c>
      <c r="P754" s="20">
        <f>IF(A754="","",INDEX(الإعدادات!$H$7:$H$18,MONTH(A754)))</f>
        <v/>
      </c>
      <c r="Q754" s="20">
        <f>IF(A754="","",INDEX(الإعدادات!$I$7:$I$18,MONTH(A754)))</f>
        <v/>
      </c>
      <c r="R754" s="20">
        <f>IF(A754="","",IF(MONTH(A754)&gt;=8,YEAR(A754)&amp;"-"&amp;(YEAR(A754)+1),(YEAR(A754)-1)&amp;"-"&amp;YEAR(A754)))</f>
        <v/>
      </c>
      <c r="S754" s="20">
        <f>IF(OR(A754="",B754=""),0,IF(AND(R754=التقارير!$C$4,OR(التقارير!$C$5="سنوي",AND(التقارير!$C$5="شهري",P754=التقارير!$C$6),AND(التقارير!$C$5="فصلي",Q754=التقارير!$C$7))),1,0))</f>
        <v/>
      </c>
      <c r="T754" s="20">
        <f>IF(S754=1,COUNTIF($S$5:S754,1),"")</f>
        <v/>
      </c>
      <c r="U754">
        <f>IF(AND($A754&lt;&gt;"",$B754&lt;&gt;"",$R754='تقرير الفصل الأول'!$C$4,$Q754='تقرير الفصل الأول'!$C$7),COUNT(U$4:U753)+1,"")</f>
        <v/>
      </c>
      <c r="V754">
        <f>IF(AND($A754&lt;&gt;"",$B754&lt;&gt;"",$R754='تقرير الفصل الثاني'!$C$4,$Q754='تقرير الفصل الثاني'!$C$7),COUNT(V$4:V753)+1,"")</f>
        <v/>
      </c>
      <c r="W754">
        <f>IF(AND($A754&lt;&gt;"",$B754&lt;&gt;"",$R754='تقرير سبتمبر'!$C$4,$P754='تقرير سبتمبر'!$C$6),COUNT(W$4:W753)+1,"")</f>
        <v/>
      </c>
      <c r="X754">
        <f>IF(AND($A754&lt;&gt;"",$B754&lt;&gt;"",$R754='تقرير أكتوبر'!$C$4,$P754='تقرير أكتوبر'!$C$6),COUNT(X$4:X753)+1,"")</f>
        <v/>
      </c>
      <c r="Y754">
        <f>IF(AND($A754&lt;&gt;"",$B754&lt;&gt;"",$R754='تقرير نوفمبر'!$C$4,$P754='تقرير نوفمبر'!$C$6),COUNT(Y$4:Y753)+1,"")</f>
        <v/>
      </c>
      <c r="Z754">
        <f>IF(AND($A754&lt;&gt;"",$B754&lt;&gt;"",$R754='تقرير ديسمبر'!$C$4,$P754='تقرير ديسمبر'!$C$6),COUNT(Z$4:Z753)+1,"")</f>
        <v/>
      </c>
      <c r="AA754">
        <f>IF(AND($A754&lt;&gt;"",$B754&lt;&gt;"",$R754='تقرير يناير'!$C$4,$P754='تقرير يناير'!$C$6),COUNT(AA$4:AA753)+1,"")</f>
        <v/>
      </c>
      <c r="AB754">
        <f>IF(AND($A754&lt;&gt;"",$B754&lt;&gt;"",$R754='تقرير فبراير'!$C$4,$P754='تقرير فبراير'!$C$6),COUNT(AB$4:AB753)+1,"")</f>
        <v/>
      </c>
      <c r="AC754">
        <f>IF(AND($A754&lt;&gt;"",$B754&lt;&gt;"",$R754='تقرير مارس'!$C$4,$P754='تقرير مارس'!$C$6),COUNT(AC$4:AC753)+1,"")</f>
        <v/>
      </c>
      <c r="AD754">
        <f>IF(AND($A754&lt;&gt;"",$B754&lt;&gt;"",$R754='تقرير أبريل'!$C$4,$P754='تقرير أبريل'!$C$6),COUNT(AD$4:AD753)+1,"")</f>
        <v/>
      </c>
      <c r="AE754">
        <f>IF(AND($A754&lt;&gt;"",$B754&lt;&gt;"",$R754='تقرير مايو'!$C$4,$P754='تقرير مايو'!$C$6),COUNT(AE$4:AE753)+1,"")</f>
        <v/>
      </c>
    </row>
    <row r="755">
      <c r="A755" s="16" t="n"/>
      <c r="B755" s="17" t="n"/>
      <c r="C755" s="17" t="n"/>
      <c r="D755" s="18" t="n"/>
      <c r="E755" s="17" t="n"/>
      <c r="F755" s="17" t="n"/>
      <c r="G755" s="19" t="n"/>
      <c r="H755" s="17" t="n"/>
      <c r="I755" s="17" t="n"/>
      <c r="J755" s="17" t="n"/>
      <c r="K755" s="20">
        <f>IF($B755="","",IFERROR(INDEX(الموظفات!$A$5:$A$304,MATCH($B755,الموظفات!$B$5:$B$304,0))&amp;"",""))</f>
        <v/>
      </c>
      <c r="L755" s="21">
        <f>IF($B755="","",IFERROR(INDEX(الموظفات!$C$5:$C$304,MATCH($B755,الموظفات!$B$5:$B$304,0))&amp;"",""))</f>
        <v/>
      </c>
      <c r="M755" s="20">
        <f>IF($B755="","",IFERROR(INDEX(الموظفات!$D$5:$D$304,MATCH($B755,الموظفات!$B$5:$B$304,0))&amp;"",""))</f>
        <v/>
      </c>
      <c r="N755" s="20">
        <f>IF($B755="","",IFERROR(INDEX(الموظفات!$E$5:$E$304,MATCH($B755,الموظفات!$B$5:$B$304,0))&amp;"",""))</f>
        <v/>
      </c>
      <c r="O755" s="21">
        <f>IF(C755="","",IFERROR(INDEX(الإعدادات!$D$7:$D$35,MATCH(C755,الإعدادات!$A$7:$A$35,0))&amp;"",""))</f>
        <v/>
      </c>
      <c r="P755" s="20">
        <f>IF(A755="","",INDEX(الإعدادات!$H$7:$H$18,MONTH(A755)))</f>
        <v/>
      </c>
      <c r="Q755" s="20">
        <f>IF(A755="","",INDEX(الإعدادات!$I$7:$I$18,MONTH(A755)))</f>
        <v/>
      </c>
      <c r="R755" s="20">
        <f>IF(A755="","",IF(MONTH(A755)&gt;=8,YEAR(A755)&amp;"-"&amp;(YEAR(A755)+1),(YEAR(A755)-1)&amp;"-"&amp;YEAR(A755)))</f>
        <v/>
      </c>
      <c r="S755" s="20">
        <f>IF(OR(A755="",B755=""),0,IF(AND(R755=التقارير!$C$4,OR(التقارير!$C$5="سنوي",AND(التقارير!$C$5="شهري",P755=التقارير!$C$6),AND(التقارير!$C$5="فصلي",Q755=التقارير!$C$7))),1,0))</f>
        <v/>
      </c>
      <c r="T755" s="20">
        <f>IF(S755=1,COUNTIF($S$5:S755,1),"")</f>
        <v/>
      </c>
      <c r="U755">
        <f>IF(AND($A755&lt;&gt;"",$B755&lt;&gt;"",$R755='تقرير الفصل الأول'!$C$4,$Q755='تقرير الفصل الأول'!$C$7),COUNT(U$4:U754)+1,"")</f>
        <v/>
      </c>
      <c r="V755">
        <f>IF(AND($A755&lt;&gt;"",$B755&lt;&gt;"",$R755='تقرير الفصل الثاني'!$C$4,$Q755='تقرير الفصل الثاني'!$C$7),COUNT(V$4:V754)+1,"")</f>
        <v/>
      </c>
      <c r="W755">
        <f>IF(AND($A755&lt;&gt;"",$B755&lt;&gt;"",$R755='تقرير سبتمبر'!$C$4,$P755='تقرير سبتمبر'!$C$6),COUNT(W$4:W754)+1,"")</f>
        <v/>
      </c>
      <c r="X755">
        <f>IF(AND($A755&lt;&gt;"",$B755&lt;&gt;"",$R755='تقرير أكتوبر'!$C$4,$P755='تقرير أكتوبر'!$C$6),COUNT(X$4:X754)+1,"")</f>
        <v/>
      </c>
      <c r="Y755">
        <f>IF(AND($A755&lt;&gt;"",$B755&lt;&gt;"",$R755='تقرير نوفمبر'!$C$4,$P755='تقرير نوفمبر'!$C$6),COUNT(Y$4:Y754)+1,"")</f>
        <v/>
      </c>
      <c r="Z755">
        <f>IF(AND($A755&lt;&gt;"",$B755&lt;&gt;"",$R755='تقرير ديسمبر'!$C$4,$P755='تقرير ديسمبر'!$C$6),COUNT(Z$4:Z754)+1,"")</f>
        <v/>
      </c>
      <c r="AA755">
        <f>IF(AND($A755&lt;&gt;"",$B755&lt;&gt;"",$R755='تقرير يناير'!$C$4,$P755='تقرير يناير'!$C$6),COUNT(AA$4:AA754)+1,"")</f>
        <v/>
      </c>
      <c r="AB755">
        <f>IF(AND($A755&lt;&gt;"",$B755&lt;&gt;"",$R755='تقرير فبراير'!$C$4,$P755='تقرير فبراير'!$C$6),COUNT(AB$4:AB754)+1,"")</f>
        <v/>
      </c>
      <c r="AC755">
        <f>IF(AND($A755&lt;&gt;"",$B755&lt;&gt;"",$R755='تقرير مارس'!$C$4,$P755='تقرير مارس'!$C$6),COUNT(AC$4:AC754)+1,"")</f>
        <v/>
      </c>
      <c r="AD755">
        <f>IF(AND($A755&lt;&gt;"",$B755&lt;&gt;"",$R755='تقرير أبريل'!$C$4,$P755='تقرير أبريل'!$C$6),COUNT(AD$4:AD754)+1,"")</f>
        <v/>
      </c>
      <c r="AE755">
        <f>IF(AND($A755&lt;&gt;"",$B755&lt;&gt;"",$R755='تقرير مايو'!$C$4,$P755='تقرير مايو'!$C$6),COUNT(AE$4:AE754)+1,"")</f>
        <v/>
      </c>
    </row>
    <row r="756">
      <c r="A756" s="16" t="n"/>
      <c r="B756" s="17" t="n"/>
      <c r="C756" s="17" t="n"/>
      <c r="D756" s="18" t="n"/>
      <c r="E756" s="17" t="n"/>
      <c r="F756" s="17" t="n"/>
      <c r="G756" s="19" t="n"/>
      <c r="H756" s="17" t="n"/>
      <c r="I756" s="17" t="n"/>
      <c r="J756" s="17" t="n"/>
      <c r="K756" s="20">
        <f>IF($B756="","",IFERROR(INDEX(الموظفات!$A$5:$A$304,MATCH($B756,الموظفات!$B$5:$B$304,0))&amp;"",""))</f>
        <v/>
      </c>
      <c r="L756" s="21">
        <f>IF($B756="","",IFERROR(INDEX(الموظفات!$C$5:$C$304,MATCH($B756,الموظفات!$B$5:$B$304,0))&amp;"",""))</f>
        <v/>
      </c>
      <c r="M756" s="20">
        <f>IF($B756="","",IFERROR(INDEX(الموظفات!$D$5:$D$304,MATCH($B756,الموظفات!$B$5:$B$304,0))&amp;"",""))</f>
        <v/>
      </c>
      <c r="N756" s="20">
        <f>IF($B756="","",IFERROR(INDEX(الموظفات!$E$5:$E$304,MATCH($B756,الموظفات!$B$5:$B$304,0))&amp;"",""))</f>
        <v/>
      </c>
      <c r="O756" s="21">
        <f>IF(C756="","",IFERROR(INDEX(الإعدادات!$D$7:$D$35,MATCH(C756,الإعدادات!$A$7:$A$35,0))&amp;"",""))</f>
        <v/>
      </c>
      <c r="P756" s="20">
        <f>IF(A756="","",INDEX(الإعدادات!$H$7:$H$18,MONTH(A756)))</f>
        <v/>
      </c>
      <c r="Q756" s="20">
        <f>IF(A756="","",INDEX(الإعدادات!$I$7:$I$18,MONTH(A756)))</f>
        <v/>
      </c>
      <c r="R756" s="20">
        <f>IF(A756="","",IF(MONTH(A756)&gt;=8,YEAR(A756)&amp;"-"&amp;(YEAR(A756)+1),(YEAR(A756)-1)&amp;"-"&amp;YEAR(A756)))</f>
        <v/>
      </c>
      <c r="S756" s="20">
        <f>IF(OR(A756="",B756=""),0,IF(AND(R756=التقارير!$C$4,OR(التقارير!$C$5="سنوي",AND(التقارير!$C$5="شهري",P756=التقارير!$C$6),AND(التقارير!$C$5="فصلي",Q756=التقارير!$C$7))),1,0))</f>
        <v/>
      </c>
      <c r="T756" s="20">
        <f>IF(S756=1,COUNTIF($S$5:S756,1),"")</f>
        <v/>
      </c>
      <c r="U756">
        <f>IF(AND($A756&lt;&gt;"",$B756&lt;&gt;"",$R756='تقرير الفصل الأول'!$C$4,$Q756='تقرير الفصل الأول'!$C$7),COUNT(U$4:U755)+1,"")</f>
        <v/>
      </c>
      <c r="V756">
        <f>IF(AND($A756&lt;&gt;"",$B756&lt;&gt;"",$R756='تقرير الفصل الثاني'!$C$4,$Q756='تقرير الفصل الثاني'!$C$7),COUNT(V$4:V755)+1,"")</f>
        <v/>
      </c>
      <c r="W756">
        <f>IF(AND($A756&lt;&gt;"",$B756&lt;&gt;"",$R756='تقرير سبتمبر'!$C$4,$P756='تقرير سبتمبر'!$C$6),COUNT(W$4:W755)+1,"")</f>
        <v/>
      </c>
      <c r="X756">
        <f>IF(AND($A756&lt;&gt;"",$B756&lt;&gt;"",$R756='تقرير أكتوبر'!$C$4,$P756='تقرير أكتوبر'!$C$6),COUNT(X$4:X755)+1,"")</f>
        <v/>
      </c>
      <c r="Y756">
        <f>IF(AND($A756&lt;&gt;"",$B756&lt;&gt;"",$R756='تقرير نوفمبر'!$C$4,$P756='تقرير نوفمبر'!$C$6),COUNT(Y$4:Y755)+1,"")</f>
        <v/>
      </c>
      <c r="Z756">
        <f>IF(AND($A756&lt;&gt;"",$B756&lt;&gt;"",$R756='تقرير ديسمبر'!$C$4,$P756='تقرير ديسمبر'!$C$6),COUNT(Z$4:Z755)+1,"")</f>
        <v/>
      </c>
      <c r="AA756">
        <f>IF(AND($A756&lt;&gt;"",$B756&lt;&gt;"",$R756='تقرير يناير'!$C$4,$P756='تقرير يناير'!$C$6),COUNT(AA$4:AA755)+1,"")</f>
        <v/>
      </c>
      <c r="AB756">
        <f>IF(AND($A756&lt;&gt;"",$B756&lt;&gt;"",$R756='تقرير فبراير'!$C$4,$P756='تقرير فبراير'!$C$6),COUNT(AB$4:AB755)+1,"")</f>
        <v/>
      </c>
      <c r="AC756">
        <f>IF(AND($A756&lt;&gt;"",$B756&lt;&gt;"",$R756='تقرير مارس'!$C$4,$P756='تقرير مارس'!$C$6),COUNT(AC$4:AC755)+1,"")</f>
        <v/>
      </c>
      <c r="AD756">
        <f>IF(AND($A756&lt;&gt;"",$B756&lt;&gt;"",$R756='تقرير أبريل'!$C$4,$P756='تقرير أبريل'!$C$6),COUNT(AD$4:AD755)+1,"")</f>
        <v/>
      </c>
      <c r="AE756">
        <f>IF(AND($A756&lt;&gt;"",$B756&lt;&gt;"",$R756='تقرير مايو'!$C$4,$P756='تقرير مايو'!$C$6),COUNT(AE$4:AE755)+1,"")</f>
        <v/>
      </c>
    </row>
    <row r="757">
      <c r="A757" s="16" t="n"/>
      <c r="B757" s="17" t="n"/>
      <c r="C757" s="17" t="n"/>
      <c r="D757" s="18" t="n"/>
      <c r="E757" s="17" t="n"/>
      <c r="F757" s="17" t="n"/>
      <c r="G757" s="19" t="n"/>
      <c r="H757" s="17" t="n"/>
      <c r="I757" s="17" t="n"/>
      <c r="J757" s="17" t="n"/>
      <c r="K757" s="20">
        <f>IF($B757="","",IFERROR(INDEX(الموظفات!$A$5:$A$304,MATCH($B757,الموظفات!$B$5:$B$304,0))&amp;"",""))</f>
        <v/>
      </c>
      <c r="L757" s="21">
        <f>IF($B757="","",IFERROR(INDEX(الموظفات!$C$5:$C$304,MATCH($B757,الموظفات!$B$5:$B$304,0))&amp;"",""))</f>
        <v/>
      </c>
      <c r="M757" s="20">
        <f>IF($B757="","",IFERROR(INDEX(الموظفات!$D$5:$D$304,MATCH($B757,الموظفات!$B$5:$B$304,0))&amp;"",""))</f>
        <v/>
      </c>
      <c r="N757" s="20">
        <f>IF($B757="","",IFERROR(INDEX(الموظفات!$E$5:$E$304,MATCH($B757,الموظفات!$B$5:$B$304,0))&amp;"",""))</f>
        <v/>
      </c>
      <c r="O757" s="21">
        <f>IF(C757="","",IFERROR(INDEX(الإعدادات!$D$7:$D$35,MATCH(C757,الإعدادات!$A$7:$A$35,0))&amp;"",""))</f>
        <v/>
      </c>
      <c r="P757" s="20">
        <f>IF(A757="","",INDEX(الإعدادات!$H$7:$H$18,MONTH(A757)))</f>
        <v/>
      </c>
      <c r="Q757" s="20">
        <f>IF(A757="","",INDEX(الإعدادات!$I$7:$I$18,MONTH(A757)))</f>
        <v/>
      </c>
      <c r="R757" s="20">
        <f>IF(A757="","",IF(MONTH(A757)&gt;=8,YEAR(A757)&amp;"-"&amp;(YEAR(A757)+1),(YEAR(A757)-1)&amp;"-"&amp;YEAR(A757)))</f>
        <v/>
      </c>
      <c r="S757" s="20">
        <f>IF(OR(A757="",B757=""),0,IF(AND(R757=التقارير!$C$4,OR(التقارير!$C$5="سنوي",AND(التقارير!$C$5="شهري",P757=التقارير!$C$6),AND(التقارير!$C$5="فصلي",Q757=التقارير!$C$7))),1,0))</f>
        <v/>
      </c>
      <c r="T757" s="20">
        <f>IF(S757=1,COUNTIF($S$5:S757,1),"")</f>
        <v/>
      </c>
      <c r="U757">
        <f>IF(AND($A757&lt;&gt;"",$B757&lt;&gt;"",$R757='تقرير الفصل الأول'!$C$4,$Q757='تقرير الفصل الأول'!$C$7),COUNT(U$4:U756)+1,"")</f>
        <v/>
      </c>
      <c r="V757">
        <f>IF(AND($A757&lt;&gt;"",$B757&lt;&gt;"",$R757='تقرير الفصل الثاني'!$C$4,$Q757='تقرير الفصل الثاني'!$C$7),COUNT(V$4:V756)+1,"")</f>
        <v/>
      </c>
      <c r="W757">
        <f>IF(AND($A757&lt;&gt;"",$B757&lt;&gt;"",$R757='تقرير سبتمبر'!$C$4,$P757='تقرير سبتمبر'!$C$6),COUNT(W$4:W756)+1,"")</f>
        <v/>
      </c>
      <c r="X757">
        <f>IF(AND($A757&lt;&gt;"",$B757&lt;&gt;"",$R757='تقرير أكتوبر'!$C$4,$P757='تقرير أكتوبر'!$C$6),COUNT(X$4:X756)+1,"")</f>
        <v/>
      </c>
      <c r="Y757">
        <f>IF(AND($A757&lt;&gt;"",$B757&lt;&gt;"",$R757='تقرير نوفمبر'!$C$4,$P757='تقرير نوفمبر'!$C$6),COUNT(Y$4:Y756)+1,"")</f>
        <v/>
      </c>
      <c r="Z757">
        <f>IF(AND($A757&lt;&gt;"",$B757&lt;&gt;"",$R757='تقرير ديسمبر'!$C$4,$P757='تقرير ديسمبر'!$C$6),COUNT(Z$4:Z756)+1,"")</f>
        <v/>
      </c>
      <c r="AA757">
        <f>IF(AND($A757&lt;&gt;"",$B757&lt;&gt;"",$R757='تقرير يناير'!$C$4,$P757='تقرير يناير'!$C$6),COUNT(AA$4:AA756)+1,"")</f>
        <v/>
      </c>
      <c r="AB757">
        <f>IF(AND($A757&lt;&gt;"",$B757&lt;&gt;"",$R757='تقرير فبراير'!$C$4,$P757='تقرير فبراير'!$C$6),COUNT(AB$4:AB756)+1,"")</f>
        <v/>
      </c>
      <c r="AC757">
        <f>IF(AND($A757&lt;&gt;"",$B757&lt;&gt;"",$R757='تقرير مارس'!$C$4,$P757='تقرير مارس'!$C$6),COUNT(AC$4:AC756)+1,"")</f>
        <v/>
      </c>
      <c r="AD757">
        <f>IF(AND($A757&lt;&gt;"",$B757&lt;&gt;"",$R757='تقرير أبريل'!$C$4,$P757='تقرير أبريل'!$C$6),COUNT(AD$4:AD756)+1,"")</f>
        <v/>
      </c>
      <c r="AE757">
        <f>IF(AND($A757&lt;&gt;"",$B757&lt;&gt;"",$R757='تقرير مايو'!$C$4,$P757='تقرير مايو'!$C$6),COUNT(AE$4:AE756)+1,"")</f>
        <v/>
      </c>
    </row>
    <row r="758">
      <c r="A758" s="16" t="n"/>
      <c r="B758" s="17" t="n"/>
      <c r="C758" s="17" t="n"/>
      <c r="D758" s="18" t="n"/>
      <c r="E758" s="17" t="n"/>
      <c r="F758" s="17" t="n"/>
      <c r="G758" s="19" t="n"/>
      <c r="H758" s="17" t="n"/>
      <c r="I758" s="17" t="n"/>
      <c r="J758" s="17" t="n"/>
      <c r="K758" s="20">
        <f>IF($B758="","",IFERROR(INDEX(الموظفات!$A$5:$A$304,MATCH($B758,الموظفات!$B$5:$B$304,0))&amp;"",""))</f>
        <v/>
      </c>
      <c r="L758" s="21">
        <f>IF($B758="","",IFERROR(INDEX(الموظفات!$C$5:$C$304,MATCH($B758,الموظفات!$B$5:$B$304,0))&amp;"",""))</f>
        <v/>
      </c>
      <c r="M758" s="20">
        <f>IF($B758="","",IFERROR(INDEX(الموظفات!$D$5:$D$304,MATCH($B758,الموظفات!$B$5:$B$304,0))&amp;"",""))</f>
        <v/>
      </c>
      <c r="N758" s="20">
        <f>IF($B758="","",IFERROR(INDEX(الموظفات!$E$5:$E$304,MATCH($B758,الموظفات!$B$5:$B$304,0))&amp;"",""))</f>
        <v/>
      </c>
      <c r="O758" s="21">
        <f>IF(C758="","",IFERROR(INDEX(الإعدادات!$D$7:$D$35,MATCH(C758,الإعدادات!$A$7:$A$35,0))&amp;"",""))</f>
        <v/>
      </c>
      <c r="P758" s="20">
        <f>IF(A758="","",INDEX(الإعدادات!$H$7:$H$18,MONTH(A758)))</f>
        <v/>
      </c>
      <c r="Q758" s="20">
        <f>IF(A758="","",INDEX(الإعدادات!$I$7:$I$18,MONTH(A758)))</f>
        <v/>
      </c>
      <c r="R758" s="20">
        <f>IF(A758="","",IF(MONTH(A758)&gt;=8,YEAR(A758)&amp;"-"&amp;(YEAR(A758)+1),(YEAR(A758)-1)&amp;"-"&amp;YEAR(A758)))</f>
        <v/>
      </c>
      <c r="S758" s="20">
        <f>IF(OR(A758="",B758=""),0,IF(AND(R758=التقارير!$C$4,OR(التقارير!$C$5="سنوي",AND(التقارير!$C$5="شهري",P758=التقارير!$C$6),AND(التقارير!$C$5="فصلي",Q758=التقارير!$C$7))),1,0))</f>
        <v/>
      </c>
      <c r="T758" s="20">
        <f>IF(S758=1,COUNTIF($S$5:S758,1),"")</f>
        <v/>
      </c>
      <c r="U758">
        <f>IF(AND($A758&lt;&gt;"",$B758&lt;&gt;"",$R758='تقرير الفصل الأول'!$C$4,$Q758='تقرير الفصل الأول'!$C$7),COUNT(U$4:U757)+1,"")</f>
        <v/>
      </c>
      <c r="V758">
        <f>IF(AND($A758&lt;&gt;"",$B758&lt;&gt;"",$R758='تقرير الفصل الثاني'!$C$4,$Q758='تقرير الفصل الثاني'!$C$7),COUNT(V$4:V757)+1,"")</f>
        <v/>
      </c>
      <c r="W758">
        <f>IF(AND($A758&lt;&gt;"",$B758&lt;&gt;"",$R758='تقرير سبتمبر'!$C$4,$P758='تقرير سبتمبر'!$C$6),COUNT(W$4:W757)+1,"")</f>
        <v/>
      </c>
      <c r="X758">
        <f>IF(AND($A758&lt;&gt;"",$B758&lt;&gt;"",$R758='تقرير أكتوبر'!$C$4,$P758='تقرير أكتوبر'!$C$6),COUNT(X$4:X757)+1,"")</f>
        <v/>
      </c>
      <c r="Y758">
        <f>IF(AND($A758&lt;&gt;"",$B758&lt;&gt;"",$R758='تقرير نوفمبر'!$C$4,$P758='تقرير نوفمبر'!$C$6),COUNT(Y$4:Y757)+1,"")</f>
        <v/>
      </c>
      <c r="Z758">
        <f>IF(AND($A758&lt;&gt;"",$B758&lt;&gt;"",$R758='تقرير ديسمبر'!$C$4,$P758='تقرير ديسمبر'!$C$6),COUNT(Z$4:Z757)+1,"")</f>
        <v/>
      </c>
      <c r="AA758">
        <f>IF(AND($A758&lt;&gt;"",$B758&lt;&gt;"",$R758='تقرير يناير'!$C$4,$P758='تقرير يناير'!$C$6),COUNT(AA$4:AA757)+1,"")</f>
        <v/>
      </c>
      <c r="AB758">
        <f>IF(AND($A758&lt;&gt;"",$B758&lt;&gt;"",$R758='تقرير فبراير'!$C$4,$P758='تقرير فبراير'!$C$6),COUNT(AB$4:AB757)+1,"")</f>
        <v/>
      </c>
      <c r="AC758">
        <f>IF(AND($A758&lt;&gt;"",$B758&lt;&gt;"",$R758='تقرير مارس'!$C$4,$P758='تقرير مارس'!$C$6),COUNT(AC$4:AC757)+1,"")</f>
        <v/>
      </c>
      <c r="AD758">
        <f>IF(AND($A758&lt;&gt;"",$B758&lt;&gt;"",$R758='تقرير أبريل'!$C$4,$P758='تقرير أبريل'!$C$6),COUNT(AD$4:AD757)+1,"")</f>
        <v/>
      </c>
      <c r="AE758">
        <f>IF(AND($A758&lt;&gt;"",$B758&lt;&gt;"",$R758='تقرير مايو'!$C$4,$P758='تقرير مايو'!$C$6),COUNT(AE$4:AE757)+1,"")</f>
        <v/>
      </c>
    </row>
    <row r="759">
      <c r="A759" s="16" t="n"/>
      <c r="B759" s="17" t="n"/>
      <c r="C759" s="17" t="n"/>
      <c r="D759" s="18" t="n"/>
      <c r="E759" s="17" t="n"/>
      <c r="F759" s="17" t="n"/>
      <c r="G759" s="19" t="n"/>
      <c r="H759" s="17" t="n"/>
      <c r="I759" s="17" t="n"/>
      <c r="J759" s="17" t="n"/>
      <c r="K759" s="20">
        <f>IF($B759="","",IFERROR(INDEX(الموظفات!$A$5:$A$304,MATCH($B759,الموظفات!$B$5:$B$304,0))&amp;"",""))</f>
        <v/>
      </c>
      <c r="L759" s="21">
        <f>IF($B759="","",IFERROR(INDEX(الموظفات!$C$5:$C$304,MATCH($B759,الموظفات!$B$5:$B$304,0))&amp;"",""))</f>
        <v/>
      </c>
      <c r="M759" s="20">
        <f>IF($B759="","",IFERROR(INDEX(الموظفات!$D$5:$D$304,MATCH($B759,الموظفات!$B$5:$B$304,0))&amp;"",""))</f>
        <v/>
      </c>
      <c r="N759" s="20">
        <f>IF($B759="","",IFERROR(INDEX(الموظفات!$E$5:$E$304,MATCH($B759,الموظفات!$B$5:$B$304,0))&amp;"",""))</f>
        <v/>
      </c>
      <c r="O759" s="21">
        <f>IF(C759="","",IFERROR(INDEX(الإعدادات!$D$7:$D$35,MATCH(C759,الإعدادات!$A$7:$A$35,0))&amp;"",""))</f>
        <v/>
      </c>
      <c r="P759" s="20">
        <f>IF(A759="","",INDEX(الإعدادات!$H$7:$H$18,MONTH(A759)))</f>
        <v/>
      </c>
      <c r="Q759" s="20">
        <f>IF(A759="","",INDEX(الإعدادات!$I$7:$I$18,MONTH(A759)))</f>
        <v/>
      </c>
      <c r="R759" s="20">
        <f>IF(A759="","",IF(MONTH(A759)&gt;=8,YEAR(A759)&amp;"-"&amp;(YEAR(A759)+1),(YEAR(A759)-1)&amp;"-"&amp;YEAR(A759)))</f>
        <v/>
      </c>
      <c r="S759" s="20">
        <f>IF(OR(A759="",B759=""),0,IF(AND(R759=التقارير!$C$4,OR(التقارير!$C$5="سنوي",AND(التقارير!$C$5="شهري",P759=التقارير!$C$6),AND(التقارير!$C$5="فصلي",Q759=التقارير!$C$7))),1,0))</f>
        <v/>
      </c>
      <c r="T759" s="20">
        <f>IF(S759=1,COUNTIF($S$5:S759,1),"")</f>
        <v/>
      </c>
      <c r="U759">
        <f>IF(AND($A759&lt;&gt;"",$B759&lt;&gt;"",$R759='تقرير الفصل الأول'!$C$4,$Q759='تقرير الفصل الأول'!$C$7),COUNT(U$4:U758)+1,"")</f>
        <v/>
      </c>
      <c r="V759">
        <f>IF(AND($A759&lt;&gt;"",$B759&lt;&gt;"",$R759='تقرير الفصل الثاني'!$C$4,$Q759='تقرير الفصل الثاني'!$C$7),COUNT(V$4:V758)+1,"")</f>
        <v/>
      </c>
      <c r="W759">
        <f>IF(AND($A759&lt;&gt;"",$B759&lt;&gt;"",$R759='تقرير سبتمبر'!$C$4,$P759='تقرير سبتمبر'!$C$6),COUNT(W$4:W758)+1,"")</f>
        <v/>
      </c>
      <c r="X759">
        <f>IF(AND($A759&lt;&gt;"",$B759&lt;&gt;"",$R759='تقرير أكتوبر'!$C$4,$P759='تقرير أكتوبر'!$C$6),COUNT(X$4:X758)+1,"")</f>
        <v/>
      </c>
      <c r="Y759">
        <f>IF(AND($A759&lt;&gt;"",$B759&lt;&gt;"",$R759='تقرير نوفمبر'!$C$4,$P759='تقرير نوفمبر'!$C$6),COUNT(Y$4:Y758)+1,"")</f>
        <v/>
      </c>
      <c r="Z759">
        <f>IF(AND($A759&lt;&gt;"",$B759&lt;&gt;"",$R759='تقرير ديسمبر'!$C$4,$P759='تقرير ديسمبر'!$C$6),COUNT(Z$4:Z758)+1,"")</f>
        <v/>
      </c>
      <c r="AA759">
        <f>IF(AND($A759&lt;&gt;"",$B759&lt;&gt;"",$R759='تقرير يناير'!$C$4,$P759='تقرير يناير'!$C$6),COUNT(AA$4:AA758)+1,"")</f>
        <v/>
      </c>
      <c r="AB759">
        <f>IF(AND($A759&lt;&gt;"",$B759&lt;&gt;"",$R759='تقرير فبراير'!$C$4,$P759='تقرير فبراير'!$C$6),COUNT(AB$4:AB758)+1,"")</f>
        <v/>
      </c>
      <c r="AC759">
        <f>IF(AND($A759&lt;&gt;"",$B759&lt;&gt;"",$R759='تقرير مارس'!$C$4,$P759='تقرير مارس'!$C$6),COUNT(AC$4:AC758)+1,"")</f>
        <v/>
      </c>
      <c r="AD759">
        <f>IF(AND($A759&lt;&gt;"",$B759&lt;&gt;"",$R759='تقرير أبريل'!$C$4,$P759='تقرير أبريل'!$C$6),COUNT(AD$4:AD758)+1,"")</f>
        <v/>
      </c>
      <c r="AE759">
        <f>IF(AND($A759&lt;&gt;"",$B759&lt;&gt;"",$R759='تقرير مايو'!$C$4,$P759='تقرير مايو'!$C$6),COUNT(AE$4:AE758)+1,"")</f>
        <v/>
      </c>
    </row>
    <row r="760">
      <c r="A760" s="16" t="n"/>
      <c r="B760" s="17" t="n"/>
      <c r="C760" s="17" t="n"/>
      <c r="D760" s="18" t="n"/>
      <c r="E760" s="17" t="n"/>
      <c r="F760" s="17" t="n"/>
      <c r="G760" s="19" t="n"/>
      <c r="H760" s="17" t="n"/>
      <c r="I760" s="17" t="n"/>
      <c r="J760" s="17" t="n"/>
      <c r="K760" s="20">
        <f>IF($B760="","",IFERROR(INDEX(الموظفات!$A$5:$A$304,MATCH($B760,الموظفات!$B$5:$B$304,0))&amp;"",""))</f>
        <v/>
      </c>
      <c r="L760" s="21">
        <f>IF($B760="","",IFERROR(INDEX(الموظفات!$C$5:$C$304,MATCH($B760,الموظفات!$B$5:$B$304,0))&amp;"",""))</f>
        <v/>
      </c>
      <c r="M760" s="20">
        <f>IF($B760="","",IFERROR(INDEX(الموظفات!$D$5:$D$304,MATCH($B760,الموظفات!$B$5:$B$304,0))&amp;"",""))</f>
        <v/>
      </c>
      <c r="N760" s="20">
        <f>IF($B760="","",IFERROR(INDEX(الموظفات!$E$5:$E$304,MATCH($B760,الموظفات!$B$5:$B$304,0))&amp;"",""))</f>
        <v/>
      </c>
      <c r="O760" s="21">
        <f>IF(C760="","",IFERROR(INDEX(الإعدادات!$D$7:$D$35,MATCH(C760,الإعدادات!$A$7:$A$35,0))&amp;"",""))</f>
        <v/>
      </c>
      <c r="P760" s="20">
        <f>IF(A760="","",INDEX(الإعدادات!$H$7:$H$18,MONTH(A760)))</f>
        <v/>
      </c>
      <c r="Q760" s="20">
        <f>IF(A760="","",INDEX(الإعدادات!$I$7:$I$18,MONTH(A760)))</f>
        <v/>
      </c>
      <c r="R760" s="20">
        <f>IF(A760="","",IF(MONTH(A760)&gt;=8,YEAR(A760)&amp;"-"&amp;(YEAR(A760)+1),(YEAR(A760)-1)&amp;"-"&amp;YEAR(A760)))</f>
        <v/>
      </c>
      <c r="S760" s="20">
        <f>IF(OR(A760="",B760=""),0,IF(AND(R760=التقارير!$C$4,OR(التقارير!$C$5="سنوي",AND(التقارير!$C$5="شهري",P760=التقارير!$C$6),AND(التقارير!$C$5="فصلي",Q760=التقارير!$C$7))),1,0))</f>
        <v/>
      </c>
      <c r="T760" s="20">
        <f>IF(S760=1,COUNTIF($S$5:S760,1),"")</f>
        <v/>
      </c>
      <c r="U760">
        <f>IF(AND($A760&lt;&gt;"",$B760&lt;&gt;"",$R760='تقرير الفصل الأول'!$C$4,$Q760='تقرير الفصل الأول'!$C$7),COUNT(U$4:U759)+1,"")</f>
        <v/>
      </c>
      <c r="V760">
        <f>IF(AND($A760&lt;&gt;"",$B760&lt;&gt;"",$R760='تقرير الفصل الثاني'!$C$4,$Q760='تقرير الفصل الثاني'!$C$7),COUNT(V$4:V759)+1,"")</f>
        <v/>
      </c>
      <c r="W760">
        <f>IF(AND($A760&lt;&gt;"",$B760&lt;&gt;"",$R760='تقرير سبتمبر'!$C$4,$P760='تقرير سبتمبر'!$C$6),COUNT(W$4:W759)+1,"")</f>
        <v/>
      </c>
      <c r="X760">
        <f>IF(AND($A760&lt;&gt;"",$B760&lt;&gt;"",$R760='تقرير أكتوبر'!$C$4,$P760='تقرير أكتوبر'!$C$6),COUNT(X$4:X759)+1,"")</f>
        <v/>
      </c>
      <c r="Y760">
        <f>IF(AND($A760&lt;&gt;"",$B760&lt;&gt;"",$R760='تقرير نوفمبر'!$C$4,$P760='تقرير نوفمبر'!$C$6),COUNT(Y$4:Y759)+1,"")</f>
        <v/>
      </c>
      <c r="Z760">
        <f>IF(AND($A760&lt;&gt;"",$B760&lt;&gt;"",$R760='تقرير ديسمبر'!$C$4,$P760='تقرير ديسمبر'!$C$6),COUNT(Z$4:Z759)+1,"")</f>
        <v/>
      </c>
      <c r="AA760">
        <f>IF(AND($A760&lt;&gt;"",$B760&lt;&gt;"",$R760='تقرير يناير'!$C$4,$P760='تقرير يناير'!$C$6),COUNT(AA$4:AA759)+1,"")</f>
        <v/>
      </c>
      <c r="AB760">
        <f>IF(AND($A760&lt;&gt;"",$B760&lt;&gt;"",$R760='تقرير فبراير'!$C$4,$P760='تقرير فبراير'!$C$6),COUNT(AB$4:AB759)+1,"")</f>
        <v/>
      </c>
      <c r="AC760">
        <f>IF(AND($A760&lt;&gt;"",$B760&lt;&gt;"",$R760='تقرير مارس'!$C$4,$P760='تقرير مارس'!$C$6),COUNT(AC$4:AC759)+1,"")</f>
        <v/>
      </c>
      <c r="AD760">
        <f>IF(AND($A760&lt;&gt;"",$B760&lt;&gt;"",$R760='تقرير أبريل'!$C$4,$P760='تقرير أبريل'!$C$6),COUNT(AD$4:AD759)+1,"")</f>
        <v/>
      </c>
      <c r="AE760">
        <f>IF(AND($A760&lt;&gt;"",$B760&lt;&gt;"",$R760='تقرير مايو'!$C$4,$P760='تقرير مايو'!$C$6),COUNT(AE$4:AE759)+1,"")</f>
        <v/>
      </c>
    </row>
    <row r="761">
      <c r="A761" s="16" t="n"/>
      <c r="B761" s="17" t="n"/>
      <c r="C761" s="17" t="n"/>
      <c r="D761" s="18" t="n"/>
      <c r="E761" s="17" t="n"/>
      <c r="F761" s="17" t="n"/>
      <c r="G761" s="19" t="n"/>
      <c r="H761" s="17" t="n"/>
      <c r="I761" s="17" t="n"/>
      <c r="J761" s="17" t="n"/>
      <c r="K761" s="20">
        <f>IF($B761="","",IFERROR(INDEX(الموظفات!$A$5:$A$304,MATCH($B761,الموظفات!$B$5:$B$304,0))&amp;"",""))</f>
        <v/>
      </c>
      <c r="L761" s="21">
        <f>IF($B761="","",IFERROR(INDEX(الموظفات!$C$5:$C$304,MATCH($B761,الموظفات!$B$5:$B$304,0))&amp;"",""))</f>
        <v/>
      </c>
      <c r="M761" s="20">
        <f>IF($B761="","",IFERROR(INDEX(الموظفات!$D$5:$D$304,MATCH($B761,الموظفات!$B$5:$B$304,0))&amp;"",""))</f>
        <v/>
      </c>
      <c r="N761" s="20">
        <f>IF($B761="","",IFERROR(INDEX(الموظفات!$E$5:$E$304,MATCH($B761,الموظفات!$B$5:$B$304,0))&amp;"",""))</f>
        <v/>
      </c>
      <c r="O761" s="21">
        <f>IF(C761="","",IFERROR(INDEX(الإعدادات!$D$7:$D$35,MATCH(C761,الإعدادات!$A$7:$A$35,0))&amp;"",""))</f>
        <v/>
      </c>
      <c r="P761" s="20">
        <f>IF(A761="","",INDEX(الإعدادات!$H$7:$H$18,MONTH(A761)))</f>
        <v/>
      </c>
      <c r="Q761" s="20">
        <f>IF(A761="","",INDEX(الإعدادات!$I$7:$I$18,MONTH(A761)))</f>
        <v/>
      </c>
      <c r="R761" s="20">
        <f>IF(A761="","",IF(MONTH(A761)&gt;=8,YEAR(A761)&amp;"-"&amp;(YEAR(A761)+1),(YEAR(A761)-1)&amp;"-"&amp;YEAR(A761)))</f>
        <v/>
      </c>
      <c r="S761" s="20">
        <f>IF(OR(A761="",B761=""),0,IF(AND(R761=التقارير!$C$4,OR(التقارير!$C$5="سنوي",AND(التقارير!$C$5="شهري",P761=التقارير!$C$6),AND(التقارير!$C$5="فصلي",Q761=التقارير!$C$7))),1,0))</f>
        <v/>
      </c>
      <c r="T761" s="20">
        <f>IF(S761=1,COUNTIF($S$5:S761,1),"")</f>
        <v/>
      </c>
      <c r="U761">
        <f>IF(AND($A761&lt;&gt;"",$B761&lt;&gt;"",$R761='تقرير الفصل الأول'!$C$4,$Q761='تقرير الفصل الأول'!$C$7),COUNT(U$4:U760)+1,"")</f>
        <v/>
      </c>
      <c r="V761">
        <f>IF(AND($A761&lt;&gt;"",$B761&lt;&gt;"",$R761='تقرير الفصل الثاني'!$C$4,$Q761='تقرير الفصل الثاني'!$C$7),COUNT(V$4:V760)+1,"")</f>
        <v/>
      </c>
      <c r="W761">
        <f>IF(AND($A761&lt;&gt;"",$B761&lt;&gt;"",$R761='تقرير سبتمبر'!$C$4,$P761='تقرير سبتمبر'!$C$6),COUNT(W$4:W760)+1,"")</f>
        <v/>
      </c>
      <c r="X761">
        <f>IF(AND($A761&lt;&gt;"",$B761&lt;&gt;"",$R761='تقرير أكتوبر'!$C$4,$P761='تقرير أكتوبر'!$C$6),COUNT(X$4:X760)+1,"")</f>
        <v/>
      </c>
      <c r="Y761">
        <f>IF(AND($A761&lt;&gt;"",$B761&lt;&gt;"",$R761='تقرير نوفمبر'!$C$4,$P761='تقرير نوفمبر'!$C$6),COUNT(Y$4:Y760)+1,"")</f>
        <v/>
      </c>
      <c r="Z761">
        <f>IF(AND($A761&lt;&gt;"",$B761&lt;&gt;"",$R761='تقرير ديسمبر'!$C$4,$P761='تقرير ديسمبر'!$C$6),COUNT(Z$4:Z760)+1,"")</f>
        <v/>
      </c>
      <c r="AA761">
        <f>IF(AND($A761&lt;&gt;"",$B761&lt;&gt;"",$R761='تقرير يناير'!$C$4,$P761='تقرير يناير'!$C$6),COUNT(AA$4:AA760)+1,"")</f>
        <v/>
      </c>
      <c r="AB761">
        <f>IF(AND($A761&lt;&gt;"",$B761&lt;&gt;"",$R761='تقرير فبراير'!$C$4,$P761='تقرير فبراير'!$C$6),COUNT(AB$4:AB760)+1,"")</f>
        <v/>
      </c>
      <c r="AC761">
        <f>IF(AND($A761&lt;&gt;"",$B761&lt;&gt;"",$R761='تقرير مارس'!$C$4,$P761='تقرير مارس'!$C$6),COUNT(AC$4:AC760)+1,"")</f>
        <v/>
      </c>
      <c r="AD761">
        <f>IF(AND($A761&lt;&gt;"",$B761&lt;&gt;"",$R761='تقرير أبريل'!$C$4,$P761='تقرير أبريل'!$C$6),COUNT(AD$4:AD760)+1,"")</f>
        <v/>
      </c>
      <c r="AE761">
        <f>IF(AND($A761&lt;&gt;"",$B761&lt;&gt;"",$R761='تقرير مايو'!$C$4,$P761='تقرير مايو'!$C$6),COUNT(AE$4:AE760)+1,"")</f>
        <v/>
      </c>
    </row>
    <row r="762">
      <c r="A762" s="16" t="n"/>
      <c r="B762" s="17" t="n"/>
      <c r="C762" s="17" t="n"/>
      <c r="D762" s="18" t="n"/>
      <c r="E762" s="17" t="n"/>
      <c r="F762" s="17" t="n"/>
      <c r="G762" s="19" t="n"/>
      <c r="H762" s="17" t="n"/>
      <c r="I762" s="17" t="n"/>
      <c r="J762" s="17" t="n"/>
      <c r="K762" s="20">
        <f>IF($B762="","",IFERROR(INDEX(الموظفات!$A$5:$A$304,MATCH($B762,الموظفات!$B$5:$B$304,0))&amp;"",""))</f>
        <v/>
      </c>
      <c r="L762" s="21">
        <f>IF($B762="","",IFERROR(INDEX(الموظفات!$C$5:$C$304,MATCH($B762,الموظفات!$B$5:$B$304,0))&amp;"",""))</f>
        <v/>
      </c>
      <c r="M762" s="20">
        <f>IF($B762="","",IFERROR(INDEX(الموظفات!$D$5:$D$304,MATCH($B762,الموظفات!$B$5:$B$304,0))&amp;"",""))</f>
        <v/>
      </c>
      <c r="N762" s="20">
        <f>IF($B762="","",IFERROR(INDEX(الموظفات!$E$5:$E$304,MATCH($B762,الموظفات!$B$5:$B$304,0))&amp;"",""))</f>
        <v/>
      </c>
      <c r="O762" s="21">
        <f>IF(C762="","",IFERROR(INDEX(الإعدادات!$D$7:$D$35,MATCH(C762,الإعدادات!$A$7:$A$35,0))&amp;"",""))</f>
        <v/>
      </c>
      <c r="P762" s="20">
        <f>IF(A762="","",INDEX(الإعدادات!$H$7:$H$18,MONTH(A762)))</f>
        <v/>
      </c>
      <c r="Q762" s="20">
        <f>IF(A762="","",INDEX(الإعدادات!$I$7:$I$18,MONTH(A762)))</f>
        <v/>
      </c>
      <c r="R762" s="20">
        <f>IF(A762="","",IF(MONTH(A762)&gt;=8,YEAR(A762)&amp;"-"&amp;(YEAR(A762)+1),(YEAR(A762)-1)&amp;"-"&amp;YEAR(A762)))</f>
        <v/>
      </c>
      <c r="S762" s="20">
        <f>IF(OR(A762="",B762=""),0,IF(AND(R762=التقارير!$C$4,OR(التقارير!$C$5="سنوي",AND(التقارير!$C$5="شهري",P762=التقارير!$C$6),AND(التقارير!$C$5="فصلي",Q762=التقارير!$C$7))),1,0))</f>
        <v/>
      </c>
      <c r="T762" s="20">
        <f>IF(S762=1,COUNTIF($S$5:S762,1),"")</f>
        <v/>
      </c>
      <c r="U762">
        <f>IF(AND($A762&lt;&gt;"",$B762&lt;&gt;"",$R762='تقرير الفصل الأول'!$C$4,$Q762='تقرير الفصل الأول'!$C$7),COUNT(U$4:U761)+1,"")</f>
        <v/>
      </c>
      <c r="V762">
        <f>IF(AND($A762&lt;&gt;"",$B762&lt;&gt;"",$R762='تقرير الفصل الثاني'!$C$4,$Q762='تقرير الفصل الثاني'!$C$7),COUNT(V$4:V761)+1,"")</f>
        <v/>
      </c>
      <c r="W762">
        <f>IF(AND($A762&lt;&gt;"",$B762&lt;&gt;"",$R762='تقرير سبتمبر'!$C$4,$P762='تقرير سبتمبر'!$C$6),COUNT(W$4:W761)+1,"")</f>
        <v/>
      </c>
      <c r="X762">
        <f>IF(AND($A762&lt;&gt;"",$B762&lt;&gt;"",$R762='تقرير أكتوبر'!$C$4,$P762='تقرير أكتوبر'!$C$6),COUNT(X$4:X761)+1,"")</f>
        <v/>
      </c>
      <c r="Y762">
        <f>IF(AND($A762&lt;&gt;"",$B762&lt;&gt;"",$R762='تقرير نوفمبر'!$C$4,$P762='تقرير نوفمبر'!$C$6),COUNT(Y$4:Y761)+1,"")</f>
        <v/>
      </c>
      <c r="Z762">
        <f>IF(AND($A762&lt;&gt;"",$B762&lt;&gt;"",$R762='تقرير ديسمبر'!$C$4,$P762='تقرير ديسمبر'!$C$6),COUNT(Z$4:Z761)+1,"")</f>
        <v/>
      </c>
      <c r="AA762">
        <f>IF(AND($A762&lt;&gt;"",$B762&lt;&gt;"",$R762='تقرير يناير'!$C$4,$P762='تقرير يناير'!$C$6),COUNT(AA$4:AA761)+1,"")</f>
        <v/>
      </c>
      <c r="AB762">
        <f>IF(AND($A762&lt;&gt;"",$B762&lt;&gt;"",$R762='تقرير فبراير'!$C$4,$P762='تقرير فبراير'!$C$6),COUNT(AB$4:AB761)+1,"")</f>
        <v/>
      </c>
      <c r="AC762">
        <f>IF(AND($A762&lt;&gt;"",$B762&lt;&gt;"",$R762='تقرير مارس'!$C$4,$P762='تقرير مارس'!$C$6),COUNT(AC$4:AC761)+1,"")</f>
        <v/>
      </c>
      <c r="AD762">
        <f>IF(AND($A762&lt;&gt;"",$B762&lt;&gt;"",$R762='تقرير أبريل'!$C$4,$P762='تقرير أبريل'!$C$6),COUNT(AD$4:AD761)+1,"")</f>
        <v/>
      </c>
      <c r="AE762">
        <f>IF(AND($A762&lt;&gt;"",$B762&lt;&gt;"",$R762='تقرير مايو'!$C$4,$P762='تقرير مايو'!$C$6),COUNT(AE$4:AE761)+1,"")</f>
        <v/>
      </c>
    </row>
    <row r="763">
      <c r="A763" s="16" t="n"/>
      <c r="B763" s="17" t="n"/>
      <c r="C763" s="17" t="n"/>
      <c r="D763" s="18" t="n"/>
      <c r="E763" s="17" t="n"/>
      <c r="F763" s="17" t="n"/>
      <c r="G763" s="19" t="n"/>
      <c r="H763" s="17" t="n"/>
      <c r="I763" s="17" t="n"/>
      <c r="J763" s="17" t="n"/>
      <c r="K763" s="20">
        <f>IF($B763="","",IFERROR(INDEX(الموظفات!$A$5:$A$304,MATCH($B763,الموظفات!$B$5:$B$304,0))&amp;"",""))</f>
        <v/>
      </c>
      <c r="L763" s="21">
        <f>IF($B763="","",IFERROR(INDEX(الموظفات!$C$5:$C$304,MATCH($B763,الموظفات!$B$5:$B$304,0))&amp;"",""))</f>
        <v/>
      </c>
      <c r="M763" s="20">
        <f>IF($B763="","",IFERROR(INDEX(الموظفات!$D$5:$D$304,MATCH($B763,الموظفات!$B$5:$B$304,0))&amp;"",""))</f>
        <v/>
      </c>
      <c r="N763" s="20">
        <f>IF($B763="","",IFERROR(INDEX(الموظفات!$E$5:$E$304,MATCH($B763,الموظفات!$B$5:$B$304,0))&amp;"",""))</f>
        <v/>
      </c>
      <c r="O763" s="21">
        <f>IF(C763="","",IFERROR(INDEX(الإعدادات!$D$7:$D$35,MATCH(C763,الإعدادات!$A$7:$A$35,0))&amp;"",""))</f>
        <v/>
      </c>
      <c r="P763" s="20">
        <f>IF(A763="","",INDEX(الإعدادات!$H$7:$H$18,MONTH(A763)))</f>
        <v/>
      </c>
      <c r="Q763" s="20">
        <f>IF(A763="","",INDEX(الإعدادات!$I$7:$I$18,MONTH(A763)))</f>
        <v/>
      </c>
      <c r="R763" s="20">
        <f>IF(A763="","",IF(MONTH(A763)&gt;=8,YEAR(A763)&amp;"-"&amp;(YEAR(A763)+1),(YEAR(A763)-1)&amp;"-"&amp;YEAR(A763)))</f>
        <v/>
      </c>
      <c r="S763" s="20">
        <f>IF(OR(A763="",B763=""),0,IF(AND(R763=التقارير!$C$4,OR(التقارير!$C$5="سنوي",AND(التقارير!$C$5="شهري",P763=التقارير!$C$6),AND(التقارير!$C$5="فصلي",Q763=التقارير!$C$7))),1,0))</f>
        <v/>
      </c>
      <c r="T763" s="20">
        <f>IF(S763=1,COUNTIF($S$5:S763,1),"")</f>
        <v/>
      </c>
      <c r="U763">
        <f>IF(AND($A763&lt;&gt;"",$B763&lt;&gt;"",$R763='تقرير الفصل الأول'!$C$4,$Q763='تقرير الفصل الأول'!$C$7),COUNT(U$4:U762)+1,"")</f>
        <v/>
      </c>
      <c r="V763">
        <f>IF(AND($A763&lt;&gt;"",$B763&lt;&gt;"",$R763='تقرير الفصل الثاني'!$C$4,$Q763='تقرير الفصل الثاني'!$C$7),COUNT(V$4:V762)+1,"")</f>
        <v/>
      </c>
      <c r="W763">
        <f>IF(AND($A763&lt;&gt;"",$B763&lt;&gt;"",$R763='تقرير سبتمبر'!$C$4,$P763='تقرير سبتمبر'!$C$6),COUNT(W$4:W762)+1,"")</f>
        <v/>
      </c>
      <c r="X763">
        <f>IF(AND($A763&lt;&gt;"",$B763&lt;&gt;"",$R763='تقرير أكتوبر'!$C$4,$P763='تقرير أكتوبر'!$C$6),COUNT(X$4:X762)+1,"")</f>
        <v/>
      </c>
      <c r="Y763">
        <f>IF(AND($A763&lt;&gt;"",$B763&lt;&gt;"",$R763='تقرير نوفمبر'!$C$4,$P763='تقرير نوفمبر'!$C$6),COUNT(Y$4:Y762)+1,"")</f>
        <v/>
      </c>
      <c r="Z763">
        <f>IF(AND($A763&lt;&gt;"",$B763&lt;&gt;"",$R763='تقرير ديسمبر'!$C$4,$P763='تقرير ديسمبر'!$C$6),COUNT(Z$4:Z762)+1,"")</f>
        <v/>
      </c>
      <c r="AA763">
        <f>IF(AND($A763&lt;&gt;"",$B763&lt;&gt;"",$R763='تقرير يناير'!$C$4,$P763='تقرير يناير'!$C$6),COUNT(AA$4:AA762)+1,"")</f>
        <v/>
      </c>
      <c r="AB763">
        <f>IF(AND($A763&lt;&gt;"",$B763&lt;&gt;"",$R763='تقرير فبراير'!$C$4,$P763='تقرير فبراير'!$C$6),COUNT(AB$4:AB762)+1,"")</f>
        <v/>
      </c>
      <c r="AC763">
        <f>IF(AND($A763&lt;&gt;"",$B763&lt;&gt;"",$R763='تقرير مارس'!$C$4,$P763='تقرير مارس'!$C$6),COUNT(AC$4:AC762)+1,"")</f>
        <v/>
      </c>
      <c r="AD763">
        <f>IF(AND($A763&lt;&gt;"",$B763&lt;&gt;"",$R763='تقرير أبريل'!$C$4,$P763='تقرير أبريل'!$C$6),COUNT(AD$4:AD762)+1,"")</f>
        <v/>
      </c>
      <c r="AE763">
        <f>IF(AND($A763&lt;&gt;"",$B763&lt;&gt;"",$R763='تقرير مايو'!$C$4,$P763='تقرير مايو'!$C$6),COUNT(AE$4:AE762)+1,"")</f>
        <v/>
      </c>
    </row>
    <row r="764">
      <c r="A764" s="16" t="n"/>
      <c r="B764" s="17" t="n"/>
      <c r="C764" s="17" t="n"/>
      <c r="D764" s="18" t="n"/>
      <c r="E764" s="17" t="n"/>
      <c r="F764" s="17" t="n"/>
      <c r="G764" s="19" t="n"/>
      <c r="H764" s="17" t="n"/>
      <c r="I764" s="17" t="n"/>
      <c r="J764" s="17" t="n"/>
      <c r="K764" s="20">
        <f>IF($B764="","",IFERROR(INDEX(الموظفات!$A$5:$A$304,MATCH($B764,الموظفات!$B$5:$B$304,0))&amp;"",""))</f>
        <v/>
      </c>
      <c r="L764" s="21">
        <f>IF($B764="","",IFERROR(INDEX(الموظفات!$C$5:$C$304,MATCH($B764,الموظفات!$B$5:$B$304,0))&amp;"",""))</f>
        <v/>
      </c>
      <c r="M764" s="20">
        <f>IF($B764="","",IFERROR(INDEX(الموظفات!$D$5:$D$304,MATCH($B764,الموظفات!$B$5:$B$304,0))&amp;"",""))</f>
        <v/>
      </c>
      <c r="N764" s="20">
        <f>IF($B764="","",IFERROR(INDEX(الموظفات!$E$5:$E$304,MATCH($B764,الموظفات!$B$5:$B$304,0))&amp;"",""))</f>
        <v/>
      </c>
      <c r="O764" s="21">
        <f>IF(C764="","",IFERROR(INDEX(الإعدادات!$D$7:$D$35,MATCH(C764,الإعدادات!$A$7:$A$35,0))&amp;"",""))</f>
        <v/>
      </c>
      <c r="P764" s="20">
        <f>IF(A764="","",INDEX(الإعدادات!$H$7:$H$18,MONTH(A764)))</f>
        <v/>
      </c>
      <c r="Q764" s="20">
        <f>IF(A764="","",INDEX(الإعدادات!$I$7:$I$18,MONTH(A764)))</f>
        <v/>
      </c>
      <c r="R764" s="20">
        <f>IF(A764="","",IF(MONTH(A764)&gt;=8,YEAR(A764)&amp;"-"&amp;(YEAR(A764)+1),(YEAR(A764)-1)&amp;"-"&amp;YEAR(A764)))</f>
        <v/>
      </c>
      <c r="S764" s="20">
        <f>IF(OR(A764="",B764=""),0,IF(AND(R764=التقارير!$C$4,OR(التقارير!$C$5="سنوي",AND(التقارير!$C$5="شهري",P764=التقارير!$C$6),AND(التقارير!$C$5="فصلي",Q764=التقارير!$C$7))),1,0))</f>
        <v/>
      </c>
      <c r="T764" s="20">
        <f>IF(S764=1,COUNTIF($S$5:S764,1),"")</f>
        <v/>
      </c>
      <c r="U764">
        <f>IF(AND($A764&lt;&gt;"",$B764&lt;&gt;"",$R764='تقرير الفصل الأول'!$C$4,$Q764='تقرير الفصل الأول'!$C$7),COUNT(U$4:U763)+1,"")</f>
        <v/>
      </c>
      <c r="V764">
        <f>IF(AND($A764&lt;&gt;"",$B764&lt;&gt;"",$R764='تقرير الفصل الثاني'!$C$4,$Q764='تقرير الفصل الثاني'!$C$7),COUNT(V$4:V763)+1,"")</f>
        <v/>
      </c>
      <c r="W764">
        <f>IF(AND($A764&lt;&gt;"",$B764&lt;&gt;"",$R764='تقرير سبتمبر'!$C$4,$P764='تقرير سبتمبر'!$C$6),COUNT(W$4:W763)+1,"")</f>
        <v/>
      </c>
      <c r="X764">
        <f>IF(AND($A764&lt;&gt;"",$B764&lt;&gt;"",$R764='تقرير أكتوبر'!$C$4,$P764='تقرير أكتوبر'!$C$6),COUNT(X$4:X763)+1,"")</f>
        <v/>
      </c>
      <c r="Y764">
        <f>IF(AND($A764&lt;&gt;"",$B764&lt;&gt;"",$R764='تقرير نوفمبر'!$C$4,$P764='تقرير نوفمبر'!$C$6),COUNT(Y$4:Y763)+1,"")</f>
        <v/>
      </c>
      <c r="Z764">
        <f>IF(AND($A764&lt;&gt;"",$B764&lt;&gt;"",$R764='تقرير ديسمبر'!$C$4,$P764='تقرير ديسمبر'!$C$6),COUNT(Z$4:Z763)+1,"")</f>
        <v/>
      </c>
      <c r="AA764">
        <f>IF(AND($A764&lt;&gt;"",$B764&lt;&gt;"",$R764='تقرير يناير'!$C$4,$P764='تقرير يناير'!$C$6),COUNT(AA$4:AA763)+1,"")</f>
        <v/>
      </c>
      <c r="AB764">
        <f>IF(AND($A764&lt;&gt;"",$B764&lt;&gt;"",$R764='تقرير فبراير'!$C$4,$P764='تقرير فبراير'!$C$6),COUNT(AB$4:AB763)+1,"")</f>
        <v/>
      </c>
      <c r="AC764">
        <f>IF(AND($A764&lt;&gt;"",$B764&lt;&gt;"",$R764='تقرير مارس'!$C$4,$P764='تقرير مارس'!$C$6),COUNT(AC$4:AC763)+1,"")</f>
        <v/>
      </c>
      <c r="AD764">
        <f>IF(AND($A764&lt;&gt;"",$B764&lt;&gt;"",$R764='تقرير أبريل'!$C$4,$P764='تقرير أبريل'!$C$6),COUNT(AD$4:AD763)+1,"")</f>
        <v/>
      </c>
      <c r="AE764">
        <f>IF(AND($A764&lt;&gt;"",$B764&lt;&gt;"",$R764='تقرير مايو'!$C$4,$P764='تقرير مايو'!$C$6),COUNT(AE$4:AE763)+1,"")</f>
        <v/>
      </c>
    </row>
    <row r="765">
      <c r="A765" s="16" t="n"/>
      <c r="B765" s="17" t="n"/>
      <c r="C765" s="17" t="n"/>
      <c r="D765" s="18" t="n"/>
      <c r="E765" s="17" t="n"/>
      <c r="F765" s="17" t="n"/>
      <c r="G765" s="19" t="n"/>
      <c r="H765" s="17" t="n"/>
      <c r="I765" s="17" t="n"/>
      <c r="J765" s="17" t="n"/>
      <c r="K765" s="20">
        <f>IF($B765="","",IFERROR(INDEX(الموظفات!$A$5:$A$304,MATCH($B765,الموظفات!$B$5:$B$304,0))&amp;"",""))</f>
        <v/>
      </c>
      <c r="L765" s="21">
        <f>IF($B765="","",IFERROR(INDEX(الموظفات!$C$5:$C$304,MATCH($B765,الموظفات!$B$5:$B$304,0))&amp;"",""))</f>
        <v/>
      </c>
      <c r="M765" s="20">
        <f>IF($B765="","",IFERROR(INDEX(الموظفات!$D$5:$D$304,MATCH($B765,الموظفات!$B$5:$B$304,0))&amp;"",""))</f>
        <v/>
      </c>
      <c r="N765" s="20">
        <f>IF($B765="","",IFERROR(INDEX(الموظفات!$E$5:$E$304,MATCH($B765,الموظفات!$B$5:$B$304,0))&amp;"",""))</f>
        <v/>
      </c>
      <c r="O765" s="21">
        <f>IF(C765="","",IFERROR(INDEX(الإعدادات!$D$7:$D$35,MATCH(C765,الإعدادات!$A$7:$A$35,0))&amp;"",""))</f>
        <v/>
      </c>
      <c r="P765" s="20">
        <f>IF(A765="","",INDEX(الإعدادات!$H$7:$H$18,MONTH(A765)))</f>
        <v/>
      </c>
      <c r="Q765" s="20">
        <f>IF(A765="","",INDEX(الإعدادات!$I$7:$I$18,MONTH(A765)))</f>
        <v/>
      </c>
      <c r="R765" s="20">
        <f>IF(A765="","",IF(MONTH(A765)&gt;=8,YEAR(A765)&amp;"-"&amp;(YEAR(A765)+1),(YEAR(A765)-1)&amp;"-"&amp;YEAR(A765)))</f>
        <v/>
      </c>
      <c r="S765" s="20">
        <f>IF(OR(A765="",B765=""),0,IF(AND(R765=التقارير!$C$4,OR(التقارير!$C$5="سنوي",AND(التقارير!$C$5="شهري",P765=التقارير!$C$6),AND(التقارير!$C$5="فصلي",Q765=التقارير!$C$7))),1,0))</f>
        <v/>
      </c>
      <c r="T765" s="20">
        <f>IF(S765=1,COUNTIF($S$5:S765,1),"")</f>
        <v/>
      </c>
      <c r="U765">
        <f>IF(AND($A765&lt;&gt;"",$B765&lt;&gt;"",$R765='تقرير الفصل الأول'!$C$4,$Q765='تقرير الفصل الأول'!$C$7),COUNT(U$4:U764)+1,"")</f>
        <v/>
      </c>
      <c r="V765">
        <f>IF(AND($A765&lt;&gt;"",$B765&lt;&gt;"",$R765='تقرير الفصل الثاني'!$C$4,$Q765='تقرير الفصل الثاني'!$C$7),COUNT(V$4:V764)+1,"")</f>
        <v/>
      </c>
      <c r="W765">
        <f>IF(AND($A765&lt;&gt;"",$B765&lt;&gt;"",$R765='تقرير سبتمبر'!$C$4,$P765='تقرير سبتمبر'!$C$6),COUNT(W$4:W764)+1,"")</f>
        <v/>
      </c>
      <c r="X765">
        <f>IF(AND($A765&lt;&gt;"",$B765&lt;&gt;"",$R765='تقرير أكتوبر'!$C$4,$P765='تقرير أكتوبر'!$C$6),COUNT(X$4:X764)+1,"")</f>
        <v/>
      </c>
      <c r="Y765">
        <f>IF(AND($A765&lt;&gt;"",$B765&lt;&gt;"",$R765='تقرير نوفمبر'!$C$4,$P765='تقرير نوفمبر'!$C$6),COUNT(Y$4:Y764)+1,"")</f>
        <v/>
      </c>
      <c r="Z765">
        <f>IF(AND($A765&lt;&gt;"",$B765&lt;&gt;"",$R765='تقرير ديسمبر'!$C$4,$P765='تقرير ديسمبر'!$C$6),COUNT(Z$4:Z764)+1,"")</f>
        <v/>
      </c>
      <c r="AA765">
        <f>IF(AND($A765&lt;&gt;"",$B765&lt;&gt;"",$R765='تقرير يناير'!$C$4,$P765='تقرير يناير'!$C$6),COUNT(AA$4:AA764)+1,"")</f>
        <v/>
      </c>
      <c r="AB765">
        <f>IF(AND($A765&lt;&gt;"",$B765&lt;&gt;"",$R765='تقرير فبراير'!$C$4,$P765='تقرير فبراير'!$C$6),COUNT(AB$4:AB764)+1,"")</f>
        <v/>
      </c>
      <c r="AC765">
        <f>IF(AND($A765&lt;&gt;"",$B765&lt;&gt;"",$R765='تقرير مارس'!$C$4,$P765='تقرير مارس'!$C$6),COUNT(AC$4:AC764)+1,"")</f>
        <v/>
      </c>
      <c r="AD765">
        <f>IF(AND($A765&lt;&gt;"",$B765&lt;&gt;"",$R765='تقرير أبريل'!$C$4,$P765='تقرير أبريل'!$C$6),COUNT(AD$4:AD764)+1,"")</f>
        <v/>
      </c>
      <c r="AE765">
        <f>IF(AND($A765&lt;&gt;"",$B765&lt;&gt;"",$R765='تقرير مايو'!$C$4,$P765='تقرير مايو'!$C$6),COUNT(AE$4:AE764)+1,"")</f>
        <v/>
      </c>
    </row>
    <row r="766">
      <c r="A766" s="16" t="n"/>
      <c r="B766" s="17" t="n"/>
      <c r="C766" s="17" t="n"/>
      <c r="D766" s="18" t="n"/>
      <c r="E766" s="17" t="n"/>
      <c r="F766" s="17" t="n"/>
      <c r="G766" s="19" t="n"/>
      <c r="H766" s="17" t="n"/>
      <c r="I766" s="17" t="n"/>
      <c r="J766" s="17" t="n"/>
      <c r="K766" s="20">
        <f>IF($B766="","",IFERROR(INDEX(الموظفات!$A$5:$A$304,MATCH($B766,الموظفات!$B$5:$B$304,0))&amp;"",""))</f>
        <v/>
      </c>
      <c r="L766" s="21">
        <f>IF($B766="","",IFERROR(INDEX(الموظفات!$C$5:$C$304,MATCH($B766,الموظفات!$B$5:$B$304,0))&amp;"",""))</f>
        <v/>
      </c>
      <c r="M766" s="20">
        <f>IF($B766="","",IFERROR(INDEX(الموظفات!$D$5:$D$304,MATCH($B766,الموظفات!$B$5:$B$304,0))&amp;"",""))</f>
        <v/>
      </c>
      <c r="N766" s="20">
        <f>IF($B766="","",IFERROR(INDEX(الموظفات!$E$5:$E$304,MATCH($B766,الموظفات!$B$5:$B$304,0))&amp;"",""))</f>
        <v/>
      </c>
      <c r="O766" s="21">
        <f>IF(C766="","",IFERROR(INDEX(الإعدادات!$D$7:$D$35,MATCH(C766,الإعدادات!$A$7:$A$35,0))&amp;"",""))</f>
        <v/>
      </c>
      <c r="P766" s="20">
        <f>IF(A766="","",INDEX(الإعدادات!$H$7:$H$18,MONTH(A766)))</f>
        <v/>
      </c>
      <c r="Q766" s="20">
        <f>IF(A766="","",INDEX(الإعدادات!$I$7:$I$18,MONTH(A766)))</f>
        <v/>
      </c>
      <c r="R766" s="20">
        <f>IF(A766="","",IF(MONTH(A766)&gt;=8,YEAR(A766)&amp;"-"&amp;(YEAR(A766)+1),(YEAR(A766)-1)&amp;"-"&amp;YEAR(A766)))</f>
        <v/>
      </c>
      <c r="S766" s="20">
        <f>IF(OR(A766="",B766=""),0,IF(AND(R766=التقارير!$C$4,OR(التقارير!$C$5="سنوي",AND(التقارير!$C$5="شهري",P766=التقارير!$C$6),AND(التقارير!$C$5="فصلي",Q766=التقارير!$C$7))),1,0))</f>
        <v/>
      </c>
      <c r="T766" s="20">
        <f>IF(S766=1,COUNTIF($S$5:S766,1),"")</f>
        <v/>
      </c>
      <c r="U766">
        <f>IF(AND($A766&lt;&gt;"",$B766&lt;&gt;"",$R766='تقرير الفصل الأول'!$C$4,$Q766='تقرير الفصل الأول'!$C$7),COUNT(U$4:U765)+1,"")</f>
        <v/>
      </c>
      <c r="V766">
        <f>IF(AND($A766&lt;&gt;"",$B766&lt;&gt;"",$R766='تقرير الفصل الثاني'!$C$4,$Q766='تقرير الفصل الثاني'!$C$7),COUNT(V$4:V765)+1,"")</f>
        <v/>
      </c>
      <c r="W766">
        <f>IF(AND($A766&lt;&gt;"",$B766&lt;&gt;"",$R766='تقرير سبتمبر'!$C$4,$P766='تقرير سبتمبر'!$C$6),COUNT(W$4:W765)+1,"")</f>
        <v/>
      </c>
      <c r="X766">
        <f>IF(AND($A766&lt;&gt;"",$B766&lt;&gt;"",$R766='تقرير أكتوبر'!$C$4,$P766='تقرير أكتوبر'!$C$6),COUNT(X$4:X765)+1,"")</f>
        <v/>
      </c>
      <c r="Y766">
        <f>IF(AND($A766&lt;&gt;"",$B766&lt;&gt;"",$R766='تقرير نوفمبر'!$C$4,$P766='تقرير نوفمبر'!$C$6),COUNT(Y$4:Y765)+1,"")</f>
        <v/>
      </c>
      <c r="Z766">
        <f>IF(AND($A766&lt;&gt;"",$B766&lt;&gt;"",$R766='تقرير ديسمبر'!$C$4,$P766='تقرير ديسمبر'!$C$6),COUNT(Z$4:Z765)+1,"")</f>
        <v/>
      </c>
      <c r="AA766">
        <f>IF(AND($A766&lt;&gt;"",$B766&lt;&gt;"",$R766='تقرير يناير'!$C$4,$P766='تقرير يناير'!$C$6),COUNT(AA$4:AA765)+1,"")</f>
        <v/>
      </c>
      <c r="AB766">
        <f>IF(AND($A766&lt;&gt;"",$B766&lt;&gt;"",$R766='تقرير فبراير'!$C$4,$P766='تقرير فبراير'!$C$6),COUNT(AB$4:AB765)+1,"")</f>
        <v/>
      </c>
      <c r="AC766">
        <f>IF(AND($A766&lt;&gt;"",$B766&lt;&gt;"",$R766='تقرير مارس'!$C$4,$P766='تقرير مارس'!$C$6),COUNT(AC$4:AC765)+1,"")</f>
        <v/>
      </c>
      <c r="AD766">
        <f>IF(AND($A766&lt;&gt;"",$B766&lt;&gt;"",$R766='تقرير أبريل'!$C$4,$P766='تقرير أبريل'!$C$6),COUNT(AD$4:AD765)+1,"")</f>
        <v/>
      </c>
      <c r="AE766">
        <f>IF(AND($A766&lt;&gt;"",$B766&lt;&gt;"",$R766='تقرير مايو'!$C$4,$P766='تقرير مايو'!$C$6),COUNT(AE$4:AE765)+1,"")</f>
        <v/>
      </c>
    </row>
    <row r="767">
      <c r="A767" s="16" t="n"/>
      <c r="B767" s="17" t="n"/>
      <c r="C767" s="17" t="n"/>
      <c r="D767" s="18" t="n"/>
      <c r="E767" s="17" t="n"/>
      <c r="F767" s="17" t="n"/>
      <c r="G767" s="19" t="n"/>
      <c r="H767" s="17" t="n"/>
      <c r="I767" s="17" t="n"/>
      <c r="J767" s="17" t="n"/>
      <c r="K767" s="20">
        <f>IF($B767="","",IFERROR(INDEX(الموظفات!$A$5:$A$304,MATCH($B767,الموظفات!$B$5:$B$304,0))&amp;"",""))</f>
        <v/>
      </c>
      <c r="L767" s="21">
        <f>IF($B767="","",IFERROR(INDEX(الموظفات!$C$5:$C$304,MATCH($B767,الموظفات!$B$5:$B$304,0))&amp;"",""))</f>
        <v/>
      </c>
      <c r="M767" s="20">
        <f>IF($B767="","",IFERROR(INDEX(الموظفات!$D$5:$D$304,MATCH($B767,الموظفات!$B$5:$B$304,0))&amp;"",""))</f>
        <v/>
      </c>
      <c r="N767" s="20">
        <f>IF($B767="","",IFERROR(INDEX(الموظفات!$E$5:$E$304,MATCH($B767,الموظفات!$B$5:$B$304,0))&amp;"",""))</f>
        <v/>
      </c>
      <c r="O767" s="21">
        <f>IF(C767="","",IFERROR(INDEX(الإعدادات!$D$7:$D$35,MATCH(C767,الإعدادات!$A$7:$A$35,0))&amp;"",""))</f>
        <v/>
      </c>
      <c r="P767" s="20">
        <f>IF(A767="","",INDEX(الإعدادات!$H$7:$H$18,MONTH(A767)))</f>
        <v/>
      </c>
      <c r="Q767" s="20">
        <f>IF(A767="","",INDEX(الإعدادات!$I$7:$I$18,MONTH(A767)))</f>
        <v/>
      </c>
      <c r="R767" s="20">
        <f>IF(A767="","",IF(MONTH(A767)&gt;=8,YEAR(A767)&amp;"-"&amp;(YEAR(A767)+1),(YEAR(A767)-1)&amp;"-"&amp;YEAR(A767)))</f>
        <v/>
      </c>
      <c r="S767" s="20">
        <f>IF(OR(A767="",B767=""),0,IF(AND(R767=التقارير!$C$4,OR(التقارير!$C$5="سنوي",AND(التقارير!$C$5="شهري",P767=التقارير!$C$6),AND(التقارير!$C$5="فصلي",Q767=التقارير!$C$7))),1,0))</f>
        <v/>
      </c>
      <c r="T767" s="20">
        <f>IF(S767=1,COUNTIF($S$5:S767,1),"")</f>
        <v/>
      </c>
      <c r="U767">
        <f>IF(AND($A767&lt;&gt;"",$B767&lt;&gt;"",$R767='تقرير الفصل الأول'!$C$4,$Q767='تقرير الفصل الأول'!$C$7),COUNT(U$4:U766)+1,"")</f>
        <v/>
      </c>
      <c r="V767">
        <f>IF(AND($A767&lt;&gt;"",$B767&lt;&gt;"",$R767='تقرير الفصل الثاني'!$C$4,$Q767='تقرير الفصل الثاني'!$C$7),COUNT(V$4:V766)+1,"")</f>
        <v/>
      </c>
      <c r="W767">
        <f>IF(AND($A767&lt;&gt;"",$B767&lt;&gt;"",$R767='تقرير سبتمبر'!$C$4,$P767='تقرير سبتمبر'!$C$6),COUNT(W$4:W766)+1,"")</f>
        <v/>
      </c>
      <c r="X767">
        <f>IF(AND($A767&lt;&gt;"",$B767&lt;&gt;"",$R767='تقرير أكتوبر'!$C$4,$P767='تقرير أكتوبر'!$C$6),COUNT(X$4:X766)+1,"")</f>
        <v/>
      </c>
      <c r="Y767">
        <f>IF(AND($A767&lt;&gt;"",$B767&lt;&gt;"",$R767='تقرير نوفمبر'!$C$4,$P767='تقرير نوفمبر'!$C$6),COUNT(Y$4:Y766)+1,"")</f>
        <v/>
      </c>
      <c r="Z767">
        <f>IF(AND($A767&lt;&gt;"",$B767&lt;&gt;"",$R767='تقرير ديسمبر'!$C$4,$P767='تقرير ديسمبر'!$C$6),COUNT(Z$4:Z766)+1,"")</f>
        <v/>
      </c>
      <c r="AA767">
        <f>IF(AND($A767&lt;&gt;"",$B767&lt;&gt;"",$R767='تقرير يناير'!$C$4,$P767='تقرير يناير'!$C$6),COUNT(AA$4:AA766)+1,"")</f>
        <v/>
      </c>
      <c r="AB767">
        <f>IF(AND($A767&lt;&gt;"",$B767&lt;&gt;"",$R767='تقرير فبراير'!$C$4,$P767='تقرير فبراير'!$C$6),COUNT(AB$4:AB766)+1,"")</f>
        <v/>
      </c>
      <c r="AC767">
        <f>IF(AND($A767&lt;&gt;"",$B767&lt;&gt;"",$R767='تقرير مارس'!$C$4,$P767='تقرير مارس'!$C$6),COUNT(AC$4:AC766)+1,"")</f>
        <v/>
      </c>
      <c r="AD767">
        <f>IF(AND($A767&lt;&gt;"",$B767&lt;&gt;"",$R767='تقرير أبريل'!$C$4,$P767='تقرير أبريل'!$C$6),COUNT(AD$4:AD766)+1,"")</f>
        <v/>
      </c>
      <c r="AE767">
        <f>IF(AND($A767&lt;&gt;"",$B767&lt;&gt;"",$R767='تقرير مايو'!$C$4,$P767='تقرير مايو'!$C$6),COUNT(AE$4:AE766)+1,"")</f>
        <v/>
      </c>
    </row>
    <row r="768">
      <c r="A768" s="16" t="n"/>
      <c r="B768" s="17" t="n"/>
      <c r="C768" s="17" t="n"/>
      <c r="D768" s="18" t="n"/>
      <c r="E768" s="17" t="n"/>
      <c r="F768" s="17" t="n"/>
      <c r="G768" s="19" t="n"/>
      <c r="H768" s="17" t="n"/>
      <c r="I768" s="17" t="n"/>
      <c r="J768" s="17" t="n"/>
      <c r="K768" s="20">
        <f>IF($B768="","",IFERROR(INDEX(الموظفات!$A$5:$A$304,MATCH($B768,الموظفات!$B$5:$B$304,0))&amp;"",""))</f>
        <v/>
      </c>
      <c r="L768" s="21">
        <f>IF($B768="","",IFERROR(INDEX(الموظفات!$C$5:$C$304,MATCH($B768,الموظفات!$B$5:$B$304,0))&amp;"",""))</f>
        <v/>
      </c>
      <c r="M768" s="20">
        <f>IF($B768="","",IFERROR(INDEX(الموظفات!$D$5:$D$304,MATCH($B768,الموظفات!$B$5:$B$304,0))&amp;"",""))</f>
        <v/>
      </c>
      <c r="N768" s="20">
        <f>IF($B768="","",IFERROR(INDEX(الموظفات!$E$5:$E$304,MATCH($B768,الموظفات!$B$5:$B$304,0))&amp;"",""))</f>
        <v/>
      </c>
      <c r="O768" s="21">
        <f>IF(C768="","",IFERROR(INDEX(الإعدادات!$D$7:$D$35,MATCH(C768,الإعدادات!$A$7:$A$35,0))&amp;"",""))</f>
        <v/>
      </c>
      <c r="P768" s="20">
        <f>IF(A768="","",INDEX(الإعدادات!$H$7:$H$18,MONTH(A768)))</f>
        <v/>
      </c>
      <c r="Q768" s="20">
        <f>IF(A768="","",INDEX(الإعدادات!$I$7:$I$18,MONTH(A768)))</f>
        <v/>
      </c>
      <c r="R768" s="20">
        <f>IF(A768="","",IF(MONTH(A768)&gt;=8,YEAR(A768)&amp;"-"&amp;(YEAR(A768)+1),(YEAR(A768)-1)&amp;"-"&amp;YEAR(A768)))</f>
        <v/>
      </c>
      <c r="S768" s="20">
        <f>IF(OR(A768="",B768=""),0,IF(AND(R768=التقارير!$C$4,OR(التقارير!$C$5="سنوي",AND(التقارير!$C$5="شهري",P768=التقارير!$C$6),AND(التقارير!$C$5="فصلي",Q768=التقارير!$C$7))),1,0))</f>
        <v/>
      </c>
      <c r="T768" s="20">
        <f>IF(S768=1,COUNTIF($S$5:S768,1),"")</f>
        <v/>
      </c>
      <c r="U768">
        <f>IF(AND($A768&lt;&gt;"",$B768&lt;&gt;"",$R768='تقرير الفصل الأول'!$C$4,$Q768='تقرير الفصل الأول'!$C$7),COUNT(U$4:U767)+1,"")</f>
        <v/>
      </c>
      <c r="V768">
        <f>IF(AND($A768&lt;&gt;"",$B768&lt;&gt;"",$R768='تقرير الفصل الثاني'!$C$4,$Q768='تقرير الفصل الثاني'!$C$7),COUNT(V$4:V767)+1,"")</f>
        <v/>
      </c>
      <c r="W768">
        <f>IF(AND($A768&lt;&gt;"",$B768&lt;&gt;"",$R768='تقرير سبتمبر'!$C$4,$P768='تقرير سبتمبر'!$C$6),COUNT(W$4:W767)+1,"")</f>
        <v/>
      </c>
      <c r="X768">
        <f>IF(AND($A768&lt;&gt;"",$B768&lt;&gt;"",$R768='تقرير أكتوبر'!$C$4,$P768='تقرير أكتوبر'!$C$6),COUNT(X$4:X767)+1,"")</f>
        <v/>
      </c>
      <c r="Y768">
        <f>IF(AND($A768&lt;&gt;"",$B768&lt;&gt;"",$R768='تقرير نوفمبر'!$C$4,$P768='تقرير نوفمبر'!$C$6),COUNT(Y$4:Y767)+1,"")</f>
        <v/>
      </c>
      <c r="Z768">
        <f>IF(AND($A768&lt;&gt;"",$B768&lt;&gt;"",$R768='تقرير ديسمبر'!$C$4,$P768='تقرير ديسمبر'!$C$6),COUNT(Z$4:Z767)+1,"")</f>
        <v/>
      </c>
      <c r="AA768">
        <f>IF(AND($A768&lt;&gt;"",$B768&lt;&gt;"",$R768='تقرير يناير'!$C$4,$P768='تقرير يناير'!$C$6),COUNT(AA$4:AA767)+1,"")</f>
        <v/>
      </c>
      <c r="AB768">
        <f>IF(AND($A768&lt;&gt;"",$B768&lt;&gt;"",$R768='تقرير فبراير'!$C$4,$P768='تقرير فبراير'!$C$6),COUNT(AB$4:AB767)+1,"")</f>
        <v/>
      </c>
      <c r="AC768">
        <f>IF(AND($A768&lt;&gt;"",$B768&lt;&gt;"",$R768='تقرير مارس'!$C$4,$P768='تقرير مارس'!$C$6),COUNT(AC$4:AC767)+1,"")</f>
        <v/>
      </c>
      <c r="AD768">
        <f>IF(AND($A768&lt;&gt;"",$B768&lt;&gt;"",$R768='تقرير أبريل'!$C$4,$P768='تقرير أبريل'!$C$6),COUNT(AD$4:AD767)+1,"")</f>
        <v/>
      </c>
      <c r="AE768">
        <f>IF(AND($A768&lt;&gt;"",$B768&lt;&gt;"",$R768='تقرير مايو'!$C$4,$P768='تقرير مايو'!$C$6),COUNT(AE$4:AE767)+1,"")</f>
        <v/>
      </c>
    </row>
    <row r="769">
      <c r="A769" s="16" t="n"/>
      <c r="B769" s="17" t="n"/>
      <c r="C769" s="17" t="n"/>
      <c r="D769" s="18" t="n"/>
      <c r="E769" s="17" t="n"/>
      <c r="F769" s="17" t="n"/>
      <c r="G769" s="19" t="n"/>
      <c r="H769" s="17" t="n"/>
      <c r="I769" s="17" t="n"/>
      <c r="J769" s="17" t="n"/>
      <c r="K769" s="20">
        <f>IF($B769="","",IFERROR(INDEX(الموظفات!$A$5:$A$304,MATCH($B769,الموظفات!$B$5:$B$304,0))&amp;"",""))</f>
        <v/>
      </c>
      <c r="L769" s="21">
        <f>IF($B769="","",IFERROR(INDEX(الموظفات!$C$5:$C$304,MATCH($B769,الموظفات!$B$5:$B$304,0))&amp;"",""))</f>
        <v/>
      </c>
      <c r="M769" s="20">
        <f>IF($B769="","",IFERROR(INDEX(الموظفات!$D$5:$D$304,MATCH($B769,الموظفات!$B$5:$B$304,0))&amp;"",""))</f>
        <v/>
      </c>
      <c r="N769" s="20">
        <f>IF($B769="","",IFERROR(INDEX(الموظفات!$E$5:$E$304,MATCH($B769,الموظفات!$B$5:$B$304,0))&amp;"",""))</f>
        <v/>
      </c>
      <c r="O769" s="21">
        <f>IF(C769="","",IFERROR(INDEX(الإعدادات!$D$7:$D$35,MATCH(C769,الإعدادات!$A$7:$A$35,0))&amp;"",""))</f>
        <v/>
      </c>
      <c r="P769" s="20">
        <f>IF(A769="","",INDEX(الإعدادات!$H$7:$H$18,MONTH(A769)))</f>
        <v/>
      </c>
      <c r="Q769" s="20">
        <f>IF(A769="","",INDEX(الإعدادات!$I$7:$I$18,MONTH(A769)))</f>
        <v/>
      </c>
      <c r="R769" s="20">
        <f>IF(A769="","",IF(MONTH(A769)&gt;=8,YEAR(A769)&amp;"-"&amp;(YEAR(A769)+1),(YEAR(A769)-1)&amp;"-"&amp;YEAR(A769)))</f>
        <v/>
      </c>
      <c r="S769" s="20">
        <f>IF(OR(A769="",B769=""),0,IF(AND(R769=التقارير!$C$4,OR(التقارير!$C$5="سنوي",AND(التقارير!$C$5="شهري",P769=التقارير!$C$6),AND(التقارير!$C$5="فصلي",Q769=التقارير!$C$7))),1,0))</f>
        <v/>
      </c>
      <c r="T769" s="20">
        <f>IF(S769=1,COUNTIF($S$5:S769,1),"")</f>
        <v/>
      </c>
      <c r="U769">
        <f>IF(AND($A769&lt;&gt;"",$B769&lt;&gt;"",$R769='تقرير الفصل الأول'!$C$4,$Q769='تقرير الفصل الأول'!$C$7),COUNT(U$4:U768)+1,"")</f>
        <v/>
      </c>
      <c r="V769">
        <f>IF(AND($A769&lt;&gt;"",$B769&lt;&gt;"",$R769='تقرير الفصل الثاني'!$C$4,$Q769='تقرير الفصل الثاني'!$C$7),COUNT(V$4:V768)+1,"")</f>
        <v/>
      </c>
      <c r="W769">
        <f>IF(AND($A769&lt;&gt;"",$B769&lt;&gt;"",$R769='تقرير سبتمبر'!$C$4,$P769='تقرير سبتمبر'!$C$6),COUNT(W$4:W768)+1,"")</f>
        <v/>
      </c>
      <c r="X769">
        <f>IF(AND($A769&lt;&gt;"",$B769&lt;&gt;"",$R769='تقرير أكتوبر'!$C$4,$P769='تقرير أكتوبر'!$C$6),COUNT(X$4:X768)+1,"")</f>
        <v/>
      </c>
      <c r="Y769">
        <f>IF(AND($A769&lt;&gt;"",$B769&lt;&gt;"",$R769='تقرير نوفمبر'!$C$4,$P769='تقرير نوفمبر'!$C$6),COUNT(Y$4:Y768)+1,"")</f>
        <v/>
      </c>
      <c r="Z769">
        <f>IF(AND($A769&lt;&gt;"",$B769&lt;&gt;"",$R769='تقرير ديسمبر'!$C$4,$P769='تقرير ديسمبر'!$C$6),COUNT(Z$4:Z768)+1,"")</f>
        <v/>
      </c>
      <c r="AA769">
        <f>IF(AND($A769&lt;&gt;"",$B769&lt;&gt;"",$R769='تقرير يناير'!$C$4,$P769='تقرير يناير'!$C$6),COUNT(AA$4:AA768)+1,"")</f>
        <v/>
      </c>
      <c r="AB769">
        <f>IF(AND($A769&lt;&gt;"",$B769&lt;&gt;"",$R769='تقرير فبراير'!$C$4,$P769='تقرير فبراير'!$C$6),COUNT(AB$4:AB768)+1,"")</f>
        <v/>
      </c>
      <c r="AC769">
        <f>IF(AND($A769&lt;&gt;"",$B769&lt;&gt;"",$R769='تقرير مارس'!$C$4,$P769='تقرير مارس'!$C$6),COUNT(AC$4:AC768)+1,"")</f>
        <v/>
      </c>
      <c r="AD769">
        <f>IF(AND($A769&lt;&gt;"",$B769&lt;&gt;"",$R769='تقرير أبريل'!$C$4,$P769='تقرير أبريل'!$C$6),COUNT(AD$4:AD768)+1,"")</f>
        <v/>
      </c>
      <c r="AE769">
        <f>IF(AND($A769&lt;&gt;"",$B769&lt;&gt;"",$R769='تقرير مايو'!$C$4,$P769='تقرير مايو'!$C$6),COUNT(AE$4:AE768)+1,"")</f>
        <v/>
      </c>
    </row>
    <row r="770">
      <c r="A770" s="16" t="n"/>
      <c r="B770" s="17" t="n"/>
      <c r="C770" s="17" t="n"/>
      <c r="D770" s="18" t="n"/>
      <c r="E770" s="17" t="n"/>
      <c r="F770" s="17" t="n"/>
      <c r="G770" s="19" t="n"/>
      <c r="H770" s="17" t="n"/>
      <c r="I770" s="17" t="n"/>
      <c r="J770" s="17" t="n"/>
      <c r="K770" s="20">
        <f>IF($B770="","",IFERROR(INDEX(الموظفات!$A$5:$A$304,MATCH($B770,الموظفات!$B$5:$B$304,0))&amp;"",""))</f>
        <v/>
      </c>
      <c r="L770" s="21">
        <f>IF($B770="","",IFERROR(INDEX(الموظفات!$C$5:$C$304,MATCH($B770,الموظفات!$B$5:$B$304,0))&amp;"",""))</f>
        <v/>
      </c>
      <c r="M770" s="20">
        <f>IF($B770="","",IFERROR(INDEX(الموظفات!$D$5:$D$304,MATCH($B770,الموظفات!$B$5:$B$304,0))&amp;"",""))</f>
        <v/>
      </c>
      <c r="N770" s="20">
        <f>IF($B770="","",IFERROR(INDEX(الموظفات!$E$5:$E$304,MATCH($B770,الموظفات!$B$5:$B$304,0))&amp;"",""))</f>
        <v/>
      </c>
      <c r="O770" s="21">
        <f>IF(C770="","",IFERROR(INDEX(الإعدادات!$D$7:$D$35,MATCH(C770,الإعدادات!$A$7:$A$35,0))&amp;"",""))</f>
        <v/>
      </c>
      <c r="P770" s="20">
        <f>IF(A770="","",INDEX(الإعدادات!$H$7:$H$18,MONTH(A770)))</f>
        <v/>
      </c>
      <c r="Q770" s="20">
        <f>IF(A770="","",INDEX(الإعدادات!$I$7:$I$18,MONTH(A770)))</f>
        <v/>
      </c>
      <c r="R770" s="20">
        <f>IF(A770="","",IF(MONTH(A770)&gt;=8,YEAR(A770)&amp;"-"&amp;(YEAR(A770)+1),(YEAR(A770)-1)&amp;"-"&amp;YEAR(A770)))</f>
        <v/>
      </c>
      <c r="S770" s="20">
        <f>IF(OR(A770="",B770=""),0,IF(AND(R770=التقارير!$C$4,OR(التقارير!$C$5="سنوي",AND(التقارير!$C$5="شهري",P770=التقارير!$C$6),AND(التقارير!$C$5="فصلي",Q770=التقارير!$C$7))),1,0))</f>
        <v/>
      </c>
      <c r="T770" s="20">
        <f>IF(S770=1,COUNTIF($S$5:S770,1),"")</f>
        <v/>
      </c>
      <c r="U770">
        <f>IF(AND($A770&lt;&gt;"",$B770&lt;&gt;"",$R770='تقرير الفصل الأول'!$C$4,$Q770='تقرير الفصل الأول'!$C$7),COUNT(U$4:U769)+1,"")</f>
        <v/>
      </c>
      <c r="V770">
        <f>IF(AND($A770&lt;&gt;"",$B770&lt;&gt;"",$R770='تقرير الفصل الثاني'!$C$4,$Q770='تقرير الفصل الثاني'!$C$7),COUNT(V$4:V769)+1,"")</f>
        <v/>
      </c>
      <c r="W770">
        <f>IF(AND($A770&lt;&gt;"",$B770&lt;&gt;"",$R770='تقرير سبتمبر'!$C$4,$P770='تقرير سبتمبر'!$C$6),COUNT(W$4:W769)+1,"")</f>
        <v/>
      </c>
      <c r="X770">
        <f>IF(AND($A770&lt;&gt;"",$B770&lt;&gt;"",$R770='تقرير أكتوبر'!$C$4,$P770='تقرير أكتوبر'!$C$6),COUNT(X$4:X769)+1,"")</f>
        <v/>
      </c>
      <c r="Y770">
        <f>IF(AND($A770&lt;&gt;"",$B770&lt;&gt;"",$R770='تقرير نوفمبر'!$C$4,$P770='تقرير نوفمبر'!$C$6),COUNT(Y$4:Y769)+1,"")</f>
        <v/>
      </c>
      <c r="Z770">
        <f>IF(AND($A770&lt;&gt;"",$B770&lt;&gt;"",$R770='تقرير ديسمبر'!$C$4,$P770='تقرير ديسمبر'!$C$6),COUNT(Z$4:Z769)+1,"")</f>
        <v/>
      </c>
      <c r="AA770">
        <f>IF(AND($A770&lt;&gt;"",$B770&lt;&gt;"",$R770='تقرير يناير'!$C$4,$P770='تقرير يناير'!$C$6),COUNT(AA$4:AA769)+1,"")</f>
        <v/>
      </c>
      <c r="AB770">
        <f>IF(AND($A770&lt;&gt;"",$B770&lt;&gt;"",$R770='تقرير فبراير'!$C$4,$P770='تقرير فبراير'!$C$6),COUNT(AB$4:AB769)+1,"")</f>
        <v/>
      </c>
      <c r="AC770">
        <f>IF(AND($A770&lt;&gt;"",$B770&lt;&gt;"",$R770='تقرير مارس'!$C$4,$P770='تقرير مارس'!$C$6),COUNT(AC$4:AC769)+1,"")</f>
        <v/>
      </c>
      <c r="AD770">
        <f>IF(AND($A770&lt;&gt;"",$B770&lt;&gt;"",$R770='تقرير أبريل'!$C$4,$P770='تقرير أبريل'!$C$6),COUNT(AD$4:AD769)+1,"")</f>
        <v/>
      </c>
      <c r="AE770">
        <f>IF(AND($A770&lt;&gt;"",$B770&lt;&gt;"",$R770='تقرير مايو'!$C$4,$P770='تقرير مايو'!$C$6),COUNT(AE$4:AE769)+1,"")</f>
        <v/>
      </c>
    </row>
    <row r="771">
      <c r="A771" s="16" t="n"/>
      <c r="B771" s="17" t="n"/>
      <c r="C771" s="17" t="n"/>
      <c r="D771" s="18" t="n"/>
      <c r="E771" s="17" t="n"/>
      <c r="F771" s="17" t="n"/>
      <c r="G771" s="19" t="n"/>
      <c r="H771" s="17" t="n"/>
      <c r="I771" s="17" t="n"/>
      <c r="J771" s="17" t="n"/>
      <c r="K771" s="20">
        <f>IF($B771="","",IFERROR(INDEX(الموظفات!$A$5:$A$304,MATCH($B771,الموظفات!$B$5:$B$304,0))&amp;"",""))</f>
        <v/>
      </c>
      <c r="L771" s="21">
        <f>IF($B771="","",IFERROR(INDEX(الموظفات!$C$5:$C$304,MATCH($B771,الموظفات!$B$5:$B$304,0))&amp;"",""))</f>
        <v/>
      </c>
      <c r="M771" s="20">
        <f>IF($B771="","",IFERROR(INDEX(الموظفات!$D$5:$D$304,MATCH($B771,الموظفات!$B$5:$B$304,0))&amp;"",""))</f>
        <v/>
      </c>
      <c r="N771" s="20">
        <f>IF($B771="","",IFERROR(INDEX(الموظفات!$E$5:$E$304,MATCH($B771,الموظفات!$B$5:$B$304,0))&amp;"",""))</f>
        <v/>
      </c>
      <c r="O771" s="21">
        <f>IF(C771="","",IFERROR(INDEX(الإعدادات!$D$7:$D$35,MATCH(C771,الإعدادات!$A$7:$A$35,0))&amp;"",""))</f>
        <v/>
      </c>
      <c r="P771" s="20">
        <f>IF(A771="","",INDEX(الإعدادات!$H$7:$H$18,MONTH(A771)))</f>
        <v/>
      </c>
      <c r="Q771" s="20">
        <f>IF(A771="","",INDEX(الإعدادات!$I$7:$I$18,MONTH(A771)))</f>
        <v/>
      </c>
      <c r="R771" s="20">
        <f>IF(A771="","",IF(MONTH(A771)&gt;=8,YEAR(A771)&amp;"-"&amp;(YEAR(A771)+1),(YEAR(A771)-1)&amp;"-"&amp;YEAR(A771)))</f>
        <v/>
      </c>
      <c r="S771" s="20">
        <f>IF(OR(A771="",B771=""),0,IF(AND(R771=التقارير!$C$4,OR(التقارير!$C$5="سنوي",AND(التقارير!$C$5="شهري",P771=التقارير!$C$6),AND(التقارير!$C$5="فصلي",Q771=التقارير!$C$7))),1,0))</f>
        <v/>
      </c>
      <c r="T771" s="20">
        <f>IF(S771=1,COUNTIF($S$5:S771,1),"")</f>
        <v/>
      </c>
      <c r="U771">
        <f>IF(AND($A771&lt;&gt;"",$B771&lt;&gt;"",$R771='تقرير الفصل الأول'!$C$4,$Q771='تقرير الفصل الأول'!$C$7),COUNT(U$4:U770)+1,"")</f>
        <v/>
      </c>
      <c r="V771">
        <f>IF(AND($A771&lt;&gt;"",$B771&lt;&gt;"",$R771='تقرير الفصل الثاني'!$C$4,$Q771='تقرير الفصل الثاني'!$C$7),COUNT(V$4:V770)+1,"")</f>
        <v/>
      </c>
      <c r="W771">
        <f>IF(AND($A771&lt;&gt;"",$B771&lt;&gt;"",$R771='تقرير سبتمبر'!$C$4,$P771='تقرير سبتمبر'!$C$6),COUNT(W$4:W770)+1,"")</f>
        <v/>
      </c>
      <c r="X771">
        <f>IF(AND($A771&lt;&gt;"",$B771&lt;&gt;"",$R771='تقرير أكتوبر'!$C$4,$P771='تقرير أكتوبر'!$C$6),COUNT(X$4:X770)+1,"")</f>
        <v/>
      </c>
      <c r="Y771">
        <f>IF(AND($A771&lt;&gt;"",$B771&lt;&gt;"",$R771='تقرير نوفمبر'!$C$4,$P771='تقرير نوفمبر'!$C$6),COUNT(Y$4:Y770)+1,"")</f>
        <v/>
      </c>
      <c r="Z771">
        <f>IF(AND($A771&lt;&gt;"",$B771&lt;&gt;"",$R771='تقرير ديسمبر'!$C$4,$P771='تقرير ديسمبر'!$C$6),COUNT(Z$4:Z770)+1,"")</f>
        <v/>
      </c>
      <c r="AA771">
        <f>IF(AND($A771&lt;&gt;"",$B771&lt;&gt;"",$R771='تقرير يناير'!$C$4,$P771='تقرير يناير'!$C$6),COUNT(AA$4:AA770)+1,"")</f>
        <v/>
      </c>
      <c r="AB771">
        <f>IF(AND($A771&lt;&gt;"",$B771&lt;&gt;"",$R771='تقرير فبراير'!$C$4,$P771='تقرير فبراير'!$C$6),COUNT(AB$4:AB770)+1,"")</f>
        <v/>
      </c>
      <c r="AC771">
        <f>IF(AND($A771&lt;&gt;"",$B771&lt;&gt;"",$R771='تقرير مارس'!$C$4,$P771='تقرير مارس'!$C$6),COUNT(AC$4:AC770)+1,"")</f>
        <v/>
      </c>
      <c r="AD771">
        <f>IF(AND($A771&lt;&gt;"",$B771&lt;&gt;"",$R771='تقرير أبريل'!$C$4,$P771='تقرير أبريل'!$C$6),COUNT(AD$4:AD770)+1,"")</f>
        <v/>
      </c>
      <c r="AE771">
        <f>IF(AND($A771&lt;&gt;"",$B771&lt;&gt;"",$R771='تقرير مايو'!$C$4,$P771='تقرير مايو'!$C$6),COUNT(AE$4:AE770)+1,"")</f>
        <v/>
      </c>
    </row>
    <row r="772">
      <c r="A772" s="16" t="n"/>
      <c r="B772" s="17" t="n"/>
      <c r="C772" s="17" t="n"/>
      <c r="D772" s="18" t="n"/>
      <c r="E772" s="17" t="n"/>
      <c r="F772" s="17" t="n"/>
      <c r="G772" s="19" t="n"/>
      <c r="H772" s="17" t="n"/>
      <c r="I772" s="17" t="n"/>
      <c r="J772" s="17" t="n"/>
      <c r="K772" s="20">
        <f>IF($B772="","",IFERROR(INDEX(الموظفات!$A$5:$A$304,MATCH($B772,الموظفات!$B$5:$B$304,0))&amp;"",""))</f>
        <v/>
      </c>
      <c r="L772" s="21">
        <f>IF($B772="","",IFERROR(INDEX(الموظفات!$C$5:$C$304,MATCH($B772,الموظفات!$B$5:$B$304,0))&amp;"",""))</f>
        <v/>
      </c>
      <c r="M772" s="20">
        <f>IF($B772="","",IFERROR(INDEX(الموظفات!$D$5:$D$304,MATCH($B772,الموظفات!$B$5:$B$304,0))&amp;"",""))</f>
        <v/>
      </c>
      <c r="N772" s="20">
        <f>IF($B772="","",IFERROR(INDEX(الموظفات!$E$5:$E$304,MATCH($B772,الموظفات!$B$5:$B$304,0))&amp;"",""))</f>
        <v/>
      </c>
      <c r="O772" s="21">
        <f>IF(C772="","",IFERROR(INDEX(الإعدادات!$D$7:$D$35,MATCH(C772,الإعدادات!$A$7:$A$35,0))&amp;"",""))</f>
        <v/>
      </c>
      <c r="P772" s="20">
        <f>IF(A772="","",INDEX(الإعدادات!$H$7:$H$18,MONTH(A772)))</f>
        <v/>
      </c>
      <c r="Q772" s="20">
        <f>IF(A772="","",INDEX(الإعدادات!$I$7:$I$18,MONTH(A772)))</f>
        <v/>
      </c>
      <c r="R772" s="20">
        <f>IF(A772="","",IF(MONTH(A772)&gt;=8,YEAR(A772)&amp;"-"&amp;(YEAR(A772)+1),(YEAR(A772)-1)&amp;"-"&amp;YEAR(A772)))</f>
        <v/>
      </c>
      <c r="S772" s="20">
        <f>IF(OR(A772="",B772=""),0,IF(AND(R772=التقارير!$C$4,OR(التقارير!$C$5="سنوي",AND(التقارير!$C$5="شهري",P772=التقارير!$C$6),AND(التقارير!$C$5="فصلي",Q772=التقارير!$C$7))),1,0))</f>
        <v/>
      </c>
      <c r="T772" s="20">
        <f>IF(S772=1,COUNTIF($S$5:S772,1),"")</f>
        <v/>
      </c>
      <c r="U772">
        <f>IF(AND($A772&lt;&gt;"",$B772&lt;&gt;"",$R772='تقرير الفصل الأول'!$C$4,$Q772='تقرير الفصل الأول'!$C$7),COUNT(U$4:U771)+1,"")</f>
        <v/>
      </c>
      <c r="V772">
        <f>IF(AND($A772&lt;&gt;"",$B772&lt;&gt;"",$R772='تقرير الفصل الثاني'!$C$4,$Q772='تقرير الفصل الثاني'!$C$7),COUNT(V$4:V771)+1,"")</f>
        <v/>
      </c>
      <c r="W772">
        <f>IF(AND($A772&lt;&gt;"",$B772&lt;&gt;"",$R772='تقرير سبتمبر'!$C$4,$P772='تقرير سبتمبر'!$C$6),COUNT(W$4:W771)+1,"")</f>
        <v/>
      </c>
      <c r="X772">
        <f>IF(AND($A772&lt;&gt;"",$B772&lt;&gt;"",$R772='تقرير أكتوبر'!$C$4,$P772='تقرير أكتوبر'!$C$6),COUNT(X$4:X771)+1,"")</f>
        <v/>
      </c>
      <c r="Y772">
        <f>IF(AND($A772&lt;&gt;"",$B772&lt;&gt;"",$R772='تقرير نوفمبر'!$C$4,$P772='تقرير نوفمبر'!$C$6),COUNT(Y$4:Y771)+1,"")</f>
        <v/>
      </c>
      <c r="Z772">
        <f>IF(AND($A772&lt;&gt;"",$B772&lt;&gt;"",$R772='تقرير ديسمبر'!$C$4,$P772='تقرير ديسمبر'!$C$6),COUNT(Z$4:Z771)+1,"")</f>
        <v/>
      </c>
      <c r="AA772">
        <f>IF(AND($A772&lt;&gt;"",$B772&lt;&gt;"",$R772='تقرير يناير'!$C$4,$P772='تقرير يناير'!$C$6),COUNT(AA$4:AA771)+1,"")</f>
        <v/>
      </c>
      <c r="AB772">
        <f>IF(AND($A772&lt;&gt;"",$B772&lt;&gt;"",$R772='تقرير فبراير'!$C$4,$P772='تقرير فبراير'!$C$6),COUNT(AB$4:AB771)+1,"")</f>
        <v/>
      </c>
      <c r="AC772">
        <f>IF(AND($A772&lt;&gt;"",$B772&lt;&gt;"",$R772='تقرير مارس'!$C$4,$P772='تقرير مارس'!$C$6),COUNT(AC$4:AC771)+1,"")</f>
        <v/>
      </c>
      <c r="AD772">
        <f>IF(AND($A772&lt;&gt;"",$B772&lt;&gt;"",$R772='تقرير أبريل'!$C$4,$P772='تقرير أبريل'!$C$6),COUNT(AD$4:AD771)+1,"")</f>
        <v/>
      </c>
      <c r="AE772">
        <f>IF(AND($A772&lt;&gt;"",$B772&lt;&gt;"",$R772='تقرير مايو'!$C$4,$P772='تقرير مايو'!$C$6),COUNT(AE$4:AE771)+1,"")</f>
        <v/>
      </c>
    </row>
    <row r="773">
      <c r="A773" s="16" t="n"/>
      <c r="B773" s="17" t="n"/>
      <c r="C773" s="17" t="n"/>
      <c r="D773" s="18" t="n"/>
      <c r="E773" s="17" t="n"/>
      <c r="F773" s="17" t="n"/>
      <c r="G773" s="19" t="n"/>
      <c r="H773" s="17" t="n"/>
      <c r="I773" s="17" t="n"/>
      <c r="J773" s="17" t="n"/>
      <c r="K773" s="20">
        <f>IF($B773="","",IFERROR(INDEX(الموظفات!$A$5:$A$304,MATCH($B773,الموظفات!$B$5:$B$304,0))&amp;"",""))</f>
        <v/>
      </c>
      <c r="L773" s="21">
        <f>IF($B773="","",IFERROR(INDEX(الموظفات!$C$5:$C$304,MATCH($B773,الموظفات!$B$5:$B$304,0))&amp;"",""))</f>
        <v/>
      </c>
      <c r="M773" s="20">
        <f>IF($B773="","",IFERROR(INDEX(الموظفات!$D$5:$D$304,MATCH($B773,الموظفات!$B$5:$B$304,0))&amp;"",""))</f>
        <v/>
      </c>
      <c r="N773" s="20">
        <f>IF($B773="","",IFERROR(INDEX(الموظفات!$E$5:$E$304,MATCH($B773,الموظفات!$B$5:$B$304,0))&amp;"",""))</f>
        <v/>
      </c>
      <c r="O773" s="21">
        <f>IF(C773="","",IFERROR(INDEX(الإعدادات!$D$7:$D$35,MATCH(C773,الإعدادات!$A$7:$A$35,0))&amp;"",""))</f>
        <v/>
      </c>
      <c r="P773" s="20">
        <f>IF(A773="","",INDEX(الإعدادات!$H$7:$H$18,MONTH(A773)))</f>
        <v/>
      </c>
      <c r="Q773" s="20">
        <f>IF(A773="","",INDEX(الإعدادات!$I$7:$I$18,MONTH(A773)))</f>
        <v/>
      </c>
      <c r="R773" s="20">
        <f>IF(A773="","",IF(MONTH(A773)&gt;=8,YEAR(A773)&amp;"-"&amp;(YEAR(A773)+1),(YEAR(A773)-1)&amp;"-"&amp;YEAR(A773)))</f>
        <v/>
      </c>
      <c r="S773" s="20">
        <f>IF(OR(A773="",B773=""),0,IF(AND(R773=التقارير!$C$4,OR(التقارير!$C$5="سنوي",AND(التقارير!$C$5="شهري",P773=التقارير!$C$6),AND(التقارير!$C$5="فصلي",Q773=التقارير!$C$7))),1,0))</f>
        <v/>
      </c>
      <c r="T773" s="20">
        <f>IF(S773=1,COUNTIF($S$5:S773,1),"")</f>
        <v/>
      </c>
      <c r="U773">
        <f>IF(AND($A773&lt;&gt;"",$B773&lt;&gt;"",$R773='تقرير الفصل الأول'!$C$4,$Q773='تقرير الفصل الأول'!$C$7),COUNT(U$4:U772)+1,"")</f>
        <v/>
      </c>
      <c r="V773">
        <f>IF(AND($A773&lt;&gt;"",$B773&lt;&gt;"",$R773='تقرير الفصل الثاني'!$C$4,$Q773='تقرير الفصل الثاني'!$C$7),COUNT(V$4:V772)+1,"")</f>
        <v/>
      </c>
      <c r="W773">
        <f>IF(AND($A773&lt;&gt;"",$B773&lt;&gt;"",$R773='تقرير سبتمبر'!$C$4,$P773='تقرير سبتمبر'!$C$6),COUNT(W$4:W772)+1,"")</f>
        <v/>
      </c>
      <c r="X773">
        <f>IF(AND($A773&lt;&gt;"",$B773&lt;&gt;"",$R773='تقرير أكتوبر'!$C$4,$P773='تقرير أكتوبر'!$C$6),COUNT(X$4:X772)+1,"")</f>
        <v/>
      </c>
      <c r="Y773">
        <f>IF(AND($A773&lt;&gt;"",$B773&lt;&gt;"",$R773='تقرير نوفمبر'!$C$4,$P773='تقرير نوفمبر'!$C$6),COUNT(Y$4:Y772)+1,"")</f>
        <v/>
      </c>
      <c r="Z773">
        <f>IF(AND($A773&lt;&gt;"",$B773&lt;&gt;"",$R773='تقرير ديسمبر'!$C$4,$P773='تقرير ديسمبر'!$C$6),COUNT(Z$4:Z772)+1,"")</f>
        <v/>
      </c>
      <c r="AA773">
        <f>IF(AND($A773&lt;&gt;"",$B773&lt;&gt;"",$R773='تقرير يناير'!$C$4,$P773='تقرير يناير'!$C$6),COUNT(AA$4:AA772)+1,"")</f>
        <v/>
      </c>
      <c r="AB773">
        <f>IF(AND($A773&lt;&gt;"",$B773&lt;&gt;"",$R773='تقرير فبراير'!$C$4,$P773='تقرير فبراير'!$C$6),COUNT(AB$4:AB772)+1,"")</f>
        <v/>
      </c>
      <c r="AC773">
        <f>IF(AND($A773&lt;&gt;"",$B773&lt;&gt;"",$R773='تقرير مارس'!$C$4,$P773='تقرير مارس'!$C$6),COUNT(AC$4:AC772)+1,"")</f>
        <v/>
      </c>
      <c r="AD773">
        <f>IF(AND($A773&lt;&gt;"",$B773&lt;&gt;"",$R773='تقرير أبريل'!$C$4,$P773='تقرير أبريل'!$C$6),COUNT(AD$4:AD772)+1,"")</f>
        <v/>
      </c>
      <c r="AE773">
        <f>IF(AND($A773&lt;&gt;"",$B773&lt;&gt;"",$R773='تقرير مايو'!$C$4,$P773='تقرير مايو'!$C$6),COUNT(AE$4:AE772)+1,"")</f>
        <v/>
      </c>
    </row>
    <row r="774">
      <c r="A774" s="16" t="n"/>
      <c r="B774" s="17" t="n"/>
      <c r="C774" s="17" t="n"/>
      <c r="D774" s="18" t="n"/>
      <c r="E774" s="17" t="n"/>
      <c r="F774" s="17" t="n"/>
      <c r="G774" s="19" t="n"/>
      <c r="H774" s="17" t="n"/>
      <c r="I774" s="17" t="n"/>
      <c r="J774" s="17" t="n"/>
      <c r="K774" s="20">
        <f>IF($B774="","",IFERROR(INDEX(الموظفات!$A$5:$A$304,MATCH($B774,الموظفات!$B$5:$B$304,0))&amp;"",""))</f>
        <v/>
      </c>
      <c r="L774" s="21">
        <f>IF($B774="","",IFERROR(INDEX(الموظفات!$C$5:$C$304,MATCH($B774,الموظفات!$B$5:$B$304,0))&amp;"",""))</f>
        <v/>
      </c>
      <c r="M774" s="20">
        <f>IF($B774="","",IFERROR(INDEX(الموظفات!$D$5:$D$304,MATCH($B774,الموظفات!$B$5:$B$304,0))&amp;"",""))</f>
        <v/>
      </c>
      <c r="N774" s="20">
        <f>IF($B774="","",IFERROR(INDEX(الموظفات!$E$5:$E$304,MATCH($B774,الموظفات!$B$5:$B$304,0))&amp;"",""))</f>
        <v/>
      </c>
      <c r="O774" s="21">
        <f>IF(C774="","",IFERROR(INDEX(الإعدادات!$D$7:$D$35,MATCH(C774,الإعدادات!$A$7:$A$35,0))&amp;"",""))</f>
        <v/>
      </c>
      <c r="P774" s="20">
        <f>IF(A774="","",INDEX(الإعدادات!$H$7:$H$18,MONTH(A774)))</f>
        <v/>
      </c>
      <c r="Q774" s="20">
        <f>IF(A774="","",INDEX(الإعدادات!$I$7:$I$18,MONTH(A774)))</f>
        <v/>
      </c>
      <c r="R774" s="20">
        <f>IF(A774="","",IF(MONTH(A774)&gt;=8,YEAR(A774)&amp;"-"&amp;(YEAR(A774)+1),(YEAR(A774)-1)&amp;"-"&amp;YEAR(A774)))</f>
        <v/>
      </c>
      <c r="S774" s="20">
        <f>IF(OR(A774="",B774=""),0,IF(AND(R774=التقارير!$C$4,OR(التقارير!$C$5="سنوي",AND(التقارير!$C$5="شهري",P774=التقارير!$C$6),AND(التقارير!$C$5="فصلي",Q774=التقارير!$C$7))),1,0))</f>
        <v/>
      </c>
      <c r="T774" s="20">
        <f>IF(S774=1,COUNTIF($S$5:S774,1),"")</f>
        <v/>
      </c>
      <c r="U774">
        <f>IF(AND($A774&lt;&gt;"",$B774&lt;&gt;"",$R774='تقرير الفصل الأول'!$C$4,$Q774='تقرير الفصل الأول'!$C$7),COUNT(U$4:U773)+1,"")</f>
        <v/>
      </c>
      <c r="V774">
        <f>IF(AND($A774&lt;&gt;"",$B774&lt;&gt;"",$R774='تقرير الفصل الثاني'!$C$4,$Q774='تقرير الفصل الثاني'!$C$7),COUNT(V$4:V773)+1,"")</f>
        <v/>
      </c>
      <c r="W774">
        <f>IF(AND($A774&lt;&gt;"",$B774&lt;&gt;"",$R774='تقرير سبتمبر'!$C$4,$P774='تقرير سبتمبر'!$C$6),COUNT(W$4:W773)+1,"")</f>
        <v/>
      </c>
      <c r="X774">
        <f>IF(AND($A774&lt;&gt;"",$B774&lt;&gt;"",$R774='تقرير أكتوبر'!$C$4,$P774='تقرير أكتوبر'!$C$6),COUNT(X$4:X773)+1,"")</f>
        <v/>
      </c>
      <c r="Y774">
        <f>IF(AND($A774&lt;&gt;"",$B774&lt;&gt;"",$R774='تقرير نوفمبر'!$C$4,$P774='تقرير نوفمبر'!$C$6),COUNT(Y$4:Y773)+1,"")</f>
        <v/>
      </c>
      <c r="Z774">
        <f>IF(AND($A774&lt;&gt;"",$B774&lt;&gt;"",$R774='تقرير ديسمبر'!$C$4,$P774='تقرير ديسمبر'!$C$6),COUNT(Z$4:Z773)+1,"")</f>
        <v/>
      </c>
      <c r="AA774">
        <f>IF(AND($A774&lt;&gt;"",$B774&lt;&gt;"",$R774='تقرير يناير'!$C$4,$P774='تقرير يناير'!$C$6),COUNT(AA$4:AA773)+1,"")</f>
        <v/>
      </c>
      <c r="AB774">
        <f>IF(AND($A774&lt;&gt;"",$B774&lt;&gt;"",$R774='تقرير فبراير'!$C$4,$P774='تقرير فبراير'!$C$6),COUNT(AB$4:AB773)+1,"")</f>
        <v/>
      </c>
      <c r="AC774">
        <f>IF(AND($A774&lt;&gt;"",$B774&lt;&gt;"",$R774='تقرير مارس'!$C$4,$P774='تقرير مارس'!$C$6),COUNT(AC$4:AC773)+1,"")</f>
        <v/>
      </c>
      <c r="AD774">
        <f>IF(AND($A774&lt;&gt;"",$B774&lt;&gt;"",$R774='تقرير أبريل'!$C$4,$P774='تقرير أبريل'!$C$6),COUNT(AD$4:AD773)+1,"")</f>
        <v/>
      </c>
      <c r="AE774">
        <f>IF(AND($A774&lt;&gt;"",$B774&lt;&gt;"",$R774='تقرير مايو'!$C$4,$P774='تقرير مايو'!$C$6),COUNT(AE$4:AE773)+1,"")</f>
        <v/>
      </c>
    </row>
    <row r="775">
      <c r="A775" s="16" t="n"/>
      <c r="B775" s="17" t="n"/>
      <c r="C775" s="17" t="n"/>
      <c r="D775" s="18" t="n"/>
      <c r="E775" s="17" t="n"/>
      <c r="F775" s="17" t="n"/>
      <c r="G775" s="19" t="n"/>
      <c r="H775" s="17" t="n"/>
      <c r="I775" s="17" t="n"/>
      <c r="J775" s="17" t="n"/>
      <c r="K775" s="20">
        <f>IF($B775="","",IFERROR(INDEX(الموظفات!$A$5:$A$304,MATCH($B775,الموظفات!$B$5:$B$304,0))&amp;"",""))</f>
        <v/>
      </c>
      <c r="L775" s="21">
        <f>IF($B775="","",IFERROR(INDEX(الموظفات!$C$5:$C$304,MATCH($B775,الموظفات!$B$5:$B$304,0))&amp;"",""))</f>
        <v/>
      </c>
      <c r="M775" s="20">
        <f>IF($B775="","",IFERROR(INDEX(الموظفات!$D$5:$D$304,MATCH($B775,الموظفات!$B$5:$B$304,0))&amp;"",""))</f>
        <v/>
      </c>
      <c r="N775" s="20">
        <f>IF($B775="","",IFERROR(INDEX(الموظفات!$E$5:$E$304,MATCH($B775,الموظفات!$B$5:$B$304,0))&amp;"",""))</f>
        <v/>
      </c>
      <c r="O775" s="21">
        <f>IF(C775="","",IFERROR(INDEX(الإعدادات!$D$7:$D$35,MATCH(C775,الإعدادات!$A$7:$A$35,0))&amp;"",""))</f>
        <v/>
      </c>
      <c r="P775" s="20">
        <f>IF(A775="","",INDEX(الإعدادات!$H$7:$H$18,MONTH(A775)))</f>
        <v/>
      </c>
      <c r="Q775" s="20">
        <f>IF(A775="","",INDEX(الإعدادات!$I$7:$I$18,MONTH(A775)))</f>
        <v/>
      </c>
      <c r="R775" s="20">
        <f>IF(A775="","",IF(MONTH(A775)&gt;=8,YEAR(A775)&amp;"-"&amp;(YEAR(A775)+1),(YEAR(A775)-1)&amp;"-"&amp;YEAR(A775)))</f>
        <v/>
      </c>
      <c r="S775" s="20">
        <f>IF(OR(A775="",B775=""),0,IF(AND(R775=التقارير!$C$4,OR(التقارير!$C$5="سنوي",AND(التقارير!$C$5="شهري",P775=التقارير!$C$6),AND(التقارير!$C$5="فصلي",Q775=التقارير!$C$7))),1,0))</f>
        <v/>
      </c>
      <c r="T775" s="20">
        <f>IF(S775=1,COUNTIF($S$5:S775,1),"")</f>
        <v/>
      </c>
      <c r="U775">
        <f>IF(AND($A775&lt;&gt;"",$B775&lt;&gt;"",$R775='تقرير الفصل الأول'!$C$4,$Q775='تقرير الفصل الأول'!$C$7),COUNT(U$4:U774)+1,"")</f>
        <v/>
      </c>
      <c r="V775">
        <f>IF(AND($A775&lt;&gt;"",$B775&lt;&gt;"",$R775='تقرير الفصل الثاني'!$C$4,$Q775='تقرير الفصل الثاني'!$C$7),COUNT(V$4:V774)+1,"")</f>
        <v/>
      </c>
      <c r="W775">
        <f>IF(AND($A775&lt;&gt;"",$B775&lt;&gt;"",$R775='تقرير سبتمبر'!$C$4,$P775='تقرير سبتمبر'!$C$6),COUNT(W$4:W774)+1,"")</f>
        <v/>
      </c>
      <c r="X775">
        <f>IF(AND($A775&lt;&gt;"",$B775&lt;&gt;"",$R775='تقرير أكتوبر'!$C$4,$P775='تقرير أكتوبر'!$C$6),COUNT(X$4:X774)+1,"")</f>
        <v/>
      </c>
      <c r="Y775">
        <f>IF(AND($A775&lt;&gt;"",$B775&lt;&gt;"",$R775='تقرير نوفمبر'!$C$4,$P775='تقرير نوفمبر'!$C$6),COUNT(Y$4:Y774)+1,"")</f>
        <v/>
      </c>
      <c r="Z775">
        <f>IF(AND($A775&lt;&gt;"",$B775&lt;&gt;"",$R775='تقرير ديسمبر'!$C$4,$P775='تقرير ديسمبر'!$C$6),COUNT(Z$4:Z774)+1,"")</f>
        <v/>
      </c>
      <c r="AA775">
        <f>IF(AND($A775&lt;&gt;"",$B775&lt;&gt;"",$R775='تقرير يناير'!$C$4,$P775='تقرير يناير'!$C$6),COUNT(AA$4:AA774)+1,"")</f>
        <v/>
      </c>
      <c r="AB775">
        <f>IF(AND($A775&lt;&gt;"",$B775&lt;&gt;"",$R775='تقرير فبراير'!$C$4,$P775='تقرير فبراير'!$C$6),COUNT(AB$4:AB774)+1,"")</f>
        <v/>
      </c>
      <c r="AC775">
        <f>IF(AND($A775&lt;&gt;"",$B775&lt;&gt;"",$R775='تقرير مارس'!$C$4,$P775='تقرير مارس'!$C$6),COUNT(AC$4:AC774)+1,"")</f>
        <v/>
      </c>
      <c r="AD775">
        <f>IF(AND($A775&lt;&gt;"",$B775&lt;&gt;"",$R775='تقرير أبريل'!$C$4,$P775='تقرير أبريل'!$C$6),COUNT(AD$4:AD774)+1,"")</f>
        <v/>
      </c>
      <c r="AE775">
        <f>IF(AND($A775&lt;&gt;"",$B775&lt;&gt;"",$R775='تقرير مايو'!$C$4,$P775='تقرير مايو'!$C$6),COUNT(AE$4:AE774)+1,"")</f>
        <v/>
      </c>
    </row>
    <row r="776">
      <c r="A776" s="16" t="n"/>
      <c r="B776" s="17" t="n"/>
      <c r="C776" s="17" t="n"/>
      <c r="D776" s="18" t="n"/>
      <c r="E776" s="17" t="n"/>
      <c r="F776" s="17" t="n"/>
      <c r="G776" s="19" t="n"/>
      <c r="H776" s="17" t="n"/>
      <c r="I776" s="17" t="n"/>
      <c r="J776" s="17" t="n"/>
      <c r="K776" s="20">
        <f>IF($B776="","",IFERROR(INDEX(الموظفات!$A$5:$A$304,MATCH($B776,الموظفات!$B$5:$B$304,0))&amp;"",""))</f>
        <v/>
      </c>
      <c r="L776" s="21">
        <f>IF($B776="","",IFERROR(INDEX(الموظفات!$C$5:$C$304,MATCH($B776,الموظفات!$B$5:$B$304,0))&amp;"",""))</f>
        <v/>
      </c>
      <c r="M776" s="20">
        <f>IF($B776="","",IFERROR(INDEX(الموظفات!$D$5:$D$304,MATCH($B776,الموظفات!$B$5:$B$304,0))&amp;"",""))</f>
        <v/>
      </c>
      <c r="N776" s="20">
        <f>IF($B776="","",IFERROR(INDEX(الموظفات!$E$5:$E$304,MATCH($B776,الموظفات!$B$5:$B$304,0))&amp;"",""))</f>
        <v/>
      </c>
      <c r="O776" s="21">
        <f>IF(C776="","",IFERROR(INDEX(الإعدادات!$D$7:$D$35,MATCH(C776,الإعدادات!$A$7:$A$35,0))&amp;"",""))</f>
        <v/>
      </c>
      <c r="P776" s="20">
        <f>IF(A776="","",INDEX(الإعدادات!$H$7:$H$18,MONTH(A776)))</f>
        <v/>
      </c>
      <c r="Q776" s="20">
        <f>IF(A776="","",INDEX(الإعدادات!$I$7:$I$18,MONTH(A776)))</f>
        <v/>
      </c>
      <c r="R776" s="20">
        <f>IF(A776="","",IF(MONTH(A776)&gt;=8,YEAR(A776)&amp;"-"&amp;(YEAR(A776)+1),(YEAR(A776)-1)&amp;"-"&amp;YEAR(A776)))</f>
        <v/>
      </c>
      <c r="S776" s="20">
        <f>IF(OR(A776="",B776=""),0,IF(AND(R776=التقارير!$C$4,OR(التقارير!$C$5="سنوي",AND(التقارير!$C$5="شهري",P776=التقارير!$C$6),AND(التقارير!$C$5="فصلي",Q776=التقارير!$C$7))),1,0))</f>
        <v/>
      </c>
      <c r="T776" s="20">
        <f>IF(S776=1,COUNTIF($S$5:S776,1),"")</f>
        <v/>
      </c>
      <c r="U776">
        <f>IF(AND($A776&lt;&gt;"",$B776&lt;&gt;"",$R776='تقرير الفصل الأول'!$C$4,$Q776='تقرير الفصل الأول'!$C$7),COUNT(U$4:U775)+1,"")</f>
        <v/>
      </c>
      <c r="V776">
        <f>IF(AND($A776&lt;&gt;"",$B776&lt;&gt;"",$R776='تقرير الفصل الثاني'!$C$4,$Q776='تقرير الفصل الثاني'!$C$7),COUNT(V$4:V775)+1,"")</f>
        <v/>
      </c>
      <c r="W776">
        <f>IF(AND($A776&lt;&gt;"",$B776&lt;&gt;"",$R776='تقرير سبتمبر'!$C$4,$P776='تقرير سبتمبر'!$C$6),COUNT(W$4:W775)+1,"")</f>
        <v/>
      </c>
      <c r="X776">
        <f>IF(AND($A776&lt;&gt;"",$B776&lt;&gt;"",$R776='تقرير أكتوبر'!$C$4,$P776='تقرير أكتوبر'!$C$6),COUNT(X$4:X775)+1,"")</f>
        <v/>
      </c>
      <c r="Y776">
        <f>IF(AND($A776&lt;&gt;"",$B776&lt;&gt;"",$R776='تقرير نوفمبر'!$C$4,$P776='تقرير نوفمبر'!$C$6),COUNT(Y$4:Y775)+1,"")</f>
        <v/>
      </c>
      <c r="Z776">
        <f>IF(AND($A776&lt;&gt;"",$B776&lt;&gt;"",$R776='تقرير ديسمبر'!$C$4,$P776='تقرير ديسمبر'!$C$6),COUNT(Z$4:Z775)+1,"")</f>
        <v/>
      </c>
      <c r="AA776">
        <f>IF(AND($A776&lt;&gt;"",$B776&lt;&gt;"",$R776='تقرير يناير'!$C$4,$P776='تقرير يناير'!$C$6),COUNT(AA$4:AA775)+1,"")</f>
        <v/>
      </c>
      <c r="AB776">
        <f>IF(AND($A776&lt;&gt;"",$B776&lt;&gt;"",$R776='تقرير فبراير'!$C$4,$P776='تقرير فبراير'!$C$6),COUNT(AB$4:AB775)+1,"")</f>
        <v/>
      </c>
      <c r="AC776">
        <f>IF(AND($A776&lt;&gt;"",$B776&lt;&gt;"",$R776='تقرير مارس'!$C$4,$P776='تقرير مارس'!$C$6),COUNT(AC$4:AC775)+1,"")</f>
        <v/>
      </c>
      <c r="AD776">
        <f>IF(AND($A776&lt;&gt;"",$B776&lt;&gt;"",$R776='تقرير أبريل'!$C$4,$P776='تقرير أبريل'!$C$6),COUNT(AD$4:AD775)+1,"")</f>
        <v/>
      </c>
      <c r="AE776">
        <f>IF(AND($A776&lt;&gt;"",$B776&lt;&gt;"",$R776='تقرير مايو'!$C$4,$P776='تقرير مايو'!$C$6),COUNT(AE$4:AE775)+1,"")</f>
        <v/>
      </c>
    </row>
    <row r="777">
      <c r="A777" s="16" t="n"/>
      <c r="B777" s="17" t="n"/>
      <c r="C777" s="17" t="n"/>
      <c r="D777" s="18" t="n"/>
      <c r="E777" s="17" t="n"/>
      <c r="F777" s="17" t="n"/>
      <c r="G777" s="19" t="n"/>
      <c r="H777" s="17" t="n"/>
      <c r="I777" s="17" t="n"/>
      <c r="J777" s="17" t="n"/>
      <c r="K777" s="20">
        <f>IF($B777="","",IFERROR(INDEX(الموظفات!$A$5:$A$304,MATCH($B777,الموظفات!$B$5:$B$304,0))&amp;"",""))</f>
        <v/>
      </c>
      <c r="L777" s="21">
        <f>IF($B777="","",IFERROR(INDEX(الموظفات!$C$5:$C$304,MATCH($B777,الموظفات!$B$5:$B$304,0))&amp;"",""))</f>
        <v/>
      </c>
      <c r="M777" s="20">
        <f>IF($B777="","",IFERROR(INDEX(الموظفات!$D$5:$D$304,MATCH($B777,الموظفات!$B$5:$B$304,0))&amp;"",""))</f>
        <v/>
      </c>
      <c r="N777" s="20">
        <f>IF($B777="","",IFERROR(INDEX(الموظفات!$E$5:$E$304,MATCH($B777,الموظفات!$B$5:$B$304,0))&amp;"",""))</f>
        <v/>
      </c>
      <c r="O777" s="21">
        <f>IF(C777="","",IFERROR(INDEX(الإعدادات!$D$7:$D$35,MATCH(C777,الإعدادات!$A$7:$A$35,0))&amp;"",""))</f>
        <v/>
      </c>
      <c r="P777" s="20">
        <f>IF(A777="","",INDEX(الإعدادات!$H$7:$H$18,MONTH(A777)))</f>
        <v/>
      </c>
      <c r="Q777" s="20">
        <f>IF(A777="","",INDEX(الإعدادات!$I$7:$I$18,MONTH(A777)))</f>
        <v/>
      </c>
      <c r="R777" s="20">
        <f>IF(A777="","",IF(MONTH(A777)&gt;=8,YEAR(A777)&amp;"-"&amp;(YEAR(A777)+1),(YEAR(A777)-1)&amp;"-"&amp;YEAR(A777)))</f>
        <v/>
      </c>
      <c r="S777" s="20">
        <f>IF(OR(A777="",B777=""),0,IF(AND(R777=التقارير!$C$4,OR(التقارير!$C$5="سنوي",AND(التقارير!$C$5="شهري",P777=التقارير!$C$6),AND(التقارير!$C$5="فصلي",Q777=التقارير!$C$7))),1,0))</f>
        <v/>
      </c>
      <c r="T777" s="20">
        <f>IF(S777=1,COUNTIF($S$5:S777,1),"")</f>
        <v/>
      </c>
      <c r="U777">
        <f>IF(AND($A777&lt;&gt;"",$B777&lt;&gt;"",$R777='تقرير الفصل الأول'!$C$4,$Q777='تقرير الفصل الأول'!$C$7),COUNT(U$4:U776)+1,"")</f>
        <v/>
      </c>
      <c r="V777">
        <f>IF(AND($A777&lt;&gt;"",$B777&lt;&gt;"",$R777='تقرير الفصل الثاني'!$C$4,$Q777='تقرير الفصل الثاني'!$C$7),COUNT(V$4:V776)+1,"")</f>
        <v/>
      </c>
      <c r="W777">
        <f>IF(AND($A777&lt;&gt;"",$B777&lt;&gt;"",$R777='تقرير سبتمبر'!$C$4,$P777='تقرير سبتمبر'!$C$6),COUNT(W$4:W776)+1,"")</f>
        <v/>
      </c>
      <c r="X777">
        <f>IF(AND($A777&lt;&gt;"",$B777&lt;&gt;"",$R777='تقرير أكتوبر'!$C$4,$P777='تقرير أكتوبر'!$C$6),COUNT(X$4:X776)+1,"")</f>
        <v/>
      </c>
      <c r="Y777">
        <f>IF(AND($A777&lt;&gt;"",$B777&lt;&gt;"",$R777='تقرير نوفمبر'!$C$4,$P777='تقرير نوفمبر'!$C$6),COUNT(Y$4:Y776)+1,"")</f>
        <v/>
      </c>
      <c r="Z777">
        <f>IF(AND($A777&lt;&gt;"",$B777&lt;&gt;"",$R777='تقرير ديسمبر'!$C$4,$P777='تقرير ديسمبر'!$C$6),COUNT(Z$4:Z776)+1,"")</f>
        <v/>
      </c>
      <c r="AA777">
        <f>IF(AND($A777&lt;&gt;"",$B777&lt;&gt;"",$R777='تقرير يناير'!$C$4,$P777='تقرير يناير'!$C$6),COUNT(AA$4:AA776)+1,"")</f>
        <v/>
      </c>
      <c r="AB777">
        <f>IF(AND($A777&lt;&gt;"",$B777&lt;&gt;"",$R777='تقرير فبراير'!$C$4,$P777='تقرير فبراير'!$C$6),COUNT(AB$4:AB776)+1,"")</f>
        <v/>
      </c>
      <c r="AC777">
        <f>IF(AND($A777&lt;&gt;"",$B777&lt;&gt;"",$R777='تقرير مارس'!$C$4,$P777='تقرير مارس'!$C$6),COUNT(AC$4:AC776)+1,"")</f>
        <v/>
      </c>
      <c r="AD777">
        <f>IF(AND($A777&lt;&gt;"",$B777&lt;&gt;"",$R777='تقرير أبريل'!$C$4,$P777='تقرير أبريل'!$C$6),COUNT(AD$4:AD776)+1,"")</f>
        <v/>
      </c>
      <c r="AE777">
        <f>IF(AND($A777&lt;&gt;"",$B777&lt;&gt;"",$R777='تقرير مايو'!$C$4,$P777='تقرير مايو'!$C$6),COUNT(AE$4:AE776)+1,"")</f>
        <v/>
      </c>
    </row>
    <row r="778">
      <c r="A778" s="16" t="n"/>
      <c r="B778" s="17" t="n"/>
      <c r="C778" s="17" t="n"/>
      <c r="D778" s="18" t="n"/>
      <c r="E778" s="17" t="n"/>
      <c r="F778" s="17" t="n"/>
      <c r="G778" s="19" t="n"/>
      <c r="H778" s="17" t="n"/>
      <c r="I778" s="17" t="n"/>
      <c r="J778" s="17" t="n"/>
      <c r="K778" s="20">
        <f>IF($B778="","",IFERROR(INDEX(الموظفات!$A$5:$A$304,MATCH($B778,الموظفات!$B$5:$B$304,0))&amp;"",""))</f>
        <v/>
      </c>
      <c r="L778" s="21">
        <f>IF($B778="","",IFERROR(INDEX(الموظفات!$C$5:$C$304,MATCH($B778,الموظفات!$B$5:$B$304,0))&amp;"",""))</f>
        <v/>
      </c>
      <c r="M778" s="20">
        <f>IF($B778="","",IFERROR(INDEX(الموظفات!$D$5:$D$304,MATCH($B778,الموظفات!$B$5:$B$304,0))&amp;"",""))</f>
        <v/>
      </c>
      <c r="N778" s="20">
        <f>IF($B778="","",IFERROR(INDEX(الموظفات!$E$5:$E$304,MATCH($B778,الموظفات!$B$5:$B$304,0))&amp;"",""))</f>
        <v/>
      </c>
      <c r="O778" s="21">
        <f>IF(C778="","",IFERROR(INDEX(الإعدادات!$D$7:$D$35,MATCH(C778,الإعدادات!$A$7:$A$35,0))&amp;"",""))</f>
        <v/>
      </c>
      <c r="P778" s="20">
        <f>IF(A778="","",INDEX(الإعدادات!$H$7:$H$18,MONTH(A778)))</f>
        <v/>
      </c>
      <c r="Q778" s="20">
        <f>IF(A778="","",INDEX(الإعدادات!$I$7:$I$18,MONTH(A778)))</f>
        <v/>
      </c>
      <c r="R778" s="20">
        <f>IF(A778="","",IF(MONTH(A778)&gt;=8,YEAR(A778)&amp;"-"&amp;(YEAR(A778)+1),(YEAR(A778)-1)&amp;"-"&amp;YEAR(A778)))</f>
        <v/>
      </c>
      <c r="S778" s="20">
        <f>IF(OR(A778="",B778=""),0,IF(AND(R778=التقارير!$C$4,OR(التقارير!$C$5="سنوي",AND(التقارير!$C$5="شهري",P778=التقارير!$C$6),AND(التقارير!$C$5="فصلي",Q778=التقارير!$C$7))),1,0))</f>
        <v/>
      </c>
      <c r="T778" s="20">
        <f>IF(S778=1,COUNTIF($S$5:S778,1),"")</f>
        <v/>
      </c>
      <c r="U778">
        <f>IF(AND($A778&lt;&gt;"",$B778&lt;&gt;"",$R778='تقرير الفصل الأول'!$C$4,$Q778='تقرير الفصل الأول'!$C$7),COUNT(U$4:U777)+1,"")</f>
        <v/>
      </c>
      <c r="V778">
        <f>IF(AND($A778&lt;&gt;"",$B778&lt;&gt;"",$R778='تقرير الفصل الثاني'!$C$4,$Q778='تقرير الفصل الثاني'!$C$7),COUNT(V$4:V777)+1,"")</f>
        <v/>
      </c>
      <c r="W778">
        <f>IF(AND($A778&lt;&gt;"",$B778&lt;&gt;"",$R778='تقرير سبتمبر'!$C$4,$P778='تقرير سبتمبر'!$C$6),COUNT(W$4:W777)+1,"")</f>
        <v/>
      </c>
      <c r="X778">
        <f>IF(AND($A778&lt;&gt;"",$B778&lt;&gt;"",$R778='تقرير أكتوبر'!$C$4,$P778='تقرير أكتوبر'!$C$6),COUNT(X$4:X777)+1,"")</f>
        <v/>
      </c>
      <c r="Y778">
        <f>IF(AND($A778&lt;&gt;"",$B778&lt;&gt;"",$R778='تقرير نوفمبر'!$C$4,$P778='تقرير نوفمبر'!$C$6),COUNT(Y$4:Y777)+1,"")</f>
        <v/>
      </c>
      <c r="Z778">
        <f>IF(AND($A778&lt;&gt;"",$B778&lt;&gt;"",$R778='تقرير ديسمبر'!$C$4,$P778='تقرير ديسمبر'!$C$6),COUNT(Z$4:Z777)+1,"")</f>
        <v/>
      </c>
      <c r="AA778">
        <f>IF(AND($A778&lt;&gt;"",$B778&lt;&gt;"",$R778='تقرير يناير'!$C$4,$P778='تقرير يناير'!$C$6),COUNT(AA$4:AA777)+1,"")</f>
        <v/>
      </c>
      <c r="AB778">
        <f>IF(AND($A778&lt;&gt;"",$B778&lt;&gt;"",$R778='تقرير فبراير'!$C$4,$P778='تقرير فبراير'!$C$6),COUNT(AB$4:AB777)+1,"")</f>
        <v/>
      </c>
      <c r="AC778">
        <f>IF(AND($A778&lt;&gt;"",$B778&lt;&gt;"",$R778='تقرير مارس'!$C$4,$P778='تقرير مارس'!$C$6),COUNT(AC$4:AC777)+1,"")</f>
        <v/>
      </c>
      <c r="AD778">
        <f>IF(AND($A778&lt;&gt;"",$B778&lt;&gt;"",$R778='تقرير أبريل'!$C$4,$P778='تقرير أبريل'!$C$6),COUNT(AD$4:AD777)+1,"")</f>
        <v/>
      </c>
      <c r="AE778">
        <f>IF(AND($A778&lt;&gt;"",$B778&lt;&gt;"",$R778='تقرير مايو'!$C$4,$P778='تقرير مايو'!$C$6),COUNT(AE$4:AE777)+1,"")</f>
        <v/>
      </c>
    </row>
    <row r="779">
      <c r="A779" s="16" t="n"/>
      <c r="B779" s="17" t="n"/>
      <c r="C779" s="17" t="n"/>
      <c r="D779" s="18" t="n"/>
      <c r="E779" s="17" t="n"/>
      <c r="F779" s="17" t="n"/>
      <c r="G779" s="19" t="n"/>
      <c r="H779" s="17" t="n"/>
      <c r="I779" s="17" t="n"/>
      <c r="J779" s="17" t="n"/>
      <c r="K779" s="20">
        <f>IF($B779="","",IFERROR(INDEX(الموظفات!$A$5:$A$304,MATCH($B779,الموظفات!$B$5:$B$304,0))&amp;"",""))</f>
        <v/>
      </c>
      <c r="L779" s="21">
        <f>IF($B779="","",IFERROR(INDEX(الموظفات!$C$5:$C$304,MATCH($B779,الموظفات!$B$5:$B$304,0))&amp;"",""))</f>
        <v/>
      </c>
      <c r="M779" s="20">
        <f>IF($B779="","",IFERROR(INDEX(الموظفات!$D$5:$D$304,MATCH($B779,الموظفات!$B$5:$B$304,0))&amp;"",""))</f>
        <v/>
      </c>
      <c r="N779" s="20">
        <f>IF($B779="","",IFERROR(INDEX(الموظفات!$E$5:$E$304,MATCH($B779,الموظفات!$B$5:$B$304,0))&amp;"",""))</f>
        <v/>
      </c>
      <c r="O779" s="21">
        <f>IF(C779="","",IFERROR(INDEX(الإعدادات!$D$7:$D$35,MATCH(C779,الإعدادات!$A$7:$A$35,0))&amp;"",""))</f>
        <v/>
      </c>
      <c r="P779" s="20">
        <f>IF(A779="","",INDEX(الإعدادات!$H$7:$H$18,MONTH(A779)))</f>
        <v/>
      </c>
      <c r="Q779" s="20">
        <f>IF(A779="","",INDEX(الإعدادات!$I$7:$I$18,MONTH(A779)))</f>
        <v/>
      </c>
      <c r="R779" s="20">
        <f>IF(A779="","",IF(MONTH(A779)&gt;=8,YEAR(A779)&amp;"-"&amp;(YEAR(A779)+1),(YEAR(A779)-1)&amp;"-"&amp;YEAR(A779)))</f>
        <v/>
      </c>
      <c r="S779" s="20">
        <f>IF(OR(A779="",B779=""),0,IF(AND(R779=التقارير!$C$4,OR(التقارير!$C$5="سنوي",AND(التقارير!$C$5="شهري",P779=التقارير!$C$6),AND(التقارير!$C$5="فصلي",Q779=التقارير!$C$7))),1,0))</f>
        <v/>
      </c>
      <c r="T779" s="20">
        <f>IF(S779=1,COUNTIF($S$5:S779,1),"")</f>
        <v/>
      </c>
      <c r="U779">
        <f>IF(AND($A779&lt;&gt;"",$B779&lt;&gt;"",$R779='تقرير الفصل الأول'!$C$4,$Q779='تقرير الفصل الأول'!$C$7),COUNT(U$4:U778)+1,"")</f>
        <v/>
      </c>
      <c r="V779">
        <f>IF(AND($A779&lt;&gt;"",$B779&lt;&gt;"",$R779='تقرير الفصل الثاني'!$C$4,$Q779='تقرير الفصل الثاني'!$C$7),COUNT(V$4:V778)+1,"")</f>
        <v/>
      </c>
      <c r="W779">
        <f>IF(AND($A779&lt;&gt;"",$B779&lt;&gt;"",$R779='تقرير سبتمبر'!$C$4,$P779='تقرير سبتمبر'!$C$6),COUNT(W$4:W778)+1,"")</f>
        <v/>
      </c>
      <c r="X779">
        <f>IF(AND($A779&lt;&gt;"",$B779&lt;&gt;"",$R779='تقرير أكتوبر'!$C$4,$P779='تقرير أكتوبر'!$C$6),COUNT(X$4:X778)+1,"")</f>
        <v/>
      </c>
      <c r="Y779">
        <f>IF(AND($A779&lt;&gt;"",$B779&lt;&gt;"",$R779='تقرير نوفمبر'!$C$4,$P779='تقرير نوفمبر'!$C$6),COUNT(Y$4:Y778)+1,"")</f>
        <v/>
      </c>
      <c r="Z779">
        <f>IF(AND($A779&lt;&gt;"",$B779&lt;&gt;"",$R779='تقرير ديسمبر'!$C$4,$P779='تقرير ديسمبر'!$C$6),COUNT(Z$4:Z778)+1,"")</f>
        <v/>
      </c>
      <c r="AA779">
        <f>IF(AND($A779&lt;&gt;"",$B779&lt;&gt;"",$R779='تقرير يناير'!$C$4,$P779='تقرير يناير'!$C$6),COUNT(AA$4:AA778)+1,"")</f>
        <v/>
      </c>
      <c r="AB779">
        <f>IF(AND($A779&lt;&gt;"",$B779&lt;&gt;"",$R779='تقرير فبراير'!$C$4,$P779='تقرير فبراير'!$C$6),COUNT(AB$4:AB778)+1,"")</f>
        <v/>
      </c>
      <c r="AC779">
        <f>IF(AND($A779&lt;&gt;"",$B779&lt;&gt;"",$R779='تقرير مارس'!$C$4,$P779='تقرير مارس'!$C$6),COUNT(AC$4:AC778)+1,"")</f>
        <v/>
      </c>
      <c r="AD779">
        <f>IF(AND($A779&lt;&gt;"",$B779&lt;&gt;"",$R779='تقرير أبريل'!$C$4,$P779='تقرير أبريل'!$C$6),COUNT(AD$4:AD778)+1,"")</f>
        <v/>
      </c>
      <c r="AE779">
        <f>IF(AND($A779&lt;&gt;"",$B779&lt;&gt;"",$R779='تقرير مايو'!$C$4,$P779='تقرير مايو'!$C$6),COUNT(AE$4:AE778)+1,"")</f>
        <v/>
      </c>
    </row>
    <row r="780">
      <c r="A780" s="16" t="n"/>
      <c r="B780" s="17" t="n"/>
      <c r="C780" s="17" t="n"/>
      <c r="D780" s="18" t="n"/>
      <c r="E780" s="17" t="n"/>
      <c r="F780" s="17" t="n"/>
      <c r="G780" s="19" t="n"/>
      <c r="H780" s="17" t="n"/>
      <c r="I780" s="17" t="n"/>
      <c r="J780" s="17" t="n"/>
      <c r="K780" s="20">
        <f>IF($B780="","",IFERROR(INDEX(الموظفات!$A$5:$A$304,MATCH($B780,الموظفات!$B$5:$B$304,0))&amp;"",""))</f>
        <v/>
      </c>
      <c r="L780" s="21">
        <f>IF($B780="","",IFERROR(INDEX(الموظفات!$C$5:$C$304,MATCH($B780,الموظفات!$B$5:$B$304,0))&amp;"",""))</f>
        <v/>
      </c>
      <c r="M780" s="20">
        <f>IF($B780="","",IFERROR(INDEX(الموظفات!$D$5:$D$304,MATCH($B780,الموظفات!$B$5:$B$304,0))&amp;"",""))</f>
        <v/>
      </c>
      <c r="N780" s="20">
        <f>IF($B780="","",IFERROR(INDEX(الموظفات!$E$5:$E$304,MATCH($B780,الموظفات!$B$5:$B$304,0))&amp;"",""))</f>
        <v/>
      </c>
      <c r="O780" s="21">
        <f>IF(C780="","",IFERROR(INDEX(الإعدادات!$D$7:$D$35,MATCH(C780,الإعدادات!$A$7:$A$35,0))&amp;"",""))</f>
        <v/>
      </c>
      <c r="P780" s="20">
        <f>IF(A780="","",INDEX(الإعدادات!$H$7:$H$18,MONTH(A780)))</f>
        <v/>
      </c>
      <c r="Q780" s="20">
        <f>IF(A780="","",INDEX(الإعدادات!$I$7:$I$18,MONTH(A780)))</f>
        <v/>
      </c>
      <c r="R780" s="20">
        <f>IF(A780="","",IF(MONTH(A780)&gt;=8,YEAR(A780)&amp;"-"&amp;(YEAR(A780)+1),(YEAR(A780)-1)&amp;"-"&amp;YEAR(A780)))</f>
        <v/>
      </c>
      <c r="S780" s="20">
        <f>IF(OR(A780="",B780=""),0,IF(AND(R780=التقارير!$C$4,OR(التقارير!$C$5="سنوي",AND(التقارير!$C$5="شهري",P780=التقارير!$C$6),AND(التقارير!$C$5="فصلي",Q780=التقارير!$C$7))),1,0))</f>
        <v/>
      </c>
      <c r="T780" s="20">
        <f>IF(S780=1,COUNTIF($S$5:S780,1),"")</f>
        <v/>
      </c>
      <c r="U780">
        <f>IF(AND($A780&lt;&gt;"",$B780&lt;&gt;"",$R780='تقرير الفصل الأول'!$C$4,$Q780='تقرير الفصل الأول'!$C$7),COUNT(U$4:U779)+1,"")</f>
        <v/>
      </c>
      <c r="V780">
        <f>IF(AND($A780&lt;&gt;"",$B780&lt;&gt;"",$R780='تقرير الفصل الثاني'!$C$4,$Q780='تقرير الفصل الثاني'!$C$7),COUNT(V$4:V779)+1,"")</f>
        <v/>
      </c>
      <c r="W780">
        <f>IF(AND($A780&lt;&gt;"",$B780&lt;&gt;"",$R780='تقرير سبتمبر'!$C$4,$P780='تقرير سبتمبر'!$C$6),COUNT(W$4:W779)+1,"")</f>
        <v/>
      </c>
      <c r="X780">
        <f>IF(AND($A780&lt;&gt;"",$B780&lt;&gt;"",$R780='تقرير أكتوبر'!$C$4,$P780='تقرير أكتوبر'!$C$6),COUNT(X$4:X779)+1,"")</f>
        <v/>
      </c>
      <c r="Y780">
        <f>IF(AND($A780&lt;&gt;"",$B780&lt;&gt;"",$R780='تقرير نوفمبر'!$C$4,$P780='تقرير نوفمبر'!$C$6),COUNT(Y$4:Y779)+1,"")</f>
        <v/>
      </c>
      <c r="Z780">
        <f>IF(AND($A780&lt;&gt;"",$B780&lt;&gt;"",$R780='تقرير ديسمبر'!$C$4,$P780='تقرير ديسمبر'!$C$6),COUNT(Z$4:Z779)+1,"")</f>
        <v/>
      </c>
      <c r="AA780">
        <f>IF(AND($A780&lt;&gt;"",$B780&lt;&gt;"",$R780='تقرير يناير'!$C$4,$P780='تقرير يناير'!$C$6),COUNT(AA$4:AA779)+1,"")</f>
        <v/>
      </c>
      <c r="AB780">
        <f>IF(AND($A780&lt;&gt;"",$B780&lt;&gt;"",$R780='تقرير فبراير'!$C$4,$P780='تقرير فبراير'!$C$6),COUNT(AB$4:AB779)+1,"")</f>
        <v/>
      </c>
      <c r="AC780">
        <f>IF(AND($A780&lt;&gt;"",$B780&lt;&gt;"",$R780='تقرير مارس'!$C$4,$P780='تقرير مارس'!$C$6),COUNT(AC$4:AC779)+1,"")</f>
        <v/>
      </c>
      <c r="AD780">
        <f>IF(AND($A780&lt;&gt;"",$B780&lt;&gt;"",$R780='تقرير أبريل'!$C$4,$P780='تقرير أبريل'!$C$6),COUNT(AD$4:AD779)+1,"")</f>
        <v/>
      </c>
      <c r="AE780">
        <f>IF(AND($A780&lt;&gt;"",$B780&lt;&gt;"",$R780='تقرير مايو'!$C$4,$P780='تقرير مايو'!$C$6),COUNT(AE$4:AE779)+1,"")</f>
        <v/>
      </c>
    </row>
    <row r="781">
      <c r="A781" s="16" t="n"/>
      <c r="B781" s="17" t="n"/>
      <c r="C781" s="17" t="n"/>
      <c r="D781" s="18" t="n"/>
      <c r="E781" s="17" t="n"/>
      <c r="F781" s="17" t="n"/>
      <c r="G781" s="19" t="n"/>
      <c r="H781" s="17" t="n"/>
      <c r="I781" s="17" t="n"/>
      <c r="J781" s="17" t="n"/>
      <c r="K781" s="20">
        <f>IF($B781="","",IFERROR(INDEX(الموظفات!$A$5:$A$304,MATCH($B781,الموظفات!$B$5:$B$304,0))&amp;"",""))</f>
        <v/>
      </c>
      <c r="L781" s="21">
        <f>IF($B781="","",IFERROR(INDEX(الموظفات!$C$5:$C$304,MATCH($B781,الموظفات!$B$5:$B$304,0))&amp;"",""))</f>
        <v/>
      </c>
      <c r="M781" s="20">
        <f>IF($B781="","",IFERROR(INDEX(الموظفات!$D$5:$D$304,MATCH($B781,الموظفات!$B$5:$B$304,0))&amp;"",""))</f>
        <v/>
      </c>
      <c r="N781" s="20">
        <f>IF($B781="","",IFERROR(INDEX(الموظفات!$E$5:$E$304,MATCH($B781,الموظفات!$B$5:$B$304,0))&amp;"",""))</f>
        <v/>
      </c>
      <c r="O781" s="21">
        <f>IF(C781="","",IFERROR(INDEX(الإعدادات!$D$7:$D$35,MATCH(C781,الإعدادات!$A$7:$A$35,0))&amp;"",""))</f>
        <v/>
      </c>
      <c r="P781" s="20">
        <f>IF(A781="","",INDEX(الإعدادات!$H$7:$H$18,MONTH(A781)))</f>
        <v/>
      </c>
      <c r="Q781" s="20">
        <f>IF(A781="","",INDEX(الإعدادات!$I$7:$I$18,MONTH(A781)))</f>
        <v/>
      </c>
      <c r="R781" s="20">
        <f>IF(A781="","",IF(MONTH(A781)&gt;=8,YEAR(A781)&amp;"-"&amp;(YEAR(A781)+1),(YEAR(A781)-1)&amp;"-"&amp;YEAR(A781)))</f>
        <v/>
      </c>
      <c r="S781" s="20">
        <f>IF(OR(A781="",B781=""),0,IF(AND(R781=التقارير!$C$4,OR(التقارير!$C$5="سنوي",AND(التقارير!$C$5="شهري",P781=التقارير!$C$6),AND(التقارير!$C$5="فصلي",Q781=التقارير!$C$7))),1,0))</f>
        <v/>
      </c>
      <c r="T781" s="20">
        <f>IF(S781=1,COUNTIF($S$5:S781,1),"")</f>
        <v/>
      </c>
      <c r="U781">
        <f>IF(AND($A781&lt;&gt;"",$B781&lt;&gt;"",$R781='تقرير الفصل الأول'!$C$4,$Q781='تقرير الفصل الأول'!$C$7),COUNT(U$4:U780)+1,"")</f>
        <v/>
      </c>
      <c r="V781">
        <f>IF(AND($A781&lt;&gt;"",$B781&lt;&gt;"",$R781='تقرير الفصل الثاني'!$C$4,$Q781='تقرير الفصل الثاني'!$C$7),COUNT(V$4:V780)+1,"")</f>
        <v/>
      </c>
      <c r="W781">
        <f>IF(AND($A781&lt;&gt;"",$B781&lt;&gt;"",$R781='تقرير سبتمبر'!$C$4,$P781='تقرير سبتمبر'!$C$6),COUNT(W$4:W780)+1,"")</f>
        <v/>
      </c>
      <c r="X781">
        <f>IF(AND($A781&lt;&gt;"",$B781&lt;&gt;"",$R781='تقرير أكتوبر'!$C$4,$P781='تقرير أكتوبر'!$C$6),COUNT(X$4:X780)+1,"")</f>
        <v/>
      </c>
      <c r="Y781">
        <f>IF(AND($A781&lt;&gt;"",$B781&lt;&gt;"",$R781='تقرير نوفمبر'!$C$4,$P781='تقرير نوفمبر'!$C$6),COUNT(Y$4:Y780)+1,"")</f>
        <v/>
      </c>
      <c r="Z781">
        <f>IF(AND($A781&lt;&gt;"",$B781&lt;&gt;"",$R781='تقرير ديسمبر'!$C$4,$P781='تقرير ديسمبر'!$C$6),COUNT(Z$4:Z780)+1,"")</f>
        <v/>
      </c>
      <c r="AA781">
        <f>IF(AND($A781&lt;&gt;"",$B781&lt;&gt;"",$R781='تقرير يناير'!$C$4,$P781='تقرير يناير'!$C$6),COUNT(AA$4:AA780)+1,"")</f>
        <v/>
      </c>
      <c r="AB781">
        <f>IF(AND($A781&lt;&gt;"",$B781&lt;&gt;"",$R781='تقرير فبراير'!$C$4,$P781='تقرير فبراير'!$C$6),COUNT(AB$4:AB780)+1,"")</f>
        <v/>
      </c>
      <c r="AC781">
        <f>IF(AND($A781&lt;&gt;"",$B781&lt;&gt;"",$R781='تقرير مارس'!$C$4,$P781='تقرير مارس'!$C$6),COUNT(AC$4:AC780)+1,"")</f>
        <v/>
      </c>
      <c r="AD781">
        <f>IF(AND($A781&lt;&gt;"",$B781&lt;&gt;"",$R781='تقرير أبريل'!$C$4,$P781='تقرير أبريل'!$C$6),COUNT(AD$4:AD780)+1,"")</f>
        <v/>
      </c>
      <c r="AE781">
        <f>IF(AND($A781&lt;&gt;"",$B781&lt;&gt;"",$R781='تقرير مايو'!$C$4,$P781='تقرير مايو'!$C$6),COUNT(AE$4:AE780)+1,"")</f>
        <v/>
      </c>
    </row>
    <row r="782">
      <c r="A782" s="16" t="n"/>
      <c r="B782" s="17" t="n"/>
      <c r="C782" s="17" t="n"/>
      <c r="D782" s="18" t="n"/>
      <c r="E782" s="17" t="n"/>
      <c r="F782" s="17" t="n"/>
      <c r="G782" s="19" t="n"/>
      <c r="H782" s="17" t="n"/>
      <c r="I782" s="17" t="n"/>
      <c r="J782" s="17" t="n"/>
      <c r="K782" s="20">
        <f>IF($B782="","",IFERROR(INDEX(الموظفات!$A$5:$A$304,MATCH($B782,الموظفات!$B$5:$B$304,0))&amp;"",""))</f>
        <v/>
      </c>
      <c r="L782" s="21">
        <f>IF($B782="","",IFERROR(INDEX(الموظفات!$C$5:$C$304,MATCH($B782,الموظفات!$B$5:$B$304,0))&amp;"",""))</f>
        <v/>
      </c>
      <c r="M782" s="20">
        <f>IF($B782="","",IFERROR(INDEX(الموظفات!$D$5:$D$304,MATCH($B782,الموظفات!$B$5:$B$304,0))&amp;"",""))</f>
        <v/>
      </c>
      <c r="N782" s="20">
        <f>IF($B782="","",IFERROR(INDEX(الموظفات!$E$5:$E$304,MATCH($B782,الموظفات!$B$5:$B$304,0))&amp;"",""))</f>
        <v/>
      </c>
      <c r="O782" s="21">
        <f>IF(C782="","",IFERROR(INDEX(الإعدادات!$D$7:$D$35,MATCH(C782,الإعدادات!$A$7:$A$35,0))&amp;"",""))</f>
        <v/>
      </c>
      <c r="P782" s="20">
        <f>IF(A782="","",INDEX(الإعدادات!$H$7:$H$18,MONTH(A782)))</f>
        <v/>
      </c>
      <c r="Q782" s="20">
        <f>IF(A782="","",INDEX(الإعدادات!$I$7:$I$18,MONTH(A782)))</f>
        <v/>
      </c>
      <c r="R782" s="20">
        <f>IF(A782="","",IF(MONTH(A782)&gt;=8,YEAR(A782)&amp;"-"&amp;(YEAR(A782)+1),(YEAR(A782)-1)&amp;"-"&amp;YEAR(A782)))</f>
        <v/>
      </c>
      <c r="S782" s="20">
        <f>IF(OR(A782="",B782=""),0,IF(AND(R782=التقارير!$C$4,OR(التقارير!$C$5="سنوي",AND(التقارير!$C$5="شهري",P782=التقارير!$C$6),AND(التقارير!$C$5="فصلي",Q782=التقارير!$C$7))),1,0))</f>
        <v/>
      </c>
      <c r="T782" s="20">
        <f>IF(S782=1,COUNTIF($S$5:S782,1),"")</f>
        <v/>
      </c>
      <c r="U782">
        <f>IF(AND($A782&lt;&gt;"",$B782&lt;&gt;"",$R782='تقرير الفصل الأول'!$C$4,$Q782='تقرير الفصل الأول'!$C$7),COUNT(U$4:U781)+1,"")</f>
        <v/>
      </c>
      <c r="V782">
        <f>IF(AND($A782&lt;&gt;"",$B782&lt;&gt;"",$R782='تقرير الفصل الثاني'!$C$4,$Q782='تقرير الفصل الثاني'!$C$7),COUNT(V$4:V781)+1,"")</f>
        <v/>
      </c>
      <c r="W782">
        <f>IF(AND($A782&lt;&gt;"",$B782&lt;&gt;"",$R782='تقرير سبتمبر'!$C$4,$P782='تقرير سبتمبر'!$C$6),COUNT(W$4:W781)+1,"")</f>
        <v/>
      </c>
      <c r="X782">
        <f>IF(AND($A782&lt;&gt;"",$B782&lt;&gt;"",$R782='تقرير أكتوبر'!$C$4,$P782='تقرير أكتوبر'!$C$6),COUNT(X$4:X781)+1,"")</f>
        <v/>
      </c>
      <c r="Y782">
        <f>IF(AND($A782&lt;&gt;"",$B782&lt;&gt;"",$R782='تقرير نوفمبر'!$C$4,$P782='تقرير نوفمبر'!$C$6),COUNT(Y$4:Y781)+1,"")</f>
        <v/>
      </c>
      <c r="Z782">
        <f>IF(AND($A782&lt;&gt;"",$B782&lt;&gt;"",$R782='تقرير ديسمبر'!$C$4,$P782='تقرير ديسمبر'!$C$6),COUNT(Z$4:Z781)+1,"")</f>
        <v/>
      </c>
      <c r="AA782">
        <f>IF(AND($A782&lt;&gt;"",$B782&lt;&gt;"",$R782='تقرير يناير'!$C$4,$P782='تقرير يناير'!$C$6),COUNT(AA$4:AA781)+1,"")</f>
        <v/>
      </c>
      <c r="AB782">
        <f>IF(AND($A782&lt;&gt;"",$B782&lt;&gt;"",$R782='تقرير فبراير'!$C$4,$P782='تقرير فبراير'!$C$6),COUNT(AB$4:AB781)+1,"")</f>
        <v/>
      </c>
      <c r="AC782">
        <f>IF(AND($A782&lt;&gt;"",$B782&lt;&gt;"",$R782='تقرير مارس'!$C$4,$P782='تقرير مارس'!$C$6),COUNT(AC$4:AC781)+1,"")</f>
        <v/>
      </c>
      <c r="AD782">
        <f>IF(AND($A782&lt;&gt;"",$B782&lt;&gt;"",$R782='تقرير أبريل'!$C$4,$P782='تقرير أبريل'!$C$6),COUNT(AD$4:AD781)+1,"")</f>
        <v/>
      </c>
      <c r="AE782">
        <f>IF(AND($A782&lt;&gt;"",$B782&lt;&gt;"",$R782='تقرير مايو'!$C$4,$P782='تقرير مايو'!$C$6),COUNT(AE$4:AE781)+1,"")</f>
        <v/>
      </c>
    </row>
    <row r="783">
      <c r="A783" s="16" t="n"/>
      <c r="B783" s="17" t="n"/>
      <c r="C783" s="17" t="n"/>
      <c r="D783" s="18" t="n"/>
      <c r="E783" s="17" t="n"/>
      <c r="F783" s="17" t="n"/>
      <c r="G783" s="19" t="n"/>
      <c r="H783" s="17" t="n"/>
      <c r="I783" s="17" t="n"/>
      <c r="J783" s="17" t="n"/>
      <c r="K783" s="20">
        <f>IF($B783="","",IFERROR(INDEX(الموظفات!$A$5:$A$304,MATCH($B783,الموظفات!$B$5:$B$304,0))&amp;"",""))</f>
        <v/>
      </c>
      <c r="L783" s="21">
        <f>IF($B783="","",IFERROR(INDEX(الموظفات!$C$5:$C$304,MATCH($B783,الموظفات!$B$5:$B$304,0))&amp;"",""))</f>
        <v/>
      </c>
      <c r="M783" s="20">
        <f>IF($B783="","",IFERROR(INDEX(الموظفات!$D$5:$D$304,MATCH($B783,الموظفات!$B$5:$B$304,0))&amp;"",""))</f>
        <v/>
      </c>
      <c r="N783" s="20">
        <f>IF($B783="","",IFERROR(INDEX(الموظفات!$E$5:$E$304,MATCH($B783,الموظفات!$B$5:$B$304,0))&amp;"",""))</f>
        <v/>
      </c>
      <c r="O783" s="21">
        <f>IF(C783="","",IFERROR(INDEX(الإعدادات!$D$7:$D$35,MATCH(C783,الإعدادات!$A$7:$A$35,0))&amp;"",""))</f>
        <v/>
      </c>
      <c r="P783" s="20">
        <f>IF(A783="","",INDEX(الإعدادات!$H$7:$H$18,MONTH(A783)))</f>
        <v/>
      </c>
      <c r="Q783" s="20">
        <f>IF(A783="","",INDEX(الإعدادات!$I$7:$I$18,MONTH(A783)))</f>
        <v/>
      </c>
      <c r="R783" s="20">
        <f>IF(A783="","",IF(MONTH(A783)&gt;=8,YEAR(A783)&amp;"-"&amp;(YEAR(A783)+1),(YEAR(A783)-1)&amp;"-"&amp;YEAR(A783)))</f>
        <v/>
      </c>
      <c r="S783" s="20">
        <f>IF(OR(A783="",B783=""),0,IF(AND(R783=التقارير!$C$4,OR(التقارير!$C$5="سنوي",AND(التقارير!$C$5="شهري",P783=التقارير!$C$6),AND(التقارير!$C$5="فصلي",Q783=التقارير!$C$7))),1,0))</f>
        <v/>
      </c>
      <c r="T783" s="20">
        <f>IF(S783=1,COUNTIF($S$5:S783,1),"")</f>
        <v/>
      </c>
      <c r="U783">
        <f>IF(AND($A783&lt;&gt;"",$B783&lt;&gt;"",$R783='تقرير الفصل الأول'!$C$4,$Q783='تقرير الفصل الأول'!$C$7),COUNT(U$4:U782)+1,"")</f>
        <v/>
      </c>
      <c r="V783">
        <f>IF(AND($A783&lt;&gt;"",$B783&lt;&gt;"",$R783='تقرير الفصل الثاني'!$C$4,$Q783='تقرير الفصل الثاني'!$C$7),COUNT(V$4:V782)+1,"")</f>
        <v/>
      </c>
      <c r="W783">
        <f>IF(AND($A783&lt;&gt;"",$B783&lt;&gt;"",$R783='تقرير سبتمبر'!$C$4,$P783='تقرير سبتمبر'!$C$6),COUNT(W$4:W782)+1,"")</f>
        <v/>
      </c>
      <c r="X783">
        <f>IF(AND($A783&lt;&gt;"",$B783&lt;&gt;"",$R783='تقرير أكتوبر'!$C$4,$P783='تقرير أكتوبر'!$C$6),COUNT(X$4:X782)+1,"")</f>
        <v/>
      </c>
      <c r="Y783">
        <f>IF(AND($A783&lt;&gt;"",$B783&lt;&gt;"",$R783='تقرير نوفمبر'!$C$4,$P783='تقرير نوفمبر'!$C$6),COUNT(Y$4:Y782)+1,"")</f>
        <v/>
      </c>
      <c r="Z783">
        <f>IF(AND($A783&lt;&gt;"",$B783&lt;&gt;"",$R783='تقرير ديسمبر'!$C$4,$P783='تقرير ديسمبر'!$C$6),COUNT(Z$4:Z782)+1,"")</f>
        <v/>
      </c>
      <c r="AA783">
        <f>IF(AND($A783&lt;&gt;"",$B783&lt;&gt;"",$R783='تقرير يناير'!$C$4,$P783='تقرير يناير'!$C$6),COUNT(AA$4:AA782)+1,"")</f>
        <v/>
      </c>
      <c r="AB783">
        <f>IF(AND($A783&lt;&gt;"",$B783&lt;&gt;"",$R783='تقرير فبراير'!$C$4,$P783='تقرير فبراير'!$C$6),COUNT(AB$4:AB782)+1,"")</f>
        <v/>
      </c>
      <c r="AC783">
        <f>IF(AND($A783&lt;&gt;"",$B783&lt;&gt;"",$R783='تقرير مارس'!$C$4,$P783='تقرير مارس'!$C$6),COUNT(AC$4:AC782)+1,"")</f>
        <v/>
      </c>
      <c r="AD783">
        <f>IF(AND($A783&lt;&gt;"",$B783&lt;&gt;"",$R783='تقرير أبريل'!$C$4,$P783='تقرير أبريل'!$C$6),COUNT(AD$4:AD782)+1,"")</f>
        <v/>
      </c>
      <c r="AE783">
        <f>IF(AND($A783&lt;&gt;"",$B783&lt;&gt;"",$R783='تقرير مايو'!$C$4,$P783='تقرير مايو'!$C$6),COUNT(AE$4:AE782)+1,"")</f>
        <v/>
      </c>
    </row>
    <row r="784">
      <c r="A784" s="16" t="n"/>
      <c r="B784" s="17" t="n"/>
      <c r="C784" s="17" t="n"/>
      <c r="D784" s="18" t="n"/>
      <c r="E784" s="17" t="n"/>
      <c r="F784" s="17" t="n"/>
      <c r="G784" s="19" t="n"/>
      <c r="H784" s="17" t="n"/>
      <c r="I784" s="17" t="n"/>
      <c r="J784" s="17" t="n"/>
      <c r="K784" s="20">
        <f>IF($B784="","",IFERROR(INDEX(الموظفات!$A$5:$A$304,MATCH($B784,الموظفات!$B$5:$B$304,0))&amp;"",""))</f>
        <v/>
      </c>
      <c r="L784" s="21">
        <f>IF($B784="","",IFERROR(INDEX(الموظفات!$C$5:$C$304,MATCH($B784,الموظفات!$B$5:$B$304,0))&amp;"",""))</f>
        <v/>
      </c>
      <c r="M784" s="20">
        <f>IF($B784="","",IFERROR(INDEX(الموظفات!$D$5:$D$304,MATCH($B784,الموظفات!$B$5:$B$304,0))&amp;"",""))</f>
        <v/>
      </c>
      <c r="N784" s="20">
        <f>IF($B784="","",IFERROR(INDEX(الموظفات!$E$5:$E$304,MATCH($B784,الموظفات!$B$5:$B$304,0))&amp;"",""))</f>
        <v/>
      </c>
      <c r="O784" s="21">
        <f>IF(C784="","",IFERROR(INDEX(الإعدادات!$D$7:$D$35,MATCH(C784,الإعدادات!$A$7:$A$35,0))&amp;"",""))</f>
        <v/>
      </c>
      <c r="P784" s="20">
        <f>IF(A784="","",INDEX(الإعدادات!$H$7:$H$18,MONTH(A784)))</f>
        <v/>
      </c>
      <c r="Q784" s="20">
        <f>IF(A784="","",INDEX(الإعدادات!$I$7:$I$18,MONTH(A784)))</f>
        <v/>
      </c>
      <c r="R784" s="20">
        <f>IF(A784="","",IF(MONTH(A784)&gt;=8,YEAR(A784)&amp;"-"&amp;(YEAR(A784)+1),(YEAR(A784)-1)&amp;"-"&amp;YEAR(A784)))</f>
        <v/>
      </c>
      <c r="S784" s="20">
        <f>IF(OR(A784="",B784=""),0,IF(AND(R784=التقارير!$C$4,OR(التقارير!$C$5="سنوي",AND(التقارير!$C$5="شهري",P784=التقارير!$C$6),AND(التقارير!$C$5="فصلي",Q784=التقارير!$C$7))),1,0))</f>
        <v/>
      </c>
      <c r="T784" s="20">
        <f>IF(S784=1,COUNTIF($S$5:S784,1),"")</f>
        <v/>
      </c>
      <c r="U784">
        <f>IF(AND($A784&lt;&gt;"",$B784&lt;&gt;"",$R784='تقرير الفصل الأول'!$C$4,$Q784='تقرير الفصل الأول'!$C$7),COUNT(U$4:U783)+1,"")</f>
        <v/>
      </c>
      <c r="V784">
        <f>IF(AND($A784&lt;&gt;"",$B784&lt;&gt;"",$R784='تقرير الفصل الثاني'!$C$4,$Q784='تقرير الفصل الثاني'!$C$7),COUNT(V$4:V783)+1,"")</f>
        <v/>
      </c>
      <c r="W784">
        <f>IF(AND($A784&lt;&gt;"",$B784&lt;&gt;"",$R784='تقرير سبتمبر'!$C$4,$P784='تقرير سبتمبر'!$C$6),COUNT(W$4:W783)+1,"")</f>
        <v/>
      </c>
      <c r="X784">
        <f>IF(AND($A784&lt;&gt;"",$B784&lt;&gt;"",$R784='تقرير أكتوبر'!$C$4,$P784='تقرير أكتوبر'!$C$6),COUNT(X$4:X783)+1,"")</f>
        <v/>
      </c>
      <c r="Y784">
        <f>IF(AND($A784&lt;&gt;"",$B784&lt;&gt;"",$R784='تقرير نوفمبر'!$C$4,$P784='تقرير نوفمبر'!$C$6),COUNT(Y$4:Y783)+1,"")</f>
        <v/>
      </c>
      <c r="Z784">
        <f>IF(AND($A784&lt;&gt;"",$B784&lt;&gt;"",$R784='تقرير ديسمبر'!$C$4,$P784='تقرير ديسمبر'!$C$6),COUNT(Z$4:Z783)+1,"")</f>
        <v/>
      </c>
      <c r="AA784">
        <f>IF(AND($A784&lt;&gt;"",$B784&lt;&gt;"",$R784='تقرير يناير'!$C$4,$P784='تقرير يناير'!$C$6),COUNT(AA$4:AA783)+1,"")</f>
        <v/>
      </c>
      <c r="AB784">
        <f>IF(AND($A784&lt;&gt;"",$B784&lt;&gt;"",$R784='تقرير فبراير'!$C$4,$P784='تقرير فبراير'!$C$6),COUNT(AB$4:AB783)+1,"")</f>
        <v/>
      </c>
      <c r="AC784">
        <f>IF(AND($A784&lt;&gt;"",$B784&lt;&gt;"",$R784='تقرير مارس'!$C$4,$P784='تقرير مارس'!$C$6),COUNT(AC$4:AC783)+1,"")</f>
        <v/>
      </c>
      <c r="AD784">
        <f>IF(AND($A784&lt;&gt;"",$B784&lt;&gt;"",$R784='تقرير أبريل'!$C$4,$P784='تقرير أبريل'!$C$6),COUNT(AD$4:AD783)+1,"")</f>
        <v/>
      </c>
      <c r="AE784">
        <f>IF(AND($A784&lt;&gt;"",$B784&lt;&gt;"",$R784='تقرير مايو'!$C$4,$P784='تقرير مايو'!$C$6),COUNT(AE$4:AE783)+1,"")</f>
        <v/>
      </c>
    </row>
    <row r="785">
      <c r="A785" s="16" t="n"/>
      <c r="B785" s="17" t="n"/>
      <c r="C785" s="17" t="n"/>
      <c r="D785" s="18" t="n"/>
      <c r="E785" s="17" t="n"/>
      <c r="F785" s="17" t="n"/>
      <c r="G785" s="19" t="n"/>
      <c r="H785" s="17" t="n"/>
      <c r="I785" s="17" t="n"/>
      <c r="J785" s="17" t="n"/>
      <c r="K785" s="20">
        <f>IF($B785="","",IFERROR(INDEX(الموظفات!$A$5:$A$304,MATCH($B785,الموظفات!$B$5:$B$304,0))&amp;"",""))</f>
        <v/>
      </c>
      <c r="L785" s="21">
        <f>IF($B785="","",IFERROR(INDEX(الموظفات!$C$5:$C$304,MATCH($B785,الموظفات!$B$5:$B$304,0))&amp;"",""))</f>
        <v/>
      </c>
      <c r="M785" s="20">
        <f>IF($B785="","",IFERROR(INDEX(الموظفات!$D$5:$D$304,MATCH($B785,الموظفات!$B$5:$B$304,0))&amp;"",""))</f>
        <v/>
      </c>
      <c r="N785" s="20">
        <f>IF($B785="","",IFERROR(INDEX(الموظفات!$E$5:$E$304,MATCH($B785,الموظفات!$B$5:$B$304,0))&amp;"",""))</f>
        <v/>
      </c>
      <c r="O785" s="21">
        <f>IF(C785="","",IFERROR(INDEX(الإعدادات!$D$7:$D$35,MATCH(C785,الإعدادات!$A$7:$A$35,0))&amp;"",""))</f>
        <v/>
      </c>
      <c r="P785" s="20">
        <f>IF(A785="","",INDEX(الإعدادات!$H$7:$H$18,MONTH(A785)))</f>
        <v/>
      </c>
      <c r="Q785" s="20">
        <f>IF(A785="","",INDEX(الإعدادات!$I$7:$I$18,MONTH(A785)))</f>
        <v/>
      </c>
      <c r="R785" s="20">
        <f>IF(A785="","",IF(MONTH(A785)&gt;=8,YEAR(A785)&amp;"-"&amp;(YEAR(A785)+1),(YEAR(A785)-1)&amp;"-"&amp;YEAR(A785)))</f>
        <v/>
      </c>
      <c r="S785" s="20">
        <f>IF(OR(A785="",B785=""),0,IF(AND(R785=التقارير!$C$4,OR(التقارير!$C$5="سنوي",AND(التقارير!$C$5="شهري",P785=التقارير!$C$6),AND(التقارير!$C$5="فصلي",Q785=التقارير!$C$7))),1,0))</f>
        <v/>
      </c>
      <c r="T785" s="20">
        <f>IF(S785=1,COUNTIF($S$5:S785,1),"")</f>
        <v/>
      </c>
      <c r="U785">
        <f>IF(AND($A785&lt;&gt;"",$B785&lt;&gt;"",$R785='تقرير الفصل الأول'!$C$4,$Q785='تقرير الفصل الأول'!$C$7),COUNT(U$4:U784)+1,"")</f>
        <v/>
      </c>
      <c r="V785">
        <f>IF(AND($A785&lt;&gt;"",$B785&lt;&gt;"",$R785='تقرير الفصل الثاني'!$C$4,$Q785='تقرير الفصل الثاني'!$C$7),COUNT(V$4:V784)+1,"")</f>
        <v/>
      </c>
      <c r="W785">
        <f>IF(AND($A785&lt;&gt;"",$B785&lt;&gt;"",$R785='تقرير سبتمبر'!$C$4,$P785='تقرير سبتمبر'!$C$6),COUNT(W$4:W784)+1,"")</f>
        <v/>
      </c>
      <c r="X785">
        <f>IF(AND($A785&lt;&gt;"",$B785&lt;&gt;"",$R785='تقرير أكتوبر'!$C$4,$P785='تقرير أكتوبر'!$C$6),COUNT(X$4:X784)+1,"")</f>
        <v/>
      </c>
      <c r="Y785">
        <f>IF(AND($A785&lt;&gt;"",$B785&lt;&gt;"",$R785='تقرير نوفمبر'!$C$4,$P785='تقرير نوفمبر'!$C$6),COUNT(Y$4:Y784)+1,"")</f>
        <v/>
      </c>
      <c r="Z785">
        <f>IF(AND($A785&lt;&gt;"",$B785&lt;&gt;"",$R785='تقرير ديسمبر'!$C$4,$P785='تقرير ديسمبر'!$C$6),COUNT(Z$4:Z784)+1,"")</f>
        <v/>
      </c>
      <c r="AA785">
        <f>IF(AND($A785&lt;&gt;"",$B785&lt;&gt;"",$R785='تقرير يناير'!$C$4,$P785='تقرير يناير'!$C$6),COUNT(AA$4:AA784)+1,"")</f>
        <v/>
      </c>
      <c r="AB785">
        <f>IF(AND($A785&lt;&gt;"",$B785&lt;&gt;"",$R785='تقرير فبراير'!$C$4,$P785='تقرير فبراير'!$C$6),COUNT(AB$4:AB784)+1,"")</f>
        <v/>
      </c>
      <c r="AC785">
        <f>IF(AND($A785&lt;&gt;"",$B785&lt;&gt;"",$R785='تقرير مارس'!$C$4,$P785='تقرير مارس'!$C$6),COUNT(AC$4:AC784)+1,"")</f>
        <v/>
      </c>
      <c r="AD785">
        <f>IF(AND($A785&lt;&gt;"",$B785&lt;&gt;"",$R785='تقرير أبريل'!$C$4,$P785='تقرير أبريل'!$C$6),COUNT(AD$4:AD784)+1,"")</f>
        <v/>
      </c>
      <c r="AE785">
        <f>IF(AND($A785&lt;&gt;"",$B785&lt;&gt;"",$R785='تقرير مايو'!$C$4,$P785='تقرير مايو'!$C$6),COUNT(AE$4:AE784)+1,"")</f>
        <v/>
      </c>
    </row>
    <row r="786">
      <c r="A786" s="16" t="n"/>
      <c r="B786" s="17" t="n"/>
      <c r="C786" s="17" t="n"/>
      <c r="D786" s="18" t="n"/>
      <c r="E786" s="17" t="n"/>
      <c r="F786" s="17" t="n"/>
      <c r="G786" s="19" t="n"/>
      <c r="H786" s="17" t="n"/>
      <c r="I786" s="17" t="n"/>
      <c r="J786" s="17" t="n"/>
      <c r="K786" s="20">
        <f>IF($B786="","",IFERROR(INDEX(الموظفات!$A$5:$A$304,MATCH($B786,الموظفات!$B$5:$B$304,0))&amp;"",""))</f>
        <v/>
      </c>
      <c r="L786" s="21">
        <f>IF($B786="","",IFERROR(INDEX(الموظفات!$C$5:$C$304,MATCH($B786,الموظفات!$B$5:$B$304,0))&amp;"",""))</f>
        <v/>
      </c>
      <c r="M786" s="20">
        <f>IF($B786="","",IFERROR(INDEX(الموظفات!$D$5:$D$304,MATCH($B786,الموظفات!$B$5:$B$304,0))&amp;"",""))</f>
        <v/>
      </c>
      <c r="N786" s="20">
        <f>IF($B786="","",IFERROR(INDEX(الموظفات!$E$5:$E$304,MATCH($B786,الموظفات!$B$5:$B$304,0))&amp;"",""))</f>
        <v/>
      </c>
      <c r="O786" s="21">
        <f>IF(C786="","",IFERROR(INDEX(الإعدادات!$D$7:$D$35,MATCH(C786,الإعدادات!$A$7:$A$35,0))&amp;"",""))</f>
        <v/>
      </c>
      <c r="P786" s="20">
        <f>IF(A786="","",INDEX(الإعدادات!$H$7:$H$18,MONTH(A786)))</f>
        <v/>
      </c>
      <c r="Q786" s="20">
        <f>IF(A786="","",INDEX(الإعدادات!$I$7:$I$18,MONTH(A786)))</f>
        <v/>
      </c>
      <c r="R786" s="20">
        <f>IF(A786="","",IF(MONTH(A786)&gt;=8,YEAR(A786)&amp;"-"&amp;(YEAR(A786)+1),(YEAR(A786)-1)&amp;"-"&amp;YEAR(A786)))</f>
        <v/>
      </c>
      <c r="S786" s="20">
        <f>IF(OR(A786="",B786=""),0,IF(AND(R786=التقارير!$C$4,OR(التقارير!$C$5="سنوي",AND(التقارير!$C$5="شهري",P786=التقارير!$C$6),AND(التقارير!$C$5="فصلي",Q786=التقارير!$C$7))),1,0))</f>
        <v/>
      </c>
      <c r="T786" s="20">
        <f>IF(S786=1,COUNTIF($S$5:S786,1),"")</f>
        <v/>
      </c>
      <c r="U786">
        <f>IF(AND($A786&lt;&gt;"",$B786&lt;&gt;"",$R786='تقرير الفصل الأول'!$C$4,$Q786='تقرير الفصل الأول'!$C$7),COUNT(U$4:U785)+1,"")</f>
        <v/>
      </c>
      <c r="V786">
        <f>IF(AND($A786&lt;&gt;"",$B786&lt;&gt;"",$R786='تقرير الفصل الثاني'!$C$4,$Q786='تقرير الفصل الثاني'!$C$7),COUNT(V$4:V785)+1,"")</f>
        <v/>
      </c>
      <c r="W786">
        <f>IF(AND($A786&lt;&gt;"",$B786&lt;&gt;"",$R786='تقرير سبتمبر'!$C$4,$P786='تقرير سبتمبر'!$C$6),COUNT(W$4:W785)+1,"")</f>
        <v/>
      </c>
      <c r="X786">
        <f>IF(AND($A786&lt;&gt;"",$B786&lt;&gt;"",$R786='تقرير أكتوبر'!$C$4,$P786='تقرير أكتوبر'!$C$6),COUNT(X$4:X785)+1,"")</f>
        <v/>
      </c>
      <c r="Y786">
        <f>IF(AND($A786&lt;&gt;"",$B786&lt;&gt;"",$R786='تقرير نوفمبر'!$C$4,$P786='تقرير نوفمبر'!$C$6),COUNT(Y$4:Y785)+1,"")</f>
        <v/>
      </c>
      <c r="Z786">
        <f>IF(AND($A786&lt;&gt;"",$B786&lt;&gt;"",$R786='تقرير ديسمبر'!$C$4,$P786='تقرير ديسمبر'!$C$6),COUNT(Z$4:Z785)+1,"")</f>
        <v/>
      </c>
      <c r="AA786">
        <f>IF(AND($A786&lt;&gt;"",$B786&lt;&gt;"",$R786='تقرير يناير'!$C$4,$P786='تقرير يناير'!$C$6),COUNT(AA$4:AA785)+1,"")</f>
        <v/>
      </c>
      <c r="AB786">
        <f>IF(AND($A786&lt;&gt;"",$B786&lt;&gt;"",$R786='تقرير فبراير'!$C$4,$P786='تقرير فبراير'!$C$6),COUNT(AB$4:AB785)+1,"")</f>
        <v/>
      </c>
      <c r="AC786">
        <f>IF(AND($A786&lt;&gt;"",$B786&lt;&gt;"",$R786='تقرير مارس'!$C$4,$P786='تقرير مارس'!$C$6),COUNT(AC$4:AC785)+1,"")</f>
        <v/>
      </c>
      <c r="AD786">
        <f>IF(AND($A786&lt;&gt;"",$B786&lt;&gt;"",$R786='تقرير أبريل'!$C$4,$P786='تقرير أبريل'!$C$6),COUNT(AD$4:AD785)+1,"")</f>
        <v/>
      </c>
      <c r="AE786">
        <f>IF(AND($A786&lt;&gt;"",$B786&lt;&gt;"",$R786='تقرير مايو'!$C$4,$P786='تقرير مايو'!$C$6),COUNT(AE$4:AE785)+1,"")</f>
        <v/>
      </c>
    </row>
    <row r="787">
      <c r="A787" s="16" t="n"/>
      <c r="B787" s="17" t="n"/>
      <c r="C787" s="17" t="n"/>
      <c r="D787" s="18" t="n"/>
      <c r="E787" s="17" t="n"/>
      <c r="F787" s="17" t="n"/>
      <c r="G787" s="19" t="n"/>
      <c r="H787" s="17" t="n"/>
      <c r="I787" s="17" t="n"/>
      <c r="J787" s="17" t="n"/>
      <c r="K787" s="20">
        <f>IF($B787="","",IFERROR(INDEX(الموظفات!$A$5:$A$304,MATCH($B787,الموظفات!$B$5:$B$304,0))&amp;"",""))</f>
        <v/>
      </c>
      <c r="L787" s="21">
        <f>IF($B787="","",IFERROR(INDEX(الموظفات!$C$5:$C$304,MATCH($B787,الموظفات!$B$5:$B$304,0))&amp;"",""))</f>
        <v/>
      </c>
      <c r="M787" s="20">
        <f>IF($B787="","",IFERROR(INDEX(الموظفات!$D$5:$D$304,MATCH($B787,الموظفات!$B$5:$B$304,0))&amp;"",""))</f>
        <v/>
      </c>
      <c r="N787" s="20">
        <f>IF($B787="","",IFERROR(INDEX(الموظفات!$E$5:$E$304,MATCH($B787,الموظفات!$B$5:$B$304,0))&amp;"",""))</f>
        <v/>
      </c>
      <c r="O787" s="21">
        <f>IF(C787="","",IFERROR(INDEX(الإعدادات!$D$7:$D$35,MATCH(C787,الإعدادات!$A$7:$A$35,0))&amp;"",""))</f>
        <v/>
      </c>
      <c r="P787" s="20">
        <f>IF(A787="","",INDEX(الإعدادات!$H$7:$H$18,MONTH(A787)))</f>
        <v/>
      </c>
      <c r="Q787" s="20">
        <f>IF(A787="","",INDEX(الإعدادات!$I$7:$I$18,MONTH(A787)))</f>
        <v/>
      </c>
      <c r="R787" s="20">
        <f>IF(A787="","",IF(MONTH(A787)&gt;=8,YEAR(A787)&amp;"-"&amp;(YEAR(A787)+1),(YEAR(A787)-1)&amp;"-"&amp;YEAR(A787)))</f>
        <v/>
      </c>
      <c r="S787" s="20">
        <f>IF(OR(A787="",B787=""),0,IF(AND(R787=التقارير!$C$4,OR(التقارير!$C$5="سنوي",AND(التقارير!$C$5="شهري",P787=التقارير!$C$6),AND(التقارير!$C$5="فصلي",Q787=التقارير!$C$7))),1,0))</f>
        <v/>
      </c>
      <c r="T787" s="20">
        <f>IF(S787=1,COUNTIF($S$5:S787,1),"")</f>
        <v/>
      </c>
      <c r="U787">
        <f>IF(AND($A787&lt;&gt;"",$B787&lt;&gt;"",$R787='تقرير الفصل الأول'!$C$4,$Q787='تقرير الفصل الأول'!$C$7),COUNT(U$4:U786)+1,"")</f>
        <v/>
      </c>
      <c r="V787">
        <f>IF(AND($A787&lt;&gt;"",$B787&lt;&gt;"",$R787='تقرير الفصل الثاني'!$C$4,$Q787='تقرير الفصل الثاني'!$C$7),COUNT(V$4:V786)+1,"")</f>
        <v/>
      </c>
      <c r="W787">
        <f>IF(AND($A787&lt;&gt;"",$B787&lt;&gt;"",$R787='تقرير سبتمبر'!$C$4,$P787='تقرير سبتمبر'!$C$6),COUNT(W$4:W786)+1,"")</f>
        <v/>
      </c>
      <c r="X787">
        <f>IF(AND($A787&lt;&gt;"",$B787&lt;&gt;"",$R787='تقرير أكتوبر'!$C$4,$P787='تقرير أكتوبر'!$C$6),COUNT(X$4:X786)+1,"")</f>
        <v/>
      </c>
      <c r="Y787">
        <f>IF(AND($A787&lt;&gt;"",$B787&lt;&gt;"",$R787='تقرير نوفمبر'!$C$4,$P787='تقرير نوفمبر'!$C$6),COUNT(Y$4:Y786)+1,"")</f>
        <v/>
      </c>
      <c r="Z787">
        <f>IF(AND($A787&lt;&gt;"",$B787&lt;&gt;"",$R787='تقرير ديسمبر'!$C$4,$P787='تقرير ديسمبر'!$C$6),COUNT(Z$4:Z786)+1,"")</f>
        <v/>
      </c>
      <c r="AA787">
        <f>IF(AND($A787&lt;&gt;"",$B787&lt;&gt;"",$R787='تقرير يناير'!$C$4,$P787='تقرير يناير'!$C$6),COUNT(AA$4:AA786)+1,"")</f>
        <v/>
      </c>
      <c r="AB787">
        <f>IF(AND($A787&lt;&gt;"",$B787&lt;&gt;"",$R787='تقرير فبراير'!$C$4,$P787='تقرير فبراير'!$C$6),COUNT(AB$4:AB786)+1,"")</f>
        <v/>
      </c>
      <c r="AC787">
        <f>IF(AND($A787&lt;&gt;"",$B787&lt;&gt;"",$R787='تقرير مارس'!$C$4,$P787='تقرير مارس'!$C$6),COUNT(AC$4:AC786)+1,"")</f>
        <v/>
      </c>
      <c r="AD787">
        <f>IF(AND($A787&lt;&gt;"",$B787&lt;&gt;"",$R787='تقرير أبريل'!$C$4,$P787='تقرير أبريل'!$C$6),COUNT(AD$4:AD786)+1,"")</f>
        <v/>
      </c>
      <c r="AE787">
        <f>IF(AND($A787&lt;&gt;"",$B787&lt;&gt;"",$R787='تقرير مايو'!$C$4,$P787='تقرير مايو'!$C$6),COUNT(AE$4:AE786)+1,"")</f>
        <v/>
      </c>
    </row>
    <row r="788">
      <c r="A788" s="16" t="n"/>
      <c r="B788" s="17" t="n"/>
      <c r="C788" s="17" t="n"/>
      <c r="D788" s="18" t="n"/>
      <c r="E788" s="17" t="n"/>
      <c r="F788" s="17" t="n"/>
      <c r="G788" s="19" t="n"/>
      <c r="H788" s="17" t="n"/>
      <c r="I788" s="17" t="n"/>
      <c r="J788" s="17" t="n"/>
      <c r="K788" s="20">
        <f>IF($B788="","",IFERROR(INDEX(الموظفات!$A$5:$A$304,MATCH($B788,الموظفات!$B$5:$B$304,0))&amp;"",""))</f>
        <v/>
      </c>
      <c r="L788" s="21">
        <f>IF($B788="","",IFERROR(INDEX(الموظفات!$C$5:$C$304,MATCH($B788,الموظفات!$B$5:$B$304,0))&amp;"",""))</f>
        <v/>
      </c>
      <c r="M788" s="20">
        <f>IF($B788="","",IFERROR(INDEX(الموظفات!$D$5:$D$304,MATCH($B788,الموظفات!$B$5:$B$304,0))&amp;"",""))</f>
        <v/>
      </c>
      <c r="N788" s="20">
        <f>IF($B788="","",IFERROR(INDEX(الموظفات!$E$5:$E$304,MATCH($B788,الموظفات!$B$5:$B$304,0))&amp;"",""))</f>
        <v/>
      </c>
      <c r="O788" s="21">
        <f>IF(C788="","",IFERROR(INDEX(الإعدادات!$D$7:$D$35,MATCH(C788,الإعدادات!$A$7:$A$35,0))&amp;"",""))</f>
        <v/>
      </c>
      <c r="P788" s="20">
        <f>IF(A788="","",INDEX(الإعدادات!$H$7:$H$18,MONTH(A788)))</f>
        <v/>
      </c>
      <c r="Q788" s="20">
        <f>IF(A788="","",INDEX(الإعدادات!$I$7:$I$18,MONTH(A788)))</f>
        <v/>
      </c>
      <c r="R788" s="20">
        <f>IF(A788="","",IF(MONTH(A788)&gt;=8,YEAR(A788)&amp;"-"&amp;(YEAR(A788)+1),(YEAR(A788)-1)&amp;"-"&amp;YEAR(A788)))</f>
        <v/>
      </c>
      <c r="S788" s="20">
        <f>IF(OR(A788="",B788=""),0,IF(AND(R788=التقارير!$C$4,OR(التقارير!$C$5="سنوي",AND(التقارير!$C$5="شهري",P788=التقارير!$C$6),AND(التقارير!$C$5="فصلي",Q788=التقارير!$C$7))),1,0))</f>
        <v/>
      </c>
      <c r="T788" s="20">
        <f>IF(S788=1,COUNTIF($S$5:S788,1),"")</f>
        <v/>
      </c>
      <c r="U788">
        <f>IF(AND($A788&lt;&gt;"",$B788&lt;&gt;"",$R788='تقرير الفصل الأول'!$C$4,$Q788='تقرير الفصل الأول'!$C$7),COUNT(U$4:U787)+1,"")</f>
        <v/>
      </c>
      <c r="V788">
        <f>IF(AND($A788&lt;&gt;"",$B788&lt;&gt;"",$R788='تقرير الفصل الثاني'!$C$4,$Q788='تقرير الفصل الثاني'!$C$7),COUNT(V$4:V787)+1,"")</f>
        <v/>
      </c>
      <c r="W788">
        <f>IF(AND($A788&lt;&gt;"",$B788&lt;&gt;"",$R788='تقرير سبتمبر'!$C$4,$P788='تقرير سبتمبر'!$C$6),COUNT(W$4:W787)+1,"")</f>
        <v/>
      </c>
      <c r="X788">
        <f>IF(AND($A788&lt;&gt;"",$B788&lt;&gt;"",$R788='تقرير أكتوبر'!$C$4,$P788='تقرير أكتوبر'!$C$6),COUNT(X$4:X787)+1,"")</f>
        <v/>
      </c>
      <c r="Y788">
        <f>IF(AND($A788&lt;&gt;"",$B788&lt;&gt;"",$R788='تقرير نوفمبر'!$C$4,$P788='تقرير نوفمبر'!$C$6),COUNT(Y$4:Y787)+1,"")</f>
        <v/>
      </c>
      <c r="Z788">
        <f>IF(AND($A788&lt;&gt;"",$B788&lt;&gt;"",$R788='تقرير ديسمبر'!$C$4,$P788='تقرير ديسمبر'!$C$6),COUNT(Z$4:Z787)+1,"")</f>
        <v/>
      </c>
      <c r="AA788">
        <f>IF(AND($A788&lt;&gt;"",$B788&lt;&gt;"",$R788='تقرير يناير'!$C$4,$P788='تقرير يناير'!$C$6),COUNT(AA$4:AA787)+1,"")</f>
        <v/>
      </c>
      <c r="AB788">
        <f>IF(AND($A788&lt;&gt;"",$B788&lt;&gt;"",$R788='تقرير فبراير'!$C$4,$P788='تقرير فبراير'!$C$6),COUNT(AB$4:AB787)+1,"")</f>
        <v/>
      </c>
      <c r="AC788">
        <f>IF(AND($A788&lt;&gt;"",$B788&lt;&gt;"",$R788='تقرير مارس'!$C$4,$P788='تقرير مارس'!$C$6),COUNT(AC$4:AC787)+1,"")</f>
        <v/>
      </c>
      <c r="AD788">
        <f>IF(AND($A788&lt;&gt;"",$B788&lt;&gt;"",$R788='تقرير أبريل'!$C$4,$P788='تقرير أبريل'!$C$6),COUNT(AD$4:AD787)+1,"")</f>
        <v/>
      </c>
      <c r="AE788">
        <f>IF(AND($A788&lt;&gt;"",$B788&lt;&gt;"",$R788='تقرير مايو'!$C$4,$P788='تقرير مايو'!$C$6),COUNT(AE$4:AE787)+1,"")</f>
        <v/>
      </c>
    </row>
    <row r="789">
      <c r="A789" s="16" t="n"/>
      <c r="B789" s="17" t="n"/>
      <c r="C789" s="17" t="n"/>
      <c r="D789" s="18" t="n"/>
      <c r="E789" s="17" t="n"/>
      <c r="F789" s="17" t="n"/>
      <c r="G789" s="19" t="n"/>
      <c r="H789" s="17" t="n"/>
      <c r="I789" s="17" t="n"/>
      <c r="J789" s="17" t="n"/>
      <c r="K789" s="20">
        <f>IF($B789="","",IFERROR(INDEX(الموظفات!$A$5:$A$304,MATCH($B789,الموظفات!$B$5:$B$304,0))&amp;"",""))</f>
        <v/>
      </c>
      <c r="L789" s="21">
        <f>IF($B789="","",IFERROR(INDEX(الموظفات!$C$5:$C$304,MATCH($B789,الموظفات!$B$5:$B$304,0))&amp;"",""))</f>
        <v/>
      </c>
      <c r="M789" s="20">
        <f>IF($B789="","",IFERROR(INDEX(الموظفات!$D$5:$D$304,MATCH($B789,الموظفات!$B$5:$B$304,0))&amp;"",""))</f>
        <v/>
      </c>
      <c r="N789" s="20">
        <f>IF($B789="","",IFERROR(INDEX(الموظفات!$E$5:$E$304,MATCH($B789,الموظفات!$B$5:$B$304,0))&amp;"",""))</f>
        <v/>
      </c>
      <c r="O789" s="21">
        <f>IF(C789="","",IFERROR(INDEX(الإعدادات!$D$7:$D$35,MATCH(C789,الإعدادات!$A$7:$A$35,0))&amp;"",""))</f>
        <v/>
      </c>
      <c r="P789" s="20">
        <f>IF(A789="","",INDEX(الإعدادات!$H$7:$H$18,MONTH(A789)))</f>
        <v/>
      </c>
      <c r="Q789" s="20">
        <f>IF(A789="","",INDEX(الإعدادات!$I$7:$I$18,MONTH(A789)))</f>
        <v/>
      </c>
      <c r="R789" s="20">
        <f>IF(A789="","",IF(MONTH(A789)&gt;=8,YEAR(A789)&amp;"-"&amp;(YEAR(A789)+1),(YEAR(A789)-1)&amp;"-"&amp;YEAR(A789)))</f>
        <v/>
      </c>
      <c r="S789" s="20">
        <f>IF(OR(A789="",B789=""),0,IF(AND(R789=التقارير!$C$4,OR(التقارير!$C$5="سنوي",AND(التقارير!$C$5="شهري",P789=التقارير!$C$6),AND(التقارير!$C$5="فصلي",Q789=التقارير!$C$7))),1,0))</f>
        <v/>
      </c>
      <c r="T789" s="20">
        <f>IF(S789=1,COUNTIF($S$5:S789,1),"")</f>
        <v/>
      </c>
      <c r="U789">
        <f>IF(AND($A789&lt;&gt;"",$B789&lt;&gt;"",$R789='تقرير الفصل الأول'!$C$4,$Q789='تقرير الفصل الأول'!$C$7),COUNT(U$4:U788)+1,"")</f>
        <v/>
      </c>
      <c r="V789">
        <f>IF(AND($A789&lt;&gt;"",$B789&lt;&gt;"",$R789='تقرير الفصل الثاني'!$C$4,$Q789='تقرير الفصل الثاني'!$C$7),COUNT(V$4:V788)+1,"")</f>
        <v/>
      </c>
      <c r="W789">
        <f>IF(AND($A789&lt;&gt;"",$B789&lt;&gt;"",$R789='تقرير سبتمبر'!$C$4,$P789='تقرير سبتمبر'!$C$6),COUNT(W$4:W788)+1,"")</f>
        <v/>
      </c>
      <c r="X789">
        <f>IF(AND($A789&lt;&gt;"",$B789&lt;&gt;"",$R789='تقرير أكتوبر'!$C$4,$P789='تقرير أكتوبر'!$C$6),COUNT(X$4:X788)+1,"")</f>
        <v/>
      </c>
      <c r="Y789">
        <f>IF(AND($A789&lt;&gt;"",$B789&lt;&gt;"",$R789='تقرير نوفمبر'!$C$4,$P789='تقرير نوفمبر'!$C$6),COUNT(Y$4:Y788)+1,"")</f>
        <v/>
      </c>
      <c r="Z789">
        <f>IF(AND($A789&lt;&gt;"",$B789&lt;&gt;"",$R789='تقرير ديسمبر'!$C$4,$P789='تقرير ديسمبر'!$C$6),COUNT(Z$4:Z788)+1,"")</f>
        <v/>
      </c>
      <c r="AA789">
        <f>IF(AND($A789&lt;&gt;"",$B789&lt;&gt;"",$R789='تقرير يناير'!$C$4,$P789='تقرير يناير'!$C$6),COUNT(AA$4:AA788)+1,"")</f>
        <v/>
      </c>
      <c r="AB789">
        <f>IF(AND($A789&lt;&gt;"",$B789&lt;&gt;"",$R789='تقرير فبراير'!$C$4,$P789='تقرير فبراير'!$C$6),COUNT(AB$4:AB788)+1,"")</f>
        <v/>
      </c>
      <c r="AC789">
        <f>IF(AND($A789&lt;&gt;"",$B789&lt;&gt;"",$R789='تقرير مارس'!$C$4,$P789='تقرير مارس'!$C$6),COUNT(AC$4:AC788)+1,"")</f>
        <v/>
      </c>
      <c r="AD789">
        <f>IF(AND($A789&lt;&gt;"",$B789&lt;&gt;"",$R789='تقرير أبريل'!$C$4,$P789='تقرير أبريل'!$C$6),COUNT(AD$4:AD788)+1,"")</f>
        <v/>
      </c>
      <c r="AE789">
        <f>IF(AND($A789&lt;&gt;"",$B789&lt;&gt;"",$R789='تقرير مايو'!$C$4,$P789='تقرير مايو'!$C$6),COUNT(AE$4:AE788)+1,"")</f>
        <v/>
      </c>
    </row>
    <row r="790">
      <c r="A790" s="16" t="n"/>
      <c r="B790" s="17" t="n"/>
      <c r="C790" s="17" t="n"/>
      <c r="D790" s="18" t="n"/>
      <c r="E790" s="17" t="n"/>
      <c r="F790" s="17" t="n"/>
      <c r="G790" s="19" t="n"/>
      <c r="H790" s="17" t="n"/>
      <c r="I790" s="17" t="n"/>
      <c r="J790" s="17" t="n"/>
      <c r="K790" s="20">
        <f>IF($B790="","",IFERROR(INDEX(الموظفات!$A$5:$A$304,MATCH($B790,الموظفات!$B$5:$B$304,0))&amp;"",""))</f>
        <v/>
      </c>
      <c r="L790" s="21">
        <f>IF($B790="","",IFERROR(INDEX(الموظفات!$C$5:$C$304,MATCH($B790,الموظفات!$B$5:$B$304,0))&amp;"",""))</f>
        <v/>
      </c>
      <c r="M790" s="20">
        <f>IF($B790="","",IFERROR(INDEX(الموظفات!$D$5:$D$304,MATCH($B790,الموظفات!$B$5:$B$304,0))&amp;"",""))</f>
        <v/>
      </c>
      <c r="N790" s="20">
        <f>IF($B790="","",IFERROR(INDEX(الموظفات!$E$5:$E$304,MATCH($B790,الموظفات!$B$5:$B$304,0))&amp;"",""))</f>
        <v/>
      </c>
      <c r="O790" s="21">
        <f>IF(C790="","",IFERROR(INDEX(الإعدادات!$D$7:$D$35,MATCH(C790,الإعدادات!$A$7:$A$35,0))&amp;"",""))</f>
        <v/>
      </c>
      <c r="P790" s="20">
        <f>IF(A790="","",INDEX(الإعدادات!$H$7:$H$18,MONTH(A790)))</f>
        <v/>
      </c>
      <c r="Q790" s="20">
        <f>IF(A790="","",INDEX(الإعدادات!$I$7:$I$18,MONTH(A790)))</f>
        <v/>
      </c>
      <c r="R790" s="20">
        <f>IF(A790="","",IF(MONTH(A790)&gt;=8,YEAR(A790)&amp;"-"&amp;(YEAR(A790)+1),(YEAR(A790)-1)&amp;"-"&amp;YEAR(A790)))</f>
        <v/>
      </c>
      <c r="S790" s="20">
        <f>IF(OR(A790="",B790=""),0,IF(AND(R790=التقارير!$C$4,OR(التقارير!$C$5="سنوي",AND(التقارير!$C$5="شهري",P790=التقارير!$C$6),AND(التقارير!$C$5="فصلي",Q790=التقارير!$C$7))),1,0))</f>
        <v/>
      </c>
      <c r="T790" s="20">
        <f>IF(S790=1,COUNTIF($S$5:S790,1),"")</f>
        <v/>
      </c>
      <c r="U790">
        <f>IF(AND($A790&lt;&gt;"",$B790&lt;&gt;"",$R790='تقرير الفصل الأول'!$C$4,$Q790='تقرير الفصل الأول'!$C$7),COUNT(U$4:U789)+1,"")</f>
        <v/>
      </c>
      <c r="V790">
        <f>IF(AND($A790&lt;&gt;"",$B790&lt;&gt;"",$R790='تقرير الفصل الثاني'!$C$4,$Q790='تقرير الفصل الثاني'!$C$7),COUNT(V$4:V789)+1,"")</f>
        <v/>
      </c>
      <c r="W790">
        <f>IF(AND($A790&lt;&gt;"",$B790&lt;&gt;"",$R790='تقرير سبتمبر'!$C$4,$P790='تقرير سبتمبر'!$C$6),COUNT(W$4:W789)+1,"")</f>
        <v/>
      </c>
      <c r="X790">
        <f>IF(AND($A790&lt;&gt;"",$B790&lt;&gt;"",$R790='تقرير أكتوبر'!$C$4,$P790='تقرير أكتوبر'!$C$6),COUNT(X$4:X789)+1,"")</f>
        <v/>
      </c>
      <c r="Y790">
        <f>IF(AND($A790&lt;&gt;"",$B790&lt;&gt;"",$R790='تقرير نوفمبر'!$C$4,$P790='تقرير نوفمبر'!$C$6),COUNT(Y$4:Y789)+1,"")</f>
        <v/>
      </c>
      <c r="Z790">
        <f>IF(AND($A790&lt;&gt;"",$B790&lt;&gt;"",$R790='تقرير ديسمبر'!$C$4,$P790='تقرير ديسمبر'!$C$6),COUNT(Z$4:Z789)+1,"")</f>
        <v/>
      </c>
      <c r="AA790">
        <f>IF(AND($A790&lt;&gt;"",$B790&lt;&gt;"",$R790='تقرير يناير'!$C$4,$P790='تقرير يناير'!$C$6),COUNT(AA$4:AA789)+1,"")</f>
        <v/>
      </c>
      <c r="AB790">
        <f>IF(AND($A790&lt;&gt;"",$B790&lt;&gt;"",$R790='تقرير فبراير'!$C$4,$P790='تقرير فبراير'!$C$6),COUNT(AB$4:AB789)+1,"")</f>
        <v/>
      </c>
      <c r="AC790">
        <f>IF(AND($A790&lt;&gt;"",$B790&lt;&gt;"",$R790='تقرير مارس'!$C$4,$P790='تقرير مارس'!$C$6),COUNT(AC$4:AC789)+1,"")</f>
        <v/>
      </c>
      <c r="AD790">
        <f>IF(AND($A790&lt;&gt;"",$B790&lt;&gt;"",$R790='تقرير أبريل'!$C$4,$P790='تقرير أبريل'!$C$6),COUNT(AD$4:AD789)+1,"")</f>
        <v/>
      </c>
      <c r="AE790">
        <f>IF(AND($A790&lt;&gt;"",$B790&lt;&gt;"",$R790='تقرير مايو'!$C$4,$P790='تقرير مايو'!$C$6),COUNT(AE$4:AE789)+1,"")</f>
        <v/>
      </c>
    </row>
    <row r="791">
      <c r="A791" s="16" t="n"/>
      <c r="B791" s="17" t="n"/>
      <c r="C791" s="17" t="n"/>
      <c r="D791" s="18" t="n"/>
      <c r="E791" s="17" t="n"/>
      <c r="F791" s="17" t="n"/>
      <c r="G791" s="19" t="n"/>
      <c r="H791" s="17" t="n"/>
      <c r="I791" s="17" t="n"/>
      <c r="J791" s="17" t="n"/>
      <c r="K791" s="20">
        <f>IF($B791="","",IFERROR(INDEX(الموظفات!$A$5:$A$304,MATCH($B791,الموظفات!$B$5:$B$304,0))&amp;"",""))</f>
        <v/>
      </c>
      <c r="L791" s="21">
        <f>IF($B791="","",IFERROR(INDEX(الموظفات!$C$5:$C$304,MATCH($B791,الموظفات!$B$5:$B$304,0))&amp;"",""))</f>
        <v/>
      </c>
      <c r="M791" s="20">
        <f>IF($B791="","",IFERROR(INDEX(الموظفات!$D$5:$D$304,MATCH($B791,الموظفات!$B$5:$B$304,0))&amp;"",""))</f>
        <v/>
      </c>
      <c r="N791" s="20">
        <f>IF($B791="","",IFERROR(INDEX(الموظفات!$E$5:$E$304,MATCH($B791,الموظفات!$B$5:$B$304,0))&amp;"",""))</f>
        <v/>
      </c>
      <c r="O791" s="21">
        <f>IF(C791="","",IFERROR(INDEX(الإعدادات!$D$7:$D$35,MATCH(C791,الإعدادات!$A$7:$A$35,0))&amp;"",""))</f>
        <v/>
      </c>
      <c r="P791" s="20">
        <f>IF(A791="","",INDEX(الإعدادات!$H$7:$H$18,MONTH(A791)))</f>
        <v/>
      </c>
      <c r="Q791" s="20">
        <f>IF(A791="","",INDEX(الإعدادات!$I$7:$I$18,MONTH(A791)))</f>
        <v/>
      </c>
      <c r="R791" s="20">
        <f>IF(A791="","",IF(MONTH(A791)&gt;=8,YEAR(A791)&amp;"-"&amp;(YEAR(A791)+1),(YEAR(A791)-1)&amp;"-"&amp;YEAR(A791)))</f>
        <v/>
      </c>
      <c r="S791" s="20">
        <f>IF(OR(A791="",B791=""),0,IF(AND(R791=التقارير!$C$4,OR(التقارير!$C$5="سنوي",AND(التقارير!$C$5="شهري",P791=التقارير!$C$6),AND(التقارير!$C$5="فصلي",Q791=التقارير!$C$7))),1,0))</f>
        <v/>
      </c>
      <c r="T791" s="20">
        <f>IF(S791=1,COUNTIF($S$5:S791,1),"")</f>
        <v/>
      </c>
      <c r="U791">
        <f>IF(AND($A791&lt;&gt;"",$B791&lt;&gt;"",$R791='تقرير الفصل الأول'!$C$4,$Q791='تقرير الفصل الأول'!$C$7),COUNT(U$4:U790)+1,"")</f>
        <v/>
      </c>
      <c r="V791">
        <f>IF(AND($A791&lt;&gt;"",$B791&lt;&gt;"",$R791='تقرير الفصل الثاني'!$C$4,$Q791='تقرير الفصل الثاني'!$C$7),COUNT(V$4:V790)+1,"")</f>
        <v/>
      </c>
      <c r="W791">
        <f>IF(AND($A791&lt;&gt;"",$B791&lt;&gt;"",$R791='تقرير سبتمبر'!$C$4,$P791='تقرير سبتمبر'!$C$6),COUNT(W$4:W790)+1,"")</f>
        <v/>
      </c>
      <c r="X791">
        <f>IF(AND($A791&lt;&gt;"",$B791&lt;&gt;"",$R791='تقرير أكتوبر'!$C$4,$P791='تقرير أكتوبر'!$C$6),COUNT(X$4:X790)+1,"")</f>
        <v/>
      </c>
      <c r="Y791">
        <f>IF(AND($A791&lt;&gt;"",$B791&lt;&gt;"",$R791='تقرير نوفمبر'!$C$4,$P791='تقرير نوفمبر'!$C$6),COUNT(Y$4:Y790)+1,"")</f>
        <v/>
      </c>
      <c r="Z791">
        <f>IF(AND($A791&lt;&gt;"",$B791&lt;&gt;"",$R791='تقرير ديسمبر'!$C$4,$P791='تقرير ديسمبر'!$C$6),COUNT(Z$4:Z790)+1,"")</f>
        <v/>
      </c>
      <c r="AA791">
        <f>IF(AND($A791&lt;&gt;"",$B791&lt;&gt;"",$R791='تقرير يناير'!$C$4,$P791='تقرير يناير'!$C$6),COUNT(AA$4:AA790)+1,"")</f>
        <v/>
      </c>
      <c r="AB791">
        <f>IF(AND($A791&lt;&gt;"",$B791&lt;&gt;"",$R791='تقرير فبراير'!$C$4,$P791='تقرير فبراير'!$C$6),COUNT(AB$4:AB790)+1,"")</f>
        <v/>
      </c>
      <c r="AC791">
        <f>IF(AND($A791&lt;&gt;"",$B791&lt;&gt;"",$R791='تقرير مارس'!$C$4,$P791='تقرير مارس'!$C$6),COUNT(AC$4:AC790)+1,"")</f>
        <v/>
      </c>
      <c r="AD791">
        <f>IF(AND($A791&lt;&gt;"",$B791&lt;&gt;"",$R791='تقرير أبريل'!$C$4,$P791='تقرير أبريل'!$C$6),COUNT(AD$4:AD790)+1,"")</f>
        <v/>
      </c>
      <c r="AE791">
        <f>IF(AND($A791&lt;&gt;"",$B791&lt;&gt;"",$R791='تقرير مايو'!$C$4,$P791='تقرير مايو'!$C$6),COUNT(AE$4:AE790)+1,"")</f>
        <v/>
      </c>
    </row>
    <row r="792">
      <c r="A792" s="16" t="n"/>
      <c r="B792" s="17" t="n"/>
      <c r="C792" s="17" t="n"/>
      <c r="D792" s="18" t="n"/>
      <c r="E792" s="17" t="n"/>
      <c r="F792" s="17" t="n"/>
      <c r="G792" s="19" t="n"/>
      <c r="H792" s="17" t="n"/>
      <c r="I792" s="17" t="n"/>
      <c r="J792" s="17" t="n"/>
      <c r="K792" s="20">
        <f>IF($B792="","",IFERROR(INDEX(الموظفات!$A$5:$A$304,MATCH($B792,الموظفات!$B$5:$B$304,0))&amp;"",""))</f>
        <v/>
      </c>
      <c r="L792" s="21">
        <f>IF($B792="","",IFERROR(INDEX(الموظفات!$C$5:$C$304,MATCH($B792,الموظفات!$B$5:$B$304,0))&amp;"",""))</f>
        <v/>
      </c>
      <c r="M792" s="20">
        <f>IF($B792="","",IFERROR(INDEX(الموظفات!$D$5:$D$304,MATCH($B792,الموظفات!$B$5:$B$304,0))&amp;"",""))</f>
        <v/>
      </c>
      <c r="N792" s="20">
        <f>IF($B792="","",IFERROR(INDEX(الموظفات!$E$5:$E$304,MATCH($B792,الموظفات!$B$5:$B$304,0))&amp;"",""))</f>
        <v/>
      </c>
      <c r="O792" s="21">
        <f>IF(C792="","",IFERROR(INDEX(الإعدادات!$D$7:$D$35,MATCH(C792,الإعدادات!$A$7:$A$35,0))&amp;"",""))</f>
        <v/>
      </c>
      <c r="P792" s="20">
        <f>IF(A792="","",INDEX(الإعدادات!$H$7:$H$18,MONTH(A792)))</f>
        <v/>
      </c>
      <c r="Q792" s="20">
        <f>IF(A792="","",INDEX(الإعدادات!$I$7:$I$18,MONTH(A792)))</f>
        <v/>
      </c>
      <c r="R792" s="20">
        <f>IF(A792="","",IF(MONTH(A792)&gt;=8,YEAR(A792)&amp;"-"&amp;(YEAR(A792)+1),(YEAR(A792)-1)&amp;"-"&amp;YEAR(A792)))</f>
        <v/>
      </c>
      <c r="S792" s="20">
        <f>IF(OR(A792="",B792=""),0,IF(AND(R792=التقارير!$C$4,OR(التقارير!$C$5="سنوي",AND(التقارير!$C$5="شهري",P792=التقارير!$C$6),AND(التقارير!$C$5="فصلي",Q792=التقارير!$C$7))),1,0))</f>
        <v/>
      </c>
      <c r="T792" s="20">
        <f>IF(S792=1,COUNTIF($S$5:S792,1),"")</f>
        <v/>
      </c>
      <c r="U792">
        <f>IF(AND($A792&lt;&gt;"",$B792&lt;&gt;"",$R792='تقرير الفصل الأول'!$C$4,$Q792='تقرير الفصل الأول'!$C$7),COUNT(U$4:U791)+1,"")</f>
        <v/>
      </c>
      <c r="V792">
        <f>IF(AND($A792&lt;&gt;"",$B792&lt;&gt;"",$R792='تقرير الفصل الثاني'!$C$4,$Q792='تقرير الفصل الثاني'!$C$7),COUNT(V$4:V791)+1,"")</f>
        <v/>
      </c>
      <c r="W792">
        <f>IF(AND($A792&lt;&gt;"",$B792&lt;&gt;"",$R792='تقرير سبتمبر'!$C$4,$P792='تقرير سبتمبر'!$C$6),COUNT(W$4:W791)+1,"")</f>
        <v/>
      </c>
      <c r="X792">
        <f>IF(AND($A792&lt;&gt;"",$B792&lt;&gt;"",$R792='تقرير أكتوبر'!$C$4,$P792='تقرير أكتوبر'!$C$6),COUNT(X$4:X791)+1,"")</f>
        <v/>
      </c>
      <c r="Y792">
        <f>IF(AND($A792&lt;&gt;"",$B792&lt;&gt;"",$R792='تقرير نوفمبر'!$C$4,$P792='تقرير نوفمبر'!$C$6),COUNT(Y$4:Y791)+1,"")</f>
        <v/>
      </c>
      <c r="Z792">
        <f>IF(AND($A792&lt;&gt;"",$B792&lt;&gt;"",$R792='تقرير ديسمبر'!$C$4,$P792='تقرير ديسمبر'!$C$6),COUNT(Z$4:Z791)+1,"")</f>
        <v/>
      </c>
      <c r="AA792">
        <f>IF(AND($A792&lt;&gt;"",$B792&lt;&gt;"",$R792='تقرير يناير'!$C$4,$P792='تقرير يناير'!$C$6),COUNT(AA$4:AA791)+1,"")</f>
        <v/>
      </c>
      <c r="AB792">
        <f>IF(AND($A792&lt;&gt;"",$B792&lt;&gt;"",$R792='تقرير فبراير'!$C$4,$P792='تقرير فبراير'!$C$6),COUNT(AB$4:AB791)+1,"")</f>
        <v/>
      </c>
      <c r="AC792">
        <f>IF(AND($A792&lt;&gt;"",$B792&lt;&gt;"",$R792='تقرير مارس'!$C$4,$P792='تقرير مارس'!$C$6),COUNT(AC$4:AC791)+1,"")</f>
        <v/>
      </c>
      <c r="AD792">
        <f>IF(AND($A792&lt;&gt;"",$B792&lt;&gt;"",$R792='تقرير أبريل'!$C$4,$P792='تقرير أبريل'!$C$6),COUNT(AD$4:AD791)+1,"")</f>
        <v/>
      </c>
      <c r="AE792">
        <f>IF(AND($A792&lt;&gt;"",$B792&lt;&gt;"",$R792='تقرير مايو'!$C$4,$P792='تقرير مايو'!$C$6),COUNT(AE$4:AE791)+1,"")</f>
        <v/>
      </c>
    </row>
    <row r="793">
      <c r="A793" s="16" t="n"/>
      <c r="B793" s="17" t="n"/>
      <c r="C793" s="17" t="n"/>
      <c r="D793" s="18" t="n"/>
      <c r="E793" s="17" t="n"/>
      <c r="F793" s="17" t="n"/>
      <c r="G793" s="19" t="n"/>
      <c r="H793" s="17" t="n"/>
      <c r="I793" s="17" t="n"/>
      <c r="J793" s="17" t="n"/>
      <c r="K793" s="20">
        <f>IF($B793="","",IFERROR(INDEX(الموظفات!$A$5:$A$304,MATCH($B793,الموظفات!$B$5:$B$304,0))&amp;"",""))</f>
        <v/>
      </c>
      <c r="L793" s="21">
        <f>IF($B793="","",IFERROR(INDEX(الموظفات!$C$5:$C$304,MATCH($B793,الموظفات!$B$5:$B$304,0))&amp;"",""))</f>
        <v/>
      </c>
      <c r="M793" s="20">
        <f>IF($B793="","",IFERROR(INDEX(الموظفات!$D$5:$D$304,MATCH($B793,الموظفات!$B$5:$B$304,0))&amp;"",""))</f>
        <v/>
      </c>
      <c r="N793" s="20">
        <f>IF($B793="","",IFERROR(INDEX(الموظفات!$E$5:$E$304,MATCH($B793,الموظفات!$B$5:$B$304,0))&amp;"",""))</f>
        <v/>
      </c>
      <c r="O793" s="21">
        <f>IF(C793="","",IFERROR(INDEX(الإعدادات!$D$7:$D$35,MATCH(C793,الإعدادات!$A$7:$A$35,0))&amp;"",""))</f>
        <v/>
      </c>
      <c r="P793" s="20">
        <f>IF(A793="","",INDEX(الإعدادات!$H$7:$H$18,MONTH(A793)))</f>
        <v/>
      </c>
      <c r="Q793" s="20">
        <f>IF(A793="","",INDEX(الإعدادات!$I$7:$I$18,MONTH(A793)))</f>
        <v/>
      </c>
      <c r="R793" s="20">
        <f>IF(A793="","",IF(MONTH(A793)&gt;=8,YEAR(A793)&amp;"-"&amp;(YEAR(A793)+1),(YEAR(A793)-1)&amp;"-"&amp;YEAR(A793)))</f>
        <v/>
      </c>
      <c r="S793" s="20">
        <f>IF(OR(A793="",B793=""),0,IF(AND(R793=التقارير!$C$4,OR(التقارير!$C$5="سنوي",AND(التقارير!$C$5="شهري",P793=التقارير!$C$6),AND(التقارير!$C$5="فصلي",Q793=التقارير!$C$7))),1,0))</f>
        <v/>
      </c>
      <c r="T793" s="20">
        <f>IF(S793=1,COUNTIF($S$5:S793,1),"")</f>
        <v/>
      </c>
      <c r="U793">
        <f>IF(AND($A793&lt;&gt;"",$B793&lt;&gt;"",$R793='تقرير الفصل الأول'!$C$4,$Q793='تقرير الفصل الأول'!$C$7),COUNT(U$4:U792)+1,"")</f>
        <v/>
      </c>
      <c r="V793">
        <f>IF(AND($A793&lt;&gt;"",$B793&lt;&gt;"",$R793='تقرير الفصل الثاني'!$C$4,$Q793='تقرير الفصل الثاني'!$C$7),COUNT(V$4:V792)+1,"")</f>
        <v/>
      </c>
      <c r="W793">
        <f>IF(AND($A793&lt;&gt;"",$B793&lt;&gt;"",$R793='تقرير سبتمبر'!$C$4,$P793='تقرير سبتمبر'!$C$6),COUNT(W$4:W792)+1,"")</f>
        <v/>
      </c>
      <c r="X793">
        <f>IF(AND($A793&lt;&gt;"",$B793&lt;&gt;"",$R793='تقرير أكتوبر'!$C$4,$P793='تقرير أكتوبر'!$C$6),COUNT(X$4:X792)+1,"")</f>
        <v/>
      </c>
      <c r="Y793">
        <f>IF(AND($A793&lt;&gt;"",$B793&lt;&gt;"",$R793='تقرير نوفمبر'!$C$4,$P793='تقرير نوفمبر'!$C$6),COUNT(Y$4:Y792)+1,"")</f>
        <v/>
      </c>
      <c r="Z793">
        <f>IF(AND($A793&lt;&gt;"",$B793&lt;&gt;"",$R793='تقرير ديسمبر'!$C$4,$P793='تقرير ديسمبر'!$C$6),COUNT(Z$4:Z792)+1,"")</f>
        <v/>
      </c>
      <c r="AA793">
        <f>IF(AND($A793&lt;&gt;"",$B793&lt;&gt;"",$R793='تقرير يناير'!$C$4,$P793='تقرير يناير'!$C$6),COUNT(AA$4:AA792)+1,"")</f>
        <v/>
      </c>
      <c r="AB793">
        <f>IF(AND($A793&lt;&gt;"",$B793&lt;&gt;"",$R793='تقرير فبراير'!$C$4,$P793='تقرير فبراير'!$C$6),COUNT(AB$4:AB792)+1,"")</f>
        <v/>
      </c>
      <c r="AC793">
        <f>IF(AND($A793&lt;&gt;"",$B793&lt;&gt;"",$R793='تقرير مارس'!$C$4,$P793='تقرير مارس'!$C$6),COUNT(AC$4:AC792)+1,"")</f>
        <v/>
      </c>
      <c r="AD793">
        <f>IF(AND($A793&lt;&gt;"",$B793&lt;&gt;"",$R793='تقرير أبريل'!$C$4,$P793='تقرير أبريل'!$C$6),COUNT(AD$4:AD792)+1,"")</f>
        <v/>
      </c>
      <c r="AE793">
        <f>IF(AND($A793&lt;&gt;"",$B793&lt;&gt;"",$R793='تقرير مايو'!$C$4,$P793='تقرير مايو'!$C$6),COUNT(AE$4:AE792)+1,"")</f>
        <v/>
      </c>
    </row>
    <row r="794">
      <c r="A794" s="16" t="n"/>
      <c r="B794" s="17" t="n"/>
      <c r="C794" s="17" t="n"/>
      <c r="D794" s="18" t="n"/>
      <c r="E794" s="17" t="n"/>
      <c r="F794" s="17" t="n"/>
      <c r="G794" s="19" t="n"/>
      <c r="H794" s="17" t="n"/>
      <c r="I794" s="17" t="n"/>
      <c r="J794" s="17" t="n"/>
      <c r="K794" s="20">
        <f>IF($B794="","",IFERROR(INDEX(الموظفات!$A$5:$A$304,MATCH($B794,الموظفات!$B$5:$B$304,0))&amp;"",""))</f>
        <v/>
      </c>
      <c r="L794" s="21">
        <f>IF($B794="","",IFERROR(INDEX(الموظفات!$C$5:$C$304,MATCH($B794,الموظفات!$B$5:$B$304,0))&amp;"",""))</f>
        <v/>
      </c>
      <c r="M794" s="20">
        <f>IF($B794="","",IFERROR(INDEX(الموظفات!$D$5:$D$304,MATCH($B794,الموظفات!$B$5:$B$304,0))&amp;"",""))</f>
        <v/>
      </c>
      <c r="N794" s="20">
        <f>IF($B794="","",IFERROR(INDEX(الموظفات!$E$5:$E$304,MATCH($B794,الموظفات!$B$5:$B$304,0))&amp;"",""))</f>
        <v/>
      </c>
      <c r="O794" s="21">
        <f>IF(C794="","",IFERROR(INDEX(الإعدادات!$D$7:$D$35,MATCH(C794,الإعدادات!$A$7:$A$35,0))&amp;"",""))</f>
        <v/>
      </c>
      <c r="P794" s="20">
        <f>IF(A794="","",INDEX(الإعدادات!$H$7:$H$18,MONTH(A794)))</f>
        <v/>
      </c>
      <c r="Q794" s="20">
        <f>IF(A794="","",INDEX(الإعدادات!$I$7:$I$18,MONTH(A794)))</f>
        <v/>
      </c>
      <c r="R794" s="20">
        <f>IF(A794="","",IF(MONTH(A794)&gt;=8,YEAR(A794)&amp;"-"&amp;(YEAR(A794)+1),(YEAR(A794)-1)&amp;"-"&amp;YEAR(A794)))</f>
        <v/>
      </c>
      <c r="S794" s="20">
        <f>IF(OR(A794="",B794=""),0,IF(AND(R794=التقارير!$C$4,OR(التقارير!$C$5="سنوي",AND(التقارير!$C$5="شهري",P794=التقارير!$C$6),AND(التقارير!$C$5="فصلي",Q794=التقارير!$C$7))),1,0))</f>
        <v/>
      </c>
      <c r="T794" s="20">
        <f>IF(S794=1,COUNTIF($S$5:S794,1),"")</f>
        <v/>
      </c>
      <c r="U794">
        <f>IF(AND($A794&lt;&gt;"",$B794&lt;&gt;"",$R794='تقرير الفصل الأول'!$C$4,$Q794='تقرير الفصل الأول'!$C$7),COUNT(U$4:U793)+1,"")</f>
        <v/>
      </c>
      <c r="V794">
        <f>IF(AND($A794&lt;&gt;"",$B794&lt;&gt;"",$R794='تقرير الفصل الثاني'!$C$4,$Q794='تقرير الفصل الثاني'!$C$7),COUNT(V$4:V793)+1,"")</f>
        <v/>
      </c>
      <c r="W794">
        <f>IF(AND($A794&lt;&gt;"",$B794&lt;&gt;"",$R794='تقرير سبتمبر'!$C$4,$P794='تقرير سبتمبر'!$C$6),COUNT(W$4:W793)+1,"")</f>
        <v/>
      </c>
      <c r="X794">
        <f>IF(AND($A794&lt;&gt;"",$B794&lt;&gt;"",$R794='تقرير أكتوبر'!$C$4,$P794='تقرير أكتوبر'!$C$6),COUNT(X$4:X793)+1,"")</f>
        <v/>
      </c>
      <c r="Y794">
        <f>IF(AND($A794&lt;&gt;"",$B794&lt;&gt;"",$R794='تقرير نوفمبر'!$C$4,$P794='تقرير نوفمبر'!$C$6),COUNT(Y$4:Y793)+1,"")</f>
        <v/>
      </c>
      <c r="Z794">
        <f>IF(AND($A794&lt;&gt;"",$B794&lt;&gt;"",$R794='تقرير ديسمبر'!$C$4,$P794='تقرير ديسمبر'!$C$6),COUNT(Z$4:Z793)+1,"")</f>
        <v/>
      </c>
      <c r="AA794">
        <f>IF(AND($A794&lt;&gt;"",$B794&lt;&gt;"",$R794='تقرير يناير'!$C$4,$P794='تقرير يناير'!$C$6),COUNT(AA$4:AA793)+1,"")</f>
        <v/>
      </c>
      <c r="AB794">
        <f>IF(AND($A794&lt;&gt;"",$B794&lt;&gt;"",$R794='تقرير فبراير'!$C$4,$P794='تقرير فبراير'!$C$6),COUNT(AB$4:AB793)+1,"")</f>
        <v/>
      </c>
      <c r="AC794">
        <f>IF(AND($A794&lt;&gt;"",$B794&lt;&gt;"",$R794='تقرير مارس'!$C$4,$P794='تقرير مارس'!$C$6),COUNT(AC$4:AC793)+1,"")</f>
        <v/>
      </c>
      <c r="AD794">
        <f>IF(AND($A794&lt;&gt;"",$B794&lt;&gt;"",$R794='تقرير أبريل'!$C$4,$P794='تقرير أبريل'!$C$6),COUNT(AD$4:AD793)+1,"")</f>
        <v/>
      </c>
      <c r="AE794">
        <f>IF(AND($A794&lt;&gt;"",$B794&lt;&gt;"",$R794='تقرير مايو'!$C$4,$P794='تقرير مايو'!$C$6),COUNT(AE$4:AE793)+1,"")</f>
        <v/>
      </c>
    </row>
    <row r="795">
      <c r="A795" s="16" t="n"/>
      <c r="B795" s="17" t="n"/>
      <c r="C795" s="17" t="n"/>
      <c r="D795" s="18" t="n"/>
      <c r="E795" s="17" t="n"/>
      <c r="F795" s="17" t="n"/>
      <c r="G795" s="19" t="n"/>
      <c r="H795" s="17" t="n"/>
      <c r="I795" s="17" t="n"/>
      <c r="J795" s="17" t="n"/>
      <c r="K795" s="20">
        <f>IF($B795="","",IFERROR(INDEX(الموظفات!$A$5:$A$304,MATCH($B795,الموظفات!$B$5:$B$304,0))&amp;"",""))</f>
        <v/>
      </c>
      <c r="L795" s="21">
        <f>IF($B795="","",IFERROR(INDEX(الموظفات!$C$5:$C$304,MATCH($B795,الموظفات!$B$5:$B$304,0))&amp;"",""))</f>
        <v/>
      </c>
      <c r="M795" s="20">
        <f>IF($B795="","",IFERROR(INDEX(الموظفات!$D$5:$D$304,MATCH($B795,الموظفات!$B$5:$B$304,0))&amp;"",""))</f>
        <v/>
      </c>
      <c r="N795" s="20">
        <f>IF($B795="","",IFERROR(INDEX(الموظفات!$E$5:$E$304,MATCH($B795,الموظفات!$B$5:$B$304,0))&amp;"",""))</f>
        <v/>
      </c>
      <c r="O795" s="21">
        <f>IF(C795="","",IFERROR(INDEX(الإعدادات!$D$7:$D$35,MATCH(C795,الإعدادات!$A$7:$A$35,0))&amp;"",""))</f>
        <v/>
      </c>
      <c r="P795" s="20">
        <f>IF(A795="","",INDEX(الإعدادات!$H$7:$H$18,MONTH(A795)))</f>
        <v/>
      </c>
      <c r="Q795" s="20">
        <f>IF(A795="","",INDEX(الإعدادات!$I$7:$I$18,MONTH(A795)))</f>
        <v/>
      </c>
      <c r="R795" s="20">
        <f>IF(A795="","",IF(MONTH(A795)&gt;=8,YEAR(A795)&amp;"-"&amp;(YEAR(A795)+1),(YEAR(A795)-1)&amp;"-"&amp;YEAR(A795)))</f>
        <v/>
      </c>
      <c r="S795" s="20">
        <f>IF(OR(A795="",B795=""),0,IF(AND(R795=التقارير!$C$4,OR(التقارير!$C$5="سنوي",AND(التقارير!$C$5="شهري",P795=التقارير!$C$6),AND(التقارير!$C$5="فصلي",Q795=التقارير!$C$7))),1,0))</f>
        <v/>
      </c>
      <c r="T795" s="20">
        <f>IF(S795=1,COUNTIF($S$5:S795,1),"")</f>
        <v/>
      </c>
      <c r="U795">
        <f>IF(AND($A795&lt;&gt;"",$B795&lt;&gt;"",$R795='تقرير الفصل الأول'!$C$4,$Q795='تقرير الفصل الأول'!$C$7),COUNT(U$4:U794)+1,"")</f>
        <v/>
      </c>
      <c r="V795">
        <f>IF(AND($A795&lt;&gt;"",$B795&lt;&gt;"",$R795='تقرير الفصل الثاني'!$C$4,$Q795='تقرير الفصل الثاني'!$C$7),COUNT(V$4:V794)+1,"")</f>
        <v/>
      </c>
      <c r="W795">
        <f>IF(AND($A795&lt;&gt;"",$B795&lt;&gt;"",$R795='تقرير سبتمبر'!$C$4,$P795='تقرير سبتمبر'!$C$6),COUNT(W$4:W794)+1,"")</f>
        <v/>
      </c>
      <c r="X795">
        <f>IF(AND($A795&lt;&gt;"",$B795&lt;&gt;"",$R795='تقرير أكتوبر'!$C$4,$P795='تقرير أكتوبر'!$C$6),COUNT(X$4:X794)+1,"")</f>
        <v/>
      </c>
      <c r="Y795">
        <f>IF(AND($A795&lt;&gt;"",$B795&lt;&gt;"",$R795='تقرير نوفمبر'!$C$4,$P795='تقرير نوفمبر'!$C$6),COUNT(Y$4:Y794)+1,"")</f>
        <v/>
      </c>
      <c r="Z795">
        <f>IF(AND($A795&lt;&gt;"",$B795&lt;&gt;"",$R795='تقرير ديسمبر'!$C$4,$P795='تقرير ديسمبر'!$C$6),COUNT(Z$4:Z794)+1,"")</f>
        <v/>
      </c>
      <c r="AA795">
        <f>IF(AND($A795&lt;&gt;"",$B795&lt;&gt;"",$R795='تقرير يناير'!$C$4,$P795='تقرير يناير'!$C$6),COUNT(AA$4:AA794)+1,"")</f>
        <v/>
      </c>
      <c r="AB795">
        <f>IF(AND($A795&lt;&gt;"",$B795&lt;&gt;"",$R795='تقرير فبراير'!$C$4,$P795='تقرير فبراير'!$C$6),COUNT(AB$4:AB794)+1,"")</f>
        <v/>
      </c>
      <c r="AC795">
        <f>IF(AND($A795&lt;&gt;"",$B795&lt;&gt;"",$R795='تقرير مارس'!$C$4,$P795='تقرير مارس'!$C$6),COUNT(AC$4:AC794)+1,"")</f>
        <v/>
      </c>
      <c r="AD795">
        <f>IF(AND($A795&lt;&gt;"",$B795&lt;&gt;"",$R795='تقرير أبريل'!$C$4,$P795='تقرير أبريل'!$C$6),COUNT(AD$4:AD794)+1,"")</f>
        <v/>
      </c>
      <c r="AE795">
        <f>IF(AND($A795&lt;&gt;"",$B795&lt;&gt;"",$R795='تقرير مايو'!$C$4,$P795='تقرير مايو'!$C$6),COUNT(AE$4:AE794)+1,"")</f>
        <v/>
      </c>
    </row>
    <row r="796">
      <c r="A796" s="16" t="n"/>
      <c r="B796" s="17" t="n"/>
      <c r="C796" s="17" t="n"/>
      <c r="D796" s="18" t="n"/>
      <c r="E796" s="17" t="n"/>
      <c r="F796" s="17" t="n"/>
      <c r="G796" s="19" t="n"/>
      <c r="H796" s="17" t="n"/>
      <c r="I796" s="17" t="n"/>
      <c r="J796" s="17" t="n"/>
      <c r="K796" s="20">
        <f>IF($B796="","",IFERROR(INDEX(الموظفات!$A$5:$A$304,MATCH($B796,الموظفات!$B$5:$B$304,0))&amp;"",""))</f>
        <v/>
      </c>
      <c r="L796" s="21">
        <f>IF($B796="","",IFERROR(INDEX(الموظفات!$C$5:$C$304,MATCH($B796,الموظفات!$B$5:$B$304,0))&amp;"",""))</f>
        <v/>
      </c>
      <c r="M796" s="20">
        <f>IF($B796="","",IFERROR(INDEX(الموظفات!$D$5:$D$304,MATCH($B796,الموظفات!$B$5:$B$304,0))&amp;"",""))</f>
        <v/>
      </c>
      <c r="N796" s="20">
        <f>IF($B796="","",IFERROR(INDEX(الموظفات!$E$5:$E$304,MATCH($B796,الموظفات!$B$5:$B$304,0))&amp;"",""))</f>
        <v/>
      </c>
      <c r="O796" s="21">
        <f>IF(C796="","",IFERROR(INDEX(الإعدادات!$D$7:$D$35,MATCH(C796,الإعدادات!$A$7:$A$35,0))&amp;"",""))</f>
        <v/>
      </c>
      <c r="P796" s="20">
        <f>IF(A796="","",INDEX(الإعدادات!$H$7:$H$18,MONTH(A796)))</f>
        <v/>
      </c>
      <c r="Q796" s="20">
        <f>IF(A796="","",INDEX(الإعدادات!$I$7:$I$18,MONTH(A796)))</f>
        <v/>
      </c>
      <c r="R796" s="20">
        <f>IF(A796="","",IF(MONTH(A796)&gt;=8,YEAR(A796)&amp;"-"&amp;(YEAR(A796)+1),(YEAR(A796)-1)&amp;"-"&amp;YEAR(A796)))</f>
        <v/>
      </c>
      <c r="S796" s="20">
        <f>IF(OR(A796="",B796=""),0,IF(AND(R796=التقارير!$C$4,OR(التقارير!$C$5="سنوي",AND(التقارير!$C$5="شهري",P796=التقارير!$C$6),AND(التقارير!$C$5="فصلي",Q796=التقارير!$C$7))),1,0))</f>
        <v/>
      </c>
      <c r="T796" s="20">
        <f>IF(S796=1,COUNTIF($S$5:S796,1),"")</f>
        <v/>
      </c>
      <c r="U796">
        <f>IF(AND($A796&lt;&gt;"",$B796&lt;&gt;"",$R796='تقرير الفصل الأول'!$C$4,$Q796='تقرير الفصل الأول'!$C$7),COUNT(U$4:U795)+1,"")</f>
        <v/>
      </c>
      <c r="V796">
        <f>IF(AND($A796&lt;&gt;"",$B796&lt;&gt;"",$R796='تقرير الفصل الثاني'!$C$4,$Q796='تقرير الفصل الثاني'!$C$7),COUNT(V$4:V795)+1,"")</f>
        <v/>
      </c>
      <c r="W796">
        <f>IF(AND($A796&lt;&gt;"",$B796&lt;&gt;"",$R796='تقرير سبتمبر'!$C$4,$P796='تقرير سبتمبر'!$C$6),COUNT(W$4:W795)+1,"")</f>
        <v/>
      </c>
      <c r="X796">
        <f>IF(AND($A796&lt;&gt;"",$B796&lt;&gt;"",$R796='تقرير أكتوبر'!$C$4,$P796='تقرير أكتوبر'!$C$6),COUNT(X$4:X795)+1,"")</f>
        <v/>
      </c>
      <c r="Y796">
        <f>IF(AND($A796&lt;&gt;"",$B796&lt;&gt;"",$R796='تقرير نوفمبر'!$C$4,$P796='تقرير نوفمبر'!$C$6),COUNT(Y$4:Y795)+1,"")</f>
        <v/>
      </c>
      <c r="Z796">
        <f>IF(AND($A796&lt;&gt;"",$B796&lt;&gt;"",$R796='تقرير ديسمبر'!$C$4,$P796='تقرير ديسمبر'!$C$6),COUNT(Z$4:Z795)+1,"")</f>
        <v/>
      </c>
      <c r="AA796">
        <f>IF(AND($A796&lt;&gt;"",$B796&lt;&gt;"",$R796='تقرير يناير'!$C$4,$P796='تقرير يناير'!$C$6),COUNT(AA$4:AA795)+1,"")</f>
        <v/>
      </c>
      <c r="AB796">
        <f>IF(AND($A796&lt;&gt;"",$B796&lt;&gt;"",$R796='تقرير فبراير'!$C$4,$P796='تقرير فبراير'!$C$6),COUNT(AB$4:AB795)+1,"")</f>
        <v/>
      </c>
      <c r="AC796">
        <f>IF(AND($A796&lt;&gt;"",$B796&lt;&gt;"",$R796='تقرير مارس'!$C$4,$P796='تقرير مارس'!$C$6),COUNT(AC$4:AC795)+1,"")</f>
        <v/>
      </c>
      <c r="AD796">
        <f>IF(AND($A796&lt;&gt;"",$B796&lt;&gt;"",$R796='تقرير أبريل'!$C$4,$P796='تقرير أبريل'!$C$6),COUNT(AD$4:AD795)+1,"")</f>
        <v/>
      </c>
      <c r="AE796">
        <f>IF(AND($A796&lt;&gt;"",$B796&lt;&gt;"",$R796='تقرير مايو'!$C$4,$P796='تقرير مايو'!$C$6),COUNT(AE$4:AE795)+1,"")</f>
        <v/>
      </c>
    </row>
    <row r="797">
      <c r="A797" s="16" t="n"/>
      <c r="B797" s="17" t="n"/>
      <c r="C797" s="17" t="n"/>
      <c r="D797" s="18" t="n"/>
      <c r="E797" s="17" t="n"/>
      <c r="F797" s="17" t="n"/>
      <c r="G797" s="19" t="n"/>
      <c r="H797" s="17" t="n"/>
      <c r="I797" s="17" t="n"/>
      <c r="J797" s="17" t="n"/>
      <c r="K797" s="20">
        <f>IF($B797="","",IFERROR(INDEX(الموظفات!$A$5:$A$304,MATCH($B797,الموظفات!$B$5:$B$304,0))&amp;"",""))</f>
        <v/>
      </c>
      <c r="L797" s="21">
        <f>IF($B797="","",IFERROR(INDEX(الموظفات!$C$5:$C$304,MATCH($B797,الموظفات!$B$5:$B$304,0))&amp;"",""))</f>
        <v/>
      </c>
      <c r="M797" s="20">
        <f>IF($B797="","",IFERROR(INDEX(الموظفات!$D$5:$D$304,MATCH($B797,الموظفات!$B$5:$B$304,0))&amp;"",""))</f>
        <v/>
      </c>
      <c r="N797" s="20">
        <f>IF($B797="","",IFERROR(INDEX(الموظفات!$E$5:$E$304,MATCH($B797,الموظفات!$B$5:$B$304,0))&amp;"",""))</f>
        <v/>
      </c>
      <c r="O797" s="21">
        <f>IF(C797="","",IFERROR(INDEX(الإعدادات!$D$7:$D$35,MATCH(C797,الإعدادات!$A$7:$A$35,0))&amp;"",""))</f>
        <v/>
      </c>
      <c r="P797" s="20">
        <f>IF(A797="","",INDEX(الإعدادات!$H$7:$H$18,MONTH(A797)))</f>
        <v/>
      </c>
      <c r="Q797" s="20">
        <f>IF(A797="","",INDEX(الإعدادات!$I$7:$I$18,MONTH(A797)))</f>
        <v/>
      </c>
      <c r="R797" s="20">
        <f>IF(A797="","",IF(MONTH(A797)&gt;=8,YEAR(A797)&amp;"-"&amp;(YEAR(A797)+1),(YEAR(A797)-1)&amp;"-"&amp;YEAR(A797)))</f>
        <v/>
      </c>
      <c r="S797" s="20">
        <f>IF(OR(A797="",B797=""),0,IF(AND(R797=التقارير!$C$4,OR(التقارير!$C$5="سنوي",AND(التقارير!$C$5="شهري",P797=التقارير!$C$6),AND(التقارير!$C$5="فصلي",Q797=التقارير!$C$7))),1,0))</f>
        <v/>
      </c>
      <c r="T797" s="20">
        <f>IF(S797=1,COUNTIF($S$5:S797,1),"")</f>
        <v/>
      </c>
      <c r="U797">
        <f>IF(AND($A797&lt;&gt;"",$B797&lt;&gt;"",$R797='تقرير الفصل الأول'!$C$4,$Q797='تقرير الفصل الأول'!$C$7),COUNT(U$4:U796)+1,"")</f>
        <v/>
      </c>
      <c r="V797">
        <f>IF(AND($A797&lt;&gt;"",$B797&lt;&gt;"",$R797='تقرير الفصل الثاني'!$C$4,$Q797='تقرير الفصل الثاني'!$C$7),COUNT(V$4:V796)+1,"")</f>
        <v/>
      </c>
      <c r="W797">
        <f>IF(AND($A797&lt;&gt;"",$B797&lt;&gt;"",$R797='تقرير سبتمبر'!$C$4,$P797='تقرير سبتمبر'!$C$6),COUNT(W$4:W796)+1,"")</f>
        <v/>
      </c>
      <c r="X797">
        <f>IF(AND($A797&lt;&gt;"",$B797&lt;&gt;"",$R797='تقرير أكتوبر'!$C$4,$P797='تقرير أكتوبر'!$C$6),COUNT(X$4:X796)+1,"")</f>
        <v/>
      </c>
      <c r="Y797">
        <f>IF(AND($A797&lt;&gt;"",$B797&lt;&gt;"",$R797='تقرير نوفمبر'!$C$4,$P797='تقرير نوفمبر'!$C$6),COUNT(Y$4:Y796)+1,"")</f>
        <v/>
      </c>
      <c r="Z797">
        <f>IF(AND($A797&lt;&gt;"",$B797&lt;&gt;"",$R797='تقرير ديسمبر'!$C$4,$P797='تقرير ديسمبر'!$C$6),COUNT(Z$4:Z796)+1,"")</f>
        <v/>
      </c>
      <c r="AA797">
        <f>IF(AND($A797&lt;&gt;"",$B797&lt;&gt;"",$R797='تقرير يناير'!$C$4,$P797='تقرير يناير'!$C$6),COUNT(AA$4:AA796)+1,"")</f>
        <v/>
      </c>
      <c r="AB797">
        <f>IF(AND($A797&lt;&gt;"",$B797&lt;&gt;"",$R797='تقرير فبراير'!$C$4,$P797='تقرير فبراير'!$C$6),COUNT(AB$4:AB796)+1,"")</f>
        <v/>
      </c>
      <c r="AC797">
        <f>IF(AND($A797&lt;&gt;"",$B797&lt;&gt;"",$R797='تقرير مارس'!$C$4,$P797='تقرير مارس'!$C$6),COUNT(AC$4:AC796)+1,"")</f>
        <v/>
      </c>
      <c r="AD797">
        <f>IF(AND($A797&lt;&gt;"",$B797&lt;&gt;"",$R797='تقرير أبريل'!$C$4,$P797='تقرير أبريل'!$C$6),COUNT(AD$4:AD796)+1,"")</f>
        <v/>
      </c>
      <c r="AE797">
        <f>IF(AND($A797&lt;&gt;"",$B797&lt;&gt;"",$R797='تقرير مايو'!$C$4,$P797='تقرير مايو'!$C$6),COUNT(AE$4:AE796)+1,"")</f>
        <v/>
      </c>
    </row>
    <row r="798">
      <c r="A798" s="16" t="n"/>
      <c r="B798" s="17" t="n"/>
      <c r="C798" s="17" t="n"/>
      <c r="D798" s="18" t="n"/>
      <c r="E798" s="17" t="n"/>
      <c r="F798" s="17" t="n"/>
      <c r="G798" s="19" t="n"/>
      <c r="H798" s="17" t="n"/>
      <c r="I798" s="17" t="n"/>
      <c r="J798" s="17" t="n"/>
      <c r="K798" s="20">
        <f>IF($B798="","",IFERROR(INDEX(الموظفات!$A$5:$A$304,MATCH($B798,الموظفات!$B$5:$B$304,0))&amp;"",""))</f>
        <v/>
      </c>
      <c r="L798" s="21">
        <f>IF($B798="","",IFERROR(INDEX(الموظفات!$C$5:$C$304,MATCH($B798,الموظفات!$B$5:$B$304,0))&amp;"",""))</f>
        <v/>
      </c>
      <c r="M798" s="20">
        <f>IF($B798="","",IFERROR(INDEX(الموظفات!$D$5:$D$304,MATCH($B798,الموظفات!$B$5:$B$304,0))&amp;"",""))</f>
        <v/>
      </c>
      <c r="N798" s="20">
        <f>IF($B798="","",IFERROR(INDEX(الموظفات!$E$5:$E$304,MATCH($B798,الموظفات!$B$5:$B$304,0))&amp;"",""))</f>
        <v/>
      </c>
      <c r="O798" s="21">
        <f>IF(C798="","",IFERROR(INDEX(الإعدادات!$D$7:$D$35,MATCH(C798,الإعدادات!$A$7:$A$35,0))&amp;"",""))</f>
        <v/>
      </c>
      <c r="P798" s="20">
        <f>IF(A798="","",INDEX(الإعدادات!$H$7:$H$18,MONTH(A798)))</f>
        <v/>
      </c>
      <c r="Q798" s="20">
        <f>IF(A798="","",INDEX(الإعدادات!$I$7:$I$18,MONTH(A798)))</f>
        <v/>
      </c>
      <c r="R798" s="20">
        <f>IF(A798="","",IF(MONTH(A798)&gt;=8,YEAR(A798)&amp;"-"&amp;(YEAR(A798)+1),(YEAR(A798)-1)&amp;"-"&amp;YEAR(A798)))</f>
        <v/>
      </c>
      <c r="S798" s="20">
        <f>IF(OR(A798="",B798=""),0,IF(AND(R798=التقارير!$C$4,OR(التقارير!$C$5="سنوي",AND(التقارير!$C$5="شهري",P798=التقارير!$C$6),AND(التقارير!$C$5="فصلي",Q798=التقارير!$C$7))),1,0))</f>
        <v/>
      </c>
      <c r="T798" s="20">
        <f>IF(S798=1,COUNTIF($S$5:S798,1),"")</f>
        <v/>
      </c>
      <c r="U798">
        <f>IF(AND($A798&lt;&gt;"",$B798&lt;&gt;"",$R798='تقرير الفصل الأول'!$C$4,$Q798='تقرير الفصل الأول'!$C$7),COUNT(U$4:U797)+1,"")</f>
        <v/>
      </c>
      <c r="V798">
        <f>IF(AND($A798&lt;&gt;"",$B798&lt;&gt;"",$R798='تقرير الفصل الثاني'!$C$4,$Q798='تقرير الفصل الثاني'!$C$7),COUNT(V$4:V797)+1,"")</f>
        <v/>
      </c>
      <c r="W798">
        <f>IF(AND($A798&lt;&gt;"",$B798&lt;&gt;"",$R798='تقرير سبتمبر'!$C$4,$P798='تقرير سبتمبر'!$C$6),COUNT(W$4:W797)+1,"")</f>
        <v/>
      </c>
      <c r="X798">
        <f>IF(AND($A798&lt;&gt;"",$B798&lt;&gt;"",$R798='تقرير أكتوبر'!$C$4,$P798='تقرير أكتوبر'!$C$6),COUNT(X$4:X797)+1,"")</f>
        <v/>
      </c>
      <c r="Y798">
        <f>IF(AND($A798&lt;&gt;"",$B798&lt;&gt;"",$R798='تقرير نوفمبر'!$C$4,$P798='تقرير نوفمبر'!$C$6),COUNT(Y$4:Y797)+1,"")</f>
        <v/>
      </c>
      <c r="Z798">
        <f>IF(AND($A798&lt;&gt;"",$B798&lt;&gt;"",$R798='تقرير ديسمبر'!$C$4,$P798='تقرير ديسمبر'!$C$6),COUNT(Z$4:Z797)+1,"")</f>
        <v/>
      </c>
      <c r="AA798">
        <f>IF(AND($A798&lt;&gt;"",$B798&lt;&gt;"",$R798='تقرير يناير'!$C$4,$P798='تقرير يناير'!$C$6),COUNT(AA$4:AA797)+1,"")</f>
        <v/>
      </c>
      <c r="AB798">
        <f>IF(AND($A798&lt;&gt;"",$B798&lt;&gt;"",$R798='تقرير فبراير'!$C$4,$P798='تقرير فبراير'!$C$6),COUNT(AB$4:AB797)+1,"")</f>
        <v/>
      </c>
      <c r="AC798">
        <f>IF(AND($A798&lt;&gt;"",$B798&lt;&gt;"",$R798='تقرير مارس'!$C$4,$P798='تقرير مارس'!$C$6),COUNT(AC$4:AC797)+1,"")</f>
        <v/>
      </c>
      <c r="AD798">
        <f>IF(AND($A798&lt;&gt;"",$B798&lt;&gt;"",$R798='تقرير أبريل'!$C$4,$P798='تقرير أبريل'!$C$6),COUNT(AD$4:AD797)+1,"")</f>
        <v/>
      </c>
      <c r="AE798">
        <f>IF(AND($A798&lt;&gt;"",$B798&lt;&gt;"",$R798='تقرير مايو'!$C$4,$P798='تقرير مايو'!$C$6),COUNT(AE$4:AE797)+1,"")</f>
        <v/>
      </c>
    </row>
    <row r="799">
      <c r="A799" s="16" t="n"/>
      <c r="B799" s="17" t="n"/>
      <c r="C799" s="17" t="n"/>
      <c r="D799" s="18" t="n"/>
      <c r="E799" s="17" t="n"/>
      <c r="F799" s="17" t="n"/>
      <c r="G799" s="19" t="n"/>
      <c r="H799" s="17" t="n"/>
      <c r="I799" s="17" t="n"/>
      <c r="J799" s="17" t="n"/>
      <c r="K799" s="20">
        <f>IF($B799="","",IFERROR(INDEX(الموظفات!$A$5:$A$304,MATCH($B799,الموظفات!$B$5:$B$304,0))&amp;"",""))</f>
        <v/>
      </c>
      <c r="L799" s="21">
        <f>IF($B799="","",IFERROR(INDEX(الموظفات!$C$5:$C$304,MATCH($B799,الموظفات!$B$5:$B$304,0))&amp;"",""))</f>
        <v/>
      </c>
      <c r="M799" s="20">
        <f>IF($B799="","",IFERROR(INDEX(الموظفات!$D$5:$D$304,MATCH($B799,الموظفات!$B$5:$B$304,0))&amp;"",""))</f>
        <v/>
      </c>
      <c r="N799" s="20">
        <f>IF($B799="","",IFERROR(INDEX(الموظفات!$E$5:$E$304,MATCH($B799,الموظفات!$B$5:$B$304,0))&amp;"",""))</f>
        <v/>
      </c>
      <c r="O799" s="21">
        <f>IF(C799="","",IFERROR(INDEX(الإعدادات!$D$7:$D$35,MATCH(C799,الإعدادات!$A$7:$A$35,0))&amp;"",""))</f>
        <v/>
      </c>
      <c r="P799" s="20">
        <f>IF(A799="","",INDEX(الإعدادات!$H$7:$H$18,MONTH(A799)))</f>
        <v/>
      </c>
      <c r="Q799" s="20">
        <f>IF(A799="","",INDEX(الإعدادات!$I$7:$I$18,MONTH(A799)))</f>
        <v/>
      </c>
      <c r="R799" s="20">
        <f>IF(A799="","",IF(MONTH(A799)&gt;=8,YEAR(A799)&amp;"-"&amp;(YEAR(A799)+1),(YEAR(A799)-1)&amp;"-"&amp;YEAR(A799)))</f>
        <v/>
      </c>
      <c r="S799" s="20">
        <f>IF(OR(A799="",B799=""),0,IF(AND(R799=التقارير!$C$4,OR(التقارير!$C$5="سنوي",AND(التقارير!$C$5="شهري",P799=التقارير!$C$6),AND(التقارير!$C$5="فصلي",Q799=التقارير!$C$7))),1,0))</f>
        <v/>
      </c>
      <c r="T799" s="20">
        <f>IF(S799=1,COUNTIF($S$5:S799,1),"")</f>
        <v/>
      </c>
      <c r="U799">
        <f>IF(AND($A799&lt;&gt;"",$B799&lt;&gt;"",$R799='تقرير الفصل الأول'!$C$4,$Q799='تقرير الفصل الأول'!$C$7),COUNT(U$4:U798)+1,"")</f>
        <v/>
      </c>
      <c r="V799">
        <f>IF(AND($A799&lt;&gt;"",$B799&lt;&gt;"",$R799='تقرير الفصل الثاني'!$C$4,$Q799='تقرير الفصل الثاني'!$C$7),COUNT(V$4:V798)+1,"")</f>
        <v/>
      </c>
      <c r="W799">
        <f>IF(AND($A799&lt;&gt;"",$B799&lt;&gt;"",$R799='تقرير سبتمبر'!$C$4,$P799='تقرير سبتمبر'!$C$6),COUNT(W$4:W798)+1,"")</f>
        <v/>
      </c>
      <c r="X799">
        <f>IF(AND($A799&lt;&gt;"",$B799&lt;&gt;"",$R799='تقرير أكتوبر'!$C$4,$P799='تقرير أكتوبر'!$C$6),COUNT(X$4:X798)+1,"")</f>
        <v/>
      </c>
      <c r="Y799">
        <f>IF(AND($A799&lt;&gt;"",$B799&lt;&gt;"",$R799='تقرير نوفمبر'!$C$4,$P799='تقرير نوفمبر'!$C$6),COUNT(Y$4:Y798)+1,"")</f>
        <v/>
      </c>
      <c r="Z799">
        <f>IF(AND($A799&lt;&gt;"",$B799&lt;&gt;"",$R799='تقرير ديسمبر'!$C$4,$P799='تقرير ديسمبر'!$C$6),COUNT(Z$4:Z798)+1,"")</f>
        <v/>
      </c>
      <c r="AA799">
        <f>IF(AND($A799&lt;&gt;"",$B799&lt;&gt;"",$R799='تقرير يناير'!$C$4,$P799='تقرير يناير'!$C$6),COUNT(AA$4:AA798)+1,"")</f>
        <v/>
      </c>
      <c r="AB799">
        <f>IF(AND($A799&lt;&gt;"",$B799&lt;&gt;"",$R799='تقرير فبراير'!$C$4,$P799='تقرير فبراير'!$C$6),COUNT(AB$4:AB798)+1,"")</f>
        <v/>
      </c>
      <c r="AC799">
        <f>IF(AND($A799&lt;&gt;"",$B799&lt;&gt;"",$R799='تقرير مارس'!$C$4,$P799='تقرير مارس'!$C$6),COUNT(AC$4:AC798)+1,"")</f>
        <v/>
      </c>
      <c r="AD799">
        <f>IF(AND($A799&lt;&gt;"",$B799&lt;&gt;"",$R799='تقرير أبريل'!$C$4,$P799='تقرير أبريل'!$C$6),COUNT(AD$4:AD798)+1,"")</f>
        <v/>
      </c>
      <c r="AE799">
        <f>IF(AND($A799&lt;&gt;"",$B799&lt;&gt;"",$R799='تقرير مايو'!$C$4,$P799='تقرير مايو'!$C$6),COUNT(AE$4:AE798)+1,"")</f>
        <v/>
      </c>
    </row>
    <row r="800">
      <c r="A800" s="16" t="n"/>
      <c r="B800" s="17" t="n"/>
      <c r="C800" s="17" t="n"/>
      <c r="D800" s="18" t="n"/>
      <c r="E800" s="17" t="n"/>
      <c r="F800" s="17" t="n"/>
      <c r="G800" s="19" t="n"/>
      <c r="H800" s="17" t="n"/>
      <c r="I800" s="17" t="n"/>
      <c r="J800" s="17" t="n"/>
      <c r="K800" s="20">
        <f>IF($B800="","",IFERROR(INDEX(الموظفات!$A$5:$A$304,MATCH($B800,الموظفات!$B$5:$B$304,0))&amp;"",""))</f>
        <v/>
      </c>
      <c r="L800" s="21">
        <f>IF($B800="","",IFERROR(INDEX(الموظفات!$C$5:$C$304,MATCH($B800,الموظفات!$B$5:$B$304,0))&amp;"",""))</f>
        <v/>
      </c>
      <c r="M800" s="20">
        <f>IF($B800="","",IFERROR(INDEX(الموظفات!$D$5:$D$304,MATCH($B800,الموظفات!$B$5:$B$304,0))&amp;"",""))</f>
        <v/>
      </c>
      <c r="N800" s="20">
        <f>IF($B800="","",IFERROR(INDEX(الموظفات!$E$5:$E$304,MATCH($B800,الموظفات!$B$5:$B$304,0))&amp;"",""))</f>
        <v/>
      </c>
      <c r="O800" s="21">
        <f>IF(C800="","",IFERROR(INDEX(الإعدادات!$D$7:$D$35,MATCH(C800,الإعدادات!$A$7:$A$35,0))&amp;"",""))</f>
        <v/>
      </c>
      <c r="P800" s="20">
        <f>IF(A800="","",INDEX(الإعدادات!$H$7:$H$18,MONTH(A800)))</f>
        <v/>
      </c>
      <c r="Q800" s="20">
        <f>IF(A800="","",INDEX(الإعدادات!$I$7:$I$18,MONTH(A800)))</f>
        <v/>
      </c>
      <c r="R800" s="20">
        <f>IF(A800="","",IF(MONTH(A800)&gt;=8,YEAR(A800)&amp;"-"&amp;(YEAR(A800)+1),(YEAR(A800)-1)&amp;"-"&amp;YEAR(A800)))</f>
        <v/>
      </c>
      <c r="S800" s="20">
        <f>IF(OR(A800="",B800=""),0,IF(AND(R800=التقارير!$C$4,OR(التقارير!$C$5="سنوي",AND(التقارير!$C$5="شهري",P800=التقارير!$C$6),AND(التقارير!$C$5="فصلي",Q800=التقارير!$C$7))),1,0))</f>
        <v/>
      </c>
      <c r="T800" s="20">
        <f>IF(S800=1,COUNTIF($S$5:S800,1),"")</f>
        <v/>
      </c>
      <c r="U800">
        <f>IF(AND($A800&lt;&gt;"",$B800&lt;&gt;"",$R800='تقرير الفصل الأول'!$C$4,$Q800='تقرير الفصل الأول'!$C$7),COUNT(U$4:U799)+1,"")</f>
        <v/>
      </c>
      <c r="V800">
        <f>IF(AND($A800&lt;&gt;"",$B800&lt;&gt;"",$R800='تقرير الفصل الثاني'!$C$4,$Q800='تقرير الفصل الثاني'!$C$7),COUNT(V$4:V799)+1,"")</f>
        <v/>
      </c>
      <c r="W800">
        <f>IF(AND($A800&lt;&gt;"",$B800&lt;&gt;"",$R800='تقرير سبتمبر'!$C$4,$P800='تقرير سبتمبر'!$C$6),COUNT(W$4:W799)+1,"")</f>
        <v/>
      </c>
      <c r="X800">
        <f>IF(AND($A800&lt;&gt;"",$B800&lt;&gt;"",$R800='تقرير أكتوبر'!$C$4,$P800='تقرير أكتوبر'!$C$6),COUNT(X$4:X799)+1,"")</f>
        <v/>
      </c>
      <c r="Y800">
        <f>IF(AND($A800&lt;&gt;"",$B800&lt;&gt;"",$R800='تقرير نوفمبر'!$C$4,$P800='تقرير نوفمبر'!$C$6),COUNT(Y$4:Y799)+1,"")</f>
        <v/>
      </c>
      <c r="Z800">
        <f>IF(AND($A800&lt;&gt;"",$B800&lt;&gt;"",$R800='تقرير ديسمبر'!$C$4,$P800='تقرير ديسمبر'!$C$6),COUNT(Z$4:Z799)+1,"")</f>
        <v/>
      </c>
      <c r="AA800">
        <f>IF(AND($A800&lt;&gt;"",$B800&lt;&gt;"",$R800='تقرير يناير'!$C$4,$P800='تقرير يناير'!$C$6),COUNT(AA$4:AA799)+1,"")</f>
        <v/>
      </c>
      <c r="AB800">
        <f>IF(AND($A800&lt;&gt;"",$B800&lt;&gt;"",$R800='تقرير فبراير'!$C$4,$P800='تقرير فبراير'!$C$6),COUNT(AB$4:AB799)+1,"")</f>
        <v/>
      </c>
      <c r="AC800">
        <f>IF(AND($A800&lt;&gt;"",$B800&lt;&gt;"",$R800='تقرير مارس'!$C$4,$P800='تقرير مارس'!$C$6),COUNT(AC$4:AC799)+1,"")</f>
        <v/>
      </c>
      <c r="AD800">
        <f>IF(AND($A800&lt;&gt;"",$B800&lt;&gt;"",$R800='تقرير أبريل'!$C$4,$P800='تقرير أبريل'!$C$6),COUNT(AD$4:AD799)+1,"")</f>
        <v/>
      </c>
      <c r="AE800">
        <f>IF(AND($A800&lt;&gt;"",$B800&lt;&gt;"",$R800='تقرير مايو'!$C$4,$P800='تقرير مايو'!$C$6),COUNT(AE$4:AE799)+1,"")</f>
        <v/>
      </c>
    </row>
    <row r="801">
      <c r="A801" s="16" t="n"/>
      <c r="B801" s="17" t="n"/>
      <c r="C801" s="17" t="n"/>
      <c r="D801" s="18" t="n"/>
      <c r="E801" s="17" t="n"/>
      <c r="F801" s="17" t="n"/>
      <c r="G801" s="19" t="n"/>
      <c r="H801" s="17" t="n"/>
      <c r="I801" s="17" t="n"/>
      <c r="J801" s="17" t="n"/>
      <c r="K801" s="20">
        <f>IF($B801="","",IFERROR(INDEX(الموظفات!$A$5:$A$304,MATCH($B801,الموظفات!$B$5:$B$304,0))&amp;"",""))</f>
        <v/>
      </c>
      <c r="L801" s="21">
        <f>IF($B801="","",IFERROR(INDEX(الموظفات!$C$5:$C$304,MATCH($B801,الموظفات!$B$5:$B$304,0))&amp;"",""))</f>
        <v/>
      </c>
      <c r="M801" s="20">
        <f>IF($B801="","",IFERROR(INDEX(الموظفات!$D$5:$D$304,MATCH($B801,الموظفات!$B$5:$B$304,0))&amp;"",""))</f>
        <v/>
      </c>
      <c r="N801" s="20">
        <f>IF($B801="","",IFERROR(INDEX(الموظفات!$E$5:$E$304,MATCH($B801,الموظفات!$B$5:$B$304,0))&amp;"",""))</f>
        <v/>
      </c>
      <c r="O801" s="21">
        <f>IF(C801="","",IFERROR(INDEX(الإعدادات!$D$7:$D$35,MATCH(C801,الإعدادات!$A$7:$A$35,0))&amp;"",""))</f>
        <v/>
      </c>
      <c r="P801" s="20">
        <f>IF(A801="","",INDEX(الإعدادات!$H$7:$H$18,MONTH(A801)))</f>
        <v/>
      </c>
      <c r="Q801" s="20">
        <f>IF(A801="","",INDEX(الإعدادات!$I$7:$I$18,MONTH(A801)))</f>
        <v/>
      </c>
      <c r="R801" s="20">
        <f>IF(A801="","",IF(MONTH(A801)&gt;=8,YEAR(A801)&amp;"-"&amp;(YEAR(A801)+1),(YEAR(A801)-1)&amp;"-"&amp;YEAR(A801)))</f>
        <v/>
      </c>
      <c r="S801" s="20">
        <f>IF(OR(A801="",B801=""),0,IF(AND(R801=التقارير!$C$4,OR(التقارير!$C$5="سنوي",AND(التقارير!$C$5="شهري",P801=التقارير!$C$6),AND(التقارير!$C$5="فصلي",Q801=التقارير!$C$7))),1,0))</f>
        <v/>
      </c>
      <c r="T801" s="20">
        <f>IF(S801=1,COUNTIF($S$5:S801,1),"")</f>
        <v/>
      </c>
      <c r="U801">
        <f>IF(AND($A801&lt;&gt;"",$B801&lt;&gt;"",$R801='تقرير الفصل الأول'!$C$4,$Q801='تقرير الفصل الأول'!$C$7),COUNT(U$4:U800)+1,"")</f>
        <v/>
      </c>
      <c r="V801">
        <f>IF(AND($A801&lt;&gt;"",$B801&lt;&gt;"",$R801='تقرير الفصل الثاني'!$C$4,$Q801='تقرير الفصل الثاني'!$C$7),COUNT(V$4:V800)+1,"")</f>
        <v/>
      </c>
      <c r="W801">
        <f>IF(AND($A801&lt;&gt;"",$B801&lt;&gt;"",$R801='تقرير سبتمبر'!$C$4,$P801='تقرير سبتمبر'!$C$6),COUNT(W$4:W800)+1,"")</f>
        <v/>
      </c>
      <c r="X801">
        <f>IF(AND($A801&lt;&gt;"",$B801&lt;&gt;"",$R801='تقرير أكتوبر'!$C$4,$P801='تقرير أكتوبر'!$C$6),COUNT(X$4:X800)+1,"")</f>
        <v/>
      </c>
      <c r="Y801">
        <f>IF(AND($A801&lt;&gt;"",$B801&lt;&gt;"",$R801='تقرير نوفمبر'!$C$4,$P801='تقرير نوفمبر'!$C$6),COUNT(Y$4:Y800)+1,"")</f>
        <v/>
      </c>
      <c r="Z801">
        <f>IF(AND($A801&lt;&gt;"",$B801&lt;&gt;"",$R801='تقرير ديسمبر'!$C$4,$P801='تقرير ديسمبر'!$C$6),COUNT(Z$4:Z800)+1,"")</f>
        <v/>
      </c>
      <c r="AA801">
        <f>IF(AND($A801&lt;&gt;"",$B801&lt;&gt;"",$R801='تقرير يناير'!$C$4,$P801='تقرير يناير'!$C$6),COUNT(AA$4:AA800)+1,"")</f>
        <v/>
      </c>
      <c r="AB801">
        <f>IF(AND($A801&lt;&gt;"",$B801&lt;&gt;"",$R801='تقرير فبراير'!$C$4,$P801='تقرير فبراير'!$C$6),COUNT(AB$4:AB800)+1,"")</f>
        <v/>
      </c>
      <c r="AC801">
        <f>IF(AND($A801&lt;&gt;"",$B801&lt;&gt;"",$R801='تقرير مارس'!$C$4,$P801='تقرير مارس'!$C$6),COUNT(AC$4:AC800)+1,"")</f>
        <v/>
      </c>
      <c r="AD801">
        <f>IF(AND($A801&lt;&gt;"",$B801&lt;&gt;"",$R801='تقرير أبريل'!$C$4,$P801='تقرير أبريل'!$C$6),COUNT(AD$4:AD800)+1,"")</f>
        <v/>
      </c>
      <c r="AE801">
        <f>IF(AND($A801&lt;&gt;"",$B801&lt;&gt;"",$R801='تقرير مايو'!$C$4,$P801='تقرير مايو'!$C$6),COUNT(AE$4:AE800)+1,"")</f>
        <v/>
      </c>
    </row>
    <row r="802">
      <c r="A802" s="16" t="n"/>
      <c r="B802" s="17" t="n"/>
      <c r="C802" s="17" t="n"/>
      <c r="D802" s="18" t="n"/>
      <c r="E802" s="17" t="n"/>
      <c r="F802" s="17" t="n"/>
      <c r="G802" s="19" t="n"/>
      <c r="H802" s="17" t="n"/>
      <c r="I802" s="17" t="n"/>
      <c r="J802" s="17" t="n"/>
      <c r="K802" s="20">
        <f>IF($B802="","",IFERROR(INDEX(الموظفات!$A$5:$A$304,MATCH($B802,الموظفات!$B$5:$B$304,0))&amp;"",""))</f>
        <v/>
      </c>
      <c r="L802" s="21">
        <f>IF($B802="","",IFERROR(INDEX(الموظفات!$C$5:$C$304,MATCH($B802,الموظفات!$B$5:$B$304,0))&amp;"",""))</f>
        <v/>
      </c>
      <c r="M802" s="20">
        <f>IF($B802="","",IFERROR(INDEX(الموظفات!$D$5:$D$304,MATCH($B802,الموظفات!$B$5:$B$304,0))&amp;"",""))</f>
        <v/>
      </c>
      <c r="N802" s="20">
        <f>IF($B802="","",IFERROR(INDEX(الموظفات!$E$5:$E$304,MATCH($B802,الموظفات!$B$5:$B$304,0))&amp;"",""))</f>
        <v/>
      </c>
      <c r="O802" s="21">
        <f>IF(C802="","",IFERROR(INDEX(الإعدادات!$D$7:$D$35,MATCH(C802,الإعدادات!$A$7:$A$35,0))&amp;"",""))</f>
        <v/>
      </c>
      <c r="P802" s="20">
        <f>IF(A802="","",INDEX(الإعدادات!$H$7:$H$18,MONTH(A802)))</f>
        <v/>
      </c>
      <c r="Q802" s="20">
        <f>IF(A802="","",INDEX(الإعدادات!$I$7:$I$18,MONTH(A802)))</f>
        <v/>
      </c>
      <c r="R802" s="20">
        <f>IF(A802="","",IF(MONTH(A802)&gt;=8,YEAR(A802)&amp;"-"&amp;(YEAR(A802)+1),(YEAR(A802)-1)&amp;"-"&amp;YEAR(A802)))</f>
        <v/>
      </c>
      <c r="S802" s="20">
        <f>IF(OR(A802="",B802=""),0,IF(AND(R802=التقارير!$C$4,OR(التقارير!$C$5="سنوي",AND(التقارير!$C$5="شهري",P802=التقارير!$C$6),AND(التقارير!$C$5="فصلي",Q802=التقارير!$C$7))),1,0))</f>
        <v/>
      </c>
      <c r="T802" s="20">
        <f>IF(S802=1,COUNTIF($S$5:S802,1),"")</f>
        <v/>
      </c>
      <c r="U802">
        <f>IF(AND($A802&lt;&gt;"",$B802&lt;&gt;"",$R802='تقرير الفصل الأول'!$C$4,$Q802='تقرير الفصل الأول'!$C$7),COUNT(U$4:U801)+1,"")</f>
        <v/>
      </c>
      <c r="V802">
        <f>IF(AND($A802&lt;&gt;"",$B802&lt;&gt;"",$R802='تقرير الفصل الثاني'!$C$4,$Q802='تقرير الفصل الثاني'!$C$7),COUNT(V$4:V801)+1,"")</f>
        <v/>
      </c>
      <c r="W802">
        <f>IF(AND($A802&lt;&gt;"",$B802&lt;&gt;"",$R802='تقرير سبتمبر'!$C$4,$P802='تقرير سبتمبر'!$C$6),COUNT(W$4:W801)+1,"")</f>
        <v/>
      </c>
      <c r="X802">
        <f>IF(AND($A802&lt;&gt;"",$B802&lt;&gt;"",$R802='تقرير أكتوبر'!$C$4,$P802='تقرير أكتوبر'!$C$6),COUNT(X$4:X801)+1,"")</f>
        <v/>
      </c>
      <c r="Y802">
        <f>IF(AND($A802&lt;&gt;"",$B802&lt;&gt;"",$R802='تقرير نوفمبر'!$C$4,$P802='تقرير نوفمبر'!$C$6),COUNT(Y$4:Y801)+1,"")</f>
        <v/>
      </c>
      <c r="Z802">
        <f>IF(AND($A802&lt;&gt;"",$B802&lt;&gt;"",$R802='تقرير ديسمبر'!$C$4,$P802='تقرير ديسمبر'!$C$6),COUNT(Z$4:Z801)+1,"")</f>
        <v/>
      </c>
      <c r="AA802">
        <f>IF(AND($A802&lt;&gt;"",$B802&lt;&gt;"",$R802='تقرير يناير'!$C$4,$P802='تقرير يناير'!$C$6),COUNT(AA$4:AA801)+1,"")</f>
        <v/>
      </c>
      <c r="AB802">
        <f>IF(AND($A802&lt;&gt;"",$B802&lt;&gt;"",$R802='تقرير فبراير'!$C$4,$P802='تقرير فبراير'!$C$6),COUNT(AB$4:AB801)+1,"")</f>
        <v/>
      </c>
      <c r="AC802">
        <f>IF(AND($A802&lt;&gt;"",$B802&lt;&gt;"",$R802='تقرير مارس'!$C$4,$P802='تقرير مارس'!$C$6),COUNT(AC$4:AC801)+1,"")</f>
        <v/>
      </c>
      <c r="AD802">
        <f>IF(AND($A802&lt;&gt;"",$B802&lt;&gt;"",$R802='تقرير أبريل'!$C$4,$P802='تقرير أبريل'!$C$6),COUNT(AD$4:AD801)+1,"")</f>
        <v/>
      </c>
      <c r="AE802">
        <f>IF(AND($A802&lt;&gt;"",$B802&lt;&gt;"",$R802='تقرير مايو'!$C$4,$P802='تقرير مايو'!$C$6),COUNT(AE$4:AE801)+1,"")</f>
        <v/>
      </c>
    </row>
    <row r="803">
      <c r="A803" s="16" t="n"/>
      <c r="B803" s="17" t="n"/>
      <c r="C803" s="17" t="n"/>
      <c r="D803" s="18" t="n"/>
      <c r="E803" s="17" t="n"/>
      <c r="F803" s="17" t="n"/>
      <c r="G803" s="19" t="n"/>
      <c r="H803" s="17" t="n"/>
      <c r="I803" s="17" t="n"/>
      <c r="J803" s="17" t="n"/>
      <c r="K803" s="20">
        <f>IF($B803="","",IFERROR(INDEX(الموظفات!$A$5:$A$304,MATCH($B803,الموظفات!$B$5:$B$304,0))&amp;"",""))</f>
        <v/>
      </c>
      <c r="L803" s="21">
        <f>IF($B803="","",IFERROR(INDEX(الموظفات!$C$5:$C$304,MATCH($B803,الموظفات!$B$5:$B$304,0))&amp;"",""))</f>
        <v/>
      </c>
      <c r="M803" s="20">
        <f>IF($B803="","",IFERROR(INDEX(الموظفات!$D$5:$D$304,MATCH($B803,الموظفات!$B$5:$B$304,0))&amp;"",""))</f>
        <v/>
      </c>
      <c r="N803" s="20">
        <f>IF($B803="","",IFERROR(INDEX(الموظفات!$E$5:$E$304,MATCH($B803,الموظفات!$B$5:$B$304,0))&amp;"",""))</f>
        <v/>
      </c>
      <c r="O803" s="21">
        <f>IF(C803="","",IFERROR(INDEX(الإعدادات!$D$7:$D$35,MATCH(C803,الإعدادات!$A$7:$A$35,0))&amp;"",""))</f>
        <v/>
      </c>
      <c r="P803" s="20">
        <f>IF(A803="","",INDEX(الإعدادات!$H$7:$H$18,MONTH(A803)))</f>
        <v/>
      </c>
      <c r="Q803" s="20">
        <f>IF(A803="","",INDEX(الإعدادات!$I$7:$I$18,MONTH(A803)))</f>
        <v/>
      </c>
      <c r="R803" s="20">
        <f>IF(A803="","",IF(MONTH(A803)&gt;=8,YEAR(A803)&amp;"-"&amp;(YEAR(A803)+1),(YEAR(A803)-1)&amp;"-"&amp;YEAR(A803)))</f>
        <v/>
      </c>
      <c r="S803" s="20">
        <f>IF(OR(A803="",B803=""),0,IF(AND(R803=التقارير!$C$4,OR(التقارير!$C$5="سنوي",AND(التقارير!$C$5="شهري",P803=التقارير!$C$6),AND(التقارير!$C$5="فصلي",Q803=التقارير!$C$7))),1,0))</f>
        <v/>
      </c>
      <c r="T803" s="20">
        <f>IF(S803=1,COUNTIF($S$5:S803,1),"")</f>
        <v/>
      </c>
      <c r="U803">
        <f>IF(AND($A803&lt;&gt;"",$B803&lt;&gt;"",$R803='تقرير الفصل الأول'!$C$4,$Q803='تقرير الفصل الأول'!$C$7),COUNT(U$4:U802)+1,"")</f>
        <v/>
      </c>
      <c r="V803">
        <f>IF(AND($A803&lt;&gt;"",$B803&lt;&gt;"",$R803='تقرير الفصل الثاني'!$C$4,$Q803='تقرير الفصل الثاني'!$C$7),COUNT(V$4:V802)+1,"")</f>
        <v/>
      </c>
      <c r="W803">
        <f>IF(AND($A803&lt;&gt;"",$B803&lt;&gt;"",$R803='تقرير سبتمبر'!$C$4,$P803='تقرير سبتمبر'!$C$6),COUNT(W$4:W802)+1,"")</f>
        <v/>
      </c>
      <c r="X803">
        <f>IF(AND($A803&lt;&gt;"",$B803&lt;&gt;"",$R803='تقرير أكتوبر'!$C$4,$P803='تقرير أكتوبر'!$C$6),COUNT(X$4:X802)+1,"")</f>
        <v/>
      </c>
      <c r="Y803">
        <f>IF(AND($A803&lt;&gt;"",$B803&lt;&gt;"",$R803='تقرير نوفمبر'!$C$4,$P803='تقرير نوفمبر'!$C$6),COUNT(Y$4:Y802)+1,"")</f>
        <v/>
      </c>
      <c r="Z803">
        <f>IF(AND($A803&lt;&gt;"",$B803&lt;&gt;"",$R803='تقرير ديسمبر'!$C$4,$P803='تقرير ديسمبر'!$C$6),COUNT(Z$4:Z802)+1,"")</f>
        <v/>
      </c>
      <c r="AA803">
        <f>IF(AND($A803&lt;&gt;"",$B803&lt;&gt;"",$R803='تقرير يناير'!$C$4,$P803='تقرير يناير'!$C$6),COUNT(AA$4:AA802)+1,"")</f>
        <v/>
      </c>
      <c r="AB803">
        <f>IF(AND($A803&lt;&gt;"",$B803&lt;&gt;"",$R803='تقرير فبراير'!$C$4,$P803='تقرير فبراير'!$C$6),COUNT(AB$4:AB802)+1,"")</f>
        <v/>
      </c>
      <c r="AC803">
        <f>IF(AND($A803&lt;&gt;"",$B803&lt;&gt;"",$R803='تقرير مارس'!$C$4,$P803='تقرير مارس'!$C$6),COUNT(AC$4:AC802)+1,"")</f>
        <v/>
      </c>
      <c r="AD803">
        <f>IF(AND($A803&lt;&gt;"",$B803&lt;&gt;"",$R803='تقرير أبريل'!$C$4,$P803='تقرير أبريل'!$C$6),COUNT(AD$4:AD802)+1,"")</f>
        <v/>
      </c>
      <c r="AE803">
        <f>IF(AND($A803&lt;&gt;"",$B803&lt;&gt;"",$R803='تقرير مايو'!$C$4,$P803='تقرير مايو'!$C$6),COUNT(AE$4:AE802)+1,"")</f>
        <v/>
      </c>
    </row>
    <row r="804">
      <c r="A804" s="16" t="n"/>
      <c r="B804" s="17" t="n"/>
      <c r="C804" s="17" t="n"/>
      <c r="D804" s="18" t="n"/>
      <c r="E804" s="17" t="n"/>
      <c r="F804" s="17" t="n"/>
      <c r="G804" s="19" t="n"/>
      <c r="H804" s="17" t="n"/>
      <c r="I804" s="17" t="n"/>
      <c r="J804" s="17" t="n"/>
      <c r="K804" s="20">
        <f>IF($B804="","",IFERROR(INDEX(الموظفات!$A$5:$A$304,MATCH($B804,الموظفات!$B$5:$B$304,0))&amp;"",""))</f>
        <v/>
      </c>
      <c r="L804" s="21">
        <f>IF($B804="","",IFERROR(INDEX(الموظفات!$C$5:$C$304,MATCH($B804,الموظفات!$B$5:$B$304,0))&amp;"",""))</f>
        <v/>
      </c>
      <c r="M804" s="20">
        <f>IF($B804="","",IFERROR(INDEX(الموظفات!$D$5:$D$304,MATCH($B804,الموظفات!$B$5:$B$304,0))&amp;"",""))</f>
        <v/>
      </c>
      <c r="N804" s="20">
        <f>IF($B804="","",IFERROR(INDEX(الموظفات!$E$5:$E$304,MATCH($B804,الموظفات!$B$5:$B$304,0))&amp;"",""))</f>
        <v/>
      </c>
      <c r="O804" s="21">
        <f>IF(C804="","",IFERROR(INDEX(الإعدادات!$D$7:$D$35,MATCH(C804,الإعدادات!$A$7:$A$35,0))&amp;"",""))</f>
        <v/>
      </c>
      <c r="P804" s="20">
        <f>IF(A804="","",INDEX(الإعدادات!$H$7:$H$18,MONTH(A804)))</f>
        <v/>
      </c>
      <c r="Q804" s="20">
        <f>IF(A804="","",INDEX(الإعدادات!$I$7:$I$18,MONTH(A804)))</f>
        <v/>
      </c>
      <c r="R804" s="20">
        <f>IF(A804="","",IF(MONTH(A804)&gt;=8,YEAR(A804)&amp;"-"&amp;(YEAR(A804)+1),(YEAR(A804)-1)&amp;"-"&amp;YEAR(A804)))</f>
        <v/>
      </c>
      <c r="S804" s="20">
        <f>IF(OR(A804="",B804=""),0,IF(AND(R804=التقارير!$C$4,OR(التقارير!$C$5="سنوي",AND(التقارير!$C$5="شهري",P804=التقارير!$C$6),AND(التقارير!$C$5="فصلي",Q804=التقارير!$C$7))),1,0))</f>
        <v/>
      </c>
      <c r="T804" s="20">
        <f>IF(S804=1,COUNTIF($S$5:S804,1),"")</f>
        <v/>
      </c>
      <c r="U804">
        <f>IF(AND($A804&lt;&gt;"",$B804&lt;&gt;"",$R804='تقرير الفصل الأول'!$C$4,$Q804='تقرير الفصل الأول'!$C$7),COUNT(U$4:U803)+1,"")</f>
        <v/>
      </c>
      <c r="V804">
        <f>IF(AND($A804&lt;&gt;"",$B804&lt;&gt;"",$R804='تقرير الفصل الثاني'!$C$4,$Q804='تقرير الفصل الثاني'!$C$7),COUNT(V$4:V803)+1,"")</f>
        <v/>
      </c>
      <c r="W804">
        <f>IF(AND($A804&lt;&gt;"",$B804&lt;&gt;"",$R804='تقرير سبتمبر'!$C$4,$P804='تقرير سبتمبر'!$C$6),COUNT(W$4:W803)+1,"")</f>
        <v/>
      </c>
      <c r="X804">
        <f>IF(AND($A804&lt;&gt;"",$B804&lt;&gt;"",$R804='تقرير أكتوبر'!$C$4,$P804='تقرير أكتوبر'!$C$6),COUNT(X$4:X803)+1,"")</f>
        <v/>
      </c>
      <c r="Y804">
        <f>IF(AND($A804&lt;&gt;"",$B804&lt;&gt;"",$R804='تقرير نوفمبر'!$C$4,$P804='تقرير نوفمبر'!$C$6),COUNT(Y$4:Y803)+1,"")</f>
        <v/>
      </c>
      <c r="Z804">
        <f>IF(AND($A804&lt;&gt;"",$B804&lt;&gt;"",$R804='تقرير ديسمبر'!$C$4,$P804='تقرير ديسمبر'!$C$6),COUNT(Z$4:Z803)+1,"")</f>
        <v/>
      </c>
      <c r="AA804">
        <f>IF(AND($A804&lt;&gt;"",$B804&lt;&gt;"",$R804='تقرير يناير'!$C$4,$P804='تقرير يناير'!$C$6),COUNT(AA$4:AA803)+1,"")</f>
        <v/>
      </c>
      <c r="AB804">
        <f>IF(AND($A804&lt;&gt;"",$B804&lt;&gt;"",$R804='تقرير فبراير'!$C$4,$P804='تقرير فبراير'!$C$6),COUNT(AB$4:AB803)+1,"")</f>
        <v/>
      </c>
      <c r="AC804">
        <f>IF(AND($A804&lt;&gt;"",$B804&lt;&gt;"",$R804='تقرير مارس'!$C$4,$P804='تقرير مارس'!$C$6),COUNT(AC$4:AC803)+1,"")</f>
        <v/>
      </c>
      <c r="AD804">
        <f>IF(AND($A804&lt;&gt;"",$B804&lt;&gt;"",$R804='تقرير أبريل'!$C$4,$P804='تقرير أبريل'!$C$6),COUNT(AD$4:AD803)+1,"")</f>
        <v/>
      </c>
      <c r="AE804">
        <f>IF(AND($A804&lt;&gt;"",$B804&lt;&gt;"",$R804='تقرير مايو'!$C$4,$P804='تقرير مايو'!$C$6),COUNT(AE$4:AE803)+1,"")</f>
        <v/>
      </c>
    </row>
    <row r="805">
      <c r="A805" s="16" t="n"/>
      <c r="B805" s="17" t="n"/>
      <c r="C805" s="17" t="n"/>
      <c r="D805" s="18" t="n"/>
      <c r="E805" s="17" t="n"/>
      <c r="F805" s="17" t="n"/>
      <c r="G805" s="19" t="n"/>
      <c r="H805" s="17" t="n"/>
      <c r="I805" s="17" t="n"/>
      <c r="J805" s="17" t="n"/>
      <c r="K805" s="20">
        <f>IF($B805="","",IFERROR(INDEX(الموظفات!$A$5:$A$304,MATCH($B805,الموظفات!$B$5:$B$304,0))&amp;"",""))</f>
        <v/>
      </c>
      <c r="L805" s="21">
        <f>IF($B805="","",IFERROR(INDEX(الموظفات!$C$5:$C$304,MATCH($B805,الموظفات!$B$5:$B$304,0))&amp;"",""))</f>
        <v/>
      </c>
      <c r="M805" s="20">
        <f>IF($B805="","",IFERROR(INDEX(الموظفات!$D$5:$D$304,MATCH($B805,الموظفات!$B$5:$B$304,0))&amp;"",""))</f>
        <v/>
      </c>
      <c r="N805" s="20">
        <f>IF($B805="","",IFERROR(INDEX(الموظفات!$E$5:$E$304,MATCH($B805,الموظفات!$B$5:$B$304,0))&amp;"",""))</f>
        <v/>
      </c>
      <c r="O805" s="21">
        <f>IF(C805="","",IFERROR(INDEX(الإعدادات!$D$7:$D$35,MATCH(C805,الإعدادات!$A$7:$A$35,0))&amp;"",""))</f>
        <v/>
      </c>
      <c r="P805" s="20">
        <f>IF(A805="","",INDEX(الإعدادات!$H$7:$H$18,MONTH(A805)))</f>
        <v/>
      </c>
      <c r="Q805" s="20">
        <f>IF(A805="","",INDEX(الإعدادات!$I$7:$I$18,MONTH(A805)))</f>
        <v/>
      </c>
      <c r="R805" s="20">
        <f>IF(A805="","",IF(MONTH(A805)&gt;=8,YEAR(A805)&amp;"-"&amp;(YEAR(A805)+1),(YEAR(A805)-1)&amp;"-"&amp;YEAR(A805)))</f>
        <v/>
      </c>
      <c r="S805" s="20">
        <f>IF(OR(A805="",B805=""),0,IF(AND(R805=التقارير!$C$4,OR(التقارير!$C$5="سنوي",AND(التقارير!$C$5="شهري",P805=التقارير!$C$6),AND(التقارير!$C$5="فصلي",Q805=التقارير!$C$7))),1,0))</f>
        <v/>
      </c>
      <c r="T805" s="20">
        <f>IF(S805=1,COUNTIF($S$5:S805,1),"")</f>
        <v/>
      </c>
      <c r="U805">
        <f>IF(AND($A805&lt;&gt;"",$B805&lt;&gt;"",$R805='تقرير الفصل الأول'!$C$4,$Q805='تقرير الفصل الأول'!$C$7),COUNT(U$4:U804)+1,"")</f>
        <v/>
      </c>
      <c r="V805">
        <f>IF(AND($A805&lt;&gt;"",$B805&lt;&gt;"",$R805='تقرير الفصل الثاني'!$C$4,$Q805='تقرير الفصل الثاني'!$C$7),COUNT(V$4:V804)+1,"")</f>
        <v/>
      </c>
      <c r="W805">
        <f>IF(AND($A805&lt;&gt;"",$B805&lt;&gt;"",$R805='تقرير سبتمبر'!$C$4,$P805='تقرير سبتمبر'!$C$6),COUNT(W$4:W804)+1,"")</f>
        <v/>
      </c>
      <c r="X805">
        <f>IF(AND($A805&lt;&gt;"",$B805&lt;&gt;"",$R805='تقرير أكتوبر'!$C$4,$P805='تقرير أكتوبر'!$C$6),COUNT(X$4:X804)+1,"")</f>
        <v/>
      </c>
      <c r="Y805">
        <f>IF(AND($A805&lt;&gt;"",$B805&lt;&gt;"",$R805='تقرير نوفمبر'!$C$4,$P805='تقرير نوفمبر'!$C$6),COUNT(Y$4:Y804)+1,"")</f>
        <v/>
      </c>
      <c r="Z805">
        <f>IF(AND($A805&lt;&gt;"",$B805&lt;&gt;"",$R805='تقرير ديسمبر'!$C$4,$P805='تقرير ديسمبر'!$C$6),COUNT(Z$4:Z804)+1,"")</f>
        <v/>
      </c>
      <c r="AA805">
        <f>IF(AND($A805&lt;&gt;"",$B805&lt;&gt;"",$R805='تقرير يناير'!$C$4,$P805='تقرير يناير'!$C$6),COUNT(AA$4:AA804)+1,"")</f>
        <v/>
      </c>
      <c r="AB805">
        <f>IF(AND($A805&lt;&gt;"",$B805&lt;&gt;"",$R805='تقرير فبراير'!$C$4,$P805='تقرير فبراير'!$C$6),COUNT(AB$4:AB804)+1,"")</f>
        <v/>
      </c>
      <c r="AC805">
        <f>IF(AND($A805&lt;&gt;"",$B805&lt;&gt;"",$R805='تقرير مارس'!$C$4,$P805='تقرير مارس'!$C$6),COUNT(AC$4:AC804)+1,"")</f>
        <v/>
      </c>
      <c r="AD805">
        <f>IF(AND($A805&lt;&gt;"",$B805&lt;&gt;"",$R805='تقرير أبريل'!$C$4,$P805='تقرير أبريل'!$C$6),COUNT(AD$4:AD804)+1,"")</f>
        <v/>
      </c>
      <c r="AE805">
        <f>IF(AND($A805&lt;&gt;"",$B805&lt;&gt;"",$R805='تقرير مايو'!$C$4,$P805='تقرير مايو'!$C$6),COUNT(AE$4:AE804)+1,"")</f>
        <v/>
      </c>
    </row>
    <row r="806">
      <c r="A806" s="16" t="n"/>
      <c r="B806" s="17" t="n"/>
      <c r="C806" s="17" t="n"/>
      <c r="D806" s="18" t="n"/>
      <c r="E806" s="17" t="n"/>
      <c r="F806" s="17" t="n"/>
      <c r="G806" s="19" t="n"/>
      <c r="H806" s="17" t="n"/>
      <c r="I806" s="17" t="n"/>
      <c r="J806" s="17" t="n"/>
      <c r="K806" s="20">
        <f>IF($B806="","",IFERROR(INDEX(الموظفات!$A$5:$A$304,MATCH($B806,الموظفات!$B$5:$B$304,0))&amp;"",""))</f>
        <v/>
      </c>
      <c r="L806" s="21">
        <f>IF($B806="","",IFERROR(INDEX(الموظفات!$C$5:$C$304,MATCH($B806,الموظفات!$B$5:$B$304,0))&amp;"",""))</f>
        <v/>
      </c>
      <c r="M806" s="20">
        <f>IF($B806="","",IFERROR(INDEX(الموظفات!$D$5:$D$304,MATCH($B806,الموظفات!$B$5:$B$304,0))&amp;"",""))</f>
        <v/>
      </c>
      <c r="N806" s="20">
        <f>IF($B806="","",IFERROR(INDEX(الموظفات!$E$5:$E$304,MATCH($B806,الموظفات!$B$5:$B$304,0))&amp;"",""))</f>
        <v/>
      </c>
      <c r="O806" s="21">
        <f>IF(C806="","",IFERROR(INDEX(الإعدادات!$D$7:$D$35,MATCH(C806,الإعدادات!$A$7:$A$35,0))&amp;"",""))</f>
        <v/>
      </c>
      <c r="P806" s="20">
        <f>IF(A806="","",INDEX(الإعدادات!$H$7:$H$18,MONTH(A806)))</f>
        <v/>
      </c>
      <c r="Q806" s="20">
        <f>IF(A806="","",INDEX(الإعدادات!$I$7:$I$18,MONTH(A806)))</f>
        <v/>
      </c>
      <c r="R806" s="20">
        <f>IF(A806="","",IF(MONTH(A806)&gt;=8,YEAR(A806)&amp;"-"&amp;(YEAR(A806)+1),(YEAR(A806)-1)&amp;"-"&amp;YEAR(A806)))</f>
        <v/>
      </c>
      <c r="S806" s="20">
        <f>IF(OR(A806="",B806=""),0,IF(AND(R806=التقارير!$C$4,OR(التقارير!$C$5="سنوي",AND(التقارير!$C$5="شهري",P806=التقارير!$C$6),AND(التقارير!$C$5="فصلي",Q806=التقارير!$C$7))),1,0))</f>
        <v/>
      </c>
      <c r="T806" s="20">
        <f>IF(S806=1,COUNTIF($S$5:S806,1),"")</f>
        <v/>
      </c>
      <c r="U806">
        <f>IF(AND($A806&lt;&gt;"",$B806&lt;&gt;"",$R806='تقرير الفصل الأول'!$C$4,$Q806='تقرير الفصل الأول'!$C$7),COUNT(U$4:U805)+1,"")</f>
        <v/>
      </c>
      <c r="V806">
        <f>IF(AND($A806&lt;&gt;"",$B806&lt;&gt;"",$R806='تقرير الفصل الثاني'!$C$4,$Q806='تقرير الفصل الثاني'!$C$7),COUNT(V$4:V805)+1,"")</f>
        <v/>
      </c>
      <c r="W806">
        <f>IF(AND($A806&lt;&gt;"",$B806&lt;&gt;"",$R806='تقرير سبتمبر'!$C$4,$P806='تقرير سبتمبر'!$C$6),COUNT(W$4:W805)+1,"")</f>
        <v/>
      </c>
      <c r="X806">
        <f>IF(AND($A806&lt;&gt;"",$B806&lt;&gt;"",$R806='تقرير أكتوبر'!$C$4,$P806='تقرير أكتوبر'!$C$6),COUNT(X$4:X805)+1,"")</f>
        <v/>
      </c>
      <c r="Y806">
        <f>IF(AND($A806&lt;&gt;"",$B806&lt;&gt;"",$R806='تقرير نوفمبر'!$C$4,$P806='تقرير نوفمبر'!$C$6),COUNT(Y$4:Y805)+1,"")</f>
        <v/>
      </c>
      <c r="Z806">
        <f>IF(AND($A806&lt;&gt;"",$B806&lt;&gt;"",$R806='تقرير ديسمبر'!$C$4,$P806='تقرير ديسمبر'!$C$6),COUNT(Z$4:Z805)+1,"")</f>
        <v/>
      </c>
      <c r="AA806">
        <f>IF(AND($A806&lt;&gt;"",$B806&lt;&gt;"",$R806='تقرير يناير'!$C$4,$P806='تقرير يناير'!$C$6),COUNT(AA$4:AA805)+1,"")</f>
        <v/>
      </c>
      <c r="AB806">
        <f>IF(AND($A806&lt;&gt;"",$B806&lt;&gt;"",$R806='تقرير فبراير'!$C$4,$P806='تقرير فبراير'!$C$6),COUNT(AB$4:AB805)+1,"")</f>
        <v/>
      </c>
      <c r="AC806">
        <f>IF(AND($A806&lt;&gt;"",$B806&lt;&gt;"",$R806='تقرير مارس'!$C$4,$P806='تقرير مارس'!$C$6),COUNT(AC$4:AC805)+1,"")</f>
        <v/>
      </c>
      <c r="AD806">
        <f>IF(AND($A806&lt;&gt;"",$B806&lt;&gt;"",$R806='تقرير أبريل'!$C$4,$P806='تقرير أبريل'!$C$6),COUNT(AD$4:AD805)+1,"")</f>
        <v/>
      </c>
      <c r="AE806">
        <f>IF(AND($A806&lt;&gt;"",$B806&lt;&gt;"",$R806='تقرير مايو'!$C$4,$P806='تقرير مايو'!$C$6),COUNT(AE$4:AE805)+1,"")</f>
        <v/>
      </c>
    </row>
    <row r="807">
      <c r="A807" s="16" t="n"/>
      <c r="B807" s="17" t="n"/>
      <c r="C807" s="17" t="n"/>
      <c r="D807" s="18" t="n"/>
      <c r="E807" s="17" t="n"/>
      <c r="F807" s="17" t="n"/>
      <c r="G807" s="19" t="n"/>
      <c r="H807" s="17" t="n"/>
      <c r="I807" s="17" t="n"/>
      <c r="J807" s="17" t="n"/>
      <c r="K807" s="20">
        <f>IF($B807="","",IFERROR(INDEX(الموظفات!$A$5:$A$304,MATCH($B807,الموظفات!$B$5:$B$304,0))&amp;"",""))</f>
        <v/>
      </c>
      <c r="L807" s="21">
        <f>IF($B807="","",IFERROR(INDEX(الموظفات!$C$5:$C$304,MATCH($B807,الموظفات!$B$5:$B$304,0))&amp;"",""))</f>
        <v/>
      </c>
      <c r="M807" s="20">
        <f>IF($B807="","",IFERROR(INDEX(الموظفات!$D$5:$D$304,MATCH($B807,الموظفات!$B$5:$B$304,0))&amp;"",""))</f>
        <v/>
      </c>
      <c r="N807" s="20">
        <f>IF($B807="","",IFERROR(INDEX(الموظفات!$E$5:$E$304,MATCH($B807,الموظفات!$B$5:$B$304,0))&amp;"",""))</f>
        <v/>
      </c>
      <c r="O807" s="21">
        <f>IF(C807="","",IFERROR(INDEX(الإعدادات!$D$7:$D$35,MATCH(C807,الإعدادات!$A$7:$A$35,0))&amp;"",""))</f>
        <v/>
      </c>
      <c r="P807" s="20">
        <f>IF(A807="","",INDEX(الإعدادات!$H$7:$H$18,MONTH(A807)))</f>
        <v/>
      </c>
      <c r="Q807" s="20">
        <f>IF(A807="","",INDEX(الإعدادات!$I$7:$I$18,MONTH(A807)))</f>
        <v/>
      </c>
      <c r="R807" s="20">
        <f>IF(A807="","",IF(MONTH(A807)&gt;=8,YEAR(A807)&amp;"-"&amp;(YEAR(A807)+1),(YEAR(A807)-1)&amp;"-"&amp;YEAR(A807)))</f>
        <v/>
      </c>
      <c r="S807" s="20">
        <f>IF(OR(A807="",B807=""),0,IF(AND(R807=التقارير!$C$4,OR(التقارير!$C$5="سنوي",AND(التقارير!$C$5="شهري",P807=التقارير!$C$6),AND(التقارير!$C$5="فصلي",Q807=التقارير!$C$7))),1,0))</f>
        <v/>
      </c>
      <c r="T807" s="20">
        <f>IF(S807=1,COUNTIF($S$5:S807,1),"")</f>
        <v/>
      </c>
      <c r="U807">
        <f>IF(AND($A807&lt;&gt;"",$B807&lt;&gt;"",$R807='تقرير الفصل الأول'!$C$4,$Q807='تقرير الفصل الأول'!$C$7),COUNT(U$4:U806)+1,"")</f>
        <v/>
      </c>
      <c r="V807">
        <f>IF(AND($A807&lt;&gt;"",$B807&lt;&gt;"",$R807='تقرير الفصل الثاني'!$C$4,$Q807='تقرير الفصل الثاني'!$C$7),COUNT(V$4:V806)+1,"")</f>
        <v/>
      </c>
      <c r="W807">
        <f>IF(AND($A807&lt;&gt;"",$B807&lt;&gt;"",$R807='تقرير سبتمبر'!$C$4,$P807='تقرير سبتمبر'!$C$6),COUNT(W$4:W806)+1,"")</f>
        <v/>
      </c>
      <c r="X807">
        <f>IF(AND($A807&lt;&gt;"",$B807&lt;&gt;"",$R807='تقرير أكتوبر'!$C$4,$P807='تقرير أكتوبر'!$C$6),COUNT(X$4:X806)+1,"")</f>
        <v/>
      </c>
      <c r="Y807">
        <f>IF(AND($A807&lt;&gt;"",$B807&lt;&gt;"",$R807='تقرير نوفمبر'!$C$4,$P807='تقرير نوفمبر'!$C$6),COUNT(Y$4:Y806)+1,"")</f>
        <v/>
      </c>
      <c r="Z807">
        <f>IF(AND($A807&lt;&gt;"",$B807&lt;&gt;"",$R807='تقرير ديسمبر'!$C$4,$P807='تقرير ديسمبر'!$C$6),COUNT(Z$4:Z806)+1,"")</f>
        <v/>
      </c>
      <c r="AA807">
        <f>IF(AND($A807&lt;&gt;"",$B807&lt;&gt;"",$R807='تقرير يناير'!$C$4,$P807='تقرير يناير'!$C$6),COUNT(AA$4:AA806)+1,"")</f>
        <v/>
      </c>
      <c r="AB807">
        <f>IF(AND($A807&lt;&gt;"",$B807&lt;&gt;"",$R807='تقرير فبراير'!$C$4,$P807='تقرير فبراير'!$C$6),COUNT(AB$4:AB806)+1,"")</f>
        <v/>
      </c>
      <c r="AC807">
        <f>IF(AND($A807&lt;&gt;"",$B807&lt;&gt;"",$R807='تقرير مارس'!$C$4,$P807='تقرير مارس'!$C$6),COUNT(AC$4:AC806)+1,"")</f>
        <v/>
      </c>
      <c r="AD807">
        <f>IF(AND($A807&lt;&gt;"",$B807&lt;&gt;"",$R807='تقرير أبريل'!$C$4,$P807='تقرير أبريل'!$C$6),COUNT(AD$4:AD806)+1,"")</f>
        <v/>
      </c>
      <c r="AE807">
        <f>IF(AND($A807&lt;&gt;"",$B807&lt;&gt;"",$R807='تقرير مايو'!$C$4,$P807='تقرير مايو'!$C$6),COUNT(AE$4:AE806)+1,"")</f>
        <v/>
      </c>
    </row>
    <row r="808">
      <c r="A808" s="16" t="n"/>
      <c r="B808" s="17" t="n"/>
      <c r="C808" s="17" t="n"/>
      <c r="D808" s="18" t="n"/>
      <c r="E808" s="17" t="n"/>
      <c r="F808" s="17" t="n"/>
      <c r="G808" s="19" t="n"/>
      <c r="H808" s="17" t="n"/>
      <c r="I808" s="17" t="n"/>
      <c r="J808" s="17" t="n"/>
      <c r="K808" s="20">
        <f>IF($B808="","",IFERROR(INDEX(الموظفات!$A$5:$A$304,MATCH($B808,الموظفات!$B$5:$B$304,0))&amp;"",""))</f>
        <v/>
      </c>
      <c r="L808" s="21">
        <f>IF($B808="","",IFERROR(INDEX(الموظفات!$C$5:$C$304,MATCH($B808,الموظفات!$B$5:$B$304,0))&amp;"",""))</f>
        <v/>
      </c>
      <c r="M808" s="20">
        <f>IF($B808="","",IFERROR(INDEX(الموظفات!$D$5:$D$304,MATCH($B808,الموظفات!$B$5:$B$304,0))&amp;"",""))</f>
        <v/>
      </c>
      <c r="N808" s="20">
        <f>IF($B808="","",IFERROR(INDEX(الموظفات!$E$5:$E$304,MATCH($B808,الموظفات!$B$5:$B$304,0))&amp;"",""))</f>
        <v/>
      </c>
      <c r="O808" s="21">
        <f>IF(C808="","",IFERROR(INDEX(الإعدادات!$D$7:$D$35,MATCH(C808,الإعدادات!$A$7:$A$35,0))&amp;"",""))</f>
        <v/>
      </c>
      <c r="P808" s="20">
        <f>IF(A808="","",INDEX(الإعدادات!$H$7:$H$18,MONTH(A808)))</f>
        <v/>
      </c>
      <c r="Q808" s="20">
        <f>IF(A808="","",INDEX(الإعدادات!$I$7:$I$18,MONTH(A808)))</f>
        <v/>
      </c>
      <c r="R808" s="20">
        <f>IF(A808="","",IF(MONTH(A808)&gt;=8,YEAR(A808)&amp;"-"&amp;(YEAR(A808)+1),(YEAR(A808)-1)&amp;"-"&amp;YEAR(A808)))</f>
        <v/>
      </c>
      <c r="S808" s="20">
        <f>IF(OR(A808="",B808=""),0,IF(AND(R808=التقارير!$C$4,OR(التقارير!$C$5="سنوي",AND(التقارير!$C$5="شهري",P808=التقارير!$C$6),AND(التقارير!$C$5="فصلي",Q808=التقارير!$C$7))),1,0))</f>
        <v/>
      </c>
      <c r="T808" s="20">
        <f>IF(S808=1,COUNTIF($S$5:S808,1),"")</f>
        <v/>
      </c>
      <c r="U808">
        <f>IF(AND($A808&lt;&gt;"",$B808&lt;&gt;"",$R808='تقرير الفصل الأول'!$C$4,$Q808='تقرير الفصل الأول'!$C$7),COUNT(U$4:U807)+1,"")</f>
        <v/>
      </c>
      <c r="V808">
        <f>IF(AND($A808&lt;&gt;"",$B808&lt;&gt;"",$R808='تقرير الفصل الثاني'!$C$4,$Q808='تقرير الفصل الثاني'!$C$7),COUNT(V$4:V807)+1,"")</f>
        <v/>
      </c>
      <c r="W808">
        <f>IF(AND($A808&lt;&gt;"",$B808&lt;&gt;"",$R808='تقرير سبتمبر'!$C$4,$P808='تقرير سبتمبر'!$C$6),COUNT(W$4:W807)+1,"")</f>
        <v/>
      </c>
      <c r="X808">
        <f>IF(AND($A808&lt;&gt;"",$B808&lt;&gt;"",$R808='تقرير أكتوبر'!$C$4,$P808='تقرير أكتوبر'!$C$6),COUNT(X$4:X807)+1,"")</f>
        <v/>
      </c>
      <c r="Y808">
        <f>IF(AND($A808&lt;&gt;"",$B808&lt;&gt;"",$R808='تقرير نوفمبر'!$C$4,$P808='تقرير نوفمبر'!$C$6),COUNT(Y$4:Y807)+1,"")</f>
        <v/>
      </c>
      <c r="Z808">
        <f>IF(AND($A808&lt;&gt;"",$B808&lt;&gt;"",$R808='تقرير ديسمبر'!$C$4,$P808='تقرير ديسمبر'!$C$6),COUNT(Z$4:Z807)+1,"")</f>
        <v/>
      </c>
      <c r="AA808">
        <f>IF(AND($A808&lt;&gt;"",$B808&lt;&gt;"",$R808='تقرير يناير'!$C$4,$P808='تقرير يناير'!$C$6),COUNT(AA$4:AA807)+1,"")</f>
        <v/>
      </c>
      <c r="AB808">
        <f>IF(AND($A808&lt;&gt;"",$B808&lt;&gt;"",$R808='تقرير فبراير'!$C$4,$P808='تقرير فبراير'!$C$6),COUNT(AB$4:AB807)+1,"")</f>
        <v/>
      </c>
      <c r="AC808">
        <f>IF(AND($A808&lt;&gt;"",$B808&lt;&gt;"",$R808='تقرير مارس'!$C$4,$P808='تقرير مارس'!$C$6),COUNT(AC$4:AC807)+1,"")</f>
        <v/>
      </c>
      <c r="AD808">
        <f>IF(AND($A808&lt;&gt;"",$B808&lt;&gt;"",$R808='تقرير أبريل'!$C$4,$P808='تقرير أبريل'!$C$6),COUNT(AD$4:AD807)+1,"")</f>
        <v/>
      </c>
      <c r="AE808">
        <f>IF(AND($A808&lt;&gt;"",$B808&lt;&gt;"",$R808='تقرير مايو'!$C$4,$P808='تقرير مايو'!$C$6),COUNT(AE$4:AE807)+1,"")</f>
        <v/>
      </c>
    </row>
    <row r="809">
      <c r="A809" s="16" t="n"/>
      <c r="B809" s="17" t="n"/>
      <c r="C809" s="17" t="n"/>
      <c r="D809" s="18" t="n"/>
      <c r="E809" s="17" t="n"/>
      <c r="F809" s="17" t="n"/>
      <c r="G809" s="19" t="n"/>
      <c r="H809" s="17" t="n"/>
      <c r="I809" s="17" t="n"/>
      <c r="J809" s="17" t="n"/>
      <c r="K809" s="20">
        <f>IF($B809="","",IFERROR(INDEX(الموظفات!$A$5:$A$304,MATCH($B809,الموظفات!$B$5:$B$304,0))&amp;"",""))</f>
        <v/>
      </c>
      <c r="L809" s="21">
        <f>IF($B809="","",IFERROR(INDEX(الموظفات!$C$5:$C$304,MATCH($B809,الموظفات!$B$5:$B$304,0))&amp;"",""))</f>
        <v/>
      </c>
      <c r="M809" s="20">
        <f>IF($B809="","",IFERROR(INDEX(الموظفات!$D$5:$D$304,MATCH($B809,الموظفات!$B$5:$B$304,0))&amp;"",""))</f>
        <v/>
      </c>
      <c r="N809" s="20">
        <f>IF($B809="","",IFERROR(INDEX(الموظفات!$E$5:$E$304,MATCH($B809,الموظفات!$B$5:$B$304,0))&amp;"",""))</f>
        <v/>
      </c>
      <c r="O809" s="21">
        <f>IF(C809="","",IFERROR(INDEX(الإعدادات!$D$7:$D$35,MATCH(C809,الإعدادات!$A$7:$A$35,0))&amp;"",""))</f>
        <v/>
      </c>
      <c r="P809" s="20">
        <f>IF(A809="","",INDEX(الإعدادات!$H$7:$H$18,MONTH(A809)))</f>
        <v/>
      </c>
      <c r="Q809" s="20">
        <f>IF(A809="","",INDEX(الإعدادات!$I$7:$I$18,MONTH(A809)))</f>
        <v/>
      </c>
      <c r="R809" s="20">
        <f>IF(A809="","",IF(MONTH(A809)&gt;=8,YEAR(A809)&amp;"-"&amp;(YEAR(A809)+1),(YEAR(A809)-1)&amp;"-"&amp;YEAR(A809)))</f>
        <v/>
      </c>
      <c r="S809" s="20">
        <f>IF(OR(A809="",B809=""),0,IF(AND(R809=التقارير!$C$4,OR(التقارير!$C$5="سنوي",AND(التقارير!$C$5="شهري",P809=التقارير!$C$6),AND(التقارير!$C$5="فصلي",Q809=التقارير!$C$7))),1,0))</f>
        <v/>
      </c>
      <c r="T809" s="20">
        <f>IF(S809=1,COUNTIF($S$5:S809,1),"")</f>
        <v/>
      </c>
      <c r="U809">
        <f>IF(AND($A809&lt;&gt;"",$B809&lt;&gt;"",$R809='تقرير الفصل الأول'!$C$4,$Q809='تقرير الفصل الأول'!$C$7),COUNT(U$4:U808)+1,"")</f>
        <v/>
      </c>
      <c r="V809">
        <f>IF(AND($A809&lt;&gt;"",$B809&lt;&gt;"",$R809='تقرير الفصل الثاني'!$C$4,$Q809='تقرير الفصل الثاني'!$C$7),COUNT(V$4:V808)+1,"")</f>
        <v/>
      </c>
      <c r="W809">
        <f>IF(AND($A809&lt;&gt;"",$B809&lt;&gt;"",$R809='تقرير سبتمبر'!$C$4,$P809='تقرير سبتمبر'!$C$6),COUNT(W$4:W808)+1,"")</f>
        <v/>
      </c>
      <c r="X809">
        <f>IF(AND($A809&lt;&gt;"",$B809&lt;&gt;"",$R809='تقرير أكتوبر'!$C$4,$P809='تقرير أكتوبر'!$C$6),COUNT(X$4:X808)+1,"")</f>
        <v/>
      </c>
      <c r="Y809">
        <f>IF(AND($A809&lt;&gt;"",$B809&lt;&gt;"",$R809='تقرير نوفمبر'!$C$4,$P809='تقرير نوفمبر'!$C$6),COUNT(Y$4:Y808)+1,"")</f>
        <v/>
      </c>
      <c r="Z809">
        <f>IF(AND($A809&lt;&gt;"",$B809&lt;&gt;"",$R809='تقرير ديسمبر'!$C$4,$P809='تقرير ديسمبر'!$C$6),COUNT(Z$4:Z808)+1,"")</f>
        <v/>
      </c>
      <c r="AA809">
        <f>IF(AND($A809&lt;&gt;"",$B809&lt;&gt;"",$R809='تقرير يناير'!$C$4,$P809='تقرير يناير'!$C$6),COUNT(AA$4:AA808)+1,"")</f>
        <v/>
      </c>
      <c r="AB809">
        <f>IF(AND($A809&lt;&gt;"",$B809&lt;&gt;"",$R809='تقرير فبراير'!$C$4,$P809='تقرير فبراير'!$C$6),COUNT(AB$4:AB808)+1,"")</f>
        <v/>
      </c>
      <c r="AC809">
        <f>IF(AND($A809&lt;&gt;"",$B809&lt;&gt;"",$R809='تقرير مارس'!$C$4,$P809='تقرير مارس'!$C$6),COUNT(AC$4:AC808)+1,"")</f>
        <v/>
      </c>
      <c r="AD809">
        <f>IF(AND($A809&lt;&gt;"",$B809&lt;&gt;"",$R809='تقرير أبريل'!$C$4,$P809='تقرير أبريل'!$C$6),COUNT(AD$4:AD808)+1,"")</f>
        <v/>
      </c>
      <c r="AE809">
        <f>IF(AND($A809&lt;&gt;"",$B809&lt;&gt;"",$R809='تقرير مايو'!$C$4,$P809='تقرير مايو'!$C$6),COUNT(AE$4:AE808)+1,"")</f>
        <v/>
      </c>
    </row>
    <row r="810">
      <c r="A810" s="16" t="n"/>
      <c r="B810" s="17" t="n"/>
      <c r="C810" s="17" t="n"/>
      <c r="D810" s="18" t="n"/>
      <c r="E810" s="17" t="n"/>
      <c r="F810" s="17" t="n"/>
      <c r="G810" s="19" t="n"/>
      <c r="H810" s="17" t="n"/>
      <c r="I810" s="17" t="n"/>
      <c r="J810" s="17" t="n"/>
      <c r="K810" s="20">
        <f>IF($B810="","",IFERROR(INDEX(الموظفات!$A$5:$A$304,MATCH($B810,الموظفات!$B$5:$B$304,0))&amp;"",""))</f>
        <v/>
      </c>
      <c r="L810" s="21">
        <f>IF($B810="","",IFERROR(INDEX(الموظفات!$C$5:$C$304,MATCH($B810,الموظفات!$B$5:$B$304,0))&amp;"",""))</f>
        <v/>
      </c>
      <c r="M810" s="20">
        <f>IF($B810="","",IFERROR(INDEX(الموظفات!$D$5:$D$304,MATCH($B810,الموظفات!$B$5:$B$304,0))&amp;"",""))</f>
        <v/>
      </c>
      <c r="N810" s="20">
        <f>IF($B810="","",IFERROR(INDEX(الموظفات!$E$5:$E$304,MATCH($B810,الموظفات!$B$5:$B$304,0))&amp;"",""))</f>
        <v/>
      </c>
      <c r="O810" s="21">
        <f>IF(C810="","",IFERROR(INDEX(الإعدادات!$D$7:$D$35,MATCH(C810,الإعدادات!$A$7:$A$35,0))&amp;"",""))</f>
        <v/>
      </c>
      <c r="P810" s="20">
        <f>IF(A810="","",INDEX(الإعدادات!$H$7:$H$18,MONTH(A810)))</f>
        <v/>
      </c>
      <c r="Q810" s="20">
        <f>IF(A810="","",INDEX(الإعدادات!$I$7:$I$18,MONTH(A810)))</f>
        <v/>
      </c>
      <c r="R810" s="20">
        <f>IF(A810="","",IF(MONTH(A810)&gt;=8,YEAR(A810)&amp;"-"&amp;(YEAR(A810)+1),(YEAR(A810)-1)&amp;"-"&amp;YEAR(A810)))</f>
        <v/>
      </c>
      <c r="S810" s="20">
        <f>IF(OR(A810="",B810=""),0,IF(AND(R810=التقارير!$C$4,OR(التقارير!$C$5="سنوي",AND(التقارير!$C$5="شهري",P810=التقارير!$C$6),AND(التقارير!$C$5="فصلي",Q810=التقارير!$C$7))),1,0))</f>
        <v/>
      </c>
      <c r="T810" s="20">
        <f>IF(S810=1,COUNTIF($S$5:S810,1),"")</f>
        <v/>
      </c>
      <c r="U810">
        <f>IF(AND($A810&lt;&gt;"",$B810&lt;&gt;"",$R810='تقرير الفصل الأول'!$C$4,$Q810='تقرير الفصل الأول'!$C$7),COUNT(U$4:U809)+1,"")</f>
        <v/>
      </c>
      <c r="V810">
        <f>IF(AND($A810&lt;&gt;"",$B810&lt;&gt;"",$R810='تقرير الفصل الثاني'!$C$4,$Q810='تقرير الفصل الثاني'!$C$7),COUNT(V$4:V809)+1,"")</f>
        <v/>
      </c>
      <c r="W810">
        <f>IF(AND($A810&lt;&gt;"",$B810&lt;&gt;"",$R810='تقرير سبتمبر'!$C$4,$P810='تقرير سبتمبر'!$C$6),COUNT(W$4:W809)+1,"")</f>
        <v/>
      </c>
      <c r="X810">
        <f>IF(AND($A810&lt;&gt;"",$B810&lt;&gt;"",$R810='تقرير أكتوبر'!$C$4,$P810='تقرير أكتوبر'!$C$6),COUNT(X$4:X809)+1,"")</f>
        <v/>
      </c>
      <c r="Y810">
        <f>IF(AND($A810&lt;&gt;"",$B810&lt;&gt;"",$R810='تقرير نوفمبر'!$C$4,$P810='تقرير نوفمبر'!$C$6),COUNT(Y$4:Y809)+1,"")</f>
        <v/>
      </c>
      <c r="Z810">
        <f>IF(AND($A810&lt;&gt;"",$B810&lt;&gt;"",$R810='تقرير ديسمبر'!$C$4,$P810='تقرير ديسمبر'!$C$6),COUNT(Z$4:Z809)+1,"")</f>
        <v/>
      </c>
      <c r="AA810">
        <f>IF(AND($A810&lt;&gt;"",$B810&lt;&gt;"",$R810='تقرير يناير'!$C$4,$P810='تقرير يناير'!$C$6),COUNT(AA$4:AA809)+1,"")</f>
        <v/>
      </c>
      <c r="AB810">
        <f>IF(AND($A810&lt;&gt;"",$B810&lt;&gt;"",$R810='تقرير فبراير'!$C$4,$P810='تقرير فبراير'!$C$6),COUNT(AB$4:AB809)+1,"")</f>
        <v/>
      </c>
      <c r="AC810">
        <f>IF(AND($A810&lt;&gt;"",$B810&lt;&gt;"",$R810='تقرير مارس'!$C$4,$P810='تقرير مارس'!$C$6),COUNT(AC$4:AC809)+1,"")</f>
        <v/>
      </c>
      <c r="AD810">
        <f>IF(AND($A810&lt;&gt;"",$B810&lt;&gt;"",$R810='تقرير أبريل'!$C$4,$P810='تقرير أبريل'!$C$6),COUNT(AD$4:AD809)+1,"")</f>
        <v/>
      </c>
      <c r="AE810">
        <f>IF(AND($A810&lt;&gt;"",$B810&lt;&gt;"",$R810='تقرير مايو'!$C$4,$P810='تقرير مايو'!$C$6),COUNT(AE$4:AE809)+1,"")</f>
        <v/>
      </c>
    </row>
    <row r="811">
      <c r="A811" s="16" t="n"/>
      <c r="B811" s="17" t="n"/>
      <c r="C811" s="17" t="n"/>
      <c r="D811" s="18" t="n"/>
      <c r="E811" s="17" t="n"/>
      <c r="F811" s="17" t="n"/>
      <c r="G811" s="19" t="n"/>
      <c r="H811" s="17" t="n"/>
      <c r="I811" s="17" t="n"/>
      <c r="J811" s="17" t="n"/>
      <c r="K811" s="20">
        <f>IF($B811="","",IFERROR(INDEX(الموظفات!$A$5:$A$304,MATCH($B811,الموظفات!$B$5:$B$304,0))&amp;"",""))</f>
        <v/>
      </c>
      <c r="L811" s="21">
        <f>IF($B811="","",IFERROR(INDEX(الموظفات!$C$5:$C$304,MATCH($B811,الموظفات!$B$5:$B$304,0))&amp;"",""))</f>
        <v/>
      </c>
      <c r="M811" s="20">
        <f>IF($B811="","",IFERROR(INDEX(الموظفات!$D$5:$D$304,MATCH($B811,الموظفات!$B$5:$B$304,0))&amp;"",""))</f>
        <v/>
      </c>
      <c r="N811" s="20">
        <f>IF($B811="","",IFERROR(INDEX(الموظفات!$E$5:$E$304,MATCH($B811,الموظفات!$B$5:$B$304,0))&amp;"",""))</f>
        <v/>
      </c>
      <c r="O811" s="21">
        <f>IF(C811="","",IFERROR(INDEX(الإعدادات!$D$7:$D$35,MATCH(C811,الإعدادات!$A$7:$A$35,0))&amp;"",""))</f>
        <v/>
      </c>
      <c r="P811" s="20">
        <f>IF(A811="","",INDEX(الإعدادات!$H$7:$H$18,MONTH(A811)))</f>
        <v/>
      </c>
      <c r="Q811" s="20">
        <f>IF(A811="","",INDEX(الإعدادات!$I$7:$I$18,MONTH(A811)))</f>
        <v/>
      </c>
      <c r="R811" s="20">
        <f>IF(A811="","",IF(MONTH(A811)&gt;=8,YEAR(A811)&amp;"-"&amp;(YEAR(A811)+1),(YEAR(A811)-1)&amp;"-"&amp;YEAR(A811)))</f>
        <v/>
      </c>
      <c r="S811" s="20">
        <f>IF(OR(A811="",B811=""),0,IF(AND(R811=التقارير!$C$4,OR(التقارير!$C$5="سنوي",AND(التقارير!$C$5="شهري",P811=التقارير!$C$6),AND(التقارير!$C$5="فصلي",Q811=التقارير!$C$7))),1,0))</f>
        <v/>
      </c>
      <c r="T811" s="20">
        <f>IF(S811=1,COUNTIF($S$5:S811,1),"")</f>
        <v/>
      </c>
      <c r="U811">
        <f>IF(AND($A811&lt;&gt;"",$B811&lt;&gt;"",$R811='تقرير الفصل الأول'!$C$4,$Q811='تقرير الفصل الأول'!$C$7),COUNT(U$4:U810)+1,"")</f>
        <v/>
      </c>
      <c r="V811">
        <f>IF(AND($A811&lt;&gt;"",$B811&lt;&gt;"",$R811='تقرير الفصل الثاني'!$C$4,$Q811='تقرير الفصل الثاني'!$C$7),COUNT(V$4:V810)+1,"")</f>
        <v/>
      </c>
      <c r="W811">
        <f>IF(AND($A811&lt;&gt;"",$B811&lt;&gt;"",$R811='تقرير سبتمبر'!$C$4,$P811='تقرير سبتمبر'!$C$6),COUNT(W$4:W810)+1,"")</f>
        <v/>
      </c>
      <c r="X811">
        <f>IF(AND($A811&lt;&gt;"",$B811&lt;&gt;"",$R811='تقرير أكتوبر'!$C$4,$P811='تقرير أكتوبر'!$C$6),COUNT(X$4:X810)+1,"")</f>
        <v/>
      </c>
      <c r="Y811">
        <f>IF(AND($A811&lt;&gt;"",$B811&lt;&gt;"",$R811='تقرير نوفمبر'!$C$4,$P811='تقرير نوفمبر'!$C$6),COUNT(Y$4:Y810)+1,"")</f>
        <v/>
      </c>
      <c r="Z811">
        <f>IF(AND($A811&lt;&gt;"",$B811&lt;&gt;"",$R811='تقرير ديسمبر'!$C$4,$P811='تقرير ديسمبر'!$C$6),COUNT(Z$4:Z810)+1,"")</f>
        <v/>
      </c>
      <c r="AA811">
        <f>IF(AND($A811&lt;&gt;"",$B811&lt;&gt;"",$R811='تقرير يناير'!$C$4,$P811='تقرير يناير'!$C$6),COUNT(AA$4:AA810)+1,"")</f>
        <v/>
      </c>
      <c r="AB811">
        <f>IF(AND($A811&lt;&gt;"",$B811&lt;&gt;"",$R811='تقرير فبراير'!$C$4,$P811='تقرير فبراير'!$C$6),COUNT(AB$4:AB810)+1,"")</f>
        <v/>
      </c>
      <c r="AC811">
        <f>IF(AND($A811&lt;&gt;"",$B811&lt;&gt;"",$R811='تقرير مارس'!$C$4,$P811='تقرير مارس'!$C$6),COUNT(AC$4:AC810)+1,"")</f>
        <v/>
      </c>
      <c r="AD811">
        <f>IF(AND($A811&lt;&gt;"",$B811&lt;&gt;"",$R811='تقرير أبريل'!$C$4,$P811='تقرير أبريل'!$C$6),COUNT(AD$4:AD810)+1,"")</f>
        <v/>
      </c>
      <c r="AE811">
        <f>IF(AND($A811&lt;&gt;"",$B811&lt;&gt;"",$R811='تقرير مايو'!$C$4,$P811='تقرير مايو'!$C$6),COUNT(AE$4:AE810)+1,"")</f>
        <v/>
      </c>
    </row>
    <row r="812">
      <c r="A812" s="16" t="n"/>
      <c r="B812" s="17" t="n"/>
      <c r="C812" s="17" t="n"/>
      <c r="D812" s="18" t="n"/>
      <c r="E812" s="17" t="n"/>
      <c r="F812" s="17" t="n"/>
      <c r="G812" s="19" t="n"/>
      <c r="H812" s="17" t="n"/>
      <c r="I812" s="17" t="n"/>
      <c r="J812" s="17" t="n"/>
      <c r="K812" s="20">
        <f>IF($B812="","",IFERROR(INDEX(الموظفات!$A$5:$A$304,MATCH($B812,الموظفات!$B$5:$B$304,0))&amp;"",""))</f>
        <v/>
      </c>
      <c r="L812" s="21">
        <f>IF($B812="","",IFERROR(INDEX(الموظفات!$C$5:$C$304,MATCH($B812,الموظفات!$B$5:$B$304,0))&amp;"",""))</f>
        <v/>
      </c>
      <c r="M812" s="20">
        <f>IF($B812="","",IFERROR(INDEX(الموظفات!$D$5:$D$304,MATCH($B812,الموظفات!$B$5:$B$304,0))&amp;"",""))</f>
        <v/>
      </c>
      <c r="N812" s="20">
        <f>IF($B812="","",IFERROR(INDEX(الموظفات!$E$5:$E$304,MATCH($B812,الموظفات!$B$5:$B$304,0))&amp;"",""))</f>
        <v/>
      </c>
      <c r="O812" s="21">
        <f>IF(C812="","",IFERROR(INDEX(الإعدادات!$D$7:$D$35,MATCH(C812,الإعدادات!$A$7:$A$35,0))&amp;"",""))</f>
        <v/>
      </c>
      <c r="P812" s="20">
        <f>IF(A812="","",INDEX(الإعدادات!$H$7:$H$18,MONTH(A812)))</f>
        <v/>
      </c>
      <c r="Q812" s="20">
        <f>IF(A812="","",INDEX(الإعدادات!$I$7:$I$18,MONTH(A812)))</f>
        <v/>
      </c>
      <c r="R812" s="20">
        <f>IF(A812="","",IF(MONTH(A812)&gt;=8,YEAR(A812)&amp;"-"&amp;(YEAR(A812)+1),(YEAR(A812)-1)&amp;"-"&amp;YEAR(A812)))</f>
        <v/>
      </c>
      <c r="S812" s="20">
        <f>IF(OR(A812="",B812=""),0,IF(AND(R812=التقارير!$C$4,OR(التقارير!$C$5="سنوي",AND(التقارير!$C$5="شهري",P812=التقارير!$C$6),AND(التقارير!$C$5="فصلي",Q812=التقارير!$C$7))),1,0))</f>
        <v/>
      </c>
      <c r="T812" s="20">
        <f>IF(S812=1,COUNTIF($S$5:S812,1),"")</f>
        <v/>
      </c>
      <c r="U812">
        <f>IF(AND($A812&lt;&gt;"",$B812&lt;&gt;"",$R812='تقرير الفصل الأول'!$C$4,$Q812='تقرير الفصل الأول'!$C$7),COUNT(U$4:U811)+1,"")</f>
        <v/>
      </c>
      <c r="V812">
        <f>IF(AND($A812&lt;&gt;"",$B812&lt;&gt;"",$R812='تقرير الفصل الثاني'!$C$4,$Q812='تقرير الفصل الثاني'!$C$7),COUNT(V$4:V811)+1,"")</f>
        <v/>
      </c>
      <c r="W812">
        <f>IF(AND($A812&lt;&gt;"",$B812&lt;&gt;"",$R812='تقرير سبتمبر'!$C$4,$P812='تقرير سبتمبر'!$C$6),COUNT(W$4:W811)+1,"")</f>
        <v/>
      </c>
      <c r="X812">
        <f>IF(AND($A812&lt;&gt;"",$B812&lt;&gt;"",$R812='تقرير أكتوبر'!$C$4,$P812='تقرير أكتوبر'!$C$6),COUNT(X$4:X811)+1,"")</f>
        <v/>
      </c>
      <c r="Y812">
        <f>IF(AND($A812&lt;&gt;"",$B812&lt;&gt;"",$R812='تقرير نوفمبر'!$C$4,$P812='تقرير نوفمبر'!$C$6),COUNT(Y$4:Y811)+1,"")</f>
        <v/>
      </c>
      <c r="Z812">
        <f>IF(AND($A812&lt;&gt;"",$B812&lt;&gt;"",$R812='تقرير ديسمبر'!$C$4,$P812='تقرير ديسمبر'!$C$6),COUNT(Z$4:Z811)+1,"")</f>
        <v/>
      </c>
      <c r="AA812">
        <f>IF(AND($A812&lt;&gt;"",$B812&lt;&gt;"",$R812='تقرير يناير'!$C$4,$P812='تقرير يناير'!$C$6),COUNT(AA$4:AA811)+1,"")</f>
        <v/>
      </c>
      <c r="AB812">
        <f>IF(AND($A812&lt;&gt;"",$B812&lt;&gt;"",$R812='تقرير فبراير'!$C$4,$P812='تقرير فبراير'!$C$6),COUNT(AB$4:AB811)+1,"")</f>
        <v/>
      </c>
      <c r="AC812">
        <f>IF(AND($A812&lt;&gt;"",$B812&lt;&gt;"",$R812='تقرير مارس'!$C$4,$P812='تقرير مارس'!$C$6),COUNT(AC$4:AC811)+1,"")</f>
        <v/>
      </c>
      <c r="AD812">
        <f>IF(AND($A812&lt;&gt;"",$B812&lt;&gt;"",$R812='تقرير أبريل'!$C$4,$P812='تقرير أبريل'!$C$6),COUNT(AD$4:AD811)+1,"")</f>
        <v/>
      </c>
      <c r="AE812">
        <f>IF(AND($A812&lt;&gt;"",$B812&lt;&gt;"",$R812='تقرير مايو'!$C$4,$P812='تقرير مايو'!$C$6),COUNT(AE$4:AE811)+1,"")</f>
        <v/>
      </c>
    </row>
    <row r="813">
      <c r="A813" s="16" t="n"/>
      <c r="B813" s="17" t="n"/>
      <c r="C813" s="17" t="n"/>
      <c r="D813" s="18" t="n"/>
      <c r="E813" s="17" t="n"/>
      <c r="F813" s="17" t="n"/>
      <c r="G813" s="19" t="n"/>
      <c r="H813" s="17" t="n"/>
      <c r="I813" s="17" t="n"/>
      <c r="J813" s="17" t="n"/>
      <c r="K813" s="20">
        <f>IF($B813="","",IFERROR(INDEX(الموظفات!$A$5:$A$304,MATCH($B813,الموظفات!$B$5:$B$304,0))&amp;"",""))</f>
        <v/>
      </c>
      <c r="L813" s="21">
        <f>IF($B813="","",IFERROR(INDEX(الموظفات!$C$5:$C$304,MATCH($B813,الموظفات!$B$5:$B$304,0))&amp;"",""))</f>
        <v/>
      </c>
      <c r="M813" s="20">
        <f>IF($B813="","",IFERROR(INDEX(الموظفات!$D$5:$D$304,MATCH($B813,الموظفات!$B$5:$B$304,0))&amp;"",""))</f>
        <v/>
      </c>
      <c r="N813" s="20">
        <f>IF($B813="","",IFERROR(INDEX(الموظفات!$E$5:$E$304,MATCH($B813,الموظفات!$B$5:$B$304,0))&amp;"",""))</f>
        <v/>
      </c>
      <c r="O813" s="21">
        <f>IF(C813="","",IFERROR(INDEX(الإعدادات!$D$7:$D$35,MATCH(C813,الإعدادات!$A$7:$A$35,0))&amp;"",""))</f>
        <v/>
      </c>
      <c r="P813" s="20">
        <f>IF(A813="","",INDEX(الإعدادات!$H$7:$H$18,MONTH(A813)))</f>
        <v/>
      </c>
      <c r="Q813" s="20">
        <f>IF(A813="","",INDEX(الإعدادات!$I$7:$I$18,MONTH(A813)))</f>
        <v/>
      </c>
      <c r="R813" s="20">
        <f>IF(A813="","",IF(MONTH(A813)&gt;=8,YEAR(A813)&amp;"-"&amp;(YEAR(A813)+1),(YEAR(A813)-1)&amp;"-"&amp;YEAR(A813)))</f>
        <v/>
      </c>
      <c r="S813" s="20">
        <f>IF(OR(A813="",B813=""),0,IF(AND(R813=التقارير!$C$4,OR(التقارير!$C$5="سنوي",AND(التقارير!$C$5="شهري",P813=التقارير!$C$6),AND(التقارير!$C$5="فصلي",Q813=التقارير!$C$7))),1,0))</f>
        <v/>
      </c>
      <c r="T813" s="20">
        <f>IF(S813=1,COUNTIF($S$5:S813,1),"")</f>
        <v/>
      </c>
      <c r="U813">
        <f>IF(AND($A813&lt;&gt;"",$B813&lt;&gt;"",$R813='تقرير الفصل الأول'!$C$4,$Q813='تقرير الفصل الأول'!$C$7),COUNT(U$4:U812)+1,"")</f>
        <v/>
      </c>
      <c r="V813">
        <f>IF(AND($A813&lt;&gt;"",$B813&lt;&gt;"",$R813='تقرير الفصل الثاني'!$C$4,$Q813='تقرير الفصل الثاني'!$C$7),COUNT(V$4:V812)+1,"")</f>
        <v/>
      </c>
      <c r="W813">
        <f>IF(AND($A813&lt;&gt;"",$B813&lt;&gt;"",$R813='تقرير سبتمبر'!$C$4,$P813='تقرير سبتمبر'!$C$6),COUNT(W$4:W812)+1,"")</f>
        <v/>
      </c>
      <c r="X813">
        <f>IF(AND($A813&lt;&gt;"",$B813&lt;&gt;"",$R813='تقرير أكتوبر'!$C$4,$P813='تقرير أكتوبر'!$C$6),COUNT(X$4:X812)+1,"")</f>
        <v/>
      </c>
      <c r="Y813">
        <f>IF(AND($A813&lt;&gt;"",$B813&lt;&gt;"",$R813='تقرير نوفمبر'!$C$4,$P813='تقرير نوفمبر'!$C$6),COUNT(Y$4:Y812)+1,"")</f>
        <v/>
      </c>
      <c r="Z813">
        <f>IF(AND($A813&lt;&gt;"",$B813&lt;&gt;"",$R813='تقرير ديسمبر'!$C$4,$P813='تقرير ديسمبر'!$C$6),COUNT(Z$4:Z812)+1,"")</f>
        <v/>
      </c>
      <c r="AA813">
        <f>IF(AND($A813&lt;&gt;"",$B813&lt;&gt;"",$R813='تقرير يناير'!$C$4,$P813='تقرير يناير'!$C$6),COUNT(AA$4:AA812)+1,"")</f>
        <v/>
      </c>
      <c r="AB813">
        <f>IF(AND($A813&lt;&gt;"",$B813&lt;&gt;"",$R813='تقرير فبراير'!$C$4,$P813='تقرير فبراير'!$C$6),COUNT(AB$4:AB812)+1,"")</f>
        <v/>
      </c>
      <c r="AC813">
        <f>IF(AND($A813&lt;&gt;"",$B813&lt;&gt;"",$R813='تقرير مارس'!$C$4,$P813='تقرير مارس'!$C$6),COUNT(AC$4:AC812)+1,"")</f>
        <v/>
      </c>
      <c r="AD813">
        <f>IF(AND($A813&lt;&gt;"",$B813&lt;&gt;"",$R813='تقرير أبريل'!$C$4,$P813='تقرير أبريل'!$C$6),COUNT(AD$4:AD812)+1,"")</f>
        <v/>
      </c>
      <c r="AE813">
        <f>IF(AND($A813&lt;&gt;"",$B813&lt;&gt;"",$R813='تقرير مايو'!$C$4,$P813='تقرير مايو'!$C$6),COUNT(AE$4:AE812)+1,"")</f>
        <v/>
      </c>
    </row>
    <row r="814">
      <c r="A814" s="16" t="n"/>
      <c r="B814" s="17" t="n"/>
      <c r="C814" s="17" t="n"/>
      <c r="D814" s="18" t="n"/>
      <c r="E814" s="17" t="n"/>
      <c r="F814" s="17" t="n"/>
      <c r="G814" s="19" t="n"/>
      <c r="H814" s="17" t="n"/>
      <c r="I814" s="17" t="n"/>
      <c r="J814" s="17" t="n"/>
      <c r="K814" s="20">
        <f>IF($B814="","",IFERROR(INDEX(الموظفات!$A$5:$A$304,MATCH($B814,الموظفات!$B$5:$B$304,0))&amp;"",""))</f>
        <v/>
      </c>
      <c r="L814" s="21">
        <f>IF($B814="","",IFERROR(INDEX(الموظفات!$C$5:$C$304,MATCH($B814,الموظفات!$B$5:$B$304,0))&amp;"",""))</f>
        <v/>
      </c>
      <c r="M814" s="20">
        <f>IF($B814="","",IFERROR(INDEX(الموظفات!$D$5:$D$304,MATCH($B814,الموظفات!$B$5:$B$304,0))&amp;"",""))</f>
        <v/>
      </c>
      <c r="N814" s="20">
        <f>IF($B814="","",IFERROR(INDEX(الموظفات!$E$5:$E$304,MATCH($B814,الموظفات!$B$5:$B$304,0))&amp;"",""))</f>
        <v/>
      </c>
      <c r="O814" s="21">
        <f>IF(C814="","",IFERROR(INDEX(الإعدادات!$D$7:$D$35,MATCH(C814,الإعدادات!$A$7:$A$35,0))&amp;"",""))</f>
        <v/>
      </c>
      <c r="P814" s="20">
        <f>IF(A814="","",INDEX(الإعدادات!$H$7:$H$18,MONTH(A814)))</f>
        <v/>
      </c>
      <c r="Q814" s="20">
        <f>IF(A814="","",INDEX(الإعدادات!$I$7:$I$18,MONTH(A814)))</f>
        <v/>
      </c>
      <c r="R814" s="20">
        <f>IF(A814="","",IF(MONTH(A814)&gt;=8,YEAR(A814)&amp;"-"&amp;(YEAR(A814)+1),(YEAR(A814)-1)&amp;"-"&amp;YEAR(A814)))</f>
        <v/>
      </c>
      <c r="S814" s="20">
        <f>IF(OR(A814="",B814=""),0,IF(AND(R814=التقارير!$C$4,OR(التقارير!$C$5="سنوي",AND(التقارير!$C$5="شهري",P814=التقارير!$C$6),AND(التقارير!$C$5="فصلي",Q814=التقارير!$C$7))),1,0))</f>
        <v/>
      </c>
      <c r="T814" s="20">
        <f>IF(S814=1,COUNTIF($S$5:S814,1),"")</f>
        <v/>
      </c>
      <c r="U814">
        <f>IF(AND($A814&lt;&gt;"",$B814&lt;&gt;"",$R814='تقرير الفصل الأول'!$C$4,$Q814='تقرير الفصل الأول'!$C$7),COUNT(U$4:U813)+1,"")</f>
        <v/>
      </c>
      <c r="V814">
        <f>IF(AND($A814&lt;&gt;"",$B814&lt;&gt;"",$R814='تقرير الفصل الثاني'!$C$4,$Q814='تقرير الفصل الثاني'!$C$7),COUNT(V$4:V813)+1,"")</f>
        <v/>
      </c>
      <c r="W814">
        <f>IF(AND($A814&lt;&gt;"",$B814&lt;&gt;"",$R814='تقرير سبتمبر'!$C$4,$P814='تقرير سبتمبر'!$C$6),COUNT(W$4:W813)+1,"")</f>
        <v/>
      </c>
      <c r="X814">
        <f>IF(AND($A814&lt;&gt;"",$B814&lt;&gt;"",$R814='تقرير أكتوبر'!$C$4,$P814='تقرير أكتوبر'!$C$6),COUNT(X$4:X813)+1,"")</f>
        <v/>
      </c>
      <c r="Y814">
        <f>IF(AND($A814&lt;&gt;"",$B814&lt;&gt;"",$R814='تقرير نوفمبر'!$C$4,$P814='تقرير نوفمبر'!$C$6),COUNT(Y$4:Y813)+1,"")</f>
        <v/>
      </c>
      <c r="Z814">
        <f>IF(AND($A814&lt;&gt;"",$B814&lt;&gt;"",$R814='تقرير ديسمبر'!$C$4,$P814='تقرير ديسمبر'!$C$6),COUNT(Z$4:Z813)+1,"")</f>
        <v/>
      </c>
      <c r="AA814">
        <f>IF(AND($A814&lt;&gt;"",$B814&lt;&gt;"",$R814='تقرير يناير'!$C$4,$P814='تقرير يناير'!$C$6),COUNT(AA$4:AA813)+1,"")</f>
        <v/>
      </c>
      <c r="AB814">
        <f>IF(AND($A814&lt;&gt;"",$B814&lt;&gt;"",$R814='تقرير فبراير'!$C$4,$P814='تقرير فبراير'!$C$6),COUNT(AB$4:AB813)+1,"")</f>
        <v/>
      </c>
      <c r="AC814">
        <f>IF(AND($A814&lt;&gt;"",$B814&lt;&gt;"",$R814='تقرير مارس'!$C$4,$P814='تقرير مارس'!$C$6),COUNT(AC$4:AC813)+1,"")</f>
        <v/>
      </c>
      <c r="AD814">
        <f>IF(AND($A814&lt;&gt;"",$B814&lt;&gt;"",$R814='تقرير أبريل'!$C$4,$P814='تقرير أبريل'!$C$6),COUNT(AD$4:AD813)+1,"")</f>
        <v/>
      </c>
      <c r="AE814">
        <f>IF(AND($A814&lt;&gt;"",$B814&lt;&gt;"",$R814='تقرير مايو'!$C$4,$P814='تقرير مايو'!$C$6),COUNT(AE$4:AE813)+1,"")</f>
        <v/>
      </c>
    </row>
    <row r="815">
      <c r="A815" s="16" t="n"/>
      <c r="B815" s="17" t="n"/>
      <c r="C815" s="17" t="n"/>
      <c r="D815" s="18" t="n"/>
      <c r="E815" s="17" t="n"/>
      <c r="F815" s="17" t="n"/>
      <c r="G815" s="19" t="n"/>
      <c r="H815" s="17" t="n"/>
      <c r="I815" s="17" t="n"/>
      <c r="J815" s="17" t="n"/>
      <c r="K815" s="20">
        <f>IF($B815="","",IFERROR(INDEX(الموظفات!$A$5:$A$304,MATCH($B815,الموظفات!$B$5:$B$304,0))&amp;"",""))</f>
        <v/>
      </c>
      <c r="L815" s="21">
        <f>IF($B815="","",IFERROR(INDEX(الموظفات!$C$5:$C$304,MATCH($B815,الموظفات!$B$5:$B$304,0))&amp;"",""))</f>
        <v/>
      </c>
      <c r="M815" s="20">
        <f>IF($B815="","",IFERROR(INDEX(الموظفات!$D$5:$D$304,MATCH($B815,الموظفات!$B$5:$B$304,0))&amp;"",""))</f>
        <v/>
      </c>
      <c r="N815" s="20">
        <f>IF($B815="","",IFERROR(INDEX(الموظفات!$E$5:$E$304,MATCH($B815,الموظفات!$B$5:$B$304,0))&amp;"",""))</f>
        <v/>
      </c>
      <c r="O815" s="21">
        <f>IF(C815="","",IFERROR(INDEX(الإعدادات!$D$7:$D$35,MATCH(C815,الإعدادات!$A$7:$A$35,0))&amp;"",""))</f>
        <v/>
      </c>
      <c r="P815" s="20">
        <f>IF(A815="","",INDEX(الإعدادات!$H$7:$H$18,MONTH(A815)))</f>
        <v/>
      </c>
      <c r="Q815" s="20">
        <f>IF(A815="","",INDEX(الإعدادات!$I$7:$I$18,MONTH(A815)))</f>
        <v/>
      </c>
      <c r="R815" s="20">
        <f>IF(A815="","",IF(MONTH(A815)&gt;=8,YEAR(A815)&amp;"-"&amp;(YEAR(A815)+1),(YEAR(A815)-1)&amp;"-"&amp;YEAR(A815)))</f>
        <v/>
      </c>
      <c r="S815" s="20">
        <f>IF(OR(A815="",B815=""),0,IF(AND(R815=التقارير!$C$4,OR(التقارير!$C$5="سنوي",AND(التقارير!$C$5="شهري",P815=التقارير!$C$6),AND(التقارير!$C$5="فصلي",Q815=التقارير!$C$7))),1,0))</f>
        <v/>
      </c>
      <c r="T815" s="20">
        <f>IF(S815=1,COUNTIF($S$5:S815,1),"")</f>
        <v/>
      </c>
      <c r="U815">
        <f>IF(AND($A815&lt;&gt;"",$B815&lt;&gt;"",$R815='تقرير الفصل الأول'!$C$4,$Q815='تقرير الفصل الأول'!$C$7),COUNT(U$4:U814)+1,"")</f>
        <v/>
      </c>
      <c r="V815">
        <f>IF(AND($A815&lt;&gt;"",$B815&lt;&gt;"",$R815='تقرير الفصل الثاني'!$C$4,$Q815='تقرير الفصل الثاني'!$C$7),COUNT(V$4:V814)+1,"")</f>
        <v/>
      </c>
      <c r="W815">
        <f>IF(AND($A815&lt;&gt;"",$B815&lt;&gt;"",$R815='تقرير سبتمبر'!$C$4,$P815='تقرير سبتمبر'!$C$6),COUNT(W$4:W814)+1,"")</f>
        <v/>
      </c>
      <c r="X815">
        <f>IF(AND($A815&lt;&gt;"",$B815&lt;&gt;"",$R815='تقرير أكتوبر'!$C$4,$P815='تقرير أكتوبر'!$C$6),COUNT(X$4:X814)+1,"")</f>
        <v/>
      </c>
      <c r="Y815">
        <f>IF(AND($A815&lt;&gt;"",$B815&lt;&gt;"",$R815='تقرير نوفمبر'!$C$4,$P815='تقرير نوفمبر'!$C$6),COUNT(Y$4:Y814)+1,"")</f>
        <v/>
      </c>
      <c r="Z815">
        <f>IF(AND($A815&lt;&gt;"",$B815&lt;&gt;"",$R815='تقرير ديسمبر'!$C$4,$P815='تقرير ديسمبر'!$C$6),COUNT(Z$4:Z814)+1,"")</f>
        <v/>
      </c>
      <c r="AA815">
        <f>IF(AND($A815&lt;&gt;"",$B815&lt;&gt;"",$R815='تقرير يناير'!$C$4,$P815='تقرير يناير'!$C$6),COUNT(AA$4:AA814)+1,"")</f>
        <v/>
      </c>
      <c r="AB815">
        <f>IF(AND($A815&lt;&gt;"",$B815&lt;&gt;"",$R815='تقرير فبراير'!$C$4,$P815='تقرير فبراير'!$C$6),COUNT(AB$4:AB814)+1,"")</f>
        <v/>
      </c>
      <c r="AC815">
        <f>IF(AND($A815&lt;&gt;"",$B815&lt;&gt;"",$R815='تقرير مارس'!$C$4,$P815='تقرير مارس'!$C$6),COUNT(AC$4:AC814)+1,"")</f>
        <v/>
      </c>
      <c r="AD815">
        <f>IF(AND($A815&lt;&gt;"",$B815&lt;&gt;"",$R815='تقرير أبريل'!$C$4,$P815='تقرير أبريل'!$C$6),COUNT(AD$4:AD814)+1,"")</f>
        <v/>
      </c>
      <c r="AE815">
        <f>IF(AND($A815&lt;&gt;"",$B815&lt;&gt;"",$R815='تقرير مايو'!$C$4,$P815='تقرير مايو'!$C$6),COUNT(AE$4:AE814)+1,"")</f>
        <v/>
      </c>
    </row>
    <row r="816">
      <c r="A816" s="16" t="n"/>
      <c r="B816" s="17" t="n"/>
      <c r="C816" s="17" t="n"/>
      <c r="D816" s="18" t="n"/>
      <c r="E816" s="17" t="n"/>
      <c r="F816" s="17" t="n"/>
      <c r="G816" s="19" t="n"/>
      <c r="H816" s="17" t="n"/>
      <c r="I816" s="17" t="n"/>
      <c r="J816" s="17" t="n"/>
      <c r="K816" s="20">
        <f>IF($B816="","",IFERROR(INDEX(الموظفات!$A$5:$A$304,MATCH($B816,الموظفات!$B$5:$B$304,0))&amp;"",""))</f>
        <v/>
      </c>
      <c r="L816" s="21">
        <f>IF($B816="","",IFERROR(INDEX(الموظفات!$C$5:$C$304,MATCH($B816,الموظفات!$B$5:$B$304,0))&amp;"",""))</f>
        <v/>
      </c>
      <c r="M816" s="20">
        <f>IF($B816="","",IFERROR(INDEX(الموظفات!$D$5:$D$304,MATCH($B816,الموظفات!$B$5:$B$304,0))&amp;"",""))</f>
        <v/>
      </c>
      <c r="N816" s="20">
        <f>IF($B816="","",IFERROR(INDEX(الموظفات!$E$5:$E$304,MATCH($B816,الموظفات!$B$5:$B$304,0))&amp;"",""))</f>
        <v/>
      </c>
      <c r="O816" s="21">
        <f>IF(C816="","",IFERROR(INDEX(الإعدادات!$D$7:$D$35,MATCH(C816,الإعدادات!$A$7:$A$35,0))&amp;"",""))</f>
        <v/>
      </c>
      <c r="P816" s="20">
        <f>IF(A816="","",INDEX(الإعدادات!$H$7:$H$18,MONTH(A816)))</f>
        <v/>
      </c>
      <c r="Q816" s="20">
        <f>IF(A816="","",INDEX(الإعدادات!$I$7:$I$18,MONTH(A816)))</f>
        <v/>
      </c>
      <c r="R816" s="20">
        <f>IF(A816="","",IF(MONTH(A816)&gt;=8,YEAR(A816)&amp;"-"&amp;(YEAR(A816)+1),(YEAR(A816)-1)&amp;"-"&amp;YEAR(A816)))</f>
        <v/>
      </c>
      <c r="S816" s="20">
        <f>IF(OR(A816="",B816=""),0,IF(AND(R816=التقارير!$C$4,OR(التقارير!$C$5="سنوي",AND(التقارير!$C$5="شهري",P816=التقارير!$C$6),AND(التقارير!$C$5="فصلي",Q816=التقارير!$C$7))),1,0))</f>
        <v/>
      </c>
      <c r="T816" s="20">
        <f>IF(S816=1,COUNTIF($S$5:S816,1),"")</f>
        <v/>
      </c>
      <c r="U816">
        <f>IF(AND($A816&lt;&gt;"",$B816&lt;&gt;"",$R816='تقرير الفصل الأول'!$C$4,$Q816='تقرير الفصل الأول'!$C$7),COUNT(U$4:U815)+1,"")</f>
        <v/>
      </c>
      <c r="V816">
        <f>IF(AND($A816&lt;&gt;"",$B816&lt;&gt;"",$R816='تقرير الفصل الثاني'!$C$4,$Q816='تقرير الفصل الثاني'!$C$7),COUNT(V$4:V815)+1,"")</f>
        <v/>
      </c>
      <c r="W816">
        <f>IF(AND($A816&lt;&gt;"",$B816&lt;&gt;"",$R816='تقرير سبتمبر'!$C$4,$P816='تقرير سبتمبر'!$C$6),COUNT(W$4:W815)+1,"")</f>
        <v/>
      </c>
      <c r="X816">
        <f>IF(AND($A816&lt;&gt;"",$B816&lt;&gt;"",$R816='تقرير أكتوبر'!$C$4,$P816='تقرير أكتوبر'!$C$6),COUNT(X$4:X815)+1,"")</f>
        <v/>
      </c>
      <c r="Y816">
        <f>IF(AND($A816&lt;&gt;"",$B816&lt;&gt;"",$R816='تقرير نوفمبر'!$C$4,$P816='تقرير نوفمبر'!$C$6),COUNT(Y$4:Y815)+1,"")</f>
        <v/>
      </c>
      <c r="Z816">
        <f>IF(AND($A816&lt;&gt;"",$B816&lt;&gt;"",$R816='تقرير ديسمبر'!$C$4,$P816='تقرير ديسمبر'!$C$6),COUNT(Z$4:Z815)+1,"")</f>
        <v/>
      </c>
      <c r="AA816">
        <f>IF(AND($A816&lt;&gt;"",$B816&lt;&gt;"",$R816='تقرير يناير'!$C$4,$P816='تقرير يناير'!$C$6),COUNT(AA$4:AA815)+1,"")</f>
        <v/>
      </c>
      <c r="AB816">
        <f>IF(AND($A816&lt;&gt;"",$B816&lt;&gt;"",$R816='تقرير فبراير'!$C$4,$P816='تقرير فبراير'!$C$6),COUNT(AB$4:AB815)+1,"")</f>
        <v/>
      </c>
      <c r="AC816">
        <f>IF(AND($A816&lt;&gt;"",$B816&lt;&gt;"",$R816='تقرير مارس'!$C$4,$P816='تقرير مارس'!$C$6),COUNT(AC$4:AC815)+1,"")</f>
        <v/>
      </c>
      <c r="AD816">
        <f>IF(AND($A816&lt;&gt;"",$B816&lt;&gt;"",$R816='تقرير أبريل'!$C$4,$P816='تقرير أبريل'!$C$6),COUNT(AD$4:AD815)+1,"")</f>
        <v/>
      </c>
      <c r="AE816">
        <f>IF(AND($A816&lt;&gt;"",$B816&lt;&gt;"",$R816='تقرير مايو'!$C$4,$P816='تقرير مايو'!$C$6),COUNT(AE$4:AE815)+1,"")</f>
        <v/>
      </c>
    </row>
    <row r="817">
      <c r="A817" s="16" t="n"/>
      <c r="B817" s="17" t="n"/>
      <c r="C817" s="17" t="n"/>
      <c r="D817" s="18" t="n"/>
      <c r="E817" s="17" t="n"/>
      <c r="F817" s="17" t="n"/>
      <c r="G817" s="19" t="n"/>
      <c r="H817" s="17" t="n"/>
      <c r="I817" s="17" t="n"/>
      <c r="J817" s="17" t="n"/>
      <c r="K817" s="20">
        <f>IF($B817="","",IFERROR(INDEX(الموظفات!$A$5:$A$304,MATCH($B817,الموظفات!$B$5:$B$304,0))&amp;"",""))</f>
        <v/>
      </c>
      <c r="L817" s="21">
        <f>IF($B817="","",IFERROR(INDEX(الموظفات!$C$5:$C$304,MATCH($B817,الموظفات!$B$5:$B$304,0))&amp;"",""))</f>
        <v/>
      </c>
      <c r="M817" s="20">
        <f>IF($B817="","",IFERROR(INDEX(الموظفات!$D$5:$D$304,MATCH($B817,الموظفات!$B$5:$B$304,0))&amp;"",""))</f>
        <v/>
      </c>
      <c r="N817" s="20">
        <f>IF($B817="","",IFERROR(INDEX(الموظفات!$E$5:$E$304,MATCH($B817,الموظفات!$B$5:$B$304,0))&amp;"",""))</f>
        <v/>
      </c>
      <c r="O817" s="21">
        <f>IF(C817="","",IFERROR(INDEX(الإعدادات!$D$7:$D$35,MATCH(C817,الإعدادات!$A$7:$A$35,0))&amp;"",""))</f>
        <v/>
      </c>
      <c r="P817" s="20">
        <f>IF(A817="","",INDEX(الإعدادات!$H$7:$H$18,MONTH(A817)))</f>
        <v/>
      </c>
      <c r="Q817" s="20">
        <f>IF(A817="","",INDEX(الإعدادات!$I$7:$I$18,MONTH(A817)))</f>
        <v/>
      </c>
      <c r="R817" s="20">
        <f>IF(A817="","",IF(MONTH(A817)&gt;=8,YEAR(A817)&amp;"-"&amp;(YEAR(A817)+1),(YEAR(A817)-1)&amp;"-"&amp;YEAR(A817)))</f>
        <v/>
      </c>
      <c r="S817" s="20">
        <f>IF(OR(A817="",B817=""),0,IF(AND(R817=التقارير!$C$4,OR(التقارير!$C$5="سنوي",AND(التقارير!$C$5="شهري",P817=التقارير!$C$6),AND(التقارير!$C$5="فصلي",Q817=التقارير!$C$7))),1,0))</f>
        <v/>
      </c>
      <c r="T817" s="20">
        <f>IF(S817=1,COUNTIF($S$5:S817,1),"")</f>
        <v/>
      </c>
      <c r="U817">
        <f>IF(AND($A817&lt;&gt;"",$B817&lt;&gt;"",$R817='تقرير الفصل الأول'!$C$4,$Q817='تقرير الفصل الأول'!$C$7),COUNT(U$4:U816)+1,"")</f>
        <v/>
      </c>
      <c r="V817">
        <f>IF(AND($A817&lt;&gt;"",$B817&lt;&gt;"",$R817='تقرير الفصل الثاني'!$C$4,$Q817='تقرير الفصل الثاني'!$C$7),COUNT(V$4:V816)+1,"")</f>
        <v/>
      </c>
      <c r="W817">
        <f>IF(AND($A817&lt;&gt;"",$B817&lt;&gt;"",$R817='تقرير سبتمبر'!$C$4,$P817='تقرير سبتمبر'!$C$6),COUNT(W$4:W816)+1,"")</f>
        <v/>
      </c>
      <c r="X817">
        <f>IF(AND($A817&lt;&gt;"",$B817&lt;&gt;"",$R817='تقرير أكتوبر'!$C$4,$P817='تقرير أكتوبر'!$C$6),COUNT(X$4:X816)+1,"")</f>
        <v/>
      </c>
      <c r="Y817">
        <f>IF(AND($A817&lt;&gt;"",$B817&lt;&gt;"",$R817='تقرير نوفمبر'!$C$4,$P817='تقرير نوفمبر'!$C$6),COUNT(Y$4:Y816)+1,"")</f>
        <v/>
      </c>
      <c r="Z817">
        <f>IF(AND($A817&lt;&gt;"",$B817&lt;&gt;"",$R817='تقرير ديسمبر'!$C$4,$P817='تقرير ديسمبر'!$C$6),COUNT(Z$4:Z816)+1,"")</f>
        <v/>
      </c>
      <c r="AA817">
        <f>IF(AND($A817&lt;&gt;"",$B817&lt;&gt;"",$R817='تقرير يناير'!$C$4,$P817='تقرير يناير'!$C$6),COUNT(AA$4:AA816)+1,"")</f>
        <v/>
      </c>
      <c r="AB817">
        <f>IF(AND($A817&lt;&gt;"",$B817&lt;&gt;"",$R817='تقرير فبراير'!$C$4,$P817='تقرير فبراير'!$C$6),COUNT(AB$4:AB816)+1,"")</f>
        <v/>
      </c>
      <c r="AC817">
        <f>IF(AND($A817&lt;&gt;"",$B817&lt;&gt;"",$R817='تقرير مارس'!$C$4,$P817='تقرير مارس'!$C$6),COUNT(AC$4:AC816)+1,"")</f>
        <v/>
      </c>
      <c r="AD817">
        <f>IF(AND($A817&lt;&gt;"",$B817&lt;&gt;"",$R817='تقرير أبريل'!$C$4,$P817='تقرير أبريل'!$C$6),COUNT(AD$4:AD816)+1,"")</f>
        <v/>
      </c>
      <c r="AE817">
        <f>IF(AND($A817&lt;&gt;"",$B817&lt;&gt;"",$R817='تقرير مايو'!$C$4,$P817='تقرير مايو'!$C$6),COUNT(AE$4:AE816)+1,"")</f>
        <v/>
      </c>
    </row>
    <row r="818">
      <c r="A818" s="16" t="n"/>
      <c r="B818" s="17" t="n"/>
      <c r="C818" s="17" t="n"/>
      <c r="D818" s="18" t="n"/>
      <c r="E818" s="17" t="n"/>
      <c r="F818" s="17" t="n"/>
      <c r="G818" s="19" t="n"/>
      <c r="H818" s="17" t="n"/>
      <c r="I818" s="17" t="n"/>
      <c r="J818" s="17" t="n"/>
      <c r="K818" s="20">
        <f>IF($B818="","",IFERROR(INDEX(الموظفات!$A$5:$A$304,MATCH($B818,الموظفات!$B$5:$B$304,0))&amp;"",""))</f>
        <v/>
      </c>
      <c r="L818" s="21">
        <f>IF($B818="","",IFERROR(INDEX(الموظفات!$C$5:$C$304,MATCH($B818,الموظفات!$B$5:$B$304,0))&amp;"",""))</f>
        <v/>
      </c>
      <c r="M818" s="20">
        <f>IF($B818="","",IFERROR(INDEX(الموظفات!$D$5:$D$304,MATCH($B818,الموظفات!$B$5:$B$304,0))&amp;"",""))</f>
        <v/>
      </c>
      <c r="N818" s="20">
        <f>IF($B818="","",IFERROR(INDEX(الموظفات!$E$5:$E$304,MATCH($B818,الموظفات!$B$5:$B$304,0))&amp;"",""))</f>
        <v/>
      </c>
      <c r="O818" s="21">
        <f>IF(C818="","",IFERROR(INDEX(الإعدادات!$D$7:$D$35,MATCH(C818,الإعدادات!$A$7:$A$35,0))&amp;"",""))</f>
        <v/>
      </c>
      <c r="P818" s="20">
        <f>IF(A818="","",INDEX(الإعدادات!$H$7:$H$18,MONTH(A818)))</f>
        <v/>
      </c>
      <c r="Q818" s="20">
        <f>IF(A818="","",INDEX(الإعدادات!$I$7:$I$18,MONTH(A818)))</f>
        <v/>
      </c>
      <c r="R818" s="20">
        <f>IF(A818="","",IF(MONTH(A818)&gt;=8,YEAR(A818)&amp;"-"&amp;(YEAR(A818)+1),(YEAR(A818)-1)&amp;"-"&amp;YEAR(A818)))</f>
        <v/>
      </c>
      <c r="S818" s="20">
        <f>IF(OR(A818="",B818=""),0,IF(AND(R818=التقارير!$C$4,OR(التقارير!$C$5="سنوي",AND(التقارير!$C$5="شهري",P818=التقارير!$C$6),AND(التقارير!$C$5="فصلي",Q818=التقارير!$C$7))),1,0))</f>
        <v/>
      </c>
      <c r="T818" s="20">
        <f>IF(S818=1,COUNTIF($S$5:S818,1),"")</f>
        <v/>
      </c>
      <c r="U818">
        <f>IF(AND($A818&lt;&gt;"",$B818&lt;&gt;"",$R818='تقرير الفصل الأول'!$C$4,$Q818='تقرير الفصل الأول'!$C$7),COUNT(U$4:U817)+1,"")</f>
        <v/>
      </c>
      <c r="V818">
        <f>IF(AND($A818&lt;&gt;"",$B818&lt;&gt;"",$R818='تقرير الفصل الثاني'!$C$4,$Q818='تقرير الفصل الثاني'!$C$7),COUNT(V$4:V817)+1,"")</f>
        <v/>
      </c>
      <c r="W818">
        <f>IF(AND($A818&lt;&gt;"",$B818&lt;&gt;"",$R818='تقرير سبتمبر'!$C$4,$P818='تقرير سبتمبر'!$C$6),COUNT(W$4:W817)+1,"")</f>
        <v/>
      </c>
      <c r="X818">
        <f>IF(AND($A818&lt;&gt;"",$B818&lt;&gt;"",$R818='تقرير أكتوبر'!$C$4,$P818='تقرير أكتوبر'!$C$6),COUNT(X$4:X817)+1,"")</f>
        <v/>
      </c>
      <c r="Y818">
        <f>IF(AND($A818&lt;&gt;"",$B818&lt;&gt;"",$R818='تقرير نوفمبر'!$C$4,$P818='تقرير نوفمبر'!$C$6),COUNT(Y$4:Y817)+1,"")</f>
        <v/>
      </c>
      <c r="Z818">
        <f>IF(AND($A818&lt;&gt;"",$B818&lt;&gt;"",$R818='تقرير ديسمبر'!$C$4,$P818='تقرير ديسمبر'!$C$6),COUNT(Z$4:Z817)+1,"")</f>
        <v/>
      </c>
      <c r="AA818">
        <f>IF(AND($A818&lt;&gt;"",$B818&lt;&gt;"",$R818='تقرير يناير'!$C$4,$P818='تقرير يناير'!$C$6),COUNT(AA$4:AA817)+1,"")</f>
        <v/>
      </c>
      <c r="AB818">
        <f>IF(AND($A818&lt;&gt;"",$B818&lt;&gt;"",$R818='تقرير فبراير'!$C$4,$P818='تقرير فبراير'!$C$6),COUNT(AB$4:AB817)+1,"")</f>
        <v/>
      </c>
      <c r="AC818">
        <f>IF(AND($A818&lt;&gt;"",$B818&lt;&gt;"",$R818='تقرير مارس'!$C$4,$P818='تقرير مارس'!$C$6),COUNT(AC$4:AC817)+1,"")</f>
        <v/>
      </c>
      <c r="AD818">
        <f>IF(AND($A818&lt;&gt;"",$B818&lt;&gt;"",$R818='تقرير أبريل'!$C$4,$P818='تقرير أبريل'!$C$6),COUNT(AD$4:AD817)+1,"")</f>
        <v/>
      </c>
      <c r="AE818">
        <f>IF(AND($A818&lt;&gt;"",$B818&lt;&gt;"",$R818='تقرير مايو'!$C$4,$P818='تقرير مايو'!$C$6),COUNT(AE$4:AE817)+1,"")</f>
        <v/>
      </c>
    </row>
    <row r="819">
      <c r="A819" s="16" t="n"/>
      <c r="B819" s="17" t="n"/>
      <c r="C819" s="17" t="n"/>
      <c r="D819" s="18" t="n"/>
      <c r="E819" s="17" t="n"/>
      <c r="F819" s="17" t="n"/>
      <c r="G819" s="19" t="n"/>
      <c r="H819" s="17" t="n"/>
      <c r="I819" s="17" t="n"/>
      <c r="J819" s="17" t="n"/>
      <c r="K819" s="20">
        <f>IF($B819="","",IFERROR(INDEX(الموظفات!$A$5:$A$304,MATCH($B819,الموظفات!$B$5:$B$304,0))&amp;"",""))</f>
        <v/>
      </c>
      <c r="L819" s="21">
        <f>IF($B819="","",IFERROR(INDEX(الموظفات!$C$5:$C$304,MATCH($B819,الموظفات!$B$5:$B$304,0))&amp;"",""))</f>
        <v/>
      </c>
      <c r="M819" s="20">
        <f>IF($B819="","",IFERROR(INDEX(الموظفات!$D$5:$D$304,MATCH($B819,الموظفات!$B$5:$B$304,0))&amp;"",""))</f>
        <v/>
      </c>
      <c r="N819" s="20">
        <f>IF($B819="","",IFERROR(INDEX(الموظفات!$E$5:$E$304,MATCH($B819,الموظفات!$B$5:$B$304,0))&amp;"",""))</f>
        <v/>
      </c>
      <c r="O819" s="21">
        <f>IF(C819="","",IFERROR(INDEX(الإعدادات!$D$7:$D$35,MATCH(C819,الإعدادات!$A$7:$A$35,0))&amp;"",""))</f>
        <v/>
      </c>
      <c r="P819" s="20">
        <f>IF(A819="","",INDEX(الإعدادات!$H$7:$H$18,MONTH(A819)))</f>
        <v/>
      </c>
      <c r="Q819" s="20">
        <f>IF(A819="","",INDEX(الإعدادات!$I$7:$I$18,MONTH(A819)))</f>
        <v/>
      </c>
      <c r="R819" s="20">
        <f>IF(A819="","",IF(MONTH(A819)&gt;=8,YEAR(A819)&amp;"-"&amp;(YEAR(A819)+1),(YEAR(A819)-1)&amp;"-"&amp;YEAR(A819)))</f>
        <v/>
      </c>
      <c r="S819" s="20">
        <f>IF(OR(A819="",B819=""),0,IF(AND(R819=التقارير!$C$4,OR(التقارير!$C$5="سنوي",AND(التقارير!$C$5="شهري",P819=التقارير!$C$6),AND(التقارير!$C$5="فصلي",Q819=التقارير!$C$7))),1,0))</f>
        <v/>
      </c>
      <c r="T819" s="20">
        <f>IF(S819=1,COUNTIF($S$5:S819,1),"")</f>
        <v/>
      </c>
      <c r="U819">
        <f>IF(AND($A819&lt;&gt;"",$B819&lt;&gt;"",$R819='تقرير الفصل الأول'!$C$4,$Q819='تقرير الفصل الأول'!$C$7),COUNT(U$4:U818)+1,"")</f>
        <v/>
      </c>
      <c r="V819">
        <f>IF(AND($A819&lt;&gt;"",$B819&lt;&gt;"",$R819='تقرير الفصل الثاني'!$C$4,$Q819='تقرير الفصل الثاني'!$C$7),COUNT(V$4:V818)+1,"")</f>
        <v/>
      </c>
      <c r="W819">
        <f>IF(AND($A819&lt;&gt;"",$B819&lt;&gt;"",$R819='تقرير سبتمبر'!$C$4,$P819='تقرير سبتمبر'!$C$6),COUNT(W$4:W818)+1,"")</f>
        <v/>
      </c>
      <c r="X819">
        <f>IF(AND($A819&lt;&gt;"",$B819&lt;&gt;"",$R819='تقرير أكتوبر'!$C$4,$P819='تقرير أكتوبر'!$C$6),COUNT(X$4:X818)+1,"")</f>
        <v/>
      </c>
      <c r="Y819">
        <f>IF(AND($A819&lt;&gt;"",$B819&lt;&gt;"",$R819='تقرير نوفمبر'!$C$4,$P819='تقرير نوفمبر'!$C$6),COUNT(Y$4:Y818)+1,"")</f>
        <v/>
      </c>
      <c r="Z819">
        <f>IF(AND($A819&lt;&gt;"",$B819&lt;&gt;"",$R819='تقرير ديسمبر'!$C$4,$P819='تقرير ديسمبر'!$C$6),COUNT(Z$4:Z818)+1,"")</f>
        <v/>
      </c>
      <c r="AA819">
        <f>IF(AND($A819&lt;&gt;"",$B819&lt;&gt;"",$R819='تقرير يناير'!$C$4,$P819='تقرير يناير'!$C$6),COUNT(AA$4:AA818)+1,"")</f>
        <v/>
      </c>
      <c r="AB819">
        <f>IF(AND($A819&lt;&gt;"",$B819&lt;&gt;"",$R819='تقرير فبراير'!$C$4,$P819='تقرير فبراير'!$C$6),COUNT(AB$4:AB818)+1,"")</f>
        <v/>
      </c>
      <c r="AC819">
        <f>IF(AND($A819&lt;&gt;"",$B819&lt;&gt;"",$R819='تقرير مارس'!$C$4,$P819='تقرير مارس'!$C$6),COUNT(AC$4:AC818)+1,"")</f>
        <v/>
      </c>
      <c r="AD819">
        <f>IF(AND($A819&lt;&gt;"",$B819&lt;&gt;"",$R819='تقرير أبريل'!$C$4,$P819='تقرير أبريل'!$C$6),COUNT(AD$4:AD818)+1,"")</f>
        <v/>
      </c>
      <c r="AE819">
        <f>IF(AND($A819&lt;&gt;"",$B819&lt;&gt;"",$R819='تقرير مايو'!$C$4,$P819='تقرير مايو'!$C$6),COUNT(AE$4:AE818)+1,"")</f>
        <v/>
      </c>
    </row>
    <row r="820">
      <c r="A820" s="16" t="n"/>
      <c r="B820" s="17" t="n"/>
      <c r="C820" s="17" t="n"/>
      <c r="D820" s="18" t="n"/>
      <c r="E820" s="17" t="n"/>
      <c r="F820" s="17" t="n"/>
      <c r="G820" s="19" t="n"/>
      <c r="H820" s="17" t="n"/>
      <c r="I820" s="17" t="n"/>
      <c r="J820" s="17" t="n"/>
      <c r="K820" s="20">
        <f>IF($B820="","",IFERROR(INDEX(الموظفات!$A$5:$A$304,MATCH($B820,الموظفات!$B$5:$B$304,0))&amp;"",""))</f>
        <v/>
      </c>
      <c r="L820" s="21">
        <f>IF($B820="","",IFERROR(INDEX(الموظفات!$C$5:$C$304,MATCH($B820,الموظفات!$B$5:$B$304,0))&amp;"",""))</f>
        <v/>
      </c>
      <c r="M820" s="20">
        <f>IF($B820="","",IFERROR(INDEX(الموظفات!$D$5:$D$304,MATCH($B820,الموظفات!$B$5:$B$304,0))&amp;"",""))</f>
        <v/>
      </c>
      <c r="N820" s="20">
        <f>IF($B820="","",IFERROR(INDEX(الموظفات!$E$5:$E$304,MATCH($B820,الموظفات!$B$5:$B$304,0))&amp;"",""))</f>
        <v/>
      </c>
      <c r="O820" s="21">
        <f>IF(C820="","",IFERROR(INDEX(الإعدادات!$D$7:$D$35,MATCH(C820,الإعدادات!$A$7:$A$35,0))&amp;"",""))</f>
        <v/>
      </c>
      <c r="P820" s="20">
        <f>IF(A820="","",INDEX(الإعدادات!$H$7:$H$18,MONTH(A820)))</f>
        <v/>
      </c>
      <c r="Q820" s="20">
        <f>IF(A820="","",INDEX(الإعدادات!$I$7:$I$18,MONTH(A820)))</f>
        <v/>
      </c>
      <c r="R820" s="20">
        <f>IF(A820="","",IF(MONTH(A820)&gt;=8,YEAR(A820)&amp;"-"&amp;(YEAR(A820)+1),(YEAR(A820)-1)&amp;"-"&amp;YEAR(A820)))</f>
        <v/>
      </c>
      <c r="S820" s="20">
        <f>IF(OR(A820="",B820=""),0,IF(AND(R820=التقارير!$C$4,OR(التقارير!$C$5="سنوي",AND(التقارير!$C$5="شهري",P820=التقارير!$C$6),AND(التقارير!$C$5="فصلي",Q820=التقارير!$C$7))),1,0))</f>
        <v/>
      </c>
      <c r="T820" s="20">
        <f>IF(S820=1,COUNTIF($S$5:S820,1),"")</f>
        <v/>
      </c>
      <c r="U820">
        <f>IF(AND($A820&lt;&gt;"",$B820&lt;&gt;"",$R820='تقرير الفصل الأول'!$C$4,$Q820='تقرير الفصل الأول'!$C$7),COUNT(U$4:U819)+1,"")</f>
        <v/>
      </c>
      <c r="V820">
        <f>IF(AND($A820&lt;&gt;"",$B820&lt;&gt;"",$R820='تقرير الفصل الثاني'!$C$4,$Q820='تقرير الفصل الثاني'!$C$7),COUNT(V$4:V819)+1,"")</f>
        <v/>
      </c>
      <c r="W820">
        <f>IF(AND($A820&lt;&gt;"",$B820&lt;&gt;"",$R820='تقرير سبتمبر'!$C$4,$P820='تقرير سبتمبر'!$C$6),COUNT(W$4:W819)+1,"")</f>
        <v/>
      </c>
      <c r="X820">
        <f>IF(AND($A820&lt;&gt;"",$B820&lt;&gt;"",$R820='تقرير أكتوبر'!$C$4,$P820='تقرير أكتوبر'!$C$6),COUNT(X$4:X819)+1,"")</f>
        <v/>
      </c>
      <c r="Y820">
        <f>IF(AND($A820&lt;&gt;"",$B820&lt;&gt;"",$R820='تقرير نوفمبر'!$C$4,$P820='تقرير نوفمبر'!$C$6),COUNT(Y$4:Y819)+1,"")</f>
        <v/>
      </c>
      <c r="Z820">
        <f>IF(AND($A820&lt;&gt;"",$B820&lt;&gt;"",$R820='تقرير ديسمبر'!$C$4,$P820='تقرير ديسمبر'!$C$6),COUNT(Z$4:Z819)+1,"")</f>
        <v/>
      </c>
      <c r="AA820">
        <f>IF(AND($A820&lt;&gt;"",$B820&lt;&gt;"",$R820='تقرير يناير'!$C$4,$P820='تقرير يناير'!$C$6),COUNT(AA$4:AA819)+1,"")</f>
        <v/>
      </c>
      <c r="AB820">
        <f>IF(AND($A820&lt;&gt;"",$B820&lt;&gt;"",$R820='تقرير فبراير'!$C$4,$P820='تقرير فبراير'!$C$6),COUNT(AB$4:AB819)+1,"")</f>
        <v/>
      </c>
      <c r="AC820">
        <f>IF(AND($A820&lt;&gt;"",$B820&lt;&gt;"",$R820='تقرير مارس'!$C$4,$P820='تقرير مارس'!$C$6),COUNT(AC$4:AC819)+1,"")</f>
        <v/>
      </c>
      <c r="AD820">
        <f>IF(AND($A820&lt;&gt;"",$B820&lt;&gt;"",$R820='تقرير أبريل'!$C$4,$P820='تقرير أبريل'!$C$6),COUNT(AD$4:AD819)+1,"")</f>
        <v/>
      </c>
      <c r="AE820">
        <f>IF(AND($A820&lt;&gt;"",$B820&lt;&gt;"",$R820='تقرير مايو'!$C$4,$P820='تقرير مايو'!$C$6),COUNT(AE$4:AE819)+1,"")</f>
        <v/>
      </c>
    </row>
    <row r="821">
      <c r="A821" s="16" t="n"/>
      <c r="B821" s="17" t="n"/>
      <c r="C821" s="17" t="n"/>
      <c r="D821" s="18" t="n"/>
      <c r="E821" s="17" t="n"/>
      <c r="F821" s="17" t="n"/>
      <c r="G821" s="19" t="n"/>
      <c r="H821" s="17" t="n"/>
      <c r="I821" s="17" t="n"/>
      <c r="J821" s="17" t="n"/>
      <c r="K821" s="20">
        <f>IF($B821="","",IFERROR(INDEX(الموظفات!$A$5:$A$304,MATCH($B821,الموظفات!$B$5:$B$304,0))&amp;"",""))</f>
        <v/>
      </c>
      <c r="L821" s="21">
        <f>IF($B821="","",IFERROR(INDEX(الموظفات!$C$5:$C$304,MATCH($B821,الموظفات!$B$5:$B$304,0))&amp;"",""))</f>
        <v/>
      </c>
      <c r="M821" s="20">
        <f>IF($B821="","",IFERROR(INDEX(الموظفات!$D$5:$D$304,MATCH($B821,الموظفات!$B$5:$B$304,0))&amp;"",""))</f>
        <v/>
      </c>
      <c r="N821" s="20">
        <f>IF($B821="","",IFERROR(INDEX(الموظفات!$E$5:$E$304,MATCH($B821,الموظفات!$B$5:$B$304,0))&amp;"",""))</f>
        <v/>
      </c>
      <c r="O821" s="21">
        <f>IF(C821="","",IFERROR(INDEX(الإعدادات!$D$7:$D$35,MATCH(C821,الإعدادات!$A$7:$A$35,0))&amp;"",""))</f>
        <v/>
      </c>
      <c r="P821" s="20">
        <f>IF(A821="","",INDEX(الإعدادات!$H$7:$H$18,MONTH(A821)))</f>
        <v/>
      </c>
      <c r="Q821" s="20">
        <f>IF(A821="","",INDEX(الإعدادات!$I$7:$I$18,MONTH(A821)))</f>
        <v/>
      </c>
      <c r="R821" s="20">
        <f>IF(A821="","",IF(MONTH(A821)&gt;=8,YEAR(A821)&amp;"-"&amp;(YEAR(A821)+1),(YEAR(A821)-1)&amp;"-"&amp;YEAR(A821)))</f>
        <v/>
      </c>
      <c r="S821" s="20">
        <f>IF(OR(A821="",B821=""),0,IF(AND(R821=التقارير!$C$4,OR(التقارير!$C$5="سنوي",AND(التقارير!$C$5="شهري",P821=التقارير!$C$6),AND(التقارير!$C$5="فصلي",Q821=التقارير!$C$7))),1,0))</f>
        <v/>
      </c>
      <c r="T821" s="20">
        <f>IF(S821=1,COUNTIF($S$5:S821,1),"")</f>
        <v/>
      </c>
      <c r="U821">
        <f>IF(AND($A821&lt;&gt;"",$B821&lt;&gt;"",$R821='تقرير الفصل الأول'!$C$4,$Q821='تقرير الفصل الأول'!$C$7),COUNT(U$4:U820)+1,"")</f>
        <v/>
      </c>
      <c r="V821">
        <f>IF(AND($A821&lt;&gt;"",$B821&lt;&gt;"",$R821='تقرير الفصل الثاني'!$C$4,$Q821='تقرير الفصل الثاني'!$C$7),COUNT(V$4:V820)+1,"")</f>
        <v/>
      </c>
      <c r="W821">
        <f>IF(AND($A821&lt;&gt;"",$B821&lt;&gt;"",$R821='تقرير سبتمبر'!$C$4,$P821='تقرير سبتمبر'!$C$6),COUNT(W$4:W820)+1,"")</f>
        <v/>
      </c>
      <c r="X821">
        <f>IF(AND($A821&lt;&gt;"",$B821&lt;&gt;"",$R821='تقرير أكتوبر'!$C$4,$P821='تقرير أكتوبر'!$C$6),COUNT(X$4:X820)+1,"")</f>
        <v/>
      </c>
      <c r="Y821">
        <f>IF(AND($A821&lt;&gt;"",$B821&lt;&gt;"",$R821='تقرير نوفمبر'!$C$4,$P821='تقرير نوفمبر'!$C$6),COUNT(Y$4:Y820)+1,"")</f>
        <v/>
      </c>
      <c r="Z821">
        <f>IF(AND($A821&lt;&gt;"",$B821&lt;&gt;"",$R821='تقرير ديسمبر'!$C$4,$P821='تقرير ديسمبر'!$C$6),COUNT(Z$4:Z820)+1,"")</f>
        <v/>
      </c>
      <c r="AA821">
        <f>IF(AND($A821&lt;&gt;"",$B821&lt;&gt;"",$R821='تقرير يناير'!$C$4,$P821='تقرير يناير'!$C$6),COUNT(AA$4:AA820)+1,"")</f>
        <v/>
      </c>
      <c r="AB821">
        <f>IF(AND($A821&lt;&gt;"",$B821&lt;&gt;"",$R821='تقرير فبراير'!$C$4,$P821='تقرير فبراير'!$C$6),COUNT(AB$4:AB820)+1,"")</f>
        <v/>
      </c>
      <c r="AC821">
        <f>IF(AND($A821&lt;&gt;"",$B821&lt;&gt;"",$R821='تقرير مارس'!$C$4,$P821='تقرير مارس'!$C$6),COUNT(AC$4:AC820)+1,"")</f>
        <v/>
      </c>
      <c r="AD821">
        <f>IF(AND($A821&lt;&gt;"",$B821&lt;&gt;"",$R821='تقرير أبريل'!$C$4,$P821='تقرير أبريل'!$C$6),COUNT(AD$4:AD820)+1,"")</f>
        <v/>
      </c>
      <c r="AE821">
        <f>IF(AND($A821&lt;&gt;"",$B821&lt;&gt;"",$R821='تقرير مايو'!$C$4,$P821='تقرير مايو'!$C$6),COUNT(AE$4:AE820)+1,"")</f>
        <v/>
      </c>
    </row>
    <row r="822">
      <c r="A822" s="16" t="n"/>
      <c r="B822" s="17" t="n"/>
      <c r="C822" s="17" t="n"/>
      <c r="D822" s="18" t="n"/>
      <c r="E822" s="17" t="n"/>
      <c r="F822" s="17" t="n"/>
      <c r="G822" s="19" t="n"/>
      <c r="H822" s="17" t="n"/>
      <c r="I822" s="17" t="n"/>
      <c r="J822" s="17" t="n"/>
      <c r="K822" s="20">
        <f>IF($B822="","",IFERROR(INDEX(الموظفات!$A$5:$A$304,MATCH($B822,الموظفات!$B$5:$B$304,0))&amp;"",""))</f>
        <v/>
      </c>
      <c r="L822" s="21">
        <f>IF($B822="","",IFERROR(INDEX(الموظفات!$C$5:$C$304,MATCH($B822,الموظفات!$B$5:$B$304,0))&amp;"",""))</f>
        <v/>
      </c>
      <c r="M822" s="20">
        <f>IF($B822="","",IFERROR(INDEX(الموظفات!$D$5:$D$304,MATCH($B822,الموظفات!$B$5:$B$304,0))&amp;"",""))</f>
        <v/>
      </c>
      <c r="N822" s="20">
        <f>IF($B822="","",IFERROR(INDEX(الموظفات!$E$5:$E$304,MATCH($B822,الموظفات!$B$5:$B$304,0))&amp;"",""))</f>
        <v/>
      </c>
      <c r="O822" s="21">
        <f>IF(C822="","",IFERROR(INDEX(الإعدادات!$D$7:$D$35,MATCH(C822,الإعدادات!$A$7:$A$35,0))&amp;"",""))</f>
        <v/>
      </c>
      <c r="P822" s="20">
        <f>IF(A822="","",INDEX(الإعدادات!$H$7:$H$18,MONTH(A822)))</f>
        <v/>
      </c>
      <c r="Q822" s="20">
        <f>IF(A822="","",INDEX(الإعدادات!$I$7:$I$18,MONTH(A822)))</f>
        <v/>
      </c>
      <c r="R822" s="20">
        <f>IF(A822="","",IF(MONTH(A822)&gt;=8,YEAR(A822)&amp;"-"&amp;(YEAR(A822)+1),(YEAR(A822)-1)&amp;"-"&amp;YEAR(A822)))</f>
        <v/>
      </c>
      <c r="S822" s="20">
        <f>IF(OR(A822="",B822=""),0,IF(AND(R822=التقارير!$C$4,OR(التقارير!$C$5="سنوي",AND(التقارير!$C$5="شهري",P822=التقارير!$C$6),AND(التقارير!$C$5="فصلي",Q822=التقارير!$C$7))),1,0))</f>
        <v/>
      </c>
      <c r="T822" s="20">
        <f>IF(S822=1,COUNTIF($S$5:S822,1),"")</f>
        <v/>
      </c>
      <c r="U822">
        <f>IF(AND($A822&lt;&gt;"",$B822&lt;&gt;"",$R822='تقرير الفصل الأول'!$C$4,$Q822='تقرير الفصل الأول'!$C$7),COUNT(U$4:U821)+1,"")</f>
        <v/>
      </c>
      <c r="V822">
        <f>IF(AND($A822&lt;&gt;"",$B822&lt;&gt;"",$R822='تقرير الفصل الثاني'!$C$4,$Q822='تقرير الفصل الثاني'!$C$7),COUNT(V$4:V821)+1,"")</f>
        <v/>
      </c>
      <c r="W822">
        <f>IF(AND($A822&lt;&gt;"",$B822&lt;&gt;"",$R822='تقرير سبتمبر'!$C$4,$P822='تقرير سبتمبر'!$C$6),COUNT(W$4:W821)+1,"")</f>
        <v/>
      </c>
      <c r="X822">
        <f>IF(AND($A822&lt;&gt;"",$B822&lt;&gt;"",$R822='تقرير أكتوبر'!$C$4,$P822='تقرير أكتوبر'!$C$6),COUNT(X$4:X821)+1,"")</f>
        <v/>
      </c>
      <c r="Y822">
        <f>IF(AND($A822&lt;&gt;"",$B822&lt;&gt;"",$R822='تقرير نوفمبر'!$C$4,$P822='تقرير نوفمبر'!$C$6),COUNT(Y$4:Y821)+1,"")</f>
        <v/>
      </c>
      <c r="Z822">
        <f>IF(AND($A822&lt;&gt;"",$B822&lt;&gt;"",$R822='تقرير ديسمبر'!$C$4,$P822='تقرير ديسمبر'!$C$6),COUNT(Z$4:Z821)+1,"")</f>
        <v/>
      </c>
      <c r="AA822">
        <f>IF(AND($A822&lt;&gt;"",$B822&lt;&gt;"",$R822='تقرير يناير'!$C$4,$P822='تقرير يناير'!$C$6),COUNT(AA$4:AA821)+1,"")</f>
        <v/>
      </c>
      <c r="AB822">
        <f>IF(AND($A822&lt;&gt;"",$B822&lt;&gt;"",$R822='تقرير فبراير'!$C$4,$P822='تقرير فبراير'!$C$6),COUNT(AB$4:AB821)+1,"")</f>
        <v/>
      </c>
      <c r="AC822">
        <f>IF(AND($A822&lt;&gt;"",$B822&lt;&gt;"",$R822='تقرير مارس'!$C$4,$P822='تقرير مارس'!$C$6),COUNT(AC$4:AC821)+1,"")</f>
        <v/>
      </c>
      <c r="AD822">
        <f>IF(AND($A822&lt;&gt;"",$B822&lt;&gt;"",$R822='تقرير أبريل'!$C$4,$P822='تقرير أبريل'!$C$6),COUNT(AD$4:AD821)+1,"")</f>
        <v/>
      </c>
      <c r="AE822">
        <f>IF(AND($A822&lt;&gt;"",$B822&lt;&gt;"",$R822='تقرير مايو'!$C$4,$P822='تقرير مايو'!$C$6),COUNT(AE$4:AE821)+1,"")</f>
        <v/>
      </c>
    </row>
    <row r="823">
      <c r="A823" s="16" t="n"/>
      <c r="B823" s="17" t="n"/>
      <c r="C823" s="17" t="n"/>
      <c r="D823" s="18" t="n"/>
      <c r="E823" s="17" t="n"/>
      <c r="F823" s="17" t="n"/>
      <c r="G823" s="19" t="n"/>
      <c r="H823" s="17" t="n"/>
      <c r="I823" s="17" t="n"/>
      <c r="J823" s="17" t="n"/>
      <c r="K823" s="20">
        <f>IF($B823="","",IFERROR(INDEX(الموظفات!$A$5:$A$304,MATCH($B823,الموظفات!$B$5:$B$304,0))&amp;"",""))</f>
        <v/>
      </c>
      <c r="L823" s="21">
        <f>IF($B823="","",IFERROR(INDEX(الموظفات!$C$5:$C$304,MATCH($B823,الموظفات!$B$5:$B$304,0))&amp;"",""))</f>
        <v/>
      </c>
      <c r="M823" s="20">
        <f>IF($B823="","",IFERROR(INDEX(الموظفات!$D$5:$D$304,MATCH($B823,الموظفات!$B$5:$B$304,0))&amp;"",""))</f>
        <v/>
      </c>
      <c r="N823" s="20">
        <f>IF($B823="","",IFERROR(INDEX(الموظفات!$E$5:$E$304,MATCH($B823,الموظفات!$B$5:$B$304,0))&amp;"",""))</f>
        <v/>
      </c>
      <c r="O823" s="21">
        <f>IF(C823="","",IFERROR(INDEX(الإعدادات!$D$7:$D$35,MATCH(C823,الإعدادات!$A$7:$A$35,0))&amp;"",""))</f>
        <v/>
      </c>
      <c r="P823" s="20">
        <f>IF(A823="","",INDEX(الإعدادات!$H$7:$H$18,MONTH(A823)))</f>
        <v/>
      </c>
      <c r="Q823" s="20">
        <f>IF(A823="","",INDEX(الإعدادات!$I$7:$I$18,MONTH(A823)))</f>
        <v/>
      </c>
      <c r="R823" s="20">
        <f>IF(A823="","",IF(MONTH(A823)&gt;=8,YEAR(A823)&amp;"-"&amp;(YEAR(A823)+1),(YEAR(A823)-1)&amp;"-"&amp;YEAR(A823)))</f>
        <v/>
      </c>
      <c r="S823" s="20">
        <f>IF(OR(A823="",B823=""),0,IF(AND(R823=التقارير!$C$4,OR(التقارير!$C$5="سنوي",AND(التقارير!$C$5="شهري",P823=التقارير!$C$6),AND(التقارير!$C$5="فصلي",Q823=التقارير!$C$7))),1,0))</f>
        <v/>
      </c>
      <c r="T823" s="20">
        <f>IF(S823=1,COUNTIF($S$5:S823,1),"")</f>
        <v/>
      </c>
      <c r="U823">
        <f>IF(AND($A823&lt;&gt;"",$B823&lt;&gt;"",$R823='تقرير الفصل الأول'!$C$4,$Q823='تقرير الفصل الأول'!$C$7),COUNT(U$4:U822)+1,"")</f>
        <v/>
      </c>
      <c r="V823">
        <f>IF(AND($A823&lt;&gt;"",$B823&lt;&gt;"",$R823='تقرير الفصل الثاني'!$C$4,$Q823='تقرير الفصل الثاني'!$C$7),COUNT(V$4:V822)+1,"")</f>
        <v/>
      </c>
      <c r="W823">
        <f>IF(AND($A823&lt;&gt;"",$B823&lt;&gt;"",$R823='تقرير سبتمبر'!$C$4,$P823='تقرير سبتمبر'!$C$6),COUNT(W$4:W822)+1,"")</f>
        <v/>
      </c>
      <c r="X823">
        <f>IF(AND($A823&lt;&gt;"",$B823&lt;&gt;"",$R823='تقرير أكتوبر'!$C$4,$P823='تقرير أكتوبر'!$C$6),COUNT(X$4:X822)+1,"")</f>
        <v/>
      </c>
      <c r="Y823">
        <f>IF(AND($A823&lt;&gt;"",$B823&lt;&gt;"",$R823='تقرير نوفمبر'!$C$4,$P823='تقرير نوفمبر'!$C$6),COUNT(Y$4:Y822)+1,"")</f>
        <v/>
      </c>
      <c r="Z823">
        <f>IF(AND($A823&lt;&gt;"",$B823&lt;&gt;"",$R823='تقرير ديسمبر'!$C$4,$P823='تقرير ديسمبر'!$C$6),COUNT(Z$4:Z822)+1,"")</f>
        <v/>
      </c>
      <c r="AA823">
        <f>IF(AND($A823&lt;&gt;"",$B823&lt;&gt;"",$R823='تقرير يناير'!$C$4,$P823='تقرير يناير'!$C$6),COUNT(AA$4:AA822)+1,"")</f>
        <v/>
      </c>
      <c r="AB823">
        <f>IF(AND($A823&lt;&gt;"",$B823&lt;&gt;"",$R823='تقرير فبراير'!$C$4,$P823='تقرير فبراير'!$C$6),COUNT(AB$4:AB822)+1,"")</f>
        <v/>
      </c>
      <c r="AC823">
        <f>IF(AND($A823&lt;&gt;"",$B823&lt;&gt;"",$R823='تقرير مارس'!$C$4,$P823='تقرير مارس'!$C$6),COUNT(AC$4:AC822)+1,"")</f>
        <v/>
      </c>
      <c r="AD823">
        <f>IF(AND($A823&lt;&gt;"",$B823&lt;&gt;"",$R823='تقرير أبريل'!$C$4,$P823='تقرير أبريل'!$C$6),COUNT(AD$4:AD822)+1,"")</f>
        <v/>
      </c>
      <c r="AE823">
        <f>IF(AND($A823&lt;&gt;"",$B823&lt;&gt;"",$R823='تقرير مايو'!$C$4,$P823='تقرير مايو'!$C$6),COUNT(AE$4:AE822)+1,"")</f>
        <v/>
      </c>
    </row>
    <row r="824">
      <c r="A824" s="16" t="n"/>
      <c r="B824" s="17" t="n"/>
      <c r="C824" s="17" t="n"/>
      <c r="D824" s="18" t="n"/>
      <c r="E824" s="17" t="n"/>
      <c r="F824" s="17" t="n"/>
      <c r="G824" s="19" t="n"/>
      <c r="H824" s="17" t="n"/>
      <c r="I824" s="17" t="n"/>
      <c r="J824" s="17" t="n"/>
      <c r="K824" s="20">
        <f>IF($B824="","",IFERROR(INDEX(الموظفات!$A$5:$A$304,MATCH($B824,الموظفات!$B$5:$B$304,0))&amp;"",""))</f>
        <v/>
      </c>
      <c r="L824" s="21">
        <f>IF($B824="","",IFERROR(INDEX(الموظفات!$C$5:$C$304,MATCH($B824,الموظفات!$B$5:$B$304,0))&amp;"",""))</f>
        <v/>
      </c>
      <c r="M824" s="20">
        <f>IF($B824="","",IFERROR(INDEX(الموظفات!$D$5:$D$304,MATCH($B824,الموظفات!$B$5:$B$304,0))&amp;"",""))</f>
        <v/>
      </c>
      <c r="N824" s="20">
        <f>IF($B824="","",IFERROR(INDEX(الموظفات!$E$5:$E$304,MATCH($B824,الموظفات!$B$5:$B$304,0))&amp;"",""))</f>
        <v/>
      </c>
      <c r="O824" s="21">
        <f>IF(C824="","",IFERROR(INDEX(الإعدادات!$D$7:$D$35,MATCH(C824,الإعدادات!$A$7:$A$35,0))&amp;"",""))</f>
        <v/>
      </c>
      <c r="P824" s="20">
        <f>IF(A824="","",INDEX(الإعدادات!$H$7:$H$18,MONTH(A824)))</f>
        <v/>
      </c>
      <c r="Q824" s="20">
        <f>IF(A824="","",INDEX(الإعدادات!$I$7:$I$18,MONTH(A824)))</f>
        <v/>
      </c>
      <c r="R824" s="20">
        <f>IF(A824="","",IF(MONTH(A824)&gt;=8,YEAR(A824)&amp;"-"&amp;(YEAR(A824)+1),(YEAR(A824)-1)&amp;"-"&amp;YEAR(A824)))</f>
        <v/>
      </c>
      <c r="S824" s="20">
        <f>IF(OR(A824="",B824=""),0,IF(AND(R824=التقارير!$C$4,OR(التقارير!$C$5="سنوي",AND(التقارير!$C$5="شهري",P824=التقارير!$C$6),AND(التقارير!$C$5="فصلي",Q824=التقارير!$C$7))),1,0))</f>
        <v/>
      </c>
      <c r="T824" s="20">
        <f>IF(S824=1,COUNTIF($S$5:S824,1),"")</f>
        <v/>
      </c>
      <c r="U824">
        <f>IF(AND($A824&lt;&gt;"",$B824&lt;&gt;"",$R824='تقرير الفصل الأول'!$C$4,$Q824='تقرير الفصل الأول'!$C$7),COUNT(U$4:U823)+1,"")</f>
        <v/>
      </c>
      <c r="V824">
        <f>IF(AND($A824&lt;&gt;"",$B824&lt;&gt;"",$R824='تقرير الفصل الثاني'!$C$4,$Q824='تقرير الفصل الثاني'!$C$7),COUNT(V$4:V823)+1,"")</f>
        <v/>
      </c>
      <c r="W824">
        <f>IF(AND($A824&lt;&gt;"",$B824&lt;&gt;"",$R824='تقرير سبتمبر'!$C$4,$P824='تقرير سبتمبر'!$C$6),COUNT(W$4:W823)+1,"")</f>
        <v/>
      </c>
      <c r="X824">
        <f>IF(AND($A824&lt;&gt;"",$B824&lt;&gt;"",$R824='تقرير أكتوبر'!$C$4,$P824='تقرير أكتوبر'!$C$6),COUNT(X$4:X823)+1,"")</f>
        <v/>
      </c>
      <c r="Y824">
        <f>IF(AND($A824&lt;&gt;"",$B824&lt;&gt;"",$R824='تقرير نوفمبر'!$C$4,$P824='تقرير نوفمبر'!$C$6),COUNT(Y$4:Y823)+1,"")</f>
        <v/>
      </c>
      <c r="Z824">
        <f>IF(AND($A824&lt;&gt;"",$B824&lt;&gt;"",$R824='تقرير ديسمبر'!$C$4,$P824='تقرير ديسمبر'!$C$6),COUNT(Z$4:Z823)+1,"")</f>
        <v/>
      </c>
      <c r="AA824">
        <f>IF(AND($A824&lt;&gt;"",$B824&lt;&gt;"",$R824='تقرير يناير'!$C$4,$P824='تقرير يناير'!$C$6),COUNT(AA$4:AA823)+1,"")</f>
        <v/>
      </c>
      <c r="AB824">
        <f>IF(AND($A824&lt;&gt;"",$B824&lt;&gt;"",$R824='تقرير فبراير'!$C$4,$P824='تقرير فبراير'!$C$6),COUNT(AB$4:AB823)+1,"")</f>
        <v/>
      </c>
      <c r="AC824">
        <f>IF(AND($A824&lt;&gt;"",$B824&lt;&gt;"",$R824='تقرير مارس'!$C$4,$P824='تقرير مارس'!$C$6),COUNT(AC$4:AC823)+1,"")</f>
        <v/>
      </c>
      <c r="AD824">
        <f>IF(AND($A824&lt;&gt;"",$B824&lt;&gt;"",$R824='تقرير أبريل'!$C$4,$P824='تقرير أبريل'!$C$6),COUNT(AD$4:AD823)+1,"")</f>
        <v/>
      </c>
      <c r="AE824">
        <f>IF(AND($A824&lt;&gt;"",$B824&lt;&gt;"",$R824='تقرير مايو'!$C$4,$P824='تقرير مايو'!$C$6),COUNT(AE$4:AE823)+1,"")</f>
        <v/>
      </c>
    </row>
    <row r="825">
      <c r="A825" s="16" t="n"/>
      <c r="B825" s="17" t="n"/>
      <c r="C825" s="17" t="n"/>
      <c r="D825" s="18" t="n"/>
      <c r="E825" s="17" t="n"/>
      <c r="F825" s="17" t="n"/>
      <c r="G825" s="19" t="n"/>
      <c r="H825" s="17" t="n"/>
      <c r="I825" s="17" t="n"/>
      <c r="J825" s="17" t="n"/>
      <c r="K825" s="20">
        <f>IF($B825="","",IFERROR(INDEX(الموظفات!$A$5:$A$304,MATCH($B825,الموظفات!$B$5:$B$304,0))&amp;"",""))</f>
        <v/>
      </c>
      <c r="L825" s="21">
        <f>IF($B825="","",IFERROR(INDEX(الموظفات!$C$5:$C$304,MATCH($B825,الموظفات!$B$5:$B$304,0))&amp;"",""))</f>
        <v/>
      </c>
      <c r="M825" s="20">
        <f>IF($B825="","",IFERROR(INDEX(الموظفات!$D$5:$D$304,MATCH($B825,الموظفات!$B$5:$B$304,0))&amp;"",""))</f>
        <v/>
      </c>
      <c r="N825" s="20">
        <f>IF($B825="","",IFERROR(INDEX(الموظفات!$E$5:$E$304,MATCH($B825,الموظفات!$B$5:$B$304,0))&amp;"",""))</f>
        <v/>
      </c>
      <c r="O825" s="21">
        <f>IF(C825="","",IFERROR(INDEX(الإعدادات!$D$7:$D$35,MATCH(C825,الإعدادات!$A$7:$A$35,0))&amp;"",""))</f>
        <v/>
      </c>
      <c r="P825" s="20">
        <f>IF(A825="","",INDEX(الإعدادات!$H$7:$H$18,MONTH(A825)))</f>
        <v/>
      </c>
      <c r="Q825" s="20">
        <f>IF(A825="","",INDEX(الإعدادات!$I$7:$I$18,MONTH(A825)))</f>
        <v/>
      </c>
      <c r="R825" s="20">
        <f>IF(A825="","",IF(MONTH(A825)&gt;=8,YEAR(A825)&amp;"-"&amp;(YEAR(A825)+1),(YEAR(A825)-1)&amp;"-"&amp;YEAR(A825)))</f>
        <v/>
      </c>
      <c r="S825" s="20">
        <f>IF(OR(A825="",B825=""),0,IF(AND(R825=التقارير!$C$4,OR(التقارير!$C$5="سنوي",AND(التقارير!$C$5="شهري",P825=التقارير!$C$6),AND(التقارير!$C$5="فصلي",Q825=التقارير!$C$7))),1,0))</f>
        <v/>
      </c>
      <c r="T825" s="20">
        <f>IF(S825=1,COUNTIF($S$5:S825,1),"")</f>
        <v/>
      </c>
      <c r="U825">
        <f>IF(AND($A825&lt;&gt;"",$B825&lt;&gt;"",$R825='تقرير الفصل الأول'!$C$4,$Q825='تقرير الفصل الأول'!$C$7),COUNT(U$4:U824)+1,"")</f>
        <v/>
      </c>
      <c r="V825">
        <f>IF(AND($A825&lt;&gt;"",$B825&lt;&gt;"",$R825='تقرير الفصل الثاني'!$C$4,$Q825='تقرير الفصل الثاني'!$C$7),COUNT(V$4:V824)+1,"")</f>
        <v/>
      </c>
      <c r="W825">
        <f>IF(AND($A825&lt;&gt;"",$B825&lt;&gt;"",$R825='تقرير سبتمبر'!$C$4,$P825='تقرير سبتمبر'!$C$6),COUNT(W$4:W824)+1,"")</f>
        <v/>
      </c>
      <c r="X825">
        <f>IF(AND($A825&lt;&gt;"",$B825&lt;&gt;"",$R825='تقرير أكتوبر'!$C$4,$P825='تقرير أكتوبر'!$C$6),COUNT(X$4:X824)+1,"")</f>
        <v/>
      </c>
      <c r="Y825">
        <f>IF(AND($A825&lt;&gt;"",$B825&lt;&gt;"",$R825='تقرير نوفمبر'!$C$4,$P825='تقرير نوفمبر'!$C$6),COUNT(Y$4:Y824)+1,"")</f>
        <v/>
      </c>
      <c r="Z825">
        <f>IF(AND($A825&lt;&gt;"",$B825&lt;&gt;"",$R825='تقرير ديسمبر'!$C$4,$P825='تقرير ديسمبر'!$C$6),COUNT(Z$4:Z824)+1,"")</f>
        <v/>
      </c>
      <c r="AA825">
        <f>IF(AND($A825&lt;&gt;"",$B825&lt;&gt;"",$R825='تقرير يناير'!$C$4,$P825='تقرير يناير'!$C$6),COUNT(AA$4:AA824)+1,"")</f>
        <v/>
      </c>
      <c r="AB825">
        <f>IF(AND($A825&lt;&gt;"",$B825&lt;&gt;"",$R825='تقرير فبراير'!$C$4,$P825='تقرير فبراير'!$C$6),COUNT(AB$4:AB824)+1,"")</f>
        <v/>
      </c>
      <c r="AC825">
        <f>IF(AND($A825&lt;&gt;"",$B825&lt;&gt;"",$R825='تقرير مارس'!$C$4,$P825='تقرير مارس'!$C$6),COUNT(AC$4:AC824)+1,"")</f>
        <v/>
      </c>
      <c r="AD825">
        <f>IF(AND($A825&lt;&gt;"",$B825&lt;&gt;"",$R825='تقرير أبريل'!$C$4,$P825='تقرير أبريل'!$C$6),COUNT(AD$4:AD824)+1,"")</f>
        <v/>
      </c>
      <c r="AE825">
        <f>IF(AND($A825&lt;&gt;"",$B825&lt;&gt;"",$R825='تقرير مايو'!$C$4,$P825='تقرير مايو'!$C$6),COUNT(AE$4:AE824)+1,"")</f>
        <v/>
      </c>
    </row>
    <row r="826">
      <c r="A826" s="16" t="n"/>
      <c r="B826" s="17" t="n"/>
      <c r="C826" s="17" t="n"/>
      <c r="D826" s="18" t="n"/>
      <c r="E826" s="17" t="n"/>
      <c r="F826" s="17" t="n"/>
      <c r="G826" s="19" t="n"/>
      <c r="H826" s="17" t="n"/>
      <c r="I826" s="17" t="n"/>
      <c r="J826" s="17" t="n"/>
      <c r="K826" s="20">
        <f>IF($B826="","",IFERROR(INDEX(الموظفات!$A$5:$A$304,MATCH($B826,الموظفات!$B$5:$B$304,0))&amp;"",""))</f>
        <v/>
      </c>
      <c r="L826" s="21">
        <f>IF($B826="","",IFERROR(INDEX(الموظفات!$C$5:$C$304,MATCH($B826,الموظفات!$B$5:$B$304,0))&amp;"",""))</f>
        <v/>
      </c>
      <c r="M826" s="20">
        <f>IF($B826="","",IFERROR(INDEX(الموظفات!$D$5:$D$304,MATCH($B826,الموظفات!$B$5:$B$304,0))&amp;"",""))</f>
        <v/>
      </c>
      <c r="N826" s="20">
        <f>IF($B826="","",IFERROR(INDEX(الموظفات!$E$5:$E$304,MATCH($B826,الموظفات!$B$5:$B$304,0))&amp;"",""))</f>
        <v/>
      </c>
      <c r="O826" s="21">
        <f>IF(C826="","",IFERROR(INDEX(الإعدادات!$D$7:$D$35,MATCH(C826,الإعدادات!$A$7:$A$35,0))&amp;"",""))</f>
        <v/>
      </c>
      <c r="P826" s="20">
        <f>IF(A826="","",INDEX(الإعدادات!$H$7:$H$18,MONTH(A826)))</f>
        <v/>
      </c>
      <c r="Q826" s="20">
        <f>IF(A826="","",INDEX(الإعدادات!$I$7:$I$18,MONTH(A826)))</f>
        <v/>
      </c>
      <c r="R826" s="20">
        <f>IF(A826="","",IF(MONTH(A826)&gt;=8,YEAR(A826)&amp;"-"&amp;(YEAR(A826)+1),(YEAR(A826)-1)&amp;"-"&amp;YEAR(A826)))</f>
        <v/>
      </c>
      <c r="S826" s="20">
        <f>IF(OR(A826="",B826=""),0,IF(AND(R826=التقارير!$C$4,OR(التقارير!$C$5="سنوي",AND(التقارير!$C$5="شهري",P826=التقارير!$C$6),AND(التقارير!$C$5="فصلي",Q826=التقارير!$C$7))),1,0))</f>
        <v/>
      </c>
      <c r="T826" s="20">
        <f>IF(S826=1,COUNTIF($S$5:S826,1),"")</f>
        <v/>
      </c>
      <c r="U826">
        <f>IF(AND($A826&lt;&gt;"",$B826&lt;&gt;"",$R826='تقرير الفصل الأول'!$C$4,$Q826='تقرير الفصل الأول'!$C$7),COUNT(U$4:U825)+1,"")</f>
        <v/>
      </c>
      <c r="V826">
        <f>IF(AND($A826&lt;&gt;"",$B826&lt;&gt;"",$R826='تقرير الفصل الثاني'!$C$4,$Q826='تقرير الفصل الثاني'!$C$7),COUNT(V$4:V825)+1,"")</f>
        <v/>
      </c>
      <c r="W826">
        <f>IF(AND($A826&lt;&gt;"",$B826&lt;&gt;"",$R826='تقرير سبتمبر'!$C$4,$P826='تقرير سبتمبر'!$C$6),COUNT(W$4:W825)+1,"")</f>
        <v/>
      </c>
      <c r="X826">
        <f>IF(AND($A826&lt;&gt;"",$B826&lt;&gt;"",$R826='تقرير أكتوبر'!$C$4,$P826='تقرير أكتوبر'!$C$6),COUNT(X$4:X825)+1,"")</f>
        <v/>
      </c>
      <c r="Y826">
        <f>IF(AND($A826&lt;&gt;"",$B826&lt;&gt;"",$R826='تقرير نوفمبر'!$C$4,$P826='تقرير نوفمبر'!$C$6),COUNT(Y$4:Y825)+1,"")</f>
        <v/>
      </c>
      <c r="Z826">
        <f>IF(AND($A826&lt;&gt;"",$B826&lt;&gt;"",$R826='تقرير ديسمبر'!$C$4,$P826='تقرير ديسمبر'!$C$6),COUNT(Z$4:Z825)+1,"")</f>
        <v/>
      </c>
      <c r="AA826">
        <f>IF(AND($A826&lt;&gt;"",$B826&lt;&gt;"",$R826='تقرير يناير'!$C$4,$P826='تقرير يناير'!$C$6),COUNT(AA$4:AA825)+1,"")</f>
        <v/>
      </c>
      <c r="AB826">
        <f>IF(AND($A826&lt;&gt;"",$B826&lt;&gt;"",$R826='تقرير فبراير'!$C$4,$P826='تقرير فبراير'!$C$6),COUNT(AB$4:AB825)+1,"")</f>
        <v/>
      </c>
      <c r="AC826">
        <f>IF(AND($A826&lt;&gt;"",$B826&lt;&gt;"",$R826='تقرير مارس'!$C$4,$P826='تقرير مارس'!$C$6),COUNT(AC$4:AC825)+1,"")</f>
        <v/>
      </c>
      <c r="AD826">
        <f>IF(AND($A826&lt;&gt;"",$B826&lt;&gt;"",$R826='تقرير أبريل'!$C$4,$P826='تقرير أبريل'!$C$6),COUNT(AD$4:AD825)+1,"")</f>
        <v/>
      </c>
      <c r="AE826">
        <f>IF(AND($A826&lt;&gt;"",$B826&lt;&gt;"",$R826='تقرير مايو'!$C$4,$P826='تقرير مايو'!$C$6),COUNT(AE$4:AE825)+1,"")</f>
        <v/>
      </c>
    </row>
    <row r="827">
      <c r="A827" s="16" t="n"/>
      <c r="B827" s="17" t="n"/>
      <c r="C827" s="17" t="n"/>
      <c r="D827" s="18" t="n"/>
      <c r="E827" s="17" t="n"/>
      <c r="F827" s="17" t="n"/>
      <c r="G827" s="19" t="n"/>
      <c r="H827" s="17" t="n"/>
      <c r="I827" s="17" t="n"/>
      <c r="J827" s="17" t="n"/>
      <c r="K827" s="20">
        <f>IF($B827="","",IFERROR(INDEX(الموظفات!$A$5:$A$304,MATCH($B827,الموظفات!$B$5:$B$304,0))&amp;"",""))</f>
        <v/>
      </c>
      <c r="L827" s="21">
        <f>IF($B827="","",IFERROR(INDEX(الموظفات!$C$5:$C$304,MATCH($B827,الموظفات!$B$5:$B$304,0))&amp;"",""))</f>
        <v/>
      </c>
      <c r="M827" s="20">
        <f>IF($B827="","",IFERROR(INDEX(الموظفات!$D$5:$D$304,MATCH($B827,الموظفات!$B$5:$B$304,0))&amp;"",""))</f>
        <v/>
      </c>
      <c r="N827" s="20">
        <f>IF($B827="","",IFERROR(INDEX(الموظفات!$E$5:$E$304,MATCH($B827,الموظفات!$B$5:$B$304,0))&amp;"",""))</f>
        <v/>
      </c>
      <c r="O827" s="21">
        <f>IF(C827="","",IFERROR(INDEX(الإعدادات!$D$7:$D$35,MATCH(C827,الإعدادات!$A$7:$A$35,0))&amp;"",""))</f>
        <v/>
      </c>
      <c r="P827" s="20">
        <f>IF(A827="","",INDEX(الإعدادات!$H$7:$H$18,MONTH(A827)))</f>
        <v/>
      </c>
      <c r="Q827" s="20">
        <f>IF(A827="","",INDEX(الإعدادات!$I$7:$I$18,MONTH(A827)))</f>
        <v/>
      </c>
      <c r="R827" s="20">
        <f>IF(A827="","",IF(MONTH(A827)&gt;=8,YEAR(A827)&amp;"-"&amp;(YEAR(A827)+1),(YEAR(A827)-1)&amp;"-"&amp;YEAR(A827)))</f>
        <v/>
      </c>
      <c r="S827" s="20">
        <f>IF(OR(A827="",B827=""),0,IF(AND(R827=التقارير!$C$4,OR(التقارير!$C$5="سنوي",AND(التقارير!$C$5="شهري",P827=التقارير!$C$6),AND(التقارير!$C$5="فصلي",Q827=التقارير!$C$7))),1,0))</f>
        <v/>
      </c>
      <c r="T827" s="20">
        <f>IF(S827=1,COUNTIF($S$5:S827,1),"")</f>
        <v/>
      </c>
      <c r="U827">
        <f>IF(AND($A827&lt;&gt;"",$B827&lt;&gt;"",$R827='تقرير الفصل الأول'!$C$4,$Q827='تقرير الفصل الأول'!$C$7),COUNT(U$4:U826)+1,"")</f>
        <v/>
      </c>
      <c r="V827">
        <f>IF(AND($A827&lt;&gt;"",$B827&lt;&gt;"",$R827='تقرير الفصل الثاني'!$C$4,$Q827='تقرير الفصل الثاني'!$C$7),COUNT(V$4:V826)+1,"")</f>
        <v/>
      </c>
      <c r="W827">
        <f>IF(AND($A827&lt;&gt;"",$B827&lt;&gt;"",$R827='تقرير سبتمبر'!$C$4,$P827='تقرير سبتمبر'!$C$6),COUNT(W$4:W826)+1,"")</f>
        <v/>
      </c>
      <c r="X827">
        <f>IF(AND($A827&lt;&gt;"",$B827&lt;&gt;"",$R827='تقرير أكتوبر'!$C$4,$P827='تقرير أكتوبر'!$C$6),COUNT(X$4:X826)+1,"")</f>
        <v/>
      </c>
      <c r="Y827">
        <f>IF(AND($A827&lt;&gt;"",$B827&lt;&gt;"",$R827='تقرير نوفمبر'!$C$4,$P827='تقرير نوفمبر'!$C$6),COUNT(Y$4:Y826)+1,"")</f>
        <v/>
      </c>
      <c r="Z827">
        <f>IF(AND($A827&lt;&gt;"",$B827&lt;&gt;"",$R827='تقرير ديسمبر'!$C$4,$P827='تقرير ديسمبر'!$C$6),COUNT(Z$4:Z826)+1,"")</f>
        <v/>
      </c>
      <c r="AA827">
        <f>IF(AND($A827&lt;&gt;"",$B827&lt;&gt;"",$R827='تقرير يناير'!$C$4,$P827='تقرير يناير'!$C$6),COUNT(AA$4:AA826)+1,"")</f>
        <v/>
      </c>
      <c r="AB827">
        <f>IF(AND($A827&lt;&gt;"",$B827&lt;&gt;"",$R827='تقرير فبراير'!$C$4,$P827='تقرير فبراير'!$C$6),COUNT(AB$4:AB826)+1,"")</f>
        <v/>
      </c>
      <c r="AC827">
        <f>IF(AND($A827&lt;&gt;"",$B827&lt;&gt;"",$R827='تقرير مارس'!$C$4,$P827='تقرير مارس'!$C$6),COUNT(AC$4:AC826)+1,"")</f>
        <v/>
      </c>
      <c r="AD827">
        <f>IF(AND($A827&lt;&gt;"",$B827&lt;&gt;"",$R827='تقرير أبريل'!$C$4,$P827='تقرير أبريل'!$C$6),COUNT(AD$4:AD826)+1,"")</f>
        <v/>
      </c>
      <c r="AE827">
        <f>IF(AND($A827&lt;&gt;"",$B827&lt;&gt;"",$R827='تقرير مايو'!$C$4,$P827='تقرير مايو'!$C$6),COUNT(AE$4:AE826)+1,"")</f>
        <v/>
      </c>
    </row>
    <row r="828">
      <c r="A828" s="16" t="n"/>
      <c r="B828" s="17" t="n"/>
      <c r="C828" s="17" t="n"/>
      <c r="D828" s="18" t="n"/>
      <c r="E828" s="17" t="n"/>
      <c r="F828" s="17" t="n"/>
      <c r="G828" s="19" t="n"/>
      <c r="H828" s="17" t="n"/>
      <c r="I828" s="17" t="n"/>
      <c r="J828" s="17" t="n"/>
      <c r="K828" s="20">
        <f>IF($B828="","",IFERROR(INDEX(الموظفات!$A$5:$A$304,MATCH($B828,الموظفات!$B$5:$B$304,0))&amp;"",""))</f>
        <v/>
      </c>
      <c r="L828" s="21">
        <f>IF($B828="","",IFERROR(INDEX(الموظفات!$C$5:$C$304,MATCH($B828,الموظفات!$B$5:$B$304,0))&amp;"",""))</f>
        <v/>
      </c>
      <c r="M828" s="20">
        <f>IF($B828="","",IFERROR(INDEX(الموظفات!$D$5:$D$304,MATCH($B828,الموظفات!$B$5:$B$304,0))&amp;"",""))</f>
        <v/>
      </c>
      <c r="N828" s="20">
        <f>IF($B828="","",IFERROR(INDEX(الموظفات!$E$5:$E$304,MATCH($B828,الموظفات!$B$5:$B$304,0))&amp;"",""))</f>
        <v/>
      </c>
      <c r="O828" s="21">
        <f>IF(C828="","",IFERROR(INDEX(الإعدادات!$D$7:$D$35,MATCH(C828,الإعدادات!$A$7:$A$35,0))&amp;"",""))</f>
        <v/>
      </c>
      <c r="P828" s="20">
        <f>IF(A828="","",INDEX(الإعدادات!$H$7:$H$18,MONTH(A828)))</f>
        <v/>
      </c>
      <c r="Q828" s="20">
        <f>IF(A828="","",INDEX(الإعدادات!$I$7:$I$18,MONTH(A828)))</f>
        <v/>
      </c>
      <c r="R828" s="20">
        <f>IF(A828="","",IF(MONTH(A828)&gt;=8,YEAR(A828)&amp;"-"&amp;(YEAR(A828)+1),(YEAR(A828)-1)&amp;"-"&amp;YEAR(A828)))</f>
        <v/>
      </c>
      <c r="S828" s="20">
        <f>IF(OR(A828="",B828=""),0,IF(AND(R828=التقارير!$C$4,OR(التقارير!$C$5="سنوي",AND(التقارير!$C$5="شهري",P828=التقارير!$C$6),AND(التقارير!$C$5="فصلي",Q828=التقارير!$C$7))),1,0))</f>
        <v/>
      </c>
      <c r="T828" s="20">
        <f>IF(S828=1,COUNTIF($S$5:S828,1),"")</f>
        <v/>
      </c>
      <c r="U828">
        <f>IF(AND($A828&lt;&gt;"",$B828&lt;&gt;"",$R828='تقرير الفصل الأول'!$C$4,$Q828='تقرير الفصل الأول'!$C$7),COUNT(U$4:U827)+1,"")</f>
        <v/>
      </c>
      <c r="V828">
        <f>IF(AND($A828&lt;&gt;"",$B828&lt;&gt;"",$R828='تقرير الفصل الثاني'!$C$4,$Q828='تقرير الفصل الثاني'!$C$7),COUNT(V$4:V827)+1,"")</f>
        <v/>
      </c>
      <c r="W828">
        <f>IF(AND($A828&lt;&gt;"",$B828&lt;&gt;"",$R828='تقرير سبتمبر'!$C$4,$P828='تقرير سبتمبر'!$C$6),COUNT(W$4:W827)+1,"")</f>
        <v/>
      </c>
      <c r="X828">
        <f>IF(AND($A828&lt;&gt;"",$B828&lt;&gt;"",$R828='تقرير أكتوبر'!$C$4,$P828='تقرير أكتوبر'!$C$6),COUNT(X$4:X827)+1,"")</f>
        <v/>
      </c>
      <c r="Y828">
        <f>IF(AND($A828&lt;&gt;"",$B828&lt;&gt;"",$R828='تقرير نوفمبر'!$C$4,$P828='تقرير نوفمبر'!$C$6),COUNT(Y$4:Y827)+1,"")</f>
        <v/>
      </c>
      <c r="Z828">
        <f>IF(AND($A828&lt;&gt;"",$B828&lt;&gt;"",$R828='تقرير ديسمبر'!$C$4,$P828='تقرير ديسمبر'!$C$6),COUNT(Z$4:Z827)+1,"")</f>
        <v/>
      </c>
      <c r="AA828">
        <f>IF(AND($A828&lt;&gt;"",$B828&lt;&gt;"",$R828='تقرير يناير'!$C$4,$P828='تقرير يناير'!$C$6),COUNT(AA$4:AA827)+1,"")</f>
        <v/>
      </c>
      <c r="AB828">
        <f>IF(AND($A828&lt;&gt;"",$B828&lt;&gt;"",$R828='تقرير فبراير'!$C$4,$P828='تقرير فبراير'!$C$6),COUNT(AB$4:AB827)+1,"")</f>
        <v/>
      </c>
      <c r="AC828">
        <f>IF(AND($A828&lt;&gt;"",$B828&lt;&gt;"",$R828='تقرير مارس'!$C$4,$P828='تقرير مارس'!$C$6),COUNT(AC$4:AC827)+1,"")</f>
        <v/>
      </c>
      <c r="AD828">
        <f>IF(AND($A828&lt;&gt;"",$B828&lt;&gt;"",$R828='تقرير أبريل'!$C$4,$P828='تقرير أبريل'!$C$6),COUNT(AD$4:AD827)+1,"")</f>
        <v/>
      </c>
      <c r="AE828">
        <f>IF(AND($A828&lt;&gt;"",$B828&lt;&gt;"",$R828='تقرير مايو'!$C$4,$P828='تقرير مايو'!$C$6),COUNT(AE$4:AE827)+1,"")</f>
        <v/>
      </c>
    </row>
    <row r="829">
      <c r="A829" s="16" t="n"/>
      <c r="B829" s="17" t="n"/>
      <c r="C829" s="17" t="n"/>
      <c r="D829" s="18" t="n"/>
      <c r="E829" s="17" t="n"/>
      <c r="F829" s="17" t="n"/>
      <c r="G829" s="19" t="n"/>
      <c r="H829" s="17" t="n"/>
      <c r="I829" s="17" t="n"/>
      <c r="J829" s="17" t="n"/>
      <c r="K829" s="20">
        <f>IF($B829="","",IFERROR(INDEX(الموظفات!$A$5:$A$304,MATCH($B829,الموظفات!$B$5:$B$304,0))&amp;"",""))</f>
        <v/>
      </c>
      <c r="L829" s="21">
        <f>IF($B829="","",IFERROR(INDEX(الموظفات!$C$5:$C$304,MATCH($B829,الموظفات!$B$5:$B$304,0))&amp;"",""))</f>
        <v/>
      </c>
      <c r="M829" s="20">
        <f>IF($B829="","",IFERROR(INDEX(الموظفات!$D$5:$D$304,MATCH($B829,الموظفات!$B$5:$B$304,0))&amp;"",""))</f>
        <v/>
      </c>
      <c r="N829" s="20">
        <f>IF($B829="","",IFERROR(INDEX(الموظفات!$E$5:$E$304,MATCH($B829,الموظفات!$B$5:$B$304,0))&amp;"",""))</f>
        <v/>
      </c>
      <c r="O829" s="21">
        <f>IF(C829="","",IFERROR(INDEX(الإعدادات!$D$7:$D$35,MATCH(C829,الإعدادات!$A$7:$A$35,0))&amp;"",""))</f>
        <v/>
      </c>
      <c r="P829" s="20">
        <f>IF(A829="","",INDEX(الإعدادات!$H$7:$H$18,MONTH(A829)))</f>
        <v/>
      </c>
      <c r="Q829" s="20">
        <f>IF(A829="","",INDEX(الإعدادات!$I$7:$I$18,MONTH(A829)))</f>
        <v/>
      </c>
      <c r="R829" s="20">
        <f>IF(A829="","",IF(MONTH(A829)&gt;=8,YEAR(A829)&amp;"-"&amp;(YEAR(A829)+1),(YEAR(A829)-1)&amp;"-"&amp;YEAR(A829)))</f>
        <v/>
      </c>
      <c r="S829" s="20">
        <f>IF(OR(A829="",B829=""),0,IF(AND(R829=التقارير!$C$4,OR(التقارير!$C$5="سنوي",AND(التقارير!$C$5="شهري",P829=التقارير!$C$6),AND(التقارير!$C$5="فصلي",Q829=التقارير!$C$7))),1,0))</f>
        <v/>
      </c>
      <c r="T829" s="20">
        <f>IF(S829=1,COUNTIF($S$5:S829,1),"")</f>
        <v/>
      </c>
      <c r="U829">
        <f>IF(AND($A829&lt;&gt;"",$B829&lt;&gt;"",$R829='تقرير الفصل الأول'!$C$4,$Q829='تقرير الفصل الأول'!$C$7),COUNT(U$4:U828)+1,"")</f>
        <v/>
      </c>
      <c r="V829">
        <f>IF(AND($A829&lt;&gt;"",$B829&lt;&gt;"",$R829='تقرير الفصل الثاني'!$C$4,$Q829='تقرير الفصل الثاني'!$C$7),COUNT(V$4:V828)+1,"")</f>
        <v/>
      </c>
      <c r="W829">
        <f>IF(AND($A829&lt;&gt;"",$B829&lt;&gt;"",$R829='تقرير سبتمبر'!$C$4,$P829='تقرير سبتمبر'!$C$6),COUNT(W$4:W828)+1,"")</f>
        <v/>
      </c>
      <c r="X829">
        <f>IF(AND($A829&lt;&gt;"",$B829&lt;&gt;"",$R829='تقرير أكتوبر'!$C$4,$P829='تقرير أكتوبر'!$C$6),COUNT(X$4:X828)+1,"")</f>
        <v/>
      </c>
      <c r="Y829">
        <f>IF(AND($A829&lt;&gt;"",$B829&lt;&gt;"",$R829='تقرير نوفمبر'!$C$4,$P829='تقرير نوفمبر'!$C$6),COUNT(Y$4:Y828)+1,"")</f>
        <v/>
      </c>
      <c r="Z829">
        <f>IF(AND($A829&lt;&gt;"",$B829&lt;&gt;"",$R829='تقرير ديسمبر'!$C$4,$P829='تقرير ديسمبر'!$C$6),COUNT(Z$4:Z828)+1,"")</f>
        <v/>
      </c>
      <c r="AA829">
        <f>IF(AND($A829&lt;&gt;"",$B829&lt;&gt;"",$R829='تقرير يناير'!$C$4,$P829='تقرير يناير'!$C$6),COUNT(AA$4:AA828)+1,"")</f>
        <v/>
      </c>
      <c r="AB829">
        <f>IF(AND($A829&lt;&gt;"",$B829&lt;&gt;"",$R829='تقرير فبراير'!$C$4,$P829='تقرير فبراير'!$C$6),COUNT(AB$4:AB828)+1,"")</f>
        <v/>
      </c>
      <c r="AC829">
        <f>IF(AND($A829&lt;&gt;"",$B829&lt;&gt;"",$R829='تقرير مارس'!$C$4,$P829='تقرير مارس'!$C$6),COUNT(AC$4:AC828)+1,"")</f>
        <v/>
      </c>
      <c r="AD829">
        <f>IF(AND($A829&lt;&gt;"",$B829&lt;&gt;"",$R829='تقرير أبريل'!$C$4,$P829='تقرير أبريل'!$C$6),COUNT(AD$4:AD828)+1,"")</f>
        <v/>
      </c>
      <c r="AE829">
        <f>IF(AND($A829&lt;&gt;"",$B829&lt;&gt;"",$R829='تقرير مايو'!$C$4,$P829='تقرير مايو'!$C$6),COUNT(AE$4:AE828)+1,"")</f>
        <v/>
      </c>
    </row>
    <row r="830">
      <c r="A830" s="16" t="n"/>
      <c r="B830" s="17" t="n"/>
      <c r="C830" s="17" t="n"/>
      <c r="D830" s="18" t="n"/>
      <c r="E830" s="17" t="n"/>
      <c r="F830" s="17" t="n"/>
      <c r="G830" s="19" t="n"/>
      <c r="H830" s="17" t="n"/>
      <c r="I830" s="17" t="n"/>
      <c r="J830" s="17" t="n"/>
      <c r="K830" s="20">
        <f>IF($B830="","",IFERROR(INDEX(الموظفات!$A$5:$A$304,MATCH($B830,الموظفات!$B$5:$B$304,0))&amp;"",""))</f>
        <v/>
      </c>
      <c r="L830" s="21">
        <f>IF($B830="","",IFERROR(INDEX(الموظفات!$C$5:$C$304,MATCH($B830,الموظفات!$B$5:$B$304,0))&amp;"",""))</f>
        <v/>
      </c>
      <c r="M830" s="20">
        <f>IF($B830="","",IFERROR(INDEX(الموظفات!$D$5:$D$304,MATCH($B830,الموظفات!$B$5:$B$304,0))&amp;"",""))</f>
        <v/>
      </c>
      <c r="N830" s="20">
        <f>IF($B830="","",IFERROR(INDEX(الموظفات!$E$5:$E$304,MATCH($B830,الموظفات!$B$5:$B$304,0))&amp;"",""))</f>
        <v/>
      </c>
      <c r="O830" s="21">
        <f>IF(C830="","",IFERROR(INDEX(الإعدادات!$D$7:$D$35,MATCH(C830,الإعدادات!$A$7:$A$35,0))&amp;"",""))</f>
        <v/>
      </c>
      <c r="P830" s="20">
        <f>IF(A830="","",INDEX(الإعدادات!$H$7:$H$18,MONTH(A830)))</f>
        <v/>
      </c>
      <c r="Q830" s="20">
        <f>IF(A830="","",INDEX(الإعدادات!$I$7:$I$18,MONTH(A830)))</f>
        <v/>
      </c>
      <c r="R830" s="20">
        <f>IF(A830="","",IF(MONTH(A830)&gt;=8,YEAR(A830)&amp;"-"&amp;(YEAR(A830)+1),(YEAR(A830)-1)&amp;"-"&amp;YEAR(A830)))</f>
        <v/>
      </c>
      <c r="S830" s="20">
        <f>IF(OR(A830="",B830=""),0,IF(AND(R830=التقارير!$C$4,OR(التقارير!$C$5="سنوي",AND(التقارير!$C$5="شهري",P830=التقارير!$C$6),AND(التقارير!$C$5="فصلي",Q830=التقارير!$C$7))),1,0))</f>
        <v/>
      </c>
      <c r="T830" s="20">
        <f>IF(S830=1,COUNTIF($S$5:S830,1),"")</f>
        <v/>
      </c>
      <c r="U830">
        <f>IF(AND($A830&lt;&gt;"",$B830&lt;&gt;"",$R830='تقرير الفصل الأول'!$C$4,$Q830='تقرير الفصل الأول'!$C$7),COUNT(U$4:U829)+1,"")</f>
        <v/>
      </c>
      <c r="V830">
        <f>IF(AND($A830&lt;&gt;"",$B830&lt;&gt;"",$R830='تقرير الفصل الثاني'!$C$4,$Q830='تقرير الفصل الثاني'!$C$7),COUNT(V$4:V829)+1,"")</f>
        <v/>
      </c>
      <c r="W830">
        <f>IF(AND($A830&lt;&gt;"",$B830&lt;&gt;"",$R830='تقرير سبتمبر'!$C$4,$P830='تقرير سبتمبر'!$C$6),COUNT(W$4:W829)+1,"")</f>
        <v/>
      </c>
      <c r="X830">
        <f>IF(AND($A830&lt;&gt;"",$B830&lt;&gt;"",$R830='تقرير أكتوبر'!$C$4,$P830='تقرير أكتوبر'!$C$6),COUNT(X$4:X829)+1,"")</f>
        <v/>
      </c>
      <c r="Y830">
        <f>IF(AND($A830&lt;&gt;"",$B830&lt;&gt;"",$R830='تقرير نوفمبر'!$C$4,$P830='تقرير نوفمبر'!$C$6),COUNT(Y$4:Y829)+1,"")</f>
        <v/>
      </c>
      <c r="Z830">
        <f>IF(AND($A830&lt;&gt;"",$B830&lt;&gt;"",$R830='تقرير ديسمبر'!$C$4,$P830='تقرير ديسمبر'!$C$6),COUNT(Z$4:Z829)+1,"")</f>
        <v/>
      </c>
      <c r="AA830">
        <f>IF(AND($A830&lt;&gt;"",$B830&lt;&gt;"",$R830='تقرير يناير'!$C$4,$P830='تقرير يناير'!$C$6),COUNT(AA$4:AA829)+1,"")</f>
        <v/>
      </c>
      <c r="AB830">
        <f>IF(AND($A830&lt;&gt;"",$B830&lt;&gt;"",$R830='تقرير فبراير'!$C$4,$P830='تقرير فبراير'!$C$6),COUNT(AB$4:AB829)+1,"")</f>
        <v/>
      </c>
      <c r="AC830">
        <f>IF(AND($A830&lt;&gt;"",$B830&lt;&gt;"",$R830='تقرير مارس'!$C$4,$P830='تقرير مارس'!$C$6),COUNT(AC$4:AC829)+1,"")</f>
        <v/>
      </c>
      <c r="AD830">
        <f>IF(AND($A830&lt;&gt;"",$B830&lt;&gt;"",$R830='تقرير أبريل'!$C$4,$P830='تقرير أبريل'!$C$6),COUNT(AD$4:AD829)+1,"")</f>
        <v/>
      </c>
      <c r="AE830">
        <f>IF(AND($A830&lt;&gt;"",$B830&lt;&gt;"",$R830='تقرير مايو'!$C$4,$P830='تقرير مايو'!$C$6),COUNT(AE$4:AE829)+1,"")</f>
        <v/>
      </c>
    </row>
    <row r="831">
      <c r="A831" s="16" t="n"/>
      <c r="B831" s="17" t="n"/>
      <c r="C831" s="17" t="n"/>
      <c r="D831" s="18" t="n"/>
      <c r="E831" s="17" t="n"/>
      <c r="F831" s="17" t="n"/>
      <c r="G831" s="19" t="n"/>
      <c r="H831" s="17" t="n"/>
      <c r="I831" s="17" t="n"/>
      <c r="J831" s="17" t="n"/>
      <c r="K831" s="20">
        <f>IF($B831="","",IFERROR(INDEX(الموظفات!$A$5:$A$304,MATCH($B831,الموظفات!$B$5:$B$304,0))&amp;"",""))</f>
        <v/>
      </c>
      <c r="L831" s="21">
        <f>IF($B831="","",IFERROR(INDEX(الموظفات!$C$5:$C$304,MATCH($B831,الموظفات!$B$5:$B$304,0))&amp;"",""))</f>
        <v/>
      </c>
      <c r="M831" s="20">
        <f>IF($B831="","",IFERROR(INDEX(الموظفات!$D$5:$D$304,MATCH($B831,الموظفات!$B$5:$B$304,0))&amp;"",""))</f>
        <v/>
      </c>
      <c r="N831" s="20">
        <f>IF($B831="","",IFERROR(INDEX(الموظفات!$E$5:$E$304,MATCH($B831,الموظفات!$B$5:$B$304,0))&amp;"",""))</f>
        <v/>
      </c>
      <c r="O831" s="21">
        <f>IF(C831="","",IFERROR(INDEX(الإعدادات!$D$7:$D$35,MATCH(C831,الإعدادات!$A$7:$A$35,0))&amp;"",""))</f>
        <v/>
      </c>
      <c r="P831" s="20">
        <f>IF(A831="","",INDEX(الإعدادات!$H$7:$H$18,MONTH(A831)))</f>
        <v/>
      </c>
      <c r="Q831" s="20">
        <f>IF(A831="","",INDEX(الإعدادات!$I$7:$I$18,MONTH(A831)))</f>
        <v/>
      </c>
      <c r="R831" s="20">
        <f>IF(A831="","",IF(MONTH(A831)&gt;=8,YEAR(A831)&amp;"-"&amp;(YEAR(A831)+1),(YEAR(A831)-1)&amp;"-"&amp;YEAR(A831)))</f>
        <v/>
      </c>
      <c r="S831" s="20">
        <f>IF(OR(A831="",B831=""),0,IF(AND(R831=التقارير!$C$4,OR(التقارير!$C$5="سنوي",AND(التقارير!$C$5="شهري",P831=التقارير!$C$6),AND(التقارير!$C$5="فصلي",Q831=التقارير!$C$7))),1,0))</f>
        <v/>
      </c>
      <c r="T831" s="20">
        <f>IF(S831=1,COUNTIF($S$5:S831,1),"")</f>
        <v/>
      </c>
      <c r="U831">
        <f>IF(AND($A831&lt;&gt;"",$B831&lt;&gt;"",$R831='تقرير الفصل الأول'!$C$4,$Q831='تقرير الفصل الأول'!$C$7),COUNT(U$4:U830)+1,"")</f>
        <v/>
      </c>
      <c r="V831">
        <f>IF(AND($A831&lt;&gt;"",$B831&lt;&gt;"",$R831='تقرير الفصل الثاني'!$C$4,$Q831='تقرير الفصل الثاني'!$C$7),COUNT(V$4:V830)+1,"")</f>
        <v/>
      </c>
      <c r="W831">
        <f>IF(AND($A831&lt;&gt;"",$B831&lt;&gt;"",$R831='تقرير سبتمبر'!$C$4,$P831='تقرير سبتمبر'!$C$6),COUNT(W$4:W830)+1,"")</f>
        <v/>
      </c>
      <c r="X831">
        <f>IF(AND($A831&lt;&gt;"",$B831&lt;&gt;"",$R831='تقرير أكتوبر'!$C$4,$P831='تقرير أكتوبر'!$C$6),COUNT(X$4:X830)+1,"")</f>
        <v/>
      </c>
      <c r="Y831">
        <f>IF(AND($A831&lt;&gt;"",$B831&lt;&gt;"",$R831='تقرير نوفمبر'!$C$4,$P831='تقرير نوفمبر'!$C$6),COUNT(Y$4:Y830)+1,"")</f>
        <v/>
      </c>
      <c r="Z831">
        <f>IF(AND($A831&lt;&gt;"",$B831&lt;&gt;"",$R831='تقرير ديسمبر'!$C$4,$P831='تقرير ديسمبر'!$C$6),COUNT(Z$4:Z830)+1,"")</f>
        <v/>
      </c>
      <c r="AA831">
        <f>IF(AND($A831&lt;&gt;"",$B831&lt;&gt;"",$R831='تقرير يناير'!$C$4,$P831='تقرير يناير'!$C$6),COUNT(AA$4:AA830)+1,"")</f>
        <v/>
      </c>
      <c r="AB831">
        <f>IF(AND($A831&lt;&gt;"",$B831&lt;&gt;"",$R831='تقرير فبراير'!$C$4,$P831='تقرير فبراير'!$C$6),COUNT(AB$4:AB830)+1,"")</f>
        <v/>
      </c>
      <c r="AC831">
        <f>IF(AND($A831&lt;&gt;"",$B831&lt;&gt;"",$R831='تقرير مارس'!$C$4,$P831='تقرير مارس'!$C$6),COUNT(AC$4:AC830)+1,"")</f>
        <v/>
      </c>
      <c r="AD831">
        <f>IF(AND($A831&lt;&gt;"",$B831&lt;&gt;"",$R831='تقرير أبريل'!$C$4,$P831='تقرير أبريل'!$C$6),COUNT(AD$4:AD830)+1,"")</f>
        <v/>
      </c>
      <c r="AE831">
        <f>IF(AND($A831&lt;&gt;"",$B831&lt;&gt;"",$R831='تقرير مايو'!$C$4,$P831='تقرير مايو'!$C$6),COUNT(AE$4:AE830)+1,"")</f>
        <v/>
      </c>
    </row>
    <row r="832">
      <c r="A832" s="16" t="n"/>
      <c r="B832" s="17" t="n"/>
      <c r="C832" s="17" t="n"/>
      <c r="D832" s="18" t="n"/>
      <c r="E832" s="17" t="n"/>
      <c r="F832" s="17" t="n"/>
      <c r="G832" s="19" t="n"/>
      <c r="H832" s="17" t="n"/>
      <c r="I832" s="17" t="n"/>
      <c r="J832" s="17" t="n"/>
      <c r="K832" s="20">
        <f>IF($B832="","",IFERROR(INDEX(الموظفات!$A$5:$A$304,MATCH($B832,الموظفات!$B$5:$B$304,0))&amp;"",""))</f>
        <v/>
      </c>
      <c r="L832" s="21">
        <f>IF($B832="","",IFERROR(INDEX(الموظفات!$C$5:$C$304,MATCH($B832,الموظفات!$B$5:$B$304,0))&amp;"",""))</f>
        <v/>
      </c>
      <c r="M832" s="20">
        <f>IF($B832="","",IFERROR(INDEX(الموظفات!$D$5:$D$304,MATCH($B832,الموظفات!$B$5:$B$304,0))&amp;"",""))</f>
        <v/>
      </c>
      <c r="N832" s="20">
        <f>IF($B832="","",IFERROR(INDEX(الموظفات!$E$5:$E$304,MATCH($B832,الموظفات!$B$5:$B$304,0))&amp;"",""))</f>
        <v/>
      </c>
      <c r="O832" s="21">
        <f>IF(C832="","",IFERROR(INDEX(الإعدادات!$D$7:$D$35,MATCH(C832,الإعدادات!$A$7:$A$35,0))&amp;"",""))</f>
        <v/>
      </c>
      <c r="P832" s="20">
        <f>IF(A832="","",INDEX(الإعدادات!$H$7:$H$18,MONTH(A832)))</f>
        <v/>
      </c>
      <c r="Q832" s="20">
        <f>IF(A832="","",INDEX(الإعدادات!$I$7:$I$18,MONTH(A832)))</f>
        <v/>
      </c>
      <c r="R832" s="20">
        <f>IF(A832="","",IF(MONTH(A832)&gt;=8,YEAR(A832)&amp;"-"&amp;(YEAR(A832)+1),(YEAR(A832)-1)&amp;"-"&amp;YEAR(A832)))</f>
        <v/>
      </c>
      <c r="S832" s="20">
        <f>IF(OR(A832="",B832=""),0,IF(AND(R832=التقارير!$C$4,OR(التقارير!$C$5="سنوي",AND(التقارير!$C$5="شهري",P832=التقارير!$C$6),AND(التقارير!$C$5="فصلي",Q832=التقارير!$C$7))),1,0))</f>
        <v/>
      </c>
      <c r="T832" s="20">
        <f>IF(S832=1,COUNTIF($S$5:S832,1),"")</f>
        <v/>
      </c>
      <c r="U832">
        <f>IF(AND($A832&lt;&gt;"",$B832&lt;&gt;"",$R832='تقرير الفصل الأول'!$C$4,$Q832='تقرير الفصل الأول'!$C$7),COUNT(U$4:U831)+1,"")</f>
        <v/>
      </c>
      <c r="V832">
        <f>IF(AND($A832&lt;&gt;"",$B832&lt;&gt;"",$R832='تقرير الفصل الثاني'!$C$4,$Q832='تقرير الفصل الثاني'!$C$7),COUNT(V$4:V831)+1,"")</f>
        <v/>
      </c>
      <c r="W832">
        <f>IF(AND($A832&lt;&gt;"",$B832&lt;&gt;"",$R832='تقرير سبتمبر'!$C$4,$P832='تقرير سبتمبر'!$C$6),COUNT(W$4:W831)+1,"")</f>
        <v/>
      </c>
      <c r="X832">
        <f>IF(AND($A832&lt;&gt;"",$B832&lt;&gt;"",$R832='تقرير أكتوبر'!$C$4,$P832='تقرير أكتوبر'!$C$6),COUNT(X$4:X831)+1,"")</f>
        <v/>
      </c>
      <c r="Y832">
        <f>IF(AND($A832&lt;&gt;"",$B832&lt;&gt;"",$R832='تقرير نوفمبر'!$C$4,$P832='تقرير نوفمبر'!$C$6),COUNT(Y$4:Y831)+1,"")</f>
        <v/>
      </c>
      <c r="Z832">
        <f>IF(AND($A832&lt;&gt;"",$B832&lt;&gt;"",$R832='تقرير ديسمبر'!$C$4,$P832='تقرير ديسمبر'!$C$6),COUNT(Z$4:Z831)+1,"")</f>
        <v/>
      </c>
      <c r="AA832">
        <f>IF(AND($A832&lt;&gt;"",$B832&lt;&gt;"",$R832='تقرير يناير'!$C$4,$P832='تقرير يناير'!$C$6),COUNT(AA$4:AA831)+1,"")</f>
        <v/>
      </c>
      <c r="AB832">
        <f>IF(AND($A832&lt;&gt;"",$B832&lt;&gt;"",$R832='تقرير فبراير'!$C$4,$P832='تقرير فبراير'!$C$6),COUNT(AB$4:AB831)+1,"")</f>
        <v/>
      </c>
      <c r="AC832">
        <f>IF(AND($A832&lt;&gt;"",$B832&lt;&gt;"",$R832='تقرير مارس'!$C$4,$P832='تقرير مارس'!$C$6),COUNT(AC$4:AC831)+1,"")</f>
        <v/>
      </c>
      <c r="AD832">
        <f>IF(AND($A832&lt;&gt;"",$B832&lt;&gt;"",$R832='تقرير أبريل'!$C$4,$P832='تقرير أبريل'!$C$6),COUNT(AD$4:AD831)+1,"")</f>
        <v/>
      </c>
      <c r="AE832">
        <f>IF(AND($A832&lt;&gt;"",$B832&lt;&gt;"",$R832='تقرير مايو'!$C$4,$P832='تقرير مايو'!$C$6),COUNT(AE$4:AE831)+1,"")</f>
        <v/>
      </c>
    </row>
    <row r="833">
      <c r="A833" s="16" t="n"/>
      <c r="B833" s="17" t="n"/>
      <c r="C833" s="17" t="n"/>
      <c r="D833" s="18" t="n"/>
      <c r="E833" s="17" t="n"/>
      <c r="F833" s="17" t="n"/>
      <c r="G833" s="19" t="n"/>
      <c r="H833" s="17" t="n"/>
      <c r="I833" s="17" t="n"/>
      <c r="J833" s="17" t="n"/>
      <c r="K833" s="20">
        <f>IF($B833="","",IFERROR(INDEX(الموظفات!$A$5:$A$304,MATCH($B833,الموظفات!$B$5:$B$304,0))&amp;"",""))</f>
        <v/>
      </c>
      <c r="L833" s="21">
        <f>IF($B833="","",IFERROR(INDEX(الموظفات!$C$5:$C$304,MATCH($B833,الموظفات!$B$5:$B$304,0))&amp;"",""))</f>
        <v/>
      </c>
      <c r="M833" s="20">
        <f>IF($B833="","",IFERROR(INDEX(الموظفات!$D$5:$D$304,MATCH($B833,الموظفات!$B$5:$B$304,0))&amp;"",""))</f>
        <v/>
      </c>
      <c r="N833" s="20">
        <f>IF($B833="","",IFERROR(INDEX(الموظفات!$E$5:$E$304,MATCH($B833,الموظفات!$B$5:$B$304,0))&amp;"",""))</f>
        <v/>
      </c>
      <c r="O833" s="21">
        <f>IF(C833="","",IFERROR(INDEX(الإعدادات!$D$7:$D$35,MATCH(C833,الإعدادات!$A$7:$A$35,0))&amp;"",""))</f>
        <v/>
      </c>
      <c r="P833" s="20">
        <f>IF(A833="","",INDEX(الإعدادات!$H$7:$H$18,MONTH(A833)))</f>
        <v/>
      </c>
      <c r="Q833" s="20">
        <f>IF(A833="","",INDEX(الإعدادات!$I$7:$I$18,MONTH(A833)))</f>
        <v/>
      </c>
      <c r="R833" s="20">
        <f>IF(A833="","",IF(MONTH(A833)&gt;=8,YEAR(A833)&amp;"-"&amp;(YEAR(A833)+1),(YEAR(A833)-1)&amp;"-"&amp;YEAR(A833)))</f>
        <v/>
      </c>
      <c r="S833" s="20">
        <f>IF(OR(A833="",B833=""),0,IF(AND(R833=التقارير!$C$4,OR(التقارير!$C$5="سنوي",AND(التقارير!$C$5="شهري",P833=التقارير!$C$6),AND(التقارير!$C$5="فصلي",Q833=التقارير!$C$7))),1,0))</f>
        <v/>
      </c>
      <c r="T833" s="20">
        <f>IF(S833=1,COUNTIF($S$5:S833,1),"")</f>
        <v/>
      </c>
      <c r="U833">
        <f>IF(AND($A833&lt;&gt;"",$B833&lt;&gt;"",$R833='تقرير الفصل الأول'!$C$4,$Q833='تقرير الفصل الأول'!$C$7),COUNT(U$4:U832)+1,"")</f>
        <v/>
      </c>
      <c r="V833">
        <f>IF(AND($A833&lt;&gt;"",$B833&lt;&gt;"",$R833='تقرير الفصل الثاني'!$C$4,$Q833='تقرير الفصل الثاني'!$C$7),COUNT(V$4:V832)+1,"")</f>
        <v/>
      </c>
      <c r="W833">
        <f>IF(AND($A833&lt;&gt;"",$B833&lt;&gt;"",$R833='تقرير سبتمبر'!$C$4,$P833='تقرير سبتمبر'!$C$6),COUNT(W$4:W832)+1,"")</f>
        <v/>
      </c>
      <c r="X833">
        <f>IF(AND($A833&lt;&gt;"",$B833&lt;&gt;"",$R833='تقرير أكتوبر'!$C$4,$P833='تقرير أكتوبر'!$C$6),COUNT(X$4:X832)+1,"")</f>
        <v/>
      </c>
      <c r="Y833">
        <f>IF(AND($A833&lt;&gt;"",$B833&lt;&gt;"",$R833='تقرير نوفمبر'!$C$4,$P833='تقرير نوفمبر'!$C$6),COUNT(Y$4:Y832)+1,"")</f>
        <v/>
      </c>
      <c r="Z833">
        <f>IF(AND($A833&lt;&gt;"",$B833&lt;&gt;"",$R833='تقرير ديسمبر'!$C$4,$P833='تقرير ديسمبر'!$C$6),COUNT(Z$4:Z832)+1,"")</f>
        <v/>
      </c>
      <c r="AA833">
        <f>IF(AND($A833&lt;&gt;"",$B833&lt;&gt;"",$R833='تقرير يناير'!$C$4,$P833='تقرير يناير'!$C$6),COUNT(AA$4:AA832)+1,"")</f>
        <v/>
      </c>
      <c r="AB833">
        <f>IF(AND($A833&lt;&gt;"",$B833&lt;&gt;"",$R833='تقرير فبراير'!$C$4,$P833='تقرير فبراير'!$C$6),COUNT(AB$4:AB832)+1,"")</f>
        <v/>
      </c>
      <c r="AC833">
        <f>IF(AND($A833&lt;&gt;"",$B833&lt;&gt;"",$R833='تقرير مارس'!$C$4,$P833='تقرير مارس'!$C$6),COUNT(AC$4:AC832)+1,"")</f>
        <v/>
      </c>
      <c r="AD833">
        <f>IF(AND($A833&lt;&gt;"",$B833&lt;&gt;"",$R833='تقرير أبريل'!$C$4,$P833='تقرير أبريل'!$C$6),COUNT(AD$4:AD832)+1,"")</f>
        <v/>
      </c>
      <c r="AE833">
        <f>IF(AND($A833&lt;&gt;"",$B833&lt;&gt;"",$R833='تقرير مايو'!$C$4,$P833='تقرير مايو'!$C$6),COUNT(AE$4:AE832)+1,"")</f>
        <v/>
      </c>
    </row>
    <row r="834">
      <c r="A834" s="16" t="n"/>
      <c r="B834" s="17" t="n"/>
      <c r="C834" s="17" t="n"/>
      <c r="D834" s="18" t="n"/>
      <c r="E834" s="17" t="n"/>
      <c r="F834" s="17" t="n"/>
      <c r="G834" s="19" t="n"/>
      <c r="H834" s="17" t="n"/>
      <c r="I834" s="17" t="n"/>
      <c r="J834" s="17" t="n"/>
      <c r="K834" s="20">
        <f>IF($B834="","",IFERROR(INDEX(الموظفات!$A$5:$A$304,MATCH($B834,الموظفات!$B$5:$B$304,0))&amp;"",""))</f>
        <v/>
      </c>
      <c r="L834" s="21">
        <f>IF($B834="","",IFERROR(INDEX(الموظفات!$C$5:$C$304,MATCH($B834,الموظفات!$B$5:$B$304,0))&amp;"",""))</f>
        <v/>
      </c>
      <c r="M834" s="20">
        <f>IF($B834="","",IFERROR(INDEX(الموظفات!$D$5:$D$304,MATCH($B834,الموظفات!$B$5:$B$304,0))&amp;"",""))</f>
        <v/>
      </c>
      <c r="N834" s="20">
        <f>IF($B834="","",IFERROR(INDEX(الموظفات!$E$5:$E$304,MATCH($B834,الموظفات!$B$5:$B$304,0))&amp;"",""))</f>
        <v/>
      </c>
      <c r="O834" s="21">
        <f>IF(C834="","",IFERROR(INDEX(الإعدادات!$D$7:$D$35,MATCH(C834,الإعدادات!$A$7:$A$35,0))&amp;"",""))</f>
        <v/>
      </c>
      <c r="P834" s="20">
        <f>IF(A834="","",INDEX(الإعدادات!$H$7:$H$18,MONTH(A834)))</f>
        <v/>
      </c>
      <c r="Q834" s="20">
        <f>IF(A834="","",INDEX(الإعدادات!$I$7:$I$18,MONTH(A834)))</f>
        <v/>
      </c>
      <c r="R834" s="20">
        <f>IF(A834="","",IF(MONTH(A834)&gt;=8,YEAR(A834)&amp;"-"&amp;(YEAR(A834)+1),(YEAR(A834)-1)&amp;"-"&amp;YEAR(A834)))</f>
        <v/>
      </c>
      <c r="S834" s="20">
        <f>IF(OR(A834="",B834=""),0,IF(AND(R834=التقارير!$C$4,OR(التقارير!$C$5="سنوي",AND(التقارير!$C$5="شهري",P834=التقارير!$C$6),AND(التقارير!$C$5="فصلي",Q834=التقارير!$C$7))),1,0))</f>
        <v/>
      </c>
      <c r="T834" s="20">
        <f>IF(S834=1,COUNTIF($S$5:S834,1),"")</f>
        <v/>
      </c>
      <c r="U834">
        <f>IF(AND($A834&lt;&gt;"",$B834&lt;&gt;"",$R834='تقرير الفصل الأول'!$C$4,$Q834='تقرير الفصل الأول'!$C$7),COUNT(U$4:U833)+1,"")</f>
        <v/>
      </c>
      <c r="V834">
        <f>IF(AND($A834&lt;&gt;"",$B834&lt;&gt;"",$R834='تقرير الفصل الثاني'!$C$4,$Q834='تقرير الفصل الثاني'!$C$7),COUNT(V$4:V833)+1,"")</f>
        <v/>
      </c>
      <c r="W834">
        <f>IF(AND($A834&lt;&gt;"",$B834&lt;&gt;"",$R834='تقرير سبتمبر'!$C$4,$P834='تقرير سبتمبر'!$C$6),COUNT(W$4:W833)+1,"")</f>
        <v/>
      </c>
      <c r="X834">
        <f>IF(AND($A834&lt;&gt;"",$B834&lt;&gt;"",$R834='تقرير أكتوبر'!$C$4,$P834='تقرير أكتوبر'!$C$6),COUNT(X$4:X833)+1,"")</f>
        <v/>
      </c>
      <c r="Y834">
        <f>IF(AND($A834&lt;&gt;"",$B834&lt;&gt;"",$R834='تقرير نوفمبر'!$C$4,$P834='تقرير نوفمبر'!$C$6),COUNT(Y$4:Y833)+1,"")</f>
        <v/>
      </c>
      <c r="Z834">
        <f>IF(AND($A834&lt;&gt;"",$B834&lt;&gt;"",$R834='تقرير ديسمبر'!$C$4,$P834='تقرير ديسمبر'!$C$6),COUNT(Z$4:Z833)+1,"")</f>
        <v/>
      </c>
      <c r="AA834">
        <f>IF(AND($A834&lt;&gt;"",$B834&lt;&gt;"",$R834='تقرير يناير'!$C$4,$P834='تقرير يناير'!$C$6),COUNT(AA$4:AA833)+1,"")</f>
        <v/>
      </c>
      <c r="AB834">
        <f>IF(AND($A834&lt;&gt;"",$B834&lt;&gt;"",$R834='تقرير فبراير'!$C$4,$P834='تقرير فبراير'!$C$6),COUNT(AB$4:AB833)+1,"")</f>
        <v/>
      </c>
      <c r="AC834">
        <f>IF(AND($A834&lt;&gt;"",$B834&lt;&gt;"",$R834='تقرير مارس'!$C$4,$P834='تقرير مارس'!$C$6),COUNT(AC$4:AC833)+1,"")</f>
        <v/>
      </c>
      <c r="AD834">
        <f>IF(AND($A834&lt;&gt;"",$B834&lt;&gt;"",$R834='تقرير أبريل'!$C$4,$P834='تقرير أبريل'!$C$6),COUNT(AD$4:AD833)+1,"")</f>
        <v/>
      </c>
      <c r="AE834">
        <f>IF(AND($A834&lt;&gt;"",$B834&lt;&gt;"",$R834='تقرير مايو'!$C$4,$P834='تقرير مايو'!$C$6),COUNT(AE$4:AE833)+1,"")</f>
        <v/>
      </c>
    </row>
    <row r="835">
      <c r="A835" s="16" t="n"/>
      <c r="B835" s="17" t="n"/>
      <c r="C835" s="17" t="n"/>
      <c r="D835" s="18" t="n"/>
      <c r="E835" s="17" t="n"/>
      <c r="F835" s="17" t="n"/>
      <c r="G835" s="19" t="n"/>
      <c r="H835" s="17" t="n"/>
      <c r="I835" s="17" t="n"/>
      <c r="J835" s="17" t="n"/>
      <c r="K835" s="20">
        <f>IF($B835="","",IFERROR(INDEX(الموظفات!$A$5:$A$304,MATCH($B835,الموظفات!$B$5:$B$304,0))&amp;"",""))</f>
        <v/>
      </c>
      <c r="L835" s="21">
        <f>IF($B835="","",IFERROR(INDEX(الموظفات!$C$5:$C$304,MATCH($B835,الموظفات!$B$5:$B$304,0))&amp;"",""))</f>
        <v/>
      </c>
      <c r="M835" s="20">
        <f>IF($B835="","",IFERROR(INDEX(الموظفات!$D$5:$D$304,MATCH($B835,الموظفات!$B$5:$B$304,0))&amp;"",""))</f>
        <v/>
      </c>
      <c r="N835" s="20">
        <f>IF($B835="","",IFERROR(INDEX(الموظفات!$E$5:$E$304,MATCH($B835,الموظفات!$B$5:$B$304,0))&amp;"",""))</f>
        <v/>
      </c>
      <c r="O835" s="21">
        <f>IF(C835="","",IFERROR(INDEX(الإعدادات!$D$7:$D$35,MATCH(C835,الإعدادات!$A$7:$A$35,0))&amp;"",""))</f>
        <v/>
      </c>
      <c r="P835" s="20">
        <f>IF(A835="","",INDEX(الإعدادات!$H$7:$H$18,MONTH(A835)))</f>
        <v/>
      </c>
      <c r="Q835" s="20">
        <f>IF(A835="","",INDEX(الإعدادات!$I$7:$I$18,MONTH(A835)))</f>
        <v/>
      </c>
      <c r="R835" s="20">
        <f>IF(A835="","",IF(MONTH(A835)&gt;=8,YEAR(A835)&amp;"-"&amp;(YEAR(A835)+1),(YEAR(A835)-1)&amp;"-"&amp;YEAR(A835)))</f>
        <v/>
      </c>
      <c r="S835" s="20">
        <f>IF(OR(A835="",B835=""),0,IF(AND(R835=التقارير!$C$4,OR(التقارير!$C$5="سنوي",AND(التقارير!$C$5="شهري",P835=التقارير!$C$6),AND(التقارير!$C$5="فصلي",Q835=التقارير!$C$7))),1,0))</f>
        <v/>
      </c>
      <c r="T835" s="20">
        <f>IF(S835=1,COUNTIF($S$5:S835,1),"")</f>
        <v/>
      </c>
      <c r="U835">
        <f>IF(AND($A835&lt;&gt;"",$B835&lt;&gt;"",$R835='تقرير الفصل الأول'!$C$4,$Q835='تقرير الفصل الأول'!$C$7),COUNT(U$4:U834)+1,"")</f>
        <v/>
      </c>
      <c r="V835">
        <f>IF(AND($A835&lt;&gt;"",$B835&lt;&gt;"",$R835='تقرير الفصل الثاني'!$C$4,$Q835='تقرير الفصل الثاني'!$C$7),COUNT(V$4:V834)+1,"")</f>
        <v/>
      </c>
      <c r="W835">
        <f>IF(AND($A835&lt;&gt;"",$B835&lt;&gt;"",$R835='تقرير سبتمبر'!$C$4,$P835='تقرير سبتمبر'!$C$6),COUNT(W$4:W834)+1,"")</f>
        <v/>
      </c>
      <c r="X835">
        <f>IF(AND($A835&lt;&gt;"",$B835&lt;&gt;"",$R835='تقرير أكتوبر'!$C$4,$P835='تقرير أكتوبر'!$C$6),COUNT(X$4:X834)+1,"")</f>
        <v/>
      </c>
      <c r="Y835">
        <f>IF(AND($A835&lt;&gt;"",$B835&lt;&gt;"",$R835='تقرير نوفمبر'!$C$4,$P835='تقرير نوفمبر'!$C$6),COUNT(Y$4:Y834)+1,"")</f>
        <v/>
      </c>
      <c r="Z835">
        <f>IF(AND($A835&lt;&gt;"",$B835&lt;&gt;"",$R835='تقرير ديسمبر'!$C$4,$P835='تقرير ديسمبر'!$C$6),COUNT(Z$4:Z834)+1,"")</f>
        <v/>
      </c>
      <c r="AA835">
        <f>IF(AND($A835&lt;&gt;"",$B835&lt;&gt;"",$R835='تقرير يناير'!$C$4,$P835='تقرير يناير'!$C$6),COUNT(AA$4:AA834)+1,"")</f>
        <v/>
      </c>
      <c r="AB835">
        <f>IF(AND($A835&lt;&gt;"",$B835&lt;&gt;"",$R835='تقرير فبراير'!$C$4,$P835='تقرير فبراير'!$C$6),COUNT(AB$4:AB834)+1,"")</f>
        <v/>
      </c>
      <c r="AC835">
        <f>IF(AND($A835&lt;&gt;"",$B835&lt;&gt;"",$R835='تقرير مارس'!$C$4,$P835='تقرير مارس'!$C$6),COUNT(AC$4:AC834)+1,"")</f>
        <v/>
      </c>
      <c r="AD835">
        <f>IF(AND($A835&lt;&gt;"",$B835&lt;&gt;"",$R835='تقرير أبريل'!$C$4,$P835='تقرير أبريل'!$C$6),COUNT(AD$4:AD834)+1,"")</f>
        <v/>
      </c>
      <c r="AE835">
        <f>IF(AND($A835&lt;&gt;"",$B835&lt;&gt;"",$R835='تقرير مايو'!$C$4,$P835='تقرير مايو'!$C$6),COUNT(AE$4:AE834)+1,"")</f>
        <v/>
      </c>
    </row>
    <row r="836">
      <c r="A836" s="16" t="n"/>
      <c r="B836" s="17" t="n"/>
      <c r="C836" s="17" t="n"/>
      <c r="D836" s="18" t="n"/>
      <c r="E836" s="17" t="n"/>
      <c r="F836" s="17" t="n"/>
      <c r="G836" s="19" t="n"/>
      <c r="H836" s="17" t="n"/>
      <c r="I836" s="17" t="n"/>
      <c r="J836" s="17" t="n"/>
      <c r="K836" s="20">
        <f>IF($B836="","",IFERROR(INDEX(الموظفات!$A$5:$A$304,MATCH($B836,الموظفات!$B$5:$B$304,0))&amp;"",""))</f>
        <v/>
      </c>
      <c r="L836" s="21">
        <f>IF($B836="","",IFERROR(INDEX(الموظفات!$C$5:$C$304,MATCH($B836,الموظفات!$B$5:$B$304,0))&amp;"",""))</f>
        <v/>
      </c>
      <c r="M836" s="20">
        <f>IF($B836="","",IFERROR(INDEX(الموظفات!$D$5:$D$304,MATCH($B836,الموظفات!$B$5:$B$304,0))&amp;"",""))</f>
        <v/>
      </c>
      <c r="N836" s="20">
        <f>IF($B836="","",IFERROR(INDEX(الموظفات!$E$5:$E$304,MATCH($B836,الموظفات!$B$5:$B$304,0))&amp;"",""))</f>
        <v/>
      </c>
      <c r="O836" s="21">
        <f>IF(C836="","",IFERROR(INDEX(الإعدادات!$D$7:$D$35,MATCH(C836,الإعدادات!$A$7:$A$35,0))&amp;"",""))</f>
        <v/>
      </c>
      <c r="P836" s="20">
        <f>IF(A836="","",INDEX(الإعدادات!$H$7:$H$18,MONTH(A836)))</f>
        <v/>
      </c>
      <c r="Q836" s="20">
        <f>IF(A836="","",INDEX(الإعدادات!$I$7:$I$18,MONTH(A836)))</f>
        <v/>
      </c>
      <c r="R836" s="20">
        <f>IF(A836="","",IF(MONTH(A836)&gt;=8,YEAR(A836)&amp;"-"&amp;(YEAR(A836)+1),(YEAR(A836)-1)&amp;"-"&amp;YEAR(A836)))</f>
        <v/>
      </c>
      <c r="S836" s="20">
        <f>IF(OR(A836="",B836=""),0,IF(AND(R836=التقارير!$C$4,OR(التقارير!$C$5="سنوي",AND(التقارير!$C$5="شهري",P836=التقارير!$C$6),AND(التقارير!$C$5="فصلي",Q836=التقارير!$C$7))),1,0))</f>
        <v/>
      </c>
      <c r="T836" s="20">
        <f>IF(S836=1,COUNTIF($S$5:S836,1),"")</f>
        <v/>
      </c>
      <c r="U836">
        <f>IF(AND($A836&lt;&gt;"",$B836&lt;&gt;"",$R836='تقرير الفصل الأول'!$C$4,$Q836='تقرير الفصل الأول'!$C$7),COUNT(U$4:U835)+1,"")</f>
        <v/>
      </c>
      <c r="V836">
        <f>IF(AND($A836&lt;&gt;"",$B836&lt;&gt;"",$R836='تقرير الفصل الثاني'!$C$4,$Q836='تقرير الفصل الثاني'!$C$7),COUNT(V$4:V835)+1,"")</f>
        <v/>
      </c>
      <c r="W836">
        <f>IF(AND($A836&lt;&gt;"",$B836&lt;&gt;"",$R836='تقرير سبتمبر'!$C$4,$P836='تقرير سبتمبر'!$C$6),COUNT(W$4:W835)+1,"")</f>
        <v/>
      </c>
      <c r="X836">
        <f>IF(AND($A836&lt;&gt;"",$B836&lt;&gt;"",$R836='تقرير أكتوبر'!$C$4,$P836='تقرير أكتوبر'!$C$6),COUNT(X$4:X835)+1,"")</f>
        <v/>
      </c>
      <c r="Y836">
        <f>IF(AND($A836&lt;&gt;"",$B836&lt;&gt;"",$R836='تقرير نوفمبر'!$C$4,$P836='تقرير نوفمبر'!$C$6),COUNT(Y$4:Y835)+1,"")</f>
        <v/>
      </c>
      <c r="Z836">
        <f>IF(AND($A836&lt;&gt;"",$B836&lt;&gt;"",$R836='تقرير ديسمبر'!$C$4,$P836='تقرير ديسمبر'!$C$6),COUNT(Z$4:Z835)+1,"")</f>
        <v/>
      </c>
      <c r="AA836">
        <f>IF(AND($A836&lt;&gt;"",$B836&lt;&gt;"",$R836='تقرير يناير'!$C$4,$P836='تقرير يناير'!$C$6),COUNT(AA$4:AA835)+1,"")</f>
        <v/>
      </c>
      <c r="AB836">
        <f>IF(AND($A836&lt;&gt;"",$B836&lt;&gt;"",$R836='تقرير فبراير'!$C$4,$P836='تقرير فبراير'!$C$6),COUNT(AB$4:AB835)+1,"")</f>
        <v/>
      </c>
      <c r="AC836">
        <f>IF(AND($A836&lt;&gt;"",$B836&lt;&gt;"",$R836='تقرير مارس'!$C$4,$P836='تقرير مارس'!$C$6),COUNT(AC$4:AC835)+1,"")</f>
        <v/>
      </c>
      <c r="AD836">
        <f>IF(AND($A836&lt;&gt;"",$B836&lt;&gt;"",$R836='تقرير أبريل'!$C$4,$P836='تقرير أبريل'!$C$6),COUNT(AD$4:AD835)+1,"")</f>
        <v/>
      </c>
      <c r="AE836">
        <f>IF(AND($A836&lt;&gt;"",$B836&lt;&gt;"",$R836='تقرير مايو'!$C$4,$P836='تقرير مايو'!$C$6),COUNT(AE$4:AE835)+1,"")</f>
        <v/>
      </c>
    </row>
    <row r="837">
      <c r="A837" s="16" t="n"/>
      <c r="B837" s="17" t="n"/>
      <c r="C837" s="17" t="n"/>
      <c r="D837" s="18" t="n"/>
      <c r="E837" s="17" t="n"/>
      <c r="F837" s="17" t="n"/>
      <c r="G837" s="19" t="n"/>
      <c r="H837" s="17" t="n"/>
      <c r="I837" s="17" t="n"/>
      <c r="J837" s="17" t="n"/>
      <c r="K837" s="20">
        <f>IF($B837="","",IFERROR(INDEX(الموظفات!$A$5:$A$304,MATCH($B837,الموظفات!$B$5:$B$304,0))&amp;"",""))</f>
        <v/>
      </c>
      <c r="L837" s="21">
        <f>IF($B837="","",IFERROR(INDEX(الموظفات!$C$5:$C$304,MATCH($B837,الموظفات!$B$5:$B$304,0))&amp;"",""))</f>
        <v/>
      </c>
      <c r="M837" s="20">
        <f>IF($B837="","",IFERROR(INDEX(الموظفات!$D$5:$D$304,MATCH($B837,الموظفات!$B$5:$B$304,0))&amp;"",""))</f>
        <v/>
      </c>
      <c r="N837" s="20">
        <f>IF($B837="","",IFERROR(INDEX(الموظفات!$E$5:$E$304,MATCH($B837,الموظفات!$B$5:$B$304,0))&amp;"",""))</f>
        <v/>
      </c>
      <c r="O837" s="21">
        <f>IF(C837="","",IFERROR(INDEX(الإعدادات!$D$7:$D$35,MATCH(C837,الإعدادات!$A$7:$A$35,0))&amp;"",""))</f>
        <v/>
      </c>
      <c r="P837" s="20">
        <f>IF(A837="","",INDEX(الإعدادات!$H$7:$H$18,MONTH(A837)))</f>
        <v/>
      </c>
      <c r="Q837" s="20">
        <f>IF(A837="","",INDEX(الإعدادات!$I$7:$I$18,MONTH(A837)))</f>
        <v/>
      </c>
      <c r="R837" s="20">
        <f>IF(A837="","",IF(MONTH(A837)&gt;=8,YEAR(A837)&amp;"-"&amp;(YEAR(A837)+1),(YEAR(A837)-1)&amp;"-"&amp;YEAR(A837)))</f>
        <v/>
      </c>
      <c r="S837" s="20">
        <f>IF(OR(A837="",B837=""),0,IF(AND(R837=التقارير!$C$4,OR(التقارير!$C$5="سنوي",AND(التقارير!$C$5="شهري",P837=التقارير!$C$6),AND(التقارير!$C$5="فصلي",Q837=التقارير!$C$7))),1,0))</f>
        <v/>
      </c>
      <c r="T837" s="20">
        <f>IF(S837=1,COUNTIF($S$5:S837,1),"")</f>
        <v/>
      </c>
      <c r="U837">
        <f>IF(AND($A837&lt;&gt;"",$B837&lt;&gt;"",$R837='تقرير الفصل الأول'!$C$4,$Q837='تقرير الفصل الأول'!$C$7),COUNT(U$4:U836)+1,"")</f>
        <v/>
      </c>
      <c r="V837">
        <f>IF(AND($A837&lt;&gt;"",$B837&lt;&gt;"",$R837='تقرير الفصل الثاني'!$C$4,$Q837='تقرير الفصل الثاني'!$C$7),COUNT(V$4:V836)+1,"")</f>
        <v/>
      </c>
      <c r="W837">
        <f>IF(AND($A837&lt;&gt;"",$B837&lt;&gt;"",$R837='تقرير سبتمبر'!$C$4,$P837='تقرير سبتمبر'!$C$6),COUNT(W$4:W836)+1,"")</f>
        <v/>
      </c>
      <c r="X837">
        <f>IF(AND($A837&lt;&gt;"",$B837&lt;&gt;"",$R837='تقرير أكتوبر'!$C$4,$P837='تقرير أكتوبر'!$C$6),COUNT(X$4:X836)+1,"")</f>
        <v/>
      </c>
      <c r="Y837">
        <f>IF(AND($A837&lt;&gt;"",$B837&lt;&gt;"",$R837='تقرير نوفمبر'!$C$4,$P837='تقرير نوفمبر'!$C$6),COUNT(Y$4:Y836)+1,"")</f>
        <v/>
      </c>
      <c r="Z837">
        <f>IF(AND($A837&lt;&gt;"",$B837&lt;&gt;"",$R837='تقرير ديسمبر'!$C$4,$P837='تقرير ديسمبر'!$C$6),COUNT(Z$4:Z836)+1,"")</f>
        <v/>
      </c>
      <c r="AA837">
        <f>IF(AND($A837&lt;&gt;"",$B837&lt;&gt;"",$R837='تقرير يناير'!$C$4,$P837='تقرير يناير'!$C$6),COUNT(AA$4:AA836)+1,"")</f>
        <v/>
      </c>
      <c r="AB837">
        <f>IF(AND($A837&lt;&gt;"",$B837&lt;&gt;"",$R837='تقرير فبراير'!$C$4,$P837='تقرير فبراير'!$C$6),COUNT(AB$4:AB836)+1,"")</f>
        <v/>
      </c>
      <c r="AC837">
        <f>IF(AND($A837&lt;&gt;"",$B837&lt;&gt;"",$R837='تقرير مارس'!$C$4,$P837='تقرير مارس'!$C$6),COUNT(AC$4:AC836)+1,"")</f>
        <v/>
      </c>
      <c r="AD837">
        <f>IF(AND($A837&lt;&gt;"",$B837&lt;&gt;"",$R837='تقرير أبريل'!$C$4,$P837='تقرير أبريل'!$C$6),COUNT(AD$4:AD836)+1,"")</f>
        <v/>
      </c>
      <c r="AE837">
        <f>IF(AND($A837&lt;&gt;"",$B837&lt;&gt;"",$R837='تقرير مايو'!$C$4,$P837='تقرير مايو'!$C$6),COUNT(AE$4:AE836)+1,"")</f>
        <v/>
      </c>
    </row>
    <row r="838">
      <c r="A838" s="16" t="n"/>
      <c r="B838" s="17" t="n"/>
      <c r="C838" s="17" t="n"/>
      <c r="D838" s="18" t="n"/>
      <c r="E838" s="17" t="n"/>
      <c r="F838" s="17" t="n"/>
      <c r="G838" s="19" t="n"/>
      <c r="H838" s="17" t="n"/>
      <c r="I838" s="17" t="n"/>
      <c r="J838" s="17" t="n"/>
      <c r="K838" s="20">
        <f>IF($B838="","",IFERROR(INDEX(الموظفات!$A$5:$A$304,MATCH($B838,الموظفات!$B$5:$B$304,0))&amp;"",""))</f>
        <v/>
      </c>
      <c r="L838" s="21">
        <f>IF($B838="","",IFERROR(INDEX(الموظفات!$C$5:$C$304,MATCH($B838,الموظفات!$B$5:$B$304,0))&amp;"",""))</f>
        <v/>
      </c>
      <c r="M838" s="20">
        <f>IF($B838="","",IFERROR(INDEX(الموظفات!$D$5:$D$304,MATCH($B838,الموظفات!$B$5:$B$304,0))&amp;"",""))</f>
        <v/>
      </c>
      <c r="N838" s="20">
        <f>IF($B838="","",IFERROR(INDEX(الموظفات!$E$5:$E$304,MATCH($B838,الموظفات!$B$5:$B$304,0))&amp;"",""))</f>
        <v/>
      </c>
      <c r="O838" s="21">
        <f>IF(C838="","",IFERROR(INDEX(الإعدادات!$D$7:$D$35,MATCH(C838,الإعدادات!$A$7:$A$35,0))&amp;"",""))</f>
        <v/>
      </c>
      <c r="P838" s="20">
        <f>IF(A838="","",INDEX(الإعدادات!$H$7:$H$18,MONTH(A838)))</f>
        <v/>
      </c>
      <c r="Q838" s="20">
        <f>IF(A838="","",INDEX(الإعدادات!$I$7:$I$18,MONTH(A838)))</f>
        <v/>
      </c>
      <c r="R838" s="20">
        <f>IF(A838="","",IF(MONTH(A838)&gt;=8,YEAR(A838)&amp;"-"&amp;(YEAR(A838)+1),(YEAR(A838)-1)&amp;"-"&amp;YEAR(A838)))</f>
        <v/>
      </c>
      <c r="S838" s="20">
        <f>IF(OR(A838="",B838=""),0,IF(AND(R838=التقارير!$C$4,OR(التقارير!$C$5="سنوي",AND(التقارير!$C$5="شهري",P838=التقارير!$C$6),AND(التقارير!$C$5="فصلي",Q838=التقارير!$C$7))),1,0))</f>
        <v/>
      </c>
      <c r="T838" s="20">
        <f>IF(S838=1,COUNTIF($S$5:S838,1),"")</f>
        <v/>
      </c>
      <c r="U838">
        <f>IF(AND($A838&lt;&gt;"",$B838&lt;&gt;"",$R838='تقرير الفصل الأول'!$C$4,$Q838='تقرير الفصل الأول'!$C$7),COUNT(U$4:U837)+1,"")</f>
        <v/>
      </c>
      <c r="V838">
        <f>IF(AND($A838&lt;&gt;"",$B838&lt;&gt;"",$R838='تقرير الفصل الثاني'!$C$4,$Q838='تقرير الفصل الثاني'!$C$7),COUNT(V$4:V837)+1,"")</f>
        <v/>
      </c>
      <c r="W838">
        <f>IF(AND($A838&lt;&gt;"",$B838&lt;&gt;"",$R838='تقرير سبتمبر'!$C$4,$P838='تقرير سبتمبر'!$C$6),COUNT(W$4:W837)+1,"")</f>
        <v/>
      </c>
      <c r="X838">
        <f>IF(AND($A838&lt;&gt;"",$B838&lt;&gt;"",$R838='تقرير أكتوبر'!$C$4,$P838='تقرير أكتوبر'!$C$6),COUNT(X$4:X837)+1,"")</f>
        <v/>
      </c>
      <c r="Y838">
        <f>IF(AND($A838&lt;&gt;"",$B838&lt;&gt;"",$R838='تقرير نوفمبر'!$C$4,$P838='تقرير نوفمبر'!$C$6),COUNT(Y$4:Y837)+1,"")</f>
        <v/>
      </c>
      <c r="Z838">
        <f>IF(AND($A838&lt;&gt;"",$B838&lt;&gt;"",$R838='تقرير ديسمبر'!$C$4,$P838='تقرير ديسمبر'!$C$6),COUNT(Z$4:Z837)+1,"")</f>
        <v/>
      </c>
      <c r="AA838">
        <f>IF(AND($A838&lt;&gt;"",$B838&lt;&gt;"",$R838='تقرير يناير'!$C$4,$P838='تقرير يناير'!$C$6),COUNT(AA$4:AA837)+1,"")</f>
        <v/>
      </c>
      <c r="AB838">
        <f>IF(AND($A838&lt;&gt;"",$B838&lt;&gt;"",$R838='تقرير فبراير'!$C$4,$P838='تقرير فبراير'!$C$6),COUNT(AB$4:AB837)+1,"")</f>
        <v/>
      </c>
      <c r="AC838">
        <f>IF(AND($A838&lt;&gt;"",$B838&lt;&gt;"",$R838='تقرير مارس'!$C$4,$P838='تقرير مارس'!$C$6),COUNT(AC$4:AC837)+1,"")</f>
        <v/>
      </c>
      <c r="AD838">
        <f>IF(AND($A838&lt;&gt;"",$B838&lt;&gt;"",$R838='تقرير أبريل'!$C$4,$P838='تقرير أبريل'!$C$6),COUNT(AD$4:AD837)+1,"")</f>
        <v/>
      </c>
      <c r="AE838">
        <f>IF(AND($A838&lt;&gt;"",$B838&lt;&gt;"",$R838='تقرير مايو'!$C$4,$P838='تقرير مايو'!$C$6),COUNT(AE$4:AE837)+1,"")</f>
        <v/>
      </c>
    </row>
    <row r="839">
      <c r="A839" s="16" t="n"/>
      <c r="B839" s="17" t="n"/>
      <c r="C839" s="17" t="n"/>
      <c r="D839" s="18" t="n"/>
      <c r="E839" s="17" t="n"/>
      <c r="F839" s="17" t="n"/>
      <c r="G839" s="19" t="n"/>
      <c r="H839" s="17" t="n"/>
      <c r="I839" s="17" t="n"/>
      <c r="J839" s="17" t="n"/>
      <c r="K839" s="20">
        <f>IF($B839="","",IFERROR(INDEX(الموظفات!$A$5:$A$304,MATCH($B839,الموظفات!$B$5:$B$304,0))&amp;"",""))</f>
        <v/>
      </c>
      <c r="L839" s="21">
        <f>IF($B839="","",IFERROR(INDEX(الموظفات!$C$5:$C$304,MATCH($B839,الموظفات!$B$5:$B$304,0))&amp;"",""))</f>
        <v/>
      </c>
      <c r="M839" s="20">
        <f>IF($B839="","",IFERROR(INDEX(الموظفات!$D$5:$D$304,MATCH($B839,الموظفات!$B$5:$B$304,0))&amp;"",""))</f>
        <v/>
      </c>
      <c r="N839" s="20">
        <f>IF($B839="","",IFERROR(INDEX(الموظفات!$E$5:$E$304,MATCH($B839,الموظفات!$B$5:$B$304,0))&amp;"",""))</f>
        <v/>
      </c>
      <c r="O839" s="21">
        <f>IF(C839="","",IFERROR(INDEX(الإعدادات!$D$7:$D$35,MATCH(C839,الإعدادات!$A$7:$A$35,0))&amp;"",""))</f>
        <v/>
      </c>
      <c r="P839" s="20">
        <f>IF(A839="","",INDEX(الإعدادات!$H$7:$H$18,MONTH(A839)))</f>
        <v/>
      </c>
      <c r="Q839" s="20">
        <f>IF(A839="","",INDEX(الإعدادات!$I$7:$I$18,MONTH(A839)))</f>
        <v/>
      </c>
      <c r="R839" s="20">
        <f>IF(A839="","",IF(MONTH(A839)&gt;=8,YEAR(A839)&amp;"-"&amp;(YEAR(A839)+1),(YEAR(A839)-1)&amp;"-"&amp;YEAR(A839)))</f>
        <v/>
      </c>
      <c r="S839" s="20">
        <f>IF(OR(A839="",B839=""),0,IF(AND(R839=التقارير!$C$4,OR(التقارير!$C$5="سنوي",AND(التقارير!$C$5="شهري",P839=التقارير!$C$6),AND(التقارير!$C$5="فصلي",Q839=التقارير!$C$7))),1,0))</f>
        <v/>
      </c>
      <c r="T839" s="20">
        <f>IF(S839=1,COUNTIF($S$5:S839,1),"")</f>
        <v/>
      </c>
      <c r="U839">
        <f>IF(AND($A839&lt;&gt;"",$B839&lt;&gt;"",$R839='تقرير الفصل الأول'!$C$4,$Q839='تقرير الفصل الأول'!$C$7),COUNT(U$4:U838)+1,"")</f>
        <v/>
      </c>
      <c r="V839">
        <f>IF(AND($A839&lt;&gt;"",$B839&lt;&gt;"",$R839='تقرير الفصل الثاني'!$C$4,$Q839='تقرير الفصل الثاني'!$C$7),COUNT(V$4:V838)+1,"")</f>
        <v/>
      </c>
      <c r="W839">
        <f>IF(AND($A839&lt;&gt;"",$B839&lt;&gt;"",$R839='تقرير سبتمبر'!$C$4,$P839='تقرير سبتمبر'!$C$6),COUNT(W$4:W838)+1,"")</f>
        <v/>
      </c>
      <c r="X839">
        <f>IF(AND($A839&lt;&gt;"",$B839&lt;&gt;"",$R839='تقرير أكتوبر'!$C$4,$P839='تقرير أكتوبر'!$C$6),COUNT(X$4:X838)+1,"")</f>
        <v/>
      </c>
      <c r="Y839">
        <f>IF(AND($A839&lt;&gt;"",$B839&lt;&gt;"",$R839='تقرير نوفمبر'!$C$4,$P839='تقرير نوفمبر'!$C$6),COUNT(Y$4:Y838)+1,"")</f>
        <v/>
      </c>
      <c r="Z839">
        <f>IF(AND($A839&lt;&gt;"",$B839&lt;&gt;"",$R839='تقرير ديسمبر'!$C$4,$P839='تقرير ديسمبر'!$C$6),COUNT(Z$4:Z838)+1,"")</f>
        <v/>
      </c>
      <c r="AA839">
        <f>IF(AND($A839&lt;&gt;"",$B839&lt;&gt;"",$R839='تقرير يناير'!$C$4,$P839='تقرير يناير'!$C$6),COUNT(AA$4:AA838)+1,"")</f>
        <v/>
      </c>
      <c r="AB839">
        <f>IF(AND($A839&lt;&gt;"",$B839&lt;&gt;"",$R839='تقرير فبراير'!$C$4,$P839='تقرير فبراير'!$C$6),COUNT(AB$4:AB838)+1,"")</f>
        <v/>
      </c>
      <c r="AC839">
        <f>IF(AND($A839&lt;&gt;"",$B839&lt;&gt;"",$R839='تقرير مارس'!$C$4,$P839='تقرير مارس'!$C$6),COUNT(AC$4:AC838)+1,"")</f>
        <v/>
      </c>
      <c r="AD839">
        <f>IF(AND($A839&lt;&gt;"",$B839&lt;&gt;"",$R839='تقرير أبريل'!$C$4,$P839='تقرير أبريل'!$C$6),COUNT(AD$4:AD838)+1,"")</f>
        <v/>
      </c>
      <c r="AE839">
        <f>IF(AND($A839&lt;&gt;"",$B839&lt;&gt;"",$R839='تقرير مايو'!$C$4,$P839='تقرير مايو'!$C$6),COUNT(AE$4:AE838)+1,"")</f>
        <v/>
      </c>
    </row>
    <row r="840">
      <c r="A840" s="16" t="n"/>
      <c r="B840" s="17" t="n"/>
      <c r="C840" s="17" t="n"/>
      <c r="D840" s="18" t="n"/>
      <c r="E840" s="17" t="n"/>
      <c r="F840" s="17" t="n"/>
      <c r="G840" s="19" t="n"/>
      <c r="H840" s="17" t="n"/>
      <c r="I840" s="17" t="n"/>
      <c r="J840" s="17" t="n"/>
      <c r="K840" s="20">
        <f>IF($B840="","",IFERROR(INDEX(الموظفات!$A$5:$A$304,MATCH($B840,الموظفات!$B$5:$B$304,0))&amp;"",""))</f>
        <v/>
      </c>
      <c r="L840" s="21">
        <f>IF($B840="","",IFERROR(INDEX(الموظفات!$C$5:$C$304,MATCH($B840,الموظفات!$B$5:$B$304,0))&amp;"",""))</f>
        <v/>
      </c>
      <c r="M840" s="20">
        <f>IF($B840="","",IFERROR(INDEX(الموظفات!$D$5:$D$304,MATCH($B840,الموظفات!$B$5:$B$304,0))&amp;"",""))</f>
        <v/>
      </c>
      <c r="N840" s="20">
        <f>IF($B840="","",IFERROR(INDEX(الموظفات!$E$5:$E$304,MATCH($B840,الموظفات!$B$5:$B$304,0))&amp;"",""))</f>
        <v/>
      </c>
      <c r="O840" s="21">
        <f>IF(C840="","",IFERROR(INDEX(الإعدادات!$D$7:$D$35,MATCH(C840,الإعدادات!$A$7:$A$35,0))&amp;"",""))</f>
        <v/>
      </c>
      <c r="P840" s="20">
        <f>IF(A840="","",INDEX(الإعدادات!$H$7:$H$18,MONTH(A840)))</f>
        <v/>
      </c>
      <c r="Q840" s="20">
        <f>IF(A840="","",INDEX(الإعدادات!$I$7:$I$18,MONTH(A840)))</f>
        <v/>
      </c>
      <c r="R840" s="20">
        <f>IF(A840="","",IF(MONTH(A840)&gt;=8,YEAR(A840)&amp;"-"&amp;(YEAR(A840)+1),(YEAR(A840)-1)&amp;"-"&amp;YEAR(A840)))</f>
        <v/>
      </c>
      <c r="S840" s="20">
        <f>IF(OR(A840="",B840=""),0,IF(AND(R840=التقارير!$C$4,OR(التقارير!$C$5="سنوي",AND(التقارير!$C$5="شهري",P840=التقارير!$C$6),AND(التقارير!$C$5="فصلي",Q840=التقارير!$C$7))),1,0))</f>
        <v/>
      </c>
      <c r="T840" s="20">
        <f>IF(S840=1,COUNTIF($S$5:S840,1),"")</f>
        <v/>
      </c>
      <c r="U840">
        <f>IF(AND($A840&lt;&gt;"",$B840&lt;&gt;"",$R840='تقرير الفصل الأول'!$C$4,$Q840='تقرير الفصل الأول'!$C$7),COUNT(U$4:U839)+1,"")</f>
        <v/>
      </c>
      <c r="V840">
        <f>IF(AND($A840&lt;&gt;"",$B840&lt;&gt;"",$R840='تقرير الفصل الثاني'!$C$4,$Q840='تقرير الفصل الثاني'!$C$7),COUNT(V$4:V839)+1,"")</f>
        <v/>
      </c>
      <c r="W840">
        <f>IF(AND($A840&lt;&gt;"",$B840&lt;&gt;"",$R840='تقرير سبتمبر'!$C$4,$P840='تقرير سبتمبر'!$C$6),COUNT(W$4:W839)+1,"")</f>
        <v/>
      </c>
      <c r="X840">
        <f>IF(AND($A840&lt;&gt;"",$B840&lt;&gt;"",$R840='تقرير أكتوبر'!$C$4,$P840='تقرير أكتوبر'!$C$6),COUNT(X$4:X839)+1,"")</f>
        <v/>
      </c>
      <c r="Y840">
        <f>IF(AND($A840&lt;&gt;"",$B840&lt;&gt;"",$R840='تقرير نوفمبر'!$C$4,$P840='تقرير نوفمبر'!$C$6),COUNT(Y$4:Y839)+1,"")</f>
        <v/>
      </c>
      <c r="Z840">
        <f>IF(AND($A840&lt;&gt;"",$B840&lt;&gt;"",$R840='تقرير ديسمبر'!$C$4,$P840='تقرير ديسمبر'!$C$6),COUNT(Z$4:Z839)+1,"")</f>
        <v/>
      </c>
      <c r="AA840">
        <f>IF(AND($A840&lt;&gt;"",$B840&lt;&gt;"",$R840='تقرير يناير'!$C$4,$P840='تقرير يناير'!$C$6),COUNT(AA$4:AA839)+1,"")</f>
        <v/>
      </c>
      <c r="AB840">
        <f>IF(AND($A840&lt;&gt;"",$B840&lt;&gt;"",$R840='تقرير فبراير'!$C$4,$P840='تقرير فبراير'!$C$6),COUNT(AB$4:AB839)+1,"")</f>
        <v/>
      </c>
      <c r="AC840">
        <f>IF(AND($A840&lt;&gt;"",$B840&lt;&gt;"",$R840='تقرير مارس'!$C$4,$P840='تقرير مارس'!$C$6),COUNT(AC$4:AC839)+1,"")</f>
        <v/>
      </c>
      <c r="AD840">
        <f>IF(AND($A840&lt;&gt;"",$B840&lt;&gt;"",$R840='تقرير أبريل'!$C$4,$P840='تقرير أبريل'!$C$6),COUNT(AD$4:AD839)+1,"")</f>
        <v/>
      </c>
      <c r="AE840">
        <f>IF(AND($A840&lt;&gt;"",$B840&lt;&gt;"",$R840='تقرير مايو'!$C$4,$P840='تقرير مايو'!$C$6),COUNT(AE$4:AE839)+1,"")</f>
        <v/>
      </c>
    </row>
    <row r="841">
      <c r="A841" s="16" t="n"/>
      <c r="B841" s="17" t="n"/>
      <c r="C841" s="17" t="n"/>
      <c r="D841" s="18" t="n"/>
      <c r="E841" s="17" t="n"/>
      <c r="F841" s="17" t="n"/>
      <c r="G841" s="19" t="n"/>
      <c r="H841" s="17" t="n"/>
      <c r="I841" s="17" t="n"/>
      <c r="J841" s="17" t="n"/>
      <c r="K841" s="20">
        <f>IF($B841="","",IFERROR(INDEX(الموظفات!$A$5:$A$304,MATCH($B841,الموظفات!$B$5:$B$304,0))&amp;"",""))</f>
        <v/>
      </c>
      <c r="L841" s="21">
        <f>IF($B841="","",IFERROR(INDEX(الموظفات!$C$5:$C$304,MATCH($B841,الموظفات!$B$5:$B$304,0))&amp;"",""))</f>
        <v/>
      </c>
      <c r="M841" s="20">
        <f>IF($B841="","",IFERROR(INDEX(الموظفات!$D$5:$D$304,MATCH($B841,الموظفات!$B$5:$B$304,0))&amp;"",""))</f>
        <v/>
      </c>
      <c r="N841" s="20">
        <f>IF($B841="","",IFERROR(INDEX(الموظفات!$E$5:$E$304,MATCH($B841,الموظفات!$B$5:$B$304,0))&amp;"",""))</f>
        <v/>
      </c>
      <c r="O841" s="21">
        <f>IF(C841="","",IFERROR(INDEX(الإعدادات!$D$7:$D$35,MATCH(C841,الإعدادات!$A$7:$A$35,0))&amp;"",""))</f>
        <v/>
      </c>
      <c r="P841" s="20">
        <f>IF(A841="","",INDEX(الإعدادات!$H$7:$H$18,MONTH(A841)))</f>
        <v/>
      </c>
      <c r="Q841" s="20">
        <f>IF(A841="","",INDEX(الإعدادات!$I$7:$I$18,MONTH(A841)))</f>
        <v/>
      </c>
      <c r="R841" s="20">
        <f>IF(A841="","",IF(MONTH(A841)&gt;=8,YEAR(A841)&amp;"-"&amp;(YEAR(A841)+1),(YEAR(A841)-1)&amp;"-"&amp;YEAR(A841)))</f>
        <v/>
      </c>
      <c r="S841" s="20">
        <f>IF(OR(A841="",B841=""),0,IF(AND(R841=التقارير!$C$4,OR(التقارير!$C$5="سنوي",AND(التقارير!$C$5="شهري",P841=التقارير!$C$6),AND(التقارير!$C$5="فصلي",Q841=التقارير!$C$7))),1,0))</f>
        <v/>
      </c>
      <c r="T841" s="20">
        <f>IF(S841=1,COUNTIF($S$5:S841,1),"")</f>
        <v/>
      </c>
      <c r="U841">
        <f>IF(AND($A841&lt;&gt;"",$B841&lt;&gt;"",$R841='تقرير الفصل الأول'!$C$4,$Q841='تقرير الفصل الأول'!$C$7),COUNT(U$4:U840)+1,"")</f>
        <v/>
      </c>
      <c r="V841">
        <f>IF(AND($A841&lt;&gt;"",$B841&lt;&gt;"",$R841='تقرير الفصل الثاني'!$C$4,$Q841='تقرير الفصل الثاني'!$C$7),COUNT(V$4:V840)+1,"")</f>
        <v/>
      </c>
      <c r="W841">
        <f>IF(AND($A841&lt;&gt;"",$B841&lt;&gt;"",$R841='تقرير سبتمبر'!$C$4,$P841='تقرير سبتمبر'!$C$6),COUNT(W$4:W840)+1,"")</f>
        <v/>
      </c>
      <c r="X841">
        <f>IF(AND($A841&lt;&gt;"",$B841&lt;&gt;"",$R841='تقرير أكتوبر'!$C$4,$P841='تقرير أكتوبر'!$C$6),COUNT(X$4:X840)+1,"")</f>
        <v/>
      </c>
      <c r="Y841">
        <f>IF(AND($A841&lt;&gt;"",$B841&lt;&gt;"",$R841='تقرير نوفمبر'!$C$4,$P841='تقرير نوفمبر'!$C$6),COUNT(Y$4:Y840)+1,"")</f>
        <v/>
      </c>
      <c r="Z841">
        <f>IF(AND($A841&lt;&gt;"",$B841&lt;&gt;"",$R841='تقرير ديسمبر'!$C$4,$P841='تقرير ديسمبر'!$C$6),COUNT(Z$4:Z840)+1,"")</f>
        <v/>
      </c>
      <c r="AA841">
        <f>IF(AND($A841&lt;&gt;"",$B841&lt;&gt;"",$R841='تقرير يناير'!$C$4,$P841='تقرير يناير'!$C$6),COUNT(AA$4:AA840)+1,"")</f>
        <v/>
      </c>
      <c r="AB841">
        <f>IF(AND($A841&lt;&gt;"",$B841&lt;&gt;"",$R841='تقرير فبراير'!$C$4,$P841='تقرير فبراير'!$C$6),COUNT(AB$4:AB840)+1,"")</f>
        <v/>
      </c>
      <c r="AC841">
        <f>IF(AND($A841&lt;&gt;"",$B841&lt;&gt;"",$R841='تقرير مارس'!$C$4,$P841='تقرير مارس'!$C$6),COUNT(AC$4:AC840)+1,"")</f>
        <v/>
      </c>
      <c r="AD841">
        <f>IF(AND($A841&lt;&gt;"",$B841&lt;&gt;"",$R841='تقرير أبريل'!$C$4,$P841='تقرير أبريل'!$C$6),COUNT(AD$4:AD840)+1,"")</f>
        <v/>
      </c>
      <c r="AE841">
        <f>IF(AND($A841&lt;&gt;"",$B841&lt;&gt;"",$R841='تقرير مايو'!$C$4,$P841='تقرير مايو'!$C$6),COUNT(AE$4:AE840)+1,"")</f>
        <v/>
      </c>
    </row>
    <row r="842">
      <c r="A842" s="16" t="n"/>
      <c r="B842" s="17" t="n"/>
      <c r="C842" s="17" t="n"/>
      <c r="D842" s="18" t="n"/>
      <c r="E842" s="17" t="n"/>
      <c r="F842" s="17" t="n"/>
      <c r="G842" s="19" t="n"/>
      <c r="H842" s="17" t="n"/>
      <c r="I842" s="17" t="n"/>
      <c r="J842" s="17" t="n"/>
      <c r="K842" s="20">
        <f>IF($B842="","",IFERROR(INDEX(الموظفات!$A$5:$A$304,MATCH($B842,الموظفات!$B$5:$B$304,0))&amp;"",""))</f>
        <v/>
      </c>
      <c r="L842" s="21">
        <f>IF($B842="","",IFERROR(INDEX(الموظفات!$C$5:$C$304,MATCH($B842,الموظفات!$B$5:$B$304,0))&amp;"",""))</f>
        <v/>
      </c>
      <c r="M842" s="20">
        <f>IF($B842="","",IFERROR(INDEX(الموظفات!$D$5:$D$304,MATCH($B842,الموظفات!$B$5:$B$304,0))&amp;"",""))</f>
        <v/>
      </c>
      <c r="N842" s="20">
        <f>IF($B842="","",IFERROR(INDEX(الموظفات!$E$5:$E$304,MATCH($B842,الموظفات!$B$5:$B$304,0))&amp;"",""))</f>
        <v/>
      </c>
      <c r="O842" s="21">
        <f>IF(C842="","",IFERROR(INDEX(الإعدادات!$D$7:$D$35,MATCH(C842,الإعدادات!$A$7:$A$35,0))&amp;"",""))</f>
        <v/>
      </c>
      <c r="P842" s="20">
        <f>IF(A842="","",INDEX(الإعدادات!$H$7:$H$18,MONTH(A842)))</f>
        <v/>
      </c>
      <c r="Q842" s="20">
        <f>IF(A842="","",INDEX(الإعدادات!$I$7:$I$18,MONTH(A842)))</f>
        <v/>
      </c>
      <c r="R842" s="20">
        <f>IF(A842="","",IF(MONTH(A842)&gt;=8,YEAR(A842)&amp;"-"&amp;(YEAR(A842)+1),(YEAR(A842)-1)&amp;"-"&amp;YEAR(A842)))</f>
        <v/>
      </c>
      <c r="S842" s="20">
        <f>IF(OR(A842="",B842=""),0,IF(AND(R842=التقارير!$C$4,OR(التقارير!$C$5="سنوي",AND(التقارير!$C$5="شهري",P842=التقارير!$C$6),AND(التقارير!$C$5="فصلي",Q842=التقارير!$C$7))),1,0))</f>
        <v/>
      </c>
      <c r="T842" s="20">
        <f>IF(S842=1,COUNTIF($S$5:S842,1),"")</f>
        <v/>
      </c>
      <c r="U842">
        <f>IF(AND($A842&lt;&gt;"",$B842&lt;&gt;"",$R842='تقرير الفصل الأول'!$C$4,$Q842='تقرير الفصل الأول'!$C$7),COUNT(U$4:U841)+1,"")</f>
        <v/>
      </c>
      <c r="V842">
        <f>IF(AND($A842&lt;&gt;"",$B842&lt;&gt;"",$R842='تقرير الفصل الثاني'!$C$4,$Q842='تقرير الفصل الثاني'!$C$7),COUNT(V$4:V841)+1,"")</f>
        <v/>
      </c>
      <c r="W842">
        <f>IF(AND($A842&lt;&gt;"",$B842&lt;&gt;"",$R842='تقرير سبتمبر'!$C$4,$P842='تقرير سبتمبر'!$C$6),COUNT(W$4:W841)+1,"")</f>
        <v/>
      </c>
      <c r="X842">
        <f>IF(AND($A842&lt;&gt;"",$B842&lt;&gt;"",$R842='تقرير أكتوبر'!$C$4,$P842='تقرير أكتوبر'!$C$6),COUNT(X$4:X841)+1,"")</f>
        <v/>
      </c>
      <c r="Y842">
        <f>IF(AND($A842&lt;&gt;"",$B842&lt;&gt;"",$R842='تقرير نوفمبر'!$C$4,$P842='تقرير نوفمبر'!$C$6),COUNT(Y$4:Y841)+1,"")</f>
        <v/>
      </c>
      <c r="Z842">
        <f>IF(AND($A842&lt;&gt;"",$B842&lt;&gt;"",$R842='تقرير ديسمبر'!$C$4,$P842='تقرير ديسمبر'!$C$6),COUNT(Z$4:Z841)+1,"")</f>
        <v/>
      </c>
      <c r="AA842">
        <f>IF(AND($A842&lt;&gt;"",$B842&lt;&gt;"",$R842='تقرير يناير'!$C$4,$P842='تقرير يناير'!$C$6),COUNT(AA$4:AA841)+1,"")</f>
        <v/>
      </c>
      <c r="AB842">
        <f>IF(AND($A842&lt;&gt;"",$B842&lt;&gt;"",$R842='تقرير فبراير'!$C$4,$P842='تقرير فبراير'!$C$6),COUNT(AB$4:AB841)+1,"")</f>
        <v/>
      </c>
      <c r="AC842">
        <f>IF(AND($A842&lt;&gt;"",$B842&lt;&gt;"",$R842='تقرير مارس'!$C$4,$P842='تقرير مارس'!$C$6),COUNT(AC$4:AC841)+1,"")</f>
        <v/>
      </c>
      <c r="AD842">
        <f>IF(AND($A842&lt;&gt;"",$B842&lt;&gt;"",$R842='تقرير أبريل'!$C$4,$P842='تقرير أبريل'!$C$6),COUNT(AD$4:AD841)+1,"")</f>
        <v/>
      </c>
      <c r="AE842">
        <f>IF(AND($A842&lt;&gt;"",$B842&lt;&gt;"",$R842='تقرير مايو'!$C$4,$P842='تقرير مايو'!$C$6),COUNT(AE$4:AE841)+1,"")</f>
        <v/>
      </c>
    </row>
    <row r="843">
      <c r="A843" s="16" t="n"/>
      <c r="B843" s="17" t="n"/>
      <c r="C843" s="17" t="n"/>
      <c r="D843" s="18" t="n"/>
      <c r="E843" s="17" t="n"/>
      <c r="F843" s="17" t="n"/>
      <c r="G843" s="19" t="n"/>
      <c r="H843" s="17" t="n"/>
      <c r="I843" s="17" t="n"/>
      <c r="J843" s="17" t="n"/>
      <c r="K843" s="20">
        <f>IF($B843="","",IFERROR(INDEX(الموظفات!$A$5:$A$304,MATCH($B843,الموظفات!$B$5:$B$304,0))&amp;"",""))</f>
        <v/>
      </c>
      <c r="L843" s="21">
        <f>IF($B843="","",IFERROR(INDEX(الموظفات!$C$5:$C$304,MATCH($B843,الموظفات!$B$5:$B$304,0))&amp;"",""))</f>
        <v/>
      </c>
      <c r="M843" s="20">
        <f>IF($B843="","",IFERROR(INDEX(الموظفات!$D$5:$D$304,MATCH($B843,الموظفات!$B$5:$B$304,0))&amp;"",""))</f>
        <v/>
      </c>
      <c r="N843" s="20">
        <f>IF($B843="","",IFERROR(INDEX(الموظفات!$E$5:$E$304,MATCH($B843,الموظفات!$B$5:$B$304,0))&amp;"",""))</f>
        <v/>
      </c>
      <c r="O843" s="21">
        <f>IF(C843="","",IFERROR(INDEX(الإعدادات!$D$7:$D$35,MATCH(C843,الإعدادات!$A$7:$A$35,0))&amp;"",""))</f>
        <v/>
      </c>
      <c r="P843" s="20">
        <f>IF(A843="","",INDEX(الإعدادات!$H$7:$H$18,MONTH(A843)))</f>
        <v/>
      </c>
      <c r="Q843" s="20">
        <f>IF(A843="","",INDEX(الإعدادات!$I$7:$I$18,MONTH(A843)))</f>
        <v/>
      </c>
      <c r="R843" s="20">
        <f>IF(A843="","",IF(MONTH(A843)&gt;=8,YEAR(A843)&amp;"-"&amp;(YEAR(A843)+1),(YEAR(A843)-1)&amp;"-"&amp;YEAR(A843)))</f>
        <v/>
      </c>
      <c r="S843" s="20">
        <f>IF(OR(A843="",B843=""),0,IF(AND(R843=التقارير!$C$4,OR(التقارير!$C$5="سنوي",AND(التقارير!$C$5="شهري",P843=التقارير!$C$6),AND(التقارير!$C$5="فصلي",Q843=التقارير!$C$7))),1,0))</f>
        <v/>
      </c>
      <c r="T843" s="20">
        <f>IF(S843=1,COUNTIF($S$5:S843,1),"")</f>
        <v/>
      </c>
      <c r="U843">
        <f>IF(AND($A843&lt;&gt;"",$B843&lt;&gt;"",$R843='تقرير الفصل الأول'!$C$4,$Q843='تقرير الفصل الأول'!$C$7),COUNT(U$4:U842)+1,"")</f>
        <v/>
      </c>
      <c r="V843">
        <f>IF(AND($A843&lt;&gt;"",$B843&lt;&gt;"",$R843='تقرير الفصل الثاني'!$C$4,$Q843='تقرير الفصل الثاني'!$C$7),COUNT(V$4:V842)+1,"")</f>
        <v/>
      </c>
      <c r="W843">
        <f>IF(AND($A843&lt;&gt;"",$B843&lt;&gt;"",$R843='تقرير سبتمبر'!$C$4,$P843='تقرير سبتمبر'!$C$6),COUNT(W$4:W842)+1,"")</f>
        <v/>
      </c>
      <c r="X843">
        <f>IF(AND($A843&lt;&gt;"",$B843&lt;&gt;"",$R843='تقرير أكتوبر'!$C$4,$P843='تقرير أكتوبر'!$C$6),COUNT(X$4:X842)+1,"")</f>
        <v/>
      </c>
      <c r="Y843">
        <f>IF(AND($A843&lt;&gt;"",$B843&lt;&gt;"",$R843='تقرير نوفمبر'!$C$4,$P843='تقرير نوفمبر'!$C$6),COUNT(Y$4:Y842)+1,"")</f>
        <v/>
      </c>
      <c r="Z843">
        <f>IF(AND($A843&lt;&gt;"",$B843&lt;&gt;"",$R843='تقرير ديسمبر'!$C$4,$P843='تقرير ديسمبر'!$C$6),COUNT(Z$4:Z842)+1,"")</f>
        <v/>
      </c>
      <c r="AA843">
        <f>IF(AND($A843&lt;&gt;"",$B843&lt;&gt;"",$R843='تقرير يناير'!$C$4,$P843='تقرير يناير'!$C$6),COUNT(AA$4:AA842)+1,"")</f>
        <v/>
      </c>
      <c r="AB843">
        <f>IF(AND($A843&lt;&gt;"",$B843&lt;&gt;"",$R843='تقرير فبراير'!$C$4,$P843='تقرير فبراير'!$C$6),COUNT(AB$4:AB842)+1,"")</f>
        <v/>
      </c>
      <c r="AC843">
        <f>IF(AND($A843&lt;&gt;"",$B843&lt;&gt;"",$R843='تقرير مارس'!$C$4,$P843='تقرير مارس'!$C$6),COUNT(AC$4:AC842)+1,"")</f>
        <v/>
      </c>
      <c r="AD843">
        <f>IF(AND($A843&lt;&gt;"",$B843&lt;&gt;"",$R843='تقرير أبريل'!$C$4,$P843='تقرير أبريل'!$C$6),COUNT(AD$4:AD842)+1,"")</f>
        <v/>
      </c>
      <c r="AE843">
        <f>IF(AND($A843&lt;&gt;"",$B843&lt;&gt;"",$R843='تقرير مايو'!$C$4,$P843='تقرير مايو'!$C$6),COUNT(AE$4:AE842)+1,"")</f>
        <v/>
      </c>
    </row>
    <row r="844">
      <c r="A844" s="16" t="n"/>
      <c r="B844" s="17" t="n"/>
      <c r="C844" s="17" t="n"/>
      <c r="D844" s="18" t="n"/>
      <c r="E844" s="17" t="n"/>
      <c r="F844" s="17" t="n"/>
      <c r="G844" s="19" t="n"/>
      <c r="H844" s="17" t="n"/>
      <c r="I844" s="17" t="n"/>
      <c r="J844" s="17" t="n"/>
      <c r="K844" s="20">
        <f>IF($B844="","",IFERROR(INDEX(الموظفات!$A$5:$A$304,MATCH($B844,الموظفات!$B$5:$B$304,0))&amp;"",""))</f>
        <v/>
      </c>
      <c r="L844" s="21">
        <f>IF($B844="","",IFERROR(INDEX(الموظفات!$C$5:$C$304,MATCH($B844,الموظفات!$B$5:$B$304,0))&amp;"",""))</f>
        <v/>
      </c>
      <c r="M844" s="20">
        <f>IF($B844="","",IFERROR(INDEX(الموظفات!$D$5:$D$304,MATCH($B844,الموظفات!$B$5:$B$304,0))&amp;"",""))</f>
        <v/>
      </c>
      <c r="N844" s="20">
        <f>IF($B844="","",IFERROR(INDEX(الموظفات!$E$5:$E$304,MATCH($B844,الموظفات!$B$5:$B$304,0))&amp;"",""))</f>
        <v/>
      </c>
      <c r="O844" s="21">
        <f>IF(C844="","",IFERROR(INDEX(الإعدادات!$D$7:$D$35,MATCH(C844,الإعدادات!$A$7:$A$35,0))&amp;"",""))</f>
        <v/>
      </c>
      <c r="P844" s="20">
        <f>IF(A844="","",INDEX(الإعدادات!$H$7:$H$18,MONTH(A844)))</f>
        <v/>
      </c>
      <c r="Q844" s="20">
        <f>IF(A844="","",INDEX(الإعدادات!$I$7:$I$18,MONTH(A844)))</f>
        <v/>
      </c>
      <c r="R844" s="20">
        <f>IF(A844="","",IF(MONTH(A844)&gt;=8,YEAR(A844)&amp;"-"&amp;(YEAR(A844)+1),(YEAR(A844)-1)&amp;"-"&amp;YEAR(A844)))</f>
        <v/>
      </c>
      <c r="S844" s="20">
        <f>IF(OR(A844="",B844=""),0,IF(AND(R844=التقارير!$C$4,OR(التقارير!$C$5="سنوي",AND(التقارير!$C$5="شهري",P844=التقارير!$C$6),AND(التقارير!$C$5="فصلي",Q844=التقارير!$C$7))),1,0))</f>
        <v/>
      </c>
      <c r="T844" s="20">
        <f>IF(S844=1,COUNTIF($S$5:S844,1),"")</f>
        <v/>
      </c>
      <c r="U844">
        <f>IF(AND($A844&lt;&gt;"",$B844&lt;&gt;"",$R844='تقرير الفصل الأول'!$C$4,$Q844='تقرير الفصل الأول'!$C$7),COUNT(U$4:U843)+1,"")</f>
        <v/>
      </c>
      <c r="V844">
        <f>IF(AND($A844&lt;&gt;"",$B844&lt;&gt;"",$R844='تقرير الفصل الثاني'!$C$4,$Q844='تقرير الفصل الثاني'!$C$7),COUNT(V$4:V843)+1,"")</f>
        <v/>
      </c>
      <c r="W844">
        <f>IF(AND($A844&lt;&gt;"",$B844&lt;&gt;"",$R844='تقرير سبتمبر'!$C$4,$P844='تقرير سبتمبر'!$C$6),COUNT(W$4:W843)+1,"")</f>
        <v/>
      </c>
      <c r="X844">
        <f>IF(AND($A844&lt;&gt;"",$B844&lt;&gt;"",$R844='تقرير أكتوبر'!$C$4,$P844='تقرير أكتوبر'!$C$6),COUNT(X$4:X843)+1,"")</f>
        <v/>
      </c>
      <c r="Y844">
        <f>IF(AND($A844&lt;&gt;"",$B844&lt;&gt;"",$R844='تقرير نوفمبر'!$C$4,$P844='تقرير نوفمبر'!$C$6),COUNT(Y$4:Y843)+1,"")</f>
        <v/>
      </c>
      <c r="Z844">
        <f>IF(AND($A844&lt;&gt;"",$B844&lt;&gt;"",$R844='تقرير ديسمبر'!$C$4,$P844='تقرير ديسمبر'!$C$6),COUNT(Z$4:Z843)+1,"")</f>
        <v/>
      </c>
      <c r="AA844">
        <f>IF(AND($A844&lt;&gt;"",$B844&lt;&gt;"",$R844='تقرير يناير'!$C$4,$P844='تقرير يناير'!$C$6),COUNT(AA$4:AA843)+1,"")</f>
        <v/>
      </c>
      <c r="AB844">
        <f>IF(AND($A844&lt;&gt;"",$B844&lt;&gt;"",$R844='تقرير فبراير'!$C$4,$P844='تقرير فبراير'!$C$6),COUNT(AB$4:AB843)+1,"")</f>
        <v/>
      </c>
      <c r="AC844">
        <f>IF(AND($A844&lt;&gt;"",$B844&lt;&gt;"",$R844='تقرير مارس'!$C$4,$P844='تقرير مارس'!$C$6),COUNT(AC$4:AC843)+1,"")</f>
        <v/>
      </c>
      <c r="AD844">
        <f>IF(AND($A844&lt;&gt;"",$B844&lt;&gt;"",$R844='تقرير أبريل'!$C$4,$P844='تقرير أبريل'!$C$6),COUNT(AD$4:AD843)+1,"")</f>
        <v/>
      </c>
      <c r="AE844">
        <f>IF(AND($A844&lt;&gt;"",$B844&lt;&gt;"",$R844='تقرير مايو'!$C$4,$P844='تقرير مايو'!$C$6),COUNT(AE$4:AE843)+1,"")</f>
        <v/>
      </c>
    </row>
    <row r="845">
      <c r="A845" s="16" t="n"/>
      <c r="B845" s="17" t="n"/>
      <c r="C845" s="17" t="n"/>
      <c r="D845" s="18" t="n"/>
      <c r="E845" s="17" t="n"/>
      <c r="F845" s="17" t="n"/>
      <c r="G845" s="19" t="n"/>
      <c r="H845" s="17" t="n"/>
      <c r="I845" s="17" t="n"/>
      <c r="J845" s="17" t="n"/>
      <c r="K845" s="20">
        <f>IF($B845="","",IFERROR(INDEX(الموظفات!$A$5:$A$304,MATCH($B845,الموظفات!$B$5:$B$304,0))&amp;"",""))</f>
        <v/>
      </c>
      <c r="L845" s="21">
        <f>IF($B845="","",IFERROR(INDEX(الموظفات!$C$5:$C$304,MATCH($B845,الموظفات!$B$5:$B$304,0))&amp;"",""))</f>
        <v/>
      </c>
      <c r="M845" s="20">
        <f>IF($B845="","",IFERROR(INDEX(الموظفات!$D$5:$D$304,MATCH($B845,الموظفات!$B$5:$B$304,0))&amp;"",""))</f>
        <v/>
      </c>
      <c r="N845" s="20">
        <f>IF($B845="","",IFERROR(INDEX(الموظفات!$E$5:$E$304,MATCH($B845,الموظفات!$B$5:$B$304,0))&amp;"",""))</f>
        <v/>
      </c>
      <c r="O845" s="21">
        <f>IF(C845="","",IFERROR(INDEX(الإعدادات!$D$7:$D$35,MATCH(C845,الإعدادات!$A$7:$A$35,0))&amp;"",""))</f>
        <v/>
      </c>
      <c r="P845" s="20">
        <f>IF(A845="","",INDEX(الإعدادات!$H$7:$H$18,MONTH(A845)))</f>
        <v/>
      </c>
      <c r="Q845" s="20">
        <f>IF(A845="","",INDEX(الإعدادات!$I$7:$I$18,MONTH(A845)))</f>
        <v/>
      </c>
      <c r="R845" s="20">
        <f>IF(A845="","",IF(MONTH(A845)&gt;=8,YEAR(A845)&amp;"-"&amp;(YEAR(A845)+1),(YEAR(A845)-1)&amp;"-"&amp;YEAR(A845)))</f>
        <v/>
      </c>
      <c r="S845" s="20">
        <f>IF(OR(A845="",B845=""),0,IF(AND(R845=التقارير!$C$4,OR(التقارير!$C$5="سنوي",AND(التقارير!$C$5="شهري",P845=التقارير!$C$6),AND(التقارير!$C$5="فصلي",Q845=التقارير!$C$7))),1,0))</f>
        <v/>
      </c>
      <c r="T845" s="20">
        <f>IF(S845=1,COUNTIF($S$5:S845,1),"")</f>
        <v/>
      </c>
      <c r="U845">
        <f>IF(AND($A845&lt;&gt;"",$B845&lt;&gt;"",$R845='تقرير الفصل الأول'!$C$4,$Q845='تقرير الفصل الأول'!$C$7),COUNT(U$4:U844)+1,"")</f>
        <v/>
      </c>
      <c r="V845">
        <f>IF(AND($A845&lt;&gt;"",$B845&lt;&gt;"",$R845='تقرير الفصل الثاني'!$C$4,$Q845='تقرير الفصل الثاني'!$C$7),COUNT(V$4:V844)+1,"")</f>
        <v/>
      </c>
      <c r="W845">
        <f>IF(AND($A845&lt;&gt;"",$B845&lt;&gt;"",$R845='تقرير سبتمبر'!$C$4,$P845='تقرير سبتمبر'!$C$6),COUNT(W$4:W844)+1,"")</f>
        <v/>
      </c>
      <c r="X845">
        <f>IF(AND($A845&lt;&gt;"",$B845&lt;&gt;"",$R845='تقرير أكتوبر'!$C$4,$P845='تقرير أكتوبر'!$C$6),COUNT(X$4:X844)+1,"")</f>
        <v/>
      </c>
      <c r="Y845">
        <f>IF(AND($A845&lt;&gt;"",$B845&lt;&gt;"",$R845='تقرير نوفمبر'!$C$4,$P845='تقرير نوفمبر'!$C$6),COUNT(Y$4:Y844)+1,"")</f>
        <v/>
      </c>
      <c r="Z845">
        <f>IF(AND($A845&lt;&gt;"",$B845&lt;&gt;"",$R845='تقرير ديسمبر'!$C$4,$P845='تقرير ديسمبر'!$C$6),COUNT(Z$4:Z844)+1,"")</f>
        <v/>
      </c>
      <c r="AA845">
        <f>IF(AND($A845&lt;&gt;"",$B845&lt;&gt;"",$R845='تقرير يناير'!$C$4,$P845='تقرير يناير'!$C$6),COUNT(AA$4:AA844)+1,"")</f>
        <v/>
      </c>
      <c r="AB845">
        <f>IF(AND($A845&lt;&gt;"",$B845&lt;&gt;"",$R845='تقرير فبراير'!$C$4,$P845='تقرير فبراير'!$C$6),COUNT(AB$4:AB844)+1,"")</f>
        <v/>
      </c>
      <c r="AC845">
        <f>IF(AND($A845&lt;&gt;"",$B845&lt;&gt;"",$R845='تقرير مارس'!$C$4,$P845='تقرير مارس'!$C$6),COUNT(AC$4:AC844)+1,"")</f>
        <v/>
      </c>
      <c r="AD845">
        <f>IF(AND($A845&lt;&gt;"",$B845&lt;&gt;"",$R845='تقرير أبريل'!$C$4,$P845='تقرير أبريل'!$C$6),COUNT(AD$4:AD844)+1,"")</f>
        <v/>
      </c>
      <c r="AE845">
        <f>IF(AND($A845&lt;&gt;"",$B845&lt;&gt;"",$R845='تقرير مايو'!$C$4,$P845='تقرير مايو'!$C$6),COUNT(AE$4:AE844)+1,"")</f>
        <v/>
      </c>
    </row>
    <row r="846">
      <c r="A846" s="16" t="n"/>
      <c r="B846" s="17" t="n"/>
      <c r="C846" s="17" t="n"/>
      <c r="D846" s="18" t="n"/>
      <c r="E846" s="17" t="n"/>
      <c r="F846" s="17" t="n"/>
      <c r="G846" s="19" t="n"/>
      <c r="H846" s="17" t="n"/>
      <c r="I846" s="17" t="n"/>
      <c r="J846" s="17" t="n"/>
      <c r="K846" s="20">
        <f>IF($B846="","",IFERROR(INDEX(الموظفات!$A$5:$A$304,MATCH($B846,الموظفات!$B$5:$B$304,0))&amp;"",""))</f>
        <v/>
      </c>
      <c r="L846" s="21">
        <f>IF($B846="","",IFERROR(INDEX(الموظفات!$C$5:$C$304,MATCH($B846,الموظفات!$B$5:$B$304,0))&amp;"",""))</f>
        <v/>
      </c>
      <c r="M846" s="20">
        <f>IF($B846="","",IFERROR(INDEX(الموظفات!$D$5:$D$304,MATCH($B846,الموظفات!$B$5:$B$304,0))&amp;"",""))</f>
        <v/>
      </c>
      <c r="N846" s="20">
        <f>IF($B846="","",IFERROR(INDEX(الموظفات!$E$5:$E$304,MATCH($B846,الموظفات!$B$5:$B$304,0))&amp;"",""))</f>
        <v/>
      </c>
      <c r="O846" s="21">
        <f>IF(C846="","",IFERROR(INDEX(الإعدادات!$D$7:$D$35,MATCH(C846,الإعدادات!$A$7:$A$35,0))&amp;"",""))</f>
        <v/>
      </c>
      <c r="P846" s="20">
        <f>IF(A846="","",INDEX(الإعدادات!$H$7:$H$18,MONTH(A846)))</f>
        <v/>
      </c>
      <c r="Q846" s="20">
        <f>IF(A846="","",INDEX(الإعدادات!$I$7:$I$18,MONTH(A846)))</f>
        <v/>
      </c>
      <c r="R846" s="20">
        <f>IF(A846="","",IF(MONTH(A846)&gt;=8,YEAR(A846)&amp;"-"&amp;(YEAR(A846)+1),(YEAR(A846)-1)&amp;"-"&amp;YEAR(A846)))</f>
        <v/>
      </c>
      <c r="S846" s="20">
        <f>IF(OR(A846="",B846=""),0,IF(AND(R846=التقارير!$C$4,OR(التقارير!$C$5="سنوي",AND(التقارير!$C$5="شهري",P846=التقارير!$C$6),AND(التقارير!$C$5="فصلي",Q846=التقارير!$C$7))),1,0))</f>
        <v/>
      </c>
      <c r="T846" s="20">
        <f>IF(S846=1,COUNTIF($S$5:S846,1),"")</f>
        <v/>
      </c>
      <c r="U846">
        <f>IF(AND($A846&lt;&gt;"",$B846&lt;&gt;"",$R846='تقرير الفصل الأول'!$C$4,$Q846='تقرير الفصل الأول'!$C$7),COUNT(U$4:U845)+1,"")</f>
        <v/>
      </c>
      <c r="V846">
        <f>IF(AND($A846&lt;&gt;"",$B846&lt;&gt;"",$R846='تقرير الفصل الثاني'!$C$4,$Q846='تقرير الفصل الثاني'!$C$7),COUNT(V$4:V845)+1,"")</f>
        <v/>
      </c>
      <c r="W846">
        <f>IF(AND($A846&lt;&gt;"",$B846&lt;&gt;"",$R846='تقرير سبتمبر'!$C$4,$P846='تقرير سبتمبر'!$C$6),COUNT(W$4:W845)+1,"")</f>
        <v/>
      </c>
      <c r="X846">
        <f>IF(AND($A846&lt;&gt;"",$B846&lt;&gt;"",$R846='تقرير أكتوبر'!$C$4,$P846='تقرير أكتوبر'!$C$6),COUNT(X$4:X845)+1,"")</f>
        <v/>
      </c>
      <c r="Y846">
        <f>IF(AND($A846&lt;&gt;"",$B846&lt;&gt;"",$R846='تقرير نوفمبر'!$C$4,$P846='تقرير نوفمبر'!$C$6),COUNT(Y$4:Y845)+1,"")</f>
        <v/>
      </c>
      <c r="Z846">
        <f>IF(AND($A846&lt;&gt;"",$B846&lt;&gt;"",$R846='تقرير ديسمبر'!$C$4,$P846='تقرير ديسمبر'!$C$6),COUNT(Z$4:Z845)+1,"")</f>
        <v/>
      </c>
      <c r="AA846">
        <f>IF(AND($A846&lt;&gt;"",$B846&lt;&gt;"",$R846='تقرير يناير'!$C$4,$P846='تقرير يناير'!$C$6),COUNT(AA$4:AA845)+1,"")</f>
        <v/>
      </c>
      <c r="AB846">
        <f>IF(AND($A846&lt;&gt;"",$B846&lt;&gt;"",$R846='تقرير فبراير'!$C$4,$P846='تقرير فبراير'!$C$6),COUNT(AB$4:AB845)+1,"")</f>
        <v/>
      </c>
      <c r="AC846">
        <f>IF(AND($A846&lt;&gt;"",$B846&lt;&gt;"",$R846='تقرير مارس'!$C$4,$P846='تقرير مارس'!$C$6),COUNT(AC$4:AC845)+1,"")</f>
        <v/>
      </c>
      <c r="AD846">
        <f>IF(AND($A846&lt;&gt;"",$B846&lt;&gt;"",$R846='تقرير أبريل'!$C$4,$P846='تقرير أبريل'!$C$6),COUNT(AD$4:AD845)+1,"")</f>
        <v/>
      </c>
      <c r="AE846">
        <f>IF(AND($A846&lt;&gt;"",$B846&lt;&gt;"",$R846='تقرير مايو'!$C$4,$P846='تقرير مايو'!$C$6),COUNT(AE$4:AE845)+1,"")</f>
        <v/>
      </c>
    </row>
    <row r="847">
      <c r="A847" s="16" t="n"/>
      <c r="B847" s="17" t="n"/>
      <c r="C847" s="17" t="n"/>
      <c r="D847" s="18" t="n"/>
      <c r="E847" s="17" t="n"/>
      <c r="F847" s="17" t="n"/>
      <c r="G847" s="19" t="n"/>
      <c r="H847" s="17" t="n"/>
      <c r="I847" s="17" t="n"/>
      <c r="J847" s="17" t="n"/>
      <c r="K847" s="20">
        <f>IF($B847="","",IFERROR(INDEX(الموظفات!$A$5:$A$304,MATCH($B847,الموظفات!$B$5:$B$304,0))&amp;"",""))</f>
        <v/>
      </c>
      <c r="L847" s="21">
        <f>IF($B847="","",IFERROR(INDEX(الموظفات!$C$5:$C$304,MATCH($B847,الموظفات!$B$5:$B$304,0))&amp;"",""))</f>
        <v/>
      </c>
      <c r="M847" s="20">
        <f>IF($B847="","",IFERROR(INDEX(الموظفات!$D$5:$D$304,MATCH($B847,الموظفات!$B$5:$B$304,0))&amp;"",""))</f>
        <v/>
      </c>
      <c r="N847" s="20">
        <f>IF($B847="","",IFERROR(INDEX(الموظفات!$E$5:$E$304,MATCH($B847,الموظفات!$B$5:$B$304,0))&amp;"",""))</f>
        <v/>
      </c>
      <c r="O847" s="21">
        <f>IF(C847="","",IFERROR(INDEX(الإعدادات!$D$7:$D$35,MATCH(C847,الإعدادات!$A$7:$A$35,0))&amp;"",""))</f>
        <v/>
      </c>
      <c r="P847" s="20">
        <f>IF(A847="","",INDEX(الإعدادات!$H$7:$H$18,MONTH(A847)))</f>
        <v/>
      </c>
      <c r="Q847" s="20">
        <f>IF(A847="","",INDEX(الإعدادات!$I$7:$I$18,MONTH(A847)))</f>
        <v/>
      </c>
      <c r="R847" s="20">
        <f>IF(A847="","",IF(MONTH(A847)&gt;=8,YEAR(A847)&amp;"-"&amp;(YEAR(A847)+1),(YEAR(A847)-1)&amp;"-"&amp;YEAR(A847)))</f>
        <v/>
      </c>
      <c r="S847" s="20">
        <f>IF(OR(A847="",B847=""),0,IF(AND(R847=التقارير!$C$4,OR(التقارير!$C$5="سنوي",AND(التقارير!$C$5="شهري",P847=التقارير!$C$6),AND(التقارير!$C$5="فصلي",Q847=التقارير!$C$7))),1,0))</f>
        <v/>
      </c>
      <c r="T847" s="20">
        <f>IF(S847=1,COUNTIF($S$5:S847,1),"")</f>
        <v/>
      </c>
      <c r="U847">
        <f>IF(AND($A847&lt;&gt;"",$B847&lt;&gt;"",$R847='تقرير الفصل الأول'!$C$4,$Q847='تقرير الفصل الأول'!$C$7),COUNT(U$4:U846)+1,"")</f>
        <v/>
      </c>
      <c r="V847">
        <f>IF(AND($A847&lt;&gt;"",$B847&lt;&gt;"",$R847='تقرير الفصل الثاني'!$C$4,$Q847='تقرير الفصل الثاني'!$C$7),COUNT(V$4:V846)+1,"")</f>
        <v/>
      </c>
      <c r="W847">
        <f>IF(AND($A847&lt;&gt;"",$B847&lt;&gt;"",$R847='تقرير سبتمبر'!$C$4,$P847='تقرير سبتمبر'!$C$6),COUNT(W$4:W846)+1,"")</f>
        <v/>
      </c>
      <c r="X847">
        <f>IF(AND($A847&lt;&gt;"",$B847&lt;&gt;"",$R847='تقرير أكتوبر'!$C$4,$P847='تقرير أكتوبر'!$C$6),COUNT(X$4:X846)+1,"")</f>
        <v/>
      </c>
      <c r="Y847">
        <f>IF(AND($A847&lt;&gt;"",$B847&lt;&gt;"",$R847='تقرير نوفمبر'!$C$4,$P847='تقرير نوفمبر'!$C$6),COUNT(Y$4:Y846)+1,"")</f>
        <v/>
      </c>
      <c r="Z847">
        <f>IF(AND($A847&lt;&gt;"",$B847&lt;&gt;"",$R847='تقرير ديسمبر'!$C$4,$P847='تقرير ديسمبر'!$C$6),COUNT(Z$4:Z846)+1,"")</f>
        <v/>
      </c>
      <c r="AA847">
        <f>IF(AND($A847&lt;&gt;"",$B847&lt;&gt;"",$R847='تقرير يناير'!$C$4,$P847='تقرير يناير'!$C$6),COUNT(AA$4:AA846)+1,"")</f>
        <v/>
      </c>
      <c r="AB847">
        <f>IF(AND($A847&lt;&gt;"",$B847&lt;&gt;"",$R847='تقرير فبراير'!$C$4,$P847='تقرير فبراير'!$C$6),COUNT(AB$4:AB846)+1,"")</f>
        <v/>
      </c>
      <c r="AC847">
        <f>IF(AND($A847&lt;&gt;"",$B847&lt;&gt;"",$R847='تقرير مارس'!$C$4,$P847='تقرير مارس'!$C$6),COUNT(AC$4:AC846)+1,"")</f>
        <v/>
      </c>
      <c r="AD847">
        <f>IF(AND($A847&lt;&gt;"",$B847&lt;&gt;"",$R847='تقرير أبريل'!$C$4,$P847='تقرير أبريل'!$C$6),COUNT(AD$4:AD846)+1,"")</f>
        <v/>
      </c>
      <c r="AE847">
        <f>IF(AND($A847&lt;&gt;"",$B847&lt;&gt;"",$R847='تقرير مايو'!$C$4,$P847='تقرير مايو'!$C$6),COUNT(AE$4:AE846)+1,"")</f>
        <v/>
      </c>
    </row>
    <row r="848">
      <c r="A848" s="16" t="n"/>
      <c r="B848" s="17" t="n"/>
      <c r="C848" s="17" t="n"/>
      <c r="D848" s="18" t="n"/>
      <c r="E848" s="17" t="n"/>
      <c r="F848" s="17" t="n"/>
      <c r="G848" s="19" t="n"/>
      <c r="H848" s="17" t="n"/>
      <c r="I848" s="17" t="n"/>
      <c r="J848" s="17" t="n"/>
      <c r="K848" s="20">
        <f>IF($B848="","",IFERROR(INDEX(الموظفات!$A$5:$A$304,MATCH($B848,الموظفات!$B$5:$B$304,0))&amp;"",""))</f>
        <v/>
      </c>
      <c r="L848" s="21">
        <f>IF($B848="","",IFERROR(INDEX(الموظفات!$C$5:$C$304,MATCH($B848,الموظفات!$B$5:$B$304,0))&amp;"",""))</f>
        <v/>
      </c>
      <c r="M848" s="20">
        <f>IF($B848="","",IFERROR(INDEX(الموظفات!$D$5:$D$304,MATCH($B848,الموظفات!$B$5:$B$304,0))&amp;"",""))</f>
        <v/>
      </c>
      <c r="N848" s="20">
        <f>IF($B848="","",IFERROR(INDEX(الموظفات!$E$5:$E$304,MATCH($B848,الموظفات!$B$5:$B$304,0))&amp;"",""))</f>
        <v/>
      </c>
      <c r="O848" s="21">
        <f>IF(C848="","",IFERROR(INDEX(الإعدادات!$D$7:$D$35,MATCH(C848,الإعدادات!$A$7:$A$35,0))&amp;"",""))</f>
        <v/>
      </c>
      <c r="P848" s="20">
        <f>IF(A848="","",INDEX(الإعدادات!$H$7:$H$18,MONTH(A848)))</f>
        <v/>
      </c>
      <c r="Q848" s="20">
        <f>IF(A848="","",INDEX(الإعدادات!$I$7:$I$18,MONTH(A848)))</f>
        <v/>
      </c>
      <c r="R848" s="20">
        <f>IF(A848="","",IF(MONTH(A848)&gt;=8,YEAR(A848)&amp;"-"&amp;(YEAR(A848)+1),(YEAR(A848)-1)&amp;"-"&amp;YEAR(A848)))</f>
        <v/>
      </c>
      <c r="S848" s="20">
        <f>IF(OR(A848="",B848=""),0,IF(AND(R848=التقارير!$C$4,OR(التقارير!$C$5="سنوي",AND(التقارير!$C$5="شهري",P848=التقارير!$C$6),AND(التقارير!$C$5="فصلي",Q848=التقارير!$C$7))),1,0))</f>
        <v/>
      </c>
      <c r="T848" s="20">
        <f>IF(S848=1,COUNTIF($S$5:S848,1),"")</f>
        <v/>
      </c>
      <c r="U848">
        <f>IF(AND($A848&lt;&gt;"",$B848&lt;&gt;"",$R848='تقرير الفصل الأول'!$C$4,$Q848='تقرير الفصل الأول'!$C$7),COUNT(U$4:U847)+1,"")</f>
        <v/>
      </c>
      <c r="V848">
        <f>IF(AND($A848&lt;&gt;"",$B848&lt;&gt;"",$R848='تقرير الفصل الثاني'!$C$4,$Q848='تقرير الفصل الثاني'!$C$7),COUNT(V$4:V847)+1,"")</f>
        <v/>
      </c>
      <c r="W848">
        <f>IF(AND($A848&lt;&gt;"",$B848&lt;&gt;"",$R848='تقرير سبتمبر'!$C$4,$P848='تقرير سبتمبر'!$C$6),COUNT(W$4:W847)+1,"")</f>
        <v/>
      </c>
      <c r="X848">
        <f>IF(AND($A848&lt;&gt;"",$B848&lt;&gt;"",$R848='تقرير أكتوبر'!$C$4,$P848='تقرير أكتوبر'!$C$6),COUNT(X$4:X847)+1,"")</f>
        <v/>
      </c>
      <c r="Y848">
        <f>IF(AND($A848&lt;&gt;"",$B848&lt;&gt;"",$R848='تقرير نوفمبر'!$C$4,$P848='تقرير نوفمبر'!$C$6),COUNT(Y$4:Y847)+1,"")</f>
        <v/>
      </c>
      <c r="Z848">
        <f>IF(AND($A848&lt;&gt;"",$B848&lt;&gt;"",$R848='تقرير ديسمبر'!$C$4,$P848='تقرير ديسمبر'!$C$6),COUNT(Z$4:Z847)+1,"")</f>
        <v/>
      </c>
      <c r="AA848">
        <f>IF(AND($A848&lt;&gt;"",$B848&lt;&gt;"",$R848='تقرير يناير'!$C$4,$P848='تقرير يناير'!$C$6),COUNT(AA$4:AA847)+1,"")</f>
        <v/>
      </c>
      <c r="AB848">
        <f>IF(AND($A848&lt;&gt;"",$B848&lt;&gt;"",$R848='تقرير فبراير'!$C$4,$P848='تقرير فبراير'!$C$6),COUNT(AB$4:AB847)+1,"")</f>
        <v/>
      </c>
      <c r="AC848">
        <f>IF(AND($A848&lt;&gt;"",$B848&lt;&gt;"",$R848='تقرير مارس'!$C$4,$P848='تقرير مارس'!$C$6),COUNT(AC$4:AC847)+1,"")</f>
        <v/>
      </c>
      <c r="AD848">
        <f>IF(AND($A848&lt;&gt;"",$B848&lt;&gt;"",$R848='تقرير أبريل'!$C$4,$P848='تقرير أبريل'!$C$6),COUNT(AD$4:AD847)+1,"")</f>
        <v/>
      </c>
      <c r="AE848">
        <f>IF(AND($A848&lt;&gt;"",$B848&lt;&gt;"",$R848='تقرير مايو'!$C$4,$P848='تقرير مايو'!$C$6),COUNT(AE$4:AE847)+1,"")</f>
        <v/>
      </c>
    </row>
    <row r="849">
      <c r="A849" s="16" t="n"/>
      <c r="B849" s="17" t="n"/>
      <c r="C849" s="17" t="n"/>
      <c r="D849" s="18" t="n"/>
      <c r="E849" s="17" t="n"/>
      <c r="F849" s="17" t="n"/>
      <c r="G849" s="19" t="n"/>
      <c r="H849" s="17" t="n"/>
      <c r="I849" s="17" t="n"/>
      <c r="J849" s="17" t="n"/>
      <c r="K849" s="20">
        <f>IF($B849="","",IFERROR(INDEX(الموظفات!$A$5:$A$304,MATCH($B849,الموظفات!$B$5:$B$304,0))&amp;"",""))</f>
        <v/>
      </c>
      <c r="L849" s="21">
        <f>IF($B849="","",IFERROR(INDEX(الموظفات!$C$5:$C$304,MATCH($B849,الموظفات!$B$5:$B$304,0))&amp;"",""))</f>
        <v/>
      </c>
      <c r="M849" s="20">
        <f>IF($B849="","",IFERROR(INDEX(الموظفات!$D$5:$D$304,MATCH($B849,الموظفات!$B$5:$B$304,0))&amp;"",""))</f>
        <v/>
      </c>
      <c r="N849" s="20">
        <f>IF($B849="","",IFERROR(INDEX(الموظفات!$E$5:$E$304,MATCH($B849,الموظفات!$B$5:$B$304,0))&amp;"",""))</f>
        <v/>
      </c>
      <c r="O849" s="21">
        <f>IF(C849="","",IFERROR(INDEX(الإعدادات!$D$7:$D$35,MATCH(C849,الإعدادات!$A$7:$A$35,0))&amp;"",""))</f>
        <v/>
      </c>
      <c r="P849" s="20">
        <f>IF(A849="","",INDEX(الإعدادات!$H$7:$H$18,MONTH(A849)))</f>
        <v/>
      </c>
      <c r="Q849" s="20">
        <f>IF(A849="","",INDEX(الإعدادات!$I$7:$I$18,MONTH(A849)))</f>
        <v/>
      </c>
      <c r="R849" s="20">
        <f>IF(A849="","",IF(MONTH(A849)&gt;=8,YEAR(A849)&amp;"-"&amp;(YEAR(A849)+1),(YEAR(A849)-1)&amp;"-"&amp;YEAR(A849)))</f>
        <v/>
      </c>
      <c r="S849" s="20">
        <f>IF(OR(A849="",B849=""),0,IF(AND(R849=التقارير!$C$4,OR(التقارير!$C$5="سنوي",AND(التقارير!$C$5="شهري",P849=التقارير!$C$6),AND(التقارير!$C$5="فصلي",Q849=التقارير!$C$7))),1,0))</f>
        <v/>
      </c>
      <c r="T849" s="20">
        <f>IF(S849=1,COUNTIF($S$5:S849,1),"")</f>
        <v/>
      </c>
      <c r="U849">
        <f>IF(AND($A849&lt;&gt;"",$B849&lt;&gt;"",$R849='تقرير الفصل الأول'!$C$4,$Q849='تقرير الفصل الأول'!$C$7),COUNT(U$4:U848)+1,"")</f>
        <v/>
      </c>
      <c r="V849">
        <f>IF(AND($A849&lt;&gt;"",$B849&lt;&gt;"",$R849='تقرير الفصل الثاني'!$C$4,$Q849='تقرير الفصل الثاني'!$C$7),COUNT(V$4:V848)+1,"")</f>
        <v/>
      </c>
      <c r="W849">
        <f>IF(AND($A849&lt;&gt;"",$B849&lt;&gt;"",$R849='تقرير سبتمبر'!$C$4,$P849='تقرير سبتمبر'!$C$6),COUNT(W$4:W848)+1,"")</f>
        <v/>
      </c>
      <c r="X849">
        <f>IF(AND($A849&lt;&gt;"",$B849&lt;&gt;"",$R849='تقرير أكتوبر'!$C$4,$P849='تقرير أكتوبر'!$C$6),COUNT(X$4:X848)+1,"")</f>
        <v/>
      </c>
      <c r="Y849">
        <f>IF(AND($A849&lt;&gt;"",$B849&lt;&gt;"",$R849='تقرير نوفمبر'!$C$4,$P849='تقرير نوفمبر'!$C$6),COUNT(Y$4:Y848)+1,"")</f>
        <v/>
      </c>
      <c r="Z849">
        <f>IF(AND($A849&lt;&gt;"",$B849&lt;&gt;"",$R849='تقرير ديسمبر'!$C$4,$P849='تقرير ديسمبر'!$C$6),COUNT(Z$4:Z848)+1,"")</f>
        <v/>
      </c>
      <c r="AA849">
        <f>IF(AND($A849&lt;&gt;"",$B849&lt;&gt;"",$R849='تقرير يناير'!$C$4,$P849='تقرير يناير'!$C$6),COUNT(AA$4:AA848)+1,"")</f>
        <v/>
      </c>
      <c r="AB849">
        <f>IF(AND($A849&lt;&gt;"",$B849&lt;&gt;"",$R849='تقرير فبراير'!$C$4,$P849='تقرير فبراير'!$C$6),COUNT(AB$4:AB848)+1,"")</f>
        <v/>
      </c>
      <c r="AC849">
        <f>IF(AND($A849&lt;&gt;"",$B849&lt;&gt;"",$R849='تقرير مارس'!$C$4,$P849='تقرير مارس'!$C$6),COUNT(AC$4:AC848)+1,"")</f>
        <v/>
      </c>
      <c r="AD849">
        <f>IF(AND($A849&lt;&gt;"",$B849&lt;&gt;"",$R849='تقرير أبريل'!$C$4,$P849='تقرير أبريل'!$C$6),COUNT(AD$4:AD848)+1,"")</f>
        <v/>
      </c>
      <c r="AE849">
        <f>IF(AND($A849&lt;&gt;"",$B849&lt;&gt;"",$R849='تقرير مايو'!$C$4,$P849='تقرير مايو'!$C$6),COUNT(AE$4:AE848)+1,"")</f>
        <v/>
      </c>
    </row>
    <row r="850">
      <c r="A850" s="16" t="n"/>
      <c r="B850" s="17" t="n"/>
      <c r="C850" s="17" t="n"/>
      <c r="D850" s="18" t="n"/>
      <c r="E850" s="17" t="n"/>
      <c r="F850" s="17" t="n"/>
      <c r="G850" s="19" t="n"/>
      <c r="H850" s="17" t="n"/>
      <c r="I850" s="17" t="n"/>
      <c r="J850" s="17" t="n"/>
      <c r="K850" s="20">
        <f>IF($B850="","",IFERROR(INDEX(الموظفات!$A$5:$A$304,MATCH($B850,الموظفات!$B$5:$B$304,0))&amp;"",""))</f>
        <v/>
      </c>
      <c r="L850" s="21">
        <f>IF($B850="","",IFERROR(INDEX(الموظفات!$C$5:$C$304,MATCH($B850,الموظفات!$B$5:$B$304,0))&amp;"",""))</f>
        <v/>
      </c>
      <c r="M850" s="20">
        <f>IF($B850="","",IFERROR(INDEX(الموظفات!$D$5:$D$304,MATCH($B850,الموظفات!$B$5:$B$304,0))&amp;"",""))</f>
        <v/>
      </c>
      <c r="N850" s="20">
        <f>IF($B850="","",IFERROR(INDEX(الموظفات!$E$5:$E$304,MATCH($B850,الموظفات!$B$5:$B$304,0))&amp;"",""))</f>
        <v/>
      </c>
      <c r="O850" s="21">
        <f>IF(C850="","",IFERROR(INDEX(الإعدادات!$D$7:$D$35,MATCH(C850,الإعدادات!$A$7:$A$35,0))&amp;"",""))</f>
        <v/>
      </c>
      <c r="P850" s="20">
        <f>IF(A850="","",INDEX(الإعدادات!$H$7:$H$18,MONTH(A850)))</f>
        <v/>
      </c>
      <c r="Q850" s="20">
        <f>IF(A850="","",INDEX(الإعدادات!$I$7:$I$18,MONTH(A850)))</f>
        <v/>
      </c>
      <c r="R850" s="20">
        <f>IF(A850="","",IF(MONTH(A850)&gt;=8,YEAR(A850)&amp;"-"&amp;(YEAR(A850)+1),(YEAR(A850)-1)&amp;"-"&amp;YEAR(A850)))</f>
        <v/>
      </c>
      <c r="S850" s="20">
        <f>IF(OR(A850="",B850=""),0,IF(AND(R850=التقارير!$C$4,OR(التقارير!$C$5="سنوي",AND(التقارير!$C$5="شهري",P850=التقارير!$C$6),AND(التقارير!$C$5="فصلي",Q850=التقارير!$C$7))),1,0))</f>
        <v/>
      </c>
      <c r="T850" s="20">
        <f>IF(S850=1,COUNTIF($S$5:S850,1),"")</f>
        <v/>
      </c>
      <c r="U850">
        <f>IF(AND($A850&lt;&gt;"",$B850&lt;&gt;"",$R850='تقرير الفصل الأول'!$C$4,$Q850='تقرير الفصل الأول'!$C$7),COUNT(U$4:U849)+1,"")</f>
        <v/>
      </c>
      <c r="V850">
        <f>IF(AND($A850&lt;&gt;"",$B850&lt;&gt;"",$R850='تقرير الفصل الثاني'!$C$4,$Q850='تقرير الفصل الثاني'!$C$7),COUNT(V$4:V849)+1,"")</f>
        <v/>
      </c>
      <c r="W850">
        <f>IF(AND($A850&lt;&gt;"",$B850&lt;&gt;"",$R850='تقرير سبتمبر'!$C$4,$P850='تقرير سبتمبر'!$C$6),COUNT(W$4:W849)+1,"")</f>
        <v/>
      </c>
      <c r="X850">
        <f>IF(AND($A850&lt;&gt;"",$B850&lt;&gt;"",$R850='تقرير أكتوبر'!$C$4,$P850='تقرير أكتوبر'!$C$6),COUNT(X$4:X849)+1,"")</f>
        <v/>
      </c>
      <c r="Y850">
        <f>IF(AND($A850&lt;&gt;"",$B850&lt;&gt;"",$R850='تقرير نوفمبر'!$C$4,$P850='تقرير نوفمبر'!$C$6),COUNT(Y$4:Y849)+1,"")</f>
        <v/>
      </c>
      <c r="Z850">
        <f>IF(AND($A850&lt;&gt;"",$B850&lt;&gt;"",$R850='تقرير ديسمبر'!$C$4,$P850='تقرير ديسمبر'!$C$6),COUNT(Z$4:Z849)+1,"")</f>
        <v/>
      </c>
      <c r="AA850">
        <f>IF(AND($A850&lt;&gt;"",$B850&lt;&gt;"",$R850='تقرير يناير'!$C$4,$P850='تقرير يناير'!$C$6),COUNT(AA$4:AA849)+1,"")</f>
        <v/>
      </c>
      <c r="AB850">
        <f>IF(AND($A850&lt;&gt;"",$B850&lt;&gt;"",$R850='تقرير فبراير'!$C$4,$P850='تقرير فبراير'!$C$6),COUNT(AB$4:AB849)+1,"")</f>
        <v/>
      </c>
      <c r="AC850">
        <f>IF(AND($A850&lt;&gt;"",$B850&lt;&gt;"",$R850='تقرير مارس'!$C$4,$P850='تقرير مارس'!$C$6),COUNT(AC$4:AC849)+1,"")</f>
        <v/>
      </c>
      <c r="AD850">
        <f>IF(AND($A850&lt;&gt;"",$B850&lt;&gt;"",$R850='تقرير أبريل'!$C$4,$P850='تقرير أبريل'!$C$6),COUNT(AD$4:AD849)+1,"")</f>
        <v/>
      </c>
      <c r="AE850">
        <f>IF(AND($A850&lt;&gt;"",$B850&lt;&gt;"",$R850='تقرير مايو'!$C$4,$P850='تقرير مايو'!$C$6),COUNT(AE$4:AE849)+1,"")</f>
        <v/>
      </c>
    </row>
    <row r="851">
      <c r="A851" s="16" t="n"/>
      <c r="B851" s="17" t="n"/>
      <c r="C851" s="17" t="n"/>
      <c r="D851" s="18" t="n"/>
      <c r="E851" s="17" t="n"/>
      <c r="F851" s="17" t="n"/>
      <c r="G851" s="19" t="n"/>
      <c r="H851" s="17" t="n"/>
      <c r="I851" s="17" t="n"/>
      <c r="J851" s="17" t="n"/>
      <c r="K851" s="20">
        <f>IF($B851="","",IFERROR(INDEX(الموظفات!$A$5:$A$304,MATCH($B851,الموظفات!$B$5:$B$304,0))&amp;"",""))</f>
        <v/>
      </c>
      <c r="L851" s="21">
        <f>IF($B851="","",IFERROR(INDEX(الموظفات!$C$5:$C$304,MATCH($B851,الموظفات!$B$5:$B$304,0))&amp;"",""))</f>
        <v/>
      </c>
      <c r="M851" s="20">
        <f>IF($B851="","",IFERROR(INDEX(الموظفات!$D$5:$D$304,MATCH($B851,الموظفات!$B$5:$B$304,0))&amp;"",""))</f>
        <v/>
      </c>
      <c r="N851" s="20">
        <f>IF($B851="","",IFERROR(INDEX(الموظفات!$E$5:$E$304,MATCH($B851,الموظفات!$B$5:$B$304,0))&amp;"",""))</f>
        <v/>
      </c>
      <c r="O851" s="21">
        <f>IF(C851="","",IFERROR(INDEX(الإعدادات!$D$7:$D$35,MATCH(C851,الإعدادات!$A$7:$A$35,0))&amp;"",""))</f>
        <v/>
      </c>
      <c r="P851" s="20">
        <f>IF(A851="","",INDEX(الإعدادات!$H$7:$H$18,MONTH(A851)))</f>
        <v/>
      </c>
      <c r="Q851" s="20">
        <f>IF(A851="","",INDEX(الإعدادات!$I$7:$I$18,MONTH(A851)))</f>
        <v/>
      </c>
      <c r="R851" s="20">
        <f>IF(A851="","",IF(MONTH(A851)&gt;=8,YEAR(A851)&amp;"-"&amp;(YEAR(A851)+1),(YEAR(A851)-1)&amp;"-"&amp;YEAR(A851)))</f>
        <v/>
      </c>
      <c r="S851" s="20">
        <f>IF(OR(A851="",B851=""),0,IF(AND(R851=التقارير!$C$4,OR(التقارير!$C$5="سنوي",AND(التقارير!$C$5="شهري",P851=التقارير!$C$6),AND(التقارير!$C$5="فصلي",Q851=التقارير!$C$7))),1,0))</f>
        <v/>
      </c>
      <c r="T851" s="20">
        <f>IF(S851=1,COUNTIF($S$5:S851,1),"")</f>
        <v/>
      </c>
      <c r="U851">
        <f>IF(AND($A851&lt;&gt;"",$B851&lt;&gt;"",$R851='تقرير الفصل الأول'!$C$4,$Q851='تقرير الفصل الأول'!$C$7),COUNT(U$4:U850)+1,"")</f>
        <v/>
      </c>
      <c r="V851">
        <f>IF(AND($A851&lt;&gt;"",$B851&lt;&gt;"",$R851='تقرير الفصل الثاني'!$C$4,$Q851='تقرير الفصل الثاني'!$C$7),COUNT(V$4:V850)+1,"")</f>
        <v/>
      </c>
      <c r="W851">
        <f>IF(AND($A851&lt;&gt;"",$B851&lt;&gt;"",$R851='تقرير سبتمبر'!$C$4,$P851='تقرير سبتمبر'!$C$6),COUNT(W$4:W850)+1,"")</f>
        <v/>
      </c>
      <c r="X851">
        <f>IF(AND($A851&lt;&gt;"",$B851&lt;&gt;"",$R851='تقرير أكتوبر'!$C$4,$P851='تقرير أكتوبر'!$C$6),COUNT(X$4:X850)+1,"")</f>
        <v/>
      </c>
      <c r="Y851">
        <f>IF(AND($A851&lt;&gt;"",$B851&lt;&gt;"",$R851='تقرير نوفمبر'!$C$4,$P851='تقرير نوفمبر'!$C$6),COUNT(Y$4:Y850)+1,"")</f>
        <v/>
      </c>
      <c r="Z851">
        <f>IF(AND($A851&lt;&gt;"",$B851&lt;&gt;"",$R851='تقرير ديسمبر'!$C$4,$P851='تقرير ديسمبر'!$C$6),COUNT(Z$4:Z850)+1,"")</f>
        <v/>
      </c>
      <c r="AA851">
        <f>IF(AND($A851&lt;&gt;"",$B851&lt;&gt;"",$R851='تقرير يناير'!$C$4,$P851='تقرير يناير'!$C$6),COUNT(AA$4:AA850)+1,"")</f>
        <v/>
      </c>
      <c r="AB851">
        <f>IF(AND($A851&lt;&gt;"",$B851&lt;&gt;"",$R851='تقرير فبراير'!$C$4,$P851='تقرير فبراير'!$C$6),COUNT(AB$4:AB850)+1,"")</f>
        <v/>
      </c>
      <c r="AC851">
        <f>IF(AND($A851&lt;&gt;"",$B851&lt;&gt;"",$R851='تقرير مارس'!$C$4,$P851='تقرير مارس'!$C$6),COUNT(AC$4:AC850)+1,"")</f>
        <v/>
      </c>
      <c r="AD851">
        <f>IF(AND($A851&lt;&gt;"",$B851&lt;&gt;"",$R851='تقرير أبريل'!$C$4,$P851='تقرير أبريل'!$C$6),COUNT(AD$4:AD850)+1,"")</f>
        <v/>
      </c>
      <c r="AE851">
        <f>IF(AND($A851&lt;&gt;"",$B851&lt;&gt;"",$R851='تقرير مايو'!$C$4,$P851='تقرير مايو'!$C$6),COUNT(AE$4:AE850)+1,"")</f>
        <v/>
      </c>
    </row>
    <row r="852">
      <c r="A852" s="16" t="n"/>
      <c r="B852" s="17" t="n"/>
      <c r="C852" s="17" t="n"/>
      <c r="D852" s="18" t="n"/>
      <c r="E852" s="17" t="n"/>
      <c r="F852" s="17" t="n"/>
      <c r="G852" s="19" t="n"/>
      <c r="H852" s="17" t="n"/>
      <c r="I852" s="17" t="n"/>
      <c r="J852" s="17" t="n"/>
      <c r="K852" s="20">
        <f>IF($B852="","",IFERROR(INDEX(الموظفات!$A$5:$A$304,MATCH($B852,الموظفات!$B$5:$B$304,0))&amp;"",""))</f>
        <v/>
      </c>
      <c r="L852" s="21">
        <f>IF($B852="","",IFERROR(INDEX(الموظفات!$C$5:$C$304,MATCH($B852,الموظفات!$B$5:$B$304,0))&amp;"",""))</f>
        <v/>
      </c>
      <c r="M852" s="20">
        <f>IF($B852="","",IFERROR(INDEX(الموظفات!$D$5:$D$304,MATCH($B852,الموظفات!$B$5:$B$304,0))&amp;"",""))</f>
        <v/>
      </c>
      <c r="N852" s="20">
        <f>IF($B852="","",IFERROR(INDEX(الموظفات!$E$5:$E$304,MATCH($B852,الموظفات!$B$5:$B$304,0))&amp;"",""))</f>
        <v/>
      </c>
      <c r="O852" s="21">
        <f>IF(C852="","",IFERROR(INDEX(الإعدادات!$D$7:$D$35,MATCH(C852,الإعدادات!$A$7:$A$35,0))&amp;"",""))</f>
        <v/>
      </c>
      <c r="P852" s="20">
        <f>IF(A852="","",INDEX(الإعدادات!$H$7:$H$18,MONTH(A852)))</f>
        <v/>
      </c>
      <c r="Q852" s="20">
        <f>IF(A852="","",INDEX(الإعدادات!$I$7:$I$18,MONTH(A852)))</f>
        <v/>
      </c>
      <c r="R852" s="20">
        <f>IF(A852="","",IF(MONTH(A852)&gt;=8,YEAR(A852)&amp;"-"&amp;(YEAR(A852)+1),(YEAR(A852)-1)&amp;"-"&amp;YEAR(A852)))</f>
        <v/>
      </c>
      <c r="S852" s="20">
        <f>IF(OR(A852="",B852=""),0,IF(AND(R852=التقارير!$C$4,OR(التقارير!$C$5="سنوي",AND(التقارير!$C$5="شهري",P852=التقارير!$C$6),AND(التقارير!$C$5="فصلي",Q852=التقارير!$C$7))),1,0))</f>
        <v/>
      </c>
      <c r="T852" s="20">
        <f>IF(S852=1,COUNTIF($S$5:S852,1),"")</f>
        <v/>
      </c>
      <c r="U852">
        <f>IF(AND($A852&lt;&gt;"",$B852&lt;&gt;"",$R852='تقرير الفصل الأول'!$C$4,$Q852='تقرير الفصل الأول'!$C$7),COUNT(U$4:U851)+1,"")</f>
        <v/>
      </c>
      <c r="V852">
        <f>IF(AND($A852&lt;&gt;"",$B852&lt;&gt;"",$R852='تقرير الفصل الثاني'!$C$4,$Q852='تقرير الفصل الثاني'!$C$7),COUNT(V$4:V851)+1,"")</f>
        <v/>
      </c>
      <c r="W852">
        <f>IF(AND($A852&lt;&gt;"",$B852&lt;&gt;"",$R852='تقرير سبتمبر'!$C$4,$P852='تقرير سبتمبر'!$C$6),COUNT(W$4:W851)+1,"")</f>
        <v/>
      </c>
      <c r="X852">
        <f>IF(AND($A852&lt;&gt;"",$B852&lt;&gt;"",$R852='تقرير أكتوبر'!$C$4,$P852='تقرير أكتوبر'!$C$6),COUNT(X$4:X851)+1,"")</f>
        <v/>
      </c>
      <c r="Y852">
        <f>IF(AND($A852&lt;&gt;"",$B852&lt;&gt;"",$R852='تقرير نوفمبر'!$C$4,$P852='تقرير نوفمبر'!$C$6),COUNT(Y$4:Y851)+1,"")</f>
        <v/>
      </c>
      <c r="Z852">
        <f>IF(AND($A852&lt;&gt;"",$B852&lt;&gt;"",$R852='تقرير ديسمبر'!$C$4,$P852='تقرير ديسمبر'!$C$6),COUNT(Z$4:Z851)+1,"")</f>
        <v/>
      </c>
      <c r="AA852">
        <f>IF(AND($A852&lt;&gt;"",$B852&lt;&gt;"",$R852='تقرير يناير'!$C$4,$P852='تقرير يناير'!$C$6),COUNT(AA$4:AA851)+1,"")</f>
        <v/>
      </c>
      <c r="AB852">
        <f>IF(AND($A852&lt;&gt;"",$B852&lt;&gt;"",$R852='تقرير فبراير'!$C$4,$P852='تقرير فبراير'!$C$6),COUNT(AB$4:AB851)+1,"")</f>
        <v/>
      </c>
      <c r="AC852">
        <f>IF(AND($A852&lt;&gt;"",$B852&lt;&gt;"",$R852='تقرير مارس'!$C$4,$P852='تقرير مارس'!$C$6),COUNT(AC$4:AC851)+1,"")</f>
        <v/>
      </c>
      <c r="AD852">
        <f>IF(AND($A852&lt;&gt;"",$B852&lt;&gt;"",$R852='تقرير أبريل'!$C$4,$P852='تقرير أبريل'!$C$6),COUNT(AD$4:AD851)+1,"")</f>
        <v/>
      </c>
      <c r="AE852">
        <f>IF(AND($A852&lt;&gt;"",$B852&lt;&gt;"",$R852='تقرير مايو'!$C$4,$P852='تقرير مايو'!$C$6),COUNT(AE$4:AE851)+1,"")</f>
        <v/>
      </c>
    </row>
    <row r="853">
      <c r="A853" s="16" t="n"/>
      <c r="B853" s="17" t="n"/>
      <c r="C853" s="17" t="n"/>
      <c r="D853" s="18" t="n"/>
      <c r="E853" s="17" t="n"/>
      <c r="F853" s="17" t="n"/>
      <c r="G853" s="19" t="n"/>
      <c r="H853" s="17" t="n"/>
      <c r="I853" s="17" t="n"/>
      <c r="J853" s="17" t="n"/>
      <c r="K853" s="20">
        <f>IF($B853="","",IFERROR(INDEX(الموظفات!$A$5:$A$304,MATCH($B853,الموظفات!$B$5:$B$304,0))&amp;"",""))</f>
        <v/>
      </c>
      <c r="L853" s="21">
        <f>IF($B853="","",IFERROR(INDEX(الموظفات!$C$5:$C$304,MATCH($B853,الموظفات!$B$5:$B$304,0))&amp;"",""))</f>
        <v/>
      </c>
      <c r="M853" s="20">
        <f>IF($B853="","",IFERROR(INDEX(الموظفات!$D$5:$D$304,MATCH($B853,الموظفات!$B$5:$B$304,0))&amp;"",""))</f>
        <v/>
      </c>
      <c r="N853" s="20">
        <f>IF($B853="","",IFERROR(INDEX(الموظفات!$E$5:$E$304,MATCH($B853,الموظفات!$B$5:$B$304,0))&amp;"",""))</f>
        <v/>
      </c>
      <c r="O853" s="21">
        <f>IF(C853="","",IFERROR(INDEX(الإعدادات!$D$7:$D$35,MATCH(C853,الإعدادات!$A$7:$A$35,0))&amp;"",""))</f>
        <v/>
      </c>
      <c r="P853" s="20">
        <f>IF(A853="","",INDEX(الإعدادات!$H$7:$H$18,MONTH(A853)))</f>
        <v/>
      </c>
      <c r="Q853" s="20">
        <f>IF(A853="","",INDEX(الإعدادات!$I$7:$I$18,MONTH(A853)))</f>
        <v/>
      </c>
      <c r="R853" s="20">
        <f>IF(A853="","",IF(MONTH(A853)&gt;=8,YEAR(A853)&amp;"-"&amp;(YEAR(A853)+1),(YEAR(A853)-1)&amp;"-"&amp;YEAR(A853)))</f>
        <v/>
      </c>
      <c r="S853" s="20">
        <f>IF(OR(A853="",B853=""),0,IF(AND(R853=التقارير!$C$4,OR(التقارير!$C$5="سنوي",AND(التقارير!$C$5="شهري",P853=التقارير!$C$6),AND(التقارير!$C$5="فصلي",Q853=التقارير!$C$7))),1,0))</f>
        <v/>
      </c>
      <c r="T853" s="20">
        <f>IF(S853=1,COUNTIF($S$5:S853,1),"")</f>
        <v/>
      </c>
      <c r="U853">
        <f>IF(AND($A853&lt;&gt;"",$B853&lt;&gt;"",$R853='تقرير الفصل الأول'!$C$4,$Q853='تقرير الفصل الأول'!$C$7),COUNT(U$4:U852)+1,"")</f>
        <v/>
      </c>
      <c r="V853">
        <f>IF(AND($A853&lt;&gt;"",$B853&lt;&gt;"",$R853='تقرير الفصل الثاني'!$C$4,$Q853='تقرير الفصل الثاني'!$C$7),COUNT(V$4:V852)+1,"")</f>
        <v/>
      </c>
      <c r="W853">
        <f>IF(AND($A853&lt;&gt;"",$B853&lt;&gt;"",$R853='تقرير سبتمبر'!$C$4,$P853='تقرير سبتمبر'!$C$6),COUNT(W$4:W852)+1,"")</f>
        <v/>
      </c>
      <c r="X853">
        <f>IF(AND($A853&lt;&gt;"",$B853&lt;&gt;"",$R853='تقرير أكتوبر'!$C$4,$P853='تقرير أكتوبر'!$C$6),COUNT(X$4:X852)+1,"")</f>
        <v/>
      </c>
      <c r="Y853">
        <f>IF(AND($A853&lt;&gt;"",$B853&lt;&gt;"",$R853='تقرير نوفمبر'!$C$4,$P853='تقرير نوفمبر'!$C$6),COUNT(Y$4:Y852)+1,"")</f>
        <v/>
      </c>
      <c r="Z853">
        <f>IF(AND($A853&lt;&gt;"",$B853&lt;&gt;"",$R853='تقرير ديسمبر'!$C$4,$P853='تقرير ديسمبر'!$C$6),COUNT(Z$4:Z852)+1,"")</f>
        <v/>
      </c>
      <c r="AA853">
        <f>IF(AND($A853&lt;&gt;"",$B853&lt;&gt;"",$R853='تقرير يناير'!$C$4,$P853='تقرير يناير'!$C$6),COUNT(AA$4:AA852)+1,"")</f>
        <v/>
      </c>
      <c r="AB853">
        <f>IF(AND($A853&lt;&gt;"",$B853&lt;&gt;"",$R853='تقرير فبراير'!$C$4,$P853='تقرير فبراير'!$C$6),COUNT(AB$4:AB852)+1,"")</f>
        <v/>
      </c>
      <c r="AC853">
        <f>IF(AND($A853&lt;&gt;"",$B853&lt;&gt;"",$R853='تقرير مارس'!$C$4,$P853='تقرير مارس'!$C$6),COUNT(AC$4:AC852)+1,"")</f>
        <v/>
      </c>
      <c r="AD853">
        <f>IF(AND($A853&lt;&gt;"",$B853&lt;&gt;"",$R853='تقرير أبريل'!$C$4,$P853='تقرير أبريل'!$C$6),COUNT(AD$4:AD852)+1,"")</f>
        <v/>
      </c>
      <c r="AE853">
        <f>IF(AND($A853&lt;&gt;"",$B853&lt;&gt;"",$R853='تقرير مايو'!$C$4,$P853='تقرير مايو'!$C$6),COUNT(AE$4:AE852)+1,"")</f>
        <v/>
      </c>
    </row>
    <row r="854">
      <c r="A854" s="16" t="n"/>
      <c r="B854" s="17" t="n"/>
      <c r="C854" s="17" t="n"/>
      <c r="D854" s="18" t="n"/>
      <c r="E854" s="17" t="n"/>
      <c r="F854" s="17" t="n"/>
      <c r="G854" s="19" t="n"/>
      <c r="H854" s="17" t="n"/>
      <c r="I854" s="17" t="n"/>
      <c r="J854" s="17" t="n"/>
      <c r="K854" s="20">
        <f>IF($B854="","",IFERROR(INDEX(الموظفات!$A$5:$A$304,MATCH($B854,الموظفات!$B$5:$B$304,0))&amp;"",""))</f>
        <v/>
      </c>
      <c r="L854" s="21">
        <f>IF($B854="","",IFERROR(INDEX(الموظفات!$C$5:$C$304,MATCH($B854,الموظفات!$B$5:$B$304,0))&amp;"",""))</f>
        <v/>
      </c>
      <c r="M854" s="20">
        <f>IF($B854="","",IFERROR(INDEX(الموظفات!$D$5:$D$304,MATCH($B854,الموظفات!$B$5:$B$304,0))&amp;"",""))</f>
        <v/>
      </c>
      <c r="N854" s="20">
        <f>IF($B854="","",IFERROR(INDEX(الموظفات!$E$5:$E$304,MATCH($B854,الموظفات!$B$5:$B$304,0))&amp;"",""))</f>
        <v/>
      </c>
      <c r="O854" s="21">
        <f>IF(C854="","",IFERROR(INDEX(الإعدادات!$D$7:$D$35,MATCH(C854,الإعدادات!$A$7:$A$35,0))&amp;"",""))</f>
        <v/>
      </c>
      <c r="P854" s="20">
        <f>IF(A854="","",INDEX(الإعدادات!$H$7:$H$18,MONTH(A854)))</f>
        <v/>
      </c>
      <c r="Q854" s="20">
        <f>IF(A854="","",INDEX(الإعدادات!$I$7:$I$18,MONTH(A854)))</f>
        <v/>
      </c>
      <c r="R854" s="20">
        <f>IF(A854="","",IF(MONTH(A854)&gt;=8,YEAR(A854)&amp;"-"&amp;(YEAR(A854)+1),(YEAR(A854)-1)&amp;"-"&amp;YEAR(A854)))</f>
        <v/>
      </c>
      <c r="S854" s="20">
        <f>IF(OR(A854="",B854=""),0,IF(AND(R854=التقارير!$C$4,OR(التقارير!$C$5="سنوي",AND(التقارير!$C$5="شهري",P854=التقارير!$C$6),AND(التقارير!$C$5="فصلي",Q854=التقارير!$C$7))),1,0))</f>
        <v/>
      </c>
      <c r="T854" s="20">
        <f>IF(S854=1,COUNTIF($S$5:S854,1),"")</f>
        <v/>
      </c>
      <c r="U854">
        <f>IF(AND($A854&lt;&gt;"",$B854&lt;&gt;"",$R854='تقرير الفصل الأول'!$C$4,$Q854='تقرير الفصل الأول'!$C$7),COUNT(U$4:U853)+1,"")</f>
        <v/>
      </c>
      <c r="V854">
        <f>IF(AND($A854&lt;&gt;"",$B854&lt;&gt;"",$R854='تقرير الفصل الثاني'!$C$4,$Q854='تقرير الفصل الثاني'!$C$7),COUNT(V$4:V853)+1,"")</f>
        <v/>
      </c>
      <c r="W854">
        <f>IF(AND($A854&lt;&gt;"",$B854&lt;&gt;"",$R854='تقرير سبتمبر'!$C$4,$P854='تقرير سبتمبر'!$C$6),COUNT(W$4:W853)+1,"")</f>
        <v/>
      </c>
      <c r="X854">
        <f>IF(AND($A854&lt;&gt;"",$B854&lt;&gt;"",$R854='تقرير أكتوبر'!$C$4,$P854='تقرير أكتوبر'!$C$6),COUNT(X$4:X853)+1,"")</f>
        <v/>
      </c>
      <c r="Y854">
        <f>IF(AND($A854&lt;&gt;"",$B854&lt;&gt;"",$R854='تقرير نوفمبر'!$C$4,$P854='تقرير نوفمبر'!$C$6),COUNT(Y$4:Y853)+1,"")</f>
        <v/>
      </c>
      <c r="Z854">
        <f>IF(AND($A854&lt;&gt;"",$B854&lt;&gt;"",$R854='تقرير ديسمبر'!$C$4,$P854='تقرير ديسمبر'!$C$6),COUNT(Z$4:Z853)+1,"")</f>
        <v/>
      </c>
      <c r="AA854">
        <f>IF(AND($A854&lt;&gt;"",$B854&lt;&gt;"",$R854='تقرير يناير'!$C$4,$P854='تقرير يناير'!$C$6),COUNT(AA$4:AA853)+1,"")</f>
        <v/>
      </c>
      <c r="AB854">
        <f>IF(AND($A854&lt;&gt;"",$B854&lt;&gt;"",$R854='تقرير فبراير'!$C$4,$P854='تقرير فبراير'!$C$6),COUNT(AB$4:AB853)+1,"")</f>
        <v/>
      </c>
      <c r="AC854">
        <f>IF(AND($A854&lt;&gt;"",$B854&lt;&gt;"",$R854='تقرير مارس'!$C$4,$P854='تقرير مارس'!$C$6),COUNT(AC$4:AC853)+1,"")</f>
        <v/>
      </c>
      <c r="AD854">
        <f>IF(AND($A854&lt;&gt;"",$B854&lt;&gt;"",$R854='تقرير أبريل'!$C$4,$P854='تقرير أبريل'!$C$6),COUNT(AD$4:AD853)+1,"")</f>
        <v/>
      </c>
      <c r="AE854">
        <f>IF(AND($A854&lt;&gt;"",$B854&lt;&gt;"",$R854='تقرير مايو'!$C$4,$P854='تقرير مايو'!$C$6),COUNT(AE$4:AE853)+1,"")</f>
        <v/>
      </c>
    </row>
    <row r="855">
      <c r="A855" s="16" t="n"/>
      <c r="B855" s="17" t="n"/>
      <c r="C855" s="17" t="n"/>
      <c r="D855" s="18" t="n"/>
      <c r="E855" s="17" t="n"/>
      <c r="F855" s="17" t="n"/>
      <c r="G855" s="19" t="n"/>
      <c r="H855" s="17" t="n"/>
      <c r="I855" s="17" t="n"/>
      <c r="J855" s="17" t="n"/>
      <c r="K855" s="20">
        <f>IF($B855="","",IFERROR(INDEX(الموظفات!$A$5:$A$304,MATCH($B855,الموظفات!$B$5:$B$304,0))&amp;"",""))</f>
        <v/>
      </c>
      <c r="L855" s="21">
        <f>IF($B855="","",IFERROR(INDEX(الموظفات!$C$5:$C$304,MATCH($B855,الموظفات!$B$5:$B$304,0))&amp;"",""))</f>
        <v/>
      </c>
      <c r="M855" s="20">
        <f>IF($B855="","",IFERROR(INDEX(الموظفات!$D$5:$D$304,MATCH($B855,الموظفات!$B$5:$B$304,0))&amp;"",""))</f>
        <v/>
      </c>
      <c r="N855" s="20">
        <f>IF($B855="","",IFERROR(INDEX(الموظفات!$E$5:$E$304,MATCH($B855,الموظفات!$B$5:$B$304,0))&amp;"",""))</f>
        <v/>
      </c>
      <c r="O855" s="21">
        <f>IF(C855="","",IFERROR(INDEX(الإعدادات!$D$7:$D$35,MATCH(C855,الإعدادات!$A$7:$A$35,0))&amp;"",""))</f>
        <v/>
      </c>
      <c r="P855" s="20">
        <f>IF(A855="","",INDEX(الإعدادات!$H$7:$H$18,MONTH(A855)))</f>
        <v/>
      </c>
      <c r="Q855" s="20">
        <f>IF(A855="","",INDEX(الإعدادات!$I$7:$I$18,MONTH(A855)))</f>
        <v/>
      </c>
      <c r="R855" s="20">
        <f>IF(A855="","",IF(MONTH(A855)&gt;=8,YEAR(A855)&amp;"-"&amp;(YEAR(A855)+1),(YEAR(A855)-1)&amp;"-"&amp;YEAR(A855)))</f>
        <v/>
      </c>
      <c r="S855" s="20">
        <f>IF(OR(A855="",B855=""),0,IF(AND(R855=التقارير!$C$4,OR(التقارير!$C$5="سنوي",AND(التقارير!$C$5="شهري",P855=التقارير!$C$6),AND(التقارير!$C$5="فصلي",Q855=التقارير!$C$7))),1,0))</f>
        <v/>
      </c>
      <c r="T855" s="20">
        <f>IF(S855=1,COUNTIF($S$5:S855,1),"")</f>
        <v/>
      </c>
      <c r="U855">
        <f>IF(AND($A855&lt;&gt;"",$B855&lt;&gt;"",$R855='تقرير الفصل الأول'!$C$4,$Q855='تقرير الفصل الأول'!$C$7),COUNT(U$4:U854)+1,"")</f>
        <v/>
      </c>
      <c r="V855">
        <f>IF(AND($A855&lt;&gt;"",$B855&lt;&gt;"",$R855='تقرير الفصل الثاني'!$C$4,$Q855='تقرير الفصل الثاني'!$C$7),COUNT(V$4:V854)+1,"")</f>
        <v/>
      </c>
      <c r="W855">
        <f>IF(AND($A855&lt;&gt;"",$B855&lt;&gt;"",$R855='تقرير سبتمبر'!$C$4,$P855='تقرير سبتمبر'!$C$6),COUNT(W$4:W854)+1,"")</f>
        <v/>
      </c>
      <c r="X855">
        <f>IF(AND($A855&lt;&gt;"",$B855&lt;&gt;"",$R855='تقرير أكتوبر'!$C$4,$P855='تقرير أكتوبر'!$C$6),COUNT(X$4:X854)+1,"")</f>
        <v/>
      </c>
      <c r="Y855">
        <f>IF(AND($A855&lt;&gt;"",$B855&lt;&gt;"",$R855='تقرير نوفمبر'!$C$4,$P855='تقرير نوفمبر'!$C$6),COUNT(Y$4:Y854)+1,"")</f>
        <v/>
      </c>
      <c r="Z855">
        <f>IF(AND($A855&lt;&gt;"",$B855&lt;&gt;"",$R855='تقرير ديسمبر'!$C$4,$P855='تقرير ديسمبر'!$C$6),COUNT(Z$4:Z854)+1,"")</f>
        <v/>
      </c>
      <c r="AA855">
        <f>IF(AND($A855&lt;&gt;"",$B855&lt;&gt;"",$R855='تقرير يناير'!$C$4,$P855='تقرير يناير'!$C$6),COUNT(AA$4:AA854)+1,"")</f>
        <v/>
      </c>
      <c r="AB855">
        <f>IF(AND($A855&lt;&gt;"",$B855&lt;&gt;"",$R855='تقرير فبراير'!$C$4,$P855='تقرير فبراير'!$C$6),COUNT(AB$4:AB854)+1,"")</f>
        <v/>
      </c>
      <c r="AC855">
        <f>IF(AND($A855&lt;&gt;"",$B855&lt;&gt;"",$R855='تقرير مارس'!$C$4,$P855='تقرير مارس'!$C$6),COUNT(AC$4:AC854)+1,"")</f>
        <v/>
      </c>
      <c r="AD855">
        <f>IF(AND($A855&lt;&gt;"",$B855&lt;&gt;"",$R855='تقرير أبريل'!$C$4,$P855='تقرير أبريل'!$C$6),COUNT(AD$4:AD854)+1,"")</f>
        <v/>
      </c>
      <c r="AE855">
        <f>IF(AND($A855&lt;&gt;"",$B855&lt;&gt;"",$R855='تقرير مايو'!$C$4,$P855='تقرير مايو'!$C$6),COUNT(AE$4:AE854)+1,"")</f>
        <v/>
      </c>
    </row>
    <row r="856">
      <c r="A856" s="16" t="n"/>
      <c r="B856" s="17" t="n"/>
      <c r="C856" s="17" t="n"/>
      <c r="D856" s="18" t="n"/>
      <c r="E856" s="17" t="n"/>
      <c r="F856" s="17" t="n"/>
      <c r="G856" s="19" t="n"/>
      <c r="H856" s="17" t="n"/>
      <c r="I856" s="17" t="n"/>
      <c r="J856" s="17" t="n"/>
      <c r="K856" s="20">
        <f>IF($B856="","",IFERROR(INDEX(الموظفات!$A$5:$A$304,MATCH($B856,الموظفات!$B$5:$B$304,0))&amp;"",""))</f>
        <v/>
      </c>
      <c r="L856" s="21">
        <f>IF($B856="","",IFERROR(INDEX(الموظفات!$C$5:$C$304,MATCH($B856,الموظفات!$B$5:$B$304,0))&amp;"",""))</f>
        <v/>
      </c>
      <c r="M856" s="20">
        <f>IF($B856="","",IFERROR(INDEX(الموظفات!$D$5:$D$304,MATCH($B856,الموظفات!$B$5:$B$304,0))&amp;"",""))</f>
        <v/>
      </c>
      <c r="N856" s="20">
        <f>IF($B856="","",IFERROR(INDEX(الموظفات!$E$5:$E$304,MATCH($B856,الموظفات!$B$5:$B$304,0))&amp;"",""))</f>
        <v/>
      </c>
      <c r="O856" s="21">
        <f>IF(C856="","",IFERROR(INDEX(الإعدادات!$D$7:$D$35,MATCH(C856,الإعدادات!$A$7:$A$35,0))&amp;"",""))</f>
        <v/>
      </c>
      <c r="P856" s="20">
        <f>IF(A856="","",INDEX(الإعدادات!$H$7:$H$18,MONTH(A856)))</f>
        <v/>
      </c>
      <c r="Q856" s="20">
        <f>IF(A856="","",INDEX(الإعدادات!$I$7:$I$18,MONTH(A856)))</f>
        <v/>
      </c>
      <c r="R856" s="20">
        <f>IF(A856="","",IF(MONTH(A856)&gt;=8,YEAR(A856)&amp;"-"&amp;(YEAR(A856)+1),(YEAR(A856)-1)&amp;"-"&amp;YEAR(A856)))</f>
        <v/>
      </c>
      <c r="S856" s="20">
        <f>IF(OR(A856="",B856=""),0,IF(AND(R856=التقارير!$C$4,OR(التقارير!$C$5="سنوي",AND(التقارير!$C$5="شهري",P856=التقارير!$C$6),AND(التقارير!$C$5="فصلي",Q856=التقارير!$C$7))),1,0))</f>
        <v/>
      </c>
      <c r="T856" s="20">
        <f>IF(S856=1,COUNTIF($S$5:S856,1),"")</f>
        <v/>
      </c>
      <c r="U856">
        <f>IF(AND($A856&lt;&gt;"",$B856&lt;&gt;"",$R856='تقرير الفصل الأول'!$C$4,$Q856='تقرير الفصل الأول'!$C$7),COUNT(U$4:U855)+1,"")</f>
        <v/>
      </c>
      <c r="V856">
        <f>IF(AND($A856&lt;&gt;"",$B856&lt;&gt;"",$R856='تقرير الفصل الثاني'!$C$4,$Q856='تقرير الفصل الثاني'!$C$7),COUNT(V$4:V855)+1,"")</f>
        <v/>
      </c>
      <c r="W856">
        <f>IF(AND($A856&lt;&gt;"",$B856&lt;&gt;"",$R856='تقرير سبتمبر'!$C$4,$P856='تقرير سبتمبر'!$C$6),COUNT(W$4:W855)+1,"")</f>
        <v/>
      </c>
      <c r="X856">
        <f>IF(AND($A856&lt;&gt;"",$B856&lt;&gt;"",$R856='تقرير أكتوبر'!$C$4,$P856='تقرير أكتوبر'!$C$6),COUNT(X$4:X855)+1,"")</f>
        <v/>
      </c>
      <c r="Y856">
        <f>IF(AND($A856&lt;&gt;"",$B856&lt;&gt;"",$R856='تقرير نوفمبر'!$C$4,$P856='تقرير نوفمبر'!$C$6),COUNT(Y$4:Y855)+1,"")</f>
        <v/>
      </c>
      <c r="Z856">
        <f>IF(AND($A856&lt;&gt;"",$B856&lt;&gt;"",$R856='تقرير ديسمبر'!$C$4,$P856='تقرير ديسمبر'!$C$6),COUNT(Z$4:Z855)+1,"")</f>
        <v/>
      </c>
      <c r="AA856">
        <f>IF(AND($A856&lt;&gt;"",$B856&lt;&gt;"",$R856='تقرير يناير'!$C$4,$P856='تقرير يناير'!$C$6),COUNT(AA$4:AA855)+1,"")</f>
        <v/>
      </c>
      <c r="AB856">
        <f>IF(AND($A856&lt;&gt;"",$B856&lt;&gt;"",$R856='تقرير فبراير'!$C$4,$P856='تقرير فبراير'!$C$6),COUNT(AB$4:AB855)+1,"")</f>
        <v/>
      </c>
      <c r="AC856">
        <f>IF(AND($A856&lt;&gt;"",$B856&lt;&gt;"",$R856='تقرير مارس'!$C$4,$P856='تقرير مارس'!$C$6),COUNT(AC$4:AC855)+1,"")</f>
        <v/>
      </c>
      <c r="AD856">
        <f>IF(AND($A856&lt;&gt;"",$B856&lt;&gt;"",$R856='تقرير أبريل'!$C$4,$P856='تقرير أبريل'!$C$6),COUNT(AD$4:AD855)+1,"")</f>
        <v/>
      </c>
      <c r="AE856">
        <f>IF(AND($A856&lt;&gt;"",$B856&lt;&gt;"",$R856='تقرير مايو'!$C$4,$P856='تقرير مايو'!$C$6),COUNT(AE$4:AE855)+1,"")</f>
        <v/>
      </c>
    </row>
    <row r="857">
      <c r="A857" s="16" t="n"/>
      <c r="B857" s="17" t="n"/>
      <c r="C857" s="17" t="n"/>
      <c r="D857" s="18" t="n"/>
      <c r="E857" s="17" t="n"/>
      <c r="F857" s="17" t="n"/>
      <c r="G857" s="19" t="n"/>
      <c r="H857" s="17" t="n"/>
      <c r="I857" s="17" t="n"/>
      <c r="J857" s="17" t="n"/>
      <c r="K857" s="20">
        <f>IF($B857="","",IFERROR(INDEX(الموظفات!$A$5:$A$304,MATCH($B857,الموظفات!$B$5:$B$304,0))&amp;"",""))</f>
        <v/>
      </c>
      <c r="L857" s="21">
        <f>IF($B857="","",IFERROR(INDEX(الموظفات!$C$5:$C$304,MATCH($B857,الموظفات!$B$5:$B$304,0))&amp;"",""))</f>
        <v/>
      </c>
      <c r="M857" s="20">
        <f>IF($B857="","",IFERROR(INDEX(الموظفات!$D$5:$D$304,MATCH($B857,الموظفات!$B$5:$B$304,0))&amp;"",""))</f>
        <v/>
      </c>
      <c r="N857" s="20">
        <f>IF($B857="","",IFERROR(INDEX(الموظفات!$E$5:$E$304,MATCH($B857,الموظفات!$B$5:$B$304,0))&amp;"",""))</f>
        <v/>
      </c>
      <c r="O857" s="21">
        <f>IF(C857="","",IFERROR(INDEX(الإعدادات!$D$7:$D$35,MATCH(C857,الإعدادات!$A$7:$A$35,0))&amp;"",""))</f>
        <v/>
      </c>
      <c r="P857" s="20">
        <f>IF(A857="","",INDEX(الإعدادات!$H$7:$H$18,MONTH(A857)))</f>
        <v/>
      </c>
      <c r="Q857" s="20">
        <f>IF(A857="","",INDEX(الإعدادات!$I$7:$I$18,MONTH(A857)))</f>
        <v/>
      </c>
      <c r="R857" s="20">
        <f>IF(A857="","",IF(MONTH(A857)&gt;=8,YEAR(A857)&amp;"-"&amp;(YEAR(A857)+1),(YEAR(A857)-1)&amp;"-"&amp;YEAR(A857)))</f>
        <v/>
      </c>
      <c r="S857" s="20">
        <f>IF(OR(A857="",B857=""),0,IF(AND(R857=التقارير!$C$4,OR(التقارير!$C$5="سنوي",AND(التقارير!$C$5="شهري",P857=التقارير!$C$6),AND(التقارير!$C$5="فصلي",Q857=التقارير!$C$7))),1,0))</f>
        <v/>
      </c>
      <c r="T857" s="20">
        <f>IF(S857=1,COUNTIF($S$5:S857,1),"")</f>
        <v/>
      </c>
      <c r="U857">
        <f>IF(AND($A857&lt;&gt;"",$B857&lt;&gt;"",$R857='تقرير الفصل الأول'!$C$4,$Q857='تقرير الفصل الأول'!$C$7),COUNT(U$4:U856)+1,"")</f>
        <v/>
      </c>
      <c r="V857">
        <f>IF(AND($A857&lt;&gt;"",$B857&lt;&gt;"",$R857='تقرير الفصل الثاني'!$C$4,$Q857='تقرير الفصل الثاني'!$C$7),COUNT(V$4:V856)+1,"")</f>
        <v/>
      </c>
      <c r="W857">
        <f>IF(AND($A857&lt;&gt;"",$B857&lt;&gt;"",$R857='تقرير سبتمبر'!$C$4,$P857='تقرير سبتمبر'!$C$6),COUNT(W$4:W856)+1,"")</f>
        <v/>
      </c>
      <c r="X857">
        <f>IF(AND($A857&lt;&gt;"",$B857&lt;&gt;"",$R857='تقرير أكتوبر'!$C$4,$P857='تقرير أكتوبر'!$C$6),COUNT(X$4:X856)+1,"")</f>
        <v/>
      </c>
      <c r="Y857">
        <f>IF(AND($A857&lt;&gt;"",$B857&lt;&gt;"",$R857='تقرير نوفمبر'!$C$4,$P857='تقرير نوفمبر'!$C$6),COUNT(Y$4:Y856)+1,"")</f>
        <v/>
      </c>
      <c r="Z857">
        <f>IF(AND($A857&lt;&gt;"",$B857&lt;&gt;"",$R857='تقرير ديسمبر'!$C$4,$P857='تقرير ديسمبر'!$C$6),COUNT(Z$4:Z856)+1,"")</f>
        <v/>
      </c>
      <c r="AA857">
        <f>IF(AND($A857&lt;&gt;"",$B857&lt;&gt;"",$R857='تقرير يناير'!$C$4,$P857='تقرير يناير'!$C$6),COUNT(AA$4:AA856)+1,"")</f>
        <v/>
      </c>
      <c r="AB857">
        <f>IF(AND($A857&lt;&gt;"",$B857&lt;&gt;"",$R857='تقرير فبراير'!$C$4,$P857='تقرير فبراير'!$C$6),COUNT(AB$4:AB856)+1,"")</f>
        <v/>
      </c>
      <c r="AC857">
        <f>IF(AND($A857&lt;&gt;"",$B857&lt;&gt;"",$R857='تقرير مارس'!$C$4,$P857='تقرير مارس'!$C$6),COUNT(AC$4:AC856)+1,"")</f>
        <v/>
      </c>
      <c r="AD857">
        <f>IF(AND($A857&lt;&gt;"",$B857&lt;&gt;"",$R857='تقرير أبريل'!$C$4,$P857='تقرير أبريل'!$C$6),COUNT(AD$4:AD856)+1,"")</f>
        <v/>
      </c>
      <c r="AE857">
        <f>IF(AND($A857&lt;&gt;"",$B857&lt;&gt;"",$R857='تقرير مايو'!$C$4,$P857='تقرير مايو'!$C$6),COUNT(AE$4:AE856)+1,"")</f>
        <v/>
      </c>
    </row>
    <row r="858">
      <c r="A858" s="16" t="n"/>
      <c r="B858" s="17" t="n"/>
      <c r="C858" s="17" t="n"/>
      <c r="D858" s="18" t="n"/>
      <c r="E858" s="17" t="n"/>
      <c r="F858" s="17" t="n"/>
      <c r="G858" s="19" t="n"/>
      <c r="H858" s="17" t="n"/>
      <c r="I858" s="17" t="n"/>
      <c r="J858" s="17" t="n"/>
      <c r="K858" s="20">
        <f>IF($B858="","",IFERROR(INDEX(الموظفات!$A$5:$A$304,MATCH($B858,الموظفات!$B$5:$B$304,0))&amp;"",""))</f>
        <v/>
      </c>
      <c r="L858" s="21">
        <f>IF($B858="","",IFERROR(INDEX(الموظفات!$C$5:$C$304,MATCH($B858,الموظفات!$B$5:$B$304,0))&amp;"",""))</f>
        <v/>
      </c>
      <c r="M858" s="20">
        <f>IF($B858="","",IFERROR(INDEX(الموظفات!$D$5:$D$304,MATCH($B858,الموظفات!$B$5:$B$304,0))&amp;"",""))</f>
        <v/>
      </c>
      <c r="N858" s="20">
        <f>IF($B858="","",IFERROR(INDEX(الموظفات!$E$5:$E$304,MATCH($B858,الموظفات!$B$5:$B$304,0))&amp;"",""))</f>
        <v/>
      </c>
      <c r="O858" s="21">
        <f>IF(C858="","",IFERROR(INDEX(الإعدادات!$D$7:$D$35,MATCH(C858,الإعدادات!$A$7:$A$35,0))&amp;"",""))</f>
        <v/>
      </c>
      <c r="P858" s="20">
        <f>IF(A858="","",INDEX(الإعدادات!$H$7:$H$18,MONTH(A858)))</f>
        <v/>
      </c>
      <c r="Q858" s="20">
        <f>IF(A858="","",INDEX(الإعدادات!$I$7:$I$18,MONTH(A858)))</f>
        <v/>
      </c>
      <c r="R858" s="20">
        <f>IF(A858="","",IF(MONTH(A858)&gt;=8,YEAR(A858)&amp;"-"&amp;(YEAR(A858)+1),(YEAR(A858)-1)&amp;"-"&amp;YEAR(A858)))</f>
        <v/>
      </c>
      <c r="S858" s="20">
        <f>IF(OR(A858="",B858=""),0,IF(AND(R858=التقارير!$C$4,OR(التقارير!$C$5="سنوي",AND(التقارير!$C$5="شهري",P858=التقارير!$C$6),AND(التقارير!$C$5="فصلي",Q858=التقارير!$C$7))),1,0))</f>
        <v/>
      </c>
      <c r="T858" s="20">
        <f>IF(S858=1,COUNTIF($S$5:S858,1),"")</f>
        <v/>
      </c>
      <c r="U858">
        <f>IF(AND($A858&lt;&gt;"",$B858&lt;&gt;"",$R858='تقرير الفصل الأول'!$C$4,$Q858='تقرير الفصل الأول'!$C$7),COUNT(U$4:U857)+1,"")</f>
        <v/>
      </c>
      <c r="V858">
        <f>IF(AND($A858&lt;&gt;"",$B858&lt;&gt;"",$R858='تقرير الفصل الثاني'!$C$4,$Q858='تقرير الفصل الثاني'!$C$7),COUNT(V$4:V857)+1,"")</f>
        <v/>
      </c>
      <c r="W858">
        <f>IF(AND($A858&lt;&gt;"",$B858&lt;&gt;"",$R858='تقرير سبتمبر'!$C$4,$P858='تقرير سبتمبر'!$C$6),COUNT(W$4:W857)+1,"")</f>
        <v/>
      </c>
      <c r="X858">
        <f>IF(AND($A858&lt;&gt;"",$B858&lt;&gt;"",$R858='تقرير أكتوبر'!$C$4,$P858='تقرير أكتوبر'!$C$6),COUNT(X$4:X857)+1,"")</f>
        <v/>
      </c>
      <c r="Y858">
        <f>IF(AND($A858&lt;&gt;"",$B858&lt;&gt;"",$R858='تقرير نوفمبر'!$C$4,$P858='تقرير نوفمبر'!$C$6),COUNT(Y$4:Y857)+1,"")</f>
        <v/>
      </c>
      <c r="Z858">
        <f>IF(AND($A858&lt;&gt;"",$B858&lt;&gt;"",$R858='تقرير ديسمبر'!$C$4,$P858='تقرير ديسمبر'!$C$6),COUNT(Z$4:Z857)+1,"")</f>
        <v/>
      </c>
      <c r="AA858">
        <f>IF(AND($A858&lt;&gt;"",$B858&lt;&gt;"",$R858='تقرير يناير'!$C$4,$P858='تقرير يناير'!$C$6),COUNT(AA$4:AA857)+1,"")</f>
        <v/>
      </c>
      <c r="AB858">
        <f>IF(AND($A858&lt;&gt;"",$B858&lt;&gt;"",$R858='تقرير فبراير'!$C$4,$P858='تقرير فبراير'!$C$6),COUNT(AB$4:AB857)+1,"")</f>
        <v/>
      </c>
      <c r="AC858">
        <f>IF(AND($A858&lt;&gt;"",$B858&lt;&gt;"",$R858='تقرير مارس'!$C$4,$P858='تقرير مارس'!$C$6),COUNT(AC$4:AC857)+1,"")</f>
        <v/>
      </c>
      <c r="AD858">
        <f>IF(AND($A858&lt;&gt;"",$B858&lt;&gt;"",$R858='تقرير أبريل'!$C$4,$P858='تقرير أبريل'!$C$6),COUNT(AD$4:AD857)+1,"")</f>
        <v/>
      </c>
      <c r="AE858">
        <f>IF(AND($A858&lt;&gt;"",$B858&lt;&gt;"",$R858='تقرير مايو'!$C$4,$P858='تقرير مايو'!$C$6),COUNT(AE$4:AE857)+1,"")</f>
        <v/>
      </c>
    </row>
    <row r="859">
      <c r="A859" s="16" t="n"/>
      <c r="B859" s="17" t="n"/>
      <c r="C859" s="17" t="n"/>
      <c r="D859" s="18" t="n"/>
      <c r="E859" s="17" t="n"/>
      <c r="F859" s="17" t="n"/>
      <c r="G859" s="19" t="n"/>
      <c r="H859" s="17" t="n"/>
      <c r="I859" s="17" t="n"/>
      <c r="J859" s="17" t="n"/>
      <c r="K859" s="20">
        <f>IF($B859="","",IFERROR(INDEX(الموظفات!$A$5:$A$304,MATCH($B859,الموظفات!$B$5:$B$304,0))&amp;"",""))</f>
        <v/>
      </c>
      <c r="L859" s="21">
        <f>IF($B859="","",IFERROR(INDEX(الموظفات!$C$5:$C$304,MATCH($B859,الموظفات!$B$5:$B$304,0))&amp;"",""))</f>
        <v/>
      </c>
      <c r="M859" s="20">
        <f>IF($B859="","",IFERROR(INDEX(الموظفات!$D$5:$D$304,MATCH($B859,الموظفات!$B$5:$B$304,0))&amp;"",""))</f>
        <v/>
      </c>
      <c r="N859" s="20">
        <f>IF($B859="","",IFERROR(INDEX(الموظفات!$E$5:$E$304,MATCH($B859,الموظفات!$B$5:$B$304,0))&amp;"",""))</f>
        <v/>
      </c>
      <c r="O859" s="21">
        <f>IF(C859="","",IFERROR(INDEX(الإعدادات!$D$7:$D$35,MATCH(C859,الإعدادات!$A$7:$A$35,0))&amp;"",""))</f>
        <v/>
      </c>
      <c r="P859" s="20">
        <f>IF(A859="","",INDEX(الإعدادات!$H$7:$H$18,MONTH(A859)))</f>
        <v/>
      </c>
      <c r="Q859" s="20">
        <f>IF(A859="","",INDEX(الإعدادات!$I$7:$I$18,MONTH(A859)))</f>
        <v/>
      </c>
      <c r="R859" s="20">
        <f>IF(A859="","",IF(MONTH(A859)&gt;=8,YEAR(A859)&amp;"-"&amp;(YEAR(A859)+1),(YEAR(A859)-1)&amp;"-"&amp;YEAR(A859)))</f>
        <v/>
      </c>
      <c r="S859" s="20">
        <f>IF(OR(A859="",B859=""),0,IF(AND(R859=التقارير!$C$4,OR(التقارير!$C$5="سنوي",AND(التقارير!$C$5="شهري",P859=التقارير!$C$6),AND(التقارير!$C$5="فصلي",Q859=التقارير!$C$7))),1,0))</f>
        <v/>
      </c>
      <c r="T859" s="20">
        <f>IF(S859=1,COUNTIF($S$5:S859,1),"")</f>
        <v/>
      </c>
      <c r="U859">
        <f>IF(AND($A859&lt;&gt;"",$B859&lt;&gt;"",$R859='تقرير الفصل الأول'!$C$4,$Q859='تقرير الفصل الأول'!$C$7),COUNT(U$4:U858)+1,"")</f>
        <v/>
      </c>
      <c r="V859">
        <f>IF(AND($A859&lt;&gt;"",$B859&lt;&gt;"",$R859='تقرير الفصل الثاني'!$C$4,$Q859='تقرير الفصل الثاني'!$C$7),COUNT(V$4:V858)+1,"")</f>
        <v/>
      </c>
      <c r="W859">
        <f>IF(AND($A859&lt;&gt;"",$B859&lt;&gt;"",$R859='تقرير سبتمبر'!$C$4,$P859='تقرير سبتمبر'!$C$6),COUNT(W$4:W858)+1,"")</f>
        <v/>
      </c>
      <c r="X859">
        <f>IF(AND($A859&lt;&gt;"",$B859&lt;&gt;"",$R859='تقرير أكتوبر'!$C$4,$P859='تقرير أكتوبر'!$C$6),COUNT(X$4:X858)+1,"")</f>
        <v/>
      </c>
      <c r="Y859">
        <f>IF(AND($A859&lt;&gt;"",$B859&lt;&gt;"",$R859='تقرير نوفمبر'!$C$4,$P859='تقرير نوفمبر'!$C$6),COUNT(Y$4:Y858)+1,"")</f>
        <v/>
      </c>
      <c r="Z859">
        <f>IF(AND($A859&lt;&gt;"",$B859&lt;&gt;"",$R859='تقرير ديسمبر'!$C$4,$P859='تقرير ديسمبر'!$C$6),COUNT(Z$4:Z858)+1,"")</f>
        <v/>
      </c>
      <c r="AA859">
        <f>IF(AND($A859&lt;&gt;"",$B859&lt;&gt;"",$R859='تقرير يناير'!$C$4,$P859='تقرير يناير'!$C$6),COUNT(AA$4:AA858)+1,"")</f>
        <v/>
      </c>
      <c r="AB859">
        <f>IF(AND($A859&lt;&gt;"",$B859&lt;&gt;"",$R859='تقرير فبراير'!$C$4,$P859='تقرير فبراير'!$C$6),COUNT(AB$4:AB858)+1,"")</f>
        <v/>
      </c>
      <c r="AC859">
        <f>IF(AND($A859&lt;&gt;"",$B859&lt;&gt;"",$R859='تقرير مارس'!$C$4,$P859='تقرير مارس'!$C$6),COUNT(AC$4:AC858)+1,"")</f>
        <v/>
      </c>
      <c r="AD859">
        <f>IF(AND($A859&lt;&gt;"",$B859&lt;&gt;"",$R859='تقرير أبريل'!$C$4,$P859='تقرير أبريل'!$C$6),COUNT(AD$4:AD858)+1,"")</f>
        <v/>
      </c>
      <c r="AE859">
        <f>IF(AND($A859&lt;&gt;"",$B859&lt;&gt;"",$R859='تقرير مايو'!$C$4,$P859='تقرير مايو'!$C$6),COUNT(AE$4:AE858)+1,"")</f>
        <v/>
      </c>
    </row>
    <row r="860">
      <c r="A860" s="16" t="n"/>
      <c r="B860" s="17" t="n"/>
      <c r="C860" s="17" t="n"/>
      <c r="D860" s="18" t="n"/>
      <c r="E860" s="17" t="n"/>
      <c r="F860" s="17" t="n"/>
      <c r="G860" s="19" t="n"/>
      <c r="H860" s="17" t="n"/>
      <c r="I860" s="17" t="n"/>
      <c r="J860" s="17" t="n"/>
      <c r="K860" s="20">
        <f>IF($B860="","",IFERROR(INDEX(الموظفات!$A$5:$A$304,MATCH($B860,الموظفات!$B$5:$B$304,0))&amp;"",""))</f>
        <v/>
      </c>
      <c r="L860" s="21">
        <f>IF($B860="","",IFERROR(INDEX(الموظفات!$C$5:$C$304,MATCH($B860,الموظفات!$B$5:$B$304,0))&amp;"",""))</f>
        <v/>
      </c>
      <c r="M860" s="20">
        <f>IF($B860="","",IFERROR(INDEX(الموظفات!$D$5:$D$304,MATCH($B860,الموظفات!$B$5:$B$304,0))&amp;"",""))</f>
        <v/>
      </c>
      <c r="N860" s="20">
        <f>IF($B860="","",IFERROR(INDEX(الموظفات!$E$5:$E$304,MATCH($B860,الموظفات!$B$5:$B$304,0))&amp;"",""))</f>
        <v/>
      </c>
      <c r="O860" s="21">
        <f>IF(C860="","",IFERROR(INDEX(الإعدادات!$D$7:$D$35,MATCH(C860,الإعدادات!$A$7:$A$35,0))&amp;"",""))</f>
        <v/>
      </c>
      <c r="P860" s="20">
        <f>IF(A860="","",INDEX(الإعدادات!$H$7:$H$18,MONTH(A860)))</f>
        <v/>
      </c>
      <c r="Q860" s="20">
        <f>IF(A860="","",INDEX(الإعدادات!$I$7:$I$18,MONTH(A860)))</f>
        <v/>
      </c>
      <c r="R860" s="20">
        <f>IF(A860="","",IF(MONTH(A860)&gt;=8,YEAR(A860)&amp;"-"&amp;(YEAR(A860)+1),(YEAR(A860)-1)&amp;"-"&amp;YEAR(A860)))</f>
        <v/>
      </c>
      <c r="S860" s="20">
        <f>IF(OR(A860="",B860=""),0,IF(AND(R860=التقارير!$C$4,OR(التقارير!$C$5="سنوي",AND(التقارير!$C$5="شهري",P860=التقارير!$C$6),AND(التقارير!$C$5="فصلي",Q860=التقارير!$C$7))),1,0))</f>
        <v/>
      </c>
      <c r="T860" s="20">
        <f>IF(S860=1,COUNTIF($S$5:S860,1),"")</f>
        <v/>
      </c>
      <c r="U860">
        <f>IF(AND($A860&lt;&gt;"",$B860&lt;&gt;"",$R860='تقرير الفصل الأول'!$C$4,$Q860='تقرير الفصل الأول'!$C$7),COUNT(U$4:U859)+1,"")</f>
        <v/>
      </c>
      <c r="V860">
        <f>IF(AND($A860&lt;&gt;"",$B860&lt;&gt;"",$R860='تقرير الفصل الثاني'!$C$4,$Q860='تقرير الفصل الثاني'!$C$7),COUNT(V$4:V859)+1,"")</f>
        <v/>
      </c>
      <c r="W860">
        <f>IF(AND($A860&lt;&gt;"",$B860&lt;&gt;"",$R860='تقرير سبتمبر'!$C$4,$P860='تقرير سبتمبر'!$C$6),COUNT(W$4:W859)+1,"")</f>
        <v/>
      </c>
      <c r="X860">
        <f>IF(AND($A860&lt;&gt;"",$B860&lt;&gt;"",$R860='تقرير أكتوبر'!$C$4,$P860='تقرير أكتوبر'!$C$6),COUNT(X$4:X859)+1,"")</f>
        <v/>
      </c>
      <c r="Y860">
        <f>IF(AND($A860&lt;&gt;"",$B860&lt;&gt;"",$R860='تقرير نوفمبر'!$C$4,$P860='تقرير نوفمبر'!$C$6),COUNT(Y$4:Y859)+1,"")</f>
        <v/>
      </c>
      <c r="Z860">
        <f>IF(AND($A860&lt;&gt;"",$B860&lt;&gt;"",$R860='تقرير ديسمبر'!$C$4,$P860='تقرير ديسمبر'!$C$6),COUNT(Z$4:Z859)+1,"")</f>
        <v/>
      </c>
      <c r="AA860">
        <f>IF(AND($A860&lt;&gt;"",$B860&lt;&gt;"",$R860='تقرير يناير'!$C$4,$P860='تقرير يناير'!$C$6),COUNT(AA$4:AA859)+1,"")</f>
        <v/>
      </c>
      <c r="AB860">
        <f>IF(AND($A860&lt;&gt;"",$B860&lt;&gt;"",$R860='تقرير فبراير'!$C$4,$P860='تقرير فبراير'!$C$6),COUNT(AB$4:AB859)+1,"")</f>
        <v/>
      </c>
      <c r="AC860">
        <f>IF(AND($A860&lt;&gt;"",$B860&lt;&gt;"",$R860='تقرير مارس'!$C$4,$P860='تقرير مارس'!$C$6),COUNT(AC$4:AC859)+1,"")</f>
        <v/>
      </c>
      <c r="AD860">
        <f>IF(AND($A860&lt;&gt;"",$B860&lt;&gt;"",$R860='تقرير أبريل'!$C$4,$P860='تقرير أبريل'!$C$6),COUNT(AD$4:AD859)+1,"")</f>
        <v/>
      </c>
      <c r="AE860">
        <f>IF(AND($A860&lt;&gt;"",$B860&lt;&gt;"",$R860='تقرير مايو'!$C$4,$P860='تقرير مايو'!$C$6),COUNT(AE$4:AE859)+1,"")</f>
        <v/>
      </c>
    </row>
    <row r="861">
      <c r="A861" s="16" t="n"/>
      <c r="B861" s="17" t="n"/>
      <c r="C861" s="17" t="n"/>
      <c r="D861" s="18" t="n"/>
      <c r="E861" s="17" t="n"/>
      <c r="F861" s="17" t="n"/>
      <c r="G861" s="19" t="n"/>
      <c r="H861" s="17" t="n"/>
      <c r="I861" s="17" t="n"/>
      <c r="J861" s="17" t="n"/>
      <c r="K861" s="20">
        <f>IF($B861="","",IFERROR(INDEX(الموظفات!$A$5:$A$304,MATCH($B861,الموظفات!$B$5:$B$304,0))&amp;"",""))</f>
        <v/>
      </c>
      <c r="L861" s="21">
        <f>IF($B861="","",IFERROR(INDEX(الموظفات!$C$5:$C$304,MATCH($B861,الموظفات!$B$5:$B$304,0))&amp;"",""))</f>
        <v/>
      </c>
      <c r="M861" s="20">
        <f>IF($B861="","",IFERROR(INDEX(الموظفات!$D$5:$D$304,MATCH($B861,الموظفات!$B$5:$B$304,0))&amp;"",""))</f>
        <v/>
      </c>
      <c r="N861" s="20">
        <f>IF($B861="","",IFERROR(INDEX(الموظفات!$E$5:$E$304,MATCH($B861,الموظفات!$B$5:$B$304,0))&amp;"",""))</f>
        <v/>
      </c>
      <c r="O861" s="21">
        <f>IF(C861="","",IFERROR(INDEX(الإعدادات!$D$7:$D$35,MATCH(C861,الإعدادات!$A$7:$A$35,0))&amp;"",""))</f>
        <v/>
      </c>
      <c r="P861" s="20">
        <f>IF(A861="","",INDEX(الإعدادات!$H$7:$H$18,MONTH(A861)))</f>
        <v/>
      </c>
      <c r="Q861" s="20">
        <f>IF(A861="","",INDEX(الإعدادات!$I$7:$I$18,MONTH(A861)))</f>
        <v/>
      </c>
      <c r="R861" s="20">
        <f>IF(A861="","",IF(MONTH(A861)&gt;=8,YEAR(A861)&amp;"-"&amp;(YEAR(A861)+1),(YEAR(A861)-1)&amp;"-"&amp;YEAR(A861)))</f>
        <v/>
      </c>
      <c r="S861" s="20">
        <f>IF(OR(A861="",B861=""),0,IF(AND(R861=التقارير!$C$4,OR(التقارير!$C$5="سنوي",AND(التقارير!$C$5="شهري",P861=التقارير!$C$6),AND(التقارير!$C$5="فصلي",Q861=التقارير!$C$7))),1,0))</f>
        <v/>
      </c>
      <c r="T861" s="20">
        <f>IF(S861=1,COUNTIF($S$5:S861,1),"")</f>
        <v/>
      </c>
      <c r="U861">
        <f>IF(AND($A861&lt;&gt;"",$B861&lt;&gt;"",$R861='تقرير الفصل الأول'!$C$4,$Q861='تقرير الفصل الأول'!$C$7),COUNT(U$4:U860)+1,"")</f>
        <v/>
      </c>
      <c r="V861">
        <f>IF(AND($A861&lt;&gt;"",$B861&lt;&gt;"",$R861='تقرير الفصل الثاني'!$C$4,$Q861='تقرير الفصل الثاني'!$C$7),COUNT(V$4:V860)+1,"")</f>
        <v/>
      </c>
      <c r="W861">
        <f>IF(AND($A861&lt;&gt;"",$B861&lt;&gt;"",$R861='تقرير سبتمبر'!$C$4,$P861='تقرير سبتمبر'!$C$6),COUNT(W$4:W860)+1,"")</f>
        <v/>
      </c>
      <c r="X861">
        <f>IF(AND($A861&lt;&gt;"",$B861&lt;&gt;"",$R861='تقرير أكتوبر'!$C$4,$P861='تقرير أكتوبر'!$C$6),COUNT(X$4:X860)+1,"")</f>
        <v/>
      </c>
      <c r="Y861">
        <f>IF(AND($A861&lt;&gt;"",$B861&lt;&gt;"",$R861='تقرير نوفمبر'!$C$4,$P861='تقرير نوفمبر'!$C$6),COUNT(Y$4:Y860)+1,"")</f>
        <v/>
      </c>
      <c r="Z861">
        <f>IF(AND($A861&lt;&gt;"",$B861&lt;&gt;"",$R861='تقرير ديسمبر'!$C$4,$P861='تقرير ديسمبر'!$C$6),COUNT(Z$4:Z860)+1,"")</f>
        <v/>
      </c>
      <c r="AA861">
        <f>IF(AND($A861&lt;&gt;"",$B861&lt;&gt;"",$R861='تقرير يناير'!$C$4,$P861='تقرير يناير'!$C$6),COUNT(AA$4:AA860)+1,"")</f>
        <v/>
      </c>
      <c r="AB861">
        <f>IF(AND($A861&lt;&gt;"",$B861&lt;&gt;"",$R861='تقرير فبراير'!$C$4,$P861='تقرير فبراير'!$C$6),COUNT(AB$4:AB860)+1,"")</f>
        <v/>
      </c>
      <c r="AC861">
        <f>IF(AND($A861&lt;&gt;"",$B861&lt;&gt;"",$R861='تقرير مارس'!$C$4,$P861='تقرير مارس'!$C$6),COUNT(AC$4:AC860)+1,"")</f>
        <v/>
      </c>
      <c r="AD861">
        <f>IF(AND($A861&lt;&gt;"",$B861&lt;&gt;"",$R861='تقرير أبريل'!$C$4,$P861='تقرير أبريل'!$C$6),COUNT(AD$4:AD860)+1,"")</f>
        <v/>
      </c>
      <c r="AE861">
        <f>IF(AND($A861&lt;&gt;"",$B861&lt;&gt;"",$R861='تقرير مايو'!$C$4,$P861='تقرير مايو'!$C$6),COUNT(AE$4:AE860)+1,"")</f>
        <v/>
      </c>
    </row>
    <row r="862">
      <c r="A862" s="16" t="n"/>
      <c r="B862" s="17" t="n"/>
      <c r="C862" s="17" t="n"/>
      <c r="D862" s="18" t="n"/>
      <c r="E862" s="17" t="n"/>
      <c r="F862" s="17" t="n"/>
      <c r="G862" s="19" t="n"/>
      <c r="H862" s="17" t="n"/>
      <c r="I862" s="17" t="n"/>
      <c r="J862" s="17" t="n"/>
      <c r="K862" s="20">
        <f>IF($B862="","",IFERROR(INDEX(الموظفات!$A$5:$A$304,MATCH($B862,الموظفات!$B$5:$B$304,0))&amp;"",""))</f>
        <v/>
      </c>
      <c r="L862" s="21">
        <f>IF($B862="","",IFERROR(INDEX(الموظفات!$C$5:$C$304,MATCH($B862,الموظفات!$B$5:$B$304,0))&amp;"",""))</f>
        <v/>
      </c>
      <c r="M862" s="20">
        <f>IF($B862="","",IFERROR(INDEX(الموظفات!$D$5:$D$304,MATCH($B862,الموظفات!$B$5:$B$304,0))&amp;"",""))</f>
        <v/>
      </c>
      <c r="N862" s="20">
        <f>IF($B862="","",IFERROR(INDEX(الموظفات!$E$5:$E$304,MATCH($B862,الموظفات!$B$5:$B$304,0))&amp;"",""))</f>
        <v/>
      </c>
      <c r="O862" s="21">
        <f>IF(C862="","",IFERROR(INDEX(الإعدادات!$D$7:$D$35,MATCH(C862,الإعدادات!$A$7:$A$35,0))&amp;"",""))</f>
        <v/>
      </c>
      <c r="P862" s="20">
        <f>IF(A862="","",INDEX(الإعدادات!$H$7:$H$18,MONTH(A862)))</f>
        <v/>
      </c>
      <c r="Q862" s="20">
        <f>IF(A862="","",INDEX(الإعدادات!$I$7:$I$18,MONTH(A862)))</f>
        <v/>
      </c>
      <c r="R862" s="20">
        <f>IF(A862="","",IF(MONTH(A862)&gt;=8,YEAR(A862)&amp;"-"&amp;(YEAR(A862)+1),(YEAR(A862)-1)&amp;"-"&amp;YEAR(A862)))</f>
        <v/>
      </c>
      <c r="S862" s="20">
        <f>IF(OR(A862="",B862=""),0,IF(AND(R862=التقارير!$C$4,OR(التقارير!$C$5="سنوي",AND(التقارير!$C$5="شهري",P862=التقارير!$C$6),AND(التقارير!$C$5="فصلي",Q862=التقارير!$C$7))),1,0))</f>
        <v/>
      </c>
      <c r="T862" s="20">
        <f>IF(S862=1,COUNTIF($S$5:S862,1),"")</f>
        <v/>
      </c>
      <c r="U862">
        <f>IF(AND($A862&lt;&gt;"",$B862&lt;&gt;"",$R862='تقرير الفصل الأول'!$C$4,$Q862='تقرير الفصل الأول'!$C$7),COUNT(U$4:U861)+1,"")</f>
        <v/>
      </c>
      <c r="V862">
        <f>IF(AND($A862&lt;&gt;"",$B862&lt;&gt;"",$R862='تقرير الفصل الثاني'!$C$4,$Q862='تقرير الفصل الثاني'!$C$7),COUNT(V$4:V861)+1,"")</f>
        <v/>
      </c>
      <c r="W862">
        <f>IF(AND($A862&lt;&gt;"",$B862&lt;&gt;"",$R862='تقرير سبتمبر'!$C$4,$P862='تقرير سبتمبر'!$C$6),COUNT(W$4:W861)+1,"")</f>
        <v/>
      </c>
      <c r="X862">
        <f>IF(AND($A862&lt;&gt;"",$B862&lt;&gt;"",$R862='تقرير أكتوبر'!$C$4,$P862='تقرير أكتوبر'!$C$6),COUNT(X$4:X861)+1,"")</f>
        <v/>
      </c>
      <c r="Y862">
        <f>IF(AND($A862&lt;&gt;"",$B862&lt;&gt;"",$R862='تقرير نوفمبر'!$C$4,$P862='تقرير نوفمبر'!$C$6),COUNT(Y$4:Y861)+1,"")</f>
        <v/>
      </c>
      <c r="Z862">
        <f>IF(AND($A862&lt;&gt;"",$B862&lt;&gt;"",$R862='تقرير ديسمبر'!$C$4,$P862='تقرير ديسمبر'!$C$6),COUNT(Z$4:Z861)+1,"")</f>
        <v/>
      </c>
      <c r="AA862">
        <f>IF(AND($A862&lt;&gt;"",$B862&lt;&gt;"",$R862='تقرير يناير'!$C$4,$P862='تقرير يناير'!$C$6),COUNT(AA$4:AA861)+1,"")</f>
        <v/>
      </c>
      <c r="AB862">
        <f>IF(AND($A862&lt;&gt;"",$B862&lt;&gt;"",$R862='تقرير فبراير'!$C$4,$P862='تقرير فبراير'!$C$6),COUNT(AB$4:AB861)+1,"")</f>
        <v/>
      </c>
      <c r="AC862">
        <f>IF(AND($A862&lt;&gt;"",$B862&lt;&gt;"",$R862='تقرير مارس'!$C$4,$P862='تقرير مارس'!$C$6),COUNT(AC$4:AC861)+1,"")</f>
        <v/>
      </c>
      <c r="AD862">
        <f>IF(AND($A862&lt;&gt;"",$B862&lt;&gt;"",$R862='تقرير أبريل'!$C$4,$P862='تقرير أبريل'!$C$6),COUNT(AD$4:AD861)+1,"")</f>
        <v/>
      </c>
      <c r="AE862">
        <f>IF(AND($A862&lt;&gt;"",$B862&lt;&gt;"",$R862='تقرير مايو'!$C$4,$P862='تقرير مايو'!$C$6),COUNT(AE$4:AE861)+1,"")</f>
        <v/>
      </c>
    </row>
    <row r="863">
      <c r="A863" s="16" t="n"/>
      <c r="B863" s="17" t="n"/>
      <c r="C863" s="17" t="n"/>
      <c r="D863" s="18" t="n"/>
      <c r="E863" s="17" t="n"/>
      <c r="F863" s="17" t="n"/>
      <c r="G863" s="19" t="n"/>
      <c r="H863" s="17" t="n"/>
      <c r="I863" s="17" t="n"/>
      <c r="J863" s="17" t="n"/>
      <c r="K863" s="20">
        <f>IF($B863="","",IFERROR(INDEX(الموظفات!$A$5:$A$304,MATCH($B863,الموظفات!$B$5:$B$304,0))&amp;"",""))</f>
        <v/>
      </c>
      <c r="L863" s="21">
        <f>IF($B863="","",IFERROR(INDEX(الموظفات!$C$5:$C$304,MATCH($B863,الموظفات!$B$5:$B$304,0))&amp;"",""))</f>
        <v/>
      </c>
      <c r="M863" s="20">
        <f>IF($B863="","",IFERROR(INDEX(الموظفات!$D$5:$D$304,MATCH($B863,الموظفات!$B$5:$B$304,0))&amp;"",""))</f>
        <v/>
      </c>
      <c r="N863" s="20">
        <f>IF($B863="","",IFERROR(INDEX(الموظفات!$E$5:$E$304,MATCH($B863,الموظفات!$B$5:$B$304,0))&amp;"",""))</f>
        <v/>
      </c>
      <c r="O863" s="21">
        <f>IF(C863="","",IFERROR(INDEX(الإعدادات!$D$7:$D$35,MATCH(C863,الإعدادات!$A$7:$A$35,0))&amp;"",""))</f>
        <v/>
      </c>
      <c r="P863" s="20">
        <f>IF(A863="","",INDEX(الإعدادات!$H$7:$H$18,MONTH(A863)))</f>
        <v/>
      </c>
      <c r="Q863" s="20">
        <f>IF(A863="","",INDEX(الإعدادات!$I$7:$I$18,MONTH(A863)))</f>
        <v/>
      </c>
      <c r="R863" s="20">
        <f>IF(A863="","",IF(MONTH(A863)&gt;=8,YEAR(A863)&amp;"-"&amp;(YEAR(A863)+1),(YEAR(A863)-1)&amp;"-"&amp;YEAR(A863)))</f>
        <v/>
      </c>
      <c r="S863" s="20">
        <f>IF(OR(A863="",B863=""),0,IF(AND(R863=التقارير!$C$4,OR(التقارير!$C$5="سنوي",AND(التقارير!$C$5="شهري",P863=التقارير!$C$6),AND(التقارير!$C$5="فصلي",Q863=التقارير!$C$7))),1,0))</f>
        <v/>
      </c>
      <c r="T863" s="20">
        <f>IF(S863=1,COUNTIF($S$5:S863,1),"")</f>
        <v/>
      </c>
      <c r="U863">
        <f>IF(AND($A863&lt;&gt;"",$B863&lt;&gt;"",$R863='تقرير الفصل الأول'!$C$4,$Q863='تقرير الفصل الأول'!$C$7),COUNT(U$4:U862)+1,"")</f>
        <v/>
      </c>
      <c r="V863">
        <f>IF(AND($A863&lt;&gt;"",$B863&lt;&gt;"",$R863='تقرير الفصل الثاني'!$C$4,$Q863='تقرير الفصل الثاني'!$C$7),COUNT(V$4:V862)+1,"")</f>
        <v/>
      </c>
      <c r="W863">
        <f>IF(AND($A863&lt;&gt;"",$B863&lt;&gt;"",$R863='تقرير سبتمبر'!$C$4,$P863='تقرير سبتمبر'!$C$6),COUNT(W$4:W862)+1,"")</f>
        <v/>
      </c>
      <c r="X863">
        <f>IF(AND($A863&lt;&gt;"",$B863&lt;&gt;"",$R863='تقرير أكتوبر'!$C$4,$P863='تقرير أكتوبر'!$C$6),COUNT(X$4:X862)+1,"")</f>
        <v/>
      </c>
      <c r="Y863">
        <f>IF(AND($A863&lt;&gt;"",$B863&lt;&gt;"",$R863='تقرير نوفمبر'!$C$4,$P863='تقرير نوفمبر'!$C$6),COUNT(Y$4:Y862)+1,"")</f>
        <v/>
      </c>
      <c r="Z863">
        <f>IF(AND($A863&lt;&gt;"",$B863&lt;&gt;"",$R863='تقرير ديسمبر'!$C$4,$P863='تقرير ديسمبر'!$C$6),COUNT(Z$4:Z862)+1,"")</f>
        <v/>
      </c>
      <c r="AA863">
        <f>IF(AND($A863&lt;&gt;"",$B863&lt;&gt;"",$R863='تقرير يناير'!$C$4,$P863='تقرير يناير'!$C$6),COUNT(AA$4:AA862)+1,"")</f>
        <v/>
      </c>
      <c r="AB863">
        <f>IF(AND($A863&lt;&gt;"",$B863&lt;&gt;"",$R863='تقرير فبراير'!$C$4,$P863='تقرير فبراير'!$C$6),COUNT(AB$4:AB862)+1,"")</f>
        <v/>
      </c>
      <c r="AC863">
        <f>IF(AND($A863&lt;&gt;"",$B863&lt;&gt;"",$R863='تقرير مارس'!$C$4,$P863='تقرير مارس'!$C$6),COUNT(AC$4:AC862)+1,"")</f>
        <v/>
      </c>
      <c r="AD863">
        <f>IF(AND($A863&lt;&gt;"",$B863&lt;&gt;"",$R863='تقرير أبريل'!$C$4,$P863='تقرير أبريل'!$C$6),COUNT(AD$4:AD862)+1,"")</f>
        <v/>
      </c>
      <c r="AE863">
        <f>IF(AND($A863&lt;&gt;"",$B863&lt;&gt;"",$R863='تقرير مايو'!$C$4,$P863='تقرير مايو'!$C$6),COUNT(AE$4:AE862)+1,"")</f>
        <v/>
      </c>
    </row>
    <row r="864">
      <c r="A864" s="16" t="n"/>
      <c r="B864" s="17" t="n"/>
      <c r="C864" s="17" t="n"/>
      <c r="D864" s="18" t="n"/>
      <c r="E864" s="17" t="n"/>
      <c r="F864" s="17" t="n"/>
      <c r="G864" s="19" t="n"/>
      <c r="H864" s="17" t="n"/>
      <c r="I864" s="17" t="n"/>
      <c r="J864" s="17" t="n"/>
      <c r="K864" s="20">
        <f>IF($B864="","",IFERROR(INDEX(الموظفات!$A$5:$A$304,MATCH($B864,الموظفات!$B$5:$B$304,0))&amp;"",""))</f>
        <v/>
      </c>
      <c r="L864" s="21">
        <f>IF($B864="","",IFERROR(INDEX(الموظفات!$C$5:$C$304,MATCH($B864,الموظفات!$B$5:$B$304,0))&amp;"",""))</f>
        <v/>
      </c>
      <c r="M864" s="20">
        <f>IF($B864="","",IFERROR(INDEX(الموظفات!$D$5:$D$304,MATCH($B864,الموظفات!$B$5:$B$304,0))&amp;"",""))</f>
        <v/>
      </c>
      <c r="N864" s="20">
        <f>IF($B864="","",IFERROR(INDEX(الموظفات!$E$5:$E$304,MATCH($B864,الموظفات!$B$5:$B$304,0))&amp;"",""))</f>
        <v/>
      </c>
      <c r="O864" s="21">
        <f>IF(C864="","",IFERROR(INDEX(الإعدادات!$D$7:$D$35,MATCH(C864,الإعدادات!$A$7:$A$35,0))&amp;"",""))</f>
        <v/>
      </c>
      <c r="P864" s="20">
        <f>IF(A864="","",INDEX(الإعدادات!$H$7:$H$18,MONTH(A864)))</f>
        <v/>
      </c>
      <c r="Q864" s="20">
        <f>IF(A864="","",INDEX(الإعدادات!$I$7:$I$18,MONTH(A864)))</f>
        <v/>
      </c>
      <c r="R864" s="20">
        <f>IF(A864="","",IF(MONTH(A864)&gt;=8,YEAR(A864)&amp;"-"&amp;(YEAR(A864)+1),(YEAR(A864)-1)&amp;"-"&amp;YEAR(A864)))</f>
        <v/>
      </c>
      <c r="S864" s="20">
        <f>IF(OR(A864="",B864=""),0,IF(AND(R864=التقارير!$C$4,OR(التقارير!$C$5="سنوي",AND(التقارير!$C$5="شهري",P864=التقارير!$C$6),AND(التقارير!$C$5="فصلي",Q864=التقارير!$C$7))),1,0))</f>
        <v/>
      </c>
      <c r="T864" s="20">
        <f>IF(S864=1,COUNTIF($S$5:S864,1),"")</f>
        <v/>
      </c>
      <c r="U864">
        <f>IF(AND($A864&lt;&gt;"",$B864&lt;&gt;"",$R864='تقرير الفصل الأول'!$C$4,$Q864='تقرير الفصل الأول'!$C$7),COUNT(U$4:U863)+1,"")</f>
        <v/>
      </c>
      <c r="V864">
        <f>IF(AND($A864&lt;&gt;"",$B864&lt;&gt;"",$R864='تقرير الفصل الثاني'!$C$4,$Q864='تقرير الفصل الثاني'!$C$7),COUNT(V$4:V863)+1,"")</f>
        <v/>
      </c>
      <c r="W864">
        <f>IF(AND($A864&lt;&gt;"",$B864&lt;&gt;"",$R864='تقرير سبتمبر'!$C$4,$P864='تقرير سبتمبر'!$C$6),COUNT(W$4:W863)+1,"")</f>
        <v/>
      </c>
      <c r="X864">
        <f>IF(AND($A864&lt;&gt;"",$B864&lt;&gt;"",$R864='تقرير أكتوبر'!$C$4,$P864='تقرير أكتوبر'!$C$6),COUNT(X$4:X863)+1,"")</f>
        <v/>
      </c>
      <c r="Y864">
        <f>IF(AND($A864&lt;&gt;"",$B864&lt;&gt;"",$R864='تقرير نوفمبر'!$C$4,$P864='تقرير نوفمبر'!$C$6),COUNT(Y$4:Y863)+1,"")</f>
        <v/>
      </c>
      <c r="Z864">
        <f>IF(AND($A864&lt;&gt;"",$B864&lt;&gt;"",$R864='تقرير ديسمبر'!$C$4,$P864='تقرير ديسمبر'!$C$6),COUNT(Z$4:Z863)+1,"")</f>
        <v/>
      </c>
      <c r="AA864">
        <f>IF(AND($A864&lt;&gt;"",$B864&lt;&gt;"",$R864='تقرير يناير'!$C$4,$P864='تقرير يناير'!$C$6),COUNT(AA$4:AA863)+1,"")</f>
        <v/>
      </c>
      <c r="AB864">
        <f>IF(AND($A864&lt;&gt;"",$B864&lt;&gt;"",$R864='تقرير فبراير'!$C$4,$P864='تقرير فبراير'!$C$6),COUNT(AB$4:AB863)+1,"")</f>
        <v/>
      </c>
      <c r="AC864">
        <f>IF(AND($A864&lt;&gt;"",$B864&lt;&gt;"",$R864='تقرير مارس'!$C$4,$P864='تقرير مارس'!$C$6),COUNT(AC$4:AC863)+1,"")</f>
        <v/>
      </c>
      <c r="AD864">
        <f>IF(AND($A864&lt;&gt;"",$B864&lt;&gt;"",$R864='تقرير أبريل'!$C$4,$P864='تقرير أبريل'!$C$6),COUNT(AD$4:AD863)+1,"")</f>
        <v/>
      </c>
      <c r="AE864">
        <f>IF(AND($A864&lt;&gt;"",$B864&lt;&gt;"",$R864='تقرير مايو'!$C$4,$P864='تقرير مايو'!$C$6),COUNT(AE$4:AE863)+1,"")</f>
        <v/>
      </c>
    </row>
    <row r="865">
      <c r="A865" s="16" t="n"/>
      <c r="B865" s="17" t="n"/>
      <c r="C865" s="17" t="n"/>
      <c r="D865" s="18" t="n"/>
      <c r="E865" s="17" t="n"/>
      <c r="F865" s="17" t="n"/>
      <c r="G865" s="19" t="n"/>
      <c r="H865" s="17" t="n"/>
      <c r="I865" s="17" t="n"/>
      <c r="J865" s="17" t="n"/>
      <c r="K865" s="20">
        <f>IF($B865="","",IFERROR(INDEX(الموظفات!$A$5:$A$304,MATCH($B865,الموظفات!$B$5:$B$304,0))&amp;"",""))</f>
        <v/>
      </c>
      <c r="L865" s="21">
        <f>IF($B865="","",IFERROR(INDEX(الموظفات!$C$5:$C$304,MATCH($B865,الموظفات!$B$5:$B$304,0))&amp;"",""))</f>
        <v/>
      </c>
      <c r="M865" s="20">
        <f>IF($B865="","",IFERROR(INDEX(الموظفات!$D$5:$D$304,MATCH($B865,الموظفات!$B$5:$B$304,0))&amp;"",""))</f>
        <v/>
      </c>
      <c r="N865" s="20">
        <f>IF($B865="","",IFERROR(INDEX(الموظفات!$E$5:$E$304,MATCH($B865,الموظفات!$B$5:$B$304,0))&amp;"",""))</f>
        <v/>
      </c>
      <c r="O865" s="21">
        <f>IF(C865="","",IFERROR(INDEX(الإعدادات!$D$7:$D$35,MATCH(C865,الإعدادات!$A$7:$A$35,0))&amp;"",""))</f>
        <v/>
      </c>
      <c r="P865" s="20">
        <f>IF(A865="","",INDEX(الإعدادات!$H$7:$H$18,MONTH(A865)))</f>
        <v/>
      </c>
      <c r="Q865" s="20">
        <f>IF(A865="","",INDEX(الإعدادات!$I$7:$I$18,MONTH(A865)))</f>
        <v/>
      </c>
      <c r="R865" s="20">
        <f>IF(A865="","",IF(MONTH(A865)&gt;=8,YEAR(A865)&amp;"-"&amp;(YEAR(A865)+1),(YEAR(A865)-1)&amp;"-"&amp;YEAR(A865)))</f>
        <v/>
      </c>
      <c r="S865" s="20">
        <f>IF(OR(A865="",B865=""),0,IF(AND(R865=التقارير!$C$4,OR(التقارير!$C$5="سنوي",AND(التقارير!$C$5="شهري",P865=التقارير!$C$6),AND(التقارير!$C$5="فصلي",Q865=التقارير!$C$7))),1,0))</f>
        <v/>
      </c>
      <c r="T865" s="20">
        <f>IF(S865=1,COUNTIF($S$5:S865,1),"")</f>
        <v/>
      </c>
      <c r="U865">
        <f>IF(AND($A865&lt;&gt;"",$B865&lt;&gt;"",$R865='تقرير الفصل الأول'!$C$4,$Q865='تقرير الفصل الأول'!$C$7),COUNT(U$4:U864)+1,"")</f>
        <v/>
      </c>
      <c r="V865">
        <f>IF(AND($A865&lt;&gt;"",$B865&lt;&gt;"",$R865='تقرير الفصل الثاني'!$C$4,$Q865='تقرير الفصل الثاني'!$C$7),COUNT(V$4:V864)+1,"")</f>
        <v/>
      </c>
      <c r="W865">
        <f>IF(AND($A865&lt;&gt;"",$B865&lt;&gt;"",$R865='تقرير سبتمبر'!$C$4,$P865='تقرير سبتمبر'!$C$6),COUNT(W$4:W864)+1,"")</f>
        <v/>
      </c>
      <c r="X865">
        <f>IF(AND($A865&lt;&gt;"",$B865&lt;&gt;"",$R865='تقرير أكتوبر'!$C$4,$P865='تقرير أكتوبر'!$C$6),COUNT(X$4:X864)+1,"")</f>
        <v/>
      </c>
      <c r="Y865">
        <f>IF(AND($A865&lt;&gt;"",$B865&lt;&gt;"",$R865='تقرير نوفمبر'!$C$4,$P865='تقرير نوفمبر'!$C$6),COUNT(Y$4:Y864)+1,"")</f>
        <v/>
      </c>
      <c r="Z865">
        <f>IF(AND($A865&lt;&gt;"",$B865&lt;&gt;"",$R865='تقرير ديسمبر'!$C$4,$P865='تقرير ديسمبر'!$C$6),COUNT(Z$4:Z864)+1,"")</f>
        <v/>
      </c>
      <c r="AA865">
        <f>IF(AND($A865&lt;&gt;"",$B865&lt;&gt;"",$R865='تقرير يناير'!$C$4,$P865='تقرير يناير'!$C$6),COUNT(AA$4:AA864)+1,"")</f>
        <v/>
      </c>
      <c r="AB865">
        <f>IF(AND($A865&lt;&gt;"",$B865&lt;&gt;"",$R865='تقرير فبراير'!$C$4,$P865='تقرير فبراير'!$C$6),COUNT(AB$4:AB864)+1,"")</f>
        <v/>
      </c>
      <c r="AC865">
        <f>IF(AND($A865&lt;&gt;"",$B865&lt;&gt;"",$R865='تقرير مارس'!$C$4,$P865='تقرير مارس'!$C$6),COUNT(AC$4:AC864)+1,"")</f>
        <v/>
      </c>
      <c r="AD865">
        <f>IF(AND($A865&lt;&gt;"",$B865&lt;&gt;"",$R865='تقرير أبريل'!$C$4,$P865='تقرير أبريل'!$C$6),COUNT(AD$4:AD864)+1,"")</f>
        <v/>
      </c>
      <c r="AE865">
        <f>IF(AND($A865&lt;&gt;"",$B865&lt;&gt;"",$R865='تقرير مايو'!$C$4,$P865='تقرير مايو'!$C$6),COUNT(AE$4:AE864)+1,"")</f>
        <v/>
      </c>
    </row>
    <row r="866">
      <c r="A866" s="16" t="n"/>
      <c r="B866" s="17" t="n"/>
      <c r="C866" s="17" t="n"/>
      <c r="D866" s="18" t="n"/>
      <c r="E866" s="17" t="n"/>
      <c r="F866" s="17" t="n"/>
      <c r="G866" s="19" t="n"/>
      <c r="H866" s="17" t="n"/>
      <c r="I866" s="17" t="n"/>
      <c r="J866" s="17" t="n"/>
      <c r="K866" s="20">
        <f>IF($B866="","",IFERROR(INDEX(الموظفات!$A$5:$A$304,MATCH($B866,الموظفات!$B$5:$B$304,0))&amp;"",""))</f>
        <v/>
      </c>
      <c r="L866" s="21">
        <f>IF($B866="","",IFERROR(INDEX(الموظفات!$C$5:$C$304,MATCH($B866,الموظفات!$B$5:$B$304,0))&amp;"",""))</f>
        <v/>
      </c>
      <c r="M866" s="20">
        <f>IF($B866="","",IFERROR(INDEX(الموظفات!$D$5:$D$304,MATCH($B866,الموظفات!$B$5:$B$304,0))&amp;"",""))</f>
        <v/>
      </c>
      <c r="N866" s="20">
        <f>IF($B866="","",IFERROR(INDEX(الموظفات!$E$5:$E$304,MATCH($B866,الموظفات!$B$5:$B$304,0))&amp;"",""))</f>
        <v/>
      </c>
      <c r="O866" s="21">
        <f>IF(C866="","",IFERROR(INDEX(الإعدادات!$D$7:$D$35,MATCH(C866,الإعدادات!$A$7:$A$35,0))&amp;"",""))</f>
        <v/>
      </c>
      <c r="P866" s="20">
        <f>IF(A866="","",INDEX(الإعدادات!$H$7:$H$18,MONTH(A866)))</f>
        <v/>
      </c>
      <c r="Q866" s="20">
        <f>IF(A866="","",INDEX(الإعدادات!$I$7:$I$18,MONTH(A866)))</f>
        <v/>
      </c>
      <c r="R866" s="20">
        <f>IF(A866="","",IF(MONTH(A866)&gt;=8,YEAR(A866)&amp;"-"&amp;(YEAR(A866)+1),(YEAR(A866)-1)&amp;"-"&amp;YEAR(A866)))</f>
        <v/>
      </c>
      <c r="S866" s="20">
        <f>IF(OR(A866="",B866=""),0,IF(AND(R866=التقارير!$C$4,OR(التقارير!$C$5="سنوي",AND(التقارير!$C$5="شهري",P866=التقارير!$C$6),AND(التقارير!$C$5="فصلي",Q866=التقارير!$C$7))),1,0))</f>
        <v/>
      </c>
      <c r="T866" s="20">
        <f>IF(S866=1,COUNTIF($S$5:S866,1),"")</f>
        <v/>
      </c>
      <c r="U866">
        <f>IF(AND($A866&lt;&gt;"",$B866&lt;&gt;"",$R866='تقرير الفصل الأول'!$C$4,$Q866='تقرير الفصل الأول'!$C$7),COUNT(U$4:U865)+1,"")</f>
        <v/>
      </c>
      <c r="V866">
        <f>IF(AND($A866&lt;&gt;"",$B866&lt;&gt;"",$R866='تقرير الفصل الثاني'!$C$4,$Q866='تقرير الفصل الثاني'!$C$7),COUNT(V$4:V865)+1,"")</f>
        <v/>
      </c>
      <c r="W866">
        <f>IF(AND($A866&lt;&gt;"",$B866&lt;&gt;"",$R866='تقرير سبتمبر'!$C$4,$P866='تقرير سبتمبر'!$C$6),COUNT(W$4:W865)+1,"")</f>
        <v/>
      </c>
      <c r="X866">
        <f>IF(AND($A866&lt;&gt;"",$B866&lt;&gt;"",$R866='تقرير أكتوبر'!$C$4,$P866='تقرير أكتوبر'!$C$6),COUNT(X$4:X865)+1,"")</f>
        <v/>
      </c>
      <c r="Y866">
        <f>IF(AND($A866&lt;&gt;"",$B866&lt;&gt;"",$R866='تقرير نوفمبر'!$C$4,$P866='تقرير نوفمبر'!$C$6),COUNT(Y$4:Y865)+1,"")</f>
        <v/>
      </c>
      <c r="Z866">
        <f>IF(AND($A866&lt;&gt;"",$B866&lt;&gt;"",$R866='تقرير ديسمبر'!$C$4,$P866='تقرير ديسمبر'!$C$6),COUNT(Z$4:Z865)+1,"")</f>
        <v/>
      </c>
      <c r="AA866">
        <f>IF(AND($A866&lt;&gt;"",$B866&lt;&gt;"",$R866='تقرير يناير'!$C$4,$P866='تقرير يناير'!$C$6),COUNT(AA$4:AA865)+1,"")</f>
        <v/>
      </c>
      <c r="AB866">
        <f>IF(AND($A866&lt;&gt;"",$B866&lt;&gt;"",$R866='تقرير فبراير'!$C$4,$P866='تقرير فبراير'!$C$6),COUNT(AB$4:AB865)+1,"")</f>
        <v/>
      </c>
      <c r="AC866">
        <f>IF(AND($A866&lt;&gt;"",$B866&lt;&gt;"",$R866='تقرير مارس'!$C$4,$P866='تقرير مارس'!$C$6),COUNT(AC$4:AC865)+1,"")</f>
        <v/>
      </c>
      <c r="AD866">
        <f>IF(AND($A866&lt;&gt;"",$B866&lt;&gt;"",$R866='تقرير أبريل'!$C$4,$P866='تقرير أبريل'!$C$6),COUNT(AD$4:AD865)+1,"")</f>
        <v/>
      </c>
      <c r="AE866">
        <f>IF(AND($A866&lt;&gt;"",$B866&lt;&gt;"",$R866='تقرير مايو'!$C$4,$P866='تقرير مايو'!$C$6),COUNT(AE$4:AE865)+1,"")</f>
        <v/>
      </c>
    </row>
    <row r="867">
      <c r="A867" s="16" t="n"/>
      <c r="B867" s="17" t="n"/>
      <c r="C867" s="17" t="n"/>
      <c r="D867" s="18" t="n"/>
      <c r="E867" s="17" t="n"/>
      <c r="F867" s="17" t="n"/>
      <c r="G867" s="19" t="n"/>
      <c r="H867" s="17" t="n"/>
      <c r="I867" s="17" t="n"/>
      <c r="J867" s="17" t="n"/>
      <c r="K867" s="20">
        <f>IF($B867="","",IFERROR(INDEX(الموظفات!$A$5:$A$304,MATCH($B867,الموظفات!$B$5:$B$304,0))&amp;"",""))</f>
        <v/>
      </c>
      <c r="L867" s="21">
        <f>IF($B867="","",IFERROR(INDEX(الموظفات!$C$5:$C$304,MATCH($B867,الموظفات!$B$5:$B$304,0))&amp;"",""))</f>
        <v/>
      </c>
      <c r="M867" s="20">
        <f>IF($B867="","",IFERROR(INDEX(الموظفات!$D$5:$D$304,MATCH($B867,الموظفات!$B$5:$B$304,0))&amp;"",""))</f>
        <v/>
      </c>
      <c r="N867" s="20">
        <f>IF($B867="","",IFERROR(INDEX(الموظفات!$E$5:$E$304,MATCH($B867,الموظفات!$B$5:$B$304,0))&amp;"",""))</f>
        <v/>
      </c>
      <c r="O867" s="21">
        <f>IF(C867="","",IFERROR(INDEX(الإعدادات!$D$7:$D$35,MATCH(C867,الإعدادات!$A$7:$A$35,0))&amp;"",""))</f>
        <v/>
      </c>
      <c r="P867" s="20">
        <f>IF(A867="","",INDEX(الإعدادات!$H$7:$H$18,MONTH(A867)))</f>
        <v/>
      </c>
      <c r="Q867" s="20">
        <f>IF(A867="","",INDEX(الإعدادات!$I$7:$I$18,MONTH(A867)))</f>
        <v/>
      </c>
      <c r="R867" s="20">
        <f>IF(A867="","",IF(MONTH(A867)&gt;=8,YEAR(A867)&amp;"-"&amp;(YEAR(A867)+1),(YEAR(A867)-1)&amp;"-"&amp;YEAR(A867)))</f>
        <v/>
      </c>
      <c r="S867" s="20">
        <f>IF(OR(A867="",B867=""),0,IF(AND(R867=التقارير!$C$4,OR(التقارير!$C$5="سنوي",AND(التقارير!$C$5="شهري",P867=التقارير!$C$6),AND(التقارير!$C$5="فصلي",Q867=التقارير!$C$7))),1,0))</f>
        <v/>
      </c>
      <c r="T867" s="20">
        <f>IF(S867=1,COUNTIF($S$5:S867,1),"")</f>
        <v/>
      </c>
      <c r="U867">
        <f>IF(AND($A867&lt;&gt;"",$B867&lt;&gt;"",$R867='تقرير الفصل الأول'!$C$4,$Q867='تقرير الفصل الأول'!$C$7),COUNT(U$4:U866)+1,"")</f>
        <v/>
      </c>
      <c r="V867">
        <f>IF(AND($A867&lt;&gt;"",$B867&lt;&gt;"",$R867='تقرير الفصل الثاني'!$C$4,$Q867='تقرير الفصل الثاني'!$C$7),COUNT(V$4:V866)+1,"")</f>
        <v/>
      </c>
      <c r="W867">
        <f>IF(AND($A867&lt;&gt;"",$B867&lt;&gt;"",$R867='تقرير سبتمبر'!$C$4,$P867='تقرير سبتمبر'!$C$6),COUNT(W$4:W866)+1,"")</f>
        <v/>
      </c>
      <c r="X867">
        <f>IF(AND($A867&lt;&gt;"",$B867&lt;&gt;"",$R867='تقرير أكتوبر'!$C$4,$P867='تقرير أكتوبر'!$C$6),COUNT(X$4:X866)+1,"")</f>
        <v/>
      </c>
      <c r="Y867">
        <f>IF(AND($A867&lt;&gt;"",$B867&lt;&gt;"",$R867='تقرير نوفمبر'!$C$4,$P867='تقرير نوفمبر'!$C$6),COUNT(Y$4:Y866)+1,"")</f>
        <v/>
      </c>
      <c r="Z867">
        <f>IF(AND($A867&lt;&gt;"",$B867&lt;&gt;"",$R867='تقرير ديسمبر'!$C$4,$P867='تقرير ديسمبر'!$C$6),COUNT(Z$4:Z866)+1,"")</f>
        <v/>
      </c>
      <c r="AA867">
        <f>IF(AND($A867&lt;&gt;"",$B867&lt;&gt;"",$R867='تقرير يناير'!$C$4,$P867='تقرير يناير'!$C$6),COUNT(AA$4:AA866)+1,"")</f>
        <v/>
      </c>
      <c r="AB867">
        <f>IF(AND($A867&lt;&gt;"",$B867&lt;&gt;"",$R867='تقرير فبراير'!$C$4,$P867='تقرير فبراير'!$C$6),COUNT(AB$4:AB866)+1,"")</f>
        <v/>
      </c>
      <c r="AC867">
        <f>IF(AND($A867&lt;&gt;"",$B867&lt;&gt;"",$R867='تقرير مارس'!$C$4,$P867='تقرير مارس'!$C$6),COUNT(AC$4:AC866)+1,"")</f>
        <v/>
      </c>
      <c r="AD867">
        <f>IF(AND($A867&lt;&gt;"",$B867&lt;&gt;"",$R867='تقرير أبريل'!$C$4,$P867='تقرير أبريل'!$C$6),COUNT(AD$4:AD866)+1,"")</f>
        <v/>
      </c>
      <c r="AE867">
        <f>IF(AND($A867&lt;&gt;"",$B867&lt;&gt;"",$R867='تقرير مايو'!$C$4,$P867='تقرير مايو'!$C$6),COUNT(AE$4:AE866)+1,"")</f>
        <v/>
      </c>
    </row>
    <row r="868">
      <c r="A868" s="16" t="n"/>
      <c r="B868" s="17" t="n"/>
      <c r="C868" s="17" t="n"/>
      <c r="D868" s="18" t="n"/>
      <c r="E868" s="17" t="n"/>
      <c r="F868" s="17" t="n"/>
      <c r="G868" s="19" t="n"/>
      <c r="H868" s="17" t="n"/>
      <c r="I868" s="17" t="n"/>
      <c r="J868" s="17" t="n"/>
      <c r="K868" s="20">
        <f>IF($B868="","",IFERROR(INDEX(الموظفات!$A$5:$A$304,MATCH($B868,الموظفات!$B$5:$B$304,0))&amp;"",""))</f>
        <v/>
      </c>
      <c r="L868" s="21">
        <f>IF($B868="","",IFERROR(INDEX(الموظفات!$C$5:$C$304,MATCH($B868,الموظفات!$B$5:$B$304,0))&amp;"",""))</f>
        <v/>
      </c>
      <c r="M868" s="20">
        <f>IF($B868="","",IFERROR(INDEX(الموظفات!$D$5:$D$304,MATCH($B868,الموظفات!$B$5:$B$304,0))&amp;"",""))</f>
        <v/>
      </c>
      <c r="N868" s="20">
        <f>IF($B868="","",IFERROR(INDEX(الموظفات!$E$5:$E$304,MATCH($B868,الموظفات!$B$5:$B$304,0))&amp;"",""))</f>
        <v/>
      </c>
      <c r="O868" s="21">
        <f>IF(C868="","",IFERROR(INDEX(الإعدادات!$D$7:$D$35,MATCH(C868,الإعدادات!$A$7:$A$35,0))&amp;"",""))</f>
        <v/>
      </c>
      <c r="P868" s="20">
        <f>IF(A868="","",INDEX(الإعدادات!$H$7:$H$18,MONTH(A868)))</f>
        <v/>
      </c>
      <c r="Q868" s="20">
        <f>IF(A868="","",INDEX(الإعدادات!$I$7:$I$18,MONTH(A868)))</f>
        <v/>
      </c>
      <c r="R868" s="20">
        <f>IF(A868="","",IF(MONTH(A868)&gt;=8,YEAR(A868)&amp;"-"&amp;(YEAR(A868)+1),(YEAR(A868)-1)&amp;"-"&amp;YEAR(A868)))</f>
        <v/>
      </c>
      <c r="S868" s="20">
        <f>IF(OR(A868="",B868=""),0,IF(AND(R868=التقارير!$C$4,OR(التقارير!$C$5="سنوي",AND(التقارير!$C$5="شهري",P868=التقارير!$C$6),AND(التقارير!$C$5="فصلي",Q868=التقارير!$C$7))),1,0))</f>
        <v/>
      </c>
      <c r="T868" s="20">
        <f>IF(S868=1,COUNTIF($S$5:S868,1),"")</f>
        <v/>
      </c>
      <c r="U868">
        <f>IF(AND($A868&lt;&gt;"",$B868&lt;&gt;"",$R868='تقرير الفصل الأول'!$C$4,$Q868='تقرير الفصل الأول'!$C$7),COUNT(U$4:U867)+1,"")</f>
        <v/>
      </c>
      <c r="V868">
        <f>IF(AND($A868&lt;&gt;"",$B868&lt;&gt;"",$R868='تقرير الفصل الثاني'!$C$4,$Q868='تقرير الفصل الثاني'!$C$7),COUNT(V$4:V867)+1,"")</f>
        <v/>
      </c>
      <c r="W868">
        <f>IF(AND($A868&lt;&gt;"",$B868&lt;&gt;"",$R868='تقرير سبتمبر'!$C$4,$P868='تقرير سبتمبر'!$C$6),COUNT(W$4:W867)+1,"")</f>
        <v/>
      </c>
      <c r="X868">
        <f>IF(AND($A868&lt;&gt;"",$B868&lt;&gt;"",$R868='تقرير أكتوبر'!$C$4,$P868='تقرير أكتوبر'!$C$6),COUNT(X$4:X867)+1,"")</f>
        <v/>
      </c>
      <c r="Y868">
        <f>IF(AND($A868&lt;&gt;"",$B868&lt;&gt;"",$R868='تقرير نوفمبر'!$C$4,$P868='تقرير نوفمبر'!$C$6),COUNT(Y$4:Y867)+1,"")</f>
        <v/>
      </c>
      <c r="Z868">
        <f>IF(AND($A868&lt;&gt;"",$B868&lt;&gt;"",$R868='تقرير ديسمبر'!$C$4,$P868='تقرير ديسمبر'!$C$6),COUNT(Z$4:Z867)+1,"")</f>
        <v/>
      </c>
      <c r="AA868">
        <f>IF(AND($A868&lt;&gt;"",$B868&lt;&gt;"",$R868='تقرير يناير'!$C$4,$P868='تقرير يناير'!$C$6),COUNT(AA$4:AA867)+1,"")</f>
        <v/>
      </c>
      <c r="AB868">
        <f>IF(AND($A868&lt;&gt;"",$B868&lt;&gt;"",$R868='تقرير فبراير'!$C$4,$P868='تقرير فبراير'!$C$6),COUNT(AB$4:AB867)+1,"")</f>
        <v/>
      </c>
      <c r="AC868">
        <f>IF(AND($A868&lt;&gt;"",$B868&lt;&gt;"",$R868='تقرير مارس'!$C$4,$P868='تقرير مارس'!$C$6),COUNT(AC$4:AC867)+1,"")</f>
        <v/>
      </c>
      <c r="AD868">
        <f>IF(AND($A868&lt;&gt;"",$B868&lt;&gt;"",$R868='تقرير أبريل'!$C$4,$P868='تقرير أبريل'!$C$6),COUNT(AD$4:AD867)+1,"")</f>
        <v/>
      </c>
      <c r="AE868">
        <f>IF(AND($A868&lt;&gt;"",$B868&lt;&gt;"",$R868='تقرير مايو'!$C$4,$P868='تقرير مايو'!$C$6),COUNT(AE$4:AE867)+1,"")</f>
        <v/>
      </c>
    </row>
    <row r="869">
      <c r="A869" s="16" t="n"/>
      <c r="B869" s="17" t="n"/>
      <c r="C869" s="17" t="n"/>
      <c r="D869" s="18" t="n"/>
      <c r="E869" s="17" t="n"/>
      <c r="F869" s="17" t="n"/>
      <c r="G869" s="19" t="n"/>
      <c r="H869" s="17" t="n"/>
      <c r="I869" s="17" t="n"/>
      <c r="J869" s="17" t="n"/>
      <c r="K869" s="20">
        <f>IF($B869="","",IFERROR(INDEX(الموظفات!$A$5:$A$304,MATCH($B869,الموظفات!$B$5:$B$304,0))&amp;"",""))</f>
        <v/>
      </c>
      <c r="L869" s="21">
        <f>IF($B869="","",IFERROR(INDEX(الموظفات!$C$5:$C$304,MATCH($B869,الموظفات!$B$5:$B$304,0))&amp;"",""))</f>
        <v/>
      </c>
      <c r="M869" s="20">
        <f>IF($B869="","",IFERROR(INDEX(الموظفات!$D$5:$D$304,MATCH($B869,الموظفات!$B$5:$B$304,0))&amp;"",""))</f>
        <v/>
      </c>
      <c r="N869" s="20">
        <f>IF($B869="","",IFERROR(INDEX(الموظفات!$E$5:$E$304,MATCH($B869,الموظفات!$B$5:$B$304,0))&amp;"",""))</f>
        <v/>
      </c>
      <c r="O869" s="21">
        <f>IF(C869="","",IFERROR(INDEX(الإعدادات!$D$7:$D$35,MATCH(C869,الإعدادات!$A$7:$A$35,0))&amp;"",""))</f>
        <v/>
      </c>
      <c r="P869" s="20">
        <f>IF(A869="","",INDEX(الإعدادات!$H$7:$H$18,MONTH(A869)))</f>
        <v/>
      </c>
      <c r="Q869" s="20">
        <f>IF(A869="","",INDEX(الإعدادات!$I$7:$I$18,MONTH(A869)))</f>
        <v/>
      </c>
      <c r="R869" s="20">
        <f>IF(A869="","",IF(MONTH(A869)&gt;=8,YEAR(A869)&amp;"-"&amp;(YEAR(A869)+1),(YEAR(A869)-1)&amp;"-"&amp;YEAR(A869)))</f>
        <v/>
      </c>
      <c r="S869" s="20">
        <f>IF(OR(A869="",B869=""),0,IF(AND(R869=التقارير!$C$4,OR(التقارير!$C$5="سنوي",AND(التقارير!$C$5="شهري",P869=التقارير!$C$6),AND(التقارير!$C$5="فصلي",Q869=التقارير!$C$7))),1,0))</f>
        <v/>
      </c>
      <c r="T869" s="20">
        <f>IF(S869=1,COUNTIF($S$5:S869,1),"")</f>
        <v/>
      </c>
      <c r="U869">
        <f>IF(AND($A869&lt;&gt;"",$B869&lt;&gt;"",$R869='تقرير الفصل الأول'!$C$4,$Q869='تقرير الفصل الأول'!$C$7),COUNT(U$4:U868)+1,"")</f>
        <v/>
      </c>
      <c r="V869">
        <f>IF(AND($A869&lt;&gt;"",$B869&lt;&gt;"",$R869='تقرير الفصل الثاني'!$C$4,$Q869='تقرير الفصل الثاني'!$C$7),COUNT(V$4:V868)+1,"")</f>
        <v/>
      </c>
      <c r="W869">
        <f>IF(AND($A869&lt;&gt;"",$B869&lt;&gt;"",$R869='تقرير سبتمبر'!$C$4,$P869='تقرير سبتمبر'!$C$6),COUNT(W$4:W868)+1,"")</f>
        <v/>
      </c>
      <c r="X869">
        <f>IF(AND($A869&lt;&gt;"",$B869&lt;&gt;"",$R869='تقرير أكتوبر'!$C$4,$P869='تقرير أكتوبر'!$C$6),COUNT(X$4:X868)+1,"")</f>
        <v/>
      </c>
      <c r="Y869">
        <f>IF(AND($A869&lt;&gt;"",$B869&lt;&gt;"",$R869='تقرير نوفمبر'!$C$4,$P869='تقرير نوفمبر'!$C$6),COUNT(Y$4:Y868)+1,"")</f>
        <v/>
      </c>
      <c r="Z869">
        <f>IF(AND($A869&lt;&gt;"",$B869&lt;&gt;"",$R869='تقرير ديسمبر'!$C$4,$P869='تقرير ديسمبر'!$C$6),COUNT(Z$4:Z868)+1,"")</f>
        <v/>
      </c>
      <c r="AA869">
        <f>IF(AND($A869&lt;&gt;"",$B869&lt;&gt;"",$R869='تقرير يناير'!$C$4,$P869='تقرير يناير'!$C$6),COUNT(AA$4:AA868)+1,"")</f>
        <v/>
      </c>
      <c r="AB869">
        <f>IF(AND($A869&lt;&gt;"",$B869&lt;&gt;"",$R869='تقرير فبراير'!$C$4,$P869='تقرير فبراير'!$C$6),COUNT(AB$4:AB868)+1,"")</f>
        <v/>
      </c>
      <c r="AC869">
        <f>IF(AND($A869&lt;&gt;"",$B869&lt;&gt;"",$R869='تقرير مارس'!$C$4,$P869='تقرير مارس'!$C$6),COUNT(AC$4:AC868)+1,"")</f>
        <v/>
      </c>
      <c r="AD869">
        <f>IF(AND($A869&lt;&gt;"",$B869&lt;&gt;"",$R869='تقرير أبريل'!$C$4,$P869='تقرير أبريل'!$C$6),COUNT(AD$4:AD868)+1,"")</f>
        <v/>
      </c>
      <c r="AE869">
        <f>IF(AND($A869&lt;&gt;"",$B869&lt;&gt;"",$R869='تقرير مايو'!$C$4,$P869='تقرير مايو'!$C$6),COUNT(AE$4:AE868)+1,"")</f>
        <v/>
      </c>
    </row>
    <row r="870">
      <c r="A870" s="16" t="n"/>
      <c r="B870" s="17" t="n"/>
      <c r="C870" s="17" t="n"/>
      <c r="D870" s="18" t="n"/>
      <c r="E870" s="17" t="n"/>
      <c r="F870" s="17" t="n"/>
      <c r="G870" s="19" t="n"/>
      <c r="H870" s="17" t="n"/>
      <c r="I870" s="17" t="n"/>
      <c r="J870" s="17" t="n"/>
      <c r="K870" s="20">
        <f>IF($B870="","",IFERROR(INDEX(الموظفات!$A$5:$A$304,MATCH($B870,الموظفات!$B$5:$B$304,0))&amp;"",""))</f>
        <v/>
      </c>
      <c r="L870" s="21">
        <f>IF($B870="","",IFERROR(INDEX(الموظفات!$C$5:$C$304,MATCH($B870,الموظفات!$B$5:$B$304,0))&amp;"",""))</f>
        <v/>
      </c>
      <c r="M870" s="20">
        <f>IF($B870="","",IFERROR(INDEX(الموظفات!$D$5:$D$304,MATCH($B870,الموظفات!$B$5:$B$304,0))&amp;"",""))</f>
        <v/>
      </c>
      <c r="N870" s="20">
        <f>IF($B870="","",IFERROR(INDEX(الموظفات!$E$5:$E$304,MATCH($B870,الموظفات!$B$5:$B$304,0))&amp;"",""))</f>
        <v/>
      </c>
      <c r="O870" s="21">
        <f>IF(C870="","",IFERROR(INDEX(الإعدادات!$D$7:$D$35,MATCH(C870,الإعدادات!$A$7:$A$35,0))&amp;"",""))</f>
        <v/>
      </c>
      <c r="P870" s="20">
        <f>IF(A870="","",INDEX(الإعدادات!$H$7:$H$18,MONTH(A870)))</f>
        <v/>
      </c>
      <c r="Q870" s="20">
        <f>IF(A870="","",INDEX(الإعدادات!$I$7:$I$18,MONTH(A870)))</f>
        <v/>
      </c>
      <c r="R870" s="20">
        <f>IF(A870="","",IF(MONTH(A870)&gt;=8,YEAR(A870)&amp;"-"&amp;(YEAR(A870)+1),(YEAR(A870)-1)&amp;"-"&amp;YEAR(A870)))</f>
        <v/>
      </c>
      <c r="S870" s="20">
        <f>IF(OR(A870="",B870=""),0,IF(AND(R870=التقارير!$C$4,OR(التقارير!$C$5="سنوي",AND(التقارير!$C$5="شهري",P870=التقارير!$C$6),AND(التقارير!$C$5="فصلي",Q870=التقارير!$C$7))),1,0))</f>
        <v/>
      </c>
      <c r="T870" s="20">
        <f>IF(S870=1,COUNTIF($S$5:S870,1),"")</f>
        <v/>
      </c>
      <c r="U870">
        <f>IF(AND($A870&lt;&gt;"",$B870&lt;&gt;"",$R870='تقرير الفصل الأول'!$C$4,$Q870='تقرير الفصل الأول'!$C$7),COUNT(U$4:U869)+1,"")</f>
        <v/>
      </c>
      <c r="V870">
        <f>IF(AND($A870&lt;&gt;"",$B870&lt;&gt;"",$R870='تقرير الفصل الثاني'!$C$4,$Q870='تقرير الفصل الثاني'!$C$7),COUNT(V$4:V869)+1,"")</f>
        <v/>
      </c>
      <c r="W870">
        <f>IF(AND($A870&lt;&gt;"",$B870&lt;&gt;"",$R870='تقرير سبتمبر'!$C$4,$P870='تقرير سبتمبر'!$C$6),COUNT(W$4:W869)+1,"")</f>
        <v/>
      </c>
      <c r="X870">
        <f>IF(AND($A870&lt;&gt;"",$B870&lt;&gt;"",$R870='تقرير أكتوبر'!$C$4,$P870='تقرير أكتوبر'!$C$6),COUNT(X$4:X869)+1,"")</f>
        <v/>
      </c>
      <c r="Y870">
        <f>IF(AND($A870&lt;&gt;"",$B870&lt;&gt;"",$R870='تقرير نوفمبر'!$C$4,$P870='تقرير نوفمبر'!$C$6),COUNT(Y$4:Y869)+1,"")</f>
        <v/>
      </c>
      <c r="Z870">
        <f>IF(AND($A870&lt;&gt;"",$B870&lt;&gt;"",$R870='تقرير ديسمبر'!$C$4,$P870='تقرير ديسمبر'!$C$6),COUNT(Z$4:Z869)+1,"")</f>
        <v/>
      </c>
      <c r="AA870">
        <f>IF(AND($A870&lt;&gt;"",$B870&lt;&gt;"",$R870='تقرير يناير'!$C$4,$P870='تقرير يناير'!$C$6),COUNT(AA$4:AA869)+1,"")</f>
        <v/>
      </c>
      <c r="AB870">
        <f>IF(AND($A870&lt;&gt;"",$B870&lt;&gt;"",$R870='تقرير فبراير'!$C$4,$P870='تقرير فبراير'!$C$6),COUNT(AB$4:AB869)+1,"")</f>
        <v/>
      </c>
      <c r="AC870">
        <f>IF(AND($A870&lt;&gt;"",$B870&lt;&gt;"",$R870='تقرير مارس'!$C$4,$P870='تقرير مارس'!$C$6),COUNT(AC$4:AC869)+1,"")</f>
        <v/>
      </c>
      <c r="AD870">
        <f>IF(AND($A870&lt;&gt;"",$B870&lt;&gt;"",$R870='تقرير أبريل'!$C$4,$P870='تقرير أبريل'!$C$6),COUNT(AD$4:AD869)+1,"")</f>
        <v/>
      </c>
      <c r="AE870">
        <f>IF(AND($A870&lt;&gt;"",$B870&lt;&gt;"",$R870='تقرير مايو'!$C$4,$P870='تقرير مايو'!$C$6),COUNT(AE$4:AE869)+1,"")</f>
        <v/>
      </c>
    </row>
    <row r="871">
      <c r="A871" s="16" t="n"/>
      <c r="B871" s="17" t="n"/>
      <c r="C871" s="17" t="n"/>
      <c r="D871" s="18" t="n"/>
      <c r="E871" s="17" t="n"/>
      <c r="F871" s="17" t="n"/>
      <c r="G871" s="19" t="n"/>
      <c r="H871" s="17" t="n"/>
      <c r="I871" s="17" t="n"/>
      <c r="J871" s="17" t="n"/>
      <c r="K871" s="20">
        <f>IF($B871="","",IFERROR(INDEX(الموظفات!$A$5:$A$304,MATCH($B871,الموظفات!$B$5:$B$304,0))&amp;"",""))</f>
        <v/>
      </c>
      <c r="L871" s="21">
        <f>IF($B871="","",IFERROR(INDEX(الموظفات!$C$5:$C$304,MATCH($B871,الموظفات!$B$5:$B$304,0))&amp;"",""))</f>
        <v/>
      </c>
      <c r="M871" s="20">
        <f>IF($B871="","",IFERROR(INDEX(الموظفات!$D$5:$D$304,MATCH($B871,الموظفات!$B$5:$B$304,0))&amp;"",""))</f>
        <v/>
      </c>
      <c r="N871" s="20">
        <f>IF($B871="","",IFERROR(INDEX(الموظفات!$E$5:$E$304,MATCH($B871,الموظفات!$B$5:$B$304,0))&amp;"",""))</f>
        <v/>
      </c>
      <c r="O871" s="21">
        <f>IF(C871="","",IFERROR(INDEX(الإعدادات!$D$7:$D$35,MATCH(C871,الإعدادات!$A$7:$A$35,0))&amp;"",""))</f>
        <v/>
      </c>
      <c r="P871" s="20">
        <f>IF(A871="","",INDEX(الإعدادات!$H$7:$H$18,MONTH(A871)))</f>
        <v/>
      </c>
      <c r="Q871" s="20">
        <f>IF(A871="","",INDEX(الإعدادات!$I$7:$I$18,MONTH(A871)))</f>
        <v/>
      </c>
      <c r="R871" s="20">
        <f>IF(A871="","",IF(MONTH(A871)&gt;=8,YEAR(A871)&amp;"-"&amp;(YEAR(A871)+1),(YEAR(A871)-1)&amp;"-"&amp;YEAR(A871)))</f>
        <v/>
      </c>
      <c r="S871" s="20">
        <f>IF(OR(A871="",B871=""),0,IF(AND(R871=التقارير!$C$4,OR(التقارير!$C$5="سنوي",AND(التقارير!$C$5="شهري",P871=التقارير!$C$6),AND(التقارير!$C$5="فصلي",Q871=التقارير!$C$7))),1,0))</f>
        <v/>
      </c>
      <c r="T871" s="20">
        <f>IF(S871=1,COUNTIF($S$5:S871,1),"")</f>
        <v/>
      </c>
      <c r="U871">
        <f>IF(AND($A871&lt;&gt;"",$B871&lt;&gt;"",$R871='تقرير الفصل الأول'!$C$4,$Q871='تقرير الفصل الأول'!$C$7),COUNT(U$4:U870)+1,"")</f>
        <v/>
      </c>
      <c r="V871">
        <f>IF(AND($A871&lt;&gt;"",$B871&lt;&gt;"",$R871='تقرير الفصل الثاني'!$C$4,$Q871='تقرير الفصل الثاني'!$C$7),COUNT(V$4:V870)+1,"")</f>
        <v/>
      </c>
      <c r="W871">
        <f>IF(AND($A871&lt;&gt;"",$B871&lt;&gt;"",$R871='تقرير سبتمبر'!$C$4,$P871='تقرير سبتمبر'!$C$6),COUNT(W$4:W870)+1,"")</f>
        <v/>
      </c>
      <c r="X871">
        <f>IF(AND($A871&lt;&gt;"",$B871&lt;&gt;"",$R871='تقرير أكتوبر'!$C$4,$P871='تقرير أكتوبر'!$C$6),COUNT(X$4:X870)+1,"")</f>
        <v/>
      </c>
      <c r="Y871">
        <f>IF(AND($A871&lt;&gt;"",$B871&lt;&gt;"",$R871='تقرير نوفمبر'!$C$4,$P871='تقرير نوفمبر'!$C$6),COUNT(Y$4:Y870)+1,"")</f>
        <v/>
      </c>
      <c r="Z871">
        <f>IF(AND($A871&lt;&gt;"",$B871&lt;&gt;"",$R871='تقرير ديسمبر'!$C$4,$P871='تقرير ديسمبر'!$C$6),COUNT(Z$4:Z870)+1,"")</f>
        <v/>
      </c>
      <c r="AA871">
        <f>IF(AND($A871&lt;&gt;"",$B871&lt;&gt;"",$R871='تقرير يناير'!$C$4,$P871='تقرير يناير'!$C$6),COUNT(AA$4:AA870)+1,"")</f>
        <v/>
      </c>
      <c r="AB871">
        <f>IF(AND($A871&lt;&gt;"",$B871&lt;&gt;"",$R871='تقرير فبراير'!$C$4,$P871='تقرير فبراير'!$C$6),COUNT(AB$4:AB870)+1,"")</f>
        <v/>
      </c>
      <c r="AC871">
        <f>IF(AND($A871&lt;&gt;"",$B871&lt;&gt;"",$R871='تقرير مارس'!$C$4,$P871='تقرير مارس'!$C$6),COUNT(AC$4:AC870)+1,"")</f>
        <v/>
      </c>
      <c r="AD871">
        <f>IF(AND($A871&lt;&gt;"",$B871&lt;&gt;"",$R871='تقرير أبريل'!$C$4,$P871='تقرير أبريل'!$C$6),COUNT(AD$4:AD870)+1,"")</f>
        <v/>
      </c>
      <c r="AE871">
        <f>IF(AND($A871&lt;&gt;"",$B871&lt;&gt;"",$R871='تقرير مايو'!$C$4,$P871='تقرير مايو'!$C$6),COUNT(AE$4:AE870)+1,"")</f>
        <v/>
      </c>
    </row>
    <row r="872">
      <c r="A872" s="16" t="n"/>
      <c r="B872" s="17" t="n"/>
      <c r="C872" s="17" t="n"/>
      <c r="D872" s="18" t="n"/>
      <c r="E872" s="17" t="n"/>
      <c r="F872" s="17" t="n"/>
      <c r="G872" s="19" t="n"/>
      <c r="H872" s="17" t="n"/>
      <c r="I872" s="17" t="n"/>
      <c r="J872" s="17" t="n"/>
      <c r="K872" s="20">
        <f>IF($B872="","",IFERROR(INDEX(الموظفات!$A$5:$A$304,MATCH($B872,الموظفات!$B$5:$B$304,0))&amp;"",""))</f>
        <v/>
      </c>
      <c r="L872" s="21">
        <f>IF($B872="","",IFERROR(INDEX(الموظفات!$C$5:$C$304,MATCH($B872,الموظفات!$B$5:$B$304,0))&amp;"",""))</f>
        <v/>
      </c>
      <c r="M872" s="20">
        <f>IF($B872="","",IFERROR(INDEX(الموظفات!$D$5:$D$304,MATCH($B872,الموظفات!$B$5:$B$304,0))&amp;"",""))</f>
        <v/>
      </c>
      <c r="N872" s="20">
        <f>IF($B872="","",IFERROR(INDEX(الموظفات!$E$5:$E$304,MATCH($B872,الموظفات!$B$5:$B$304,0))&amp;"",""))</f>
        <v/>
      </c>
      <c r="O872" s="21">
        <f>IF(C872="","",IFERROR(INDEX(الإعدادات!$D$7:$D$35,MATCH(C872,الإعدادات!$A$7:$A$35,0))&amp;"",""))</f>
        <v/>
      </c>
      <c r="P872" s="20">
        <f>IF(A872="","",INDEX(الإعدادات!$H$7:$H$18,MONTH(A872)))</f>
        <v/>
      </c>
      <c r="Q872" s="20">
        <f>IF(A872="","",INDEX(الإعدادات!$I$7:$I$18,MONTH(A872)))</f>
        <v/>
      </c>
      <c r="R872" s="20">
        <f>IF(A872="","",IF(MONTH(A872)&gt;=8,YEAR(A872)&amp;"-"&amp;(YEAR(A872)+1),(YEAR(A872)-1)&amp;"-"&amp;YEAR(A872)))</f>
        <v/>
      </c>
      <c r="S872" s="20">
        <f>IF(OR(A872="",B872=""),0,IF(AND(R872=التقارير!$C$4,OR(التقارير!$C$5="سنوي",AND(التقارير!$C$5="شهري",P872=التقارير!$C$6),AND(التقارير!$C$5="فصلي",Q872=التقارير!$C$7))),1,0))</f>
        <v/>
      </c>
      <c r="T872" s="20">
        <f>IF(S872=1,COUNTIF($S$5:S872,1),"")</f>
        <v/>
      </c>
      <c r="U872">
        <f>IF(AND($A872&lt;&gt;"",$B872&lt;&gt;"",$R872='تقرير الفصل الأول'!$C$4,$Q872='تقرير الفصل الأول'!$C$7),COUNT(U$4:U871)+1,"")</f>
        <v/>
      </c>
      <c r="V872">
        <f>IF(AND($A872&lt;&gt;"",$B872&lt;&gt;"",$R872='تقرير الفصل الثاني'!$C$4,$Q872='تقرير الفصل الثاني'!$C$7),COUNT(V$4:V871)+1,"")</f>
        <v/>
      </c>
      <c r="W872">
        <f>IF(AND($A872&lt;&gt;"",$B872&lt;&gt;"",$R872='تقرير سبتمبر'!$C$4,$P872='تقرير سبتمبر'!$C$6),COUNT(W$4:W871)+1,"")</f>
        <v/>
      </c>
      <c r="X872">
        <f>IF(AND($A872&lt;&gt;"",$B872&lt;&gt;"",$R872='تقرير أكتوبر'!$C$4,$P872='تقرير أكتوبر'!$C$6),COUNT(X$4:X871)+1,"")</f>
        <v/>
      </c>
      <c r="Y872">
        <f>IF(AND($A872&lt;&gt;"",$B872&lt;&gt;"",$R872='تقرير نوفمبر'!$C$4,$P872='تقرير نوفمبر'!$C$6),COUNT(Y$4:Y871)+1,"")</f>
        <v/>
      </c>
      <c r="Z872">
        <f>IF(AND($A872&lt;&gt;"",$B872&lt;&gt;"",$R872='تقرير ديسمبر'!$C$4,$P872='تقرير ديسمبر'!$C$6),COUNT(Z$4:Z871)+1,"")</f>
        <v/>
      </c>
      <c r="AA872">
        <f>IF(AND($A872&lt;&gt;"",$B872&lt;&gt;"",$R872='تقرير يناير'!$C$4,$P872='تقرير يناير'!$C$6),COUNT(AA$4:AA871)+1,"")</f>
        <v/>
      </c>
      <c r="AB872">
        <f>IF(AND($A872&lt;&gt;"",$B872&lt;&gt;"",$R872='تقرير فبراير'!$C$4,$P872='تقرير فبراير'!$C$6),COUNT(AB$4:AB871)+1,"")</f>
        <v/>
      </c>
      <c r="AC872">
        <f>IF(AND($A872&lt;&gt;"",$B872&lt;&gt;"",$R872='تقرير مارس'!$C$4,$P872='تقرير مارس'!$C$6),COUNT(AC$4:AC871)+1,"")</f>
        <v/>
      </c>
      <c r="AD872">
        <f>IF(AND($A872&lt;&gt;"",$B872&lt;&gt;"",$R872='تقرير أبريل'!$C$4,$P872='تقرير أبريل'!$C$6),COUNT(AD$4:AD871)+1,"")</f>
        <v/>
      </c>
      <c r="AE872">
        <f>IF(AND($A872&lt;&gt;"",$B872&lt;&gt;"",$R872='تقرير مايو'!$C$4,$P872='تقرير مايو'!$C$6),COUNT(AE$4:AE871)+1,"")</f>
        <v/>
      </c>
    </row>
    <row r="873">
      <c r="A873" s="16" t="n"/>
      <c r="B873" s="17" t="n"/>
      <c r="C873" s="17" t="n"/>
      <c r="D873" s="18" t="n"/>
      <c r="E873" s="17" t="n"/>
      <c r="F873" s="17" t="n"/>
      <c r="G873" s="19" t="n"/>
      <c r="H873" s="17" t="n"/>
      <c r="I873" s="17" t="n"/>
      <c r="J873" s="17" t="n"/>
      <c r="K873" s="20">
        <f>IF($B873="","",IFERROR(INDEX(الموظفات!$A$5:$A$304,MATCH($B873,الموظفات!$B$5:$B$304,0))&amp;"",""))</f>
        <v/>
      </c>
      <c r="L873" s="21">
        <f>IF($B873="","",IFERROR(INDEX(الموظفات!$C$5:$C$304,MATCH($B873,الموظفات!$B$5:$B$304,0))&amp;"",""))</f>
        <v/>
      </c>
      <c r="M873" s="20">
        <f>IF($B873="","",IFERROR(INDEX(الموظفات!$D$5:$D$304,MATCH($B873,الموظفات!$B$5:$B$304,0))&amp;"",""))</f>
        <v/>
      </c>
      <c r="N873" s="20">
        <f>IF($B873="","",IFERROR(INDEX(الموظفات!$E$5:$E$304,MATCH($B873,الموظفات!$B$5:$B$304,0))&amp;"",""))</f>
        <v/>
      </c>
      <c r="O873" s="21">
        <f>IF(C873="","",IFERROR(INDEX(الإعدادات!$D$7:$D$35,MATCH(C873,الإعدادات!$A$7:$A$35,0))&amp;"",""))</f>
        <v/>
      </c>
      <c r="P873" s="20">
        <f>IF(A873="","",INDEX(الإعدادات!$H$7:$H$18,MONTH(A873)))</f>
        <v/>
      </c>
      <c r="Q873" s="20">
        <f>IF(A873="","",INDEX(الإعدادات!$I$7:$I$18,MONTH(A873)))</f>
        <v/>
      </c>
      <c r="R873" s="20">
        <f>IF(A873="","",IF(MONTH(A873)&gt;=8,YEAR(A873)&amp;"-"&amp;(YEAR(A873)+1),(YEAR(A873)-1)&amp;"-"&amp;YEAR(A873)))</f>
        <v/>
      </c>
      <c r="S873" s="20">
        <f>IF(OR(A873="",B873=""),0,IF(AND(R873=التقارير!$C$4,OR(التقارير!$C$5="سنوي",AND(التقارير!$C$5="شهري",P873=التقارير!$C$6),AND(التقارير!$C$5="فصلي",Q873=التقارير!$C$7))),1,0))</f>
        <v/>
      </c>
      <c r="T873" s="20">
        <f>IF(S873=1,COUNTIF($S$5:S873,1),"")</f>
        <v/>
      </c>
      <c r="U873">
        <f>IF(AND($A873&lt;&gt;"",$B873&lt;&gt;"",$R873='تقرير الفصل الأول'!$C$4,$Q873='تقرير الفصل الأول'!$C$7),COUNT(U$4:U872)+1,"")</f>
        <v/>
      </c>
      <c r="V873">
        <f>IF(AND($A873&lt;&gt;"",$B873&lt;&gt;"",$R873='تقرير الفصل الثاني'!$C$4,$Q873='تقرير الفصل الثاني'!$C$7),COUNT(V$4:V872)+1,"")</f>
        <v/>
      </c>
      <c r="W873">
        <f>IF(AND($A873&lt;&gt;"",$B873&lt;&gt;"",$R873='تقرير سبتمبر'!$C$4,$P873='تقرير سبتمبر'!$C$6),COUNT(W$4:W872)+1,"")</f>
        <v/>
      </c>
      <c r="X873">
        <f>IF(AND($A873&lt;&gt;"",$B873&lt;&gt;"",$R873='تقرير أكتوبر'!$C$4,$P873='تقرير أكتوبر'!$C$6),COUNT(X$4:X872)+1,"")</f>
        <v/>
      </c>
      <c r="Y873">
        <f>IF(AND($A873&lt;&gt;"",$B873&lt;&gt;"",$R873='تقرير نوفمبر'!$C$4,$P873='تقرير نوفمبر'!$C$6),COUNT(Y$4:Y872)+1,"")</f>
        <v/>
      </c>
      <c r="Z873">
        <f>IF(AND($A873&lt;&gt;"",$B873&lt;&gt;"",$R873='تقرير ديسمبر'!$C$4,$P873='تقرير ديسمبر'!$C$6),COUNT(Z$4:Z872)+1,"")</f>
        <v/>
      </c>
      <c r="AA873">
        <f>IF(AND($A873&lt;&gt;"",$B873&lt;&gt;"",$R873='تقرير يناير'!$C$4,$P873='تقرير يناير'!$C$6),COUNT(AA$4:AA872)+1,"")</f>
        <v/>
      </c>
      <c r="AB873">
        <f>IF(AND($A873&lt;&gt;"",$B873&lt;&gt;"",$R873='تقرير فبراير'!$C$4,$P873='تقرير فبراير'!$C$6),COUNT(AB$4:AB872)+1,"")</f>
        <v/>
      </c>
      <c r="AC873">
        <f>IF(AND($A873&lt;&gt;"",$B873&lt;&gt;"",$R873='تقرير مارس'!$C$4,$P873='تقرير مارس'!$C$6),COUNT(AC$4:AC872)+1,"")</f>
        <v/>
      </c>
      <c r="AD873">
        <f>IF(AND($A873&lt;&gt;"",$B873&lt;&gt;"",$R873='تقرير أبريل'!$C$4,$P873='تقرير أبريل'!$C$6),COUNT(AD$4:AD872)+1,"")</f>
        <v/>
      </c>
      <c r="AE873">
        <f>IF(AND($A873&lt;&gt;"",$B873&lt;&gt;"",$R873='تقرير مايو'!$C$4,$P873='تقرير مايو'!$C$6),COUNT(AE$4:AE872)+1,"")</f>
        <v/>
      </c>
    </row>
    <row r="874">
      <c r="A874" s="16" t="n"/>
      <c r="B874" s="17" t="n"/>
      <c r="C874" s="17" t="n"/>
      <c r="D874" s="18" t="n"/>
      <c r="E874" s="17" t="n"/>
      <c r="F874" s="17" t="n"/>
      <c r="G874" s="19" t="n"/>
      <c r="H874" s="17" t="n"/>
      <c r="I874" s="17" t="n"/>
      <c r="J874" s="17" t="n"/>
      <c r="K874" s="20">
        <f>IF($B874="","",IFERROR(INDEX(الموظفات!$A$5:$A$304,MATCH($B874,الموظفات!$B$5:$B$304,0))&amp;"",""))</f>
        <v/>
      </c>
      <c r="L874" s="21">
        <f>IF($B874="","",IFERROR(INDEX(الموظفات!$C$5:$C$304,MATCH($B874,الموظفات!$B$5:$B$304,0))&amp;"",""))</f>
        <v/>
      </c>
      <c r="M874" s="20">
        <f>IF($B874="","",IFERROR(INDEX(الموظفات!$D$5:$D$304,MATCH($B874,الموظفات!$B$5:$B$304,0))&amp;"",""))</f>
        <v/>
      </c>
      <c r="N874" s="20">
        <f>IF($B874="","",IFERROR(INDEX(الموظفات!$E$5:$E$304,MATCH($B874,الموظفات!$B$5:$B$304,0))&amp;"",""))</f>
        <v/>
      </c>
      <c r="O874" s="21">
        <f>IF(C874="","",IFERROR(INDEX(الإعدادات!$D$7:$D$35,MATCH(C874,الإعدادات!$A$7:$A$35,0))&amp;"",""))</f>
        <v/>
      </c>
      <c r="P874" s="20">
        <f>IF(A874="","",INDEX(الإعدادات!$H$7:$H$18,MONTH(A874)))</f>
        <v/>
      </c>
      <c r="Q874" s="20">
        <f>IF(A874="","",INDEX(الإعدادات!$I$7:$I$18,MONTH(A874)))</f>
        <v/>
      </c>
      <c r="R874" s="20">
        <f>IF(A874="","",IF(MONTH(A874)&gt;=8,YEAR(A874)&amp;"-"&amp;(YEAR(A874)+1),(YEAR(A874)-1)&amp;"-"&amp;YEAR(A874)))</f>
        <v/>
      </c>
      <c r="S874" s="20">
        <f>IF(OR(A874="",B874=""),0,IF(AND(R874=التقارير!$C$4,OR(التقارير!$C$5="سنوي",AND(التقارير!$C$5="شهري",P874=التقارير!$C$6),AND(التقارير!$C$5="فصلي",Q874=التقارير!$C$7))),1,0))</f>
        <v/>
      </c>
      <c r="T874" s="20">
        <f>IF(S874=1,COUNTIF($S$5:S874,1),"")</f>
        <v/>
      </c>
      <c r="U874">
        <f>IF(AND($A874&lt;&gt;"",$B874&lt;&gt;"",$R874='تقرير الفصل الأول'!$C$4,$Q874='تقرير الفصل الأول'!$C$7),COUNT(U$4:U873)+1,"")</f>
        <v/>
      </c>
      <c r="V874">
        <f>IF(AND($A874&lt;&gt;"",$B874&lt;&gt;"",$R874='تقرير الفصل الثاني'!$C$4,$Q874='تقرير الفصل الثاني'!$C$7),COUNT(V$4:V873)+1,"")</f>
        <v/>
      </c>
      <c r="W874">
        <f>IF(AND($A874&lt;&gt;"",$B874&lt;&gt;"",$R874='تقرير سبتمبر'!$C$4,$P874='تقرير سبتمبر'!$C$6),COUNT(W$4:W873)+1,"")</f>
        <v/>
      </c>
      <c r="X874">
        <f>IF(AND($A874&lt;&gt;"",$B874&lt;&gt;"",$R874='تقرير أكتوبر'!$C$4,$P874='تقرير أكتوبر'!$C$6),COUNT(X$4:X873)+1,"")</f>
        <v/>
      </c>
      <c r="Y874">
        <f>IF(AND($A874&lt;&gt;"",$B874&lt;&gt;"",$R874='تقرير نوفمبر'!$C$4,$P874='تقرير نوفمبر'!$C$6),COUNT(Y$4:Y873)+1,"")</f>
        <v/>
      </c>
      <c r="Z874">
        <f>IF(AND($A874&lt;&gt;"",$B874&lt;&gt;"",$R874='تقرير ديسمبر'!$C$4,$P874='تقرير ديسمبر'!$C$6),COUNT(Z$4:Z873)+1,"")</f>
        <v/>
      </c>
      <c r="AA874">
        <f>IF(AND($A874&lt;&gt;"",$B874&lt;&gt;"",$R874='تقرير يناير'!$C$4,$P874='تقرير يناير'!$C$6),COUNT(AA$4:AA873)+1,"")</f>
        <v/>
      </c>
      <c r="AB874">
        <f>IF(AND($A874&lt;&gt;"",$B874&lt;&gt;"",$R874='تقرير فبراير'!$C$4,$P874='تقرير فبراير'!$C$6),COUNT(AB$4:AB873)+1,"")</f>
        <v/>
      </c>
      <c r="AC874">
        <f>IF(AND($A874&lt;&gt;"",$B874&lt;&gt;"",$R874='تقرير مارس'!$C$4,$P874='تقرير مارس'!$C$6),COUNT(AC$4:AC873)+1,"")</f>
        <v/>
      </c>
      <c r="AD874">
        <f>IF(AND($A874&lt;&gt;"",$B874&lt;&gt;"",$R874='تقرير أبريل'!$C$4,$P874='تقرير أبريل'!$C$6),COUNT(AD$4:AD873)+1,"")</f>
        <v/>
      </c>
      <c r="AE874">
        <f>IF(AND($A874&lt;&gt;"",$B874&lt;&gt;"",$R874='تقرير مايو'!$C$4,$P874='تقرير مايو'!$C$6),COUNT(AE$4:AE873)+1,"")</f>
        <v/>
      </c>
    </row>
    <row r="875">
      <c r="A875" s="16" t="n"/>
      <c r="B875" s="17" t="n"/>
      <c r="C875" s="17" t="n"/>
      <c r="D875" s="18" t="n"/>
      <c r="E875" s="17" t="n"/>
      <c r="F875" s="17" t="n"/>
      <c r="G875" s="19" t="n"/>
      <c r="H875" s="17" t="n"/>
      <c r="I875" s="17" t="n"/>
      <c r="J875" s="17" t="n"/>
      <c r="K875" s="20">
        <f>IF($B875="","",IFERROR(INDEX(الموظفات!$A$5:$A$304,MATCH($B875,الموظفات!$B$5:$B$304,0))&amp;"",""))</f>
        <v/>
      </c>
      <c r="L875" s="21">
        <f>IF($B875="","",IFERROR(INDEX(الموظفات!$C$5:$C$304,MATCH($B875,الموظفات!$B$5:$B$304,0))&amp;"",""))</f>
        <v/>
      </c>
      <c r="M875" s="20">
        <f>IF($B875="","",IFERROR(INDEX(الموظفات!$D$5:$D$304,MATCH($B875,الموظفات!$B$5:$B$304,0))&amp;"",""))</f>
        <v/>
      </c>
      <c r="N875" s="20">
        <f>IF($B875="","",IFERROR(INDEX(الموظفات!$E$5:$E$304,MATCH($B875,الموظفات!$B$5:$B$304,0))&amp;"",""))</f>
        <v/>
      </c>
      <c r="O875" s="21">
        <f>IF(C875="","",IFERROR(INDEX(الإعدادات!$D$7:$D$35,MATCH(C875,الإعدادات!$A$7:$A$35,0))&amp;"",""))</f>
        <v/>
      </c>
      <c r="P875" s="20">
        <f>IF(A875="","",INDEX(الإعدادات!$H$7:$H$18,MONTH(A875)))</f>
        <v/>
      </c>
      <c r="Q875" s="20">
        <f>IF(A875="","",INDEX(الإعدادات!$I$7:$I$18,MONTH(A875)))</f>
        <v/>
      </c>
      <c r="R875" s="20">
        <f>IF(A875="","",IF(MONTH(A875)&gt;=8,YEAR(A875)&amp;"-"&amp;(YEAR(A875)+1),(YEAR(A875)-1)&amp;"-"&amp;YEAR(A875)))</f>
        <v/>
      </c>
      <c r="S875" s="20">
        <f>IF(OR(A875="",B875=""),0,IF(AND(R875=التقارير!$C$4,OR(التقارير!$C$5="سنوي",AND(التقارير!$C$5="شهري",P875=التقارير!$C$6),AND(التقارير!$C$5="فصلي",Q875=التقارير!$C$7))),1,0))</f>
        <v/>
      </c>
      <c r="T875" s="20">
        <f>IF(S875=1,COUNTIF($S$5:S875,1),"")</f>
        <v/>
      </c>
      <c r="U875">
        <f>IF(AND($A875&lt;&gt;"",$B875&lt;&gt;"",$R875='تقرير الفصل الأول'!$C$4,$Q875='تقرير الفصل الأول'!$C$7),COUNT(U$4:U874)+1,"")</f>
        <v/>
      </c>
      <c r="V875">
        <f>IF(AND($A875&lt;&gt;"",$B875&lt;&gt;"",$R875='تقرير الفصل الثاني'!$C$4,$Q875='تقرير الفصل الثاني'!$C$7),COUNT(V$4:V874)+1,"")</f>
        <v/>
      </c>
      <c r="W875">
        <f>IF(AND($A875&lt;&gt;"",$B875&lt;&gt;"",$R875='تقرير سبتمبر'!$C$4,$P875='تقرير سبتمبر'!$C$6),COUNT(W$4:W874)+1,"")</f>
        <v/>
      </c>
      <c r="X875">
        <f>IF(AND($A875&lt;&gt;"",$B875&lt;&gt;"",$R875='تقرير أكتوبر'!$C$4,$P875='تقرير أكتوبر'!$C$6),COUNT(X$4:X874)+1,"")</f>
        <v/>
      </c>
      <c r="Y875">
        <f>IF(AND($A875&lt;&gt;"",$B875&lt;&gt;"",$R875='تقرير نوفمبر'!$C$4,$P875='تقرير نوفمبر'!$C$6),COUNT(Y$4:Y874)+1,"")</f>
        <v/>
      </c>
      <c r="Z875">
        <f>IF(AND($A875&lt;&gt;"",$B875&lt;&gt;"",$R875='تقرير ديسمبر'!$C$4,$P875='تقرير ديسمبر'!$C$6),COUNT(Z$4:Z874)+1,"")</f>
        <v/>
      </c>
      <c r="AA875">
        <f>IF(AND($A875&lt;&gt;"",$B875&lt;&gt;"",$R875='تقرير يناير'!$C$4,$P875='تقرير يناير'!$C$6),COUNT(AA$4:AA874)+1,"")</f>
        <v/>
      </c>
      <c r="AB875">
        <f>IF(AND($A875&lt;&gt;"",$B875&lt;&gt;"",$R875='تقرير فبراير'!$C$4,$P875='تقرير فبراير'!$C$6),COUNT(AB$4:AB874)+1,"")</f>
        <v/>
      </c>
      <c r="AC875">
        <f>IF(AND($A875&lt;&gt;"",$B875&lt;&gt;"",$R875='تقرير مارس'!$C$4,$P875='تقرير مارس'!$C$6),COUNT(AC$4:AC874)+1,"")</f>
        <v/>
      </c>
      <c r="AD875">
        <f>IF(AND($A875&lt;&gt;"",$B875&lt;&gt;"",$R875='تقرير أبريل'!$C$4,$P875='تقرير أبريل'!$C$6),COUNT(AD$4:AD874)+1,"")</f>
        <v/>
      </c>
      <c r="AE875">
        <f>IF(AND($A875&lt;&gt;"",$B875&lt;&gt;"",$R875='تقرير مايو'!$C$4,$P875='تقرير مايو'!$C$6),COUNT(AE$4:AE874)+1,"")</f>
        <v/>
      </c>
    </row>
    <row r="876">
      <c r="A876" s="16" t="n"/>
      <c r="B876" s="17" t="n"/>
      <c r="C876" s="17" t="n"/>
      <c r="D876" s="18" t="n"/>
      <c r="E876" s="17" t="n"/>
      <c r="F876" s="17" t="n"/>
      <c r="G876" s="19" t="n"/>
      <c r="H876" s="17" t="n"/>
      <c r="I876" s="17" t="n"/>
      <c r="J876" s="17" t="n"/>
      <c r="K876" s="20">
        <f>IF($B876="","",IFERROR(INDEX(الموظفات!$A$5:$A$304,MATCH($B876,الموظفات!$B$5:$B$304,0))&amp;"",""))</f>
        <v/>
      </c>
      <c r="L876" s="21">
        <f>IF($B876="","",IFERROR(INDEX(الموظفات!$C$5:$C$304,MATCH($B876,الموظفات!$B$5:$B$304,0))&amp;"",""))</f>
        <v/>
      </c>
      <c r="M876" s="20">
        <f>IF($B876="","",IFERROR(INDEX(الموظفات!$D$5:$D$304,MATCH($B876,الموظفات!$B$5:$B$304,0))&amp;"",""))</f>
        <v/>
      </c>
      <c r="N876" s="20">
        <f>IF($B876="","",IFERROR(INDEX(الموظفات!$E$5:$E$304,MATCH($B876,الموظفات!$B$5:$B$304,0))&amp;"",""))</f>
        <v/>
      </c>
      <c r="O876" s="21">
        <f>IF(C876="","",IFERROR(INDEX(الإعدادات!$D$7:$D$35,MATCH(C876,الإعدادات!$A$7:$A$35,0))&amp;"",""))</f>
        <v/>
      </c>
      <c r="P876" s="20">
        <f>IF(A876="","",INDEX(الإعدادات!$H$7:$H$18,MONTH(A876)))</f>
        <v/>
      </c>
      <c r="Q876" s="20">
        <f>IF(A876="","",INDEX(الإعدادات!$I$7:$I$18,MONTH(A876)))</f>
        <v/>
      </c>
      <c r="R876" s="20">
        <f>IF(A876="","",IF(MONTH(A876)&gt;=8,YEAR(A876)&amp;"-"&amp;(YEAR(A876)+1),(YEAR(A876)-1)&amp;"-"&amp;YEAR(A876)))</f>
        <v/>
      </c>
      <c r="S876" s="20">
        <f>IF(OR(A876="",B876=""),0,IF(AND(R876=التقارير!$C$4,OR(التقارير!$C$5="سنوي",AND(التقارير!$C$5="شهري",P876=التقارير!$C$6),AND(التقارير!$C$5="فصلي",Q876=التقارير!$C$7))),1,0))</f>
        <v/>
      </c>
      <c r="T876" s="20">
        <f>IF(S876=1,COUNTIF($S$5:S876,1),"")</f>
        <v/>
      </c>
      <c r="U876">
        <f>IF(AND($A876&lt;&gt;"",$B876&lt;&gt;"",$R876='تقرير الفصل الأول'!$C$4,$Q876='تقرير الفصل الأول'!$C$7),COUNT(U$4:U875)+1,"")</f>
        <v/>
      </c>
      <c r="V876">
        <f>IF(AND($A876&lt;&gt;"",$B876&lt;&gt;"",$R876='تقرير الفصل الثاني'!$C$4,$Q876='تقرير الفصل الثاني'!$C$7),COUNT(V$4:V875)+1,"")</f>
        <v/>
      </c>
      <c r="W876">
        <f>IF(AND($A876&lt;&gt;"",$B876&lt;&gt;"",$R876='تقرير سبتمبر'!$C$4,$P876='تقرير سبتمبر'!$C$6),COUNT(W$4:W875)+1,"")</f>
        <v/>
      </c>
      <c r="X876">
        <f>IF(AND($A876&lt;&gt;"",$B876&lt;&gt;"",$R876='تقرير أكتوبر'!$C$4,$P876='تقرير أكتوبر'!$C$6),COUNT(X$4:X875)+1,"")</f>
        <v/>
      </c>
      <c r="Y876">
        <f>IF(AND($A876&lt;&gt;"",$B876&lt;&gt;"",$R876='تقرير نوفمبر'!$C$4,$P876='تقرير نوفمبر'!$C$6),COUNT(Y$4:Y875)+1,"")</f>
        <v/>
      </c>
      <c r="Z876">
        <f>IF(AND($A876&lt;&gt;"",$B876&lt;&gt;"",$R876='تقرير ديسمبر'!$C$4,$P876='تقرير ديسمبر'!$C$6),COUNT(Z$4:Z875)+1,"")</f>
        <v/>
      </c>
      <c r="AA876">
        <f>IF(AND($A876&lt;&gt;"",$B876&lt;&gt;"",$R876='تقرير يناير'!$C$4,$P876='تقرير يناير'!$C$6),COUNT(AA$4:AA875)+1,"")</f>
        <v/>
      </c>
      <c r="AB876">
        <f>IF(AND($A876&lt;&gt;"",$B876&lt;&gt;"",$R876='تقرير فبراير'!$C$4,$P876='تقرير فبراير'!$C$6),COUNT(AB$4:AB875)+1,"")</f>
        <v/>
      </c>
      <c r="AC876">
        <f>IF(AND($A876&lt;&gt;"",$B876&lt;&gt;"",$R876='تقرير مارس'!$C$4,$P876='تقرير مارس'!$C$6),COUNT(AC$4:AC875)+1,"")</f>
        <v/>
      </c>
      <c r="AD876">
        <f>IF(AND($A876&lt;&gt;"",$B876&lt;&gt;"",$R876='تقرير أبريل'!$C$4,$P876='تقرير أبريل'!$C$6),COUNT(AD$4:AD875)+1,"")</f>
        <v/>
      </c>
      <c r="AE876">
        <f>IF(AND($A876&lt;&gt;"",$B876&lt;&gt;"",$R876='تقرير مايو'!$C$4,$P876='تقرير مايو'!$C$6),COUNT(AE$4:AE875)+1,"")</f>
        <v/>
      </c>
    </row>
    <row r="877">
      <c r="A877" s="16" t="n"/>
      <c r="B877" s="17" t="n"/>
      <c r="C877" s="17" t="n"/>
      <c r="D877" s="18" t="n"/>
      <c r="E877" s="17" t="n"/>
      <c r="F877" s="17" t="n"/>
      <c r="G877" s="19" t="n"/>
      <c r="H877" s="17" t="n"/>
      <c r="I877" s="17" t="n"/>
      <c r="J877" s="17" t="n"/>
      <c r="K877" s="20">
        <f>IF($B877="","",IFERROR(INDEX(الموظفات!$A$5:$A$304,MATCH($B877,الموظفات!$B$5:$B$304,0))&amp;"",""))</f>
        <v/>
      </c>
      <c r="L877" s="21">
        <f>IF($B877="","",IFERROR(INDEX(الموظفات!$C$5:$C$304,MATCH($B877,الموظفات!$B$5:$B$304,0))&amp;"",""))</f>
        <v/>
      </c>
      <c r="M877" s="20">
        <f>IF($B877="","",IFERROR(INDEX(الموظفات!$D$5:$D$304,MATCH($B877,الموظفات!$B$5:$B$304,0))&amp;"",""))</f>
        <v/>
      </c>
      <c r="N877" s="20">
        <f>IF($B877="","",IFERROR(INDEX(الموظفات!$E$5:$E$304,MATCH($B877,الموظفات!$B$5:$B$304,0))&amp;"",""))</f>
        <v/>
      </c>
      <c r="O877" s="21">
        <f>IF(C877="","",IFERROR(INDEX(الإعدادات!$D$7:$D$35,MATCH(C877,الإعدادات!$A$7:$A$35,0))&amp;"",""))</f>
        <v/>
      </c>
      <c r="P877" s="20">
        <f>IF(A877="","",INDEX(الإعدادات!$H$7:$H$18,MONTH(A877)))</f>
        <v/>
      </c>
      <c r="Q877" s="20">
        <f>IF(A877="","",INDEX(الإعدادات!$I$7:$I$18,MONTH(A877)))</f>
        <v/>
      </c>
      <c r="R877" s="20">
        <f>IF(A877="","",IF(MONTH(A877)&gt;=8,YEAR(A877)&amp;"-"&amp;(YEAR(A877)+1),(YEAR(A877)-1)&amp;"-"&amp;YEAR(A877)))</f>
        <v/>
      </c>
      <c r="S877" s="20">
        <f>IF(OR(A877="",B877=""),0,IF(AND(R877=التقارير!$C$4,OR(التقارير!$C$5="سنوي",AND(التقارير!$C$5="شهري",P877=التقارير!$C$6),AND(التقارير!$C$5="فصلي",Q877=التقارير!$C$7))),1,0))</f>
        <v/>
      </c>
      <c r="T877" s="20">
        <f>IF(S877=1,COUNTIF($S$5:S877,1),"")</f>
        <v/>
      </c>
      <c r="U877">
        <f>IF(AND($A877&lt;&gt;"",$B877&lt;&gt;"",$R877='تقرير الفصل الأول'!$C$4,$Q877='تقرير الفصل الأول'!$C$7),COUNT(U$4:U876)+1,"")</f>
        <v/>
      </c>
      <c r="V877">
        <f>IF(AND($A877&lt;&gt;"",$B877&lt;&gt;"",$R877='تقرير الفصل الثاني'!$C$4,$Q877='تقرير الفصل الثاني'!$C$7),COUNT(V$4:V876)+1,"")</f>
        <v/>
      </c>
      <c r="W877">
        <f>IF(AND($A877&lt;&gt;"",$B877&lt;&gt;"",$R877='تقرير سبتمبر'!$C$4,$P877='تقرير سبتمبر'!$C$6),COUNT(W$4:W876)+1,"")</f>
        <v/>
      </c>
      <c r="X877">
        <f>IF(AND($A877&lt;&gt;"",$B877&lt;&gt;"",$R877='تقرير أكتوبر'!$C$4,$P877='تقرير أكتوبر'!$C$6),COUNT(X$4:X876)+1,"")</f>
        <v/>
      </c>
      <c r="Y877">
        <f>IF(AND($A877&lt;&gt;"",$B877&lt;&gt;"",$R877='تقرير نوفمبر'!$C$4,$P877='تقرير نوفمبر'!$C$6),COUNT(Y$4:Y876)+1,"")</f>
        <v/>
      </c>
      <c r="Z877">
        <f>IF(AND($A877&lt;&gt;"",$B877&lt;&gt;"",$R877='تقرير ديسمبر'!$C$4,$P877='تقرير ديسمبر'!$C$6),COUNT(Z$4:Z876)+1,"")</f>
        <v/>
      </c>
      <c r="AA877">
        <f>IF(AND($A877&lt;&gt;"",$B877&lt;&gt;"",$R877='تقرير يناير'!$C$4,$P877='تقرير يناير'!$C$6),COUNT(AA$4:AA876)+1,"")</f>
        <v/>
      </c>
      <c r="AB877">
        <f>IF(AND($A877&lt;&gt;"",$B877&lt;&gt;"",$R877='تقرير فبراير'!$C$4,$P877='تقرير فبراير'!$C$6),COUNT(AB$4:AB876)+1,"")</f>
        <v/>
      </c>
      <c r="AC877">
        <f>IF(AND($A877&lt;&gt;"",$B877&lt;&gt;"",$R877='تقرير مارس'!$C$4,$P877='تقرير مارس'!$C$6),COUNT(AC$4:AC876)+1,"")</f>
        <v/>
      </c>
      <c r="AD877">
        <f>IF(AND($A877&lt;&gt;"",$B877&lt;&gt;"",$R877='تقرير أبريل'!$C$4,$P877='تقرير أبريل'!$C$6),COUNT(AD$4:AD876)+1,"")</f>
        <v/>
      </c>
      <c r="AE877">
        <f>IF(AND($A877&lt;&gt;"",$B877&lt;&gt;"",$R877='تقرير مايو'!$C$4,$P877='تقرير مايو'!$C$6),COUNT(AE$4:AE876)+1,"")</f>
        <v/>
      </c>
    </row>
    <row r="878">
      <c r="A878" s="16" t="n"/>
      <c r="B878" s="17" t="n"/>
      <c r="C878" s="17" t="n"/>
      <c r="D878" s="18" t="n"/>
      <c r="E878" s="17" t="n"/>
      <c r="F878" s="17" t="n"/>
      <c r="G878" s="19" t="n"/>
      <c r="H878" s="17" t="n"/>
      <c r="I878" s="17" t="n"/>
      <c r="J878" s="17" t="n"/>
      <c r="K878" s="20">
        <f>IF($B878="","",IFERROR(INDEX(الموظفات!$A$5:$A$304,MATCH($B878,الموظفات!$B$5:$B$304,0))&amp;"",""))</f>
        <v/>
      </c>
      <c r="L878" s="21">
        <f>IF($B878="","",IFERROR(INDEX(الموظفات!$C$5:$C$304,MATCH($B878,الموظفات!$B$5:$B$304,0))&amp;"",""))</f>
        <v/>
      </c>
      <c r="M878" s="20">
        <f>IF($B878="","",IFERROR(INDEX(الموظفات!$D$5:$D$304,MATCH($B878,الموظفات!$B$5:$B$304,0))&amp;"",""))</f>
        <v/>
      </c>
      <c r="N878" s="20">
        <f>IF($B878="","",IFERROR(INDEX(الموظفات!$E$5:$E$304,MATCH($B878,الموظفات!$B$5:$B$304,0))&amp;"",""))</f>
        <v/>
      </c>
      <c r="O878" s="21">
        <f>IF(C878="","",IFERROR(INDEX(الإعدادات!$D$7:$D$35,MATCH(C878,الإعدادات!$A$7:$A$35,0))&amp;"",""))</f>
        <v/>
      </c>
      <c r="P878" s="20">
        <f>IF(A878="","",INDEX(الإعدادات!$H$7:$H$18,MONTH(A878)))</f>
        <v/>
      </c>
      <c r="Q878" s="20">
        <f>IF(A878="","",INDEX(الإعدادات!$I$7:$I$18,MONTH(A878)))</f>
        <v/>
      </c>
      <c r="R878" s="20">
        <f>IF(A878="","",IF(MONTH(A878)&gt;=8,YEAR(A878)&amp;"-"&amp;(YEAR(A878)+1),(YEAR(A878)-1)&amp;"-"&amp;YEAR(A878)))</f>
        <v/>
      </c>
      <c r="S878" s="20">
        <f>IF(OR(A878="",B878=""),0,IF(AND(R878=التقارير!$C$4,OR(التقارير!$C$5="سنوي",AND(التقارير!$C$5="شهري",P878=التقارير!$C$6),AND(التقارير!$C$5="فصلي",Q878=التقارير!$C$7))),1,0))</f>
        <v/>
      </c>
      <c r="T878" s="20">
        <f>IF(S878=1,COUNTIF($S$5:S878,1),"")</f>
        <v/>
      </c>
      <c r="U878">
        <f>IF(AND($A878&lt;&gt;"",$B878&lt;&gt;"",$R878='تقرير الفصل الأول'!$C$4,$Q878='تقرير الفصل الأول'!$C$7),COUNT(U$4:U877)+1,"")</f>
        <v/>
      </c>
      <c r="V878">
        <f>IF(AND($A878&lt;&gt;"",$B878&lt;&gt;"",$R878='تقرير الفصل الثاني'!$C$4,$Q878='تقرير الفصل الثاني'!$C$7),COUNT(V$4:V877)+1,"")</f>
        <v/>
      </c>
      <c r="W878">
        <f>IF(AND($A878&lt;&gt;"",$B878&lt;&gt;"",$R878='تقرير سبتمبر'!$C$4,$P878='تقرير سبتمبر'!$C$6),COUNT(W$4:W877)+1,"")</f>
        <v/>
      </c>
      <c r="X878">
        <f>IF(AND($A878&lt;&gt;"",$B878&lt;&gt;"",$R878='تقرير أكتوبر'!$C$4,$P878='تقرير أكتوبر'!$C$6),COUNT(X$4:X877)+1,"")</f>
        <v/>
      </c>
      <c r="Y878">
        <f>IF(AND($A878&lt;&gt;"",$B878&lt;&gt;"",$R878='تقرير نوفمبر'!$C$4,$P878='تقرير نوفمبر'!$C$6),COUNT(Y$4:Y877)+1,"")</f>
        <v/>
      </c>
      <c r="Z878">
        <f>IF(AND($A878&lt;&gt;"",$B878&lt;&gt;"",$R878='تقرير ديسمبر'!$C$4,$P878='تقرير ديسمبر'!$C$6),COUNT(Z$4:Z877)+1,"")</f>
        <v/>
      </c>
      <c r="AA878">
        <f>IF(AND($A878&lt;&gt;"",$B878&lt;&gt;"",$R878='تقرير يناير'!$C$4,$P878='تقرير يناير'!$C$6),COUNT(AA$4:AA877)+1,"")</f>
        <v/>
      </c>
      <c r="AB878">
        <f>IF(AND($A878&lt;&gt;"",$B878&lt;&gt;"",$R878='تقرير فبراير'!$C$4,$P878='تقرير فبراير'!$C$6),COUNT(AB$4:AB877)+1,"")</f>
        <v/>
      </c>
      <c r="AC878">
        <f>IF(AND($A878&lt;&gt;"",$B878&lt;&gt;"",$R878='تقرير مارس'!$C$4,$P878='تقرير مارس'!$C$6),COUNT(AC$4:AC877)+1,"")</f>
        <v/>
      </c>
      <c r="AD878">
        <f>IF(AND($A878&lt;&gt;"",$B878&lt;&gt;"",$R878='تقرير أبريل'!$C$4,$P878='تقرير أبريل'!$C$6),COUNT(AD$4:AD877)+1,"")</f>
        <v/>
      </c>
      <c r="AE878">
        <f>IF(AND($A878&lt;&gt;"",$B878&lt;&gt;"",$R878='تقرير مايو'!$C$4,$P878='تقرير مايو'!$C$6),COUNT(AE$4:AE877)+1,"")</f>
        <v/>
      </c>
    </row>
    <row r="879">
      <c r="A879" s="16" t="n"/>
      <c r="B879" s="17" t="n"/>
      <c r="C879" s="17" t="n"/>
      <c r="D879" s="18" t="n"/>
      <c r="E879" s="17" t="n"/>
      <c r="F879" s="17" t="n"/>
      <c r="G879" s="19" t="n"/>
      <c r="H879" s="17" t="n"/>
      <c r="I879" s="17" t="n"/>
      <c r="J879" s="17" t="n"/>
      <c r="K879" s="20">
        <f>IF($B879="","",IFERROR(INDEX(الموظفات!$A$5:$A$304,MATCH($B879,الموظفات!$B$5:$B$304,0))&amp;"",""))</f>
        <v/>
      </c>
      <c r="L879" s="21">
        <f>IF($B879="","",IFERROR(INDEX(الموظفات!$C$5:$C$304,MATCH($B879,الموظفات!$B$5:$B$304,0))&amp;"",""))</f>
        <v/>
      </c>
      <c r="M879" s="20">
        <f>IF($B879="","",IFERROR(INDEX(الموظفات!$D$5:$D$304,MATCH($B879,الموظفات!$B$5:$B$304,0))&amp;"",""))</f>
        <v/>
      </c>
      <c r="N879" s="20">
        <f>IF($B879="","",IFERROR(INDEX(الموظفات!$E$5:$E$304,MATCH($B879,الموظفات!$B$5:$B$304,0))&amp;"",""))</f>
        <v/>
      </c>
      <c r="O879" s="21">
        <f>IF(C879="","",IFERROR(INDEX(الإعدادات!$D$7:$D$35,MATCH(C879,الإعدادات!$A$7:$A$35,0))&amp;"",""))</f>
        <v/>
      </c>
      <c r="P879" s="20">
        <f>IF(A879="","",INDEX(الإعدادات!$H$7:$H$18,MONTH(A879)))</f>
        <v/>
      </c>
      <c r="Q879" s="20">
        <f>IF(A879="","",INDEX(الإعدادات!$I$7:$I$18,MONTH(A879)))</f>
        <v/>
      </c>
      <c r="R879" s="20">
        <f>IF(A879="","",IF(MONTH(A879)&gt;=8,YEAR(A879)&amp;"-"&amp;(YEAR(A879)+1),(YEAR(A879)-1)&amp;"-"&amp;YEAR(A879)))</f>
        <v/>
      </c>
      <c r="S879" s="20">
        <f>IF(OR(A879="",B879=""),0,IF(AND(R879=التقارير!$C$4,OR(التقارير!$C$5="سنوي",AND(التقارير!$C$5="شهري",P879=التقارير!$C$6),AND(التقارير!$C$5="فصلي",Q879=التقارير!$C$7))),1,0))</f>
        <v/>
      </c>
      <c r="T879" s="20">
        <f>IF(S879=1,COUNTIF($S$5:S879,1),"")</f>
        <v/>
      </c>
      <c r="U879">
        <f>IF(AND($A879&lt;&gt;"",$B879&lt;&gt;"",$R879='تقرير الفصل الأول'!$C$4,$Q879='تقرير الفصل الأول'!$C$7),COUNT(U$4:U878)+1,"")</f>
        <v/>
      </c>
      <c r="V879">
        <f>IF(AND($A879&lt;&gt;"",$B879&lt;&gt;"",$R879='تقرير الفصل الثاني'!$C$4,$Q879='تقرير الفصل الثاني'!$C$7),COUNT(V$4:V878)+1,"")</f>
        <v/>
      </c>
      <c r="W879">
        <f>IF(AND($A879&lt;&gt;"",$B879&lt;&gt;"",$R879='تقرير سبتمبر'!$C$4,$P879='تقرير سبتمبر'!$C$6),COUNT(W$4:W878)+1,"")</f>
        <v/>
      </c>
      <c r="X879">
        <f>IF(AND($A879&lt;&gt;"",$B879&lt;&gt;"",$R879='تقرير أكتوبر'!$C$4,$P879='تقرير أكتوبر'!$C$6),COUNT(X$4:X878)+1,"")</f>
        <v/>
      </c>
      <c r="Y879">
        <f>IF(AND($A879&lt;&gt;"",$B879&lt;&gt;"",$R879='تقرير نوفمبر'!$C$4,$P879='تقرير نوفمبر'!$C$6),COUNT(Y$4:Y878)+1,"")</f>
        <v/>
      </c>
      <c r="Z879">
        <f>IF(AND($A879&lt;&gt;"",$B879&lt;&gt;"",$R879='تقرير ديسمبر'!$C$4,$P879='تقرير ديسمبر'!$C$6),COUNT(Z$4:Z878)+1,"")</f>
        <v/>
      </c>
      <c r="AA879">
        <f>IF(AND($A879&lt;&gt;"",$B879&lt;&gt;"",$R879='تقرير يناير'!$C$4,$P879='تقرير يناير'!$C$6),COUNT(AA$4:AA878)+1,"")</f>
        <v/>
      </c>
      <c r="AB879">
        <f>IF(AND($A879&lt;&gt;"",$B879&lt;&gt;"",$R879='تقرير فبراير'!$C$4,$P879='تقرير فبراير'!$C$6),COUNT(AB$4:AB878)+1,"")</f>
        <v/>
      </c>
      <c r="AC879">
        <f>IF(AND($A879&lt;&gt;"",$B879&lt;&gt;"",$R879='تقرير مارس'!$C$4,$P879='تقرير مارس'!$C$6),COUNT(AC$4:AC878)+1,"")</f>
        <v/>
      </c>
      <c r="AD879">
        <f>IF(AND($A879&lt;&gt;"",$B879&lt;&gt;"",$R879='تقرير أبريل'!$C$4,$P879='تقرير أبريل'!$C$6),COUNT(AD$4:AD878)+1,"")</f>
        <v/>
      </c>
      <c r="AE879">
        <f>IF(AND($A879&lt;&gt;"",$B879&lt;&gt;"",$R879='تقرير مايو'!$C$4,$P879='تقرير مايو'!$C$6),COUNT(AE$4:AE878)+1,"")</f>
        <v/>
      </c>
    </row>
    <row r="880">
      <c r="A880" s="16" t="n"/>
      <c r="B880" s="17" t="n"/>
      <c r="C880" s="17" t="n"/>
      <c r="D880" s="18" t="n"/>
      <c r="E880" s="17" t="n"/>
      <c r="F880" s="17" t="n"/>
      <c r="G880" s="19" t="n"/>
      <c r="H880" s="17" t="n"/>
      <c r="I880" s="17" t="n"/>
      <c r="J880" s="17" t="n"/>
      <c r="K880" s="20">
        <f>IF($B880="","",IFERROR(INDEX(الموظفات!$A$5:$A$304,MATCH($B880,الموظفات!$B$5:$B$304,0))&amp;"",""))</f>
        <v/>
      </c>
      <c r="L880" s="21">
        <f>IF($B880="","",IFERROR(INDEX(الموظفات!$C$5:$C$304,MATCH($B880,الموظفات!$B$5:$B$304,0))&amp;"",""))</f>
        <v/>
      </c>
      <c r="M880" s="20">
        <f>IF($B880="","",IFERROR(INDEX(الموظفات!$D$5:$D$304,MATCH($B880,الموظفات!$B$5:$B$304,0))&amp;"",""))</f>
        <v/>
      </c>
      <c r="N880" s="20">
        <f>IF($B880="","",IFERROR(INDEX(الموظفات!$E$5:$E$304,MATCH($B880,الموظفات!$B$5:$B$304,0))&amp;"",""))</f>
        <v/>
      </c>
      <c r="O880" s="21">
        <f>IF(C880="","",IFERROR(INDEX(الإعدادات!$D$7:$D$35,MATCH(C880,الإعدادات!$A$7:$A$35,0))&amp;"",""))</f>
        <v/>
      </c>
      <c r="P880" s="20">
        <f>IF(A880="","",INDEX(الإعدادات!$H$7:$H$18,MONTH(A880)))</f>
        <v/>
      </c>
      <c r="Q880" s="20">
        <f>IF(A880="","",INDEX(الإعدادات!$I$7:$I$18,MONTH(A880)))</f>
        <v/>
      </c>
      <c r="R880" s="20">
        <f>IF(A880="","",IF(MONTH(A880)&gt;=8,YEAR(A880)&amp;"-"&amp;(YEAR(A880)+1),(YEAR(A880)-1)&amp;"-"&amp;YEAR(A880)))</f>
        <v/>
      </c>
      <c r="S880" s="20">
        <f>IF(OR(A880="",B880=""),0,IF(AND(R880=التقارير!$C$4,OR(التقارير!$C$5="سنوي",AND(التقارير!$C$5="شهري",P880=التقارير!$C$6),AND(التقارير!$C$5="فصلي",Q880=التقارير!$C$7))),1,0))</f>
        <v/>
      </c>
      <c r="T880" s="20">
        <f>IF(S880=1,COUNTIF($S$5:S880,1),"")</f>
        <v/>
      </c>
      <c r="U880">
        <f>IF(AND($A880&lt;&gt;"",$B880&lt;&gt;"",$R880='تقرير الفصل الأول'!$C$4,$Q880='تقرير الفصل الأول'!$C$7),COUNT(U$4:U879)+1,"")</f>
        <v/>
      </c>
      <c r="V880">
        <f>IF(AND($A880&lt;&gt;"",$B880&lt;&gt;"",$R880='تقرير الفصل الثاني'!$C$4,$Q880='تقرير الفصل الثاني'!$C$7),COUNT(V$4:V879)+1,"")</f>
        <v/>
      </c>
      <c r="W880">
        <f>IF(AND($A880&lt;&gt;"",$B880&lt;&gt;"",$R880='تقرير سبتمبر'!$C$4,$P880='تقرير سبتمبر'!$C$6),COUNT(W$4:W879)+1,"")</f>
        <v/>
      </c>
      <c r="X880">
        <f>IF(AND($A880&lt;&gt;"",$B880&lt;&gt;"",$R880='تقرير أكتوبر'!$C$4,$P880='تقرير أكتوبر'!$C$6),COUNT(X$4:X879)+1,"")</f>
        <v/>
      </c>
      <c r="Y880">
        <f>IF(AND($A880&lt;&gt;"",$B880&lt;&gt;"",$R880='تقرير نوفمبر'!$C$4,$P880='تقرير نوفمبر'!$C$6),COUNT(Y$4:Y879)+1,"")</f>
        <v/>
      </c>
      <c r="Z880">
        <f>IF(AND($A880&lt;&gt;"",$B880&lt;&gt;"",$R880='تقرير ديسمبر'!$C$4,$P880='تقرير ديسمبر'!$C$6),COUNT(Z$4:Z879)+1,"")</f>
        <v/>
      </c>
      <c r="AA880">
        <f>IF(AND($A880&lt;&gt;"",$B880&lt;&gt;"",$R880='تقرير يناير'!$C$4,$P880='تقرير يناير'!$C$6),COUNT(AA$4:AA879)+1,"")</f>
        <v/>
      </c>
      <c r="AB880">
        <f>IF(AND($A880&lt;&gt;"",$B880&lt;&gt;"",$R880='تقرير فبراير'!$C$4,$P880='تقرير فبراير'!$C$6),COUNT(AB$4:AB879)+1,"")</f>
        <v/>
      </c>
      <c r="AC880">
        <f>IF(AND($A880&lt;&gt;"",$B880&lt;&gt;"",$R880='تقرير مارس'!$C$4,$P880='تقرير مارس'!$C$6),COUNT(AC$4:AC879)+1,"")</f>
        <v/>
      </c>
      <c r="AD880">
        <f>IF(AND($A880&lt;&gt;"",$B880&lt;&gt;"",$R880='تقرير أبريل'!$C$4,$P880='تقرير أبريل'!$C$6),COUNT(AD$4:AD879)+1,"")</f>
        <v/>
      </c>
      <c r="AE880">
        <f>IF(AND($A880&lt;&gt;"",$B880&lt;&gt;"",$R880='تقرير مايو'!$C$4,$P880='تقرير مايو'!$C$6),COUNT(AE$4:AE879)+1,"")</f>
        <v/>
      </c>
    </row>
    <row r="881">
      <c r="A881" s="16" t="n"/>
      <c r="B881" s="17" t="n"/>
      <c r="C881" s="17" t="n"/>
      <c r="D881" s="18" t="n"/>
      <c r="E881" s="17" t="n"/>
      <c r="F881" s="17" t="n"/>
      <c r="G881" s="19" t="n"/>
      <c r="H881" s="17" t="n"/>
      <c r="I881" s="17" t="n"/>
      <c r="J881" s="17" t="n"/>
      <c r="K881" s="20">
        <f>IF($B881="","",IFERROR(INDEX(الموظفات!$A$5:$A$304,MATCH($B881,الموظفات!$B$5:$B$304,0))&amp;"",""))</f>
        <v/>
      </c>
      <c r="L881" s="21">
        <f>IF($B881="","",IFERROR(INDEX(الموظفات!$C$5:$C$304,MATCH($B881,الموظفات!$B$5:$B$304,0))&amp;"",""))</f>
        <v/>
      </c>
      <c r="M881" s="20">
        <f>IF($B881="","",IFERROR(INDEX(الموظفات!$D$5:$D$304,MATCH($B881,الموظفات!$B$5:$B$304,0))&amp;"",""))</f>
        <v/>
      </c>
      <c r="N881" s="20">
        <f>IF($B881="","",IFERROR(INDEX(الموظفات!$E$5:$E$304,MATCH($B881,الموظفات!$B$5:$B$304,0))&amp;"",""))</f>
        <v/>
      </c>
      <c r="O881" s="21">
        <f>IF(C881="","",IFERROR(INDEX(الإعدادات!$D$7:$D$35,MATCH(C881,الإعدادات!$A$7:$A$35,0))&amp;"",""))</f>
        <v/>
      </c>
      <c r="P881" s="20">
        <f>IF(A881="","",INDEX(الإعدادات!$H$7:$H$18,MONTH(A881)))</f>
        <v/>
      </c>
      <c r="Q881" s="20">
        <f>IF(A881="","",INDEX(الإعدادات!$I$7:$I$18,MONTH(A881)))</f>
        <v/>
      </c>
      <c r="R881" s="20">
        <f>IF(A881="","",IF(MONTH(A881)&gt;=8,YEAR(A881)&amp;"-"&amp;(YEAR(A881)+1),(YEAR(A881)-1)&amp;"-"&amp;YEAR(A881)))</f>
        <v/>
      </c>
      <c r="S881" s="20">
        <f>IF(OR(A881="",B881=""),0,IF(AND(R881=التقارير!$C$4,OR(التقارير!$C$5="سنوي",AND(التقارير!$C$5="شهري",P881=التقارير!$C$6),AND(التقارير!$C$5="فصلي",Q881=التقارير!$C$7))),1,0))</f>
        <v/>
      </c>
      <c r="T881" s="20">
        <f>IF(S881=1,COUNTIF($S$5:S881,1),"")</f>
        <v/>
      </c>
      <c r="U881">
        <f>IF(AND($A881&lt;&gt;"",$B881&lt;&gt;"",$R881='تقرير الفصل الأول'!$C$4,$Q881='تقرير الفصل الأول'!$C$7),COUNT(U$4:U880)+1,"")</f>
        <v/>
      </c>
      <c r="V881">
        <f>IF(AND($A881&lt;&gt;"",$B881&lt;&gt;"",$R881='تقرير الفصل الثاني'!$C$4,$Q881='تقرير الفصل الثاني'!$C$7),COUNT(V$4:V880)+1,"")</f>
        <v/>
      </c>
      <c r="W881">
        <f>IF(AND($A881&lt;&gt;"",$B881&lt;&gt;"",$R881='تقرير سبتمبر'!$C$4,$P881='تقرير سبتمبر'!$C$6),COUNT(W$4:W880)+1,"")</f>
        <v/>
      </c>
      <c r="X881">
        <f>IF(AND($A881&lt;&gt;"",$B881&lt;&gt;"",$R881='تقرير أكتوبر'!$C$4,$P881='تقرير أكتوبر'!$C$6),COUNT(X$4:X880)+1,"")</f>
        <v/>
      </c>
      <c r="Y881">
        <f>IF(AND($A881&lt;&gt;"",$B881&lt;&gt;"",$R881='تقرير نوفمبر'!$C$4,$P881='تقرير نوفمبر'!$C$6),COUNT(Y$4:Y880)+1,"")</f>
        <v/>
      </c>
      <c r="Z881">
        <f>IF(AND($A881&lt;&gt;"",$B881&lt;&gt;"",$R881='تقرير ديسمبر'!$C$4,$P881='تقرير ديسمبر'!$C$6),COUNT(Z$4:Z880)+1,"")</f>
        <v/>
      </c>
      <c r="AA881">
        <f>IF(AND($A881&lt;&gt;"",$B881&lt;&gt;"",$R881='تقرير يناير'!$C$4,$P881='تقرير يناير'!$C$6),COUNT(AA$4:AA880)+1,"")</f>
        <v/>
      </c>
      <c r="AB881">
        <f>IF(AND($A881&lt;&gt;"",$B881&lt;&gt;"",$R881='تقرير فبراير'!$C$4,$P881='تقرير فبراير'!$C$6),COUNT(AB$4:AB880)+1,"")</f>
        <v/>
      </c>
      <c r="AC881">
        <f>IF(AND($A881&lt;&gt;"",$B881&lt;&gt;"",$R881='تقرير مارس'!$C$4,$P881='تقرير مارس'!$C$6),COUNT(AC$4:AC880)+1,"")</f>
        <v/>
      </c>
      <c r="AD881">
        <f>IF(AND($A881&lt;&gt;"",$B881&lt;&gt;"",$R881='تقرير أبريل'!$C$4,$P881='تقرير أبريل'!$C$6),COUNT(AD$4:AD880)+1,"")</f>
        <v/>
      </c>
      <c r="AE881">
        <f>IF(AND($A881&lt;&gt;"",$B881&lt;&gt;"",$R881='تقرير مايو'!$C$4,$P881='تقرير مايو'!$C$6),COUNT(AE$4:AE880)+1,"")</f>
        <v/>
      </c>
    </row>
    <row r="882">
      <c r="A882" s="16" t="n"/>
      <c r="B882" s="17" t="n"/>
      <c r="C882" s="17" t="n"/>
      <c r="D882" s="18" t="n"/>
      <c r="E882" s="17" t="n"/>
      <c r="F882" s="17" t="n"/>
      <c r="G882" s="19" t="n"/>
      <c r="H882" s="17" t="n"/>
      <c r="I882" s="17" t="n"/>
      <c r="J882" s="17" t="n"/>
      <c r="K882" s="20">
        <f>IF($B882="","",IFERROR(INDEX(الموظفات!$A$5:$A$304,MATCH($B882,الموظفات!$B$5:$B$304,0))&amp;"",""))</f>
        <v/>
      </c>
      <c r="L882" s="21">
        <f>IF($B882="","",IFERROR(INDEX(الموظفات!$C$5:$C$304,MATCH($B882,الموظفات!$B$5:$B$304,0))&amp;"",""))</f>
        <v/>
      </c>
      <c r="M882" s="20">
        <f>IF($B882="","",IFERROR(INDEX(الموظفات!$D$5:$D$304,MATCH($B882,الموظفات!$B$5:$B$304,0))&amp;"",""))</f>
        <v/>
      </c>
      <c r="N882" s="20">
        <f>IF($B882="","",IFERROR(INDEX(الموظفات!$E$5:$E$304,MATCH($B882,الموظفات!$B$5:$B$304,0))&amp;"",""))</f>
        <v/>
      </c>
      <c r="O882" s="21">
        <f>IF(C882="","",IFERROR(INDEX(الإعدادات!$D$7:$D$35,MATCH(C882,الإعدادات!$A$7:$A$35,0))&amp;"",""))</f>
        <v/>
      </c>
      <c r="P882" s="20">
        <f>IF(A882="","",INDEX(الإعدادات!$H$7:$H$18,MONTH(A882)))</f>
        <v/>
      </c>
      <c r="Q882" s="20">
        <f>IF(A882="","",INDEX(الإعدادات!$I$7:$I$18,MONTH(A882)))</f>
        <v/>
      </c>
      <c r="R882" s="20">
        <f>IF(A882="","",IF(MONTH(A882)&gt;=8,YEAR(A882)&amp;"-"&amp;(YEAR(A882)+1),(YEAR(A882)-1)&amp;"-"&amp;YEAR(A882)))</f>
        <v/>
      </c>
      <c r="S882" s="20">
        <f>IF(OR(A882="",B882=""),0,IF(AND(R882=التقارير!$C$4,OR(التقارير!$C$5="سنوي",AND(التقارير!$C$5="شهري",P882=التقارير!$C$6),AND(التقارير!$C$5="فصلي",Q882=التقارير!$C$7))),1,0))</f>
        <v/>
      </c>
      <c r="T882" s="20">
        <f>IF(S882=1,COUNTIF($S$5:S882,1),"")</f>
        <v/>
      </c>
      <c r="U882">
        <f>IF(AND($A882&lt;&gt;"",$B882&lt;&gt;"",$R882='تقرير الفصل الأول'!$C$4,$Q882='تقرير الفصل الأول'!$C$7),COUNT(U$4:U881)+1,"")</f>
        <v/>
      </c>
      <c r="V882">
        <f>IF(AND($A882&lt;&gt;"",$B882&lt;&gt;"",$R882='تقرير الفصل الثاني'!$C$4,$Q882='تقرير الفصل الثاني'!$C$7),COUNT(V$4:V881)+1,"")</f>
        <v/>
      </c>
      <c r="W882">
        <f>IF(AND($A882&lt;&gt;"",$B882&lt;&gt;"",$R882='تقرير سبتمبر'!$C$4,$P882='تقرير سبتمبر'!$C$6),COUNT(W$4:W881)+1,"")</f>
        <v/>
      </c>
      <c r="X882">
        <f>IF(AND($A882&lt;&gt;"",$B882&lt;&gt;"",$R882='تقرير أكتوبر'!$C$4,$P882='تقرير أكتوبر'!$C$6),COUNT(X$4:X881)+1,"")</f>
        <v/>
      </c>
      <c r="Y882">
        <f>IF(AND($A882&lt;&gt;"",$B882&lt;&gt;"",$R882='تقرير نوفمبر'!$C$4,$P882='تقرير نوفمبر'!$C$6),COUNT(Y$4:Y881)+1,"")</f>
        <v/>
      </c>
      <c r="Z882">
        <f>IF(AND($A882&lt;&gt;"",$B882&lt;&gt;"",$R882='تقرير ديسمبر'!$C$4,$P882='تقرير ديسمبر'!$C$6),COUNT(Z$4:Z881)+1,"")</f>
        <v/>
      </c>
      <c r="AA882">
        <f>IF(AND($A882&lt;&gt;"",$B882&lt;&gt;"",$R882='تقرير يناير'!$C$4,$P882='تقرير يناير'!$C$6),COUNT(AA$4:AA881)+1,"")</f>
        <v/>
      </c>
      <c r="AB882">
        <f>IF(AND($A882&lt;&gt;"",$B882&lt;&gt;"",$R882='تقرير فبراير'!$C$4,$P882='تقرير فبراير'!$C$6),COUNT(AB$4:AB881)+1,"")</f>
        <v/>
      </c>
      <c r="AC882">
        <f>IF(AND($A882&lt;&gt;"",$B882&lt;&gt;"",$R882='تقرير مارس'!$C$4,$P882='تقرير مارس'!$C$6),COUNT(AC$4:AC881)+1,"")</f>
        <v/>
      </c>
      <c r="AD882">
        <f>IF(AND($A882&lt;&gt;"",$B882&lt;&gt;"",$R882='تقرير أبريل'!$C$4,$P882='تقرير أبريل'!$C$6),COUNT(AD$4:AD881)+1,"")</f>
        <v/>
      </c>
      <c r="AE882">
        <f>IF(AND($A882&lt;&gt;"",$B882&lt;&gt;"",$R882='تقرير مايو'!$C$4,$P882='تقرير مايو'!$C$6),COUNT(AE$4:AE881)+1,"")</f>
        <v/>
      </c>
    </row>
    <row r="883">
      <c r="A883" s="16" t="n"/>
      <c r="B883" s="17" t="n"/>
      <c r="C883" s="17" t="n"/>
      <c r="D883" s="18" t="n"/>
      <c r="E883" s="17" t="n"/>
      <c r="F883" s="17" t="n"/>
      <c r="G883" s="19" t="n"/>
      <c r="H883" s="17" t="n"/>
      <c r="I883" s="17" t="n"/>
      <c r="J883" s="17" t="n"/>
      <c r="K883" s="20">
        <f>IF($B883="","",IFERROR(INDEX(الموظفات!$A$5:$A$304,MATCH($B883,الموظفات!$B$5:$B$304,0))&amp;"",""))</f>
        <v/>
      </c>
      <c r="L883" s="21">
        <f>IF($B883="","",IFERROR(INDEX(الموظفات!$C$5:$C$304,MATCH($B883,الموظفات!$B$5:$B$304,0))&amp;"",""))</f>
        <v/>
      </c>
      <c r="M883" s="20">
        <f>IF($B883="","",IFERROR(INDEX(الموظفات!$D$5:$D$304,MATCH($B883,الموظفات!$B$5:$B$304,0))&amp;"",""))</f>
        <v/>
      </c>
      <c r="N883" s="20">
        <f>IF($B883="","",IFERROR(INDEX(الموظفات!$E$5:$E$304,MATCH($B883,الموظفات!$B$5:$B$304,0))&amp;"",""))</f>
        <v/>
      </c>
      <c r="O883" s="21">
        <f>IF(C883="","",IFERROR(INDEX(الإعدادات!$D$7:$D$35,MATCH(C883,الإعدادات!$A$7:$A$35,0))&amp;"",""))</f>
        <v/>
      </c>
      <c r="P883" s="20">
        <f>IF(A883="","",INDEX(الإعدادات!$H$7:$H$18,MONTH(A883)))</f>
        <v/>
      </c>
      <c r="Q883" s="20">
        <f>IF(A883="","",INDEX(الإعدادات!$I$7:$I$18,MONTH(A883)))</f>
        <v/>
      </c>
      <c r="R883" s="20">
        <f>IF(A883="","",IF(MONTH(A883)&gt;=8,YEAR(A883)&amp;"-"&amp;(YEAR(A883)+1),(YEAR(A883)-1)&amp;"-"&amp;YEAR(A883)))</f>
        <v/>
      </c>
      <c r="S883" s="20">
        <f>IF(OR(A883="",B883=""),0,IF(AND(R883=التقارير!$C$4,OR(التقارير!$C$5="سنوي",AND(التقارير!$C$5="شهري",P883=التقارير!$C$6),AND(التقارير!$C$5="فصلي",Q883=التقارير!$C$7))),1,0))</f>
        <v/>
      </c>
      <c r="T883" s="20">
        <f>IF(S883=1,COUNTIF($S$5:S883,1),"")</f>
        <v/>
      </c>
      <c r="U883">
        <f>IF(AND($A883&lt;&gt;"",$B883&lt;&gt;"",$R883='تقرير الفصل الأول'!$C$4,$Q883='تقرير الفصل الأول'!$C$7),COUNT(U$4:U882)+1,"")</f>
        <v/>
      </c>
      <c r="V883">
        <f>IF(AND($A883&lt;&gt;"",$B883&lt;&gt;"",$R883='تقرير الفصل الثاني'!$C$4,$Q883='تقرير الفصل الثاني'!$C$7),COUNT(V$4:V882)+1,"")</f>
        <v/>
      </c>
      <c r="W883">
        <f>IF(AND($A883&lt;&gt;"",$B883&lt;&gt;"",$R883='تقرير سبتمبر'!$C$4,$P883='تقرير سبتمبر'!$C$6),COUNT(W$4:W882)+1,"")</f>
        <v/>
      </c>
      <c r="X883">
        <f>IF(AND($A883&lt;&gt;"",$B883&lt;&gt;"",$R883='تقرير أكتوبر'!$C$4,$P883='تقرير أكتوبر'!$C$6),COUNT(X$4:X882)+1,"")</f>
        <v/>
      </c>
      <c r="Y883">
        <f>IF(AND($A883&lt;&gt;"",$B883&lt;&gt;"",$R883='تقرير نوفمبر'!$C$4,$P883='تقرير نوفمبر'!$C$6),COUNT(Y$4:Y882)+1,"")</f>
        <v/>
      </c>
      <c r="Z883">
        <f>IF(AND($A883&lt;&gt;"",$B883&lt;&gt;"",$R883='تقرير ديسمبر'!$C$4,$P883='تقرير ديسمبر'!$C$6),COUNT(Z$4:Z882)+1,"")</f>
        <v/>
      </c>
      <c r="AA883">
        <f>IF(AND($A883&lt;&gt;"",$B883&lt;&gt;"",$R883='تقرير يناير'!$C$4,$P883='تقرير يناير'!$C$6),COUNT(AA$4:AA882)+1,"")</f>
        <v/>
      </c>
      <c r="AB883">
        <f>IF(AND($A883&lt;&gt;"",$B883&lt;&gt;"",$R883='تقرير فبراير'!$C$4,$P883='تقرير فبراير'!$C$6),COUNT(AB$4:AB882)+1,"")</f>
        <v/>
      </c>
      <c r="AC883">
        <f>IF(AND($A883&lt;&gt;"",$B883&lt;&gt;"",$R883='تقرير مارس'!$C$4,$P883='تقرير مارس'!$C$6),COUNT(AC$4:AC882)+1,"")</f>
        <v/>
      </c>
      <c r="AD883">
        <f>IF(AND($A883&lt;&gt;"",$B883&lt;&gt;"",$R883='تقرير أبريل'!$C$4,$P883='تقرير أبريل'!$C$6),COUNT(AD$4:AD882)+1,"")</f>
        <v/>
      </c>
      <c r="AE883">
        <f>IF(AND($A883&lt;&gt;"",$B883&lt;&gt;"",$R883='تقرير مايو'!$C$4,$P883='تقرير مايو'!$C$6),COUNT(AE$4:AE882)+1,"")</f>
        <v/>
      </c>
    </row>
    <row r="884">
      <c r="A884" s="16" t="n"/>
      <c r="B884" s="17" t="n"/>
      <c r="C884" s="17" t="n"/>
      <c r="D884" s="18" t="n"/>
      <c r="E884" s="17" t="n"/>
      <c r="F884" s="17" t="n"/>
      <c r="G884" s="19" t="n"/>
      <c r="H884" s="17" t="n"/>
      <c r="I884" s="17" t="n"/>
      <c r="J884" s="17" t="n"/>
      <c r="K884" s="20">
        <f>IF($B884="","",IFERROR(INDEX(الموظفات!$A$5:$A$304,MATCH($B884,الموظفات!$B$5:$B$304,0))&amp;"",""))</f>
        <v/>
      </c>
      <c r="L884" s="21">
        <f>IF($B884="","",IFERROR(INDEX(الموظفات!$C$5:$C$304,MATCH($B884,الموظفات!$B$5:$B$304,0))&amp;"",""))</f>
        <v/>
      </c>
      <c r="M884" s="20">
        <f>IF($B884="","",IFERROR(INDEX(الموظفات!$D$5:$D$304,MATCH($B884,الموظفات!$B$5:$B$304,0))&amp;"",""))</f>
        <v/>
      </c>
      <c r="N884" s="20">
        <f>IF($B884="","",IFERROR(INDEX(الموظفات!$E$5:$E$304,MATCH($B884,الموظفات!$B$5:$B$304,0))&amp;"",""))</f>
        <v/>
      </c>
      <c r="O884" s="21">
        <f>IF(C884="","",IFERROR(INDEX(الإعدادات!$D$7:$D$35,MATCH(C884,الإعدادات!$A$7:$A$35,0))&amp;"",""))</f>
        <v/>
      </c>
      <c r="P884" s="20">
        <f>IF(A884="","",INDEX(الإعدادات!$H$7:$H$18,MONTH(A884)))</f>
        <v/>
      </c>
      <c r="Q884" s="20">
        <f>IF(A884="","",INDEX(الإعدادات!$I$7:$I$18,MONTH(A884)))</f>
        <v/>
      </c>
      <c r="R884" s="20">
        <f>IF(A884="","",IF(MONTH(A884)&gt;=8,YEAR(A884)&amp;"-"&amp;(YEAR(A884)+1),(YEAR(A884)-1)&amp;"-"&amp;YEAR(A884)))</f>
        <v/>
      </c>
      <c r="S884" s="20">
        <f>IF(OR(A884="",B884=""),0,IF(AND(R884=التقارير!$C$4,OR(التقارير!$C$5="سنوي",AND(التقارير!$C$5="شهري",P884=التقارير!$C$6),AND(التقارير!$C$5="فصلي",Q884=التقارير!$C$7))),1,0))</f>
        <v/>
      </c>
      <c r="T884" s="20">
        <f>IF(S884=1,COUNTIF($S$5:S884,1),"")</f>
        <v/>
      </c>
      <c r="U884">
        <f>IF(AND($A884&lt;&gt;"",$B884&lt;&gt;"",$R884='تقرير الفصل الأول'!$C$4,$Q884='تقرير الفصل الأول'!$C$7),COUNT(U$4:U883)+1,"")</f>
        <v/>
      </c>
      <c r="V884">
        <f>IF(AND($A884&lt;&gt;"",$B884&lt;&gt;"",$R884='تقرير الفصل الثاني'!$C$4,$Q884='تقرير الفصل الثاني'!$C$7),COUNT(V$4:V883)+1,"")</f>
        <v/>
      </c>
      <c r="W884">
        <f>IF(AND($A884&lt;&gt;"",$B884&lt;&gt;"",$R884='تقرير سبتمبر'!$C$4,$P884='تقرير سبتمبر'!$C$6),COUNT(W$4:W883)+1,"")</f>
        <v/>
      </c>
      <c r="X884">
        <f>IF(AND($A884&lt;&gt;"",$B884&lt;&gt;"",$R884='تقرير أكتوبر'!$C$4,$P884='تقرير أكتوبر'!$C$6),COUNT(X$4:X883)+1,"")</f>
        <v/>
      </c>
      <c r="Y884">
        <f>IF(AND($A884&lt;&gt;"",$B884&lt;&gt;"",$R884='تقرير نوفمبر'!$C$4,$P884='تقرير نوفمبر'!$C$6),COUNT(Y$4:Y883)+1,"")</f>
        <v/>
      </c>
      <c r="Z884">
        <f>IF(AND($A884&lt;&gt;"",$B884&lt;&gt;"",$R884='تقرير ديسمبر'!$C$4,$P884='تقرير ديسمبر'!$C$6),COUNT(Z$4:Z883)+1,"")</f>
        <v/>
      </c>
      <c r="AA884">
        <f>IF(AND($A884&lt;&gt;"",$B884&lt;&gt;"",$R884='تقرير يناير'!$C$4,$P884='تقرير يناير'!$C$6),COUNT(AA$4:AA883)+1,"")</f>
        <v/>
      </c>
      <c r="AB884">
        <f>IF(AND($A884&lt;&gt;"",$B884&lt;&gt;"",$R884='تقرير فبراير'!$C$4,$P884='تقرير فبراير'!$C$6),COUNT(AB$4:AB883)+1,"")</f>
        <v/>
      </c>
      <c r="AC884">
        <f>IF(AND($A884&lt;&gt;"",$B884&lt;&gt;"",$R884='تقرير مارس'!$C$4,$P884='تقرير مارس'!$C$6),COUNT(AC$4:AC883)+1,"")</f>
        <v/>
      </c>
      <c r="AD884">
        <f>IF(AND($A884&lt;&gt;"",$B884&lt;&gt;"",$R884='تقرير أبريل'!$C$4,$P884='تقرير أبريل'!$C$6),COUNT(AD$4:AD883)+1,"")</f>
        <v/>
      </c>
      <c r="AE884">
        <f>IF(AND($A884&lt;&gt;"",$B884&lt;&gt;"",$R884='تقرير مايو'!$C$4,$P884='تقرير مايو'!$C$6),COUNT(AE$4:AE883)+1,"")</f>
        <v/>
      </c>
    </row>
    <row r="885">
      <c r="A885" s="16" t="n"/>
      <c r="B885" s="17" t="n"/>
      <c r="C885" s="17" t="n"/>
      <c r="D885" s="18" t="n"/>
      <c r="E885" s="17" t="n"/>
      <c r="F885" s="17" t="n"/>
      <c r="G885" s="19" t="n"/>
      <c r="H885" s="17" t="n"/>
      <c r="I885" s="17" t="n"/>
      <c r="J885" s="17" t="n"/>
      <c r="K885" s="20">
        <f>IF($B885="","",IFERROR(INDEX(الموظفات!$A$5:$A$304,MATCH($B885,الموظفات!$B$5:$B$304,0))&amp;"",""))</f>
        <v/>
      </c>
      <c r="L885" s="21">
        <f>IF($B885="","",IFERROR(INDEX(الموظفات!$C$5:$C$304,MATCH($B885,الموظفات!$B$5:$B$304,0))&amp;"",""))</f>
        <v/>
      </c>
      <c r="M885" s="20">
        <f>IF($B885="","",IFERROR(INDEX(الموظفات!$D$5:$D$304,MATCH($B885,الموظفات!$B$5:$B$304,0))&amp;"",""))</f>
        <v/>
      </c>
      <c r="N885" s="20">
        <f>IF($B885="","",IFERROR(INDEX(الموظفات!$E$5:$E$304,MATCH($B885,الموظفات!$B$5:$B$304,0))&amp;"",""))</f>
        <v/>
      </c>
      <c r="O885" s="21">
        <f>IF(C885="","",IFERROR(INDEX(الإعدادات!$D$7:$D$35,MATCH(C885,الإعدادات!$A$7:$A$35,0))&amp;"",""))</f>
        <v/>
      </c>
      <c r="P885" s="20">
        <f>IF(A885="","",INDEX(الإعدادات!$H$7:$H$18,MONTH(A885)))</f>
        <v/>
      </c>
      <c r="Q885" s="20">
        <f>IF(A885="","",INDEX(الإعدادات!$I$7:$I$18,MONTH(A885)))</f>
        <v/>
      </c>
      <c r="R885" s="20">
        <f>IF(A885="","",IF(MONTH(A885)&gt;=8,YEAR(A885)&amp;"-"&amp;(YEAR(A885)+1),(YEAR(A885)-1)&amp;"-"&amp;YEAR(A885)))</f>
        <v/>
      </c>
      <c r="S885" s="20">
        <f>IF(OR(A885="",B885=""),0,IF(AND(R885=التقارير!$C$4,OR(التقارير!$C$5="سنوي",AND(التقارير!$C$5="شهري",P885=التقارير!$C$6),AND(التقارير!$C$5="فصلي",Q885=التقارير!$C$7))),1,0))</f>
        <v/>
      </c>
      <c r="T885" s="20">
        <f>IF(S885=1,COUNTIF($S$5:S885,1),"")</f>
        <v/>
      </c>
      <c r="U885">
        <f>IF(AND($A885&lt;&gt;"",$B885&lt;&gt;"",$R885='تقرير الفصل الأول'!$C$4,$Q885='تقرير الفصل الأول'!$C$7),COUNT(U$4:U884)+1,"")</f>
        <v/>
      </c>
      <c r="V885">
        <f>IF(AND($A885&lt;&gt;"",$B885&lt;&gt;"",$R885='تقرير الفصل الثاني'!$C$4,$Q885='تقرير الفصل الثاني'!$C$7),COUNT(V$4:V884)+1,"")</f>
        <v/>
      </c>
      <c r="W885">
        <f>IF(AND($A885&lt;&gt;"",$B885&lt;&gt;"",$R885='تقرير سبتمبر'!$C$4,$P885='تقرير سبتمبر'!$C$6),COUNT(W$4:W884)+1,"")</f>
        <v/>
      </c>
      <c r="X885">
        <f>IF(AND($A885&lt;&gt;"",$B885&lt;&gt;"",$R885='تقرير أكتوبر'!$C$4,$P885='تقرير أكتوبر'!$C$6),COUNT(X$4:X884)+1,"")</f>
        <v/>
      </c>
      <c r="Y885">
        <f>IF(AND($A885&lt;&gt;"",$B885&lt;&gt;"",$R885='تقرير نوفمبر'!$C$4,$P885='تقرير نوفمبر'!$C$6),COUNT(Y$4:Y884)+1,"")</f>
        <v/>
      </c>
      <c r="Z885">
        <f>IF(AND($A885&lt;&gt;"",$B885&lt;&gt;"",$R885='تقرير ديسمبر'!$C$4,$P885='تقرير ديسمبر'!$C$6),COUNT(Z$4:Z884)+1,"")</f>
        <v/>
      </c>
      <c r="AA885">
        <f>IF(AND($A885&lt;&gt;"",$B885&lt;&gt;"",$R885='تقرير يناير'!$C$4,$P885='تقرير يناير'!$C$6),COUNT(AA$4:AA884)+1,"")</f>
        <v/>
      </c>
      <c r="AB885">
        <f>IF(AND($A885&lt;&gt;"",$B885&lt;&gt;"",$R885='تقرير فبراير'!$C$4,$P885='تقرير فبراير'!$C$6),COUNT(AB$4:AB884)+1,"")</f>
        <v/>
      </c>
      <c r="AC885">
        <f>IF(AND($A885&lt;&gt;"",$B885&lt;&gt;"",$R885='تقرير مارس'!$C$4,$P885='تقرير مارس'!$C$6),COUNT(AC$4:AC884)+1,"")</f>
        <v/>
      </c>
      <c r="AD885">
        <f>IF(AND($A885&lt;&gt;"",$B885&lt;&gt;"",$R885='تقرير أبريل'!$C$4,$P885='تقرير أبريل'!$C$6),COUNT(AD$4:AD884)+1,"")</f>
        <v/>
      </c>
      <c r="AE885">
        <f>IF(AND($A885&lt;&gt;"",$B885&lt;&gt;"",$R885='تقرير مايو'!$C$4,$P885='تقرير مايو'!$C$6),COUNT(AE$4:AE884)+1,"")</f>
        <v/>
      </c>
    </row>
    <row r="886">
      <c r="A886" s="16" t="n"/>
      <c r="B886" s="17" t="n"/>
      <c r="C886" s="17" t="n"/>
      <c r="D886" s="18" t="n"/>
      <c r="E886" s="17" t="n"/>
      <c r="F886" s="17" t="n"/>
      <c r="G886" s="19" t="n"/>
      <c r="H886" s="17" t="n"/>
      <c r="I886" s="17" t="n"/>
      <c r="J886" s="17" t="n"/>
      <c r="K886" s="20">
        <f>IF($B886="","",IFERROR(INDEX(الموظفات!$A$5:$A$304,MATCH($B886,الموظفات!$B$5:$B$304,0))&amp;"",""))</f>
        <v/>
      </c>
      <c r="L886" s="21">
        <f>IF($B886="","",IFERROR(INDEX(الموظفات!$C$5:$C$304,MATCH($B886,الموظفات!$B$5:$B$304,0))&amp;"",""))</f>
        <v/>
      </c>
      <c r="M886" s="20">
        <f>IF($B886="","",IFERROR(INDEX(الموظفات!$D$5:$D$304,MATCH($B886,الموظفات!$B$5:$B$304,0))&amp;"",""))</f>
        <v/>
      </c>
      <c r="N886" s="20">
        <f>IF($B886="","",IFERROR(INDEX(الموظفات!$E$5:$E$304,MATCH($B886,الموظفات!$B$5:$B$304,0))&amp;"",""))</f>
        <v/>
      </c>
      <c r="O886" s="21">
        <f>IF(C886="","",IFERROR(INDEX(الإعدادات!$D$7:$D$35,MATCH(C886,الإعدادات!$A$7:$A$35,0))&amp;"",""))</f>
        <v/>
      </c>
      <c r="P886" s="20">
        <f>IF(A886="","",INDEX(الإعدادات!$H$7:$H$18,MONTH(A886)))</f>
        <v/>
      </c>
      <c r="Q886" s="20">
        <f>IF(A886="","",INDEX(الإعدادات!$I$7:$I$18,MONTH(A886)))</f>
        <v/>
      </c>
      <c r="R886" s="20">
        <f>IF(A886="","",IF(MONTH(A886)&gt;=8,YEAR(A886)&amp;"-"&amp;(YEAR(A886)+1),(YEAR(A886)-1)&amp;"-"&amp;YEAR(A886)))</f>
        <v/>
      </c>
      <c r="S886" s="20">
        <f>IF(OR(A886="",B886=""),0,IF(AND(R886=التقارير!$C$4,OR(التقارير!$C$5="سنوي",AND(التقارير!$C$5="شهري",P886=التقارير!$C$6),AND(التقارير!$C$5="فصلي",Q886=التقارير!$C$7))),1,0))</f>
        <v/>
      </c>
      <c r="T886" s="20">
        <f>IF(S886=1,COUNTIF($S$5:S886,1),"")</f>
        <v/>
      </c>
      <c r="U886">
        <f>IF(AND($A886&lt;&gt;"",$B886&lt;&gt;"",$R886='تقرير الفصل الأول'!$C$4,$Q886='تقرير الفصل الأول'!$C$7),COUNT(U$4:U885)+1,"")</f>
        <v/>
      </c>
      <c r="V886">
        <f>IF(AND($A886&lt;&gt;"",$B886&lt;&gt;"",$R886='تقرير الفصل الثاني'!$C$4,$Q886='تقرير الفصل الثاني'!$C$7),COUNT(V$4:V885)+1,"")</f>
        <v/>
      </c>
      <c r="W886">
        <f>IF(AND($A886&lt;&gt;"",$B886&lt;&gt;"",$R886='تقرير سبتمبر'!$C$4,$P886='تقرير سبتمبر'!$C$6),COUNT(W$4:W885)+1,"")</f>
        <v/>
      </c>
      <c r="X886">
        <f>IF(AND($A886&lt;&gt;"",$B886&lt;&gt;"",$R886='تقرير أكتوبر'!$C$4,$P886='تقرير أكتوبر'!$C$6),COUNT(X$4:X885)+1,"")</f>
        <v/>
      </c>
      <c r="Y886">
        <f>IF(AND($A886&lt;&gt;"",$B886&lt;&gt;"",$R886='تقرير نوفمبر'!$C$4,$P886='تقرير نوفمبر'!$C$6),COUNT(Y$4:Y885)+1,"")</f>
        <v/>
      </c>
      <c r="Z886">
        <f>IF(AND($A886&lt;&gt;"",$B886&lt;&gt;"",$R886='تقرير ديسمبر'!$C$4,$P886='تقرير ديسمبر'!$C$6),COUNT(Z$4:Z885)+1,"")</f>
        <v/>
      </c>
      <c r="AA886">
        <f>IF(AND($A886&lt;&gt;"",$B886&lt;&gt;"",$R886='تقرير يناير'!$C$4,$P886='تقرير يناير'!$C$6),COUNT(AA$4:AA885)+1,"")</f>
        <v/>
      </c>
      <c r="AB886">
        <f>IF(AND($A886&lt;&gt;"",$B886&lt;&gt;"",$R886='تقرير فبراير'!$C$4,$P886='تقرير فبراير'!$C$6),COUNT(AB$4:AB885)+1,"")</f>
        <v/>
      </c>
      <c r="AC886">
        <f>IF(AND($A886&lt;&gt;"",$B886&lt;&gt;"",$R886='تقرير مارس'!$C$4,$P886='تقرير مارس'!$C$6),COUNT(AC$4:AC885)+1,"")</f>
        <v/>
      </c>
      <c r="AD886">
        <f>IF(AND($A886&lt;&gt;"",$B886&lt;&gt;"",$R886='تقرير أبريل'!$C$4,$P886='تقرير أبريل'!$C$6),COUNT(AD$4:AD885)+1,"")</f>
        <v/>
      </c>
      <c r="AE886">
        <f>IF(AND($A886&lt;&gt;"",$B886&lt;&gt;"",$R886='تقرير مايو'!$C$4,$P886='تقرير مايو'!$C$6),COUNT(AE$4:AE885)+1,"")</f>
        <v/>
      </c>
    </row>
    <row r="887">
      <c r="A887" s="16" t="n"/>
      <c r="B887" s="17" t="n"/>
      <c r="C887" s="17" t="n"/>
      <c r="D887" s="18" t="n"/>
      <c r="E887" s="17" t="n"/>
      <c r="F887" s="17" t="n"/>
      <c r="G887" s="19" t="n"/>
      <c r="H887" s="17" t="n"/>
      <c r="I887" s="17" t="n"/>
      <c r="J887" s="17" t="n"/>
      <c r="K887" s="20">
        <f>IF($B887="","",IFERROR(INDEX(الموظفات!$A$5:$A$304,MATCH($B887,الموظفات!$B$5:$B$304,0))&amp;"",""))</f>
        <v/>
      </c>
      <c r="L887" s="21">
        <f>IF($B887="","",IFERROR(INDEX(الموظفات!$C$5:$C$304,MATCH($B887,الموظفات!$B$5:$B$304,0))&amp;"",""))</f>
        <v/>
      </c>
      <c r="M887" s="20">
        <f>IF($B887="","",IFERROR(INDEX(الموظفات!$D$5:$D$304,MATCH($B887,الموظفات!$B$5:$B$304,0))&amp;"",""))</f>
        <v/>
      </c>
      <c r="N887" s="20">
        <f>IF($B887="","",IFERROR(INDEX(الموظفات!$E$5:$E$304,MATCH($B887,الموظفات!$B$5:$B$304,0))&amp;"",""))</f>
        <v/>
      </c>
      <c r="O887" s="21">
        <f>IF(C887="","",IFERROR(INDEX(الإعدادات!$D$7:$D$35,MATCH(C887,الإعدادات!$A$7:$A$35,0))&amp;"",""))</f>
        <v/>
      </c>
      <c r="P887" s="20">
        <f>IF(A887="","",INDEX(الإعدادات!$H$7:$H$18,MONTH(A887)))</f>
        <v/>
      </c>
      <c r="Q887" s="20">
        <f>IF(A887="","",INDEX(الإعدادات!$I$7:$I$18,MONTH(A887)))</f>
        <v/>
      </c>
      <c r="R887" s="20">
        <f>IF(A887="","",IF(MONTH(A887)&gt;=8,YEAR(A887)&amp;"-"&amp;(YEAR(A887)+1),(YEAR(A887)-1)&amp;"-"&amp;YEAR(A887)))</f>
        <v/>
      </c>
      <c r="S887" s="20">
        <f>IF(OR(A887="",B887=""),0,IF(AND(R887=التقارير!$C$4,OR(التقارير!$C$5="سنوي",AND(التقارير!$C$5="شهري",P887=التقارير!$C$6),AND(التقارير!$C$5="فصلي",Q887=التقارير!$C$7))),1,0))</f>
        <v/>
      </c>
      <c r="T887" s="20">
        <f>IF(S887=1,COUNTIF($S$5:S887,1),"")</f>
        <v/>
      </c>
      <c r="U887">
        <f>IF(AND($A887&lt;&gt;"",$B887&lt;&gt;"",$R887='تقرير الفصل الأول'!$C$4,$Q887='تقرير الفصل الأول'!$C$7),COUNT(U$4:U886)+1,"")</f>
        <v/>
      </c>
      <c r="V887">
        <f>IF(AND($A887&lt;&gt;"",$B887&lt;&gt;"",$R887='تقرير الفصل الثاني'!$C$4,$Q887='تقرير الفصل الثاني'!$C$7),COUNT(V$4:V886)+1,"")</f>
        <v/>
      </c>
      <c r="W887">
        <f>IF(AND($A887&lt;&gt;"",$B887&lt;&gt;"",$R887='تقرير سبتمبر'!$C$4,$P887='تقرير سبتمبر'!$C$6),COUNT(W$4:W886)+1,"")</f>
        <v/>
      </c>
      <c r="X887">
        <f>IF(AND($A887&lt;&gt;"",$B887&lt;&gt;"",$R887='تقرير أكتوبر'!$C$4,$P887='تقرير أكتوبر'!$C$6),COUNT(X$4:X886)+1,"")</f>
        <v/>
      </c>
      <c r="Y887">
        <f>IF(AND($A887&lt;&gt;"",$B887&lt;&gt;"",$R887='تقرير نوفمبر'!$C$4,$P887='تقرير نوفمبر'!$C$6),COUNT(Y$4:Y886)+1,"")</f>
        <v/>
      </c>
      <c r="Z887">
        <f>IF(AND($A887&lt;&gt;"",$B887&lt;&gt;"",$R887='تقرير ديسمبر'!$C$4,$P887='تقرير ديسمبر'!$C$6),COUNT(Z$4:Z886)+1,"")</f>
        <v/>
      </c>
      <c r="AA887">
        <f>IF(AND($A887&lt;&gt;"",$B887&lt;&gt;"",$R887='تقرير يناير'!$C$4,$P887='تقرير يناير'!$C$6),COUNT(AA$4:AA886)+1,"")</f>
        <v/>
      </c>
      <c r="AB887">
        <f>IF(AND($A887&lt;&gt;"",$B887&lt;&gt;"",$R887='تقرير فبراير'!$C$4,$P887='تقرير فبراير'!$C$6),COUNT(AB$4:AB886)+1,"")</f>
        <v/>
      </c>
      <c r="AC887">
        <f>IF(AND($A887&lt;&gt;"",$B887&lt;&gt;"",$R887='تقرير مارس'!$C$4,$P887='تقرير مارس'!$C$6),COUNT(AC$4:AC886)+1,"")</f>
        <v/>
      </c>
      <c r="AD887">
        <f>IF(AND($A887&lt;&gt;"",$B887&lt;&gt;"",$R887='تقرير أبريل'!$C$4,$P887='تقرير أبريل'!$C$6),COUNT(AD$4:AD886)+1,"")</f>
        <v/>
      </c>
      <c r="AE887">
        <f>IF(AND($A887&lt;&gt;"",$B887&lt;&gt;"",$R887='تقرير مايو'!$C$4,$P887='تقرير مايو'!$C$6),COUNT(AE$4:AE886)+1,"")</f>
        <v/>
      </c>
    </row>
    <row r="888">
      <c r="A888" s="16" t="n"/>
      <c r="B888" s="17" t="n"/>
      <c r="C888" s="17" t="n"/>
      <c r="D888" s="18" t="n"/>
      <c r="E888" s="17" t="n"/>
      <c r="F888" s="17" t="n"/>
      <c r="G888" s="19" t="n"/>
      <c r="H888" s="17" t="n"/>
      <c r="I888" s="17" t="n"/>
      <c r="J888" s="17" t="n"/>
      <c r="K888" s="20">
        <f>IF($B888="","",IFERROR(INDEX(الموظفات!$A$5:$A$304,MATCH($B888,الموظفات!$B$5:$B$304,0))&amp;"",""))</f>
        <v/>
      </c>
      <c r="L888" s="21">
        <f>IF($B888="","",IFERROR(INDEX(الموظفات!$C$5:$C$304,MATCH($B888,الموظفات!$B$5:$B$304,0))&amp;"",""))</f>
        <v/>
      </c>
      <c r="M888" s="20">
        <f>IF($B888="","",IFERROR(INDEX(الموظفات!$D$5:$D$304,MATCH($B888,الموظفات!$B$5:$B$304,0))&amp;"",""))</f>
        <v/>
      </c>
      <c r="N888" s="20">
        <f>IF($B888="","",IFERROR(INDEX(الموظفات!$E$5:$E$304,MATCH($B888,الموظفات!$B$5:$B$304,0))&amp;"",""))</f>
        <v/>
      </c>
      <c r="O888" s="21">
        <f>IF(C888="","",IFERROR(INDEX(الإعدادات!$D$7:$D$35,MATCH(C888,الإعدادات!$A$7:$A$35,0))&amp;"",""))</f>
        <v/>
      </c>
      <c r="P888" s="20">
        <f>IF(A888="","",INDEX(الإعدادات!$H$7:$H$18,MONTH(A888)))</f>
        <v/>
      </c>
      <c r="Q888" s="20">
        <f>IF(A888="","",INDEX(الإعدادات!$I$7:$I$18,MONTH(A888)))</f>
        <v/>
      </c>
      <c r="R888" s="20">
        <f>IF(A888="","",IF(MONTH(A888)&gt;=8,YEAR(A888)&amp;"-"&amp;(YEAR(A888)+1),(YEAR(A888)-1)&amp;"-"&amp;YEAR(A888)))</f>
        <v/>
      </c>
      <c r="S888" s="20">
        <f>IF(OR(A888="",B888=""),0,IF(AND(R888=التقارير!$C$4,OR(التقارير!$C$5="سنوي",AND(التقارير!$C$5="شهري",P888=التقارير!$C$6),AND(التقارير!$C$5="فصلي",Q888=التقارير!$C$7))),1,0))</f>
        <v/>
      </c>
      <c r="T888" s="20">
        <f>IF(S888=1,COUNTIF($S$5:S888,1),"")</f>
        <v/>
      </c>
      <c r="U888">
        <f>IF(AND($A888&lt;&gt;"",$B888&lt;&gt;"",$R888='تقرير الفصل الأول'!$C$4,$Q888='تقرير الفصل الأول'!$C$7),COUNT(U$4:U887)+1,"")</f>
        <v/>
      </c>
      <c r="V888">
        <f>IF(AND($A888&lt;&gt;"",$B888&lt;&gt;"",$R888='تقرير الفصل الثاني'!$C$4,$Q888='تقرير الفصل الثاني'!$C$7),COUNT(V$4:V887)+1,"")</f>
        <v/>
      </c>
      <c r="W888">
        <f>IF(AND($A888&lt;&gt;"",$B888&lt;&gt;"",$R888='تقرير سبتمبر'!$C$4,$P888='تقرير سبتمبر'!$C$6),COUNT(W$4:W887)+1,"")</f>
        <v/>
      </c>
      <c r="X888">
        <f>IF(AND($A888&lt;&gt;"",$B888&lt;&gt;"",$R888='تقرير أكتوبر'!$C$4,$P888='تقرير أكتوبر'!$C$6),COUNT(X$4:X887)+1,"")</f>
        <v/>
      </c>
      <c r="Y888">
        <f>IF(AND($A888&lt;&gt;"",$B888&lt;&gt;"",$R888='تقرير نوفمبر'!$C$4,$P888='تقرير نوفمبر'!$C$6),COUNT(Y$4:Y887)+1,"")</f>
        <v/>
      </c>
      <c r="Z888">
        <f>IF(AND($A888&lt;&gt;"",$B888&lt;&gt;"",$R888='تقرير ديسمبر'!$C$4,$P888='تقرير ديسمبر'!$C$6),COUNT(Z$4:Z887)+1,"")</f>
        <v/>
      </c>
      <c r="AA888">
        <f>IF(AND($A888&lt;&gt;"",$B888&lt;&gt;"",$R888='تقرير يناير'!$C$4,$P888='تقرير يناير'!$C$6),COUNT(AA$4:AA887)+1,"")</f>
        <v/>
      </c>
      <c r="AB888">
        <f>IF(AND($A888&lt;&gt;"",$B888&lt;&gt;"",$R888='تقرير فبراير'!$C$4,$P888='تقرير فبراير'!$C$6),COUNT(AB$4:AB887)+1,"")</f>
        <v/>
      </c>
      <c r="AC888">
        <f>IF(AND($A888&lt;&gt;"",$B888&lt;&gt;"",$R888='تقرير مارس'!$C$4,$P888='تقرير مارس'!$C$6),COUNT(AC$4:AC887)+1,"")</f>
        <v/>
      </c>
      <c r="AD888">
        <f>IF(AND($A888&lt;&gt;"",$B888&lt;&gt;"",$R888='تقرير أبريل'!$C$4,$P888='تقرير أبريل'!$C$6),COUNT(AD$4:AD887)+1,"")</f>
        <v/>
      </c>
      <c r="AE888">
        <f>IF(AND($A888&lt;&gt;"",$B888&lt;&gt;"",$R888='تقرير مايو'!$C$4,$P888='تقرير مايو'!$C$6),COUNT(AE$4:AE887)+1,"")</f>
        <v/>
      </c>
    </row>
    <row r="889">
      <c r="A889" s="16" t="n"/>
      <c r="B889" s="17" t="n"/>
      <c r="C889" s="17" t="n"/>
      <c r="D889" s="18" t="n"/>
      <c r="E889" s="17" t="n"/>
      <c r="F889" s="17" t="n"/>
      <c r="G889" s="19" t="n"/>
      <c r="H889" s="17" t="n"/>
      <c r="I889" s="17" t="n"/>
      <c r="J889" s="17" t="n"/>
      <c r="K889" s="20">
        <f>IF($B889="","",IFERROR(INDEX(الموظفات!$A$5:$A$304,MATCH($B889,الموظفات!$B$5:$B$304,0))&amp;"",""))</f>
        <v/>
      </c>
      <c r="L889" s="21">
        <f>IF($B889="","",IFERROR(INDEX(الموظفات!$C$5:$C$304,MATCH($B889,الموظفات!$B$5:$B$304,0))&amp;"",""))</f>
        <v/>
      </c>
      <c r="M889" s="20">
        <f>IF($B889="","",IFERROR(INDEX(الموظفات!$D$5:$D$304,MATCH($B889,الموظفات!$B$5:$B$304,0))&amp;"",""))</f>
        <v/>
      </c>
      <c r="N889" s="20">
        <f>IF($B889="","",IFERROR(INDEX(الموظفات!$E$5:$E$304,MATCH($B889,الموظفات!$B$5:$B$304,0))&amp;"",""))</f>
        <v/>
      </c>
      <c r="O889" s="21">
        <f>IF(C889="","",IFERROR(INDEX(الإعدادات!$D$7:$D$35,MATCH(C889,الإعدادات!$A$7:$A$35,0))&amp;"",""))</f>
        <v/>
      </c>
      <c r="P889" s="20">
        <f>IF(A889="","",INDEX(الإعدادات!$H$7:$H$18,MONTH(A889)))</f>
        <v/>
      </c>
      <c r="Q889" s="20">
        <f>IF(A889="","",INDEX(الإعدادات!$I$7:$I$18,MONTH(A889)))</f>
        <v/>
      </c>
      <c r="R889" s="20">
        <f>IF(A889="","",IF(MONTH(A889)&gt;=8,YEAR(A889)&amp;"-"&amp;(YEAR(A889)+1),(YEAR(A889)-1)&amp;"-"&amp;YEAR(A889)))</f>
        <v/>
      </c>
      <c r="S889" s="20">
        <f>IF(OR(A889="",B889=""),0,IF(AND(R889=التقارير!$C$4,OR(التقارير!$C$5="سنوي",AND(التقارير!$C$5="شهري",P889=التقارير!$C$6),AND(التقارير!$C$5="فصلي",Q889=التقارير!$C$7))),1,0))</f>
        <v/>
      </c>
      <c r="T889" s="20">
        <f>IF(S889=1,COUNTIF($S$5:S889,1),"")</f>
        <v/>
      </c>
      <c r="U889">
        <f>IF(AND($A889&lt;&gt;"",$B889&lt;&gt;"",$R889='تقرير الفصل الأول'!$C$4,$Q889='تقرير الفصل الأول'!$C$7),COUNT(U$4:U888)+1,"")</f>
        <v/>
      </c>
      <c r="V889">
        <f>IF(AND($A889&lt;&gt;"",$B889&lt;&gt;"",$R889='تقرير الفصل الثاني'!$C$4,$Q889='تقرير الفصل الثاني'!$C$7),COUNT(V$4:V888)+1,"")</f>
        <v/>
      </c>
      <c r="W889">
        <f>IF(AND($A889&lt;&gt;"",$B889&lt;&gt;"",$R889='تقرير سبتمبر'!$C$4,$P889='تقرير سبتمبر'!$C$6),COUNT(W$4:W888)+1,"")</f>
        <v/>
      </c>
      <c r="X889">
        <f>IF(AND($A889&lt;&gt;"",$B889&lt;&gt;"",$R889='تقرير أكتوبر'!$C$4,$P889='تقرير أكتوبر'!$C$6),COUNT(X$4:X888)+1,"")</f>
        <v/>
      </c>
      <c r="Y889">
        <f>IF(AND($A889&lt;&gt;"",$B889&lt;&gt;"",$R889='تقرير نوفمبر'!$C$4,$P889='تقرير نوفمبر'!$C$6),COUNT(Y$4:Y888)+1,"")</f>
        <v/>
      </c>
      <c r="Z889">
        <f>IF(AND($A889&lt;&gt;"",$B889&lt;&gt;"",$R889='تقرير ديسمبر'!$C$4,$P889='تقرير ديسمبر'!$C$6),COUNT(Z$4:Z888)+1,"")</f>
        <v/>
      </c>
      <c r="AA889">
        <f>IF(AND($A889&lt;&gt;"",$B889&lt;&gt;"",$R889='تقرير يناير'!$C$4,$P889='تقرير يناير'!$C$6),COUNT(AA$4:AA888)+1,"")</f>
        <v/>
      </c>
      <c r="AB889">
        <f>IF(AND($A889&lt;&gt;"",$B889&lt;&gt;"",$R889='تقرير فبراير'!$C$4,$P889='تقرير فبراير'!$C$6),COUNT(AB$4:AB888)+1,"")</f>
        <v/>
      </c>
      <c r="AC889">
        <f>IF(AND($A889&lt;&gt;"",$B889&lt;&gt;"",$R889='تقرير مارس'!$C$4,$P889='تقرير مارس'!$C$6),COUNT(AC$4:AC888)+1,"")</f>
        <v/>
      </c>
      <c r="AD889">
        <f>IF(AND($A889&lt;&gt;"",$B889&lt;&gt;"",$R889='تقرير أبريل'!$C$4,$P889='تقرير أبريل'!$C$6),COUNT(AD$4:AD888)+1,"")</f>
        <v/>
      </c>
      <c r="AE889">
        <f>IF(AND($A889&lt;&gt;"",$B889&lt;&gt;"",$R889='تقرير مايو'!$C$4,$P889='تقرير مايو'!$C$6),COUNT(AE$4:AE888)+1,"")</f>
        <v/>
      </c>
    </row>
    <row r="890">
      <c r="A890" s="16" t="n"/>
      <c r="B890" s="17" t="n"/>
      <c r="C890" s="17" t="n"/>
      <c r="D890" s="18" t="n"/>
      <c r="E890" s="17" t="n"/>
      <c r="F890" s="17" t="n"/>
      <c r="G890" s="19" t="n"/>
      <c r="H890" s="17" t="n"/>
      <c r="I890" s="17" t="n"/>
      <c r="J890" s="17" t="n"/>
      <c r="K890" s="20">
        <f>IF($B890="","",IFERROR(INDEX(الموظفات!$A$5:$A$304,MATCH($B890,الموظفات!$B$5:$B$304,0))&amp;"",""))</f>
        <v/>
      </c>
      <c r="L890" s="21">
        <f>IF($B890="","",IFERROR(INDEX(الموظفات!$C$5:$C$304,MATCH($B890,الموظفات!$B$5:$B$304,0))&amp;"",""))</f>
        <v/>
      </c>
      <c r="M890" s="20">
        <f>IF($B890="","",IFERROR(INDEX(الموظفات!$D$5:$D$304,MATCH($B890,الموظفات!$B$5:$B$304,0))&amp;"",""))</f>
        <v/>
      </c>
      <c r="N890" s="20">
        <f>IF($B890="","",IFERROR(INDEX(الموظفات!$E$5:$E$304,MATCH($B890,الموظفات!$B$5:$B$304,0))&amp;"",""))</f>
        <v/>
      </c>
      <c r="O890" s="21">
        <f>IF(C890="","",IFERROR(INDEX(الإعدادات!$D$7:$D$35,MATCH(C890,الإعدادات!$A$7:$A$35,0))&amp;"",""))</f>
        <v/>
      </c>
      <c r="P890" s="20">
        <f>IF(A890="","",INDEX(الإعدادات!$H$7:$H$18,MONTH(A890)))</f>
        <v/>
      </c>
      <c r="Q890" s="20">
        <f>IF(A890="","",INDEX(الإعدادات!$I$7:$I$18,MONTH(A890)))</f>
        <v/>
      </c>
      <c r="R890" s="20">
        <f>IF(A890="","",IF(MONTH(A890)&gt;=8,YEAR(A890)&amp;"-"&amp;(YEAR(A890)+1),(YEAR(A890)-1)&amp;"-"&amp;YEAR(A890)))</f>
        <v/>
      </c>
      <c r="S890" s="20">
        <f>IF(OR(A890="",B890=""),0,IF(AND(R890=التقارير!$C$4,OR(التقارير!$C$5="سنوي",AND(التقارير!$C$5="شهري",P890=التقارير!$C$6),AND(التقارير!$C$5="فصلي",Q890=التقارير!$C$7))),1,0))</f>
        <v/>
      </c>
      <c r="T890" s="20">
        <f>IF(S890=1,COUNTIF($S$5:S890,1),"")</f>
        <v/>
      </c>
      <c r="U890">
        <f>IF(AND($A890&lt;&gt;"",$B890&lt;&gt;"",$R890='تقرير الفصل الأول'!$C$4,$Q890='تقرير الفصل الأول'!$C$7),COUNT(U$4:U889)+1,"")</f>
        <v/>
      </c>
      <c r="V890">
        <f>IF(AND($A890&lt;&gt;"",$B890&lt;&gt;"",$R890='تقرير الفصل الثاني'!$C$4,$Q890='تقرير الفصل الثاني'!$C$7),COUNT(V$4:V889)+1,"")</f>
        <v/>
      </c>
      <c r="W890">
        <f>IF(AND($A890&lt;&gt;"",$B890&lt;&gt;"",$R890='تقرير سبتمبر'!$C$4,$P890='تقرير سبتمبر'!$C$6),COUNT(W$4:W889)+1,"")</f>
        <v/>
      </c>
      <c r="X890">
        <f>IF(AND($A890&lt;&gt;"",$B890&lt;&gt;"",$R890='تقرير أكتوبر'!$C$4,$P890='تقرير أكتوبر'!$C$6),COUNT(X$4:X889)+1,"")</f>
        <v/>
      </c>
      <c r="Y890">
        <f>IF(AND($A890&lt;&gt;"",$B890&lt;&gt;"",$R890='تقرير نوفمبر'!$C$4,$P890='تقرير نوفمبر'!$C$6),COUNT(Y$4:Y889)+1,"")</f>
        <v/>
      </c>
      <c r="Z890">
        <f>IF(AND($A890&lt;&gt;"",$B890&lt;&gt;"",$R890='تقرير ديسمبر'!$C$4,$P890='تقرير ديسمبر'!$C$6),COUNT(Z$4:Z889)+1,"")</f>
        <v/>
      </c>
      <c r="AA890">
        <f>IF(AND($A890&lt;&gt;"",$B890&lt;&gt;"",$R890='تقرير يناير'!$C$4,$P890='تقرير يناير'!$C$6),COUNT(AA$4:AA889)+1,"")</f>
        <v/>
      </c>
      <c r="AB890">
        <f>IF(AND($A890&lt;&gt;"",$B890&lt;&gt;"",$R890='تقرير فبراير'!$C$4,$P890='تقرير فبراير'!$C$6),COUNT(AB$4:AB889)+1,"")</f>
        <v/>
      </c>
      <c r="AC890">
        <f>IF(AND($A890&lt;&gt;"",$B890&lt;&gt;"",$R890='تقرير مارس'!$C$4,$P890='تقرير مارس'!$C$6),COUNT(AC$4:AC889)+1,"")</f>
        <v/>
      </c>
      <c r="AD890">
        <f>IF(AND($A890&lt;&gt;"",$B890&lt;&gt;"",$R890='تقرير أبريل'!$C$4,$P890='تقرير أبريل'!$C$6),COUNT(AD$4:AD889)+1,"")</f>
        <v/>
      </c>
      <c r="AE890">
        <f>IF(AND($A890&lt;&gt;"",$B890&lt;&gt;"",$R890='تقرير مايو'!$C$4,$P890='تقرير مايو'!$C$6),COUNT(AE$4:AE889)+1,"")</f>
        <v/>
      </c>
    </row>
    <row r="891">
      <c r="A891" s="16" t="n"/>
      <c r="B891" s="17" t="n"/>
      <c r="C891" s="17" t="n"/>
      <c r="D891" s="18" t="n"/>
      <c r="E891" s="17" t="n"/>
      <c r="F891" s="17" t="n"/>
      <c r="G891" s="19" t="n"/>
      <c r="H891" s="17" t="n"/>
      <c r="I891" s="17" t="n"/>
      <c r="J891" s="17" t="n"/>
      <c r="K891" s="20">
        <f>IF($B891="","",IFERROR(INDEX(الموظفات!$A$5:$A$304,MATCH($B891,الموظفات!$B$5:$B$304,0))&amp;"",""))</f>
        <v/>
      </c>
      <c r="L891" s="21">
        <f>IF($B891="","",IFERROR(INDEX(الموظفات!$C$5:$C$304,MATCH($B891,الموظفات!$B$5:$B$304,0))&amp;"",""))</f>
        <v/>
      </c>
      <c r="M891" s="20">
        <f>IF($B891="","",IFERROR(INDEX(الموظفات!$D$5:$D$304,MATCH($B891,الموظفات!$B$5:$B$304,0))&amp;"",""))</f>
        <v/>
      </c>
      <c r="N891" s="20">
        <f>IF($B891="","",IFERROR(INDEX(الموظفات!$E$5:$E$304,MATCH($B891,الموظفات!$B$5:$B$304,0))&amp;"",""))</f>
        <v/>
      </c>
      <c r="O891" s="21">
        <f>IF(C891="","",IFERROR(INDEX(الإعدادات!$D$7:$D$35,MATCH(C891,الإعدادات!$A$7:$A$35,0))&amp;"",""))</f>
        <v/>
      </c>
      <c r="P891" s="20">
        <f>IF(A891="","",INDEX(الإعدادات!$H$7:$H$18,MONTH(A891)))</f>
        <v/>
      </c>
      <c r="Q891" s="20">
        <f>IF(A891="","",INDEX(الإعدادات!$I$7:$I$18,MONTH(A891)))</f>
        <v/>
      </c>
      <c r="R891" s="20">
        <f>IF(A891="","",IF(MONTH(A891)&gt;=8,YEAR(A891)&amp;"-"&amp;(YEAR(A891)+1),(YEAR(A891)-1)&amp;"-"&amp;YEAR(A891)))</f>
        <v/>
      </c>
      <c r="S891" s="20">
        <f>IF(OR(A891="",B891=""),0,IF(AND(R891=التقارير!$C$4,OR(التقارير!$C$5="سنوي",AND(التقارير!$C$5="شهري",P891=التقارير!$C$6),AND(التقارير!$C$5="فصلي",Q891=التقارير!$C$7))),1,0))</f>
        <v/>
      </c>
      <c r="T891" s="20">
        <f>IF(S891=1,COUNTIF($S$5:S891,1),"")</f>
        <v/>
      </c>
      <c r="U891">
        <f>IF(AND($A891&lt;&gt;"",$B891&lt;&gt;"",$R891='تقرير الفصل الأول'!$C$4,$Q891='تقرير الفصل الأول'!$C$7),COUNT(U$4:U890)+1,"")</f>
        <v/>
      </c>
      <c r="V891">
        <f>IF(AND($A891&lt;&gt;"",$B891&lt;&gt;"",$R891='تقرير الفصل الثاني'!$C$4,$Q891='تقرير الفصل الثاني'!$C$7),COUNT(V$4:V890)+1,"")</f>
        <v/>
      </c>
      <c r="W891">
        <f>IF(AND($A891&lt;&gt;"",$B891&lt;&gt;"",$R891='تقرير سبتمبر'!$C$4,$P891='تقرير سبتمبر'!$C$6),COUNT(W$4:W890)+1,"")</f>
        <v/>
      </c>
      <c r="X891">
        <f>IF(AND($A891&lt;&gt;"",$B891&lt;&gt;"",$R891='تقرير أكتوبر'!$C$4,$P891='تقرير أكتوبر'!$C$6),COUNT(X$4:X890)+1,"")</f>
        <v/>
      </c>
      <c r="Y891">
        <f>IF(AND($A891&lt;&gt;"",$B891&lt;&gt;"",$R891='تقرير نوفمبر'!$C$4,$P891='تقرير نوفمبر'!$C$6),COUNT(Y$4:Y890)+1,"")</f>
        <v/>
      </c>
      <c r="Z891">
        <f>IF(AND($A891&lt;&gt;"",$B891&lt;&gt;"",$R891='تقرير ديسمبر'!$C$4,$P891='تقرير ديسمبر'!$C$6),COUNT(Z$4:Z890)+1,"")</f>
        <v/>
      </c>
      <c r="AA891">
        <f>IF(AND($A891&lt;&gt;"",$B891&lt;&gt;"",$R891='تقرير يناير'!$C$4,$P891='تقرير يناير'!$C$6),COUNT(AA$4:AA890)+1,"")</f>
        <v/>
      </c>
      <c r="AB891">
        <f>IF(AND($A891&lt;&gt;"",$B891&lt;&gt;"",$R891='تقرير فبراير'!$C$4,$P891='تقرير فبراير'!$C$6),COUNT(AB$4:AB890)+1,"")</f>
        <v/>
      </c>
      <c r="AC891">
        <f>IF(AND($A891&lt;&gt;"",$B891&lt;&gt;"",$R891='تقرير مارس'!$C$4,$P891='تقرير مارس'!$C$6),COUNT(AC$4:AC890)+1,"")</f>
        <v/>
      </c>
      <c r="AD891">
        <f>IF(AND($A891&lt;&gt;"",$B891&lt;&gt;"",$R891='تقرير أبريل'!$C$4,$P891='تقرير أبريل'!$C$6),COUNT(AD$4:AD890)+1,"")</f>
        <v/>
      </c>
      <c r="AE891">
        <f>IF(AND($A891&lt;&gt;"",$B891&lt;&gt;"",$R891='تقرير مايو'!$C$4,$P891='تقرير مايو'!$C$6),COUNT(AE$4:AE890)+1,"")</f>
        <v/>
      </c>
    </row>
    <row r="892">
      <c r="A892" s="16" t="n"/>
      <c r="B892" s="17" t="n"/>
      <c r="C892" s="17" t="n"/>
      <c r="D892" s="18" t="n"/>
      <c r="E892" s="17" t="n"/>
      <c r="F892" s="17" t="n"/>
      <c r="G892" s="19" t="n"/>
      <c r="H892" s="17" t="n"/>
      <c r="I892" s="17" t="n"/>
      <c r="J892" s="17" t="n"/>
      <c r="K892" s="20">
        <f>IF($B892="","",IFERROR(INDEX(الموظفات!$A$5:$A$304,MATCH($B892,الموظفات!$B$5:$B$304,0))&amp;"",""))</f>
        <v/>
      </c>
      <c r="L892" s="21">
        <f>IF($B892="","",IFERROR(INDEX(الموظفات!$C$5:$C$304,MATCH($B892,الموظفات!$B$5:$B$304,0))&amp;"",""))</f>
        <v/>
      </c>
      <c r="M892" s="20">
        <f>IF($B892="","",IFERROR(INDEX(الموظفات!$D$5:$D$304,MATCH($B892,الموظفات!$B$5:$B$304,0))&amp;"",""))</f>
        <v/>
      </c>
      <c r="N892" s="20">
        <f>IF($B892="","",IFERROR(INDEX(الموظفات!$E$5:$E$304,MATCH($B892,الموظفات!$B$5:$B$304,0))&amp;"",""))</f>
        <v/>
      </c>
      <c r="O892" s="21">
        <f>IF(C892="","",IFERROR(INDEX(الإعدادات!$D$7:$D$35,MATCH(C892,الإعدادات!$A$7:$A$35,0))&amp;"",""))</f>
        <v/>
      </c>
      <c r="P892" s="20">
        <f>IF(A892="","",INDEX(الإعدادات!$H$7:$H$18,MONTH(A892)))</f>
        <v/>
      </c>
      <c r="Q892" s="20">
        <f>IF(A892="","",INDEX(الإعدادات!$I$7:$I$18,MONTH(A892)))</f>
        <v/>
      </c>
      <c r="R892" s="20">
        <f>IF(A892="","",IF(MONTH(A892)&gt;=8,YEAR(A892)&amp;"-"&amp;(YEAR(A892)+1),(YEAR(A892)-1)&amp;"-"&amp;YEAR(A892)))</f>
        <v/>
      </c>
      <c r="S892" s="20">
        <f>IF(OR(A892="",B892=""),0,IF(AND(R892=التقارير!$C$4,OR(التقارير!$C$5="سنوي",AND(التقارير!$C$5="شهري",P892=التقارير!$C$6),AND(التقارير!$C$5="فصلي",Q892=التقارير!$C$7))),1,0))</f>
        <v/>
      </c>
      <c r="T892" s="20">
        <f>IF(S892=1,COUNTIF($S$5:S892,1),"")</f>
        <v/>
      </c>
      <c r="U892">
        <f>IF(AND($A892&lt;&gt;"",$B892&lt;&gt;"",$R892='تقرير الفصل الأول'!$C$4,$Q892='تقرير الفصل الأول'!$C$7),COUNT(U$4:U891)+1,"")</f>
        <v/>
      </c>
      <c r="V892">
        <f>IF(AND($A892&lt;&gt;"",$B892&lt;&gt;"",$R892='تقرير الفصل الثاني'!$C$4,$Q892='تقرير الفصل الثاني'!$C$7),COUNT(V$4:V891)+1,"")</f>
        <v/>
      </c>
      <c r="W892">
        <f>IF(AND($A892&lt;&gt;"",$B892&lt;&gt;"",$R892='تقرير سبتمبر'!$C$4,$P892='تقرير سبتمبر'!$C$6),COUNT(W$4:W891)+1,"")</f>
        <v/>
      </c>
      <c r="X892">
        <f>IF(AND($A892&lt;&gt;"",$B892&lt;&gt;"",$R892='تقرير أكتوبر'!$C$4,$P892='تقرير أكتوبر'!$C$6),COUNT(X$4:X891)+1,"")</f>
        <v/>
      </c>
      <c r="Y892">
        <f>IF(AND($A892&lt;&gt;"",$B892&lt;&gt;"",$R892='تقرير نوفمبر'!$C$4,$P892='تقرير نوفمبر'!$C$6),COUNT(Y$4:Y891)+1,"")</f>
        <v/>
      </c>
      <c r="Z892">
        <f>IF(AND($A892&lt;&gt;"",$B892&lt;&gt;"",$R892='تقرير ديسمبر'!$C$4,$P892='تقرير ديسمبر'!$C$6),COUNT(Z$4:Z891)+1,"")</f>
        <v/>
      </c>
      <c r="AA892">
        <f>IF(AND($A892&lt;&gt;"",$B892&lt;&gt;"",$R892='تقرير يناير'!$C$4,$P892='تقرير يناير'!$C$6),COUNT(AA$4:AA891)+1,"")</f>
        <v/>
      </c>
      <c r="AB892">
        <f>IF(AND($A892&lt;&gt;"",$B892&lt;&gt;"",$R892='تقرير فبراير'!$C$4,$P892='تقرير فبراير'!$C$6),COUNT(AB$4:AB891)+1,"")</f>
        <v/>
      </c>
      <c r="AC892">
        <f>IF(AND($A892&lt;&gt;"",$B892&lt;&gt;"",$R892='تقرير مارس'!$C$4,$P892='تقرير مارس'!$C$6),COUNT(AC$4:AC891)+1,"")</f>
        <v/>
      </c>
      <c r="AD892">
        <f>IF(AND($A892&lt;&gt;"",$B892&lt;&gt;"",$R892='تقرير أبريل'!$C$4,$P892='تقرير أبريل'!$C$6),COUNT(AD$4:AD891)+1,"")</f>
        <v/>
      </c>
      <c r="AE892">
        <f>IF(AND($A892&lt;&gt;"",$B892&lt;&gt;"",$R892='تقرير مايو'!$C$4,$P892='تقرير مايو'!$C$6),COUNT(AE$4:AE891)+1,"")</f>
        <v/>
      </c>
    </row>
    <row r="893">
      <c r="A893" s="16" t="n"/>
      <c r="B893" s="17" t="n"/>
      <c r="C893" s="17" t="n"/>
      <c r="D893" s="18" t="n"/>
      <c r="E893" s="17" t="n"/>
      <c r="F893" s="17" t="n"/>
      <c r="G893" s="19" t="n"/>
      <c r="H893" s="17" t="n"/>
      <c r="I893" s="17" t="n"/>
      <c r="J893" s="17" t="n"/>
      <c r="K893" s="20">
        <f>IF($B893="","",IFERROR(INDEX(الموظفات!$A$5:$A$304,MATCH($B893,الموظفات!$B$5:$B$304,0))&amp;"",""))</f>
        <v/>
      </c>
      <c r="L893" s="21">
        <f>IF($B893="","",IFERROR(INDEX(الموظفات!$C$5:$C$304,MATCH($B893,الموظفات!$B$5:$B$304,0))&amp;"",""))</f>
        <v/>
      </c>
      <c r="M893" s="20">
        <f>IF($B893="","",IFERROR(INDEX(الموظفات!$D$5:$D$304,MATCH($B893,الموظفات!$B$5:$B$304,0))&amp;"",""))</f>
        <v/>
      </c>
      <c r="N893" s="20">
        <f>IF($B893="","",IFERROR(INDEX(الموظفات!$E$5:$E$304,MATCH($B893,الموظفات!$B$5:$B$304,0))&amp;"",""))</f>
        <v/>
      </c>
      <c r="O893" s="21">
        <f>IF(C893="","",IFERROR(INDEX(الإعدادات!$D$7:$D$35,MATCH(C893,الإعدادات!$A$7:$A$35,0))&amp;"",""))</f>
        <v/>
      </c>
      <c r="P893" s="20">
        <f>IF(A893="","",INDEX(الإعدادات!$H$7:$H$18,MONTH(A893)))</f>
        <v/>
      </c>
      <c r="Q893" s="20">
        <f>IF(A893="","",INDEX(الإعدادات!$I$7:$I$18,MONTH(A893)))</f>
        <v/>
      </c>
      <c r="R893" s="20">
        <f>IF(A893="","",IF(MONTH(A893)&gt;=8,YEAR(A893)&amp;"-"&amp;(YEAR(A893)+1),(YEAR(A893)-1)&amp;"-"&amp;YEAR(A893)))</f>
        <v/>
      </c>
      <c r="S893" s="20">
        <f>IF(OR(A893="",B893=""),0,IF(AND(R893=التقارير!$C$4,OR(التقارير!$C$5="سنوي",AND(التقارير!$C$5="شهري",P893=التقارير!$C$6),AND(التقارير!$C$5="فصلي",Q893=التقارير!$C$7))),1,0))</f>
        <v/>
      </c>
      <c r="T893" s="20">
        <f>IF(S893=1,COUNTIF($S$5:S893,1),"")</f>
        <v/>
      </c>
      <c r="U893">
        <f>IF(AND($A893&lt;&gt;"",$B893&lt;&gt;"",$R893='تقرير الفصل الأول'!$C$4,$Q893='تقرير الفصل الأول'!$C$7),COUNT(U$4:U892)+1,"")</f>
        <v/>
      </c>
      <c r="V893">
        <f>IF(AND($A893&lt;&gt;"",$B893&lt;&gt;"",$R893='تقرير الفصل الثاني'!$C$4,$Q893='تقرير الفصل الثاني'!$C$7),COUNT(V$4:V892)+1,"")</f>
        <v/>
      </c>
      <c r="W893">
        <f>IF(AND($A893&lt;&gt;"",$B893&lt;&gt;"",$R893='تقرير سبتمبر'!$C$4,$P893='تقرير سبتمبر'!$C$6),COUNT(W$4:W892)+1,"")</f>
        <v/>
      </c>
      <c r="X893">
        <f>IF(AND($A893&lt;&gt;"",$B893&lt;&gt;"",$R893='تقرير أكتوبر'!$C$4,$P893='تقرير أكتوبر'!$C$6),COUNT(X$4:X892)+1,"")</f>
        <v/>
      </c>
      <c r="Y893">
        <f>IF(AND($A893&lt;&gt;"",$B893&lt;&gt;"",$R893='تقرير نوفمبر'!$C$4,$P893='تقرير نوفمبر'!$C$6),COUNT(Y$4:Y892)+1,"")</f>
        <v/>
      </c>
      <c r="Z893">
        <f>IF(AND($A893&lt;&gt;"",$B893&lt;&gt;"",$R893='تقرير ديسمبر'!$C$4,$P893='تقرير ديسمبر'!$C$6),COUNT(Z$4:Z892)+1,"")</f>
        <v/>
      </c>
      <c r="AA893">
        <f>IF(AND($A893&lt;&gt;"",$B893&lt;&gt;"",$R893='تقرير يناير'!$C$4,$P893='تقرير يناير'!$C$6),COUNT(AA$4:AA892)+1,"")</f>
        <v/>
      </c>
      <c r="AB893">
        <f>IF(AND($A893&lt;&gt;"",$B893&lt;&gt;"",$R893='تقرير فبراير'!$C$4,$P893='تقرير فبراير'!$C$6),COUNT(AB$4:AB892)+1,"")</f>
        <v/>
      </c>
      <c r="AC893">
        <f>IF(AND($A893&lt;&gt;"",$B893&lt;&gt;"",$R893='تقرير مارس'!$C$4,$P893='تقرير مارس'!$C$6),COUNT(AC$4:AC892)+1,"")</f>
        <v/>
      </c>
      <c r="AD893">
        <f>IF(AND($A893&lt;&gt;"",$B893&lt;&gt;"",$R893='تقرير أبريل'!$C$4,$P893='تقرير أبريل'!$C$6),COUNT(AD$4:AD892)+1,"")</f>
        <v/>
      </c>
      <c r="AE893">
        <f>IF(AND($A893&lt;&gt;"",$B893&lt;&gt;"",$R893='تقرير مايو'!$C$4,$P893='تقرير مايو'!$C$6),COUNT(AE$4:AE892)+1,"")</f>
        <v/>
      </c>
    </row>
    <row r="894">
      <c r="A894" s="16" t="n"/>
      <c r="B894" s="17" t="n"/>
      <c r="C894" s="17" t="n"/>
      <c r="D894" s="18" t="n"/>
      <c r="E894" s="17" t="n"/>
      <c r="F894" s="17" t="n"/>
      <c r="G894" s="19" t="n"/>
      <c r="H894" s="17" t="n"/>
      <c r="I894" s="17" t="n"/>
      <c r="J894" s="17" t="n"/>
      <c r="K894" s="20">
        <f>IF($B894="","",IFERROR(INDEX(الموظفات!$A$5:$A$304,MATCH($B894,الموظفات!$B$5:$B$304,0))&amp;"",""))</f>
        <v/>
      </c>
      <c r="L894" s="21">
        <f>IF($B894="","",IFERROR(INDEX(الموظفات!$C$5:$C$304,MATCH($B894,الموظفات!$B$5:$B$304,0))&amp;"",""))</f>
        <v/>
      </c>
      <c r="M894" s="20">
        <f>IF($B894="","",IFERROR(INDEX(الموظفات!$D$5:$D$304,MATCH($B894,الموظفات!$B$5:$B$304,0))&amp;"",""))</f>
        <v/>
      </c>
      <c r="N894" s="20">
        <f>IF($B894="","",IFERROR(INDEX(الموظفات!$E$5:$E$304,MATCH($B894,الموظفات!$B$5:$B$304,0))&amp;"",""))</f>
        <v/>
      </c>
      <c r="O894" s="21">
        <f>IF(C894="","",IFERROR(INDEX(الإعدادات!$D$7:$D$35,MATCH(C894,الإعدادات!$A$7:$A$35,0))&amp;"",""))</f>
        <v/>
      </c>
      <c r="P894" s="20">
        <f>IF(A894="","",INDEX(الإعدادات!$H$7:$H$18,MONTH(A894)))</f>
        <v/>
      </c>
      <c r="Q894" s="20">
        <f>IF(A894="","",INDEX(الإعدادات!$I$7:$I$18,MONTH(A894)))</f>
        <v/>
      </c>
      <c r="R894" s="20">
        <f>IF(A894="","",IF(MONTH(A894)&gt;=8,YEAR(A894)&amp;"-"&amp;(YEAR(A894)+1),(YEAR(A894)-1)&amp;"-"&amp;YEAR(A894)))</f>
        <v/>
      </c>
      <c r="S894" s="20">
        <f>IF(OR(A894="",B894=""),0,IF(AND(R894=التقارير!$C$4,OR(التقارير!$C$5="سنوي",AND(التقارير!$C$5="شهري",P894=التقارير!$C$6),AND(التقارير!$C$5="فصلي",Q894=التقارير!$C$7))),1,0))</f>
        <v/>
      </c>
      <c r="T894" s="20">
        <f>IF(S894=1,COUNTIF($S$5:S894,1),"")</f>
        <v/>
      </c>
      <c r="U894">
        <f>IF(AND($A894&lt;&gt;"",$B894&lt;&gt;"",$R894='تقرير الفصل الأول'!$C$4,$Q894='تقرير الفصل الأول'!$C$7),COUNT(U$4:U893)+1,"")</f>
        <v/>
      </c>
      <c r="V894">
        <f>IF(AND($A894&lt;&gt;"",$B894&lt;&gt;"",$R894='تقرير الفصل الثاني'!$C$4,$Q894='تقرير الفصل الثاني'!$C$7),COUNT(V$4:V893)+1,"")</f>
        <v/>
      </c>
      <c r="W894">
        <f>IF(AND($A894&lt;&gt;"",$B894&lt;&gt;"",$R894='تقرير سبتمبر'!$C$4,$P894='تقرير سبتمبر'!$C$6),COUNT(W$4:W893)+1,"")</f>
        <v/>
      </c>
      <c r="X894">
        <f>IF(AND($A894&lt;&gt;"",$B894&lt;&gt;"",$R894='تقرير أكتوبر'!$C$4,$P894='تقرير أكتوبر'!$C$6),COUNT(X$4:X893)+1,"")</f>
        <v/>
      </c>
      <c r="Y894">
        <f>IF(AND($A894&lt;&gt;"",$B894&lt;&gt;"",$R894='تقرير نوفمبر'!$C$4,$P894='تقرير نوفمبر'!$C$6),COUNT(Y$4:Y893)+1,"")</f>
        <v/>
      </c>
      <c r="Z894">
        <f>IF(AND($A894&lt;&gt;"",$B894&lt;&gt;"",$R894='تقرير ديسمبر'!$C$4,$P894='تقرير ديسمبر'!$C$6),COUNT(Z$4:Z893)+1,"")</f>
        <v/>
      </c>
      <c r="AA894">
        <f>IF(AND($A894&lt;&gt;"",$B894&lt;&gt;"",$R894='تقرير يناير'!$C$4,$P894='تقرير يناير'!$C$6),COUNT(AA$4:AA893)+1,"")</f>
        <v/>
      </c>
      <c r="AB894">
        <f>IF(AND($A894&lt;&gt;"",$B894&lt;&gt;"",$R894='تقرير فبراير'!$C$4,$P894='تقرير فبراير'!$C$6),COUNT(AB$4:AB893)+1,"")</f>
        <v/>
      </c>
      <c r="AC894">
        <f>IF(AND($A894&lt;&gt;"",$B894&lt;&gt;"",$R894='تقرير مارس'!$C$4,$P894='تقرير مارس'!$C$6),COUNT(AC$4:AC893)+1,"")</f>
        <v/>
      </c>
      <c r="AD894">
        <f>IF(AND($A894&lt;&gt;"",$B894&lt;&gt;"",$R894='تقرير أبريل'!$C$4,$P894='تقرير أبريل'!$C$6),COUNT(AD$4:AD893)+1,"")</f>
        <v/>
      </c>
      <c r="AE894">
        <f>IF(AND($A894&lt;&gt;"",$B894&lt;&gt;"",$R894='تقرير مايو'!$C$4,$P894='تقرير مايو'!$C$6),COUNT(AE$4:AE893)+1,"")</f>
        <v/>
      </c>
    </row>
    <row r="895">
      <c r="A895" s="16" t="n"/>
      <c r="B895" s="17" t="n"/>
      <c r="C895" s="17" t="n"/>
      <c r="D895" s="18" t="n"/>
      <c r="E895" s="17" t="n"/>
      <c r="F895" s="17" t="n"/>
      <c r="G895" s="19" t="n"/>
      <c r="H895" s="17" t="n"/>
      <c r="I895" s="17" t="n"/>
      <c r="J895" s="17" t="n"/>
      <c r="K895" s="20">
        <f>IF($B895="","",IFERROR(INDEX(الموظفات!$A$5:$A$304,MATCH($B895,الموظفات!$B$5:$B$304,0))&amp;"",""))</f>
        <v/>
      </c>
      <c r="L895" s="21">
        <f>IF($B895="","",IFERROR(INDEX(الموظفات!$C$5:$C$304,MATCH($B895,الموظفات!$B$5:$B$304,0))&amp;"",""))</f>
        <v/>
      </c>
      <c r="M895" s="20">
        <f>IF($B895="","",IFERROR(INDEX(الموظفات!$D$5:$D$304,MATCH($B895,الموظفات!$B$5:$B$304,0))&amp;"",""))</f>
        <v/>
      </c>
      <c r="N895" s="20">
        <f>IF($B895="","",IFERROR(INDEX(الموظفات!$E$5:$E$304,MATCH($B895,الموظفات!$B$5:$B$304,0))&amp;"",""))</f>
        <v/>
      </c>
      <c r="O895" s="21">
        <f>IF(C895="","",IFERROR(INDEX(الإعدادات!$D$7:$D$35,MATCH(C895,الإعدادات!$A$7:$A$35,0))&amp;"",""))</f>
        <v/>
      </c>
      <c r="P895" s="20">
        <f>IF(A895="","",INDEX(الإعدادات!$H$7:$H$18,MONTH(A895)))</f>
        <v/>
      </c>
      <c r="Q895" s="20">
        <f>IF(A895="","",INDEX(الإعدادات!$I$7:$I$18,MONTH(A895)))</f>
        <v/>
      </c>
      <c r="R895" s="20">
        <f>IF(A895="","",IF(MONTH(A895)&gt;=8,YEAR(A895)&amp;"-"&amp;(YEAR(A895)+1),(YEAR(A895)-1)&amp;"-"&amp;YEAR(A895)))</f>
        <v/>
      </c>
      <c r="S895" s="20">
        <f>IF(OR(A895="",B895=""),0,IF(AND(R895=التقارير!$C$4,OR(التقارير!$C$5="سنوي",AND(التقارير!$C$5="شهري",P895=التقارير!$C$6),AND(التقارير!$C$5="فصلي",Q895=التقارير!$C$7))),1,0))</f>
        <v/>
      </c>
      <c r="T895" s="20">
        <f>IF(S895=1,COUNTIF($S$5:S895,1),"")</f>
        <v/>
      </c>
      <c r="U895">
        <f>IF(AND($A895&lt;&gt;"",$B895&lt;&gt;"",$R895='تقرير الفصل الأول'!$C$4,$Q895='تقرير الفصل الأول'!$C$7),COUNT(U$4:U894)+1,"")</f>
        <v/>
      </c>
      <c r="V895">
        <f>IF(AND($A895&lt;&gt;"",$B895&lt;&gt;"",$R895='تقرير الفصل الثاني'!$C$4,$Q895='تقرير الفصل الثاني'!$C$7),COUNT(V$4:V894)+1,"")</f>
        <v/>
      </c>
      <c r="W895">
        <f>IF(AND($A895&lt;&gt;"",$B895&lt;&gt;"",$R895='تقرير سبتمبر'!$C$4,$P895='تقرير سبتمبر'!$C$6),COUNT(W$4:W894)+1,"")</f>
        <v/>
      </c>
      <c r="X895">
        <f>IF(AND($A895&lt;&gt;"",$B895&lt;&gt;"",$R895='تقرير أكتوبر'!$C$4,$P895='تقرير أكتوبر'!$C$6),COUNT(X$4:X894)+1,"")</f>
        <v/>
      </c>
      <c r="Y895">
        <f>IF(AND($A895&lt;&gt;"",$B895&lt;&gt;"",$R895='تقرير نوفمبر'!$C$4,$P895='تقرير نوفمبر'!$C$6),COUNT(Y$4:Y894)+1,"")</f>
        <v/>
      </c>
      <c r="Z895">
        <f>IF(AND($A895&lt;&gt;"",$B895&lt;&gt;"",$R895='تقرير ديسمبر'!$C$4,$P895='تقرير ديسمبر'!$C$6),COUNT(Z$4:Z894)+1,"")</f>
        <v/>
      </c>
      <c r="AA895">
        <f>IF(AND($A895&lt;&gt;"",$B895&lt;&gt;"",$R895='تقرير يناير'!$C$4,$P895='تقرير يناير'!$C$6),COUNT(AA$4:AA894)+1,"")</f>
        <v/>
      </c>
      <c r="AB895">
        <f>IF(AND($A895&lt;&gt;"",$B895&lt;&gt;"",$R895='تقرير فبراير'!$C$4,$P895='تقرير فبراير'!$C$6),COUNT(AB$4:AB894)+1,"")</f>
        <v/>
      </c>
      <c r="AC895">
        <f>IF(AND($A895&lt;&gt;"",$B895&lt;&gt;"",$R895='تقرير مارس'!$C$4,$P895='تقرير مارس'!$C$6),COUNT(AC$4:AC894)+1,"")</f>
        <v/>
      </c>
      <c r="AD895">
        <f>IF(AND($A895&lt;&gt;"",$B895&lt;&gt;"",$R895='تقرير أبريل'!$C$4,$P895='تقرير أبريل'!$C$6),COUNT(AD$4:AD894)+1,"")</f>
        <v/>
      </c>
      <c r="AE895">
        <f>IF(AND($A895&lt;&gt;"",$B895&lt;&gt;"",$R895='تقرير مايو'!$C$4,$P895='تقرير مايو'!$C$6),COUNT(AE$4:AE894)+1,"")</f>
        <v/>
      </c>
    </row>
    <row r="896">
      <c r="A896" s="16" t="n"/>
      <c r="B896" s="17" t="n"/>
      <c r="C896" s="17" t="n"/>
      <c r="D896" s="18" t="n"/>
      <c r="E896" s="17" t="n"/>
      <c r="F896" s="17" t="n"/>
      <c r="G896" s="19" t="n"/>
      <c r="H896" s="17" t="n"/>
      <c r="I896" s="17" t="n"/>
      <c r="J896" s="17" t="n"/>
      <c r="K896" s="20">
        <f>IF($B896="","",IFERROR(INDEX(الموظفات!$A$5:$A$304,MATCH($B896,الموظفات!$B$5:$B$304,0))&amp;"",""))</f>
        <v/>
      </c>
      <c r="L896" s="21">
        <f>IF($B896="","",IFERROR(INDEX(الموظفات!$C$5:$C$304,MATCH($B896,الموظفات!$B$5:$B$304,0))&amp;"",""))</f>
        <v/>
      </c>
      <c r="M896" s="20">
        <f>IF($B896="","",IFERROR(INDEX(الموظفات!$D$5:$D$304,MATCH($B896,الموظفات!$B$5:$B$304,0))&amp;"",""))</f>
        <v/>
      </c>
      <c r="N896" s="20">
        <f>IF($B896="","",IFERROR(INDEX(الموظفات!$E$5:$E$304,MATCH($B896,الموظفات!$B$5:$B$304,0))&amp;"",""))</f>
        <v/>
      </c>
      <c r="O896" s="21">
        <f>IF(C896="","",IFERROR(INDEX(الإعدادات!$D$7:$D$35,MATCH(C896,الإعدادات!$A$7:$A$35,0))&amp;"",""))</f>
        <v/>
      </c>
      <c r="P896" s="20">
        <f>IF(A896="","",INDEX(الإعدادات!$H$7:$H$18,MONTH(A896)))</f>
        <v/>
      </c>
      <c r="Q896" s="20">
        <f>IF(A896="","",INDEX(الإعدادات!$I$7:$I$18,MONTH(A896)))</f>
        <v/>
      </c>
      <c r="R896" s="20">
        <f>IF(A896="","",IF(MONTH(A896)&gt;=8,YEAR(A896)&amp;"-"&amp;(YEAR(A896)+1),(YEAR(A896)-1)&amp;"-"&amp;YEAR(A896)))</f>
        <v/>
      </c>
      <c r="S896" s="20">
        <f>IF(OR(A896="",B896=""),0,IF(AND(R896=التقارير!$C$4,OR(التقارير!$C$5="سنوي",AND(التقارير!$C$5="شهري",P896=التقارير!$C$6),AND(التقارير!$C$5="فصلي",Q896=التقارير!$C$7))),1,0))</f>
        <v/>
      </c>
      <c r="T896" s="20">
        <f>IF(S896=1,COUNTIF($S$5:S896,1),"")</f>
        <v/>
      </c>
      <c r="U896">
        <f>IF(AND($A896&lt;&gt;"",$B896&lt;&gt;"",$R896='تقرير الفصل الأول'!$C$4,$Q896='تقرير الفصل الأول'!$C$7),COUNT(U$4:U895)+1,"")</f>
        <v/>
      </c>
      <c r="V896">
        <f>IF(AND($A896&lt;&gt;"",$B896&lt;&gt;"",$R896='تقرير الفصل الثاني'!$C$4,$Q896='تقرير الفصل الثاني'!$C$7),COUNT(V$4:V895)+1,"")</f>
        <v/>
      </c>
      <c r="W896">
        <f>IF(AND($A896&lt;&gt;"",$B896&lt;&gt;"",$R896='تقرير سبتمبر'!$C$4,$P896='تقرير سبتمبر'!$C$6),COUNT(W$4:W895)+1,"")</f>
        <v/>
      </c>
      <c r="X896">
        <f>IF(AND($A896&lt;&gt;"",$B896&lt;&gt;"",$R896='تقرير أكتوبر'!$C$4,$P896='تقرير أكتوبر'!$C$6),COUNT(X$4:X895)+1,"")</f>
        <v/>
      </c>
      <c r="Y896">
        <f>IF(AND($A896&lt;&gt;"",$B896&lt;&gt;"",$R896='تقرير نوفمبر'!$C$4,$P896='تقرير نوفمبر'!$C$6),COUNT(Y$4:Y895)+1,"")</f>
        <v/>
      </c>
      <c r="Z896">
        <f>IF(AND($A896&lt;&gt;"",$B896&lt;&gt;"",$R896='تقرير ديسمبر'!$C$4,$P896='تقرير ديسمبر'!$C$6),COUNT(Z$4:Z895)+1,"")</f>
        <v/>
      </c>
      <c r="AA896">
        <f>IF(AND($A896&lt;&gt;"",$B896&lt;&gt;"",$R896='تقرير يناير'!$C$4,$P896='تقرير يناير'!$C$6),COUNT(AA$4:AA895)+1,"")</f>
        <v/>
      </c>
      <c r="AB896">
        <f>IF(AND($A896&lt;&gt;"",$B896&lt;&gt;"",$R896='تقرير فبراير'!$C$4,$P896='تقرير فبراير'!$C$6),COUNT(AB$4:AB895)+1,"")</f>
        <v/>
      </c>
      <c r="AC896">
        <f>IF(AND($A896&lt;&gt;"",$B896&lt;&gt;"",$R896='تقرير مارس'!$C$4,$P896='تقرير مارس'!$C$6),COUNT(AC$4:AC895)+1,"")</f>
        <v/>
      </c>
      <c r="AD896">
        <f>IF(AND($A896&lt;&gt;"",$B896&lt;&gt;"",$R896='تقرير أبريل'!$C$4,$P896='تقرير أبريل'!$C$6),COUNT(AD$4:AD895)+1,"")</f>
        <v/>
      </c>
      <c r="AE896">
        <f>IF(AND($A896&lt;&gt;"",$B896&lt;&gt;"",$R896='تقرير مايو'!$C$4,$P896='تقرير مايو'!$C$6),COUNT(AE$4:AE895)+1,"")</f>
        <v/>
      </c>
    </row>
    <row r="897">
      <c r="A897" s="16" t="n"/>
      <c r="B897" s="17" t="n"/>
      <c r="C897" s="17" t="n"/>
      <c r="D897" s="18" t="n"/>
      <c r="E897" s="17" t="n"/>
      <c r="F897" s="17" t="n"/>
      <c r="G897" s="19" t="n"/>
      <c r="H897" s="17" t="n"/>
      <c r="I897" s="17" t="n"/>
      <c r="J897" s="17" t="n"/>
      <c r="K897" s="20">
        <f>IF($B897="","",IFERROR(INDEX(الموظفات!$A$5:$A$304,MATCH($B897,الموظفات!$B$5:$B$304,0))&amp;"",""))</f>
        <v/>
      </c>
      <c r="L897" s="21">
        <f>IF($B897="","",IFERROR(INDEX(الموظفات!$C$5:$C$304,MATCH($B897,الموظفات!$B$5:$B$304,0))&amp;"",""))</f>
        <v/>
      </c>
      <c r="M897" s="20">
        <f>IF($B897="","",IFERROR(INDEX(الموظفات!$D$5:$D$304,MATCH($B897,الموظفات!$B$5:$B$304,0))&amp;"",""))</f>
        <v/>
      </c>
      <c r="N897" s="20">
        <f>IF($B897="","",IFERROR(INDEX(الموظفات!$E$5:$E$304,MATCH($B897,الموظفات!$B$5:$B$304,0))&amp;"",""))</f>
        <v/>
      </c>
      <c r="O897" s="21">
        <f>IF(C897="","",IFERROR(INDEX(الإعدادات!$D$7:$D$35,MATCH(C897,الإعدادات!$A$7:$A$35,0))&amp;"",""))</f>
        <v/>
      </c>
      <c r="P897" s="20">
        <f>IF(A897="","",INDEX(الإعدادات!$H$7:$H$18,MONTH(A897)))</f>
        <v/>
      </c>
      <c r="Q897" s="20">
        <f>IF(A897="","",INDEX(الإعدادات!$I$7:$I$18,MONTH(A897)))</f>
        <v/>
      </c>
      <c r="R897" s="20">
        <f>IF(A897="","",IF(MONTH(A897)&gt;=8,YEAR(A897)&amp;"-"&amp;(YEAR(A897)+1),(YEAR(A897)-1)&amp;"-"&amp;YEAR(A897)))</f>
        <v/>
      </c>
      <c r="S897" s="20">
        <f>IF(OR(A897="",B897=""),0,IF(AND(R897=التقارير!$C$4,OR(التقارير!$C$5="سنوي",AND(التقارير!$C$5="شهري",P897=التقارير!$C$6),AND(التقارير!$C$5="فصلي",Q897=التقارير!$C$7))),1,0))</f>
        <v/>
      </c>
      <c r="T897" s="20">
        <f>IF(S897=1,COUNTIF($S$5:S897,1),"")</f>
        <v/>
      </c>
      <c r="U897">
        <f>IF(AND($A897&lt;&gt;"",$B897&lt;&gt;"",$R897='تقرير الفصل الأول'!$C$4,$Q897='تقرير الفصل الأول'!$C$7),COUNT(U$4:U896)+1,"")</f>
        <v/>
      </c>
      <c r="V897">
        <f>IF(AND($A897&lt;&gt;"",$B897&lt;&gt;"",$R897='تقرير الفصل الثاني'!$C$4,$Q897='تقرير الفصل الثاني'!$C$7),COUNT(V$4:V896)+1,"")</f>
        <v/>
      </c>
      <c r="W897">
        <f>IF(AND($A897&lt;&gt;"",$B897&lt;&gt;"",$R897='تقرير سبتمبر'!$C$4,$P897='تقرير سبتمبر'!$C$6),COUNT(W$4:W896)+1,"")</f>
        <v/>
      </c>
      <c r="X897">
        <f>IF(AND($A897&lt;&gt;"",$B897&lt;&gt;"",$R897='تقرير أكتوبر'!$C$4,$P897='تقرير أكتوبر'!$C$6),COUNT(X$4:X896)+1,"")</f>
        <v/>
      </c>
      <c r="Y897">
        <f>IF(AND($A897&lt;&gt;"",$B897&lt;&gt;"",$R897='تقرير نوفمبر'!$C$4,$P897='تقرير نوفمبر'!$C$6),COUNT(Y$4:Y896)+1,"")</f>
        <v/>
      </c>
      <c r="Z897">
        <f>IF(AND($A897&lt;&gt;"",$B897&lt;&gt;"",$R897='تقرير ديسمبر'!$C$4,$P897='تقرير ديسمبر'!$C$6),COUNT(Z$4:Z896)+1,"")</f>
        <v/>
      </c>
      <c r="AA897">
        <f>IF(AND($A897&lt;&gt;"",$B897&lt;&gt;"",$R897='تقرير يناير'!$C$4,$P897='تقرير يناير'!$C$6),COUNT(AA$4:AA896)+1,"")</f>
        <v/>
      </c>
      <c r="AB897">
        <f>IF(AND($A897&lt;&gt;"",$B897&lt;&gt;"",$R897='تقرير فبراير'!$C$4,$P897='تقرير فبراير'!$C$6),COUNT(AB$4:AB896)+1,"")</f>
        <v/>
      </c>
      <c r="AC897">
        <f>IF(AND($A897&lt;&gt;"",$B897&lt;&gt;"",$R897='تقرير مارس'!$C$4,$P897='تقرير مارس'!$C$6),COUNT(AC$4:AC896)+1,"")</f>
        <v/>
      </c>
      <c r="AD897">
        <f>IF(AND($A897&lt;&gt;"",$B897&lt;&gt;"",$R897='تقرير أبريل'!$C$4,$P897='تقرير أبريل'!$C$6),COUNT(AD$4:AD896)+1,"")</f>
        <v/>
      </c>
      <c r="AE897">
        <f>IF(AND($A897&lt;&gt;"",$B897&lt;&gt;"",$R897='تقرير مايو'!$C$4,$P897='تقرير مايو'!$C$6),COUNT(AE$4:AE896)+1,"")</f>
        <v/>
      </c>
    </row>
    <row r="898">
      <c r="A898" s="16" t="n"/>
      <c r="B898" s="17" t="n"/>
      <c r="C898" s="17" t="n"/>
      <c r="D898" s="18" t="n"/>
      <c r="E898" s="17" t="n"/>
      <c r="F898" s="17" t="n"/>
      <c r="G898" s="19" t="n"/>
      <c r="H898" s="17" t="n"/>
      <c r="I898" s="17" t="n"/>
      <c r="J898" s="17" t="n"/>
      <c r="K898" s="20">
        <f>IF($B898="","",IFERROR(INDEX(الموظفات!$A$5:$A$304,MATCH($B898,الموظفات!$B$5:$B$304,0))&amp;"",""))</f>
        <v/>
      </c>
      <c r="L898" s="21">
        <f>IF($B898="","",IFERROR(INDEX(الموظفات!$C$5:$C$304,MATCH($B898,الموظفات!$B$5:$B$304,0))&amp;"",""))</f>
        <v/>
      </c>
      <c r="M898" s="20">
        <f>IF($B898="","",IFERROR(INDEX(الموظفات!$D$5:$D$304,MATCH($B898,الموظفات!$B$5:$B$304,0))&amp;"",""))</f>
        <v/>
      </c>
      <c r="N898" s="20">
        <f>IF($B898="","",IFERROR(INDEX(الموظفات!$E$5:$E$304,MATCH($B898,الموظفات!$B$5:$B$304,0))&amp;"",""))</f>
        <v/>
      </c>
      <c r="O898" s="21">
        <f>IF(C898="","",IFERROR(INDEX(الإعدادات!$D$7:$D$35,MATCH(C898,الإعدادات!$A$7:$A$35,0))&amp;"",""))</f>
        <v/>
      </c>
      <c r="P898" s="20">
        <f>IF(A898="","",INDEX(الإعدادات!$H$7:$H$18,MONTH(A898)))</f>
        <v/>
      </c>
      <c r="Q898" s="20">
        <f>IF(A898="","",INDEX(الإعدادات!$I$7:$I$18,MONTH(A898)))</f>
        <v/>
      </c>
      <c r="R898" s="20">
        <f>IF(A898="","",IF(MONTH(A898)&gt;=8,YEAR(A898)&amp;"-"&amp;(YEAR(A898)+1),(YEAR(A898)-1)&amp;"-"&amp;YEAR(A898)))</f>
        <v/>
      </c>
      <c r="S898" s="20">
        <f>IF(OR(A898="",B898=""),0,IF(AND(R898=التقارير!$C$4,OR(التقارير!$C$5="سنوي",AND(التقارير!$C$5="شهري",P898=التقارير!$C$6),AND(التقارير!$C$5="فصلي",Q898=التقارير!$C$7))),1,0))</f>
        <v/>
      </c>
      <c r="T898" s="20">
        <f>IF(S898=1,COUNTIF($S$5:S898,1),"")</f>
        <v/>
      </c>
      <c r="U898">
        <f>IF(AND($A898&lt;&gt;"",$B898&lt;&gt;"",$R898='تقرير الفصل الأول'!$C$4,$Q898='تقرير الفصل الأول'!$C$7),COUNT(U$4:U897)+1,"")</f>
        <v/>
      </c>
      <c r="V898">
        <f>IF(AND($A898&lt;&gt;"",$B898&lt;&gt;"",$R898='تقرير الفصل الثاني'!$C$4,$Q898='تقرير الفصل الثاني'!$C$7),COUNT(V$4:V897)+1,"")</f>
        <v/>
      </c>
      <c r="W898">
        <f>IF(AND($A898&lt;&gt;"",$B898&lt;&gt;"",$R898='تقرير سبتمبر'!$C$4,$P898='تقرير سبتمبر'!$C$6),COUNT(W$4:W897)+1,"")</f>
        <v/>
      </c>
      <c r="X898">
        <f>IF(AND($A898&lt;&gt;"",$B898&lt;&gt;"",$R898='تقرير أكتوبر'!$C$4,$P898='تقرير أكتوبر'!$C$6),COUNT(X$4:X897)+1,"")</f>
        <v/>
      </c>
      <c r="Y898">
        <f>IF(AND($A898&lt;&gt;"",$B898&lt;&gt;"",$R898='تقرير نوفمبر'!$C$4,$P898='تقرير نوفمبر'!$C$6),COUNT(Y$4:Y897)+1,"")</f>
        <v/>
      </c>
      <c r="Z898">
        <f>IF(AND($A898&lt;&gt;"",$B898&lt;&gt;"",$R898='تقرير ديسمبر'!$C$4,$P898='تقرير ديسمبر'!$C$6),COUNT(Z$4:Z897)+1,"")</f>
        <v/>
      </c>
      <c r="AA898">
        <f>IF(AND($A898&lt;&gt;"",$B898&lt;&gt;"",$R898='تقرير يناير'!$C$4,$P898='تقرير يناير'!$C$6),COUNT(AA$4:AA897)+1,"")</f>
        <v/>
      </c>
      <c r="AB898">
        <f>IF(AND($A898&lt;&gt;"",$B898&lt;&gt;"",$R898='تقرير فبراير'!$C$4,$P898='تقرير فبراير'!$C$6),COUNT(AB$4:AB897)+1,"")</f>
        <v/>
      </c>
      <c r="AC898">
        <f>IF(AND($A898&lt;&gt;"",$B898&lt;&gt;"",$R898='تقرير مارس'!$C$4,$P898='تقرير مارس'!$C$6),COUNT(AC$4:AC897)+1,"")</f>
        <v/>
      </c>
      <c r="AD898">
        <f>IF(AND($A898&lt;&gt;"",$B898&lt;&gt;"",$R898='تقرير أبريل'!$C$4,$P898='تقرير أبريل'!$C$6),COUNT(AD$4:AD897)+1,"")</f>
        <v/>
      </c>
      <c r="AE898">
        <f>IF(AND($A898&lt;&gt;"",$B898&lt;&gt;"",$R898='تقرير مايو'!$C$4,$P898='تقرير مايو'!$C$6),COUNT(AE$4:AE897)+1,"")</f>
        <v/>
      </c>
    </row>
    <row r="899">
      <c r="A899" s="16" t="n"/>
      <c r="B899" s="17" t="n"/>
      <c r="C899" s="17" t="n"/>
      <c r="D899" s="18" t="n"/>
      <c r="E899" s="17" t="n"/>
      <c r="F899" s="17" t="n"/>
      <c r="G899" s="19" t="n"/>
      <c r="H899" s="17" t="n"/>
      <c r="I899" s="17" t="n"/>
      <c r="J899" s="17" t="n"/>
      <c r="K899" s="20">
        <f>IF($B899="","",IFERROR(INDEX(الموظفات!$A$5:$A$304,MATCH($B899,الموظفات!$B$5:$B$304,0))&amp;"",""))</f>
        <v/>
      </c>
      <c r="L899" s="21">
        <f>IF($B899="","",IFERROR(INDEX(الموظفات!$C$5:$C$304,MATCH($B899,الموظفات!$B$5:$B$304,0))&amp;"",""))</f>
        <v/>
      </c>
      <c r="M899" s="20">
        <f>IF($B899="","",IFERROR(INDEX(الموظفات!$D$5:$D$304,MATCH($B899,الموظفات!$B$5:$B$304,0))&amp;"",""))</f>
        <v/>
      </c>
      <c r="N899" s="20">
        <f>IF($B899="","",IFERROR(INDEX(الموظفات!$E$5:$E$304,MATCH($B899,الموظفات!$B$5:$B$304,0))&amp;"",""))</f>
        <v/>
      </c>
      <c r="O899" s="21">
        <f>IF(C899="","",IFERROR(INDEX(الإعدادات!$D$7:$D$35,MATCH(C899,الإعدادات!$A$7:$A$35,0))&amp;"",""))</f>
        <v/>
      </c>
      <c r="P899" s="20">
        <f>IF(A899="","",INDEX(الإعدادات!$H$7:$H$18,MONTH(A899)))</f>
        <v/>
      </c>
      <c r="Q899" s="20">
        <f>IF(A899="","",INDEX(الإعدادات!$I$7:$I$18,MONTH(A899)))</f>
        <v/>
      </c>
      <c r="R899" s="20">
        <f>IF(A899="","",IF(MONTH(A899)&gt;=8,YEAR(A899)&amp;"-"&amp;(YEAR(A899)+1),(YEAR(A899)-1)&amp;"-"&amp;YEAR(A899)))</f>
        <v/>
      </c>
      <c r="S899" s="20">
        <f>IF(OR(A899="",B899=""),0,IF(AND(R899=التقارير!$C$4,OR(التقارير!$C$5="سنوي",AND(التقارير!$C$5="شهري",P899=التقارير!$C$6),AND(التقارير!$C$5="فصلي",Q899=التقارير!$C$7))),1,0))</f>
        <v/>
      </c>
      <c r="T899" s="20">
        <f>IF(S899=1,COUNTIF($S$5:S899,1),"")</f>
        <v/>
      </c>
      <c r="U899">
        <f>IF(AND($A899&lt;&gt;"",$B899&lt;&gt;"",$R899='تقرير الفصل الأول'!$C$4,$Q899='تقرير الفصل الأول'!$C$7),COUNT(U$4:U898)+1,"")</f>
        <v/>
      </c>
      <c r="V899">
        <f>IF(AND($A899&lt;&gt;"",$B899&lt;&gt;"",$R899='تقرير الفصل الثاني'!$C$4,$Q899='تقرير الفصل الثاني'!$C$7),COUNT(V$4:V898)+1,"")</f>
        <v/>
      </c>
      <c r="W899">
        <f>IF(AND($A899&lt;&gt;"",$B899&lt;&gt;"",$R899='تقرير سبتمبر'!$C$4,$P899='تقرير سبتمبر'!$C$6),COUNT(W$4:W898)+1,"")</f>
        <v/>
      </c>
      <c r="X899">
        <f>IF(AND($A899&lt;&gt;"",$B899&lt;&gt;"",$R899='تقرير أكتوبر'!$C$4,$P899='تقرير أكتوبر'!$C$6),COUNT(X$4:X898)+1,"")</f>
        <v/>
      </c>
      <c r="Y899">
        <f>IF(AND($A899&lt;&gt;"",$B899&lt;&gt;"",$R899='تقرير نوفمبر'!$C$4,$P899='تقرير نوفمبر'!$C$6),COUNT(Y$4:Y898)+1,"")</f>
        <v/>
      </c>
      <c r="Z899">
        <f>IF(AND($A899&lt;&gt;"",$B899&lt;&gt;"",$R899='تقرير ديسمبر'!$C$4,$P899='تقرير ديسمبر'!$C$6),COUNT(Z$4:Z898)+1,"")</f>
        <v/>
      </c>
      <c r="AA899">
        <f>IF(AND($A899&lt;&gt;"",$B899&lt;&gt;"",$R899='تقرير يناير'!$C$4,$P899='تقرير يناير'!$C$6),COUNT(AA$4:AA898)+1,"")</f>
        <v/>
      </c>
      <c r="AB899">
        <f>IF(AND($A899&lt;&gt;"",$B899&lt;&gt;"",$R899='تقرير فبراير'!$C$4,$P899='تقرير فبراير'!$C$6),COUNT(AB$4:AB898)+1,"")</f>
        <v/>
      </c>
      <c r="AC899">
        <f>IF(AND($A899&lt;&gt;"",$B899&lt;&gt;"",$R899='تقرير مارس'!$C$4,$P899='تقرير مارس'!$C$6),COUNT(AC$4:AC898)+1,"")</f>
        <v/>
      </c>
      <c r="AD899">
        <f>IF(AND($A899&lt;&gt;"",$B899&lt;&gt;"",$R899='تقرير أبريل'!$C$4,$P899='تقرير أبريل'!$C$6),COUNT(AD$4:AD898)+1,"")</f>
        <v/>
      </c>
      <c r="AE899">
        <f>IF(AND($A899&lt;&gt;"",$B899&lt;&gt;"",$R899='تقرير مايو'!$C$4,$P899='تقرير مايو'!$C$6),COUNT(AE$4:AE898)+1,"")</f>
        <v/>
      </c>
    </row>
    <row r="900">
      <c r="A900" s="16" t="n"/>
      <c r="B900" s="17" t="n"/>
      <c r="C900" s="17" t="n"/>
      <c r="D900" s="18" t="n"/>
      <c r="E900" s="17" t="n"/>
      <c r="F900" s="17" t="n"/>
      <c r="G900" s="19" t="n"/>
      <c r="H900" s="17" t="n"/>
      <c r="I900" s="17" t="n"/>
      <c r="J900" s="17" t="n"/>
      <c r="K900" s="20">
        <f>IF($B900="","",IFERROR(INDEX(الموظفات!$A$5:$A$304,MATCH($B900,الموظفات!$B$5:$B$304,0))&amp;"",""))</f>
        <v/>
      </c>
      <c r="L900" s="21">
        <f>IF($B900="","",IFERROR(INDEX(الموظفات!$C$5:$C$304,MATCH($B900,الموظفات!$B$5:$B$304,0))&amp;"",""))</f>
        <v/>
      </c>
      <c r="M900" s="20">
        <f>IF($B900="","",IFERROR(INDEX(الموظفات!$D$5:$D$304,MATCH($B900,الموظفات!$B$5:$B$304,0))&amp;"",""))</f>
        <v/>
      </c>
      <c r="N900" s="20">
        <f>IF($B900="","",IFERROR(INDEX(الموظفات!$E$5:$E$304,MATCH($B900,الموظفات!$B$5:$B$304,0))&amp;"",""))</f>
        <v/>
      </c>
      <c r="O900" s="21">
        <f>IF(C900="","",IFERROR(INDEX(الإعدادات!$D$7:$D$35,MATCH(C900,الإعدادات!$A$7:$A$35,0))&amp;"",""))</f>
        <v/>
      </c>
      <c r="P900" s="20">
        <f>IF(A900="","",INDEX(الإعدادات!$H$7:$H$18,MONTH(A900)))</f>
        <v/>
      </c>
      <c r="Q900" s="20">
        <f>IF(A900="","",INDEX(الإعدادات!$I$7:$I$18,MONTH(A900)))</f>
        <v/>
      </c>
      <c r="R900" s="20">
        <f>IF(A900="","",IF(MONTH(A900)&gt;=8,YEAR(A900)&amp;"-"&amp;(YEAR(A900)+1),(YEAR(A900)-1)&amp;"-"&amp;YEAR(A900)))</f>
        <v/>
      </c>
      <c r="S900" s="20">
        <f>IF(OR(A900="",B900=""),0,IF(AND(R900=التقارير!$C$4,OR(التقارير!$C$5="سنوي",AND(التقارير!$C$5="شهري",P900=التقارير!$C$6),AND(التقارير!$C$5="فصلي",Q900=التقارير!$C$7))),1,0))</f>
        <v/>
      </c>
      <c r="T900" s="20">
        <f>IF(S900=1,COUNTIF($S$5:S900,1),"")</f>
        <v/>
      </c>
      <c r="U900">
        <f>IF(AND($A900&lt;&gt;"",$B900&lt;&gt;"",$R900='تقرير الفصل الأول'!$C$4,$Q900='تقرير الفصل الأول'!$C$7),COUNT(U$4:U899)+1,"")</f>
        <v/>
      </c>
      <c r="V900">
        <f>IF(AND($A900&lt;&gt;"",$B900&lt;&gt;"",$R900='تقرير الفصل الثاني'!$C$4,$Q900='تقرير الفصل الثاني'!$C$7),COUNT(V$4:V899)+1,"")</f>
        <v/>
      </c>
      <c r="W900">
        <f>IF(AND($A900&lt;&gt;"",$B900&lt;&gt;"",$R900='تقرير سبتمبر'!$C$4,$P900='تقرير سبتمبر'!$C$6),COUNT(W$4:W899)+1,"")</f>
        <v/>
      </c>
      <c r="X900">
        <f>IF(AND($A900&lt;&gt;"",$B900&lt;&gt;"",$R900='تقرير أكتوبر'!$C$4,$P900='تقرير أكتوبر'!$C$6),COUNT(X$4:X899)+1,"")</f>
        <v/>
      </c>
      <c r="Y900">
        <f>IF(AND($A900&lt;&gt;"",$B900&lt;&gt;"",$R900='تقرير نوفمبر'!$C$4,$P900='تقرير نوفمبر'!$C$6),COUNT(Y$4:Y899)+1,"")</f>
        <v/>
      </c>
      <c r="Z900">
        <f>IF(AND($A900&lt;&gt;"",$B900&lt;&gt;"",$R900='تقرير ديسمبر'!$C$4,$P900='تقرير ديسمبر'!$C$6),COUNT(Z$4:Z899)+1,"")</f>
        <v/>
      </c>
      <c r="AA900">
        <f>IF(AND($A900&lt;&gt;"",$B900&lt;&gt;"",$R900='تقرير يناير'!$C$4,$P900='تقرير يناير'!$C$6),COUNT(AA$4:AA899)+1,"")</f>
        <v/>
      </c>
      <c r="AB900">
        <f>IF(AND($A900&lt;&gt;"",$B900&lt;&gt;"",$R900='تقرير فبراير'!$C$4,$P900='تقرير فبراير'!$C$6),COUNT(AB$4:AB899)+1,"")</f>
        <v/>
      </c>
      <c r="AC900">
        <f>IF(AND($A900&lt;&gt;"",$B900&lt;&gt;"",$R900='تقرير مارس'!$C$4,$P900='تقرير مارس'!$C$6),COUNT(AC$4:AC899)+1,"")</f>
        <v/>
      </c>
      <c r="AD900">
        <f>IF(AND($A900&lt;&gt;"",$B900&lt;&gt;"",$R900='تقرير أبريل'!$C$4,$P900='تقرير أبريل'!$C$6),COUNT(AD$4:AD899)+1,"")</f>
        <v/>
      </c>
      <c r="AE900">
        <f>IF(AND($A900&lt;&gt;"",$B900&lt;&gt;"",$R900='تقرير مايو'!$C$4,$P900='تقرير مايو'!$C$6),COUNT(AE$4:AE899)+1,"")</f>
        <v/>
      </c>
    </row>
    <row r="901">
      <c r="A901" s="16" t="n"/>
      <c r="B901" s="17" t="n"/>
      <c r="C901" s="17" t="n"/>
      <c r="D901" s="18" t="n"/>
      <c r="E901" s="17" t="n"/>
      <c r="F901" s="17" t="n"/>
      <c r="G901" s="19" t="n"/>
      <c r="H901" s="17" t="n"/>
      <c r="I901" s="17" t="n"/>
      <c r="J901" s="17" t="n"/>
      <c r="K901" s="20">
        <f>IF($B901="","",IFERROR(INDEX(الموظفات!$A$5:$A$304,MATCH($B901,الموظفات!$B$5:$B$304,0))&amp;"",""))</f>
        <v/>
      </c>
      <c r="L901" s="21">
        <f>IF($B901="","",IFERROR(INDEX(الموظفات!$C$5:$C$304,MATCH($B901,الموظفات!$B$5:$B$304,0))&amp;"",""))</f>
        <v/>
      </c>
      <c r="M901" s="20">
        <f>IF($B901="","",IFERROR(INDEX(الموظفات!$D$5:$D$304,MATCH($B901,الموظفات!$B$5:$B$304,0))&amp;"",""))</f>
        <v/>
      </c>
      <c r="N901" s="20">
        <f>IF($B901="","",IFERROR(INDEX(الموظفات!$E$5:$E$304,MATCH($B901,الموظفات!$B$5:$B$304,0))&amp;"",""))</f>
        <v/>
      </c>
      <c r="O901" s="21">
        <f>IF(C901="","",IFERROR(INDEX(الإعدادات!$D$7:$D$35,MATCH(C901,الإعدادات!$A$7:$A$35,0))&amp;"",""))</f>
        <v/>
      </c>
      <c r="P901" s="20">
        <f>IF(A901="","",INDEX(الإعدادات!$H$7:$H$18,MONTH(A901)))</f>
        <v/>
      </c>
      <c r="Q901" s="20">
        <f>IF(A901="","",INDEX(الإعدادات!$I$7:$I$18,MONTH(A901)))</f>
        <v/>
      </c>
      <c r="R901" s="20">
        <f>IF(A901="","",IF(MONTH(A901)&gt;=8,YEAR(A901)&amp;"-"&amp;(YEAR(A901)+1),(YEAR(A901)-1)&amp;"-"&amp;YEAR(A901)))</f>
        <v/>
      </c>
      <c r="S901" s="20">
        <f>IF(OR(A901="",B901=""),0,IF(AND(R901=التقارير!$C$4,OR(التقارير!$C$5="سنوي",AND(التقارير!$C$5="شهري",P901=التقارير!$C$6),AND(التقارير!$C$5="فصلي",Q901=التقارير!$C$7))),1,0))</f>
        <v/>
      </c>
      <c r="T901" s="20">
        <f>IF(S901=1,COUNTIF($S$5:S901,1),"")</f>
        <v/>
      </c>
      <c r="U901">
        <f>IF(AND($A901&lt;&gt;"",$B901&lt;&gt;"",$R901='تقرير الفصل الأول'!$C$4,$Q901='تقرير الفصل الأول'!$C$7),COUNT(U$4:U900)+1,"")</f>
        <v/>
      </c>
      <c r="V901">
        <f>IF(AND($A901&lt;&gt;"",$B901&lt;&gt;"",$R901='تقرير الفصل الثاني'!$C$4,$Q901='تقرير الفصل الثاني'!$C$7),COUNT(V$4:V900)+1,"")</f>
        <v/>
      </c>
      <c r="W901">
        <f>IF(AND($A901&lt;&gt;"",$B901&lt;&gt;"",$R901='تقرير سبتمبر'!$C$4,$P901='تقرير سبتمبر'!$C$6),COUNT(W$4:W900)+1,"")</f>
        <v/>
      </c>
      <c r="X901">
        <f>IF(AND($A901&lt;&gt;"",$B901&lt;&gt;"",$R901='تقرير أكتوبر'!$C$4,$P901='تقرير أكتوبر'!$C$6),COUNT(X$4:X900)+1,"")</f>
        <v/>
      </c>
      <c r="Y901">
        <f>IF(AND($A901&lt;&gt;"",$B901&lt;&gt;"",$R901='تقرير نوفمبر'!$C$4,$P901='تقرير نوفمبر'!$C$6),COUNT(Y$4:Y900)+1,"")</f>
        <v/>
      </c>
      <c r="Z901">
        <f>IF(AND($A901&lt;&gt;"",$B901&lt;&gt;"",$R901='تقرير ديسمبر'!$C$4,$P901='تقرير ديسمبر'!$C$6),COUNT(Z$4:Z900)+1,"")</f>
        <v/>
      </c>
      <c r="AA901">
        <f>IF(AND($A901&lt;&gt;"",$B901&lt;&gt;"",$R901='تقرير يناير'!$C$4,$P901='تقرير يناير'!$C$6),COUNT(AA$4:AA900)+1,"")</f>
        <v/>
      </c>
      <c r="AB901">
        <f>IF(AND($A901&lt;&gt;"",$B901&lt;&gt;"",$R901='تقرير فبراير'!$C$4,$P901='تقرير فبراير'!$C$6),COUNT(AB$4:AB900)+1,"")</f>
        <v/>
      </c>
      <c r="AC901">
        <f>IF(AND($A901&lt;&gt;"",$B901&lt;&gt;"",$R901='تقرير مارس'!$C$4,$P901='تقرير مارس'!$C$6),COUNT(AC$4:AC900)+1,"")</f>
        <v/>
      </c>
      <c r="AD901">
        <f>IF(AND($A901&lt;&gt;"",$B901&lt;&gt;"",$R901='تقرير أبريل'!$C$4,$P901='تقرير أبريل'!$C$6),COUNT(AD$4:AD900)+1,"")</f>
        <v/>
      </c>
      <c r="AE901">
        <f>IF(AND($A901&lt;&gt;"",$B901&lt;&gt;"",$R901='تقرير مايو'!$C$4,$P901='تقرير مايو'!$C$6),COUNT(AE$4:AE900)+1,"")</f>
        <v/>
      </c>
    </row>
    <row r="902">
      <c r="A902" s="16" t="n"/>
      <c r="B902" s="17" t="n"/>
      <c r="C902" s="17" t="n"/>
      <c r="D902" s="18" t="n"/>
      <c r="E902" s="17" t="n"/>
      <c r="F902" s="17" t="n"/>
      <c r="G902" s="19" t="n"/>
      <c r="H902" s="17" t="n"/>
      <c r="I902" s="17" t="n"/>
      <c r="J902" s="17" t="n"/>
      <c r="K902" s="20">
        <f>IF($B902="","",IFERROR(INDEX(الموظفات!$A$5:$A$304,MATCH($B902,الموظفات!$B$5:$B$304,0))&amp;"",""))</f>
        <v/>
      </c>
      <c r="L902" s="21">
        <f>IF($B902="","",IFERROR(INDEX(الموظفات!$C$5:$C$304,MATCH($B902,الموظفات!$B$5:$B$304,0))&amp;"",""))</f>
        <v/>
      </c>
      <c r="M902" s="20">
        <f>IF($B902="","",IFERROR(INDEX(الموظفات!$D$5:$D$304,MATCH($B902,الموظفات!$B$5:$B$304,0))&amp;"",""))</f>
        <v/>
      </c>
      <c r="N902" s="20">
        <f>IF($B902="","",IFERROR(INDEX(الموظفات!$E$5:$E$304,MATCH($B902,الموظفات!$B$5:$B$304,0))&amp;"",""))</f>
        <v/>
      </c>
      <c r="O902" s="21">
        <f>IF(C902="","",IFERROR(INDEX(الإعدادات!$D$7:$D$35,MATCH(C902,الإعدادات!$A$7:$A$35,0))&amp;"",""))</f>
        <v/>
      </c>
      <c r="P902" s="20">
        <f>IF(A902="","",INDEX(الإعدادات!$H$7:$H$18,MONTH(A902)))</f>
        <v/>
      </c>
      <c r="Q902" s="20">
        <f>IF(A902="","",INDEX(الإعدادات!$I$7:$I$18,MONTH(A902)))</f>
        <v/>
      </c>
      <c r="R902" s="20">
        <f>IF(A902="","",IF(MONTH(A902)&gt;=8,YEAR(A902)&amp;"-"&amp;(YEAR(A902)+1),(YEAR(A902)-1)&amp;"-"&amp;YEAR(A902)))</f>
        <v/>
      </c>
      <c r="S902" s="20">
        <f>IF(OR(A902="",B902=""),0,IF(AND(R902=التقارير!$C$4,OR(التقارير!$C$5="سنوي",AND(التقارير!$C$5="شهري",P902=التقارير!$C$6),AND(التقارير!$C$5="فصلي",Q902=التقارير!$C$7))),1,0))</f>
        <v/>
      </c>
      <c r="T902" s="20">
        <f>IF(S902=1,COUNTIF($S$5:S902,1),"")</f>
        <v/>
      </c>
      <c r="U902">
        <f>IF(AND($A902&lt;&gt;"",$B902&lt;&gt;"",$R902='تقرير الفصل الأول'!$C$4,$Q902='تقرير الفصل الأول'!$C$7),COUNT(U$4:U901)+1,"")</f>
        <v/>
      </c>
      <c r="V902">
        <f>IF(AND($A902&lt;&gt;"",$B902&lt;&gt;"",$R902='تقرير الفصل الثاني'!$C$4,$Q902='تقرير الفصل الثاني'!$C$7),COUNT(V$4:V901)+1,"")</f>
        <v/>
      </c>
      <c r="W902">
        <f>IF(AND($A902&lt;&gt;"",$B902&lt;&gt;"",$R902='تقرير سبتمبر'!$C$4,$P902='تقرير سبتمبر'!$C$6),COUNT(W$4:W901)+1,"")</f>
        <v/>
      </c>
      <c r="X902">
        <f>IF(AND($A902&lt;&gt;"",$B902&lt;&gt;"",$R902='تقرير أكتوبر'!$C$4,$P902='تقرير أكتوبر'!$C$6),COUNT(X$4:X901)+1,"")</f>
        <v/>
      </c>
      <c r="Y902">
        <f>IF(AND($A902&lt;&gt;"",$B902&lt;&gt;"",$R902='تقرير نوفمبر'!$C$4,$P902='تقرير نوفمبر'!$C$6),COUNT(Y$4:Y901)+1,"")</f>
        <v/>
      </c>
      <c r="Z902">
        <f>IF(AND($A902&lt;&gt;"",$B902&lt;&gt;"",$R902='تقرير ديسمبر'!$C$4,$P902='تقرير ديسمبر'!$C$6),COUNT(Z$4:Z901)+1,"")</f>
        <v/>
      </c>
      <c r="AA902">
        <f>IF(AND($A902&lt;&gt;"",$B902&lt;&gt;"",$R902='تقرير يناير'!$C$4,$P902='تقرير يناير'!$C$6),COUNT(AA$4:AA901)+1,"")</f>
        <v/>
      </c>
      <c r="AB902">
        <f>IF(AND($A902&lt;&gt;"",$B902&lt;&gt;"",$R902='تقرير فبراير'!$C$4,$P902='تقرير فبراير'!$C$6),COUNT(AB$4:AB901)+1,"")</f>
        <v/>
      </c>
      <c r="AC902">
        <f>IF(AND($A902&lt;&gt;"",$B902&lt;&gt;"",$R902='تقرير مارس'!$C$4,$P902='تقرير مارس'!$C$6),COUNT(AC$4:AC901)+1,"")</f>
        <v/>
      </c>
      <c r="AD902">
        <f>IF(AND($A902&lt;&gt;"",$B902&lt;&gt;"",$R902='تقرير أبريل'!$C$4,$P902='تقرير أبريل'!$C$6),COUNT(AD$4:AD901)+1,"")</f>
        <v/>
      </c>
      <c r="AE902">
        <f>IF(AND($A902&lt;&gt;"",$B902&lt;&gt;"",$R902='تقرير مايو'!$C$4,$P902='تقرير مايو'!$C$6),COUNT(AE$4:AE901)+1,"")</f>
        <v/>
      </c>
    </row>
    <row r="903">
      <c r="A903" s="16" t="n"/>
      <c r="B903" s="17" t="n"/>
      <c r="C903" s="17" t="n"/>
      <c r="D903" s="18" t="n"/>
      <c r="E903" s="17" t="n"/>
      <c r="F903" s="17" t="n"/>
      <c r="G903" s="19" t="n"/>
      <c r="H903" s="17" t="n"/>
      <c r="I903" s="17" t="n"/>
      <c r="J903" s="17" t="n"/>
      <c r="K903" s="20">
        <f>IF($B903="","",IFERROR(INDEX(الموظفات!$A$5:$A$304,MATCH($B903,الموظفات!$B$5:$B$304,0))&amp;"",""))</f>
        <v/>
      </c>
      <c r="L903" s="21">
        <f>IF($B903="","",IFERROR(INDEX(الموظفات!$C$5:$C$304,MATCH($B903,الموظفات!$B$5:$B$304,0))&amp;"",""))</f>
        <v/>
      </c>
      <c r="M903" s="20">
        <f>IF($B903="","",IFERROR(INDEX(الموظفات!$D$5:$D$304,MATCH($B903,الموظفات!$B$5:$B$304,0))&amp;"",""))</f>
        <v/>
      </c>
      <c r="N903" s="20">
        <f>IF($B903="","",IFERROR(INDEX(الموظفات!$E$5:$E$304,MATCH($B903,الموظفات!$B$5:$B$304,0))&amp;"",""))</f>
        <v/>
      </c>
      <c r="O903" s="21">
        <f>IF(C903="","",IFERROR(INDEX(الإعدادات!$D$7:$D$35,MATCH(C903,الإعدادات!$A$7:$A$35,0))&amp;"",""))</f>
        <v/>
      </c>
      <c r="P903" s="20">
        <f>IF(A903="","",INDEX(الإعدادات!$H$7:$H$18,MONTH(A903)))</f>
        <v/>
      </c>
      <c r="Q903" s="20">
        <f>IF(A903="","",INDEX(الإعدادات!$I$7:$I$18,MONTH(A903)))</f>
        <v/>
      </c>
      <c r="R903" s="20">
        <f>IF(A903="","",IF(MONTH(A903)&gt;=8,YEAR(A903)&amp;"-"&amp;(YEAR(A903)+1),(YEAR(A903)-1)&amp;"-"&amp;YEAR(A903)))</f>
        <v/>
      </c>
      <c r="S903" s="20">
        <f>IF(OR(A903="",B903=""),0,IF(AND(R903=التقارير!$C$4,OR(التقارير!$C$5="سنوي",AND(التقارير!$C$5="شهري",P903=التقارير!$C$6),AND(التقارير!$C$5="فصلي",Q903=التقارير!$C$7))),1,0))</f>
        <v/>
      </c>
      <c r="T903" s="20">
        <f>IF(S903=1,COUNTIF($S$5:S903,1),"")</f>
        <v/>
      </c>
      <c r="U903">
        <f>IF(AND($A903&lt;&gt;"",$B903&lt;&gt;"",$R903='تقرير الفصل الأول'!$C$4,$Q903='تقرير الفصل الأول'!$C$7),COUNT(U$4:U902)+1,"")</f>
        <v/>
      </c>
      <c r="V903">
        <f>IF(AND($A903&lt;&gt;"",$B903&lt;&gt;"",$R903='تقرير الفصل الثاني'!$C$4,$Q903='تقرير الفصل الثاني'!$C$7),COUNT(V$4:V902)+1,"")</f>
        <v/>
      </c>
      <c r="W903">
        <f>IF(AND($A903&lt;&gt;"",$B903&lt;&gt;"",$R903='تقرير سبتمبر'!$C$4,$P903='تقرير سبتمبر'!$C$6),COUNT(W$4:W902)+1,"")</f>
        <v/>
      </c>
      <c r="X903">
        <f>IF(AND($A903&lt;&gt;"",$B903&lt;&gt;"",$R903='تقرير أكتوبر'!$C$4,$P903='تقرير أكتوبر'!$C$6),COUNT(X$4:X902)+1,"")</f>
        <v/>
      </c>
      <c r="Y903">
        <f>IF(AND($A903&lt;&gt;"",$B903&lt;&gt;"",$R903='تقرير نوفمبر'!$C$4,$P903='تقرير نوفمبر'!$C$6),COUNT(Y$4:Y902)+1,"")</f>
        <v/>
      </c>
      <c r="Z903">
        <f>IF(AND($A903&lt;&gt;"",$B903&lt;&gt;"",$R903='تقرير ديسمبر'!$C$4,$P903='تقرير ديسمبر'!$C$6),COUNT(Z$4:Z902)+1,"")</f>
        <v/>
      </c>
      <c r="AA903">
        <f>IF(AND($A903&lt;&gt;"",$B903&lt;&gt;"",$R903='تقرير يناير'!$C$4,$P903='تقرير يناير'!$C$6),COUNT(AA$4:AA902)+1,"")</f>
        <v/>
      </c>
      <c r="AB903">
        <f>IF(AND($A903&lt;&gt;"",$B903&lt;&gt;"",$R903='تقرير فبراير'!$C$4,$P903='تقرير فبراير'!$C$6),COUNT(AB$4:AB902)+1,"")</f>
        <v/>
      </c>
      <c r="AC903">
        <f>IF(AND($A903&lt;&gt;"",$B903&lt;&gt;"",$R903='تقرير مارس'!$C$4,$P903='تقرير مارس'!$C$6),COUNT(AC$4:AC902)+1,"")</f>
        <v/>
      </c>
      <c r="AD903">
        <f>IF(AND($A903&lt;&gt;"",$B903&lt;&gt;"",$R903='تقرير أبريل'!$C$4,$P903='تقرير أبريل'!$C$6),COUNT(AD$4:AD902)+1,"")</f>
        <v/>
      </c>
      <c r="AE903">
        <f>IF(AND($A903&lt;&gt;"",$B903&lt;&gt;"",$R903='تقرير مايو'!$C$4,$P903='تقرير مايو'!$C$6),COUNT(AE$4:AE902)+1,"")</f>
        <v/>
      </c>
    </row>
    <row r="904">
      <c r="A904" s="16" t="n"/>
      <c r="B904" s="17" t="n"/>
      <c r="C904" s="17" t="n"/>
      <c r="D904" s="18" t="n"/>
      <c r="E904" s="17" t="n"/>
      <c r="F904" s="17" t="n"/>
      <c r="G904" s="19" t="n"/>
      <c r="H904" s="17" t="n"/>
      <c r="I904" s="17" t="n"/>
      <c r="J904" s="17" t="n"/>
      <c r="K904" s="20">
        <f>IF($B904="","",IFERROR(INDEX(الموظفات!$A$5:$A$304,MATCH($B904,الموظفات!$B$5:$B$304,0))&amp;"",""))</f>
        <v/>
      </c>
      <c r="L904" s="21">
        <f>IF($B904="","",IFERROR(INDEX(الموظفات!$C$5:$C$304,MATCH($B904,الموظفات!$B$5:$B$304,0))&amp;"",""))</f>
        <v/>
      </c>
      <c r="M904" s="20">
        <f>IF($B904="","",IFERROR(INDEX(الموظفات!$D$5:$D$304,MATCH($B904,الموظفات!$B$5:$B$304,0))&amp;"",""))</f>
        <v/>
      </c>
      <c r="N904" s="20">
        <f>IF($B904="","",IFERROR(INDEX(الموظفات!$E$5:$E$304,MATCH($B904,الموظفات!$B$5:$B$304,0))&amp;"",""))</f>
        <v/>
      </c>
      <c r="O904" s="21">
        <f>IF(C904="","",IFERROR(INDEX(الإعدادات!$D$7:$D$35,MATCH(C904,الإعدادات!$A$7:$A$35,0))&amp;"",""))</f>
        <v/>
      </c>
      <c r="P904" s="20">
        <f>IF(A904="","",INDEX(الإعدادات!$H$7:$H$18,MONTH(A904)))</f>
        <v/>
      </c>
      <c r="Q904" s="20">
        <f>IF(A904="","",INDEX(الإعدادات!$I$7:$I$18,MONTH(A904)))</f>
        <v/>
      </c>
      <c r="R904" s="20">
        <f>IF(A904="","",IF(MONTH(A904)&gt;=8,YEAR(A904)&amp;"-"&amp;(YEAR(A904)+1),(YEAR(A904)-1)&amp;"-"&amp;YEAR(A904)))</f>
        <v/>
      </c>
      <c r="S904" s="20">
        <f>IF(OR(A904="",B904=""),0,IF(AND(R904=التقارير!$C$4,OR(التقارير!$C$5="سنوي",AND(التقارير!$C$5="شهري",P904=التقارير!$C$6),AND(التقارير!$C$5="فصلي",Q904=التقارير!$C$7))),1,0))</f>
        <v/>
      </c>
      <c r="T904" s="20">
        <f>IF(S904=1,COUNTIF($S$5:S904,1),"")</f>
        <v/>
      </c>
      <c r="U904">
        <f>IF(AND($A904&lt;&gt;"",$B904&lt;&gt;"",$R904='تقرير الفصل الأول'!$C$4,$Q904='تقرير الفصل الأول'!$C$7),COUNT(U$4:U903)+1,"")</f>
        <v/>
      </c>
      <c r="V904">
        <f>IF(AND($A904&lt;&gt;"",$B904&lt;&gt;"",$R904='تقرير الفصل الثاني'!$C$4,$Q904='تقرير الفصل الثاني'!$C$7),COUNT(V$4:V903)+1,"")</f>
        <v/>
      </c>
      <c r="W904">
        <f>IF(AND($A904&lt;&gt;"",$B904&lt;&gt;"",$R904='تقرير سبتمبر'!$C$4,$P904='تقرير سبتمبر'!$C$6),COUNT(W$4:W903)+1,"")</f>
        <v/>
      </c>
      <c r="X904">
        <f>IF(AND($A904&lt;&gt;"",$B904&lt;&gt;"",$R904='تقرير أكتوبر'!$C$4,$P904='تقرير أكتوبر'!$C$6),COUNT(X$4:X903)+1,"")</f>
        <v/>
      </c>
      <c r="Y904">
        <f>IF(AND($A904&lt;&gt;"",$B904&lt;&gt;"",$R904='تقرير نوفمبر'!$C$4,$P904='تقرير نوفمبر'!$C$6),COUNT(Y$4:Y903)+1,"")</f>
        <v/>
      </c>
      <c r="Z904">
        <f>IF(AND($A904&lt;&gt;"",$B904&lt;&gt;"",$R904='تقرير ديسمبر'!$C$4,$P904='تقرير ديسمبر'!$C$6),COUNT(Z$4:Z903)+1,"")</f>
        <v/>
      </c>
      <c r="AA904">
        <f>IF(AND($A904&lt;&gt;"",$B904&lt;&gt;"",$R904='تقرير يناير'!$C$4,$P904='تقرير يناير'!$C$6),COUNT(AA$4:AA903)+1,"")</f>
        <v/>
      </c>
      <c r="AB904">
        <f>IF(AND($A904&lt;&gt;"",$B904&lt;&gt;"",$R904='تقرير فبراير'!$C$4,$P904='تقرير فبراير'!$C$6),COUNT(AB$4:AB903)+1,"")</f>
        <v/>
      </c>
      <c r="AC904">
        <f>IF(AND($A904&lt;&gt;"",$B904&lt;&gt;"",$R904='تقرير مارس'!$C$4,$P904='تقرير مارس'!$C$6),COUNT(AC$4:AC903)+1,"")</f>
        <v/>
      </c>
      <c r="AD904">
        <f>IF(AND($A904&lt;&gt;"",$B904&lt;&gt;"",$R904='تقرير أبريل'!$C$4,$P904='تقرير أبريل'!$C$6),COUNT(AD$4:AD903)+1,"")</f>
        <v/>
      </c>
      <c r="AE904">
        <f>IF(AND($A904&lt;&gt;"",$B904&lt;&gt;"",$R904='تقرير مايو'!$C$4,$P904='تقرير مايو'!$C$6),COUNT(AE$4:AE903)+1,"")</f>
        <v/>
      </c>
    </row>
    <row r="905">
      <c r="A905" s="16" t="n"/>
      <c r="B905" s="17" t="n"/>
      <c r="C905" s="17" t="n"/>
      <c r="D905" s="18" t="n"/>
      <c r="E905" s="17" t="n"/>
      <c r="F905" s="17" t="n"/>
      <c r="G905" s="19" t="n"/>
      <c r="H905" s="17" t="n"/>
      <c r="I905" s="17" t="n"/>
      <c r="J905" s="17" t="n"/>
      <c r="K905" s="20">
        <f>IF($B905="","",IFERROR(INDEX(الموظفات!$A$5:$A$304,MATCH($B905,الموظفات!$B$5:$B$304,0))&amp;"",""))</f>
        <v/>
      </c>
      <c r="L905" s="21">
        <f>IF($B905="","",IFERROR(INDEX(الموظفات!$C$5:$C$304,MATCH($B905,الموظفات!$B$5:$B$304,0))&amp;"",""))</f>
        <v/>
      </c>
      <c r="M905" s="20">
        <f>IF($B905="","",IFERROR(INDEX(الموظفات!$D$5:$D$304,MATCH($B905,الموظفات!$B$5:$B$304,0))&amp;"",""))</f>
        <v/>
      </c>
      <c r="N905" s="20">
        <f>IF($B905="","",IFERROR(INDEX(الموظفات!$E$5:$E$304,MATCH($B905,الموظفات!$B$5:$B$304,0))&amp;"",""))</f>
        <v/>
      </c>
      <c r="O905" s="21">
        <f>IF(C905="","",IFERROR(INDEX(الإعدادات!$D$7:$D$35,MATCH(C905,الإعدادات!$A$7:$A$35,0))&amp;"",""))</f>
        <v/>
      </c>
      <c r="P905" s="20">
        <f>IF(A905="","",INDEX(الإعدادات!$H$7:$H$18,MONTH(A905)))</f>
        <v/>
      </c>
      <c r="Q905" s="20">
        <f>IF(A905="","",INDEX(الإعدادات!$I$7:$I$18,MONTH(A905)))</f>
        <v/>
      </c>
      <c r="R905" s="20">
        <f>IF(A905="","",IF(MONTH(A905)&gt;=8,YEAR(A905)&amp;"-"&amp;(YEAR(A905)+1),(YEAR(A905)-1)&amp;"-"&amp;YEAR(A905)))</f>
        <v/>
      </c>
      <c r="S905" s="20">
        <f>IF(OR(A905="",B905=""),0,IF(AND(R905=التقارير!$C$4,OR(التقارير!$C$5="سنوي",AND(التقارير!$C$5="شهري",P905=التقارير!$C$6),AND(التقارير!$C$5="فصلي",Q905=التقارير!$C$7))),1,0))</f>
        <v/>
      </c>
      <c r="T905" s="20">
        <f>IF(S905=1,COUNTIF($S$5:S905,1),"")</f>
        <v/>
      </c>
      <c r="U905">
        <f>IF(AND($A905&lt;&gt;"",$B905&lt;&gt;"",$R905='تقرير الفصل الأول'!$C$4,$Q905='تقرير الفصل الأول'!$C$7),COUNT(U$4:U904)+1,"")</f>
        <v/>
      </c>
      <c r="V905">
        <f>IF(AND($A905&lt;&gt;"",$B905&lt;&gt;"",$R905='تقرير الفصل الثاني'!$C$4,$Q905='تقرير الفصل الثاني'!$C$7),COUNT(V$4:V904)+1,"")</f>
        <v/>
      </c>
      <c r="W905">
        <f>IF(AND($A905&lt;&gt;"",$B905&lt;&gt;"",$R905='تقرير سبتمبر'!$C$4,$P905='تقرير سبتمبر'!$C$6),COUNT(W$4:W904)+1,"")</f>
        <v/>
      </c>
      <c r="X905">
        <f>IF(AND($A905&lt;&gt;"",$B905&lt;&gt;"",$R905='تقرير أكتوبر'!$C$4,$P905='تقرير أكتوبر'!$C$6),COUNT(X$4:X904)+1,"")</f>
        <v/>
      </c>
      <c r="Y905">
        <f>IF(AND($A905&lt;&gt;"",$B905&lt;&gt;"",$R905='تقرير نوفمبر'!$C$4,$P905='تقرير نوفمبر'!$C$6),COUNT(Y$4:Y904)+1,"")</f>
        <v/>
      </c>
      <c r="Z905">
        <f>IF(AND($A905&lt;&gt;"",$B905&lt;&gt;"",$R905='تقرير ديسمبر'!$C$4,$P905='تقرير ديسمبر'!$C$6),COUNT(Z$4:Z904)+1,"")</f>
        <v/>
      </c>
      <c r="AA905">
        <f>IF(AND($A905&lt;&gt;"",$B905&lt;&gt;"",$R905='تقرير يناير'!$C$4,$P905='تقرير يناير'!$C$6),COUNT(AA$4:AA904)+1,"")</f>
        <v/>
      </c>
      <c r="AB905">
        <f>IF(AND($A905&lt;&gt;"",$B905&lt;&gt;"",$R905='تقرير فبراير'!$C$4,$P905='تقرير فبراير'!$C$6),COUNT(AB$4:AB904)+1,"")</f>
        <v/>
      </c>
      <c r="AC905">
        <f>IF(AND($A905&lt;&gt;"",$B905&lt;&gt;"",$R905='تقرير مارس'!$C$4,$P905='تقرير مارس'!$C$6),COUNT(AC$4:AC904)+1,"")</f>
        <v/>
      </c>
      <c r="AD905">
        <f>IF(AND($A905&lt;&gt;"",$B905&lt;&gt;"",$R905='تقرير أبريل'!$C$4,$P905='تقرير أبريل'!$C$6),COUNT(AD$4:AD904)+1,"")</f>
        <v/>
      </c>
      <c r="AE905">
        <f>IF(AND($A905&lt;&gt;"",$B905&lt;&gt;"",$R905='تقرير مايو'!$C$4,$P905='تقرير مايو'!$C$6),COUNT(AE$4:AE904)+1,"")</f>
        <v/>
      </c>
    </row>
    <row r="906">
      <c r="A906" s="16" t="n"/>
      <c r="B906" s="17" t="n"/>
      <c r="C906" s="17" t="n"/>
      <c r="D906" s="18" t="n"/>
      <c r="E906" s="17" t="n"/>
      <c r="F906" s="17" t="n"/>
      <c r="G906" s="19" t="n"/>
      <c r="H906" s="17" t="n"/>
      <c r="I906" s="17" t="n"/>
      <c r="J906" s="17" t="n"/>
      <c r="K906" s="20">
        <f>IF($B906="","",IFERROR(INDEX(الموظفات!$A$5:$A$304,MATCH($B906,الموظفات!$B$5:$B$304,0))&amp;"",""))</f>
        <v/>
      </c>
      <c r="L906" s="21">
        <f>IF($B906="","",IFERROR(INDEX(الموظفات!$C$5:$C$304,MATCH($B906,الموظفات!$B$5:$B$304,0))&amp;"",""))</f>
        <v/>
      </c>
      <c r="M906" s="20">
        <f>IF($B906="","",IFERROR(INDEX(الموظفات!$D$5:$D$304,MATCH($B906,الموظفات!$B$5:$B$304,0))&amp;"",""))</f>
        <v/>
      </c>
      <c r="N906" s="20">
        <f>IF($B906="","",IFERROR(INDEX(الموظفات!$E$5:$E$304,MATCH($B906,الموظفات!$B$5:$B$304,0))&amp;"",""))</f>
        <v/>
      </c>
      <c r="O906" s="21">
        <f>IF(C906="","",IFERROR(INDEX(الإعدادات!$D$7:$D$35,MATCH(C906,الإعدادات!$A$7:$A$35,0))&amp;"",""))</f>
        <v/>
      </c>
      <c r="P906" s="20">
        <f>IF(A906="","",INDEX(الإعدادات!$H$7:$H$18,MONTH(A906)))</f>
        <v/>
      </c>
      <c r="Q906" s="20">
        <f>IF(A906="","",INDEX(الإعدادات!$I$7:$I$18,MONTH(A906)))</f>
        <v/>
      </c>
      <c r="R906" s="20">
        <f>IF(A906="","",IF(MONTH(A906)&gt;=8,YEAR(A906)&amp;"-"&amp;(YEAR(A906)+1),(YEAR(A906)-1)&amp;"-"&amp;YEAR(A906)))</f>
        <v/>
      </c>
      <c r="S906" s="20">
        <f>IF(OR(A906="",B906=""),0,IF(AND(R906=التقارير!$C$4,OR(التقارير!$C$5="سنوي",AND(التقارير!$C$5="شهري",P906=التقارير!$C$6),AND(التقارير!$C$5="فصلي",Q906=التقارير!$C$7))),1,0))</f>
        <v/>
      </c>
      <c r="T906" s="20">
        <f>IF(S906=1,COUNTIF($S$5:S906,1),"")</f>
        <v/>
      </c>
      <c r="U906">
        <f>IF(AND($A906&lt;&gt;"",$B906&lt;&gt;"",$R906='تقرير الفصل الأول'!$C$4,$Q906='تقرير الفصل الأول'!$C$7),COUNT(U$4:U905)+1,"")</f>
        <v/>
      </c>
      <c r="V906">
        <f>IF(AND($A906&lt;&gt;"",$B906&lt;&gt;"",$R906='تقرير الفصل الثاني'!$C$4,$Q906='تقرير الفصل الثاني'!$C$7),COUNT(V$4:V905)+1,"")</f>
        <v/>
      </c>
      <c r="W906">
        <f>IF(AND($A906&lt;&gt;"",$B906&lt;&gt;"",$R906='تقرير سبتمبر'!$C$4,$P906='تقرير سبتمبر'!$C$6),COUNT(W$4:W905)+1,"")</f>
        <v/>
      </c>
      <c r="X906">
        <f>IF(AND($A906&lt;&gt;"",$B906&lt;&gt;"",$R906='تقرير أكتوبر'!$C$4,$P906='تقرير أكتوبر'!$C$6),COUNT(X$4:X905)+1,"")</f>
        <v/>
      </c>
      <c r="Y906">
        <f>IF(AND($A906&lt;&gt;"",$B906&lt;&gt;"",$R906='تقرير نوفمبر'!$C$4,$P906='تقرير نوفمبر'!$C$6),COUNT(Y$4:Y905)+1,"")</f>
        <v/>
      </c>
      <c r="Z906">
        <f>IF(AND($A906&lt;&gt;"",$B906&lt;&gt;"",$R906='تقرير ديسمبر'!$C$4,$P906='تقرير ديسمبر'!$C$6),COUNT(Z$4:Z905)+1,"")</f>
        <v/>
      </c>
      <c r="AA906">
        <f>IF(AND($A906&lt;&gt;"",$B906&lt;&gt;"",$R906='تقرير يناير'!$C$4,$P906='تقرير يناير'!$C$6),COUNT(AA$4:AA905)+1,"")</f>
        <v/>
      </c>
      <c r="AB906">
        <f>IF(AND($A906&lt;&gt;"",$B906&lt;&gt;"",$R906='تقرير فبراير'!$C$4,$P906='تقرير فبراير'!$C$6),COUNT(AB$4:AB905)+1,"")</f>
        <v/>
      </c>
      <c r="AC906">
        <f>IF(AND($A906&lt;&gt;"",$B906&lt;&gt;"",$R906='تقرير مارس'!$C$4,$P906='تقرير مارس'!$C$6),COUNT(AC$4:AC905)+1,"")</f>
        <v/>
      </c>
      <c r="AD906">
        <f>IF(AND($A906&lt;&gt;"",$B906&lt;&gt;"",$R906='تقرير أبريل'!$C$4,$P906='تقرير أبريل'!$C$6),COUNT(AD$4:AD905)+1,"")</f>
        <v/>
      </c>
      <c r="AE906">
        <f>IF(AND($A906&lt;&gt;"",$B906&lt;&gt;"",$R906='تقرير مايو'!$C$4,$P906='تقرير مايو'!$C$6),COUNT(AE$4:AE905)+1,"")</f>
        <v/>
      </c>
    </row>
    <row r="907">
      <c r="A907" s="16" t="n"/>
      <c r="B907" s="17" t="n"/>
      <c r="C907" s="17" t="n"/>
      <c r="D907" s="18" t="n"/>
      <c r="E907" s="17" t="n"/>
      <c r="F907" s="17" t="n"/>
      <c r="G907" s="19" t="n"/>
      <c r="H907" s="17" t="n"/>
      <c r="I907" s="17" t="n"/>
      <c r="J907" s="17" t="n"/>
      <c r="K907" s="20">
        <f>IF($B907="","",IFERROR(INDEX(الموظفات!$A$5:$A$304,MATCH($B907,الموظفات!$B$5:$B$304,0))&amp;"",""))</f>
        <v/>
      </c>
      <c r="L907" s="21">
        <f>IF($B907="","",IFERROR(INDEX(الموظفات!$C$5:$C$304,MATCH($B907,الموظفات!$B$5:$B$304,0))&amp;"",""))</f>
        <v/>
      </c>
      <c r="M907" s="20">
        <f>IF($B907="","",IFERROR(INDEX(الموظفات!$D$5:$D$304,MATCH($B907,الموظفات!$B$5:$B$304,0))&amp;"",""))</f>
        <v/>
      </c>
      <c r="N907" s="20">
        <f>IF($B907="","",IFERROR(INDEX(الموظفات!$E$5:$E$304,MATCH($B907,الموظفات!$B$5:$B$304,0))&amp;"",""))</f>
        <v/>
      </c>
      <c r="O907" s="21">
        <f>IF(C907="","",IFERROR(INDEX(الإعدادات!$D$7:$D$35,MATCH(C907,الإعدادات!$A$7:$A$35,0))&amp;"",""))</f>
        <v/>
      </c>
      <c r="P907" s="20">
        <f>IF(A907="","",INDEX(الإعدادات!$H$7:$H$18,MONTH(A907)))</f>
        <v/>
      </c>
      <c r="Q907" s="20">
        <f>IF(A907="","",INDEX(الإعدادات!$I$7:$I$18,MONTH(A907)))</f>
        <v/>
      </c>
      <c r="R907" s="20">
        <f>IF(A907="","",IF(MONTH(A907)&gt;=8,YEAR(A907)&amp;"-"&amp;(YEAR(A907)+1),(YEAR(A907)-1)&amp;"-"&amp;YEAR(A907)))</f>
        <v/>
      </c>
      <c r="S907" s="20">
        <f>IF(OR(A907="",B907=""),0,IF(AND(R907=التقارير!$C$4,OR(التقارير!$C$5="سنوي",AND(التقارير!$C$5="شهري",P907=التقارير!$C$6),AND(التقارير!$C$5="فصلي",Q907=التقارير!$C$7))),1,0))</f>
        <v/>
      </c>
      <c r="T907" s="20">
        <f>IF(S907=1,COUNTIF($S$5:S907,1),"")</f>
        <v/>
      </c>
      <c r="U907">
        <f>IF(AND($A907&lt;&gt;"",$B907&lt;&gt;"",$R907='تقرير الفصل الأول'!$C$4,$Q907='تقرير الفصل الأول'!$C$7),COUNT(U$4:U906)+1,"")</f>
        <v/>
      </c>
      <c r="V907">
        <f>IF(AND($A907&lt;&gt;"",$B907&lt;&gt;"",$R907='تقرير الفصل الثاني'!$C$4,$Q907='تقرير الفصل الثاني'!$C$7),COUNT(V$4:V906)+1,"")</f>
        <v/>
      </c>
      <c r="W907">
        <f>IF(AND($A907&lt;&gt;"",$B907&lt;&gt;"",$R907='تقرير سبتمبر'!$C$4,$P907='تقرير سبتمبر'!$C$6),COUNT(W$4:W906)+1,"")</f>
        <v/>
      </c>
      <c r="X907">
        <f>IF(AND($A907&lt;&gt;"",$B907&lt;&gt;"",$R907='تقرير أكتوبر'!$C$4,$P907='تقرير أكتوبر'!$C$6),COUNT(X$4:X906)+1,"")</f>
        <v/>
      </c>
      <c r="Y907">
        <f>IF(AND($A907&lt;&gt;"",$B907&lt;&gt;"",$R907='تقرير نوفمبر'!$C$4,$P907='تقرير نوفمبر'!$C$6),COUNT(Y$4:Y906)+1,"")</f>
        <v/>
      </c>
      <c r="Z907">
        <f>IF(AND($A907&lt;&gt;"",$B907&lt;&gt;"",$R907='تقرير ديسمبر'!$C$4,$P907='تقرير ديسمبر'!$C$6),COUNT(Z$4:Z906)+1,"")</f>
        <v/>
      </c>
      <c r="AA907">
        <f>IF(AND($A907&lt;&gt;"",$B907&lt;&gt;"",$R907='تقرير يناير'!$C$4,$P907='تقرير يناير'!$C$6),COUNT(AA$4:AA906)+1,"")</f>
        <v/>
      </c>
      <c r="AB907">
        <f>IF(AND($A907&lt;&gt;"",$B907&lt;&gt;"",$R907='تقرير فبراير'!$C$4,$P907='تقرير فبراير'!$C$6),COUNT(AB$4:AB906)+1,"")</f>
        <v/>
      </c>
      <c r="AC907">
        <f>IF(AND($A907&lt;&gt;"",$B907&lt;&gt;"",$R907='تقرير مارس'!$C$4,$P907='تقرير مارس'!$C$6),COUNT(AC$4:AC906)+1,"")</f>
        <v/>
      </c>
      <c r="AD907">
        <f>IF(AND($A907&lt;&gt;"",$B907&lt;&gt;"",$R907='تقرير أبريل'!$C$4,$P907='تقرير أبريل'!$C$6),COUNT(AD$4:AD906)+1,"")</f>
        <v/>
      </c>
      <c r="AE907">
        <f>IF(AND($A907&lt;&gt;"",$B907&lt;&gt;"",$R907='تقرير مايو'!$C$4,$P907='تقرير مايو'!$C$6),COUNT(AE$4:AE906)+1,"")</f>
        <v/>
      </c>
    </row>
    <row r="908">
      <c r="A908" s="16" t="n"/>
      <c r="B908" s="17" t="n"/>
      <c r="C908" s="17" t="n"/>
      <c r="D908" s="18" t="n"/>
      <c r="E908" s="17" t="n"/>
      <c r="F908" s="17" t="n"/>
      <c r="G908" s="19" t="n"/>
      <c r="H908" s="17" t="n"/>
      <c r="I908" s="17" t="n"/>
      <c r="J908" s="17" t="n"/>
      <c r="K908" s="20">
        <f>IF($B908="","",IFERROR(INDEX(الموظفات!$A$5:$A$304,MATCH($B908,الموظفات!$B$5:$B$304,0))&amp;"",""))</f>
        <v/>
      </c>
      <c r="L908" s="21">
        <f>IF($B908="","",IFERROR(INDEX(الموظفات!$C$5:$C$304,MATCH($B908,الموظفات!$B$5:$B$304,0))&amp;"",""))</f>
        <v/>
      </c>
      <c r="M908" s="20">
        <f>IF($B908="","",IFERROR(INDEX(الموظفات!$D$5:$D$304,MATCH($B908,الموظفات!$B$5:$B$304,0))&amp;"",""))</f>
        <v/>
      </c>
      <c r="N908" s="20">
        <f>IF($B908="","",IFERROR(INDEX(الموظفات!$E$5:$E$304,MATCH($B908,الموظفات!$B$5:$B$304,0))&amp;"",""))</f>
        <v/>
      </c>
      <c r="O908" s="21">
        <f>IF(C908="","",IFERROR(INDEX(الإعدادات!$D$7:$D$35,MATCH(C908,الإعدادات!$A$7:$A$35,0))&amp;"",""))</f>
        <v/>
      </c>
      <c r="P908" s="20">
        <f>IF(A908="","",INDEX(الإعدادات!$H$7:$H$18,MONTH(A908)))</f>
        <v/>
      </c>
      <c r="Q908" s="20">
        <f>IF(A908="","",INDEX(الإعدادات!$I$7:$I$18,MONTH(A908)))</f>
        <v/>
      </c>
      <c r="R908" s="20">
        <f>IF(A908="","",IF(MONTH(A908)&gt;=8,YEAR(A908)&amp;"-"&amp;(YEAR(A908)+1),(YEAR(A908)-1)&amp;"-"&amp;YEAR(A908)))</f>
        <v/>
      </c>
      <c r="S908" s="20">
        <f>IF(OR(A908="",B908=""),0,IF(AND(R908=التقارير!$C$4,OR(التقارير!$C$5="سنوي",AND(التقارير!$C$5="شهري",P908=التقارير!$C$6),AND(التقارير!$C$5="فصلي",Q908=التقارير!$C$7))),1,0))</f>
        <v/>
      </c>
      <c r="T908" s="20">
        <f>IF(S908=1,COUNTIF($S$5:S908,1),"")</f>
        <v/>
      </c>
      <c r="U908">
        <f>IF(AND($A908&lt;&gt;"",$B908&lt;&gt;"",$R908='تقرير الفصل الأول'!$C$4,$Q908='تقرير الفصل الأول'!$C$7),COUNT(U$4:U907)+1,"")</f>
        <v/>
      </c>
      <c r="V908">
        <f>IF(AND($A908&lt;&gt;"",$B908&lt;&gt;"",$R908='تقرير الفصل الثاني'!$C$4,$Q908='تقرير الفصل الثاني'!$C$7),COUNT(V$4:V907)+1,"")</f>
        <v/>
      </c>
      <c r="W908">
        <f>IF(AND($A908&lt;&gt;"",$B908&lt;&gt;"",$R908='تقرير سبتمبر'!$C$4,$P908='تقرير سبتمبر'!$C$6),COUNT(W$4:W907)+1,"")</f>
        <v/>
      </c>
      <c r="X908">
        <f>IF(AND($A908&lt;&gt;"",$B908&lt;&gt;"",$R908='تقرير أكتوبر'!$C$4,$P908='تقرير أكتوبر'!$C$6),COUNT(X$4:X907)+1,"")</f>
        <v/>
      </c>
      <c r="Y908">
        <f>IF(AND($A908&lt;&gt;"",$B908&lt;&gt;"",$R908='تقرير نوفمبر'!$C$4,$P908='تقرير نوفمبر'!$C$6),COUNT(Y$4:Y907)+1,"")</f>
        <v/>
      </c>
      <c r="Z908">
        <f>IF(AND($A908&lt;&gt;"",$B908&lt;&gt;"",$R908='تقرير ديسمبر'!$C$4,$P908='تقرير ديسمبر'!$C$6),COUNT(Z$4:Z907)+1,"")</f>
        <v/>
      </c>
      <c r="AA908">
        <f>IF(AND($A908&lt;&gt;"",$B908&lt;&gt;"",$R908='تقرير يناير'!$C$4,$P908='تقرير يناير'!$C$6),COUNT(AA$4:AA907)+1,"")</f>
        <v/>
      </c>
      <c r="AB908">
        <f>IF(AND($A908&lt;&gt;"",$B908&lt;&gt;"",$R908='تقرير فبراير'!$C$4,$P908='تقرير فبراير'!$C$6),COUNT(AB$4:AB907)+1,"")</f>
        <v/>
      </c>
      <c r="AC908">
        <f>IF(AND($A908&lt;&gt;"",$B908&lt;&gt;"",$R908='تقرير مارس'!$C$4,$P908='تقرير مارس'!$C$6),COUNT(AC$4:AC907)+1,"")</f>
        <v/>
      </c>
      <c r="AD908">
        <f>IF(AND($A908&lt;&gt;"",$B908&lt;&gt;"",$R908='تقرير أبريل'!$C$4,$P908='تقرير أبريل'!$C$6),COUNT(AD$4:AD907)+1,"")</f>
        <v/>
      </c>
      <c r="AE908">
        <f>IF(AND($A908&lt;&gt;"",$B908&lt;&gt;"",$R908='تقرير مايو'!$C$4,$P908='تقرير مايو'!$C$6),COUNT(AE$4:AE907)+1,"")</f>
        <v/>
      </c>
    </row>
    <row r="909">
      <c r="A909" s="16" t="n"/>
      <c r="B909" s="17" t="n"/>
      <c r="C909" s="17" t="n"/>
      <c r="D909" s="18" t="n"/>
      <c r="E909" s="17" t="n"/>
      <c r="F909" s="17" t="n"/>
      <c r="G909" s="19" t="n"/>
      <c r="H909" s="17" t="n"/>
      <c r="I909" s="17" t="n"/>
      <c r="J909" s="17" t="n"/>
      <c r="K909" s="20">
        <f>IF($B909="","",IFERROR(INDEX(الموظفات!$A$5:$A$304,MATCH($B909,الموظفات!$B$5:$B$304,0))&amp;"",""))</f>
        <v/>
      </c>
      <c r="L909" s="21">
        <f>IF($B909="","",IFERROR(INDEX(الموظفات!$C$5:$C$304,MATCH($B909,الموظفات!$B$5:$B$304,0))&amp;"",""))</f>
        <v/>
      </c>
      <c r="M909" s="20">
        <f>IF($B909="","",IFERROR(INDEX(الموظفات!$D$5:$D$304,MATCH($B909,الموظفات!$B$5:$B$304,0))&amp;"",""))</f>
        <v/>
      </c>
      <c r="N909" s="20">
        <f>IF($B909="","",IFERROR(INDEX(الموظفات!$E$5:$E$304,MATCH($B909,الموظفات!$B$5:$B$304,0))&amp;"",""))</f>
        <v/>
      </c>
      <c r="O909" s="21">
        <f>IF(C909="","",IFERROR(INDEX(الإعدادات!$D$7:$D$35,MATCH(C909,الإعدادات!$A$7:$A$35,0))&amp;"",""))</f>
        <v/>
      </c>
      <c r="P909" s="20">
        <f>IF(A909="","",INDEX(الإعدادات!$H$7:$H$18,MONTH(A909)))</f>
        <v/>
      </c>
      <c r="Q909" s="20">
        <f>IF(A909="","",INDEX(الإعدادات!$I$7:$I$18,MONTH(A909)))</f>
        <v/>
      </c>
      <c r="R909" s="20">
        <f>IF(A909="","",IF(MONTH(A909)&gt;=8,YEAR(A909)&amp;"-"&amp;(YEAR(A909)+1),(YEAR(A909)-1)&amp;"-"&amp;YEAR(A909)))</f>
        <v/>
      </c>
      <c r="S909" s="20">
        <f>IF(OR(A909="",B909=""),0,IF(AND(R909=التقارير!$C$4,OR(التقارير!$C$5="سنوي",AND(التقارير!$C$5="شهري",P909=التقارير!$C$6),AND(التقارير!$C$5="فصلي",Q909=التقارير!$C$7))),1,0))</f>
        <v/>
      </c>
      <c r="T909" s="20">
        <f>IF(S909=1,COUNTIF($S$5:S909,1),"")</f>
        <v/>
      </c>
      <c r="U909">
        <f>IF(AND($A909&lt;&gt;"",$B909&lt;&gt;"",$R909='تقرير الفصل الأول'!$C$4,$Q909='تقرير الفصل الأول'!$C$7),COUNT(U$4:U908)+1,"")</f>
        <v/>
      </c>
      <c r="V909">
        <f>IF(AND($A909&lt;&gt;"",$B909&lt;&gt;"",$R909='تقرير الفصل الثاني'!$C$4,$Q909='تقرير الفصل الثاني'!$C$7),COUNT(V$4:V908)+1,"")</f>
        <v/>
      </c>
      <c r="W909">
        <f>IF(AND($A909&lt;&gt;"",$B909&lt;&gt;"",$R909='تقرير سبتمبر'!$C$4,$P909='تقرير سبتمبر'!$C$6),COUNT(W$4:W908)+1,"")</f>
        <v/>
      </c>
      <c r="X909">
        <f>IF(AND($A909&lt;&gt;"",$B909&lt;&gt;"",$R909='تقرير أكتوبر'!$C$4,$P909='تقرير أكتوبر'!$C$6),COUNT(X$4:X908)+1,"")</f>
        <v/>
      </c>
      <c r="Y909">
        <f>IF(AND($A909&lt;&gt;"",$B909&lt;&gt;"",$R909='تقرير نوفمبر'!$C$4,$P909='تقرير نوفمبر'!$C$6),COUNT(Y$4:Y908)+1,"")</f>
        <v/>
      </c>
      <c r="Z909">
        <f>IF(AND($A909&lt;&gt;"",$B909&lt;&gt;"",$R909='تقرير ديسمبر'!$C$4,$P909='تقرير ديسمبر'!$C$6),COUNT(Z$4:Z908)+1,"")</f>
        <v/>
      </c>
      <c r="AA909">
        <f>IF(AND($A909&lt;&gt;"",$B909&lt;&gt;"",$R909='تقرير يناير'!$C$4,$P909='تقرير يناير'!$C$6),COUNT(AA$4:AA908)+1,"")</f>
        <v/>
      </c>
      <c r="AB909">
        <f>IF(AND($A909&lt;&gt;"",$B909&lt;&gt;"",$R909='تقرير فبراير'!$C$4,$P909='تقرير فبراير'!$C$6),COUNT(AB$4:AB908)+1,"")</f>
        <v/>
      </c>
      <c r="AC909">
        <f>IF(AND($A909&lt;&gt;"",$B909&lt;&gt;"",$R909='تقرير مارس'!$C$4,$P909='تقرير مارس'!$C$6),COUNT(AC$4:AC908)+1,"")</f>
        <v/>
      </c>
      <c r="AD909">
        <f>IF(AND($A909&lt;&gt;"",$B909&lt;&gt;"",$R909='تقرير أبريل'!$C$4,$P909='تقرير أبريل'!$C$6),COUNT(AD$4:AD908)+1,"")</f>
        <v/>
      </c>
      <c r="AE909">
        <f>IF(AND($A909&lt;&gt;"",$B909&lt;&gt;"",$R909='تقرير مايو'!$C$4,$P909='تقرير مايو'!$C$6),COUNT(AE$4:AE908)+1,"")</f>
        <v/>
      </c>
    </row>
    <row r="910">
      <c r="A910" s="16" t="n"/>
      <c r="B910" s="17" t="n"/>
      <c r="C910" s="17" t="n"/>
      <c r="D910" s="18" t="n"/>
      <c r="E910" s="17" t="n"/>
      <c r="F910" s="17" t="n"/>
      <c r="G910" s="19" t="n"/>
      <c r="H910" s="17" t="n"/>
      <c r="I910" s="17" t="n"/>
      <c r="J910" s="17" t="n"/>
      <c r="K910" s="20">
        <f>IF($B910="","",IFERROR(INDEX(الموظفات!$A$5:$A$304,MATCH($B910,الموظفات!$B$5:$B$304,0))&amp;"",""))</f>
        <v/>
      </c>
      <c r="L910" s="21">
        <f>IF($B910="","",IFERROR(INDEX(الموظفات!$C$5:$C$304,MATCH($B910,الموظفات!$B$5:$B$304,0))&amp;"",""))</f>
        <v/>
      </c>
      <c r="M910" s="20">
        <f>IF($B910="","",IFERROR(INDEX(الموظفات!$D$5:$D$304,MATCH($B910,الموظفات!$B$5:$B$304,0))&amp;"",""))</f>
        <v/>
      </c>
      <c r="N910" s="20">
        <f>IF($B910="","",IFERROR(INDEX(الموظفات!$E$5:$E$304,MATCH($B910,الموظفات!$B$5:$B$304,0))&amp;"",""))</f>
        <v/>
      </c>
      <c r="O910" s="21">
        <f>IF(C910="","",IFERROR(INDEX(الإعدادات!$D$7:$D$35,MATCH(C910,الإعدادات!$A$7:$A$35,0))&amp;"",""))</f>
        <v/>
      </c>
      <c r="P910" s="20">
        <f>IF(A910="","",INDEX(الإعدادات!$H$7:$H$18,MONTH(A910)))</f>
        <v/>
      </c>
      <c r="Q910" s="20">
        <f>IF(A910="","",INDEX(الإعدادات!$I$7:$I$18,MONTH(A910)))</f>
        <v/>
      </c>
      <c r="R910" s="20">
        <f>IF(A910="","",IF(MONTH(A910)&gt;=8,YEAR(A910)&amp;"-"&amp;(YEAR(A910)+1),(YEAR(A910)-1)&amp;"-"&amp;YEAR(A910)))</f>
        <v/>
      </c>
      <c r="S910" s="20">
        <f>IF(OR(A910="",B910=""),0,IF(AND(R910=التقارير!$C$4,OR(التقارير!$C$5="سنوي",AND(التقارير!$C$5="شهري",P910=التقارير!$C$6),AND(التقارير!$C$5="فصلي",Q910=التقارير!$C$7))),1,0))</f>
        <v/>
      </c>
      <c r="T910" s="20">
        <f>IF(S910=1,COUNTIF($S$5:S910,1),"")</f>
        <v/>
      </c>
      <c r="U910">
        <f>IF(AND($A910&lt;&gt;"",$B910&lt;&gt;"",$R910='تقرير الفصل الأول'!$C$4,$Q910='تقرير الفصل الأول'!$C$7),COUNT(U$4:U909)+1,"")</f>
        <v/>
      </c>
      <c r="V910">
        <f>IF(AND($A910&lt;&gt;"",$B910&lt;&gt;"",$R910='تقرير الفصل الثاني'!$C$4,$Q910='تقرير الفصل الثاني'!$C$7),COUNT(V$4:V909)+1,"")</f>
        <v/>
      </c>
      <c r="W910">
        <f>IF(AND($A910&lt;&gt;"",$B910&lt;&gt;"",$R910='تقرير سبتمبر'!$C$4,$P910='تقرير سبتمبر'!$C$6),COUNT(W$4:W909)+1,"")</f>
        <v/>
      </c>
      <c r="X910">
        <f>IF(AND($A910&lt;&gt;"",$B910&lt;&gt;"",$R910='تقرير أكتوبر'!$C$4,$P910='تقرير أكتوبر'!$C$6),COUNT(X$4:X909)+1,"")</f>
        <v/>
      </c>
      <c r="Y910">
        <f>IF(AND($A910&lt;&gt;"",$B910&lt;&gt;"",$R910='تقرير نوفمبر'!$C$4,$P910='تقرير نوفمبر'!$C$6),COUNT(Y$4:Y909)+1,"")</f>
        <v/>
      </c>
      <c r="Z910">
        <f>IF(AND($A910&lt;&gt;"",$B910&lt;&gt;"",$R910='تقرير ديسمبر'!$C$4,$P910='تقرير ديسمبر'!$C$6),COUNT(Z$4:Z909)+1,"")</f>
        <v/>
      </c>
      <c r="AA910">
        <f>IF(AND($A910&lt;&gt;"",$B910&lt;&gt;"",$R910='تقرير يناير'!$C$4,$P910='تقرير يناير'!$C$6),COUNT(AA$4:AA909)+1,"")</f>
        <v/>
      </c>
      <c r="AB910">
        <f>IF(AND($A910&lt;&gt;"",$B910&lt;&gt;"",$R910='تقرير فبراير'!$C$4,$P910='تقرير فبراير'!$C$6),COUNT(AB$4:AB909)+1,"")</f>
        <v/>
      </c>
      <c r="AC910">
        <f>IF(AND($A910&lt;&gt;"",$B910&lt;&gt;"",$R910='تقرير مارس'!$C$4,$P910='تقرير مارس'!$C$6),COUNT(AC$4:AC909)+1,"")</f>
        <v/>
      </c>
      <c r="AD910">
        <f>IF(AND($A910&lt;&gt;"",$B910&lt;&gt;"",$R910='تقرير أبريل'!$C$4,$P910='تقرير أبريل'!$C$6),COUNT(AD$4:AD909)+1,"")</f>
        <v/>
      </c>
      <c r="AE910">
        <f>IF(AND($A910&lt;&gt;"",$B910&lt;&gt;"",$R910='تقرير مايو'!$C$4,$P910='تقرير مايو'!$C$6),COUNT(AE$4:AE909)+1,"")</f>
        <v/>
      </c>
    </row>
    <row r="911">
      <c r="A911" s="16" t="n"/>
      <c r="B911" s="17" t="n"/>
      <c r="C911" s="17" t="n"/>
      <c r="D911" s="18" t="n"/>
      <c r="E911" s="17" t="n"/>
      <c r="F911" s="17" t="n"/>
      <c r="G911" s="19" t="n"/>
      <c r="H911" s="17" t="n"/>
      <c r="I911" s="17" t="n"/>
      <c r="J911" s="17" t="n"/>
      <c r="K911" s="20">
        <f>IF($B911="","",IFERROR(INDEX(الموظفات!$A$5:$A$304,MATCH($B911,الموظفات!$B$5:$B$304,0))&amp;"",""))</f>
        <v/>
      </c>
      <c r="L911" s="21">
        <f>IF($B911="","",IFERROR(INDEX(الموظفات!$C$5:$C$304,MATCH($B911,الموظفات!$B$5:$B$304,0))&amp;"",""))</f>
        <v/>
      </c>
      <c r="M911" s="20">
        <f>IF($B911="","",IFERROR(INDEX(الموظفات!$D$5:$D$304,MATCH($B911,الموظفات!$B$5:$B$304,0))&amp;"",""))</f>
        <v/>
      </c>
      <c r="N911" s="20">
        <f>IF($B911="","",IFERROR(INDEX(الموظفات!$E$5:$E$304,MATCH($B911,الموظفات!$B$5:$B$304,0))&amp;"",""))</f>
        <v/>
      </c>
      <c r="O911" s="21">
        <f>IF(C911="","",IFERROR(INDEX(الإعدادات!$D$7:$D$35,MATCH(C911,الإعدادات!$A$7:$A$35,0))&amp;"",""))</f>
        <v/>
      </c>
      <c r="P911" s="20">
        <f>IF(A911="","",INDEX(الإعدادات!$H$7:$H$18,MONTH(A911)))</f>
        <v/>
      </c>
      <c r="Q911" s="20">
        <f>IF(A911="","",INDEX(الإعدادات!$I$7:$I$18,MONTH(A911)))</f>
        <v/>
      </c>
      <c r="R911" s="20">
        <f>IF(A911="","",IF(MONTH(A911)&gt;=8,YEAR(A911)&amp;"-"&amp;(YEAR(A911)+1),(YEAR(A911)-1)&amp;"-"&amp;YEAR(A911)))</f>
        <v/>
      </c>
      <c r="S911" s="20">
        <f>IF(OR(A911="",B911=""),0,IF(AND(R911=التقارير!$C$4,OR(التقارير!$C$5="سنوي",AND(التقارير!$C$5="شهري",P911=التقارير!$C$6),AND(التقارير!$C$5="فصلي",Q911=التقارير!$C$7))),1,0))</f>
        <v/>
      </c>
      <c r="T911" s="20">
        <f>IF(S911=1,COUNTIF($S$5:S911,1),"")</f>
        <v/>
      </c>
      <c r="U911">
        <f>IF(AND($A911&lt;&gt;"",$B911&lt;&gt;"",$R911='تقرير الفصل الأول'!$C$4,$Q911='تقرير الفصل الأول'!$C$7),COUNT(U$4:U910)+1,"")</f>
        <v/>
      </c>
      <c r="V911">
        <f>IF(AND($A911&lt;&gt;"",$B911&lt;&gt;"",$R911='تقرير الفصل الثاني'!$C$4,$Q911='تقرير الفصل الثاني'!$C$7),COUNT(V$4:V910)+1,"")</f>
        <v/>
      </c>
      <c r="W911">
        <f>IF(AND($A911&lt;&gt;"",$B911&lt;&gt;"",$R911='تقرير سبتمبر'!$C$4,$P911='تقرير سبتمبر'!$C$6),COUNT(W$4:W910)+1,"")</f>
        <v/>
      </c>
      <c r="X911">
        <f>IF(AND($A911&lt;&gt;"",$B911&lt;&gt;"",$R911='تقرير أكتوبر'!$C$4,$P911='تقرير أكتوبر'!$C$6),COUNT(X$4:X910)+1,"")</f>
        <v/>
      </c>
      <c r="Y911">
        <f>IF(AND($A911&lt;&gt;"",$B911&lt;&gt;"",$R911='تقرير نوفمبر'!$C$4,$P911='تقرير نوفمبر'!$C$6),COUNT(Y$4:Y910)+1,"")</f>
        <v/>
      </c>
      <c r="Z911">
        <f>IF(AND($A911&lt;&gt;"",$B911&lt;&gt;"",$R911='تقرير ديسمبر'!$C$4,$P911='تقرير ديسمبر'!$C$6),COUNT(Z$4:Z910)+1,"")</f>
        <v/>
      </c>
      <c r="AA911">
        <f>IF(AND($A911&lt;&gt;"",$B911&lt;&gt;"",$R911='تقرير يناير'!$C$4,$P911='تقرير يناير'!$C$6),COUNT(AA$4:AA910)+1,"")</f>
        <v/>
      </c>
      <c r="AB911">
        <f>IF(AND($A911&lt;&gt;"",$B911&lt;&gt;"",$R911='تقرير فبراير'!$C$4,$P911='تقرير فبراير'!$C$6),COUNT(AB$4:AB910)+1,"")</f>
        <v/>
      </c>
      <c r="AC911">
        <f>IF(AND($A911&lt;&gt;"",$B911&lt;&gt;"",$R911='تقرير مارس'!$C$4,$P911='تقرير مارس'!$C$6),COUNT(AC$4:AC910)+1,"")</f>
        <v/>
      </c>
      <c r="AD911">
        <f>IF(AND($A911&lt;&gt;"",$B911&lt;&gt;"",$R911='تقرير أبريل'!$C$4,$P911='تقرير أبريل'!$C$6),COUNT(AD$4:AD910)+1,"")</f>
        <v/>
      </c>
      <c r="AE911">
        <f>IF(AND($A911&lt;&gt;"",$B911&lt;&gt;"",$R911='تقرير مايو'!$C$4,$P911='تقرير مايو'!$C$6),COUNT(AE$4:AE910)+1,"")</f>
        <v/>
      </c>
    </row>
    <row r="912">
      <c r="A912" s="16" t="n"/>
      <c r="B912" s="17" t="n"/>
      <c r="C912" s="17" t="n"/>
      <c r="D912" s="18" t="n"/>
      <c r="E912" s="17" t="n"/>
      <c r="F912" s="17" t="n"/>
      <c r="G912" s="19" t="n"/>
      <c r="H912" s="17" t="n"/>
      <c r="I912" s="17" t="n"/>
      <c r="J912" s="17" t="n"/>
      <c r="K912" s="20">
        <f>IF($B912="","",IFERROR(INDEX(الموظفات!$A$5:$A$304,MATCH($B912,الموظفات!$B$5:$B$304,0))&amp;"",""))</f>
        <v/>
      </c>
      <c r="L912" s="21">
        <f>IF($B912="","",IFERROR(INDEX(الموظفات!$C$5:$C$304,MATCH($B912,الموظفات!$B$5:$B$304,0))&amp;"",""))</f>
        <v/>
      </c>
      <c r="M912" s="20">
        <f>IF($B912="","",IFERROR(INDEX(الموظفات!$D$5:$D$304,MATCH($B912,الموظفات!$B$5:$B$304,0))&amp;"",""))</f>
        <v/>
      </c>
      <c r="N912" s="20">
        <f>IF($B912="","",IFERROR(INDEX(الموظفات!$E$5:$E$304,MATCH($B912,الموظفات!$B$5:$B$304,0))&amp;"",""))</f>
        <v/>
      </c>
      <c r="O912" s="21">
        <f>IF(C912="","",IFERROR(INDEX(الإعدادات!$D$7:$D$35,MATCH(C912,الإعدادات!$A$7:$A$35,0))&amp;"",""))</f>
        <v/>
      </c>
      <c r="P912" s="20">
        <f>IF(A912="","",INDEX(الإعدادات!$H$7:$H$18,MONTH(A912)))</f>
        <v/>
      </c>
      <c r="Q912" s="20">
        <f>IF(A912="","",INDEX(الإعدادات!$I$7:$I$18,MONTH(A912)))</f>
        <v/>
      </c>
      <c r="R912" s="20">
        <f>IF(A912="","",IF(MONTH(A912)&gt;=8,YEAR(A912)&amp;"-"&amp;(YEAR(A912)+1),(YEAR(A912)-1)&amp;"-"&amp;YEAR(A912)))</f>
        <v/>
      </c>
      <c r="S912" s="20">
        <f>IF(OR(A912="",B912=""),0,IF(AND(R912=التقارير!$C$4,OR(التقارير!$C$5="سنوي",AND(التقارير!$C$5="شهري",P912=التقارير!$C$6),AND(التقارير!$C$5="فصلي",Q912=التقارير!$C$7))),1,0))</f>
        <v/>
      </c>
      <c r="T912" s="20">
        <f>IF(S912=1,COUNTIF($S$5:S912,1),"")</f>
        <v/>
      </c>
      <c r="U912">
        <f>IF(AND($A912&lt;&gt;"",$B912&lt;&gt;"",$R912='تقرير الفصل الأول'!$C$4,$Q912='تقرير الفصل الأول'!$C$7),COUNT(U$4:U911)+1,"")</f>
        <v/>
      </c>
      <c r="V912">
        <f>IF(AND($A912&lt;&gt;"",$B912&lt;&gt;"",$R912='تقرير الفصل الثاني'!$C$4,$Q912='تقرير الفصل الثاني'!$C$7),COUNT(V$4:V911)+1,"")</f>
        <v/>
      </c>
      <c r="W912">
        <f>IF(AND($A912&lt;&gt;"",$B912&lt;&gt;"",$R912='تقرير سبتمبر'!$C$4,$P912='تقرير سبتمبر'!$C$6),COUNT(W$4:W911)+1,"")</f>
        <v/>
      </c>
      <c r="X912">
        <f>IF(AND($A912&lt;&gt;"",$B912&lt;&gt;"",$R912='تقرير أكتوبر'!$C$4,$P912='تقرير أكتوبر'!$C$6),COUNT(X$4:X911)+1,"")</f>
        <v/>
      </c>
      <c r="Y912">
        <f>IF(AND($A912&lt;&gt;"",$B912&lt;&gt;"",$R912='تقرير نوفمبر'!$C$4,$P912='تقرير نوفمبر'!$C$6),COUNT(Y$4:Y911)+1,"")</f>
        <v/>
      </c>
      <c r="Z912">
        <f>IF(AND($A912&lt;&gt;"",$B912&lt;&gt;"",$R912='تقرير ديسمبر'!$C$4,$P912='تقرير ديسمبر'!$C$6),COUNT(Z$4:Z911)+1,"")</f>
        <v/>
      </c>
      <c r="AA912">
        <f>IF(AND($A912&lt;&gt;"",$B912&lt;&gt;"",$R912='تقرير يناير'!$C$4,$P912='تقرير يناير'!$C$6),COUNT(AA$4:AA911)+1,"")</f>
        <v/>
      </c>
      <c r="AB912">
        <f>IF(AND($A912&lt;&gt;"",$B912&lt;&gt;"",$R912='تقرير فبراير'!$C$4,$P912='تقرير فبراير'!$C$6),COUNT(AB$4:AB911)+1,"")</f>
        <v/>
      </c>
      <c r="AC912">
        <f>IF(AND($A912&lt;&gt;"",$B912&lt;&gt;"",$R912='تقرير مارس'!$C$4,$P912='تقرير مارس'!$C$6),COUNT(AC$4:AC911)+1,"")</f>
        <v/>
      </c>
      <c r="AD912">
        <f>IF(AND($A912&lt;&gt;"",$B912&lt;&gt;"",$R912='تقرير أبريل'!$C$4,$P912='تقرير أبريل'!$C$6),COUNT(AD$4:AD911)+1,"")</f>
        <v/>
      </c>
      <c r="AE912">
        <f>IF(AND($A912&lt;&gt;"",$B912&lt;&gt;"",$R912='تقرير مايو'!$C$4,$P912='تقرير مايو'!$C$6),COUNT(AE$4:AE911)+1,"")</f>
        <v/>
      </c>
    </row>
    <row r="913">
      <c r="A913" s="16" t="n"/>
      <c r="B913" s="17" t="n"/>
      <c r="C913" s="17" t="n"/>
      <c r="D913" s="18" t="n"/>
      <c r="E913" s="17" t="n"/>
      <c r="F913" s="17" t="n"/>
      <c r="G913" s="19" t="n"/>
      <c r="H913" s="17" t="n"/>
      <c r="I913" s="17" t="n"/>
      <c r="J913" s="17" t="n"/>
      <c r="K913" s="20">
        <f>IF($B913="","",IFERROR(INDEX(الموظفات!$A$5:$A$304,MATCH($B913,الموظفات!$B$5:$B$304,0))&amp;"",""))</f>
        <v/>
      </c>
      <c r="L913" s="21">
        <f>IF($B913="","",IFERROR(INDEX(الموظفات!$C$5:$C$304,MATCH($B913,الموظفات!$B$5:$B$304,0))&amp;"",""))</f>
        <v/>
      </c>
      <c r="M913" s="20">
        <f>IF($B913="","",IFERROR(INDEX(الموظفات!$D$5:$D$304,MATCH($B913,الموظفات!$B$5:$B$304,0))&amp;"",""))</f>
        <v/>
      </c>
      <c r="N913" s="20">
        <f>IF($B913="","",IFERROR(INDEX(الموظفات!$E$5:$E$304,MATCH($B913,الموظفات!$B$5:$B$304,0))&amp;"",""))</f>
        <v/>
      </c>
      <c r="O913" s="21">
        <f>IF(C913="","",IFERROR(INDEX(الإعدادات!$D$7:$D$35,MATCH(C913,الإعدادات!$A$7:$A$35,0))&amp;"",""))</f>
        <v/>
      </c>
      <c r="P913" s="20">
        <f>IF(A913="","",INDEX(الإعدادات!$H$7:$H$18,MONTH(A913)))</f>
        <v/>
      </c>
      <c r="Q913" s="20">
        <f>IF(A913="","",INDEX(الإعدادات!$I$7:$I$18,MONTH(A913)))</f>
        <v/>
      </c>
      <c r="R913" s="20">
        <f>IF(A913="","",IF(MONTH(A913)&gt;=8,YEAR(A913)&amp;"-"&amp;(YEAR(A913)+1),(YEAR(A913)-1)&amp;"-"&amp;YEAR(A913)))</f>
        <v/>
      </c>
      <c r="S913" s="20">
        <f>IF(OR(A913="",B913=""),0,IF(AND(R913=التقارير!$C$4,OR(التقارير!$C$5="سنوي",AND(التقارير!$C$5="شهري",P913=التقارير!$C$6),AND(التقارير!$C$5="فصلي",Q913=التقارير!$C$7))),1,0))</f>
        <v/>
      </c>
      <c r="T913" s="20">
        <f>IF(S913=1,COUNTIF($S$5:S913,1),"")</f>
        <v/>
      </c>
      <c r="U913">
        <f>IF(AND($A913&lt;&gt;"",$B913&lt;&gt;"",$R913='تقرير الفصل الأول'!$C$4,$Q913='تقرير الفصل الأول'!$C$7),COUNT(U$4:U912)+1,"")</f>
        <v/>
      </c>
      <c r="V913">
        <f>IF(AND($A913&lt;&gt;"",$B913&lt;&gt;"",$R913='تقرير الفصل الثاني'!$C$4,$Q913='تقرير الفصل الثاني'!$C$7),COUNT(V$4:V912)+1,"")</f>
        <v/>
      </c>
      <c r="W913">
        <f>IF(AND($A913&lt;&gt;"",$B913&lt;&gt;"",$R913='تقرير سبتمبر'!$C$4,$P913='تقرير سبتمبر'!$C$6),COUNT(W$4:W912)+1,"")</f>
        <v/>
      </c>
      <c r="X913">
        <f>IF(AND($A913&lt;&gt;"",$B913&lt;&gt;"",$R913='تقرير أكتوبر'!$C$4,$P913='تقرير أكتوبر'!$C$6),COUNT(X$4:X912)+1,"")</f>
        <v/>
      </c>
      <c r="Y913">
        <f>IF(AND($A913&lt;&gt;"",$B913&lt;&gt;"",$R913='تقرير نوفمبر'!$C$4,$P913='تقرير نوفمبر'!$C$6),COUNT(Y$4:Y912)+1,"")</f>
        <v/>
      </c>
      <c r="Z913">
        <f>IF(AND($A913&lt;&gt;"",$B913&lt;&gt;"",$R913='تقرير ديسمبر'!$C$4,$P913='تقرير ديسمبر'!$C$6),COUNT(Z$4:Z912)+1,"")</f>
        <v/>
      </c>
      <c r="AA913">
        <f>IF(AND($A913&lt;&gt;"",$B913&lt;&gt;"",$R913='تقرير يناير'!$C$4,$P913='تقرير يناير'!$C$6),COUNT(AA$4:AA912)+1,"")</f>
        <v/>
      </c>
      <c r="AB913">
        <f>IF(AND($A913&lt;&gt;"",$B913&lt;&gt;"",$R913='تقرير فبراير'!$C$4,$P913='تقرير فبراير'!$C$6),COUNT(AB$4:AB912)+1,"")</f>
        <v/>
      </c>
      <c r="AC913">
        <f>IF(AND($A913&lt;&gt;"",$B913&lt;&gt;"",$R913='تقرير مارس'!$C$4,$P913='تقرير مارس'!$C$6),COUNT(AC$4:AC912)+1,"")</f>
        <v/>
      </c>
      <c r="AD913">
        <f>IF(AND($A913&lt;&gt;"",$B913&lt;&gt;"",$R913='تقرير أبريل'!$C$4,$P913='تقرير أبريل'!$C$6),COUNT(AD$4:AD912)+1,"")</f>
        <v/>
      </c>
      <c r="AE913">
        <f>IF(AND($A913&lt;&gt;"",$B913&lt;&gt;"",$R913='تقرير مايو'!$C$4,$P913='تقرير مايو'!$C$6),COUNT(AE$4:AE912)+1,"")</f>
        <v/>
      </c>
    </row>
    <row r="914">
      <c r="A914" s="16" t="n"/>
      <c r="B914" s="17" t="n"/>
      <c r="C914" s="17" t="n"/>
      <c r="D914" s="18" t="n"/>
      <c r="E914" s="17" t="n"/>
      <c r="F914" s="17" t="n"/>
      <c r="G914" s="19" t="n"/>
      <c r="H914" s="17" t="n"/>
      <c r="I914" s="17" t="n"/>
      <c r="J914" s="17" t="n"/>
      <c r="K914" s="20">
        <f>IF($B914="","",IFERROR(INDEX(الموظفات!$A$5:$A$304,MATCH($B914,الموظفات!$B$5:$B$304,0))&amp;"",""))</f>
        <v/>
      </c>
      <c r="L914" s="21">
        <f>IF($B914="","",IFERROR(INDEX(الموظفات!$C$5:$C$304,MATCH($B914,الموظفات!$B$5:$B$304,0))&amp;"",""))</f>
        <v/>
      </c>
      <c r="M914" s="20">
        <f>IF($B914="","",IFERROR(INDEX(الموظفات!$D$5:$D$304,MATCH($B914,الموظفات!$B$5:$B$304,0))&amp;"",""))</f>
        <v/>
      </c>
      <c r="N914" s="20">
        <f>IF($B914="","",IFERROR(INDEX(الموظفات!$E$5:$E$304,MATCH($B914,الموظفات!$B$5:$B$304,0))&amp;"",""))</f>
        <v/>
      </c>
      <c r="O914" s="21">
        <f>IF(C914="","",IFERROR(INDEX(الإعدادات!$D$7:$D$35,MATCH(C914,الإعدادات!$A$7:$A$35,0))&amp;"",""))</f>
        <v/>
      </c>
      <c r="P914" s="20">
        <f>IF(A914="","",INDEX(الإعدادات!$H$7:$H$18,MONTH(A914)))</f>
        <v/>
      </c>
      <c r="Q914" s="20">
        <f>IF(A914="","",INDEX(الإعدادات!$I$7:$I$18,MONTH(A914)))</f>
        <v/>
      </c>
      <c r="R914" s="20">
        <f>IF(A914="","",IF(MONTH(A914)&gt;=8,YEAR(A914)&amp;"-"&amp;(YEAR(A914)+1),(YEAR(A914)-1)&amp;"-"&amp;YEAR(A914)))</f>
        <v/>
      </c>
      <c r="S914" s="20">
        <f>IF(OR(A914="",B914=""),0,IF(AND(R914=التقارير!$C$4,OR(التقارير!$C$5="سنوي",AND(التقارير!$C$5="شهري",P914=التقارير!$C$6),AND(التقارير!$C$5="فصلي",Q914=التقارير!$C$7))),1,0))</f>
        <v/>
      </c>
      <c r="T914" s="20">
        <f>IF(S914=1,COUNTIF($S$5:S914,1),"")</f>
        <v/>
      </c>
      <c r="U914">
        <f>IF(AND($A914&lt;&gt;"",$B914&lt;&gt;"",$R914='تقرير الفصل الأول'!$C$4,$Q914='تقرير الفصل الأول'!$C$7),COUNT(U$4:U913)+1,"")</f>
        <v/>
      </c>
      <c r="V914">
        <f>IF(AND($A914&lt;&gt;"",$B914&lt;&gt;"",$R914='تقرير الفصل الثاني'!$C$4,$Q914='تقرير الفصل الثاني'!$C$7),COUNT(V$4:V913)+1,"")</f>
        <v/>
      </c>
      <c r="W914">
        <f>IF(AND($A914&lt;&gt;"",$B914&lt;&gt;"",$R914='تقرير سبتمبر'!$C$4,$P914='تقرير سبتمبر'!$C$6),COUNT(W$4:W913)+1,"")</f>
        <v/>
      </c>
      <c r="X914">
        <f>IF(AND($A914&lt;&gt;"",$B914&lt;&gt;"",$R914='تقرير أكتوبر'!$C$4,$P914='تقرير أكتوبر'!$C$6),COUNT(X$4:X913)+1,"")</f>
        <v/>
      </c>
      <c r="Y914">
        <f>IF(AND($A914&lt;&gt;"",$B914&lt;&gt;"",$R914='تقرير نوفمبر'!$C$4,$P914='تقرير نوفمبر'!$C$6),COUNT(Y$4:Y913)+1,"")</f>
        <v/>
      </c>
      <c r="Z914">
        <f>IF(AND($A914&lt;&gt;"",$B914&lt;&gt;"",$R914='تقرير ديسمبر'!$C$4,$P914='تقرير ديسمبر'!$C$6),COUNT(Z$4:Z913)+1,"")</f>
        <v/>
      </c>
      <c r="AA914">
        <f>IF(AND($A914&lt;&gt;"",$B914&lt;&gt;"",$R914='تقرير يناير'!$C$4,$P914='تقرير يناير'!$C$6),COUNT(AA$4:AA913)+1,"")</f>
        <v/>
      </c>
      <c r="AB914">
        <f>IF(AND($A914&lt;&gt;"",$B914&lt;&gt;"",$R914='تقرير فبراير'!$C$4,$P914='تقرير فبراير'!$C$6),COUNT(AB$4:AB913)+1,"")</f>
        <v/>
      </c>
      <c r="AC914">
        <f>IF(AND($A914&lt;&gt;"",$B914&lt;&gt;"",$R914='تقرير مارس'!$C$4,$P914='تقرير مارس'!$C$6),COUNT(AC$4:AC913)+1,"")</f>
        <v/>
      </c>
      <c r="AD914">
        <f>IF(AND($A914&lt;&gt;"",$B914&lt;&gt;"",$R914='تقرير أبريل'!$C$4,$P914='تقرير أبريل'!$C$6),COUNT(AD$4:AD913)+1,"")</f>
        <v/>
      </c>
      <c r="AE914">
        <f>IF(AND($A914&lt;&gt;"",$B914&lt;&gt;"",$R914='تقرير مايو'!$C$4,$P914='تقرير مايو'!$C$6),COUNT(AE$4:AE913)+1,"")</f>
        <v/>
      </c>
    </row>
    <row r="915">
      <c r="A915" s="16" t="n"/>
      <c r="B915" s="17" t="n"/>
      <c r="C915" s="17" t="n"/>
      <c r="D915" s="18" t="n"/>
      <c r="E915" s="17" t="n"/>
      <c r="F915" s="17" t="n"/>
      <c r="G915" s="19" t="n"/>
      <c r="H915" s="17" t="n"/>
      <c r="I915" s="17" t="n"/>
      <c r="J915" s="17" t="n"/>
      <c r="K915" s="20">
        <f>IF($B915="","",IFERROR(INDEX(الموظفات!$A$5:$A$304,MATCH($B915,الموظفات!$B$5:$B$304,0))&amp;"",""))</f>
        <v/>
      </c>
      <c r="L915" s="21">
        <f>IF($B915="","",IFERROR(INDEX(الموظفات!$C$5:$C$304,MATCH($B915,الموظفات!$B$5:$B$304,0))&amp;"",""))</f>
        <v/>
      </c>
      <c r="M915" s="20">
        <f>IF($B915="","",IFERROR(INDEX(الموظفات!$D$5:$D$304,MATCH($B915,الموظفات!$B$5:$B$304,0))&amp;"",""))</f>
        <v/>
      </c>
      <c r="N915" s="20">
        <f>IF($B915="","",IFERROR(INDEX(الموظفات!$E$5:$E$304,MATCH($B915,الموظفات!$B$5:$B$304,0))&amp;"",""))</f>
        <v/>
      </c>
      <c r="O915" s="21">
        <f>IF(C915="","",IFERROR(INDEX(الإعدادات!$D$7:$D$35,MATCH(C915,الإعدادات!$A$7:$A$35,0))&amp;"",""))</f>
        <v/>
      </c>
      <c r="P915" s="20">
        <f>IF(A915="","",INDEX(الإعدادات!$H$7:$H$18,MONTH(A915)))</f>
        <v/>
      </c>
      <c r="Q915" s="20">
        <f>IF(A915="","",INDEX(الإعدادات!$I$7:$I$18,MONTH(A915)))</f>
        <v/>
      </c>
      <c r="R915" s="20">
        <f>IF(A915="","",IF(MONTH(A915)&gt;=8,YEAR(A915)&amp;"-"&amp;(YEAR(A915)+1),(YEAR(A915)-1)&amp;"-"&amp;YEAR(A915)))</f>
        <v/>
      </c>
      <c r="S915" s="20">
        <f>IF(OR(A915="",B915=""),0,IF(AND(R915=التقارير!$C$4,OR(التقارير!$C$5="سنوي",AND(التقارير!$C$5="شهري",P915=التقارير!$C$6),AND(التقارير!$C$5="فصلي",Q915=التقارير!$C$7))),1,0))</f>
        <v/>
      </c>
      <c r="T915" s="20">
        <f>IF(S915=1,COUNTIF($S$5:S915,1),"")</f>
        <v/>
      </c>
      <c r="U915">
        <f>IF(AND($A915&lt;&gt;"",$B915&lt;&gt;"",$R915='تقرير الفصل الأول'!$C$4,$Q915='تقرير الفصل الأول'!$C$7),COUNT(U$4:U914)+1,"")</f>
        <v/>
      </c>
      <c r="V915">
        <f>IF(AND($A915&lt;&gt;"",$B915&lt;&gt;"",$R915='تقرير الفصل الثاني'!$C$4,$Q915='تقرير الفصل الثاني'!$C$7),COUNT(V$4:V914)+1,"")</f>
        <v/>
      </c>
      <c r="W915">
        <f>IF(AND($A915&lt;&gt;"",$B915&lt;&gt;"",$R915='تقرير سبتمبر'!$C$4,$P915='تقرير سبتمبر'!$C$6),COUNT(W$4:W914)+1,"")</f>
        <v/>
      </c>
      <c r="X915">
        <f>IF(AND($A915&lt;&gt;"",$B915&lt;&gt;"",$R915='تقرير أكتوبر'!$C$4,$P915='تقرير أكتوبر'!$C$6),COUNT(X$4:X914)+1,"")</f>
        <v/>
      </c>
      <c r="Y915">
        <f>IF(AND($A915&lt;&gt;"",$B915&lt;&gt;"",$R915='تقرير نوفمبر'!$C$4,$P915='تقرير نوفمبر'!$C$6),COUNT(Y$4:Y914)+1,"")</f>
        <v/>
      </c>
      <c r="Z915">
        <f>IF(AND($A915&lt;&gt;"",$B915&lt;&gt;"",$R915='تقرير ديسمبر'!$C$4,$P915='تقرير ديسمبر'!$C$6),COUNT(Z$4:Z914)+1,"")</f>
        <v/>
      </c>
      <c r="AA915">
        <f>IF(AND($A915&lt;&gt;"",$B915&lt;&gt;"",$R915='تقرير يناير'!$C$4,$P915='تقرير يناير'!$C$6),COUNT(AA$4:AA914)+1,"")</f>
        <v/>
      </c>
      <c r="AB915">
        <f>IF(AND($A915&lt;&gt;"",$B915&lt;&gt;"",$R915='تقرير فبراير'!$C$4,$P915='تقرير فبراير'!$C$6),COUNT(AB$4:AB914)+1,"")</f>
        <v/>
      </c>
      <c r="AC915">
        <f>IF(AND($A915&lt;&gt;"",$B915&lt;&gt;"",$R915='تقرير مارس'!$C$4,$P915='تقرير مارس'!$C$6),COUNT(AC$4:AC914)+1,"")</f>
        <v/>
      </c>
      <c r="AD915">
        <f>IF(AND($A915&lt;&gt;"",$B915&lt;&gt;"",$R915='تقرير أبريل'!$C$4,$P915='تقرير أبريل'!$C$6),COUNT(AD$4:AD914)+1,"")</f>
        <v/>
      </c>
      <c r="AE915">
        <f>IF(AND($A915&lt;&gt;"",$B915&lt;&gt;"",$R915='تقرير مايو'!$C$4,$P915='تقرير مايو'!$C$6),COUNT(AE$4:AE914)+1,"")</f>
        <v/>
      </c>
    </row>
    <row r="916">
      <c r="A916" s="16" t="n"/>
      <c r="B916" s="17" t="n"/>
      <c r="C916" s="17" t="n"/>
      <c r="D916" s="18" t="n"/>
      <c r="E916" s="17" t="n"/>
      <c r="F916" s="17" t="n"/>
      <c r="G916" s="19" t="n"/>
      <c r="H916" s="17" t="n"/>
      <c r="I916" s="17" t="n"/>
      <c r="J916" s="17" t="n"/>
      <c r="K916" s="20">
        <f>IF($B916="","",IFERROR(INDEX(الموظفات!$A$5:$A$304,MATCH($B916,الموظفات!$B$5:$B$304,0))&amp;"",""))</f>
        <v/>
      </c>
      <c r="L916" s="21">
        <f>IF($B916="","",IFERROR(INDEX(الموظفات!$C$5:$C$304,MATCH($B916,الموظفات!$B$5:$B$304,0))&amp;"",""))</f>
        <v/>
      </c>
      <c r="M916" s="20">
        <f>IF($B916="","",IFERROR(INDEX(الموظفات!$D$5:$D$304,MATCH($B916,الموظفات!$B$5:$B$304,0))&amp;"",""))</f>
        <v/>
      </c>
      <c r="N916" s="20">
        <f>IF($B916="","",IFERROR(INDEX(الموظفات!$E$5:$E$304,MATCH($B916,الموظفات!$B$5:$B$304,0))&amp;"",""))</f>
        <v/>
      </c>
      <c r="O916" s="21">
        <f>IF(C916="","",IFERROR(INDEX(الإعدادات!$D$7:$D$35,MATCH(C916,الإعدادات!$A$7:$A$35,0))&amp;"",""))</f>
        <v/>
      </c>
      <c r="P916" s="20">
        <f>IF(A916="","",INDEX(الإعدادات!$H$7:$H$18,MONTH(A916)))</f>
        <v/>
      </c>
      <c r="Q916" s="20">
        <f>IF(A916="","",INDEX(الإعدادات!$I$7:$I$18,MONTH(A916)))</f>
        <v/>
      </c>
      <c r="R916" s="20">
        <f>IF(A916="","",IF(MONTH(A916)&gt;=8,YEAR(A916)&amp;"-"&amp;(YEAR(A916)+1),(YEAR(A916)-1)&amp;"-"&amp;YEAR(A916)))</f>
        <v/>
      </c>
      <c r="S916" s="20">
        <f>IF(OR(A916="",B916=""),0,IF(AND(R916=التقارير!$C$4,OR(التقارير!$C$5="سنوي",AND(التقارير!$C$5="شهري",P916=التقارير!$C$6),AND(التقارير!$C$5="فصلي",Q916=التقارير!$C$7))),1,0))</f>
        <v/>
      </c>
      <c r="T916" s="20">
        <f>IF(S916=1,COUNTIF($S$5:S916,1),"")</f>
        <v/>
      </c>
      <c r="U916">
        <f>IF(AND($A916&lt;&gt;"",$B916&lt;&gt;"",$R916='تقرير الفصل الأول'!$C$4,$Q916='تقرير الفصل الأول'!$C$7),COUNT(U$4:U915)+1,"")</f>
        <v/>
      </c>
      <c r="V916">
        <f>IF(AND($A916&lt;&gt;"",$B916&lt;&gt;"",$R916='تقرير الفصل الثاني'!$C$4,$Q916='تقرير الفصل الثاني'!$C$7),COUNT(V$4:V915)+1,"")</f>
        <v/>
      </c>
      <c r="W916">
        <f>IF(AND($A916&lt;&gt;"",$B916&lt;&gt;"",$R916='تقرير سبتمبر'!$C$4,$P916='تقرير سبتمبر'!$C$6),COUNT(W$4:W915)+1,"")</f>
        <v/>
      </c>
      <c r="X916">
        <f>IF(AND($A916&lt;&gt;"",$B916&lt;&gt;"",$R916='تقرير أكتوبر'!$C$4,$P916='تقرير أكتوبر'!$C$6),COUNT(X$4:X915)+1,"")</f>
        <v/>
      </c>
      <c r="Y916">
        <f>IF(AND($A916&lt;&gt;"",$B916&lt;&gt;"",$R916='تقرير نوفمبر'!$C$4,$P916='تقرير نوفمبر'!$C$6),COUNT(Y$4:Y915)+1,"")</f>
        <v/>
      </c>
      <c r="Z916">
        <f>IF(AND($A916&lt;&gt;"",$B916&lt;&gt;"",$R916='تقرير ديسمبر'!$C$4,$P916='تقرير ديسمبر'!$C$6),COUNT(Z$4:Z915)+1,"")</f>
        <v/>
      </c>
      <c r="AA916">
        <f>IF(AND($A916&lt;&gt;"",$B916&lt;&gt;"",$R916='تقرير يناير'!$C$4,$P916='تقرير يناير'!$C$6),COUNT(AA$4:AA915)+1,"")</f>
        <v/>
      </c>
      <c r="AB916">
        <f>IF(AND($A916&lt;&gt;"",$B916&lt;&gt;"",$R916='تقرير فبراير'!$C$4,$P916='تقرير فبراير'!$C$6),COUNT(AB$4:AB915)+1,"")</f>
        <v/>
      </c>
      <c r="AC916">
        <f>IF(AND($A916&lt;&gt;"",$B916&lt;&gt;"",$R916='تقرير مارس'!$C$4,$P916='تقرير مارس'!$C$6),COUNT(AC$4:AC915)+1,"")</f>
        <v/>
      </c>
      <c r="AD916">
        <f>IF(AND($A916&lt;&gt;"",$B916&lt;&gt;"",$R916='تقرير أبريل'!$C$4,$P916='تقرير أبريل'!$C$6),COUNT(AD$4:AD915)+1,"")</f>
        <v/>
      </c>
      <c r="AE916">
        <f>IF(AND($A916&lt;&gt;"",$B916&lt;&gt;"",$R916='تقرير مايو'!$C$4,$P916='تقرير مايو'!$C$6),COUNT(AE$4:AE915)+1,"")</f>
        <v/>
      </c>
    </row>
    <row r="917">
      <c r="A917" s="16" t="n"/>
      <c r="B917" s="17" t="n"/>
      <c r="C917" s="17" t="n"/>
      <c r="D917" s="18" t="n"/>
      <c r="E917" s="17" t="n"/>
      <c r="F917" s="17" t="n"/>
      <c r="G917" s="19" t="n"/>
      <c r="H917" s="17" t="n"/>
      <c r="I917" s="17" t="n"/>
      <c r="J917" s="17" t="n"/>
      <c r="K917" s="20">
        <f>IF($B917="","",IFERROR(INDEX(الموظفات!$A$5:$A$304,MATCH($B917,الموظفات!$B$5:$B$304,0))&amp;"",""))</f>
        <v/>
      </c>
      <c r="L917" s="21">
        <f>IF($B917="","",IFERROR(INDEX(الموظفات!$C$5:$C$304,MATCH($B917,الموظفات!$B$5:$B$304,0))&amp;"",""))</f>
        <v/>
      </c>
      <c r="M917" s="20">
        <f>IF($B917="","",IFERROR(INDEX(الموظفات!$D$5:$D$304,MATCH($B917,الموظفات!$B$5:$B$304,0))&amp;"",""))</f>
        <v/>
      </c>
      <c r="N917" s="20">
        <f>IF($B917="","",IFERROR(INDEX(الموظفات!$E$5:$E$304,MATCH($B917,الموظفات!$B$5:$B$304,0))&amp;"",""))</f>
        <v/>
      </c>
      <c r="O917" s="21">
        <f>IF(C917="","",IFERROR(INDEX(الإعدادات!$D$7:$D$35,MATCH(C917,الإعدادات!$A$7:$A$35,0))&amp;"",""))</f>
        <v/>
      </c>
      <c r="P917" s="20">
        <f>IF(A917="","",INDEX(الإعدادات!$H$7:$H$18,MONTH(A917)))</f>
        <v/>
      </c>
      <c r="Q917" s="20">
        <f>IF(A917="","",INDEX(الإعدادات!$I$7:$I$18,MONTH(A917)))</f>
        <v/>
      </c>
      <c r="R917" s="20">
        <f>IF(A917="","",IF(MONTH(A917)&gt;=8,YEAR(A917)&amp;"-"&amp;(YEAR(A917)+1),(YEAR(A917)-1)&amp;"-"&amp;YEAR(A917)))</f>
        <v/>
      </c>
      <c r="S917" s="20">
        <f>IF(OR(A917="",B917=""),0,IF(AND(R917=التقارير!$C$4,OR(التقارير!$C$5="سنوي",AND(التقارير!$C$5="شهري",P917=التقارير!$C$6),AND(التقارير!$C$5="فصلي",Q917=التقارير!$C$7))),1,0))</f>
        <v/>
      </c>
      <c r="T917" s="20">
        <f>IF(S917=1,COUNTIF($S$5:S917,1),"")</f>
        <v/>
      </c>
      <c r="U917">
        <f>IF(AND($A917&lt;&gt;"",$B917&lt;&gt;"",$R917='تقرير الفصل الأول'!$C$4,$Q917='تقرير الفصل الأول'!$C$7),COUNT(U$4:U916)+1,"")</f>
        <v/>
      </c>
      <c r="V917">
        <f>IF(AND($A917&lt;&gt;"",$B917&lt;&gt;"",$R917='تقرير الفصل الثاني'!$C$4,$Q917='تقرير الفصل الثاني'!$C$7),COUNT(V$4:V916)+1,"")</f>
        <v/>
      </c>
      <c r="W917">
        <f>IF(AND($A917&lt;&gt;"",$B917&lt;&gt;"",$R917='تقرير سبتمبر'!$C$4,$P917='تقرير سبتمبر'!$C$6),COUNT(W$4:W916)+1,"")</f>
        <v/>
      </c>
      <c r="X917">
        <f>IF(AND($A917&lt;&gt;"",$B917&lt;&gt;"",$R917='تقرير أكتوبر'!$C$4,$P917='تقرير أكتوبر'!$C$6),COUNT(X$4:X916)+1,"")</f>
        <v/>
      </c>
      <c r="Y917">
        <f>IF(AND($A917&lt;&gt;"",$B917&lt;&gt;"",$R917='تقرير نوفمبر'!$C$4,$P917='تقرير نوفمبر'!$C$6),COUNT(Y$4:Y916)+1,"")</f>
        <v/>
      </c>
      <c r="Z917">
        <f>IF(AND($A917&lt;&gt;"",$B917&lt;&gt;"",$R917='تقرير ديسمبر'!$C$4,$P917='تقرير ديسمبر'!$C$6),COUNT(Z$4:Z916)+1,"")</f>
        <v/>
      </c>
      <c r="AA917">
        <f>IF(AND($A917&lt;&gt;"",$B917&lt;&gt;"",$R917='تقرير يناير'!$C$4,$P917='تقرير يناير'!$C$6),COUNT(AA$4:AA916)+1,"")</f>
        <v/>
      </c>
      <c r="AB917">
        <f>IF(AND($A917&lt;&gt;"",$B917&lt;&gt;"",$R917='تقرير فبراير'!$C$4,$P917='تقرير فبراير'!$C$6),COUNT(AB$4:AB916)+1,"")</f>
        <v/>
      </c>
      <c r="AC917">
        <f>IF(AND($A917&lt;&gt;"",$B917&lt;&gt;"",$R917='تقرير مارس'!$C$4,$P917='تقرير مارس'!$C$6),COUNT(AC$4:AC916)+1,"")</f>
        <v/>
      </c>
      <c r="AD917">
        <f>IF(AND($A917&lt;&gt;"",$B917&lt;&gt;"",$R917='تقرير أبريل'!$C$4,$P917='تقرير أبريل'!$C$6),COUNT(AD$4:AD916)+1,"")</f>
        <v/>
      </c>
      <c r="AE917">
        <f>IF(AND($A917&lt;&gt;"",$B917&lt;&gt;"",$R917='تقرير مايو'!$C$4,$P917='تقرير مايو'!$C$6),COUNT(AE$4:AE916)+1,"")</f>
        <v/>
      </c>
    </row>
    <row r="918">
      <c r="A918" s="16" t="n"/>
      <c r="B918" s="17" t="n"/>
      <c r="C918" s="17" t="n"/>
      <c r="D918" s="18" t="n"/>
      <c r="E918" s="17" t="n"/>
      <c r="F918" s="17" t="n"/>
      <c r="G918" s="19" t="n"/>
      <c r="H918" s="17" t="n"/>
      <c r="I918" s="17" t="n"/>
      <c r="J918" s="17" t="n"/>
      <c r="K918" s="20">
        <f>IF($B918="","",IFERROR(INDEX(الموظفات!$A$5:$A$304,MATCH($B918,الموظفات!$B$5:$B$304,0))&amp;"",""))</f>
        <v/>
      </c>
      <c r="L918" s="21">
        <f>IF($B918="","",IFERROR(INDEX(الموظفات!$C$5:$C$304,MATCH($B918,الموظفات!$B$5:$B$304,0))&amp;"",""))</f>
        <v/>
      </c>
      <c r="M918" s="20">
        <f>IF($B918="","",IFERROR(INDEX(الموظفات!$D$5:$D$304,MATCH($B918,الموظفات!$B$5:$B$304,0))&amp;"",""))</f>
        <v/>
      </c>
      <c r="N918" s="20">
        <f>IF($B918="","",IFERROR(INDEX(الموظفات!$E$5:$E$304,MATCH($B918,الموظفات!$B$5:$B$304,0))&amp;"",""))</f>
        <v/>
      </c>
      <c r="O918" s="21">
        <f>IF(C918="","",IFERROR(INDEX(الإعدادات!$D$7:$D$35,MATCH(C918,الإعدادات!$A$7:$A$35,0))&amp;"",""))</f>
        <v/>
      </c>
      <c r="P918" s="20">
        <f>IF(A918="","",INDEX(الإعدادات!$H$7:$H$18,MONTH(A918)))</f>
        <v/>
      </c>
      <c r="Q918" s="20">
        <f>IF(A918="","",INDEX(الإعدادات!$I$7:$I$18,MONTH(A918)))</f>
        <v/>
      </c>
      <c r="R918" s="20">
        <f>IF(A918="","",IF(MONTH(A918)&gt;=8,YEAR(A918)&amp;"-"&amp;(YEAR(A918)+1),(YEAR(A918)-1)&amp;"-"&amp;YEAR(A918)))</f>
        <v/>
      </c>
      <c r="S918" s="20">
        <f>IF(OR(A918="",B918=""),0,IF(AND(R918=التقارير!$C$4,OR(التقارير!$C$5="سنوي",AND(التقارير!$C$5="شهري",P918=التقارير!$C$6),AND(التقارير!$C$5="فصلي",Q918=التقارير!$C$7))),1,0))</f>
        <v/>
      </c>
      <c r="T918" s="20">
        <f>IF(S918=1,COUNTIF($S$5:S918,1),"")</f>
        <v/>
      </c>
      <c r="U918">
        <f>IF(AND($A918&lt;&gt;"",$B918&lt;&gt;"",$R918='تقرير الفصل الأول'!$C$4,$Q918='تقرير الفصل الأول'!$C$7),COUNT(U$4:U917)+1,"")</f>
        <v/>
      </c>
      <c r="V918">
        <f>IF(AND($A918&lt;&gt;"",$B918&lt;&gt;"",$R918='تقرير الفصل الثاني'!$C$4,$Q918='تقرير الفصل الثاني'!$C$7),COUNT(V$4:V917)+1,"")</f>
        <v/>
      </c>
      <c r="W918">
        <f>IF(AND($A918&lt;&gt;"",$B918&lt;&gt;"",$R918='تقرير سبتمبر'!$C$4,$P918='تقرير سبتمبر'!$C$6),COUNT(W$4:W917)+1,"")</f>
        <v/>
      </c>
      <c r="X918">
        <f>IF(AND($A918&lt;&gt;"",$B918&lt;&gt;"",$R918='تقرير أكتوبر'!$C$4,$P918='تقرير أكتوبر'!$C$6),COUNT(X$4:X917)+1,"")</f>
        <v/>
      </c>
      <c r="Y918">
        <f>IF(AND($A918&lt;&gt;"",$B918&lt;&gt;"",$R918='تقرير نوفمبر'!$C$4,$P918='تقرير نوفمبر'!$C$6),COUNT(Y$4:Y917)+1,"")</f>
        <v/>
      </c>
      <c r="Z918">
        <f>IF(AND($A918&lt;&gt;"",$B918&lt;&gt;"",$R918='تقرير ديسمبر'!$C$4,$P918='تقرير ديسمبر'!$C$6),COUNT(Z$4:Z917)+1,"")</f>
        <v/>
      </c>
      <c r="AA918">
        <f>IF(AND($A918&lt;&gt;"",$B918&lt;&gt;"",$R918='تقرير يناير'!$C$4,$P918='تقرير يناير'!$C$6),COUNT(AA$4:AA917)+1,"")</f>
        <v/>
      </c>
      <c r="AB918">
        <f>IF(AND($A918&lt;&gt;"",$B918&lt;&gt;"",$R918='تقرير فبراير'!$C$4,$P918='تقرير فبراير'!$C$6),COUNT(AB$4:AB917)+1,"")</f>
        <v/>
      </c>
      <c r="AC918">
        <f>IF(AND($A918&lt;&gt;"",$B918&lt;&gt;"",$R918='تقرير مارس'!$C$4,$P918='تقرير مارس'!$C$6),COUNT(AC$4:AC917)+1,"")</f>
        <v/>
      </c>
      <c r="AD918">
        <f>IF(AND($A918&lt;&gt;"",$B918&lt;&gt;"",$R918='تقرير أبريل'!$C$4,$P918='تقرير أبريل'!$C$6),COUNT(AD$4:AD917)+1,"")</f>
        <v/>
      </c>
      <c r="AE918">
        <f>IF(AND($A918&lt;&gt;"",$B918&lt;&gt;"",$R918='تقرير مايو'!$C$4,$P918='تقرير مايو'!$C$6),COUNT(AE$4:AE917)+1,"")</f>
        <v/>
      </c>
    </row>
    <row r="919">
      <c r="A919" s="16" t="n"/>
      <c r="B919" s="17" t="n"/>
      <c r="C919" s="17" t="n"/>
      <c r="D919" s="18" t="n"/>
      <c r="E919" s="17" t="n"/>
      <c r="F919" s="17" t="n"/>
      <c r="G919" s="19" t="n"/>
      <c r="H919" s="17" t="n"/>
      <c r="I919" s="17" t="n"/>
      <c r="J919" s="17" t="n"/>
      <c r="K919" s="20">
        <f>IF($B919="","",IFERROR(INDEX(الموظفات!$A$5:$A$304,MATCH($B919,الموظفات!$B$5:$B$304,0))&amp;"",""))</f>
        <v/>
      </c>
      <c r="L919" s="21">
        <f>IF($B919="","",IFERROR(INDEX(الموظفات!$C$5:$C$304,MATCH($B919,الموظفات!$B$5:$B$304,0))&amp;"",""))</f>
        <v/>
      </c>
      <c r="M919" s="20">
        <f>IF($B919="","",IFERROR(INDEX(الموظفات!$D$5:$D$304,MATCH($B919,الموظفات!$B$5:$B$304,0))&amp;"",""))</f>
        <v/>
      </c>
      <c r="N919" s="20">
        <f>IF($B919="","",IFERROR(INDEX(الموظفات!$E$5:$E$304,MATCH($B919,الموظفات!$B$5:$B$304,0))&amp;"",""))</f>
        <v/>
      </c>
      <c r="O919" s="21">
        <f>IF(C919="","",IFERROR(INDEX(الإعدادات!$D$7:$D$35,MATCH(C919,الإعدادات!$A$7:$A$35,0))&amp;"",""))</f>
        <v/>
      </c>
      <c r="P919" s="20">
        <f>IF(A919="","",INDEX(الإعدادات!$H$7:$H$18,MONTH(A919)))</f>
        <v/>
      </c>
      <c r="Q919" s="20">
        <f>IF(A919="","",INDEX(الإعدادات!$I$7:$I$18,MONTH(A919)))</f>
        <v/>
      </c>
      <c r="R919" s="20">
        <f>IF(A919="","",IF(MONTH(A919)&gt;=8,YEAR(A919)&amp;"-"&amp;(YEAR(A919)+1),(YEAR(A919)-1)&amp;"-"&amp;YEAR(A919)))</f>
        <v/>
      </c>
      <c r="S919" s="20">
        <f>IF(OR(A919="",B919=""),0,IF(AND(R919=التقارير!$C$4,OR(التقارير!$C$5="سنوي",AND(التقارير!$C$5="شهري",P919=التقارير!$C$6),AND(التقارير!$C$5="فصلي",Q919=التقارير!$C$7))),1,0))</f>
        <v/>
      </c>
      <c r="T919" s="20">
        <f>IF(S919=1,COUNTIF($S$5:S919,1),"")</f>
        <v/>
      </c>
      <c r="U919">
        <f>IF(AND($A919&lt;&gt;"",$B919&lt;&gt;"",$R919='تقرير الفصل الأول'!$C$4,$Q919='تقرير الفصل الأول'!$C$7),COUNT(U$4:U918)+1,"")</f>
        <v/>
      </c>
      <c r="V919">
        <f>IF(AND($A919&lt;&gt;"",$B919&lt;&gt;"",$R919='تقرير الفصل الثاني'!$C$4,$Q919='تقرير الفصل الثاني'!$C$7),COUNT(V$4:V918)+1,"")</f>
        <v/>
      </c>
      <c r="W919">
        <f>IF(AND($A919&lt;&gt;"",$B919&lt;&gt;"",$R919='تقرير سبتمبر'!$C$4,$P919='تقرير سبتمبر'!$C$6),COUNT(W$4:W918)+1,"")</f>
        <v/>
      </c>
      <c r="X919">
        <f>IF(AND($A919&lt;&gt;"",$B919&lt;&gt;"",$R919='تقرير أكتوبر'!$C$4,$P919='تقرير أكتوبر'!$C$6),COUNT(X$4:X918)+1,"")</f>
        <v/>
      </c>
      <c r="Y919">
        <f>IF(AND($A919&lt;&gt;"",$B919&lt;&gt;"",$R919='تقرير نوفمبر'!$C$4,$P919='تقرير نوفمبر'!$C$6),COUNT(Y$4:Y918)+1,"")</f>
        <v/>
      </c>
      <c r="Z919">
        <f>IF(AND($A919&lt;&gt;"",$B919&lt;&gt;"",$R919='تقرير ديسمبر'!$C$4,$P919='تقرير ديسمبر'!$C$6),COUNT(Z$4:Z918)+1,"")</f>
        <v/>
      </c>
      <c r="AA919">
        <f>IF(AND($A919&lt;&gt;"",$B919&lt;&gt;"",$R919='تقرير يناير'!$C$4,$P919='تقرير يناير'!$C$6),COUNT(AA$4:AA918)+1,"")</f>
        <v/>
      </c>
      <c r="AB919">
        <f>IF(AND($A919&lt;&gt;"",$B919&lt;&gt;"",$R919='تقرير فبراير'!$C$4,$P919='تقرير فبراير'!$C$6),COUNT(AB$4:AB918)+1,"")</f>
        <v/>
      </c>
      <c r="AC919">
        <f>IF(AND($A919&lt;&gt;"",$B919&lt;&gt;"",$R919='تقرير مارس'!$C$4,$P919='تقرير مارس'!$C$6),COUNT(AC$4:AC918)+1,"")</f>
        <v/>
      </c>
      <c r="AD919">
        <f>IF(AND($A919&lt;&gt;"",$B919&lt;&gt;"",$R919='تقرير أبريل'!$C$4,$P919='تقرير أبريل'!$C$6),COUNT(AD$4:AD918)+1,"")</f>
        <v/>
      </c>
      <c r="AE919">
        <f>IF(AND($A919&lt;&gt;"",$B919&lt;&gt;"",$R919='تقرير مايو'!$C$4,$P919='تقرير مايو'!$C$6),COUNT(AE$4:AE918)+1,"")</f>
        <v/>
      </c>
    </row>
    <row r="920">
      <c r="A920" s="16" t="n"/>
      <c r="B920" s="17" t="n"/>
      <c r="C920" s="17" t="n"/>
      <c r="D920" s="18" t="n"/>
      <c r="E920" s="17" t="n"/>
      <c r="F920" s="17" t="n"/>
      <c r="G920" s="19" t="n"/>
      <c r="H920" s="17" t="n"/>
      <c r="I920" s="17" t="n"/>
      <c r="J920" s="17" t="n"/>
      <c r="K920" s="20">
        <f>IF($B920="","",IFERROR(INDEX(الموظفات!$A$5:$A$304,MATCH($B920,الموظفات!$B$5:$B$304,0))&amp;"",""))</f>
        <v/>
      </c>
      <c r="L920" s="21">
        <f>IF($B920="","",IFERROR(INDEX(الموظفات!$C$5:$C$304,MATCH($B920,الموظفات!$B$5:$B$304,0))&amp;"",""))</f>
        <v/>
      </c>
      <c r="M920" s="20">
        <f>IF($B920="","",IFERROR(INDEX(الموظفات!$D$5:$D$304,MATCH($B920,الموظفات!$B$5:$B$304,0))&amp;"",""))</f>
        <v/>
      </c>
      <c r="N920" s="20">
        <f>IF($B920="","",IFERROR(INDEX(الموظفات!$E$5:$E$304,MATCH($B920,الموظفات!$B$5:$B$304,0))&amp;"",""))</f>
        <v/>
      </c>
      <c r="O920" s="21">
        <f>IF(C920="","",IFERROR(INDEX(الإعدادات!$D$7:$D$35,MATCH(C920,الإعدادات!$A$7:$A$35,0))&amp;"",""))</f>
        <v/>
      </c>
      <c r="P920" s="20">
        <f>IF(A920="","",INDEX(الإعدادات!$H$7:$H$18,MONTH(A920)))</f>
        <v/>
      </c>
      <c r="Q920" s="20">
        <f>IF(A920="","",INDEX(الإعدادات!$I$7:$I$18,MONTH(A920)))</f>
        <v/>
      </c>
      <c r="R920" s="20">
        <f>IF(A920="","",IF(MONTH(A920)&gt;=8,YEAR(A920)&amp;"-"&amp;(YEAR(A920)+1),(YEAR(A920)-1)&amp;"-"&amp;YEAR(A920)))</f>
        <v/>
      </c>
      <c r="S920" s="20">
        <f>IF(OR(A920="",B920=""),0,IF(AND(R920=التقارير!$C$4,OR(التقارير!$C$5="سنوي",AND(التقارير!$C$5="شهري",P920=التقارير!$C$6),AND(التقارير!$C$5="فصلي",Q920=التقارير!$C$7))),1,0))</f>
        <v/>
      </c>
      <c r="T920" s="20">
        <f>IF(S920=1,COUNTIF($S$5:S920,1),"")</f>
        <v/>
      </c>
      <c r="U920">
        <f>IF(AND($A920&lt;&gt;"",$B920&lt;&gt;"",$R920='تقرير الفصل الأول'!$C$4,$Q920='تقرير الفصل الأول'!$C$7),COUNT(U$4:U919)+1,"")</f>
        <v/>
      </c>
      <c r="V920">
        <f>IF(AND($A920&lt;&gt;"",$B920&lt;&gt;"",$R920='تقرير الفصل الثاني'!$C$4,$Q920='تقرير الفصل الثاني'!$C$7),COUNT(V$4:V919)+1,"")</f>
        <v/>
      </c>
      <c r="W920">
        <f>IF(AND($A920&lt;&gt;"",$B920&lt;&gt;"",$R920='تقرير سبتمبر'!$C$4,$P920='تقرير سبتمبر'!$C$6),COUNT(W$4:W919)+1,"")</f>
        <v/>
      </c>
      <c r="X920">
        <f>IF(AND($A920&lt;&gt;"",$B920&lt;&gt;"",$R920='تقرير أكتوبر'!$C$4,$P920='تقرير أكتوبر'!$C$6),COUNT(X$4:X919)+1,"")</f>
        <v/>
      </c>
      <c r="Y920">
        <f>IF(AND($A920&lt;&gt;"",$B920&lt;&gt;"",$R920='تقرير نوفمبر'!$C$4,$P920='تقرير نوفمبر'!$C$6),COUNT(Y$4:Y919)+1,"")</f>
        <v/>
      </c>
      <c r="Z920">
        <f>IF(AND($A920&lt;&gt;"",$B920&lt;&gt;"",$R920='تقرير ديسمبر'!$C$4,$P920='تقرير ديسمبر'!$C$6),COUNT(Z$4:Z919)+1,"")</f>
        <v/>
      </c>
      <c r="AA920">
        <f>IF(AND($A920&lt;&gt;"",$B920&lt;&gt;"",$R920='تقرير يناير'!$C$4,$P920='تقرير يناير'!$C$6),COUNT(AA$4:AA919)+1,"")</f>
        <v/>
      </c>
      <c r="AB920">
        <f>IF(AND($A920&lt;&gt;"",$B920&lt;&gt;"",$R920='تقرير فبراير'!$C$4,$P920='تقرير فبراير'!$C$6),COUNT(AB$4:AB919)+1,"")</f>
        <v/>
      </c>
      <c r="AC920">
        <f>IF(AND($A920&lt;&gt;"",$B920&lt;&gt;"",$R920='تقرير مارس'!$C$4,$P920='تقرير مارس'!$C$6),COUNT(AC$4:AC919)+1,"")</f>
        <v/>
      </c>
      <c r="AD920">
        <f>IF(AND($A920&lt;&gt;"",$B920&lt;&gt;"",$R920='تقرير أبريل'!$C$4,$P920='تقرير أبريل'!$C$6),COUNT(AD$4:AD919)+1,"")</f>
        <v/>
      </c>
      <c r="AE920">
        <f>IF(AND($A920&lt;&gt;"",$B920&lt;&gt;"",$R920='تقرير مايو'!$C$4,$P920='تقرير مايو'!$C$6),COUNT(AE$4:AE919)+1,"")</f>
        <v/>
      </c>
    </row>
    <row r="921">
      <c r="A921" s="16" t="n"/>
      <c r="B921" s="17" t="n"/>
      <c r="C921" s="17" t="n"/>
      <c r="D921" s="18" t="n"/>
      <c r="E921" s="17" t="n"/>
      <c r="F921" s="17" t="n"/>
      <c r="G921" s="19" t="n"/>
      <c r="H921" s="17" t="n"/>
      <c r="I921" s="17" t="n"/>
      <c r="J921" s="17" t="n"/>
      <c r="K921" s="20">
        <f>IF($B921="","",IFERROR(INDEX(الموظفات!$A$5:$A$304,MATCH($B921,الموظفات!$B$5:$B$304,0))&amp;"",""))</f>
        <v/>
      </c>
      <c r="L921" s="21">
        <f>IF($B921="","",IFERROR(INDEX(الموظفات!$C$5:$C$304,MATCH($B921,الموظفات!$B$5:$B$304,0))&amp;"",""))</f>
        <v/>
      </c>
      <c r="M921" s="20">
        <f>IF($B921="","",IFERROR(INDEX(الموظفات!$D$5:$D$304,MATCH($B921,الموظفات!$B$5:$B$304,0))&amp;"",""))</f>
        <v/>
      </c>
      <c r="N921" s="20">
        <f>IF($B921="","",IFERROR(INDEX(الموظفات!$E$5:$E$304,MATCH($B921,الموظفات!$B$5:$B$304,0))&amp;"",""))</f>
        <v/>
      </c>
      <c r="O921" s="21">
        <f>IF(C921="","",IFERROR(INDEX(الإعدادات!$D$7:$D$35,MATCH(C921,الإعدادات!$A$7:$A$35,0))&amp;"",""))</f>
        <v/>
      </c>
      <c r="P921" s="20">
        <f>IF(A921="","",INDEX(الإعدادات!$H$7:$H$18,MONTH(A921)))</f>
        <v/>
      </c>
      <c r="Q921" s="20">
        <f>IF(A921="","",INDEX(الإعدادات!$I$7:$I$18,MONTH(A921)))</f>
        <v/>
      </c>
      <c r="R921" s="20">
        <f>IF(A921="","",IF(MONTH(A921)&gt;=8,YEAR(A921)&amp;"-"&amp;(YEAR(A921)+1),(YEAR(A921)-1)&amp;"-"&amp;YEAR(A921)))</f>
        <v/>
      </c>
      <c r="S921" s="20">
        <f>IF(OR(A921="",B921=""),0,IF(AND(R921=التقارير!$C$4,OR(التقارير!$C$5="سنوي",AND(التقارير!$C$5="شهري",P921=التقارير!$C$6),AND(التقارير!$C$5="فصلي",Q921=التقارير!$C$7))),1,0))</f>
        <v/>
      </c>
      <c r="T921" s="20">
        <f>IF(S921=1,COUNTIF($S$5:S921,1),"")</f>
        <v/>
      </c>
      <c r="U921">
        <f>IF(AND($A921&lt;&gt;"",$B921&lt;&gt;"",$R921='تقرير الفصل الأول'!$C$4,$Q921='تقرير الفصل الأول'!$C$7),COUNT(U$4:U920)+1,"")</f>
        <v/>
      </c>
      <c r="V921">
        <f>IF(AND($A921&lt;&gt;"",$B921&lt;&gt;"",$R921='تقرير الفصل الثاني'!$C$4,$Q921='تقرير الفصل الثاني'!$C$7),COUNT(V$4:V920)+1,"")</f>
        <v/>
      </c>
      <c r="W921">
        <f>IF(AND($A921&lt;&gt;"",$B921&lt;&gt;"",$R921='تقرير سبتمبر'!$C$4,$P921='تقرير سبتمبر'!$C$6),COUNT(W$4:W920)+1,"")</f>
        <v/>
      </c>
      <c r="X921">
        <f>IF(AND($A921&lt;&gt;"",$B921&lt;&gt;"",$R921='تقرير أكتوبر'!$C$4,$P921='تقرير أكتوبر'!$C$6),COUNT(X$4:X920)+1,"")</f>
        <v/>
      </c>
      <c r="Y921">
        <f>IF(AND($A921&lt;&gt;"",$B921&lt;&gt;"",$R921='تقرير نوفمبر'!$C$4,$P921='تقرير نوفمبر'!$C$6),COUNT(Y$4:Y920)+1,"")</f>
        <v/>
      </c>
      <c r="Z921">
        <f>IF(AND($A921&lt;&gt;"",$B921&lt;&gt;"",$R921='تقرير ديسمبر'!$C$4,$P921='تقرير ديسمبر'!$C$6),COUNT(Z$4:Z920)+1,"")</f>
        <v/>
      </c>
      <c r="AA921">
        <f>IF(AND($A921&lt;&gt;"",$B921&lt;&gt;"",$R921='تقرير يناير'!$C$4,$P921='تقرير يناير'!$C$6),COUNT(AA$4:AA920)+1,"")</f>
        <v/>
      </c>
      <c r="AB921">
        <f>IF(AND($A921&lt;&gt;"",$B921&lt;&gt;"",$R921='تقرير فبراير'!$C$4,$P921='تقرير فبراير'!$C$6),COUNT(AB$4:AB920)+1,"")</f>
        <v/>
      </c>
      <c r="AC921">
        <f>IF(AND($A921&lt;&gt;"",$B921&lt;&gt;"",$R921='تقرير مارس'!$C$4,$P921='تقرير مارس'!$C$6),COUNT(AC$4:AC920)+1,"")</f>
        <v/>
      </c>
      <c r="AD921">
        <f>IF(AND($A921&lt;&gt;"",$B921&lt;&gt;"",$R921='تقرير أبريل'!$C$4,$P921='تقرير أبريل'!$C$6),COUNT(AD$4:AD920)+1,"")</f>
        <v/>
      </c>
      <c r="AE921">
        <f>IF(AND($A921&lt;&gt;"",$B921&lt;&gt;"",$R921='تقرير مايو'!$C$4,$P921='تقرير مايو'!$C$6),COUNT(AE$4:AE920)+1,"")</f>
        <v/>
      </c>
    </row>
    <row r="922">
      <c r="A922" s="16" t="n"/>
      <c r="B922" s="17" t="n"/>
      <c r="C922" s="17" t="n"/>
      <c r="D922" s="18" t="n"/>
      <c r="E922" s="17" t="n"/>
      <c r="F922" s="17" t="n"/>
      <c r="G922" s="19" t="n"/>
      <c r="H922" s="17" t="n"/>
      <c r="I922" s="17" t="n"/>
      <c r="J922" s="17" t="n"/>
      <c r="K922" s="20">
        <f>IF($B922="","",IFERROR(INDEX(الموظفات!$A$5:$A$304,MATCH($B922,الموظفات!$B$5:$B$304,0))&amp;"",""))</f>
        <v/>
      </c>
      <c r="L922" s="21">
        <f>IF($B922="","",IFERROR(INDEX(الموظفات!$C$5:$C$304,MATCH($B922,الموظفات!$B$5:$B$304,0))&amp;"",""))</f>
        <v/>
      </c>
      <c r="M922" s="20">
        <f>IF($B922="","",IFERROR(INDEX(الموظفات!$D$5:$D$304,MATCH($B922,الموظفات!$B$5:$B$304,0))&amp;"",""))</f>
        <v/>
      </c>
      <c r="N922" s="20">
        <f>IF($B922="","",IFERROR(INDEX(الموظفات!$E$5:$E$304,MATCH($B922,الموظفات!$B$5:$B$304,0))&amp;"",""))</f>
        <v/>
      </c>
      <c r="O922" s="21">
        <f>IF(C922="","",IFERROR(INDEX(الإعدادات!$D$7:$D$35,MATCH(C922,الإعدادات!$A$7:$A$35,0))&amp;"",""))</f>
        <v/>
      </c>
      <c r="P922" s="20">
        <f>IF(A922="","",INDEX(الإعدادات!$H$7:$H$18,MONTH(A922)))</f>
        <v/>
      </c>
      <c r="Q922" s="20">
        <f>IF(A922="","",INDEX(الإعدادات!$I$7:$I$18,MONTH(A922)))</f>
        <v/>
      </c>
      <c r="R922" s="20">
        <f>IF(A922="","",IF(MONTH(A922)&gt;=8,YEAR(A922)&amp;"-"&amp;(YEAR(A922)+1),(YEAR(A922)-1)&amp;"-"&amp;YEAR(A922)))</f>
        <v/>
      </c>
      <c r="S922" s="20">
        <f>IF(OR(A922="",B922=""),0,IF(AND(R922=التقارير!$C$4,OR(التقارير!$C$5="سنوي",AND(التقارير!$C$5="شهري",P922=التقارير!$C$6),AND(التقارير!$C$5="فصلي",Q922=التقارير!$C$7))),1,0))</f>
        <v/>
      </c>
      <c r="T922" s="20">
        <f>IF(S922=1,COUNTIF($S$5:S922,1),"")</f>
        <v/>
      </c>
      <c r="U922">
        <f>IF(AND($A922&lt;&gt;"",$B922&lt;&gt;"",$R922='تقرير الفصل الأول'!$C$4,$Q922='تقرير الفصل الأول'!$C$7),COUNT(U$4:U921)+1,"")</f>
        <v/>
      </c>
      <c r="V922">
        <f>IF(AND($A922&lt;&gt;"",$B922&lt;&gt;"",$R922='تقرير الفصل الثاني'!$C$4,$Q922='تقرير الفصل الثاني'!$C$7),COUNT(V$4:V921)+1,"")</f>
        <v/>
      </c>
      <c r="W922">
        <f>IF(AND($A922&lt;&gt;"",$B922&lt;&gt;"",$R922='تقرير سبتمبر'!$C$4,$P922='تقرير سبتمبر'!$C$6),COUNT(W$4:W921)+1,"")</f>
        <v/>
      </c>
      <c r="X922">
        <f>IF(AND($A922&lt;&gt;"",$B922&lt;&gt;"",$R922='تقرير أكتوبر'!$C$4,$P922='تقرير أكتوبر'!$C$6),COUNT(X$4:X921)+1,"")</f>
        <v/>
      </c>
      <c r="Y922">
        <f>IF(AND($A922&lt;&gt;"",$B922&lt;&gt;"",$R922='تقرير نوفمبر'!$C$4,$P922='تقرير نوفمبر'!$C$6),COUNT(Y$4:Y921)+1,"")</f>
        <v/>
      </c>
      <c r="Z922">
        <f>IF(AND($A922&lt;&gt;"",$B922&lt;&gt;"",$R922='تقرير ديسمبر'!$C$4,$P922='تقرير ديسمبر'!$C$6),COUNT(Z$4:Z921)+1,"")</f>
        <v/>
      </c>
      <c r="AA922">
        <f>IF(AND($A922&lt;&gt;"",$B922&lt;&gt;"",$R922='تقرير يناير'!$C$4,$P922='تقرير يناير'!$C$6),COUNT(AA$4:AA921)+1,"")</f>
        <v/>
      </c>
      <c r="AB922">
        <f>IF(AND($A922&lt;&gt;"",$B922&lt;&gt;"",$R922='تقرير فبراير'!$C$4,$P922='تقرير فبراير'!$C$6),COUNT(AB$4:AB921)+1,"")</f>
        <v/>
      </c>
      <c r="AC922">
        <f>IF(AND($A922&lt;&gt;"",$B922&lt;&gt;"",$R922='تقرير مارس'!$C$4,$P922='تقرير مارس'!$C$6),COUNT(AC$4:AC921)+1,"")</f>
        <v/>
      </c>
      <c r="AD922">
        <f>IF(AND($A922&lt;&gt;"",$B922&lt;&gt;"",$R922='تقرير أبريل'!$C$4,$P922='تقرير أبريل'!$C$6),COUNT(AD$4:AD921)+1,"")</f>
        <v/>
      </c>
      <c r="AE922">
        <f>IF(AND($A922&lt;&gt;"",$B922&lt;&gt;"",$R922='تقرير مايو'!$C$4,$P922='تقرير مايو'!$C$6),COUNT(AE$4:AE921)+1,"")</f>
        <v/>
      </c>
    </row>
    <row r="923">
      <c r="A923" s="16" t="n"/>
      <c r="B923" s="17" t="n"/>
      <c r="C923" s="17" t="n"/>
      <c r="D923" s="18" t="n"/>
      <c r="E923" s="17" t="n"/>
      <c r="F923" s="17" t="n"/>
      <c r="G923" s="19" t="n"/>
      <c r="H923" s="17" t="n"/>
      <c r="I923" s="17" t="n"/>
      <c r="J923" s="17" t="n"/>
      <c r="K923" s="20">
        <f>IF($B923="","",IFERROR(INDEX(الموظفات!$A$5:$A$304,MATCH($B923,الموظفات!$B$5:$B$304,0))&amp;"",""))</f>
        <v/>
      </c>
      <c r="L923" s="21">
        <f>IF($B923="","",IFERROR(INDEX(الموظفات!$C$5:$C$304,MATCH($B923,الموظفات!$B$5:$B$304,0))&amp;"",""))</f>
        <v/>
      </c>
      <c r="M923" s="20">
        <f>IF($B923="","",IFERROR(INDEX(الموظفات!$D$5:$D$304,MATCH($B923,الموظفات!$B$5:$B$304,0))&amp;"",""))</f>
        <v/>
      </c>
      <c r="N923" s="20">
        <f>IF($B923="","",IFERROR(INDEX(الموظفات!$E$5:$E$304,MATCH($B923,الموظفات!$B$5:$B$304,0))&amp;"",""))</f>
        <v/>
      </c>
      <c r="O923" s="21">
        <f>IF(C923="","",IFERROR(INDEX(الإعدادات!$D$7:$D$35,MATCH(C923,الإعدادات!$A$7:$A$35,0))&amp;"",""))</f>
        <v/>
      </c>
      <c r="P923" s="20">
        <f>IF(A923="","",INDEX(الإعدادات!$H$7:$H$18,MONTH(A923)))</f>
        <v/>
      </c>
      <c r="Q923" s="20">
        <f>IF(A923="","",INDEX(الإعدادات!$I$7:$I$18,MONTH(A923)))</f>
        <v/>
      </c>
      <c r="R923" s="20">
        <f>IF(A923="","",IF(MONTH(A923)&gt;=8,YEAR(A923)&amp;"-"&amp;(YEAR(A923)+1),(YEAR(A923)-1)&amp;"-"&amp;YEAR(A923)))</f>
        <v/>
      </c>
      <c r="S923" s="20">
        <f>IF(OR(A923="",B923=""),0,IF(AND(R923=التقارير!$C$4,OR(التقارير!$C$5="سنوي",AND(التقارير!$C$5="شهري",P923=التقارير!$C$6),AND(التقارير!$C$5="فصلي",Q923=التقارير!$C$7))),1,0))</f>
        <v/>
      </c>
      <c r="T923" s="20">
        <f>IF(S923=1,COUNTIF($S$5:S923,1),"")</f>
        <v/>
      </c>
      <c r="U923">
        <f>IF(AND($A923&lt;&gt;"",$B923&lt;&gt;"",$R923='تقرير الفصل الأول'!$C$4,$Q923='تقرير الفصل الأول'!$C$7),COUNT(U$4:U922)+1,"")</f>
        <v/>
      </c>
      <c r="V923">
        <f>IF(AND($A923&lt;&gt;"",$B923&lt;&gt;"",$R923='تقرير الفصل الثاني'!$C$4,$Q923='تقرير الفصل الثاني'!$C$7),COUNT(V$4:V922)+1,"")</f>
        <v/>
      </c>
      <c r="W923">
        <f>IF(AND($A923&lt;&gt;"",$B923&lt;&gt;"",$R923='تقرير سبتمبر'!$C$4,$P923='تقرير سبتمبر'!$C$6),COUNT(W$4:W922)+1,"")</f>
        <v/>
      </c>
      <c r="X923">
        <f>IF(AND($A923&lt;&gt;"",$B923&lt;&gt;"",$R923='تقرير أكتوبر'!$C$4,$P923='تقرير أكتوبر'!$C$6),COUNT(X$4:X922)+1,"")</f>
        <v/>
      </c>
      <c r="Y923">
        <f>IF(AND($A923&lt;&gt;"",$B923&lt;&gt;"",$R923='تقرير نوفمبر'!$C$4,$P923='تقرير نوفمبر'!$C$6),COUNT(Y$4:Y922)+1,"")</f>
        <v/>
      </c>
      <c r="Z923">
        <f>IF(AND($A923&lt;&gt;"",$B923&lt;&gt;"",$R923='تقرير ديسمبر'!$C$4,$P923='تقرير ديسمبر'!$C$6),COUNT(Z$4:Z922)+1,"")</f>
        <v/>
      </c>
      <c r="AA923">
        <f>IF(AND($A923&lt;&gt;"",$B923&lt;&gt;"",$R923='تقرير يناير'!$C$4,$P923='تقرير يناير'!$C$6),COUNT(AA$4:AA922)+1,"")</f>
        <v/>
      </c>
      <c r="AB923">
        <f>IF(AND($A923&lt;&gt;"",$B923&lt;&gt;"",$R923='تقرير فبراير'!$C$4,$P923='تقرير فبراير'!$C$6),COUNT(AB$4:AB922)+1,"")</f>
        <v/>
      </c>
      <c r="AC923">
        <f>IF(AND($A923&lt;&gt;"",$B923&lt;&gt;"",$R923='تقرير مارس'!$C$4,$P923='تقرير مارس'!$C$6),COUNT(AC$4:AC922)+1,"")</f>
        <v/>
      </c>
      <c r="AD923">
        <f>IF(AND($A923&lt;&gt;"",$B923&lt;&gt;"",$R923='تقرير أبريل'!$C$4,$P923='تقرير أبريل'!$C$6),COUNT(AD$4:AD922)+1,"")</f>
        <v/>
      </c>
      <c r="AE923">
        <f>IF(AND($A923&lt;&gt;"",$B923&lt;&gt;"",$R923='تقرير مايو'!$C$4,$P923='تقرير مايو'!$C$6),COUNT(AE$4:AE922)+1,"")</f>
        <v/>
      </c>
    </row>
    <row r="924">
      <c r="A924" s="16" t="n"/>
      <c r="B924" s="17" t="n"/>
      <c r="C924" s="17" t="n"/>
      <c r="D924" s="18" t="n"/>
      <c r="E924" s="17" t="n"/>
      <c r="F924" s="17" t="n"/>
      <c r="G924" s="19" t="n"/>
      <c r="H924" s="17" t="n"/>
      <c r="I924" s="17" t="n"/>
      <c r="J924" s="17" t="n"/>
      <c r="K924" s="20">
        <f>IF($B924="","",IFERROR(INDEX(الموظفات!$A$5:$A$304,MATCH($B924,الموظفات!$B$5:$B$304,0))&amp;"",""))</f>
        <v/>
      </c>
      <c r="L924" s="21">
        <f>IF($B924="","",IFERROR(INDEX(الموظفات!$C$5:$C$304,MATCH($B924,الموظفات!$B$5:$B$304,0))&amp;"",""))</f>
        <v/>
      </c>
      <c r="M924" s="20">
        <f>IF($B924="","",IFERROR(INDEX(الموظفات!$D$5:$D$304,MATCH($B924,الموظفات!$B$5:$B$304,0))&amp;"",""))</f>
        <v/>
      </c>
      <c r="N924" s="20">
        <f>IF($B924="","",IFERROR(INDEX(الموظفات!$E$5:$E$304,MATCH($B924,الموظفات!$B$5:$B$304,0))&amp;"",""))</f>
        <v/>
      </c>
      <c r="O924" s="21">
        <f>IF(C924="","",IFERROR(INDEX(الإعدادات!$D$7:$D$35,MATCH(C924,الإعدادات!$A$7:$A$35,0))&amp;"",""))</f>
        <v/>
      </c>
      <c r="P924" s="20">
        <f>IF(A924="","",INDEX(الإعدادات!$H$7:$H$18,MONTH(A924)))</f>
        <v/>
      </c>
      <c r="Q924" s="20">
        <f>IF(A924="","",INDEX(الإعدادات!$I$7:$I$18,MONTH(A924)))</f>
        <v/>
      </c>
      <c r="R924" s="20">
        <f>IF(A924="","",IF(MONTH(A924)&gt;=8,YEAR(A924)&amp;"-"&amp;(YEAR(A924)+1),(YEAR(A924)-1)&amp;"-"&amp;YEAR(A924)))</f>
        <v/>
      </c>
      <c r="S924" s="20">
        <f>IF(OR(A924="",B924=""),0,IF(AND(R924=التقارير!$C$4,OR(التقارير!$C$5="سنوي",AND(التقارير!$C$5="شهري",P924=التقارير!$C$6),AND(التقارير!$C$5="فصلي",Q924=التقارير!$C$7))),1,0))</f>
        <v/>
      </c>
      <c r="T924" s="20">
        <f>IF(S924=1,COUNTIF($S$5:S924,1),"")</f>
        <v/>
      </c>
      <c r="U924">
        <f>IF(AND($A924&lt;&gt;"",$B924&lt;&gt;"",$R924='تقرير الفصل الأول'!$C$4,$Q924='تقرير الفصل الأول'!$C$7),COUNT(U$4:U923)+1,"")</f>
        <v/>
      </c>
      <c r="V924">
        <f>IF(AND($A924&lt;&gt;"",$B924&lt;&gt;"",$R924='تقرير الفصل الثاني'!$C$4,$Q924='تقرير الفصل الثاني'!$C$7),COUNT(V$4:V923)+1,"")</f>
        <v/>
      </c>
      <c r="W924">
        <f>IF(AND($A924&lt;&gt;"",$B924&lt;&gt;"",$R924='تقرير سبتمبر'!$C$4,$P924='تقرير سبتمبر'!$C$6),COUNT(W$4:W923)+1,"")</f>
        <v/>
      </c>
      <c r="X924">
        <f>IF(AND($A924&lt;&gt;"",$B924&lt;&gt;"",$R924='تقرير أكتوبر'!$C$4,$P924='تقرير أكتوبر'!$C$6),COUNT(X$4:X923)+1,"")</f>
        <v/>
      </c>
      <c r="Y924">
        <f>IF(AND($A924&lt;&gt;"",$B924&lt;&gt;"",$R924='تقرير نوفمبر'!$C$4,$P924='تقرير نوفمبر'!$C$6),COUNT(Y$4:Y923)+1,"")</f>
        <v/>
      </c>
      <c r="Z924">
        <f>IF(AND($A924&lt;&gt;"",$B924&lt;&gt;"",$R924='تقرير ديسمبر'!$C$4,$P924='تقرير ديسمبر'!$C$6),COUNT(Z$4:Z923)+1,"")</f>
        <v/>
      </c>
      <c r="AA924">
        <f>IF(AND($A924&lt;&gt;"",$B924&lt;&gt;"",$R924='تقرير يناير'!$C$4,$P924='تقرير يناير'!$C$6),COUNT(AA$4:AA923)+1,"")</f>
        <v/>
      </c>
      <c r="AB924">
        <f>IF(AND($A924&lt;&gt;"",$B924&lt;&gt;"",$R924='تقرير فبراير'!$C$4,$P924='تقرير فبراير'!$C$6),COUNT(AB$4:AB923)+1,"")</f>
        <v/>
      </c>
      <c r="AC924">
        <f>IF(AND($A924&lt;&gt;"",$B924&lt;&gt;"",$R924='تقرير مارس'!$C$4,$P924='تقرير مارس'!$C$6),COUNT(AC$4:AC923)+1,"")</f>
        <v/>
      </c>
      <c r="AD924">
        <f>IF(AND($A924&lt;&gt;"",$B924&lt;&gt;"",$R924='تقرير أبريل'!$C$4,$P924='تقرير أبريل'!$C$6),COUNT(AD$4:AD923)+1,"")</f>
        <v/>
      </c>
      <c r="AE924">
        <f>IF(AND($A924&lt;&gt;"",$B924&lt;&gt;"",$R924='تقرير مايو'!$C$4,$P924='تقرير مايو'!$C$6),COUNT(AE$4:AE923)+1,"")</f>
        <v/>
      </c>
    </row>
    <row r="925">
      <c r="A925" s="16" t="n"/>
      <c r="B925" s="17" t="n"/>
      <c r="C925" s="17" t="n"/>
      <c r="D925" s="18" t="n"/>
      <c r="E925" s="17" t="n"/>
      <c r="F925" s="17" t="n"/>
      <c r="G925" s="19" t="n"/>
      <c r="H925" s="17" t="n"/>
      <c r="I925" s="17" t="n"/>
      <c r="J925" s="17" t="n"/>
      <c r="K925" s="20">
        <f>IF($B925="","",IFERROR(INDEX(الموظفات!$A$5:$A$304,MATCH($B925,الموظفات!$B$5:$B$304,0))&amp;"",""))</f>
        <v/>
      </c>
      <c r="L925" s="21">
        <f>IF($B925="","",IFERROR(INDEX(الموظفات!$C$5:$C$304,MATCH($B925,الموظفات!$B$5:$B$304,0))&amp;"",""))</f>
        <v/>
      </c>
      <c r="M925" s="20">
        <f>IF($B925="","",IFERROR(INDEX(الموظفات!$D$5:$D$304,MATCH($B925,الموظفات!$B$5:$B$304,0))&amp;"",""))</f>
        <v/>
      </c>
      <c r="N925" s="20">
        <f>IF($B925="","",IFERROR(INDEX(الموظفات!$E$5:$E$304,MATCH($B925,الموظفات!$B$5:$B$304,0))&amp;"",""))</f>
        <v/>
      </c>
      <c r="O925" s="21">
        <f>IF(C925="","",IFERROR(INDEX(الإعدادات!$D$7:$D$35,MATCH(C925,الإعدادات!$A$7:$A$35,0))&amp;"",""))</f>
        <v/>
      </c>
      <c r="P925" s="20">
        <f>IF(A925="","",INDEX(الإعدادات!$H$7:$H$18,MONTH(A925)))</f>
        <v/>
      </c>
      <c r="Q925" s="20">
        <f>IF(A925="","",INDEX(الإعدادات!$I$7:$I$18,MONTH(A925)))</f>
        <v/>
      </c>
      <c r="R925" s="20">
        <f>IF(A925="","",IF(MONTH(A925)&gt;=8,YEAR(A925)&amp;"-"&amp;(YEAR(A925)+1),(YEAR(A925)-1)&amp;"-"&amp;YEAR(A925)))</f>
        <v/>
      </c>
      <c r="S925" s="20">
        <f>IF(OR(A925="",B925=""),0,IF(AND(R925=التقارير!$C$4,OR(التقارير!$C$5="سنوي",AND(التقارير!$C$5="شهري",P925=التقارير!$C$6),AND(التقارير!$C$5="فصلي",Q925=التقارير!$C$7))),1,0))</f>
        <v/>
      </c>
      <c r="T925" s="20">
        <f>IF(S925=1,COUNTIF($S$5:S925,1),"")</f>
        <v/>
      </c>
      <c r="U925">
        <f>IF(AND($A925&lt;&gt;"",$B925&lt;&gt;"",$R925='تقرير الفصل الأول'!$C$4,$Q925='تقرير الفصل الأول'!$C$7),COUNT(U$4:U924)+1,"")</f>
        <v/>
      </c>
      <c r="V925">
        <f>IF(AND($A925&lt;&gt;"",$B925&lt;&gt;"",$R925='تقرير الفصل الثاني'!$C$4,$Q925='تقرير الفصل الثاني'!$C$7),COUNT(V$4:V924)+1,"")</f>
        <v/>
      </c>
      <c r="W925">
        <f>IF(AND($A925&lt;&gt;"",$B925&lt;&gt;"",$R925='تقرير سبتمبر'!$C$4,$P925='تقرير سبتمبر'!$C$6),COUNT(W$4:W924)+1,"")</f>
        <v/>
      </c>
      <c r="X925">
        <f>IF(AND($A925&lt;&gt;"",$B925&lt;&gt;"",$R925='تقرير أكتوبر'!$C$4,$P925='تقرير أكتوبر'!$C$6),COUNT(X$4:X924)+1,"")</f>
        <v/>
      </c>
      <c r="Y925">
        <f>IF(AND($A925&lt;&gt;"",$B925&lt;&gt;"",$R925='تقرير نوفمبر'!$C$4,$P925='تقرير نوفمبر'!$C$6),COUNT(Y$4:Y924)+1,"")</f>
        <v/>
      </c>
      <c r="Z925">
        <f>IF(AND($A925&lt;&gt;"",$B925&lt;&gt;"",$R925='تقرير ديسمبر'!$C$4,$P925='تقرير ديسمبر'!$C$6),COUNT(Z$4:Z924)+1,"")</f>
        <v/>
      </c>
      <c r="AA925">
        <f>IF(AND($A925&lt;&gt;"",$B925&lt;&gt;"",$R925='تقرير يناير'!$C$4,$P925='تقرير يناير'!$C$6),COUNT(AA$4:AA924)+1,"")</f>
        <v/>
      </c>
      <c r="AB925">
        <f>IF(AND($A925&lt;&gt;"",$B925&lt;&gt;"",$R925='تقرير فبراير'!$C$4,$P925='تقرير فبراير'!$C$6),COUNT(AB$4:AB924)+1,"")</f>
        <v/>
      </c>
      <c r="AC925">
        <f>IF(AND($A925&lt;&gt;"",$B925&lt;&gt;"",$R925='تقرير مارس'!$C$4,$P925='تقرير مارس'!$C$6),COUNT(AC$4:AC924)+1,"")</f>
        <v/>
      </c>
      <c r="AD925">
        <f>IF(AND($A925&lt;&gt;"",$B925&lt;&gt;"",$R925='تقرير أبريل'!$C$4,$P925='تقرير أبريل'!$C$6),COUNT(AD$4:AD924)+1,"")</f>
        <v/>
      </c>
      <c r="AE925">
        <f>IF(AND($A925&lt;&gt;"",$B925&lt;&gt;"",$R925='تقرير مايو'!$C$4,$P925='تقرير مايو'!$C$6),COUNT(AE$4:AE924)+1,"")</f>
        <v/>
      </c>
    </row>
    <row r="926">
      <c r="A926" s="16" t="n"/>
      <c r="B926" s="17" t="n"/>
      <c r="C926" s="17" t="n"/>
      <c r="D926" s="18" t="n"/>
      <c r="E926" s="17" t="n"/>
      <c r="F926" s="17" t="n"/>
      <c r="G926" s="19" t="n"/>
      <c r="H926" s="17" t="n"/>
      <c r="I926" s="17" t="n"/>
      <c r="J926" s="17" t="n"/>
      <c r="K926" s="20">
        <f>IF($B926="","",IFERROR(INDEX(الموظفات!$A$5:$A$304,MATCH($B926,الموظفات!$B$5:$B$304,0))&amp;"",""))</f>
        <v/>
      </c>
      <c r="L926" s="21">
        <f>IF($B926="","",IFERROR(INDEX(الموظفات!$C$5:$C$304,MATCH($B926,الموظفات!$B$5:$B$304,0))&amp;"",""))</f>
        <v/>
      </c>
      <c r="M926" s="20">
        <f>IF($B926="","",IFERROR(INDEX(الموظفات!$D$5:$D$304,MATCH($B926,الموظفات!$B$5:$B$304,0))&amp;"",""))</f>
        <v/>
      </c>
      <c r="N926" s="20">
        <f>IF($B926="","",IFERROR(INDEX(الموظفات!$E$5:$E$304,MATCH($B926,الموظفات!$B$5:$B$304,0))&amp;"",""))</f>
        <v/>
      </c>
      <c r="O926" s="21">
        <f>IF(C926="","",IFERROR(INDEX(الإعدادات!$D$7:$D$35,MATCH(C926,الإعدادات!$A$7:$A$35,0))&amp;"",""))</f>
        <v/>
      </c>
      <c r="P926" s="20">
        <f>IF(A926="","",INDEX(الإعدادات!$H$7:$H$18,MONTH(A926)))</f>
        <v/>
      </c>
      <c r="Q926" s="20">
        <f>IF(A926="","",INDEX(الإعدادات!$I$7:$I$18,MONTH(A926)))</f>
        <v/>
      </c>
      <c r="R926" s="20">
        <f>IF(A926="","",IF(MONTH(A926)&gt;=8,YEAR(A926)&amp;"-"&amp;(YEAR(A926)+1),(YEAR(A926)-1)&amp;"-"&amp;YEAR(A926)))</f>
        <v/>
      </c>
      <c r="S926" s="20">
        <f>IF(OR(A926="",B926=""),0,IF(AND(R926=التقارير!$C$4,OR(التقارير!$C$5="سنوي",AND(التقارير!$C$5="شهري",P926=التقارير!$C$6),AND(التقارير!$C$5="فصلي",Q926=التقارير!$C$7))),1,0))</f>
        <v/>
      </c>
      <c r="T926" s="20">
        <f>IF(S926=1,COUNTIF($S$5:S926,1),"")</f>
        <v/>
      </c>
      <c r="U926">
        <f>IF(AND($A926&lt;&gt;"",$B926&lt;&gt;"",$R926='تقرير الفصل الأول'!$C$4,$Q926='تقرير الفصل الأول'!$C$7),COUNT(U$4:U925)+1,"")</f>
        <v/>
      </c>
      <c r="V926">
        <f>IF(AND($A926&lt;&gt;"",$B926&lt;&gt;"",$R926='تقرير الفصل الثاني'!$C$4,$Q926='تقرير الفصل الثاني'!$C$7),COUNT(V$4:V925)+1,"")</f>
        <v/>
      </c>
      <c r="W926">
        <f>IF(AND($A926&lt;&gt;"",$B926&lt;&gt;"",$R926='تقرير سبتمبر'!$C$4,$P926='تقرير سبتمبر'!$C$6),COUNT(W$4:W925)+1,"")</f>
        <v/>
      </c>
      <c r="X926">
        <f>IF(AND($A926&lt;&gt;"",$B926&lt;&gt;"",$R926='تقرير أكتوبر'!$C$4,$P926='تقرير أكتوبر'!$C$6),COUNT(X$4:X925)+1,"")</f>
        <v/>
      </c>
      <c r="Y926">
        <f>IF(AND($A926&lt;&gt;"",$B926&lt;&gt;"",$R926='تقرير نوفمبر'!$C$4,$P926='تقرير نوفمبر'!$C$6),COUNT(Y$4:Y925)+1,"")</f>
        <v/>
      </c>
      <c r="Z926">
        <f>IF(AND($A926&lt;&gt;"",$B926&lt;&gt;"",$R926='تقرير ديسمبر'!$C$4,$P926='تقرير ديسمبر'!$C$6),COUNT(Z$4:Z925)+1,"")</f>
        <v/>
      </c>
      <c r="AA926">
        <f>IF(AND($A926&lt;&gt;"",$B926&lt;&gt;"",$R926='تقرير يناير'!$C$4,$P926='تقرير يناير'!$C$6),COUNT(AA$4:AA925)+1,"")</f>
        <v/>
      </c>
      <c r="AB926">
        <f>IF(AND($A926&lt;&gt;"",$B926&lt;&gt;"",$R926='تقرير فبراير'!$C$4,$P926='تقرير فبراير'!$C$6),COUNT(AB$4:AB925)+1,"")</f>
        <v/>
      </c>
      <c r="AC926">
        <f>IF(AND($A926&lt;&gt;"",$B926&lt;&gt;"",$R926='تقرير مارس'!$C$4,$P926='تقرير مارس'!$C$6),COUNT(AC$4:AC925)+1,"")</f>
        <v/>
      </c>
      <c r="AD926">
        <f>IF(AND($A926&lt;&gt;"",$B926&lt;&gt;"",$R926='تقرير أبريل'!$C$4,$P926='تقرير أبريل'!$C$6),COUNT(AD$4:AD925)+1,"")</f>
        <v/>
      </c>
      <c r="AE926">
        <f>IF(AND($A926&lt;&gt;"",$B926&lt;&gt;"",$R926='تقرير مايو'!$C$4,$P926='تقرير مايو'!$C$6),COUNT(AE$4:AE925)+1,"")</f>
        <v/>
      </c>
    </row>
    <row r="927">
      <c r="A927" s="16" t="n"/>
      <c r="B927" s="17" t="n"/>
      <c r="C927" s="17" t="n"/>
      <c r="D927" s="18" t="n"/>
      <c r="E927" s="17" t="n"/>
      <c r="F927" s="17" t="n"/>
      <c r="G927" s="19" t="n"/>
      <c r="H927" s="17" t="n"/>
      <c r="I927" s="17" t="n"/>
      <c r="J927" s="17" t="n"/>
      <c r="K927" s="20">
        <f>IF($B927="","",IFERROR(INDEX(الموظفات!$A$5:$A$304,MATCH($B927,الموظفات!$B$5:$B$304,0))&amp;"",""))</f>
        <v/>
      </c>
      <c r="L927" s="21">
        <f>IF($B927="","",IFERROR(INDEX(الموظفات!$C$5:$C$304,MATCH($B927,الموظفات!$B$5:$B$304,0))&amp;"",""))</f>
        <v/>
      </c>
      <c r="M927" s="20">
        <f>IF($B927="","",IFERROR(INDEX(الموظفات!$D$5:$D$304,MATCH($B927,الموظفات!$B$5:$B$304,0))&amp;"",""))</f>
        <v/>
      </c>
      <c r="N927" s="20">
        <f>IF($B927="","",IFERROR(INDEX(الموظفات!$E$5:$E$304,MATCH($B927,الموظفات!$B$5:$B$304,0))&amp;"",""))</f>
        <v/>
      </c>
      <c r="O927" s="21">
        <f>IF(C927="","",IFERROR(INDEX(الإعدادات!$D$7:$D$35,MATCH(C927,الإعدادات!$A$7:$A$35,0))&amp;"",""))</f>
        <v/>
      </c>
      <c r="P927" s="20">
        <f>IF(A927="","",INDEX(الإعدادات!$H$7:$H$18,MONTH(A927)))</f>
        <v/>
      </c>
      <c r="Q927" s="20">
        <f>IF(A927="","",INDEX(الإعدادات!$I$7:$I$18,MONTH(A927)))</f>
        <v/>
      </c>
      <c r="R927" s="20">
        <f>IF(A927="","",IF(MONTH(A927)&gt;=8,YEAR(A927)&amp;"-"&amp;(YEAR(A927)+1),(YEAR(A927)-1)&amp;"-"&amp;YEAR(A927)))</f>
        <v/>
      </c>
      <c r="S927" s="20">
        <f>IF(OR(A927="",B927=""),0,IF(AND(R927=التقارير!$C$4,OR(التقارير!$C$5="سنوي",AND(التقارير!$C$5="شهري",P927=التقارير!$C$6),AND(التقارير!$C$5="فصلي",Q927=التقارير!$C$7))),1,0))</f>
        <v/>
      </c>
      <c r="T927" s="20">
        <f>IF(S927=1,COUNTIF($S$5:S927,1),"")</f>
        <v/>
      </c>
      <c r="U927">
        <f>IF(AND($A927&lt;&gt;"",$B927&lt;&gt;"",$R927='تقرير الفصل الأول'!$C$4,$Q927='تقرير الفصل الأول'!$C$7),COUNT(U$4:U926)+1,"")</f>
        <v/>
      </c>
      <c r="V927">
        <f>IF(AND($A927&lt;&gt;"",$B927&lt;&gt;"",$R927='تقرير الفصل الثاني'!$C$4,$Q927='تقرير الفصل الثاني'!$C$7),COUNT(V$4:V926)+1,"")</f>
        <v/>
      </c>
      <c r="W927">
        <f>IF(AND($A927&lt;&gt;"",$B927&lt;&gt;"",$R927='تقرير سبتمبر'!$C$4,$P927='تقرير سبتمبر'!$C$6),COUNT(W$4:W926)+1,"")</f>
        <v/>
      </c>
      <c r="X927">
        <f>IF(AND($A927&lt;&gt;"",$B927&lt;&gt;"",$R927='تقرير أكتوبر'!$C$4,$P927='تقرير أكتوبر'!$C$6),COUNT(X$4:X926)+1,"")</f>
        <v/>
      </c>
      <c r="Y927">
        <f>IF(AND($A927&lt;&gt;"",$B927&lt;&gt;"",$R927='تقرير نوفمبر'!$C$4,$P927='تقرير نوفمبر'!$C$6),COUNT(Y$4:Y926)+1,"")</f>
        <v/>
      </c>
      <c r="Z927">
        <f>IF(AND($A927&lt;&gt;"",$B927&lt;&gt;"",$R927='تقرير ديسمبر'!$C$4,$P927='تقرير ديسمبر'!$C$6),COUNT(Z$4:Z926)+1,"")</f>
        <v/>
      </c>
      <c r="AA927">
        <f>IF(AND($A927&lt;&gt;"",$B927&lt;&gt;"",$R927='تقرير يناير'!$C$4,$P927='تقرير يناير'!$C$6),COUNT(AA$4:AA926)+1,"")</f>
        <v/>
      </c>
      <c r="AB927">
        <f>IF(AND($A927&lt;&gt;"",$B927&lt;&gt;"",$R927='تقرير فبراير'!$C$4,$P927='تقرير فبراير'!$C$6),COUNT(AB$4:AB926)+1,"")</f>
        <v/>
      </c>
      <c r="AC927">
        <f>IF(AND($A927&lt;&gt;"",$B927&lt;&gt;"",$R927='تقرير مارس'!$C$4,$P927='تقرير مارس'!$C$6),COUNT(AC$4:AC926)+1,"")</f>
        <v/>
      </c>
      <c r="AD927">
        <f>IF(AND($A927&lt;&gt;"",$B927&lt;&gt;"",$R927='تقرير أبريل'!$C$4,$P927='تقرير أبريل'!$C$6),COUNT(AD$4:AD926)+1,"")</f>
        <v/>
      </c>
      <c r="AE927">
        <f>IF(AND($A927&lt;&gt;"",$B927&lt;&gt;"",$R927='تقرير مايو'!$C$4,$P927='تقرير مايو'!$C$6),COUNT(AE$4:AE926)+1,"")</f>
        <v/>
      </c>
    </row>
    <row r="928">
      <c r="A928" s="16" t="n"/>
      <c r="B928" s="17" t="n"/>
      <c r="C928" s="17" t="n"/>
      <c r="D928" s="18" t="n"/>
      <c r="E928" s="17" t="n"/>
      <c r="F928" s="17" t="n"/>
      <c r="G928" s="19" t="n"/>
      <c r="H928" s="17" t="n"/>
      <c r="I928" s="17" t="n"/>
      <c r="J928" s="17" t="n"/>
      <c r="K928" s="20">
        <f>IF($B928="","",IFERROR(INDEX(الموظفات!$A$5:$A$304,MATCH($B928,الموظفات!$B$5:$B$304,0))&amp;"",""))</f>
        <v/>
      </c>
      <c r="L928" s="21">
        <f>IF($B928="","",IFERROR(INDEX(الموظفات!$C$5:$C$304,MATCH($B928,الموظفات!$B$5:$B$304,0))&amp;"",""))</f>
        <v/>
      </c>
      <c r="M928" s="20">
        <f>IF($B928="","",IFERROR(INDEX(الموظفات!$D$5:$D$304,MATCH($B928,الموظفات!$B$5:$B$304,0))&amp;"",""))</f>
        <v/>
      </c>
      <c r="N928" s="20">
        <f>IF($B928="","",IFERROR(INDEX(الموظفات!$E$5:$E$304,MATCH($B928,الموظفات!$B$5:$B$304,0))&amp;"",""))</f>
        <v/>
      </c>
      <c r="O928" s="21">
        <f>IF(C928="","",IFERROR(INDEX(الإعدادات!$D$7:$D$35,MATCH(C928,الإعدادات!$A$7:$A$35,0))&amp;"",""))</f>
        <v/>
      </c>
      <c r="P928" s="20">
        <f>IF(A928="","",INDEX(الإعدادات!$H$7:$H$18,MONTH(A928)))</f>
        <v/>
      </c>
      <c r="Q928" s="20">
        <f>IF(A928="","",INDEX(الإعدادات!$I$7:$I$18,MONTH(A928)))</f>
        <v/>
      </c>
      <c r="R928" s="20">
        <f>IF(A928="","",IF(MONTH(A928)&gt;=8,YEAR(A928)&amp;"-"&amp;(YEAR(A928)+1),(YEAR(A928)-1)&amp;"-"&amp;YEAR(A928)))</f>
        <v/>
      </c>
      <c r="S928" s="20">
        <f>IF(OR(A928="",B928=""),0,IF(AND(R928=التقارير!$C$4,OR(التقارير!$C$5="سنوي",AND(التقارير!$C$5="شهري",P928=التقارير!$C$6),AND(التقارير!$C$5="فصلي",Q928=التقارير!$C$7))),1,0))</f>
        <v/>
      </c>
      <c r="T928" s="20">
        <f>IF(S928=1,COUNTIF($S$5:S928,1),"")</f>
        <v/>
      </c>
      <c r="U928">
        <f>IF(AND($A928&lt;&gt;"",$B928&lt;&gt;"",$R928='تقرير الفصل الأول'!$C$4,$Q928='تقرير الفصل الأول'!$C$7),COUNT(U$4:U927)+1,"")</f>
        <v/>
      </c>
      <c r="V928">
        <f>IF(AND($A928&lt;&gt;"",$B928&lt;&gt;"",$R928='تقرير الفصل الثاني'!$C$4,$Q928='تقرير الفصل الثاني'!$C$7),COUNT(V$4:V927)+1,"")</f>
        <v/>
      </c>
      <c r="W928">
        <f>IF(AND($A928&lt;&gt;"",$B928&lt;&gt;"",$R928='تقرير سبتمبر'!$C$4,$P928='تقرير سبتمبر'!$C$6),COUNT(W$4:W927)+1,"")</f>
        <v/>
      </c>
      <c r="X928">
        <f>IF(AND($A928&lt;&gt;"",$B928&lt;&gt;"",$R928='تقرير أكتوبر'!$C$4,$P928='تقرير أكتوبر'!$C$6),COUNT(X$4:X927)+1,"")</f>
        <v/>
      </c>
      <c r="Y928">
        <f>IF(AND($A928&lt;&gt;"",$B928&lt;&gt;"",$R928='تقرير نوفمبر'!$C$4,$P928='تقرير نوفمبر'!$C$6),COUNT(Y$4:Y927)+1,"")</f>
        <v/>
      </c>
      <c r="Z928">
        <f>IF(AND($A928&lt;&gt;"",$B928&lt;&gt;"",$R928='تقرير ديسمبر'!$C$4,$P928='تقرير ديسمبر'!$C$6),COUNT(Z$4:Z927)+1,"")</f>
        <v/>
      </c>
      <c r="AA928">
        <f>IF(AND($A928&lt;&gt;"",$B928&lt;&gt;"",$R928='تقرير يناير'!$C$4,$P928='تقرير يناير'!$C$6),COUNT(AA$4:AA927)+1,"")</f>
        <v/>
      </c>
      <c r="AB928">
        <f>IF(AND($A928&lt;&gt;"",$B928&lt;&gt;"",$R928='تقرير فبراير'!$C$4,$P928='تقرير فبراير'!$C$6),COUNT(AB$4:AB927)+1,"")</f>
        <v/>
      </c>
      <c r="AC928">
        <f>IF(AND($A928&lt;&gt;"",$B928&lt;&gt;"",$R928='تقرير مارس'!$C$4,$P928='تقرير مارس'!$C$6),COUNT(AC$4:AC927)+1,"")</f>
        <v/>
      </c>
      <c r="AD928">
        <f>IF(AND($A928&lt;&gt;"",$B928&lt;&gt;"",$R928='تقرير أبريل'!$C$4,$P928='تقرير أبريل'!$C$6),COUNT(AD$4:AD927)+1,"")</f>
        <v/>
      </c>
      <c r="AE928">
        <f>IF(AND($A928&lt;&gt;"",$B928&lt;&gt;"",$R928='تقرير مايو'!$C$4,$P928='تقرير مايو'!$C$6),COUNT(AE$4:AE927)+1,"")</f>
        <v/>
      </c>
    </row>
    <row r="929">
      <c r="A929" s="16" t="n"/>
      <c r="B929" s="17" t="n"/>
      <c r="C929" s="17" t="n"/>
      <c r="D929" s="18" t="n"/>
      <c r="E929" s="17" t="n"/>
      <c r="F929" s="17" t="n"/>
      <c r="G929" s="19" t="n"/>
      <c r="H929" s="17" t="n"/>
      <c r="I929" s="17" t="n"/>
      <c r="J929" s="17" t="n"/>
      <c r="K929" s="20">
        <f>IF($B929="","",IFERROR(INDEX(الموظفات!$A$5:$A$304,MATCH($B929,الموظفات!$B$5:$B$304,0))&amp;"",""))</f>
        <v/>
      </c>
      <c r="L929" s="21">
        <f>IF($B929="","",IFERROR(INDEX(الموظفات!$C$5:$C$304,MATCH($B929,الموظفات!$B$5:$B$304,0))&amp;"",""))</f>
        <v/>
      </c>
      <c r="M929" s="20">
        <f>IF($B929="","",IFERROR(INDEX(الموظفات!$D$5:$D$304,MATCH($B929,الموظفات!$B$5:$B$304,0))&amp;"",""))</f>
        <v/>
      </c>
      <c r="N929" s="20">
        <f>IF($B929="","",IFERROR(INDEX(الموظفات!$E$5:$E$304,MATCH($B929,الموظفات!$B$5:$B$304,0))&amp;"",""))</f>
        <v/>
      </c>
      <c r="O929" s="21">
        <f>IF(C929="","",IFERROR(INDEX(الإعدادات!$D$7:$D$35,MATCH(C929,الإعدادات!$A$7:$A$35,0))&amp;"",""))</f>
        <v/>
      </c>
      <c r="P929" s="20">
        <f>IF(A929="","",INDEX(الإعدادات!$H$7:$H$18,MONTH(A929)))</f>
        <v/>
      </c>
      <c r="Q929" s="20">
        <f>IF(A929="","",INDEX(الإعدادات!$I$7:$I$18,MONTH(A929)))</f>
        <v/>
      </c>
      <c r="R929" s="20">
        <f>IF(A929="","",IF(MONTH(A929)&gt;=8,YEAR(A929)&amp;"-"&amp;(YEAR(A929)+1),(YEAR(A929)-1)&amp;"-"&amp;YEAR(A929)))</f>
        <v/>
      </c>
      <c r="S929" s="20">
        <f>IF(OR(A929="",B929=""),0,IF(AND(R929=التقارير!$C$4,OR(التقارير!$C$5="سنوي",AND(التقارير!$C$5="شهري",P929=التقارير!$C$6),AND(التقارير!$C$5="فصلي",Q929=التقارير!$C$7))),1,0))</f>
        <v/>
      </c>
      <c r="T929" s="20">
        <f>IF(S929=1,COUNTIF($S$5:S929,1),"")</f>
        <v/>
      </c>
      <c r="U929">
        <f>IF(AND($A929&lt;&gt;"",$B929&lt;&gt;"",$R929='تقرير الفصل الأول'!$C$4,$Q929='تقرير الفصل الأول'!$C$7),COUNT(U$4:U928)+1,"")</f>
        <v/>
      </c>
      <c r="V929">
        <f>IF(AND($A929&lt;&gt;"",$B929&lt;&gt;"",$R929='تقرير الفصل الثاني'!$C$4,$Q929='تقرير الفصل الثاني'!$C$7),COUNT(V$4:V928)+1,"")</f>
        <v/>
      </c>
      <c r="W929">
        <f>IF(AND($A929&lt;&gt;"",$B929&lt;&gt;"",$R929='تقرير سبتمبر'!$C$4,$P929='تقرير سبتمبر'!$C$6),COUNT(W$4:W928)+1,"")</f>
        <v/>
      </c>
      <c r="X929">
        <f>IF(AND($A929&lt;&gt;"",$B929&lt;&gt;"",$R929='تقرير أكتوبر'!$C$4,$P929='تقرير أكتوبر'!$C$6),COUNT(X$4:X928)+1,"")</f>
        <v/>
      </c>
      <c r="Y929">
        <f>IF(AND($A929&lt;&gt;"",$B929&lt;&gt;"",$R929='تقرير نوفمبر'!$C$4,$P929='تقرير نوفمبر'!$C$6),COUNT(Y$4:Y928)+1,"")</f>
        <v/>
      </c>
      <c r="Z929">
        <f>IF(AND($A929&lt;&gt;"",$B929&lt;&gt;"",$R929='تقرير ديسمبر'!$C$4,$P929='تقرير ديسمبر'!$C$6),COUNT(Z$4:Z928)+1,"")</f>
        <v/>
      </c>
      <c r="AA929">
        <f>IF(AND($A929&lt;&gt;"",$B929&lt;&gt;"",$R929='تقرير يناير'!$C$4,$P929='تقرير يناير'!$C$6),COUNT(AA$4:AA928)+1,"")</f>
        <v/>
      </c>
      <c r="AB929">
        <f>IF(AND($A929&lt;&gt;"",$B929&lt;&gt;"",$R929='تقرير فبراير'!$C$4,$P929='تقرير فبراير'!$C$6),COUNT(AB$4:AB928)+1,"")</f>
        <v/>
      </c>
      <c r="AC929">
        <f>IF(AND($A929&lt;&gt;"",$B929&lt;&gt;"",$R929='تقرير مارس'!$C$4,$P929='تقرير مارس'!$C$6),COUNT(AC$4:AC928)+1,"")</f>
        <v/>
      </c>
      <c r="AD929">
        <f>IF(AND($A929&lt;&gt;"",$B929&lt;&gt;"",$R929='تقرير أبريل'!$C$4,$P929='تقرير أبريل'!$C$6),COUNT(AD$4:AD928)+1,"")</f>
        <v/>
      </c>
      <c r="AE929">
        <f>IF(AND($A929&lt;&gt;"",$B929&lt;&gt;"",$R929='تقرير مايو'!$C$4,$P929='تقرير مايو'!$C$6),COUNT(AE$4:AE928)+1,"")</f>
        <v/>
      </c>
    </row>
    <row r="930">
      <c r="A930" s="16" t="n"/>
      <c r="B930" s="17" t="n"/>
      <c r="C930" s="17" t="n"/>
      <c r="D930" s="18" t="n"/>
      <c r="E930" s="17" t="n"/>
      <c r="F930" s="17" t="n"/>
      <c r="G930" s="19" t="n"/>
      <c r="H930" s="17" t="n"/>
      <c r="I930" s="17" t="n"/>
      <c r="J930" s="17" t="n"/>
      <c r="K930" s="20">
        <f>IF($B930="","",IFERROR(INDEX(الموظفات!$A$5:$A$304,MATCH($B930,الموظفات!$B$5:$B$304,0))&amp;"",""))</f>
        <v/>
      </c>
      <c r="L930" s="21">
        <f>IF($B930="","",IFERROR(INDEX(الموظفات!$C$5:$C$304,MATCH($B930,الموظفات!$B$5:$B$304,0))&amp;"",""))</f>
        <v/>
      </c>
      <c r="M930" s="20">
        <f>IF($B930="","",IFERROR(INDEX(الموظفات!$D$5:$D$304,MATCH($B930,الموظفات!$B$5:$B$304,0))&amp;"",""))</f>
        <v/>
      </c>
      <c r="N930" s="20">
        <f>IF($B930="","",IFERROR(INDEX(الموظفات!$E$5:$E$304,MATCH($B930,الموظفات!$B$5:$B$304,0))&amp;"",""))</f>
        <v/>
      </c>
      <c r="O930" s="21">
        <f>IF(C930="","",IFERROR(INDEX(الإعدادات!$D$7:$D$35,MATCH(C930,الإعدادات!$A$7:$A$35,0))&amp;"",""))</f>
        <v/>
      </c>
      <c r="P930" s="20">
        <f>IF(A930="","",INDEX(الإعدادات!$H$7:$H$18,MONTH(A930)))</f>
        <v/>
      </c>
      <c r="Q930" s="20">
        <f>IF(A930="","",INDEX(الإعدادات!$I$7:$I$18,MONTH(A930)))</f>
        <v/>
      </c>
      <c r="R930" s="20">
        <f>IF(A930="","",IF(MONTH(A930)&gt;=8,YEAR(A930)&amp;"-"&amp;(YEAR(A930)+1),(YEAR(A930)-1)&amp;"-"&amp;YEAR(A930)))</f>
        <v/>
      </c>
      <c r="S930" s="20">
        <f>IF(OR(A930="",B930=""),0,IF(AND(R930=التقارير!$C$4,OR(التقارير!$C$5="سنوي",AND(التقارير!$C$5="شهري",P930=التقارير!$C$6),AND(التقارير!$C$5="فصلي",Q930=التقارير!$C$7))),1,0))</f>
        <v/>
      </c>
      <c r="T930" s="20">
        <f>IF(S930=1,COUNTIF($S$5:S930,1),"")</f>
        <v/>
      </c>
      <c r="U930">
        <f>IF(AND($A930&lt;&gt;"",$B930&lt;&gt;"",$R930='تقرير الفصل الأول'!$C$4,$Q930='تقرير الفصل الأول'!$C$7),COUNT(U$4:U929)+1,"")</f>
        <v/>
      </c>
      <c r="V930">
        <f>IF(AND($A930&lt;&gt;"",$B930&lt;&gt;"",$R930='تقرير الفصل الثاني'!$C$4,$Q930='تقرير الفصل الثاني'!$C$7),COUNT(V$4:V929)+1,"")</f>
        <v/>
      </c>
      <c r="W930">
        <f>IF(AND($A930&lt;&gt;"",$B930&lt;&gt;"",$R930='تقرير سبتمبر'!$C$4,$P930='تقرير سبتمبر'!$C$6),COUNT(W$4:W929)+1,"")</f>
        <v/>
      </c>
      <c r="X930">
        <f>IF(AND($A930&lt;&gt;"",$B930&lt;&gt;"",$R930='تقرير أكتوبر'!$C$4,$P930='تقرير أكتوبر'!$C$6),COUNT(X$4:X929)+1,"")</f>
        <v/>
      </c>
      <c r="Y930">
        <f>IF(AND($A930&lt;&gt;"",$B930&lt;&gt;"",$R930='تقرير نوفمبر'!$C$4,$P930='تقرير نوفمبر'!$C$6),COUNT(Y$4:Y929)+1,"")</f>
        <v/>
      </c>
      <c r="Z930">
        <f>IF(AND($A930&lt;&gt;"",$B930&lt;&gt;"",$R930='تقرير ديسمبر'!$C$4,$P930='تقرير ديسمبر'!$C$6),COUNT(Z$4:Z929)+1,"")</f>
        <v/>
      </c>
      <c r="AA930">
        <f>IF(AND($A930&lt;&gt;"",$B930&lt;&gt;"",$R930='تقرير يناير'!$C$4,$P930='تقرير يناير'!$C$6),COUNT(AA$4:AA929)+1,"")</f>
        <v/>
      </c>
      <c r="AB930">
        <f>IF(AND($A930&lt;&gt;"",$B930&lt;&gt;"",$R930='تقرير فبراير'!$C$4,$P930='تقرير فبراير'!$C$6),COUNT(AB$4:AB929)+1,"")</f>
        <v/>
      </c>
      <c r="AC930">
        <f>IF(AND($A930&lt;&gt;"",$B930&lt;&gt;"",$R930='تقرير مارس'!$C$4,$P930='تقرير مارس'!$C$6),COUNT(AC$4:AC929)+1,"")</f>
        <v/>
      </c>
      <c r="AD930">
        <f>IF(AND($A930&lt;&gt;"",$B930&lt;&gt;"",$R930='تقرير أبريل'!$C$4,$P930='تقرير أبريل'!$C$6),COUNT(AD$4:AD929)+1,"")</f>
        <v/>
      </c>
      <c r="AE930">
        <f>IF(AND($A930&lt;&gt;"",$B930&lt;&gt;"",$R930='تقرير مايو'!$C$4,$P930='تقرير مايو'!$C$6),COUNT(AE$4:AE929)+1,"")</f>
        <v/>
      </c>
    </row>
    <row r="931">
      <c r="A931" s="16" t="n"/>
      <c r="B931" s="17" t="n"/>
      <c r="C931" s="17" t="n"/>
      <c r="D931" s="18" t="n"/>
      <c r="E931" s="17" t="n"/>
      <c r="F931" s="17" t="n"/>
      <c r="G931" s="19" t="n"/>
      <c r="H931" s="17" t="n"/>
      <c r="I931" s="17" t="n"/>
      <c r="J931" s="17" t="n"/>
      <c r="K931" s="20">
        <f>IF($B931="","",IFERROR(INDEX(الموظفات!$A$5:$A$304,MATCH($B931,الموظفات!$B$5:$B$304,0))&amp;"",""))</f>
        <v/>
      </c>
      <c r="L931" s="21">
        <f>IF($B931="","",IFERROR(INDEX(الموظفات!$C$5:$C$304,MATCH($B931,الموظفات!$B$5:$B$304,0))&amp;"",""))</f>
        <v/>
      </c>
      <c r="M931" s="20">
        <f>IF($B931="","",IFERROR(INDEX(الموظفات!$D$5:$D$304,MATCH($B931,الموظفات!$B$5:$B$304,0))&amp;"",""))</f>
        <v/>
      </c>
      <c r="N931" s="20">
        <f>IF($B931="","",IFERROR(INDEX(الموظفات!$E$5:$E$304,MATCH($B931,الموظفات!$B$5:$B$304,0))&amp;"",""))</f>
        <v/>
      </c>
      <c r="O931" s="21">
        <f>IF(C931="","",IFERROR(INDEX(الإعدادات!$D$7:$D$35,MATCH(C931,الإعدادات!$A$7:$A$35,0))&amp;"",""))</f>
        <v/>
      </c>
      <c r="P931" s="20">
        <f>IF(A931="","",INDEX(الإعدادات!$H$7:$H$18,MONTH(A931)))</f>
        <v/>
      </c>
      <c r="Q931" s="20">
        <f>IF(A931="","",INDEX(الإعدادات!$I$7:$I$18,MONTH(A931)))</f>
        <v/>
      </c>
      <c r="R931" s="20">
        <f>IF(A931="","",IF(MONTH(A931)&gt;=8,YEAR(A931)&amp;"-"&amp;(YEAR(A931)+1),(YEAR(A931)-1)&amp;"-"&amp;YEAR(A931)))</f>
        <v/>
      </c>
      <c r="S931" s="20">
        <f>IF(OR(A931="",B931=""),0,IF(AND(R931=التقارير!$C$4,OR(التقارير!$C$5="سنوي",AND(التقارير!$C$5="شهري",P931=التقارير!$C$6),AND(التقارير!$C$5="فصلي",Q931=التقارير!$C$7))),1,0))</f>
        <v/>
      </c>
      <c r="T931" s="20">
        <f>IF(S931=1,COUNTIF($S$5:S931,1),"")</f>
        <v/>
      </c>
      <c r="U931">
        <f>IF(AND($A931&lt;&gt;"",$B931&lt;&gt;"",$R931='تقرير الفصل الأول'!$C$4,$Q931='تقرير الفصل الأول'!$C$7),COUNT(U$4:U930)+1,"")</f>
        <v/>
      </c>
      <c r="V931">
        <f>IF(AND($A931&lt;&gt;"",$B931&lt;&gt;"",$R931='تقرير الفصل الثاني'!$C$4,$Q931='تقرير الفصل الثاني'!$C$7),COUNT(V$4:V930)+1,"")</f>
        <v/>
      </c>
      <c r="W931">
        <f>IF(AND($A931&lt;&gt;"",$B931&lt;&gt;"",$R931='تقرير سبتمبر'!$C$4,$P931='تقرير سبتمبر'!$C$6),COUNT(W$4:W930)+1,"")</f>
        <v/>
      </c>
      <c r="X931">
        <f>IF(AND($A931&lt;&gt;"",$B931&lt;&gt;"",$R931='تقرير أكتوبر'!$C$4,$P931='تقرير أكتوبر'!$C$6),COUNT(X$4:X930)+1,"")</f>
        <v/>
      </c>
      <c r="Y931">
        <f>IF(AND($A931&lt;&gt;"",$B931&lt;&gt;"",$R931='تقرير نوفمبر'!$C$4,$P931='تقرير نوفمبر'!$C$6),COUNT(Y$4:Y930)+1,"")</f>
        <v/>
      </c>
      <c r="Z931">
        <f>IF(AND($A931&lt;&gt;"",$B931&lt;&gt;"",$R931='تقرير ديسمبر'!$C$4,$P931='تقرير ديسمبر'!$C$6),COUNT(Z$4:Z930)+1,"")</f>
        <v/>
      </c>
      <c r="AA931">
        <f>IF(AND($A931&lt;&gt;"",$B931&lt;&gt;"",$R931='تقرير يناير'!$C$4,$P931='تقرير يناير'!$C$6),COUNT(AA$4:AA930)+1,"")</f>
        <v/>
      </c>
      <c r="AB931">
        <f>IF(AND($A931&lt;&gt;"",$B931&lt;&gt;"",$R931='تقرير فبراير'!$C$4,$P931='تقرير فبراير'!$C$6),COUNT(AB$4:AB930)+1,"")</f>
        <v/>
      </c>
      <c r="AC931">
        <f>IF(AND($A931&lt;&gt;"",$B931&lt;&gt;"",$R931='تقرير مارس'!$C$4,$P931='تقرير مارس'!$C$6),COUNT(AC$4:AC930)+1,"")</f>
        <v/>
      </c>
      <c r="AD931">
        <f>IF(AND($A931&lt;&gt;"",$B931&lt;&gt;"",$R931='تقرير أبريل'!$C$4,$P931='تقرير أبريل'!$C$6),COUNT(AD$4:AD930)+1,"")</f>
        <v/>
      </c>
      <c r="AE931">
        <f>IF(AND($A931&lt;&gt;"",$B931&lt;&gt;"",$R931='تقرير مايو'!$C$4,$P931='تقرير مايو'!$C$6),COUNT(AE$4:AE930)+1,"")</f>
        <v/>
      </c>
    </row>
    <row r="932">
      <c r="A932" s="16" t="n"/>
      <c r="B932" s="17" t="n"/>
      <c r="C932" s="17" t="n"/>
      <c r="D932" s="18" t="n"/>
      <c r="E932" s="17" t="n"/>
      <c r="F932" s="17" t="n"/>
      <c r="G932" s="19" t="n"/>
      <c r="H932" s="17" t="n"/>
      <c r="I932" s="17" t="n"/>
      <c r="J932" s="17" t="n"/>
      <c r="K932" s="20">
        <f>IF($B932="","",IFERROR(INDEX(الموظفات!$A$5:$A$304,MATCH($B932,الموظفات!$B$5:$B$304,0))&amp;"",""))</f>
        <v/>
      </c>
      <c r="L932" s="21">
        <f>IF($B932="","",IFERROR(INDEX(الموظفات!$C$5:$C$304,MATCH($B932,الموظفات!$B$5:$B$304,0))&amp;"",""))</f>
        <v/>
      </c>
      <c r="M932" s="20">
        <f>IF($B932="","",IFERROR(INDEX(الموظفات!$D$5:$D$304,MATCH($B932,الموظفات!$B$5:$B$304,0))&amp;"",""))</f>
        <v/>
      </c>
      <c r="N932" s="20">
        <f>IF($B932="","",IFERROR(INDEX(الموظفات!$E$5:$E$304,MATCH($B932,الموظفات!$B$5:$B$304,0))&amp;"",""))</f>
        <v/>
      </c>
      <c r="O932" s="21">
        <f>IF(C932="","",IFERROR(INDEX(الإعدادات!$D$7:$D$35,MATCH(C932,الإعدادات!$A$7:$A$35,0))&amp;"",""))</f>
        <v/>
      </c>
      <c r="P932" s="20">
        <f>IF(A932="","",INDEX(الإعدادات!$H$7:$H$18,MONTH(A932)))</f>
        <v/>
      </c>
      <c r="Q932" s="20">
        <f>IF(A932="","",INDEX(الإعدادات!$I$7:$I$18,MONTH(A932)))</f>
        <v/>
      </c>
      <c r="R932" s="20">
        <f>IF(A932="","",IF(MONTH(A932)&gt;=8,YEAR(A932)&amp;"-"&amp;(YEAR(A932)+1),(YEAR(A932)-1)&amp;"-"&amp;YEAR(A932)))</f>
        <v/>
      </c>
      <c r="S932" s="20">
        <f>IF(OR(A932="",B932=""),0,IF(AND(R932=التقارير!$C$4,OR(التقارير!$C$5="سنوي",AND(التقارير!$C$5="شهري",P932=التقارير!$C$6),AND(التقارير!$C$5="فصلي",Q932=التقارير!$C$7))),1,0))</f>
        <v/>
      </c>
      <c r="T932" s="20">
        <f>IF(S932=1,COUNTIF($S$5:S932,1),"")</f>
        <v/>
      </c>
      <c r="U932">
        <f>IF(AND($A932&lt;&gt;"",$B932&lt;&gt;"",$R932='تقرير الفصل الأول'!$C$4,$Q932='تقرير الفصل الأول'!$C$7),COUNT(U$4:U931)+1,"")</f>
        <v/>
      </c>
      <c r="V932">
        <f>IF(AND($A932&lt;&gt;"",$B932&lt;&gt;"",$R932='تقرير الفصل الثاني'!$C$4,$Q932='تقرير الفصل الثاني'!$C$7),COUNT(V$4:V931)+1,"")</f>
        <v/>
      </c>
      <c r="W932">
        <f>IF(AND($A932&lt;&gt;"",$B932&lt;&gt;"",$R932='تقرير سبتمبر'!$C$4,$P932='تقرير سبتمبر'!$C$6),COUNT(W$4:W931)+1,"")</f>
        <v/>
      </c>
      <c r="X932">
        <f>IF(AND($A932&lt;&gt;"",$B932&lt;&gt;"",$R932='تقرير أكتوبر'!$C$4,$P932='تقرير أكتوبر'!$C$6),COUNT(X$4:X931)+1,"")</f>
        <v/>
      </c>
      <c r="Y932">
        <f>IF(AND($A932&lt;&gt;"",$B932&lt;&gt;"",$R932='تقرير نوفمبر'!$C$4,$P932='تقرير نوفمبر'!$C$6),COUNT(Y$4:Y931)+1,"")</f>
        <v/>
      </c>
      <c r="Z932">
        <f>IF(AND($A932&lt;&gt;"",$B932&lt;&gt;"",$R932='تقرير ديسمبر'!$C$4,$P932='تقرير ديسمبر'!$C$6),COUNT(Z$4:Z931)+1,"")</f>
        <v/>
      </c>
      <c r="AA932">
        <f>IF(AND($A932&lt;&gt;"",$B932&lt;&gt;"",$R932='تقرير يناير'!$C$4,$P932='تقرير يناير'!$C$6),COUNT(AA$4:AA931)+1,"")</f>
        <v/>
      </c>
      <c r="AB932">
        <f>IF(AND($A932&lt;&gt;"",$B932&lt;&gt;"",$R932='تقرير فبراير'!$C$4,$P932='تقرير فبراير'!$C$6),COUNT(AB$4:AB931)+1,"")</f>
        <v/>
      </c>
      <c r="AC932">
        <f>IF(AND($A932&lt;&gt;"",$B932&lt;&gt;"",$R932='تقرير مارس'!$C$4,$P932='تقرير مارس'!$C$6),COUNT(AC$4:AC931)+1,"")</f>
        <v/>
      </c>
      <c r="AD932">
        <f>IF(AND($A932&lt;&gt;"",$B932&lt;&gt;"",$R932='تقرير أبريل'!$C$4,$P932='تقرير أبريل'!$C$6),COUNT(AD$4:AD931)+1,"")</f>
        <v/>
      </c>
      <c r="AE932">
        <f>IF(AND($A932&lt;&gt;"",$B932&lt;&gt;"",$R932='تقرير مايو'!$C$4,$P932='تقرير مايو'!$C$6),COUNT(AE$4:AE931)+1,"")</f>
        <v/>
      </c>
    </row>
    <row r="933">
      <c r="A933" s="16" t="n"/>
      <c r="B933" s="17" t="n"/>
      <c r="C933" s="17" t="n"/>
      <c r="D933" s="18" t="n"/>
      <c r="E933" s="17" t="n"/>
      <c r="F933" s="17" t="n"/>
      <c r="G933" s="19" t="n"/>
      <c r="H933" s="17" t="n"/>
      <c r="I933" s="17" t="n"/>
      <c r="J933" s="17" t="n"/>
      <c r="K933" s="20">
        <f>IF($B933="","",IFERROR(INDEX(الموظفات!$A$5:$A$304,MATCH($B933,الموظفات!$B$5:$B$304,0))&amp;"",""))</f>
        <v/>
      </c>
      <c r="L933" s="21">
        <f>IF($B933="","",IFERROR(INDEX(الموظفات!$C$5:$C$304,MATCH($B933,الموظفات!$B$5:$B$304,0))&amp;"",""))</f>
        <v/>
      </c>
      <c r="M933" s="20">
        <f>IF($B933="","",IFERROR(INDEX(الموظفات!$D$5:$D$304,MATCH($B933,الموظفات!$B$5:$B$304,0))&amp;"",""))</f>
        <v/>
      </c>
      <c r="N933" s="20">
        <f>IF($B933="","",IFERROR(INDEX(الموظفات!$E$5:$E$304,MATCH($B933,الموظفات!$B$5:$B$304,0))&amp;"",""))</f>
        <v/>
      </c>
      <c r="O933" s="21">
        <f>IF(C933="","",IFERROR(INDEX(الإعدادات!$D$7:$D$35,MATCH(C933,الإعدادات!$A$7:$A$35,0))&amp;"",""))</f>
        <v/>
      </c>
      <c r="P933" s="20">
        <f>IF(A933="","",INDEX(الإعدادات!$H$7:$H$18,MONTH(A933)))</f>
        <v/>
      </c>
      <c r="Q933" s="20">
        <f>IF(A933="","",INDEX(الإعدادات!$I$7:$I$18,MONTH(A933)))</f>
        <v/>
      </c>
      <c r="R933" s="20">
        <f>IF(A933="","",IF(MONTH(A933)&gt;=8,YEAR(A933)&amp;"-"&amp;(YEAR(A933)+1),(YEAR(A933)-1)&amp;"-"&amp;YEAR(A933)))</f>
        <v/>
      </c>
      <c r="S933" s="20">
        <f>IF(OR(A933="",B933=""),0,IF(AND(R933=التقارير!$C$4,OR(التقارير!$C$5="سنوي",AND(التقارير!$C$5="شهري",P933=التقارير!$C$6),AND(التقارير!$C$5="فصلي",Q933=التقارير!$C$7))),1,0))</f>
        <v/>
      </c>
      <c r="T933" s="20">
        <f>IF(S933=1,COUNTIF($S$5:S933,1),"")</f>
        <v/>
      </c>
      <c r="U933">
        <f>IF(AND($A933&lt;&gt;"",$B933&lt;&gt;"",$R933='تقرير الفصل الأول'!$C$4,$Q933='تقرير الفصل الأول'!$C$7),COUNT(U$4:U932)+1,"")</f>
        <v/>
      </c>
      <c r="V933">
        <f>IF(AND($A933&lt;&gt;"",$B933&lt;&gt;"",$R933='تقرير الفصل الثاني'!$C$4,$Q933='تقرير الفصل الثاني'!$C$7),COUNT(V$4:V932)+1,"")</f>
        <v/>
      </c>
      <c r="W933">
        <f>IF(AND($A933&lt;&gt;"",$B933&lt;&gt;"",$R933='تقرير سبتمبر'!$C$4,$P933='تقرير سبتمبر'!$C$6),COUNT(W$4:W932)+1,"")</f>
        <v/>
      </c>
      <c r="X933">
        <f>IF(AND($A933&lt;&gt;"",$B933&lt;&gt;"",$R933='تقرير أكتوبر'!$C$4,$P933='تقرير أكتوبر'!$C$6),COUNT(X$4:X932)+1,"")</f>
        <v/>
      </c>
      <c r="Y933">
        <f>IF(AND($A933&lt;&gt;"",$B933&lt;&gt;"",$R933='تقرير نوفمبر'!$C$4,$P933='تقرير نوفمبر'!$C$6),COUNT(Y$4:Y932)+1,"")</f>
        <v/>
      </c>
      <c r="Z933">
        <f>IF(AND($A933&lt;&gt;"",$B933&lt;&gt;"",$R933='تقرير ديسمبر'!$C$4,$P933='تقرير ديسمبر'!$C$6),COUNT(Z$4:Z932)+1,"")</f>
        <v/>
      </c>
      <c r="AA933">
        <f>IF(AND($A933&lt;&gt;"",$B933&lt;&gt;"",$R933='تقرير يناير'!$C$4,$P933='تقرير يناير'!$C$6),COUNT(AA$4:AA932)+1,"")</f>
        <v/>
      </c>
      <c r="AB933">
        <f>IF(AND($A933&lt;&gt;"",$B933&lt;&gt;"",$R933='تقرير فبراير'!$C$4,$P933='تقرير فبراير'!$C$6),COUNT(AB$4:AB932)+1,"")</f>
        <v/>
      </c>
      <c r="AC933">
        <f>IF(AND($A933&lt;&gt;"",$B933&lt;&gt;"",$R933='تقرير مارس'!$C$4,$P933='تقرير مارس'!$C$6),COUNT(AC$4:AC932)+1,"")</f>
        <v/>
      </c>
      <c r="AD933">
        <f>IF(AND($A933&lt;&gt;"",$B933&lt;&gt;"",$R933='تقرير أبريل'!$C$4,$P933='تقرير أبريل'!$C$6),COUNT(AD$4:AD932)+1,"")</f>
        <v/>
      </c>
      <c r="AE933">
        <f>IF(AND($A933&lt;&gt;"",$B933&lt;&gt;"",$R933='تقرير مايو'!$C$4,$P933='تقرير مايو'!$C$6),COUNT(AE$4:AE932)+1,"")</f>
        <v/>
      </c>
    </row>
    <row r="934">
      <c r="A934" s="16" t="n"/>
      <c r="B934" s="17" t="n"/>
      <c r="C934" s="17" t="n"/>
      <c r="D934" s="18" t="n"/>
      <c r="E934" s="17" t="n"/>
      <c r="F934" s="17" t="n"/>
      <c r="G934" s="19" t="n"/>
      <c r="H934" s="17" t="n"/>
      <c r="I934" s="17" t="n"/>
      <c r="J934" s="17" t="n"/>
      <c r="K934" s="20">
        <f>IF($B934="","",IFERROR(INDEX(الموظفات!$A$5:$A$304,MATCH($B934,الموظفات!$B$5:$B$304,0))&amp;"",""))</f>
        <v/>
      </c>
      <c r="L934" s="21">
        <f>IF($B934="","",IFERROR(INDEX(الموظفات!$C$5:$C$304,MATCH($B934,الموظفات!$B$5:$B$304,0))&amp;"",""))</f>
        <v/>
      </c>
      <c r="M934" s="20">
        <f>IF($B934="","",IFERROR(INDEX(الموظفات!$D$5:$D$304,MATCH($B934,الموظفات!$B$5:$B$304,0))&amp;"",""))</f>
        <v/>
      </c>
      <c r="N934" s="20">
        <f>IF($B934="","",IFERROR(INDEX(الموظفات!$E$5:$E$304,MATCH($B934,الموظفات!$B$5:$B$304,0))&amp;"",""))</f>
        <v/>
      </c>
      <c r="O934" s="21">
        <f>IF(C934="","",IFERROR(INDEX(الإعدادات!$D$7:$D$35,MATCH(C934,الإعدادات!$A$7:$A$35,0))&amp;"",""))</f>
        <v/>
      </c>
      <c r="P934" s="20">
        <f>IF(A934="","",INDEX(الإعدادات!$H$7:$H$18,MONTH(A934)))</f>
        <v/>
      </c>
      <c r="Q934" s="20">
        <f>IF(A934="","",INDEX(الإعدادات!$I$7:$I$18,MONTH(A934)))</f>
        <v/>
      </c>
      <c r="R934" s="20">
        <f>IF(A934="","",IF(MONTH(A934)&gt;=8,YEAR(A934)&amp;"-"&amp;(YEAR(A934)+1),(YEAR(A934)-1)&amp;"-"&amp;YEAR(A934)))</f>
        <v/>
      </c>
      <c r="S934" s="20">
        <f>IF(OR(A934="",B934=""),0,IF(AND(R934=التقارير!$C$4,OR(التقارير!$C$5="سنوي",AND(التقارير!$C$5="شهري",P934=التقارير!$C$6),AND(التقارير!$C$5="فصلي",Q934=التقارير!$C$7))),1,0))</f>
        <v/>
      </c>
      <c r="T934" s="20">
        <f>IF(S934=1,COUNTIF($S$5:S934,1),"")</f>
        <v/>
      </c>
      <c r="U934">
        <f>IF(AND($A934&lt;&gt;"",$B934&lt;&gt;"",$R934='تقرير الفصل الأول'!$C$4,$Q934='تقرير الفصل الأول'!$C$7),COUNT(U$4:U933)+1,"")</f>
        <v/>
      </c>
      <c r="V934">
        <f>IF(AND($A934&lt;&gt;"",$B934&lt;&gt;"",$R934='تقرير الفصل الثاني'!$C$4,$Q934='تقرير الفصل الثاني'!$C$7),COUNT(V$4:V933)+1,"")</f>
        <v/>
      </c>
      <c r="W934">
        <f>IF(AND($A934&lt;&gt;"",$B934&lt;&gt;"",$R934='تقرير سبتمبر'!$C$4,$P934='تقرير سبتمبر'!$C$6),COUNT(W$4:W933)+1,"")</f>
        <v/>
      </c>
      <c r="X934">
        <f>IF(AND($A934&lt;&gt;"",$B934&lt;&gt;"",$R934='تقرير أكتوبر'!$C$4,$P934='تقرير أكتوبر'!$C$6),COUNT(X$4:X933)+1,"")</f>
        <v/>
      </c>
      <c r="Y934">
        <f>IF(AND($A934&lt;&gt;"",$B934&lt;&gt;"",$R934='تقرير نوفمبر'!$C$4,$P934='تقرير نوفمبر'!$C$6),COUNT(Y$4:Y933)+1,"")</f>
        <v/>
      </c>
      <c r="Z934">
        <f>IF(AND($A934&lt;&gt;"",$B934&lt;&gt;"",$R934='تقرير ديسمبر'!$C$4,$P934='تقرير ديسمبر'!$C$6),COUNT(Z$4:Z933)+1,"")</f>
        <v/>
      </c>
      <c r="AA934">
        <f>IF(AND($A934&lt;&gt;"",$B934&lt;&gt;"",$R934='تقرير يناير'!$C$4,$P934='تقرير يناير'!$C$6),COUNT(AA$4:AA933)+1,"")</f>
        <v/>
      </c>
      <c r="AB934">
        <f>IF(AND($A934&lt;&gt;"",$B934&lt;&gt;"",$R934='تقرير فبراير'!$C$4,$P934='تقرير فبراير'!$C$6),COUNT(AB$4:AB933)+1,"")</f>
        <v/>
      </c>
      <c r="AC934">
        <f>IF(AND($A934&lt;&gt;"",$B934&lt;&gt;"",$R934='تقرير مارس'!$C$4,$P934='تقرير مارس'!$C$6),COUNT(AC$4:AC933)+1,"")</f>
        <v/>
      </c>
      <c r="AD934">
        <f>IF(AND($A934&lt;&gt;"",$B934&lt;&gt;"",$R934='تقرير أبريل'!$C$4,$P934='تقرير أبريل'!$C$6),COUNT(AD$4:AD933)+1,"")</f>
        <v/>
      </c>
      <c r="AE934">
        <f>IF(AND($A934&lt;&gt;"",$B934&lt;&gt;"",$R934='تقرير مايو'!$C$4,$P934='تقرير مايو'!$C$6),COUNT(AE$4:AE933)+1,"")</f>
        <v/>
      </c>
    </row>
    <row r="935">
      <c r="A935" s="16" t="n"/>
      <c r="B935" s="17" t="n"/>
      <c r="C935" s="17" t="n"/>
      <c r="D935" s="18" t="n"/>
      <c r="E935" s="17" t="n"/>
      <c r="F935" s="17" t="n"/>
      <c r="G935" s="19" t="n"/>
      <c r="H935" s="17" t="n"/>
      <c r="I935" s="17" t="n"/>
      <c r="J935" s="17" t="n"/>
      <c r="K935" s="20">
        <f>IF($B935="","",IFERROR(INDEX(الموظفات!$A$5:$A$304,MATCH($B935,الموظفات!$B$5:$B$304,0))&amp;"",""))</f>
        <v/>
      </c>
      <c r="L935" s="21">
        <f>IF($B935="","",IFERROR(INDEX(الموظفات!$C$5:$C$304,MATCH($B935,الموظفات!$B$5:$B$304,0))&amp;"",""))</f>
        <v/>
      </c>
      <c r="M935" s="20">
        <f>IF($B935="","",IFERROR(INDEX(الموظفات!$D$5:$D$304,MATCH($B935,الموظفات!$B$5:$B$304,0))&amp;"",""))</f>
        <v/>
      </c>
      <c r="N935" s="20">
        <f>IF($B935="","",IFERROR(INDEX(الموظفات!$E$5:$E$304,MATCH($B935,الموظفات!$B$5:$B$304,0))&amp;"",""))</f>
        <v/>
      </c>
      <c r="O935" s="21">
        <f>IF(C935="","",IFERROR(INDEX(الإعدادات!$D$7:$D$35,MATCH(C935,الإعدادات!$A$7:$A$35,0))&amp;"",""))</f>
        <v/>
      </c>
      <c r="P935" s="20">
        <f>IF(A935="","",INDEX(الإعدادات!$H$7:$H$18,MONTH(A935)))</f>
        <v/>
      </c>
      <c r="Q935" s="20">
        <f>IF(A935="","",INDEX(الإعدادات!$I$7:$I$18,MONTH(A935)))</f>
        <v/>
      </c>
      <c r="R935" s="20">
        <f>IF(A935="","",IF(MONTH(A935)&gt;=8,YEAR(A935)&amp;"-"&amp;(YEAR(A935)+1),(YEAR(A935)-1)&amp;"-"&amp;YEAR(A935)))</f>
        <v/>
      </c>
      <c r="S935" s="20">
        <f>IF(OR(A935="",B935=""),0,IF(AND(R935=التقارير!$C$4,OR(التقارير!$C$5="سنوي",AND(التقارير!$C$5="شهري",P935=التقارير!$C$6),AND(التقارير!$C$5="فصلي",Q935=التقارير!$C$7))),1,0))</f>
        <v/>
      </c>
      <c r="T935" s="20">
        <f>IF(S935=1,COUNTIF($S$5:S935,1),"")</f>
        <v/>
      </c>
      <c r="U935">
        <f>IF(AND($A935&lt;&gt;"",$B935&lt;&gt;"",$R935='تقرير الفصل الأول'!$C$4,$Q935='تقرير الفصل الأول'!$C$7),COUNT(U$4:U934)+1,"")</f>
        <v/>
      </c>
      <c r="V935">
        <f>IF(AND($A935&lt;&gt;"",$B935&lt;&gt;"",$R935='تقرير الفصل الثاني'!$C$4,$Q935='تقرير الفصل الثاني'!$C$7),COUNT(V$4:V934)+1,"")</f>
        <v/>
      </c>
      <c r="W935">
        <f>IF(AND($A935&lt;&gt;"",$B935&lt;&gt;"",$R935='تقرير سبتمبر'!$C$4,$P935='تقرير سبتمبر'!$C$6),COUNT(W$4:W934)+1,"")</f>
        <v/>
      </c>
      <c r="X935">
        <f>IF(AND($A935&lt;&gt;"",$B935&lt;&gt;"",$R935='تقرير أكتوبر'!$C$4,$P935='تقرير أكتوبر'!$C$6),COUNT(X$4:X934)+1,"")</f>
        <v/>
      </c>
      <c r="Y935">
        <f>IF(AND($A935&lt;&gt;"",$B935&lt;&gt;"",$R935='تقرير نوفمبر'!$C$4,$P935='تقرير نوفمبر'!$C$6),COUNT(Y$4:Y934)+1,"")</f>
        <v/>
      </c>
      <c r="Z935">
        <f>IF(AND($A935&lt;&gt;"",$B935&lt;&gt;"",$R935='تقرير ديسمبر'!$C$4,$P935='تقرير ديسمبر'!$C$6),COUNT(Z$4:Z934)+1,"")</f>
        <v/>
      </c>
      <c r="AA935">
        <f>IF(AND($A935&lt;&gt;"",$B935&lt;&gt;"",$R935='تقرير يناير'!$C$4,$P935='تقرير يناير'!$C$6),COUNT(AA$4:AA934)+1,"")</f>
        <v/>
      </c>
      <c r="AB935">
        <f>IF(AND($A935&lt;&gt;"",$B935&lt;&gt;"",$R935='تقرير فبراير'!$C$4,$P935='تقرير فبراير'!$C$6),COUNT(AB$4:AB934)+1,"")</f>
        <v/>
      </c>
      <c r="AC935">
        <f>IF(AND($A935&lt;&gt;"",$B935&lt;&gt;"",$R935='تقرير مارس'!$C$4,$P935='تقرير مارس'!$C$6),COUNT(AC$4:AC934)+1,"")</f>
        <v/>
      </c>
      <c r="AD935">
        <f>IF(AND($A935&lt;&gt;"",$B935&lt;&gt;"",$R935='تقرير أبريل'!$C$4,$P935='تقرير أبريل'!$C$6),COUNT(AD$4:AD934)+1,"")</f>
        <v/>
      </c>
      <c r="AE935">
        <f>IF(AND($A935&lt;&gt;"",$B935&lt;&gt;"",$R935='تقرير مايو'!$C$4,$P935='تقرير مايو'!$C$6),COUNT(AE$4:AE934)+1,"")</f>
        <v/>
      </c>
    </row>
    <row r="936">
      <c r="A936" s="16" t="n"/>
      <c r="B936" s="17" t="n"/>
      <c r="C936" s="17" t="n"/>
      <c r="D936" s="18" t="n"/>
      <c r="E936" s="17" t="n"/>
      <c r="F936" s="17" t="n"/>
      <c r="G936" s="19" t="n"/>
      <c r="H936" s="17" t="n"/>
      <c r="I936" s="17" t="n"/>
      <c r="J936" s="17" t="n"/>
      <c r="K936" s="20">
        <f>IF($B936="","",IFERROR(INDEX(الموظفات!$A$5:$A$304,MATCH($B936,الموظفات!$B$5:$B$304,0))&amp;"",""))</f>
        <v/>
      </c>
      <c r="L936" s="21">
        <f>IF($B936="","",IFERROR(INDEX(الموظفات!$C$5:$C$304,MATCH($B936,الموظفات!$B$5:$B$304,0))&amp;"",""))</f>
        <v/>
      </c>
      <c r="M936" s="20">
        <f>IF($B936="","",IFERROR(INDEX(الموظفات!$D$5:$D$304,MATCH($B936,الموظفات!$B$5:$B$304,0))&amp;"",""))</f>
        <v/>
      </c>
      <c r="N936" s="20">
        <f>IF($B936="","",IFERROR(INDEX(الموظفات!$E$5:$E$304,MATCH($B936,الموظفات!$B$5:$B$304,0))&amp;"",""))</f>
        <v/>
      </c>
      <c r="O936" s="21">
        <f>IF(C936="","",IFERROR(INDEX(الإعدادات!$D$7:$D$35,MATCH(C936,الإعدادات!$A$7:$A$35,0))&amp;"",""))</f>
        <v/>
      </c>
      <c r="P936" s="20">
        <f>IF(A936="","",INDEX(الإعدادات!$H$7:$H$18,MONTH(A936)))</f>
        <v/>
      </c>
      <c r="Q936" s="20">
        <f>IF(A936="","",INDEX(الإعدادات!$I$7:$I$18,MONTH(A936)))</f>
        <v/>
      </c>
      <c r="R936" s="20">
        <f>IF(A936="","",IF(MONTH(A936)&gt;=8,YEAR(A936)&amp;"-"&amp;(YEAR(A936)+1),(YEAR(A936)-1)&amp;"-"&amp;YEAR(A936)))</f>
        <v/>
      </c>
      <c r="S936" s="20">
        <f>IF(OR(A936="",B936=""),0,IF(AND(R936=التقارير!$C$4,OR(التقارير!$C$5="سنوي",AND(التقارير!$C$5="شهري",P936=التقارير!$C$6),AND(التقارير!$C$5="فصلي",Q936=التقارير!$C$7))),1,0))</f>
        <v/>
      </c>
      <c r="T936" s="20">
        <f>IF(S936=1,COUNTIF($S$5:S936,1),"")</f>
        <v/>
      </c>
      <c r="U936">
        <f>IF(AND($A936&lt;&gt;"",$B936&lt;&gt;"",$R936='تقرير الفصل الأول'!$C$4,$Q936='تقرير الفصل الأول'!$C$7),COUNT(U$4:U935)+1,"")</f>
        <v/>
      </c>
      <c r="V936">
        <f>IF(AND($A936&lt;&gt;"",$B936&lt;&gt;"",$R936='تقرير الفصل الثاني'!$C$4,$Q936='تقرير الفصل الثاني'!$C$7),COUNT(V$4:V935)+1,"")</f>
        <v/>
      </c>
      <c r="W936">
        <f>IF(AND($A936&lt;&gt;"",$B936&lt;&gt;"",$R936='تقرير سبتمبر'!$C$4,$P936='تقرير سبتمبر'!$C$6),COUNT(W$4:W935)+1,"")</f>
        <v/>
      </c>
      <c r="X936">
        <f>IF(AND($A936&lt;&gt;"",$B936&lt;&gt;"",$R936='تقرير أكتوبر'!$C$4,$P936='تقرير أكتوبر'!$C$6),COUNT(X$4:X935)+1,"")</f>
        <v/>
      </c>
      <c r="Y936">
        <f>IF(AND($A936&lt;&gt;"",$B936&lt;&gt;"",$R936='تقرير نوفمبر'!$C$4,$P936='تقرير نوفمبر'!$C$6),COUNT(Y$4:Y935)+1,"")</f>
        <v/>
      </c>
      <c r="Z936">
        <f>IF(AND($A936&lt;&gt;"",$B936&lt;&gt;"",$R936='تقرير ديسمبر'!$C$4,$P936='تقرير ديسمبر'!$C$6),COUNT(Z$4:Z935)+1,"")</f>
        <v/>
      </c>
      <c r="AA936">
        <f>IF(AND($A936&lt;&gt;"",$B936&lt;&gt;"",$R936='تقرير يناير'!$C$4,$P936='تقرير يناير'!$C$6),COUNT(AA$4:AA935)+1,"")</f>
        <v/>
      </c>
      <c r="AB936">
        <f>IF(AND($A936&lt;&gt;"",$B936&lt;&gt;"",$R936='تقرير فبراير'!$C$4,$P936='تقرير فبراير'!$C$6),COUNT(AB$4:AB935)+1,"")</f>
        <v/>
      </c>
      <c r="AC936">
        <f>IF(AND($A936&lt;&gt;"",$B936&lt;&gt;"",$R936='تقرير مارس'!$C$4,$P936='تقرير مارس'!$C$6),COUNT(AC$4:AC935)+1,"")</f>
        <v/>
      </c>
      <c r="AD936">
        <f>IF(AND($A936&lt;&gt;"",$B936&lt;&gt;"",$R936='تقرير أبريل'!$C$4,$P936='تقرير أبريل'!$C$6),COUNT(AD$4:AD935)+1,"")</f>
        <v/>
      </c>
      <c r="AE936">
        <f>IF(AND($A936&lt;&gt;"",$B936&lt;&gt;"",$R936='تقرير مايو'!$C$4,$P936='تقرير مايو'!$C$6),COUNT(AE$4:AE935)+1,"")</f>
        <v/>
      </c>
    </row>
    <row r="937">
      <c r="A937" s="16" t="n"/>
      <c r="B937" s="17" t="n"/>
      <c r="C937" s="17" t="n"/>
      <c r="D937" s="18" t="n"/>
      <c r="E937" s="17" t="n"/>
      <c r="F937" s="17" t="n"/>
      <c r="G937" s="19" t="n"/>
      <c r="H937" s="17" t="n"/>
      <c r="I937" s="17" t="n"/>
      <c r="J937" s="17" t="n"/>
      <c r="K937" s="20">
        <f>IF($B937="","",IFERROR(INDEX(الموظفات!$A$5:$A$304,MATCH($B937,الموظفات!$B$5:$B$304,0))&amp;"",""))</f>
        <v/>
      </c>
      <c r="L937" s="21">
        <f>IF($B937="","",IFERROR(INDEX(الموظفات!$C$5:$C$304,MATCH($B937,الموظفات!$B$5:$B$304,0))&amp;"",""))</f>
        <v/>
      </c>
      <c r="M937" s="20">
        <f>IF($B937="","",IFERROR(INDEX(الموظفات!$D$5:$D$304,MATCH($B937,الموظفات!$B$5:$B$304,0))&amp;"",""))</f>
        <v/>
      </c>
      <c r="N937" s="20">
        <f>IF($B937="","",IFERROR(INDEX(الموظفات!$E$5:$E$304,MATCH($B937,الموظفات!$B$5:$B$304,0))&amp;"",""))</f>
        <v/>
      </c>
      <c r="O937" s="21">
        <f>IF(C937="","",IFERROR(INDEX(الإعدادات!$D$7:$D$35,MATCH(C937,الإعدادات!$A$7:$A$35,0))&amp;"",""))</f>
        <v/>
      </c>
      <c r="P937" s="20">
        <f>IF(A937="","",INDEX(الإعدادات!$H$7:$H$18,MONTH(A937)))</f>
        <v/>
      </c>
      <c r="Q937" s="20">
        <f>IF(A937="","",INDEX(الإعدادات!$I$7:$I$18,MONTH(A937)))</f>
        <v/>
      </c>
      <c r="R937" s="20">
        <f>IF(A937="","",IF(MONTH(A937)&gt;=8,YEAR(A937)&amp;"-"&amp;(YEAR(A937)+1),(YEAR(A937)-1)&amp;"-"&amp;YEAR(A937)))</f>
        <v/>
      </c>
      <c r="S937" s="20">
        <f>IF(OR(A937="",B937=""),0,IF(AND(R937=التقارير!$C$4,OR(التقارير!$C$5="سنوي",AND(التقارير!$C$5="شهري",P937=التقارير!$C$6),AND(التقارير!$C$5="فصلي",Q937=التقارير!$C$7))),1,0))</f>
        <v/>
      </c>
      <c r="T937" s="20">
        <f>IF(S937=1,COUNTIF($S$5:S937,1),"")</f>
        <v/>
      </c>
      <c r="U937">
        <f>IF(AND($A937&lt;&gt;"",$B937&lt;&gt;"",$R937='تقرير الفصل الأول'!$C$4,$Q937='تقرير الفصل الأول'!$C$7),COUNT(U$4:U936)+1,"")</f>
        <v/>
      </c>
      <c r="V937">
        <f>IF(AND($A937&lt;&gt;"",$B937&lt;&gt;"",$R937='تقرير الفصل الثاني'!$C$4,$Q937='تقرير الفصل الثاني'!$C$7),COUNT(V$4:V936)+1,"")</f>
        <v/>
      </c>
      <c r="W937">
        <f>IF(AND($A937&lt;&gt;"",$B937&lt;&gt;"",$R937='تقرير سبتمبر'!$C$4,$P937='تقرير سبتمبر'!$C$6),COUNT(W$4:W936)+1,"")</f>
        <v/>
      </c>
      <c r="X937">
        <f>IF(AND($A937&lt;&gt;"",$B937&lt;&gt;"",$R937='تقرير أكتوبر'!$C$4,$P937='تقرير أكتوبر'!$C$6),COUNT(X$4:X936)+1,"")</f>
        <v/>
      </c>
      <c r="Y937">
        <f>IF(AND($A937&lt;&gt;"",$B937&lt;&gt;"",$R937='تقرير نوفمبر'!$C$4,$P937='تقرير نوفمبر'!$C$6),COUNT(Y$4:Y936)+1,"")</f>
        <v/>
      </c>
      <c r="Z937">
        <f>IF(AND($A937&lt;&gt;"",$B937&lt;&gt;"",$R937='تقرير ديسمبر'!$C$4,$P937='تقرير ديسمبر'!$C$6),COUNT(Z$4:Z936)+1,"")</f>
        <v/>
      </c>
      <c r="AA937">
        <f>IF(AND($A937&lt;&gt;"",$B937&lt;&gt;"",$R937='تقرير يناير'!$C$4,$P937='تقرير يناير'!$C$6),COUNT(AA$4:AA936)+1,"")</f>
        <v/>
      </c>
      <c r="AB937">
        <f>IF(AND($A937&lt;&gt;"",$B937&lt;&gt;"",$R937='تقرير فبراير'!$C$4,$P937='تقرير فبراير'!$C$6),COUNT(AB$4:AB936)+1,"")</f>
        <v/>
      </c>
      <c r="AC937">
        <f>IF(AND($A937&lt;&gt;"",$B937&lt;&gt;"",$R937='تقرير مارس'!$C$4,$P937='تقرير مارس'!$C$6),COUNT(AC$4:AC936)+1,"")</f>
        <v/>
      </c>
      <c r="AD937">
        <f>IF(AND($A937&lt;&gt;"",$B937&lt;&gt;"",$R937='تقرير أبريل'!$C$4,$P937='تقرير أبريل'!$C$6),COUNT(AD$4:AD936)+1,"")</f>
        <v/>
      </c>
      <c r="AE937">
        <f>IF(AND($A937&lt;&gt;"",$B937&lt;&gt;"",$R937='تقرير مايو'!$C$4,$P937='تقرير مايو'!$C$6),COUNT(AE$4:AE936)+1,"")</f>
        <v/>
      </c>
    </row>
    <row r="938">
      <c r="A938" s="16" t="n"/>
      <c r="B938" s="17" t="n"/>
      <c r="C938" s="17" t="n"/>
      <c r="D938" s="18" t="n"/>
      <c r="E938" s="17" t="n"/>
      <c r="F938" s="17" t="n"/>
      <c r="G938" s="19" t="n"/>
      <c r="H938" s="17" t="n"/>
      <c r="I938" s="17" t="n"/>
      <c r="J938" s="17" t="n"/>
      <c r="K938" s="20">
        <f>IF($B938="","",IFERROR(INDEX(الموظفات!$A$5:$A$304,MATCH($B938,الموظفات!$B$5:$B$304,0))&amp;"",""))</f>
        <v/>
      </c>
      <c r="L938" s="21">
        <f>IF($B938="","",IFERROR(INDEX(الموظفات!$C$5:$C$304,MATCH($B938,الموظفات!$B$5:$B$304,0))&amp;"",""))</f>
        <v/>
      </c>
      <c r="M938" s="20">
        <f>IF($B938="","",IFERROR(INDEX(الموظفات!$D$5:$D$304,MATCH($B938,الموظفات!$B$5:$B$304,0))&amp;"",""))</f>
        <v/>
      </c>
      <c r="N938" s="20">
        <f>IF($B938="","",IFERROR(INDEX(الموظفات!$E$5:$E$304,MATCH($B938,الموظفات!$B$5:$B$304,0))&amp;"",""))</f>
        <v/>
      </c>
      <c r="O938" s="21">
        <f>IF(C938="","",IFERROR(INDEX(الإعدادات!$D$7:$D$35,MATCH(C938,الإعدادات!$A$7:$A$35,0))&amp;"",""))</f>
        <v/>
      </c>
      <c r="P938" s="20">
        <f>IF(A938="","",INDEX(الإعدادات!$H$7:$H$18,MONTH(A938)))</f>
        <v/>
      </c>
      <c r="Q938" s="20">
        <f>IF(A938="","",INDEX(الإعدادات!$I$7:$I$18,MONTH(A938)))</f>
        <v/>
      </c>
      <c r="R938" s="20">
        <f>IF(A938="","",IF(MONTH(A938)&gt;=8,YEAR(A938)&amp;"-"&amp;(YEAR(A938)+1),(YEAR(A938)-1)&amp;"-"&amp;YEAR(A938)))</f>
        <v/>
      </c>
      <c r="S938" s="20">
        <f>IF(OR(A938="",B938=""),0,IF(AND(R938=التقارير!$C$4,OR(التقارير!$C$5="سنوي",AND(التقارير!$C$5="شهري",P938=التقارير!$C$6),AND(التقارير!$C$5="فصلي",Q938=التقارير!$C$7))),1,0))</f>
        <v/>
      </c>
      <c r="T938" s="20">
        <f>IF(S938=1,COUNTIF($S$5:S938,1),"")</f>
        <v/>
      </c>
      <c r="U938">
        <f>IF(AND($A938&lt;&gt;"",$B938&lt;&gt;"",$R938='تقرير الفصل الأول'!$C$4,$Q938='تقرير الفصل الأول'!$C$7),COUNT(U$4:U937)+1,"")</f>
        <v/>
      </c>
      <c r="V938">
        <f>IF(AND($A938&lt;&gt;"",$B938&lt;&gt;"",$R938='تقرير الفصل الثاني'!$C$4,$Q938='تقرير الفصل الثاني'!$C$7),COUNT(V$4:V937)+1,"")</f>
        <v/>
      </c>
      <c r="W938">
        <f>IF(AND($A938&lt;&gt;"",$B938&lt;&gt;"",$R938='تقرير سبتمبر'!$C$4,$P938='تقرير سبتمبر'!$C$6),COUNT(W$4:W937)+1,"")</f>
        <v/>
      </c>
      <c r="X938">
        <f>IF(AND($A938&lt;&gt;"",$B938&lt;&gt;"",$R938='تقرير أكتوبر'!$C$4,$P938='تقرير أكتوبر'!$C$6),COUNT(X$4:X937)+1,"")</f>
        <v/>
      </c>
      <c r="Y938">
        <f>IF(AND($A938&lt;&gt;"",$B938&lt;&gt;"",$R938='تقرير نوفمبر'!$C$4,$P938='تقرير نوفمبر'!$C$6),COUNT(Y$4:Y937)+1,"")</f>
        <v/>
      </c>
      <c r="Z938">
        <f>IF(AND($A938&lt;&gt;"",$B938&lt;&gt;"",$R938='تقرير ديسمبر'!$C$4,$P938='تقرير ديسمبر'!$C$6),COUNT(Z$4:Z937)+1,"")</f>
        <v/>
      </c>
      <c r="AA938">
        <f>IF(AND($A938&lt;&gt;"",$B938&lt;&gt;"",$R938='تقرير يناير'!$C$4,$P938='تقرير يناير'!$C$6),COUNT(AA$4:AA937)+1,"")</f>
        <v/>
      </c>
      <c r="AB938">
        <f>IF(AND($A938&lt;&gt;"",$B938&lt;&gt;"",$R938='تقرير فبراير'!$C$4,$P938='تقرير فبراير'!$C$6),COUNT(AB$4:AB937)+1,"")</f>
        <v/>
      </c>
      <c r="AC938">
        <f>IF(AND($A938&lt;&gt;"",$B938&lt;&gt;"",$R938='تقرير مارس'!$C$4,$P938='تقرير مارس'!$C$6),COUNT(AC$4:AC937)+1,"")</f>
        <v/>
      </c>
      <c r="AD938">
        <f>IF(AND($A938&lt;&gt;"",$B938&lt;&gt;"",$R938='تقرير أبريل'!$C$4,$P938='تقرير أبريل'!$C$6),COUNT(AD$4:AD937)+1,"")</f>
        <v/>
      </c>
      <c r="AE938">
        <f>IF(AND($A938&lt;&gt;"",$B938&lt;&gt;"",$R938='تقرير مايو'!$C$4,$P938='تقرير مايو'!$C$6),COUNT(AE$4:AE937)+1,"")</f>
        <v/>
      </c>
    </row>
    <row r="939">
      <c r="A939" s="16" t="n"/>
      <c r="B939" s="17" t="n"/>
      <c r="C939" s="17" t="n"/>
      <c r="D939" s="18" t="n"/>
      <c r="E939" s="17" t="n"/>
      <c r="F939" s="17" t="n"/>
      <c r="G939" s="19" t="n"/>
      <c r="H939" s="17" t="n"/>
      <c r="I939" s="17" t="n"/>
      <c r="J939" s="17" t="n"/>
      <c r="K939" s="20">
        <f>IF($B939="","",IFERROR(INDEX(الموظفات!$A$5:$A$304,MATCH($B939,الموظفات!$B$5:$B$304,0))&amp;"",""))</f>
        <v/>
      </c>
      <c r="L939" s="21">
        <f>IF($B939="","",IFERROR(INDEX(الموظفات!$C$5:$C$304,MATCH($B939,الموظفات!$B$5:$B$304,0))&amp;"",""))</f>
        <v/>
      </c>
      <c r="M939" s="20">
        <f>IF($B939="","",IFERROR(INDEX(الموظفات!$D$5:$D$304,MATCH($B939,الموظفات!$B$5:$B$304,0))&amp;"",""))</f>
        <v/>
      </c>
      <c r="N939" s="20">
        <f>IF($B939="","",IFERROR(INDEX(الموظفات!$E$5:$E$304,MATCH($B939,الموظفات!$B$5:$B$304,0))&amp;"",""))</f>
        <v/>
      </c>
      <c r="O939" s="21">
        <f>IF(C939="","",IFERROR(INDEX(الإعدادات!$D$7:$D$35,MATCH(C939,الإعدادات!$A$7:$A$35,0))&amp;"",""))</f>
        <v/>
      </c>
      <c r="P939" s="20">
        <f>IF(A939="","",INDEX(الإعدادات!$H$7:$H$18,MONTH(A939)))</f>
        <v/>
      </c>
      <c r="Q939" s="20">
        <f>IF(A939="","",INDEX(الإعدادات!$I$7:$I$18,MONTH(A939)))</f>
        <v/>
      </c>
      <c r="R939" s="20">
        <f>IF(A939="","",IF(MONTH(A939)&gt;=8,YEAR(A939)&amp;"-"&amp;(YEAR(A939)+1),(YEAR(A939)-1)&amp;"-"&amp;YEAR(A939)))</f>
        <v/>
      </c>
      <c r="S939" s="20">
        <f>IF(OR(A939="",B939=""),0,IF(AND(R939=التقارير!$C$4,OR(التقارير!$C$5="سنوي",AND(التقارير!$C$5="شهري",P939=التقارير!$C$6),AND(التقارير!$C$5="فصلي",Q939=التقارير!$C$7))),1,0))</f>
        <v/>
      </c>
      <c r="T939" s="20">
        <f>IF(S939=1,COUNTIF($S$5:S939,1),"")</f>
        <v/>
      </c>
      <c r="U939">
        <f>IF(AND($A939&lt;&gt;"",$B939&lt;&gt;"",$R939='تقرير الفصل الأول'!$C$4,$Q939='تقرير الفصل الأول'!$C$7),COUNT(U$4:U938)+1,"")</f>
        <v/>
      </c>
      <c r="V939">
        <f>IF(AND($A939&lt;&gt;"",$B939&lt;&gt;"",$R939='تقرير الفصل الثاني'!$C$4,$Q939='تقرير الفصل الثاني'!$C$7),COUNT(V$4:V938)+1,"")</f>
        <v/>
      </c>
      <c r="W939">
        <f>IF(AND($A939&lt;&gt;"",$B939&lt;&gt;"",$R939='تقرير سبتمبر'!$C$4,$P939='تقرير سبتمبر'!$C$6),COUNT(W$4:W938)+1,"")</f>
        <v/>
      </c>
      <c r="X939">
        <f>IF(AND($A939&lt;&gt;"",$B939&lt;&gt;"",$R939='تقرير أكتوبر'!$C$4,$P939='تقرير أكتوبر'!$C$6),COUNT(X$4:X938)+1,"")</f>
        <v/>
      </c>
      <c r="Y939">
        <f>IF(AND($A939&lt;&gt;"",$B939&lt;&gt;"",$R939='تقرير نوفمبر'!$C$4,$P939='تقرير نوفمبر'!$C$6),COUNT(Y$4:Y938)+1,"")</f>
        <v/>
      </c>
      <c r="Z939">
        <f>IF(AND($A939&lt;&gt;"",$B939&lt;&gt;"",$R939='تقرير ديسمبر'!$C$4,$P939='تقرير ديسمبر'!$C$6),COUNT(Z$4:Z938)+1,"")</f>
        <v/>
      </c>
      <c r="AA939">
        <f>IF(AND($A939&lt;&gt;"",$B939&lt;&gt;"",$R939='تقرير يناير'!$C$4,$P939='تقرير يناير'!$C$6),COUNT(AA$4:AA938)+1,"")</f>
        <v/>
      </c>
      <c r="AB939">
        <f>IF(AND($A939&lt;&gt;"",$B939&lt;&gt;"",$R939='تقرير فبراير'!$C$4,$P939='تقرير فبراير'!$C$6),COUNT(AB$4:AB938)+1,"")</f>
        <v/>
      </c>
      <c r="AC939">
        <f>IF(AND($A939&lt;&gt;"",$B939&lt;&gt;"",$R939='تقرير مارس'!$C$4,$P939='تقرير مارس'!$C$6),COUNT(AC$4:AC938)+1,"")</f>
        <v/>
      </c>
      <c r="AD939">
        <f>IF(AND($A939&lt;&gt;"",$B939&lt;&gt;"",$R939='تقرير أبريل'!$C$4,$P939='تقرير أبريل'!$C$6),COUNT(AD$4:AD938)+1,"")</f>
        <v/>
      </c>
      <c r="AE939">
        <f>IF(AND($A939&lt;&gt;"",$B939&lt;&gt;"",$R939='تقرير مايو'!$C$4,$P939='تقرير مايو'!$C$6),COUNT(AE$4:AE938)+1,"")</f>
        <v/>
      </c>
    </row>
    <row r="940">
      <c r="A940" s="16" t="n"/>
      <c r="B940" s="17" t="n"/>
      <c r="C940" s="17" t="n"/>
      <c r="D940" s="18" t="n"/>
      <c r="E940" s="17" t="n"/>
      <c r="F940" s="17" t="n"/>
      <c r="G940" s="19" t="n"/>
      <c r="H940" s="17" t="n"/>
      <c r="I940" s="17" t="n"/>
      <c r="J940" s="17" t="n"/>
      <c r="K940" s="20">
        <f>IF($B940="","",IFERROR(INDEX(الموظفات!$A$5:$A$304,MATCH($B940,الموظفات!$B$5:$B$304,0))&amp;"",""))</f>
        <v/>
      </c>
      <c r="L940" s="21">
        <f>IF($B940="","",IFERROR(INDEX(الموظفات!$C$5:$C$304,MATCH($B940,الموظفات!$B$5:$B$304,0))&amp;"",""))</f>
        <v/>
      </c>
      <c r="M940" s="20">
        <f>IF($B940="","",IFERROR(INDEX(الموظفات!$D$5:$D$304,MATCH($B940,الموظفات!$B$5:$B$304,0))&amp;"",""))</f>
        <v/>
      </c>
      <c r="N940" s="20">
        <f>IF($B940="","",IFERROR(INDEX(الموظفات!$E$5:$E$304,MATCH($B940,الموظفات!$B$5:$B$304,0))&amp;"",""))</f>
        <v/>
      </c>
      <c r="O940" s="21">
        <f>IF(C940="","",IFERROR(INDEX(الإعدادات!$D$7:$D$35,MATCH(C940,الإعدادات!$A$7:$A$35,0))&amp;"",""))</f>
        <v/>
      </c>
      <c r="P940" s="20">
        <f>IF(A940="","",INDEX(الإعدادات!$H$7:$H$18,MONTH(A940)))</f>
        <v/>
      </c>
      <c r="Q940" s="20">
        <f>IF(A940="","",INDEX(الإعدادات!$I$7:$I$18,MONTH(A940)))</f>
        <v/>
      </c>
      <c r="R940" s="20">
        <f>IF(A940="","",IF(MONTH(A940)&gt;=8,YEAR(A940)&amp;"-"&amp;(YEAR(A940)+1),(YEAR(A940)-1)&amp;"-"&amp;YEAR(A940)))</f>
        <v/>
      </c>
      <c r="S940" s="20">
        <f>IF(OR(A940="",B940=""),0,IF(AND(R940=التقارير!$C$4,OR(التقارير!$C$5="سنوي",AND(التقارير!$C$5="شهري",P940=التقارير!$C$6),AND(التقارير!$C$5="فصلي",Q940=التقارير!$C$7))),1,0))</f>
        <v/>
      </c>
      <c r="T940" s="20">
        <f>IF(S940=1,COUNTIF($S$5:S940,1),"")</f>
        <v/>
      </c>
      <c r="U940">
        <f>IF(AND($A940&lt;&gt;"",$B940&lt;&gt;"",$R940='تقرير الفصل الأول'!$C$4,$Q940='تقرير الفصل الأول'!$C$7),COUNT(U$4:U939)+1,"")</f>
        <v/>
      </c>
      <c r="V940">
        <f>IF(AND($A940&lt;&gt;"",$B940&lt;&gt;"",$R940='تقرير الفصل الثاني'!$C$4,$Q940='تقرير الفصل الثاني'!$C$7),COUNT(V$4:V939)+1,"")</f>
        <v/>
      </c>
      <c r="W940">
        <f>IF(AND($A940&lt;&gt;"",$B940&lt;&gt;"",$R940='تقرير سبتمبر'!$C$4,$P940='تقرير سبتمبر'!$C$6),COUNT(W$4:W939)+1,"")</f>
        <v/>
      </c>
      <c r="X940">
        <f>IF(AND($A940&lt;&gt;"",$B940&lt;&gt;"",$R940='تقرير أكتوبر'!$C$4,$P940='تقرير أكتوبر'!$C$6),COUNT(X$4:X939)+1,"")</f>
        <v/>
      </c>
      <c r="Y940">
        <f>IF(AND($A940&lt;&gt;"",$B940&lt;&gt;"",$R940='تقرير نوفمبر'!$C$4,$P940='تقرير نوفمبر'!$C$6),COUNT(Y$4:Y939)+1,"")</f>
        <v/>
      </c>
      <c r="Z940">
        <f>IF(AND($A940&lt;&gt;"",$B940&lt;&gt;"",$R940='تقرير ديسمبر'!$C$4,$P940='تقرير ديسمبر'!$C$6),COUNT(Z$4:Z939)+1,"")</f>
        <v/>
      </c>
      <c r="AA940">
        <f>IF(AND($A940&lt;&gt;"",$B940&lt;&gt;"",$R940='تقرير يناير'!$C$4,$P940='تقرير يناير'!$C$6),COUNT(AA$4:AA939)+1,"")</f>
        <v/>
      </c>
      <c r="AB940">
        <f>IF(AND($A940&lt;&gt;"",$B940&lt;&gt;"",$R940='تقرير فبراير'!$C$4,$P940='تقرير فبراير'!$C$6),COUNT(AB$4:AB939)+1,"")</f>
        <v/>
      </c>
      <c r="AC940">
        <f>IF(AND($A940&lt;&gt;"",$B940&lt;&gt;"",$R940='تقرير مارس'!$C$4,$P940='تقرير مارس'!$C$6),COUNT(AC$4:AC939)+1,"")</f>
        <v/>
      </c>
      <c r="AD940">
        <f>IF(AND($A940&lt;&gt;"",$B940&lt;&gt;"",$R940='تقرير أبريل'!$C$4,$P940='تقرير أبريل'!$C$6),COUNT(AD$4:AD939)+1,"")</f>
        <v/>
      </c>
      <c r="AE940">
        <f>IF(AND($A940&lt;&gt;"",$B940&lt;&gt;"",$R940='تقرير مايو'!$C$4,$P940='تقرير مايو'!$C$6),COUNT(AE$4:AE939)+1,"")</f>
        <v/>
      </c>
    </row>
    <row r="941">
      <c r="A941" s="16" t="n"/>
      <c r="B941" s="17" t="n"/>
      <c r="C941" s="17" t="n"/>
      <c r="D941" s="18" t="n"/>
      <c r="E941" s="17" t="n"/>
      <c r="F941" s="17" t="n"/>
      <c r="G941" s="19" t="n"/>
      <c r="H941" s="17" t="n"/>
      <c r="I941" s="17" t="n"/>
      <c r="J941" s="17" t="n"/>
      <c r="K941" s="20">
        <f>IF($B941="","",IFERROR(INDEX(الموظفات!$A$5:$A$304,MATCH($B941,الموظفات!$B$5:$B$304,0))&amp;"",""))</f>
        <v/>
      </c>
      <c r="L941" s="21">
        <f>IF($B941="","",IFERROR(INDEX(الموظفات!$C$5:$C$304,MATCH($B941,الموظفات!$B$5:$B$304,0))&amp;"",""))</f>
        <v/>
      </c>
      <c r="M941" s="20">
        <f>IF($B941="","",IFERROR(INDEX(الموظفات!$D$5:$D$304,MATCH($B941,الموظفات!$B$5:$B$304,0))&amp;"",""))</f>
        <v/>
      </c>
      <c r="N941" s="20">
        <f>IF($B941="","",IFERROR(INDEX(الموظفات!$E$5:$E$304,MATCH($B941,الموظفات!$B$5:$B$304,0))&amp;"",""))</f>
        <v/>
      </c>
      <c r="O941" s="21">
        <f>IF(C941="","",IFERROR(INDEX(الإعدادات!$D$7:$D$35,MATCH(C941,الإعدادات!$A$7:$A$35,0))&amp;"",""))</f>
        <v/>
      </c>
      <c r="P941" s="20">
        <f>IF(A941="","",INDEX(الإعدادات!$H$7:$H$18,MONTH(A941)))</f>
        <v/>
      </c>
      <c r="Q941" s="20">
        <f>IF(A941="","",INDEX(الإعدادات!$I$7:$I$18,MONTH(A941)))</f>
        <v/>
      </c>
      <c r="R941" s="20">
        <f>IF(A941="","",IF(MONTH(A941)&gt;=8,YEAR(A941)&amp;"-"&amp;(YEAR(A941)+1),(YEAR(A941)-1)&amp;"-"&amp;YEAR(A941)))</f>
        <v/>
      </c>
      <c r="S941" s="20">
        <f>IF(OR(A941="",B941=""),0,IF(AND(R941=التقارير!$C$4,OR(التقارير!$C$5="سنوي",AND(التقارير!$C$5="شهري",P941=التقارير!$C$6),AND(التقارير!$C$5="فصلي",Q941=التقارير!$C$7))),1,0))</f>
        <v/>
      </c>
      <c r="T941" s="20">
        <f>IF(S941=1,COUNTIF($S$5:S941,1),"")</f>
        <v/>
      </c>
      <c r="U941">
        <f>IF(AND($A941&lt;&gt;"",$B941&lt;&gt;"",$R941='تقرير الفصل الأول'!$C$4,$Q941='تقرير الفصل الأول'!$C$7),COUNT(U$4:U940)+1,"")</f>
        <v/>
      </c>
      <c r="V941">
        <f>IF(AND($A941&lt;&gt;"",$B941&lt;&gt;"",$R941='تقرير الفصل الثاني'!$C$4,$Q941='تقرير الفصل الثاني'!$C$7),COUNT(V$4:V940)+1,"")</f>
        <v/>
      </c>
      <c r="W941">
        <f>IF(AND($A941&lt;&gt;"",$B941&lt;&gt;"",$R941='تقرير سبتمبر'!$C$4,$P941='تقرير سبتمبر'!$C$6),COUNT(W$4:W940)+1,"")</f>
        <v/>
      </c>
      <c r="X941">
        <f>IF(AND($A941&lt;&gt;"",$B941&lt;&gt;"",$R941='تقرير أكتوبر'!$C$4,$P941='تقرير أكتوبر'!$C$6),COUNT(X$4:X940)+1,"")</f>
        <v/>
      </c>
      <c r="Y941">
        <f>IF(AND($A941&lt;&gt;"",$B941&lt;&gt;"",$R941='تقرير نوفمبر'!$C$4,$P941='تقرير نوفمبر'!$C$6),COUNT(Y$4:Y940)+1,"")</f>
        <v/>
      </c>
      <c r="Z941">
        <f>IF(AND($A941&lt;&gt;"",$B941&lt;&gt;"",$R941='تقرير ديسمبر'!$C$4,$P941='تقرير ديسمبر'!$C$6),COUNT(Z$4:Z940)+1,"")</f>
        <v/>
      </c>
      <c r="AA941">
        <f>IF(AND($A941&lt;&gt;"",$B941&lt;&gt;"",$R941='تقرير يناير'!$C$4,$P941='تقرير يناير'!$C$6),COUNT(AA$4:AA940)+1,"")</f>
        <v/>
      </c>
      <c r="AB941">
        <f>IF(AND($A941&lt;&gt;"",$B941&lt;&gt;"",$R941='تقرير فبراير'!$C$4,$P941='تقرير فبراير'!$C$6),COUNT(AB$4:AB940)+1,"")</f>
        <v/>
      </c>
      <c r="AC941">
        <f>IF(AND($A941&lt;&gt;"",$B941&lt;&gt;"",$R941='تقرير مارس'!$C$4,$P941='تقرير مارس'!$C$6),COUNT(AC$4:AC940)+1,"")</f>
        <v/>
      </c>
      <c r="AD941">
        <f>IF(AND($A941&lt;&gt;"",$B941&lt;&gt;"",$R941='تقرير أبريل'!$C$4,$P941='تقرير أبريل'!$C$6),COUNT(AD$4:AD940)+1,"")</f>
        <v/>
      </c>
      <c r="AE941">
        <f>IF(AND($A941&lt;&gt;"",$B941&lt;&gt;"",$R941='تقرير مايو'!$C$4,$P941='تقرير مايو'!$C$6),COUNT(AE$4:AE940)+1,"")</f>
        <v/>
      </c>
    </row>
    <row r="942">
      <c r="A942" s="16" t="n"/>
      <c r="B942" s="17" t="n"/>
      <c r="C942" s="17" t="n"/>
      <c r="D942" s="18" t="n"/>
      <c r="E942" s="17" t="n"/>
      <c r="F942" s="17" t="n"/>
      <c r="G942" s="19" t="n"/>
      <c r="H942" s="17" t="n"/>
      <c r="I942" s="17" t="n"/>
      <c r="J942" s="17" t="n"/>
      <c r="K942" s="20">
        <f>IF($B942="","",IFERROR(INDEX(الموظفات!$A$5:$A$304,MATCH($B942,الموظفات!$B$5:$B$304,0))&amp;"",""))</f>
        <v/>
      </c>
      <c r="L942" s="21">
        <f>IF($B942="","",IFERROR(INDEX(الموظفات!$C$5:$C$304,MATCH($B942,الموظفات!$B$5:$B$304,0))&amp;"",""))</f>
        <v/>
      </c>
      <c r="M942" s="20">
        <f>IF($B942="","",IFERROR(INDEX(الموظفات!$D$5:$D$304,MATCH($B942,الموظفات!$B$5:$B$304,0))&amp;"",""))</f>
        <v/>
      </c>
      <c r="N942" s="20">
        <f>IF($B942="","",IFERROR(INDEX(الموظفات!$E$5:$E$304,MATCH($B942,الموظفات!$B$5:$B$304,0))&amp;"",""))</f>
        <v/>
      </c>
      <c r="O942" s="21">
        <f>IF(C942="","",IFERROR(INDEX(الإعدادات!$D$7:$D$35,MATCH(C942,الإعدادات!$A$7:$A$35,0))&amp;"",""))</f>
        <v/>
      </c>
      <c r="P942" s="20">
        <f>IF(A942="","",INDEX(الإعدادات!$H$7:$H$18,MONTH(A942)))</f>
        <v/>
      </c>
      <c r="Q942" s="20">
        <f>IF(A942="","",INDEX(الإعدادات!$I$7:$I$18,MONTH(A942)))</f>
        <v/>
      </c>
      <c r="R942" s="20">
        <f>IF(A942="","",IF(MONTH(A942)&gt;=8,YEAR(A942)&amp;"-"&amp;(YEAR(A942)+1),(YEAR(A942)-1)&amp;"-"&amp;YEAR(A942)))</f>
        <v/>
      </c>
      <c r="S942" s="20">
        <f>IF(OR(A942="",B942=""),0,IF(AND(R942=التقارير!$C$4,OR(التقارير!$C$5="سنوي",AND(التقارير!$C$5="شهري",P942=التقارير!$C$6),AND(التقارير!$C$5="فصلي",Q942=التقارير!$C$7))),1,0))</f>
        <v/>
      </c>
      <c r="T942" s="20">
        <f>IF(S942=1,COUNTIF($S$5:S942,1),"")</f>
        <v/>
      </c>
      <c r="U942">
        <f>IF(AND($A942&lt;&gt;"",$B942&lt;&gt;"",$R942='تقرير الفصل الأول'!$C$4,$Q942='تقرير الفصل الأول'!$C$7),COUNT(U$4:U941)+1,"")</f>
        <v/>
      </c>
      <c r="V942">
        <f>IF(AND($A942&lt;&gt;"",$B942&lt;&gt;"",$R942='تقرير الفصل الثاني'!$C$4,$Q942='تقرير الفصل الثاني'!$C$7),COUNT(V$4:V941)+1,"")</f>
        <v/>
      </c>
      <c r="W942">
        <f>IF(AND($A942&lt;&gt;"",$B942&lt;&gt;"",$R942='تقرير سبتمبر'!$C$4,$P942='تقرير سبتمبر'!$C$6),COUNT(W$4:W941)+1,"")</f>
        <v/>
      </c>
      <c r="X942">
        <f>IF(AND($A942&lt;&gt;"",$B942&lt;&gt;"",$R942='تقرير أكتوبر'!$C$4,$P942='تقرير أكتوبر'!$C$6),COUNT(X$4:X941)+1,"")</f>
        <v/>
      </c>
      <c r="Y942">
        <f>IF(AND($A942&lt;&gt;"",$B942&lt;&gt;"",$R942='تقرير نوفمبر'!$C$4,$P942='تقرير نوفمبر'!$C$6),COUNT(Y$4:Y941)+1,"")</f>
        <v/>
      </c>
      <c r="Z942">
        <f>IF(AND($A942&lt;&gt;"",$B942&lt;&gt;"",$R942='تقرير ديسمبر'!$C$4,$P942='تقرير ديسمبر'!$C$6),COUNT(Z$4:Z941)+1,"")</f>
        <v/>
      </c>
      <c r="AA942">
        <f>IF(AND($A942&lt;&gt;"",$B942&lt;&gt;"",$R942='تقرير يناير'!$C$4,$P942='تقرير يناير'!$C$6),COUNT(AA$4:AA941)+1,"")</f>
        <v/>
      </c>
      <c r="AB942">
        <f>IF(AND($A942&lt;&gt;"",$B942&lt;&gt;"",$R942='تقرير فبراير'!$C$4,$P942='تقرير فبراير'!$C$6),COUNT(AB$4:AB941)+1,"")</f>
        <v/>
      </c>
      <c r="AC942">
        <f>IF(AND($A942&lt;&gt;"",$B942&lt;&gt;"",$R942='تقرير مارس'!$C$4,$P942='تقرير مارس'!$C$6),COUNT(AC$4:AC941)+1,"")</f>
        <v/>
      </c>
      <c r="AD942">
        <f>IF(AND($A942&lt;&gt;"",$B942&lt;&gt;"",$R942='تقرير أبريل'!$C$4,$P942='تقرير أبريل'!$C$6),COUNT(AD$4:AD941)+1,"")</f>
        <v/>
      </c>
      <c r="AE942">
        <f>IF(AND($A942&lt;&gt;"",$B942&lt;&gt;"",$R942='تقرير مايو'!$C$4,$P942='تقرير مايو'!$C$6),COUNT(AE$4:AE941)+1,"")</f>
        <v/>
      </c>
    </row>
    <row r="943">
      <c r="A943" s="16" t="n"/>
      <c r="B943" s="17" t="n"/>
      <c r="C943" s="17" t="n"/>
      <c r="D943" s="18" t="n"/>
      <c r="E943" s="17" t="n"/>
      <c r="F943" s="17" t="n"/>
      <c r="G943" s="19" t="n"/>
      <c r="H943" s="17" t="n"/>
      <c r="I943" s="17" t="n"/>
      <c r="J943" s="17" t="n"/>
      <c r="K943" s="20">
        <f>IF($B943="","",IFERROR(INDEX(الموظفات!$A$5:$A$304,MATCH($B943,الموظفات!$B$5:$B$304,0))&amp;"",""))</f>
        <v/>
      </c>
      <c r="L943" s="21">
        <f>IF($B943="","",IFERROR(INDEX(الموظفات!$C$5:$C$304,MATCH($B943,الموظفات!$B$5:$B$304,0))&amp;"",""))</f>
        <v/>
      </c>
      <c r="M943" s="20">
        <f>IF($B943="","",IFERROR(INDEX(الموظفات!$D$5:$D$304,MATCH($B943,الموظفات!$B$5:$B$304,0))&amp;"",""))</f>
        <v/>
      </c>
      <c r="N943" s="20">
        <f>IF($B943="","",IFERROR(INDEX(الموظفات!$E$5:$E$304,MATCH($B943,الموظفات!$B$5:$B$304,0))&amp;"",""))</f>
        <v/>
      </c>
      <c r="O943" s="21">
        <f>IF(C943="","",IFERROR(INDEX(الإعدادات!$D$7:$D$35,MATCH(C943,الإعدادات!$A$7:$A$35,0))&amp;"",""))</f>
        <v/>
      </c>
      <c r="P943" s="20">
        <f>IF(A943="","",INDEX(الإعدادات!$H$7:$H$18,MONTH(A943)))</f>
        <v/>
      </c>
      <c r="Q943" s="20">
        <f>IF(A943="","",INDEX(الإعدادات!$I$7:$I$18,MONTH(A943)))</f>
        <v/>
      </c>
      <c r="R943" s="20">
        <f>IF(A943="","",IF(MONTH(A943)&gt;=8,YEAR(A943)&amp;"-"&amp;(YEAR(A943)+1),(YEAR(A943)-1)&amp;"-"&amp;YEAR(A943)))</f>
        <v/>
      </c>
      <c r="S943" s="20">
        <f>IF(OR(A943="",B943=""),0,IF(AND(R943=التقارير!$C$4,OR(التقارير!$C$5="سنوي",AND(التقارير!$C$5="شهري",P943=التقارير!$C$6),AND(التقارير!$C$5="فصلي",Q943=التقارير!$C$7))),1,0))</f>
        <v/>
      </c>
      <c r="T943" s="20">
        <f>IF(S943=1,COUNTIF($S$5:S943,1),"")</f>
        <v/>
      </c>
      <c r="U943">
        <f>IF(AND($A943&lt;&gt;"",$B943&lt;&gt;"",$R943='تقرير الفصل الأول'!$C$4,$Q943='تقرير الفصل الأول'!$C$7),COUNT(U$4:U942)+1,"")</f>
        <v/>
      </c>
      <c r="V943">
        <f>IF(AND($A943&lt;&gt;"",$B943&lt;&gt;"",$R943='تقرير الفصل الثاني'!$C$4,$Q943='تقرير الفصل الثاني'!$C$7),COUNT(V$4:V942)+1,"")</f>
        <v/>
      </c>
      <c r="W943">
        <f>IF(AND($A943&lt;&gt;"",$B943&lt;&gt;"",$R943='تقرير سبتمبر'!$C$4,$P943='تقرير سبتمبر'!$C$6),COUNT(W$4:W942)+1,"")</f>
        <v/>
      </c>
      <c r="X943">
        <f>IF(AND($A943&lt;&gt;"",$B943&lt;&gt;"",$R943='تقرير أكتوبر'!$C$4,$P943='تقرير أكتوبر'!$C$6),COUNT(X$4:X942)+1,"")</f>
        <v/>
      </c>
      <c r="Y943">
        <f>IF(AND($A943&lt;&gt;"",$B943&lt;&gt;"",$R943='تقرير نوفمبر'!$C$4,$P943='تقرير نوفمبر'!$C$6),COUNT(Y$4:Y942)+1,"")</f>
        <v/>
      </c>
      <c r="Z943">
        <f>IF(AND($A943&lt;&gt;"",$B943&lt;&gt;"",$R943='تقرير ديسمبر'!$C$4,$P943='تقرير ديسمبر'!$C$6),COUNT(Z$4:Z942)+1,"")</f>
        <v/>
      </c>
      <c r="AA943">
        <f>IF(AND($A943&lt;&gt;"",$B943&lt;&gt;"",$R943='تقرير يناير'!$C$4,$P943='تقرير يناير'!$C$6),COUNT(AA$4:AA942)+1,"")</f>
        <v/>
      </c>
      <c r="AB943">
        <f>IF(AND($A943&lt;&gt;"",$B943&lt;&gt;"",$R943='تقرير فبراير'!$C$4,$P943='تقرير فبراير'!$C$6),COUNT(AB$4:AB942)+1,"")</f>
        <v/>
      </c>
      <c r="AC943">
        <f>IF(AND($A943&lt;&gt;"",$B943&lt;&gt;"",$R943='تقرير مارس'!$C$4,$P943='تقرير مارس'!$C$6),COUNT(AC$4:AC942)+1,"")</f>
        <v/>
      </c>
      <c r="AD943">
        <f>IF(AND($A943&lt;&gt;"",$B943&lt;&gt;"",$R943='تقرير أبريل'!$C$4,$P943='تقرير أبريل'!$C$6),COUNT(AD$4:AD942)+1,"")</f>
        <v/>
      </c>
      <c r="AE943">
        <f>IF(AND($A943&lt;&gt;"",$B943&lt;&gt;"",$R943='تقرير مايو'!$C$4,$P943='تقرير مايو'!$C$6),COUNT(AE$4:AE942)+1,"")</f>
        <v/>
      </c>
    </row>
    <row r="944">
      <c r="A944" s="16" t="n"/>
      <c r="B944" s="17" t="n"/>
      <c r="C944" s="17" t="n"/>
      <c r="D944" s="18" t="n"/>
      <c r="E944" s="17" t="n"/>
      <c r="F944" s="17" t="n"/>
      <c r="G944" s="19" t="n"/>
      <c r="H944" s="17" t="n"/>
      <c r="I944" s="17" t="n"/>
      <c r="J944" s="17" t="n"/>
      <c r="K944" s="20">
        <f>IF($B944="","",IFERROR(INDEX(الموظفات!$A$5:$A$304,MATCH($B944,الموظفات!$B$5:$B$304,0))&amp;"",""))</f>
        <v/>
      </c>
      <c r="L944" s="21">
        <f>IF($B944="","",IFERROR(INDEX(الموظفات!$C$5:$C$304,MATCH($B944,الموظفات!$B$5:$B$304,0))&amp;"",""))</f>
        <v/>
      </c>
      <c r="M944" s="20">
        <f>IF($B944="","",IFERROR(INDEX(الموظفات!$D$5:$D$304,MATCH($B944,الموظفات!$B$5:$B$304,0))&amp;"",""))</f>
        <v/>
      </c>
      <c r="N944" s="20">
        <f>IF($B944="","",IFERROR(INDEX(الموظفات!$E$5:$E$304,MATCH($B944,الموظفات!$B$5:$B$304,0))&amp;"",""))</f>
        <v/>
      </c>
      <c r="O944" s="21">
        <f>IF(C944="","",IFERROR(INDEX(الإعدادات!$D$7:$D$35,MATCH(C944,الإعدادات!$A$7:$A$35,0))&amp;"",""))</f>
        <v/>
      </c>
      <c r="P944" s="20">
        <f>IF(A944="","",INDEX(الإعدادات!$H$7:$H$18,MONTH(A944)))</f>
        <v/>
      </c>
      <c r="Q944" s="20">
        <f>IF(A944="","",INDEX(الإعدادات!$I$7:$I$18,MONTH(A944)))</f>
        <v/>
      </c>
      <c r="R944" s="20">
        <f>IF(A944="","",IF(MONTH(A944)&gt;=8,YEAR(A944)&amp;"-"&amp;(YEAR(A944)+1),(YEAR(A944)-1)&amp;"-"&amp;YEAR(A944)))</f>
        <v/>
      </c>
      <c r="S944" s="20">
        <f>IF(OR(A944="",B944=""),0,IF(AND(R944=التقارير!$C$4,OR(التقارير!$C$5="سنوي",AND(التقارير!$C$5="شهري",P944=التقارير!$C$6),AND(التقارير!$C$5="فصلي",Q944=التقارير!$C$7))),1,0))</f>
        <v/>
      </c>
      <c r="T944" s="20">
        <f>IF(S944=1,COUNTIF($S$5:S944,1),"")</f>
        <v/>
      </c>
      <c r="U944">
        <f>IF(AND($A944&lt;&gt;"",$B944&lt;&gt;"",$R944='تقرير الفصل الأول'!$C$4,$Q944='تقرير الفصل الأول'!$C$7),COUNT(U$4:U943)+1,"")</f>
        <v/>
      </c>
      <c r="V944">
        <f>IF(AND($A944&lt;&gt;"",$B944&lt;&gt;"",$R944='تقرير الفصل الثاني'!$C$4,$Q944='تقرير الفصل الثاني'!$C$7),COUNT(V$4:V943)+1,"")</f>
        <v/>
      </c>
      <c r="W944">
        <f>IF(AND($A944&lt;&gt;"",$B944&lt;&gt;"",$R944='تقرير سبتمبر'!$C$4,$P944='تقرير سبتمبر'!$C$6),COUNT(W$4:W943)+1,"")</f>
        <v/>
      </c>
      <c r="X944">
        <f>IF(AND($A944&lt;&gt;"",$B944&lt;&gt;"",$R944='تقرير أكتوبر'!$C$4,$P944='تقرير أكتوبر'!$C$6),COUNT(X$4:X943)+1,"")</f>
        <v/>
      </c>
      <c r="Y944">
        <f>IF(AND($A944&lt;&gt;"",$B944&lt;&gt;"",$R944='تقرير نوفمبر'!$C$4,$P944='تقرير نوفمبر'!$C$6),COUNT(Y$4:Y943)+1,"")</f>
        <v/>
      </c>
      <c r="Z944">
        <f>IF(AND($A944&lt;&gt;"",$B944&lt;&gt;"",$R944='تقرير ديسمبر'!$C$4,$P944='تقرير ديسمبر'!$C$6),COUNT(Z$4:Z943)+1,"")</f>
        <v/>
      </c>
      <c r="AA944">
        <f>IF(AND($A944&lt;&gt;"",$B944&lt;&gt;"",$R944='تقرير يناير'!$C$4,$P944='تقرير يناير'!$C$6),COUNT(AA$4:AA943)+1,"")</f>
        <v/>
      </c>
      <c r="AB944">
        <f>IF(AND($A944&lt;&gt;"",$B944&lt;&gt;"",$R944='تقرير فبراير'!$C$4,$P944='تقرير فبراير'!$C$6),COUNT(AB$4:AB943)+1,"")</f>
        <v/>
      </c>
      <c r="AC944">
        <f>IF(AND($A944&lt;&gt;"",$B944&lt;&gt;"",$R944='تقرير مارس'!$C$4,$P944='تقرير مارس'!$C$6),COUNT(AC$4:AC943)+1,"")</f>
        <v/>
      </c>
      <c r="AD944">
        <f>IF(AND($A944&lt;&gt;"",$B944&lt;&gt;"",$R944='تقرير أبريل'!$C$4,$P944='تقرير أبريل'!$C$6),COUNT(AD$4:AD943)+1,"")</f>
        <v/>
      </c>
      <c r="AE944">
        <f>IF(AND($A944&lt;&gt;"",$B944&lt;&gt;"",$R944='تقرير مايو'!$C$4,$P944='تقرير مايو'!$C$6),COUNT(AE$4:AE943)+1,"")</f>
        <v/>
      </c>
    </row>
    <row r="945">
      <c r="A945" s="16" t="n"/>
      <c r="B945" s="17" t="n"/>
      <c r="C945" s="17" t="n"/>
      <c r="D945" s="18" t="n"/>
      <c r="E945" s="17" t="n"/>
      <c r="F945" s="17" t="n"/>
      <c r="G945" s="19" t="n"/>
      <c r="H945" s="17" t="n"/>
      <c r="I945" s="17" t="n"/>
      <c r="J945" s="17" t="n"/>
      <c r="K945" s="20">
        <f>IF($B945="","",IFERROR(INDEX(الموظفات!$A$5:$A$304,MATCH($B945,الموظفات!$B$5:$B$304,0))&amp;"",""))</f>
        <v/>
      </c>
      <c r="L945" s="21">
        <f>IF($B945="","",IFERROR(INDEX(الموظفات!$C$5:$C$304,MATCH($B945,الموظفات!$B$5:$B$304,0))&amp;"",""))</f>
        <v/>
      </c>
      <c r="M945" s="20">
        <f>IF($B945="","",IFERROR(INDEX(الموظفات!$D$5:$D$304,MATCH($B945,الموظفات!$B$5:$B$304,0))&amp;"",""))</f>
        <v/>
      </c>
      <c r="N945" s="20">
        <f>IF($B945="","",IFERROR(INDEX(الموظفات!$E$5:$E$304,MATCH($B945,الموظفات!$B$5:$B$304,0))&amp;"",""))</f>
        <v/>
      </c>
      <c r="O945" s="21">
        <f>IF(C945="","",IFERROR(INDEX(الإعدادات!$D$7:$D$35,MATCH(C945,الإعدادات!$A$7:$A$35,0))&amp;"",""))</f>
        <v/>
      </c>
      <c r="P945" s="20">
        <f>IF(A945="","",INDEX(الإعدادات!$H$7:$H$18,MONTH(A945)))</f>
        <v/>
      </c>
      <c r="Q945" s="20">
        <f>IF(A945="","",INDEX(الإعدادات!$I$7:$I$18,MONTH(A945)))</f>
        <v/>
      </c>
      <c r="R945" s="20">
        <f>IF(A945="","",IF(MONTH(A945)&gt;=8,YEAR(A945)&amp;"-"&amp;(YEAR(A945)+1),(YEAR(A945)-1)&amp;"-"&amp;YEAR(A945)))</f>
        <v/>
      </c>
      <c r="S945" s="20">
        <f>IF(OR(A945="",B945=""),0,IF(AND(R945=التقارير!$C$4,OR(التقارير!$C$5="سنوي",AND(التقارير!$C$5="شهري",P945=التقارير!$C$6),AND(التقارير!$C$5="فصلي",Q945=التقارير!$C$7))),1,0))</f>
        <v/>
      </c>
      <c r="T945" s="20">
        <f>IF(S945=1,COUNTIF($S$5:S945,1),"")</f>
        <v/>
      </c>
      <c r="U945">
        <f>IF(AND($A945&lt;&gt;"",$B945&lt;&gt;"",$R945='تقرير الفصل الأول'!$C$4,$Q945='تقرير الفصل الأول'!$C$7),COUNT(U$4:U944)+1,"")</f>
        <v/>
      </c>
      <c r="V945">
        <f>IF(AND($A945&lt;&gt;"",$B945&lt;&gt;"",$R945='تقرير الفصل الثاني'!$C$4,$Q945='تقرير الفصل الثاني'!$C$7),COUNT(V$4:V944)+1,"")</f>
        <v/>
      </c>
      <c r="W945">
        <f>IF(AND($A945&lt;&gt;"",$B945&lt;&gt;"",$R945='تقرير سبتمبر'!$C$4,$P945='تقرير سبتمبر'!$C$6),COUNT(W$4:W944)+1,"")</f>
        <v/>
      </c>
      <c r="X945">
        <f>IF(AND($A945&lt;&gt;"",$B945&lt;&gt;"",$R945='تقرير أكتوبر'!$C$4,$P945='تقرير أكتوبر'!$C$6),COUNT(X$4:X944)+1,"")</f>
        <v/>
      </c>
      <c r="Y945">
        <f>IF(AND($A945&lt;&gt;"",$B945&lt;&gt;"",$R945='تقرير نوفمبر'!$C$4,$P945='تقرير نوفمبر'!$C$6),COUNT(Y$4:Y944)+1,"")</f>
        <v/>
      </c>
      <c r="Z945">
        <f>IF(AND($A945&lt;&gt;"",$B945&lt;&gt;"",$R945='تقرير ديسمبر'!$C$4,$P945='تقرير ديسمبر'!$C$6),COUNT(Z$4:Z944)+1,"")</f>
        <v/>
      </c>
      <c r="AA945">
        <f>IF(AND($A945&lt;&gt;"",$B945&lt;&gt;"",$R945='تقرير يناير'!$C$4,$P945='تقرير يناير'!$C$6),COUNT(AA$4:AA944)+1,"")</f>
        <v/>
      </c>
      <c r="AB945">
        <f>IF(AND($A945&lt;&gt;"",$B945&lt;&gt;"",$R945='تقرير فبراير'!$C$4,$P945='تقرير فبراير'!$C$6),COUNT(AB$4:AB944)+1,"")</f>
        <v/>
      </c>
      <c r="AC945">
        <f>IF(AND($A945&lt;&gt;"",$B945&lt;&gt;"",$R945='تقرير مارس'!$C$4,$P945='تقرير مارس'!$C$6),COUNT(AC$4:AC944)+1,"")</f>
        <v/>
      </c>
      <c r="AD945">
        <f>IF(AND($A945&lt;&gt;"",$B945&lt;&gt;"",$R945='تقرير أبريل'!$C$4,$P945='تقرير أبريل'!$C$6),COUNT(AD$4:AD944)+1,"")</f>
        <v/>
      </c>
      <c r="AE945">
        <f>IF(AND($A945&lt;&gt;"",$B945&lt;&gt;"",$R945='تقرير مايو'!$C$4,$P945='تقرير مايو'!$C$6),COUNT(AE$4:AE944)+1,"")</f>
        <v/>
      </c>
    </row>
    <row r="946">
      <c r="A946" s="16" t="n"/>
      <c r="B946" s="17" t="n"/>
      <c r="C946" s="17" t="n"/>
      <c r="D946" s="18" t="n"/>
      <c r="E946" s="17" t="n"/>
      <c r="F946" s="17" t="n"/>
      <c r="G946" s="19" t="n"/>
      <c r="H946" s="17" t="n"/>
      <c r="I946" s="17" t="n"/>
      <c r="J946" s="17" t="n"/>
      <c r="K946" s="20">
        <f>IF($B946="","",IFERROR(INDEX(الموظفات!$A$5:$A$304,MATCH($B946,الموظفات!$B$5:$B$304,0))&amp;"",""))</f>
        <v/>
      </c>
      <c r="L946" s="21">
        <f>IF($B946="","",IFERROR(INDEX(الموظفات!$C$5:$C$304,MATCH($B946,الموظفات!$B$5:$B$304,0))&amp;"",""))</f>
        <v/>
      </c>
      <c r="M946" s="20">
        <f>IF($B946="","",IFERROR(INDEX(الموظفات!$D$5:$D$304,MATCH($B946,الموظفات!$B$5:$B$304,0))&amp;"",""))</f>
        <v/>
      </c>
      <c r="N946" s="20">
        <f>IF($B946="","",IFERROR(INDEX(الموظفات!$E$5:$E$304,MATCH($B946,الموظفات!$B$5:$B$304,0))&amp;"",""))</f>
        <v/>
      </c>
      <c r="O946" s="21">
        <f>IF(C946="","",IFERROR(INDEX(الإعدادات!$D$7:$D$35,MATCH(C946,الإعدادات!$A$7:$A$35,0))&amp;"",""))</f>
        <v/>
      </c>
      <c r="P946" s="20">
        <f>IF(A946="","",INDEX(الإعدادات!$H$7:$H$18,MONTH(A946)))</f>
        <v/>
      </c>
      <c r="Q946" s="20">
        <f>IF(A946="","",INDEX(الإعدادات!$I$7:$I$18,MONTH(A946)))</f>
        <v/>
      </c>
      <c r="R946" s="20">
        <f>IF(A946="","",IF(MONTH(A946)&gt;=8,YEAR(A946)&amp;"-"&amp;(YEAR(A946)+1),(YEAR(A946)-1)&amp;"-"&amp;YEAR(A946)))</f>
        <v/>
      </c>
      <c r="S946" s="20">
        <f>IF(OR(A946="",B946=""),0,IF(AND(R946=التقارير!$C$4,OR(التقارير!$C$5="سنوي",AND(التقارير!$C$5="شهري",P946=التقارير!$C$6),AND(التقارير!$C$5="فصلي",Q946=التقارير!$C$7))),1,0))</f>
        <v/>
      </c>
      <c r="T946" s="20">
        <f>IF(S946=1,COUNTIF($S$5:S946,1),"")</f>
        <v/>
      </c>
      <c r="U946">
        <f>IF(AND($A946&lt;&gt;"",$B946&lt;&gt;"",$R946='تقرير الفصل الأول'!$C$4,$Q946='تقرير الفصل الأول'!$C$7),COUNT(U$4:U945)+1,"")</f>
        <v/>
      </c>
      <c r="V946">
        <f>IF(AND($A946&lt;&gt;"",$B946&lt;&gt;"",$R946='تقرير الفصل الثاني'!$C$4,$Q946='تقرير الفصل الثاني'!$C$7),COUNT(V$4:V945)+1,"")</f>
        <v/>
      </c>
      <c r="W946">
        <f>IF(AND($A946&lt;&gt;"",$B946&lt;&gt;"",$R946='تقرير سبتمبر'!$C$4,$P946='تقرير سبتمبر'!$C$6),COUNT(W$4:W945)+1,"")</f>
        <v/>
      </c>
      <c r="X946">
        <f>IF(AND($A946&lt;&gt;"",$B946&lt;&gt;"",$R946='تقرير أكتوبر'!$C$4,$P946='تقرير أكتوبر'!$C$6),COUNT(X$4:X945)+1,"")</f>
        <v/>
      </c>
      <c r="Y946">
        <f>IF(AND($A946&lt;&gt;"",$B946&lt;&gt;"",$R946='تقرير نوفمبر'!$C$4,$P946='تقرير نوفمبر'!$C$6),COUNT(Y$4:Y945)+1,"")</f>
        <v/>
      </c>
      <c r="Z946">
        <f>IF(AND($A946&lt;&gt;"",$B946&lt;&gt;"",$R946='تقرير ديسمبر'!$C$4,$P946='تقرير ديسمبر'!$C$6),COUNT(Z$4:Z945)+1,"")</f>
        <v/>
      </c>
      <c r="AA946">
        <f>IF(AND($A946&lt;&gt;"",$B946&lt;&gt;"",$R946='تقرير يناير'!$C$4,$P946='تقرير يناير'!$C$6),COUNT(AA$4:AA945)+1,"")</f>
        <v/>
      </c>
      <c r="AB946">
        <f>IF(AND($A946&lt;&gt;"",$B946&lt;&gt;"",$R946='تقرير فبراير'!$C$4,$P946='تقرير فبراير'!$C$6),COUNT(AB$4:AB945)+1,"")</f>
        <v/>
      </c>
      <c r="AC946">
        <f>IF(AND($A946&lt;&gt;"",$B946&lt;&gt;"",$R946='تقرير مارس'!$C$4,$P946='تقرير مارس'!$C$6),COUNT(AC$4:AC945)+1,"")</f>
        <v/>
      </c>
      <c r="AD946">
        <f>IF(AND($A946&lt;&gt;"",$B946&lt;&gt;"",$R946='تقرير أبريل'!$C$4,$P946='تقرير أبريل'!$C$6),COUNT(AD$4:AD945)+1,"")</f>
        <v/>
      </c>
      <c r="AE946">
        <f>IF(AND($A946&lt;&gt;"",$B946&lt;&gt;"",$R946='تقرير مايو'!$C$4,$P946='تقرير مايو'!$C$6),COUNT(AE$4:AE945)+1,"")</f>
        <v/>
      </c>
    </row>
    <row r="947">
      <c r="A947" s="16" t="n"/>
      <c r="B947" s="17" t="n"/>
      <c r="C947" s="17" t="n"/>
      <c r="D947" s="18" t="n"/>
      <c r="E947" s="17" t="n"/>
      <c r="F947" s="17" t="n"/>
      <c r="G947" s="19" t="n"/>
      <c r="H947" s="17" t="n"/>
      <c r="I947" s="17" t="n"/>
      <c r="J947" s="17" t="n"/>
      <c r="K947" s="20">
        <f>IF($B947="","",IFERROR(INDEX(الموظفات!$A$5:$A$304,MATCH($B947,الموظفات!$B$5:$B$304,0))&amp;"",""))</f>
        <v/>
      </c>
      <c r="L947" s="21">
        <f>IF($B947="","",IFERROR(INDEX(الموظفات!$C$5:$C$304,MATCH($B947,الموظفات!$B$5:$B$304,0))&amp;"",""))</f>
        <v/>
      </c>
      <c r="M947" s="20">
        <f>IF($B947="","",IFERROR(INDEX(الموظفات!$D$5:$D$304,MATCH($B947,الموظفات!$B$5:$B$304,0))&amp;"",""))</f>
        <v/>
      </c>
      <c r="N947" s="20">
        <f>IF($B947="","",IFERROR(INDEX(الموظفات!$E$5:$E$304,MATCH($B947,الموظفات!$B$5:$B$304,0))&amp;"",""))</f>
        <v/>
      </c>
      <c r="O947" s="21">
        <f>IF(C947="","",IFERROR(INDEX(الإعدادات!$D$7:$D$35,MATCH(C947,الإعدادات!$A$7:$A$35,0))&amp;"",""))</f>
        <v/>
      </c>
      <c r="P947" s="20">
        <f>IF(A947="","",INDEX(الإعدادات!$H$7:$H$18,MONTH(A947)))</f>
        <v/>
      </c>
      <c r="Q947" s="20">
        <f>IF(A947="","",INDEX(الإعدادات!$I$7:$I$18,MONTH(A947)))</f>
        <v/>
      </c>
      <c r="R947" s="20">
        <f>IF(A947="","",IF(MONTH(A947)&gt;=8,YEAR(A947)&amp;"-"&amp;(YEAR(A947)+1),(YEAR(A947)-1)&amp;"-"&amp;YEAR(A947)))</f>
        <v/>
      </c>
      <c r="S947" s="20">
        <f>IF(OR(A947="",B947=""),0,IF(AND(R947=التقارير!$C$4,OR(التقارير!$C$5="سنوي",AND(التقارير!$C$5="شهري",P947=التقارير!$C$6),AND(التقارير!$C$5="فصلي",Q947=التقارير!$C$7))),1,0))</f>
        <v/>
      </c>
      <c r="T947" s="20">
        <f>IF(S947=1,COUNTIF($S$5:S947,1),"")</f>
        <v/>
      </c>
      <c r="U947">
        <f>IF(AND($A947&lt;&gt;"",$B947&lt;&gt;"",$R947='تقرير الفصل الأول'!$C$4,$Q947='تقرير الفصل الأول'!$C$7),COUNT(U$4:U946)+1,"")</f>
        <v/>
      </c>
      <c r="V947">
        <f>IF(AND($A947&lt;&gt;"",$B947&lt;&gt;"",$R947='تقرير الفصل الثاني'!$C$4,$Q947='تقرير الفصل الثاني'!$C$7),COUNT(V$4:V946)+1,"")</f>
        <v/>
      </c>
      <c r="W947">
        <f>IF(AND($A947&lt;&gt;"",$B947&lt;&gt;"",$R947='تقرير سبتمبر'!$C$4,$P947='تقرير سبتمبر'!$C$6),COUNT(W$4:W946)+1,"")</f>
        <v/>
      </c>
      <c r="X947">
        <f>IF(AND($A947&lt;&gt;"",$B947&lt;&gt;"",$R947='تقرير أكتوبر'!$C$4,$P947='تقرير أكتوبر'!$C$6),COUNT(X$4:X946)+1,"")</f>
        <v/>
      </c>
      <c r="Y947">
        <f>IF(AND($A947&lt;&gt;"",$B947&lt;&gt;"",$R947='تقرير نوفمبر'!$C$4,$P947='تقرير نوفمبر'!$C$6),COUNT(Y$4:Y946)+1,"")</f>
        <v/>
      </c>
      <c r="Z947">
        <f>IF(AND($A947&lt;&gt;"",$B947&lt;&gt;"",$R947='تقرير ديسمبر'!$C$4,$P947='تقرير ديسمبر'!$C$6),COUNT(Z$4:Z946)+1,"")</f>
        <v/>
      </c>
      <c r="AA947">
        <f>IF(AND($A947&lt;&gt;"",$B947&lt;&gt;"",$R947='تقرير يناير'!$C$4,$P947='تقرير يناير'!$C$6),COUNT(AA$4:AA946)+1,"")</f>
        <v/>
      </c>
      <c r="AB947">
        <f>IF(AND($A947&lt;&gt;"",$B947&lt;&gt;"",$R947='تقرير فبراير'!$C$4,$P947='تقرير فبراير'!$C$6),COUNT(AB$4:AB946)+1,"")</f>
        <v/>
      </c>
      <c r="AC947">
        <f>IF(AND($A947&lt;&gt;"",$B947&lt;&gt;"",$R947='تقرير مارس'!$C$4,$P947='تقرير مارس'!$C$6),COUNT(AC$4:AC946)+1,"")</f>
        <v/>
      </c>
      <c r="AD947">
        <f>IF(AND($A947&lt;&gt;"",$B947&lt;&gt;"",$R947='تقرير أبريل'!$C$4,$P947='تقرير أبريل'!$C$6),COUNT(AD$4:AD946)+1,"")</f>
        <v/>
      </c>
      <c r="AE947">
        <f>IF(AND($A947&lt;&gt;"",$B947&lt;&gt;"",$R947='تقرير مايو'!$C$4,$P947='تقرير مايو'!$C$6),COUNT(AE$4:AE946)+1,"")</f>
        <v/>
      </c>
    </row>
    <row r="948">
      <c r="A948" s="16" t="n"/>
      <c r="B948" s="17" t="n"/>
      <c r="C948" s="17" t="n"/>
      <c r="D948" s="18" t="n"/>
      <c r="E948" s="17" t="n"/>
      <c r="F948" s="17" t="n"/>
      <c r="G948" s="19" t="n"/>
      <c r="H948" s="17" t="n"/>
      <c r="I948" s="17" t="n"/>
      <c r="J948" s="17" t="n"/>
      <c r="K948" s="20">
        <f>IF($B948="","",IFERROR(INDEX(الموظفات!$A$5:$A$304,MATCH($B948,الموظفات!$B$5:$B$304,0))&amp;"",""))</f>
        <v/>
      </c>
      <c r="L948" s="21">
        <f>IF($B948="","",IFERROR(INDEX(الموظفات!$C$5:$C$304,MATCH($B948,الموظفات!$B$5:$B$304,0))&amp;"",""))</f>
        <v/>
      </c>
      <c r="M948" s="20">
        <f>IF($B948="","",IFERROR(INDEX(الموظفات!$D$5:$D$304,MATCH($B948,الموظفات!$B$5:$B$304,0))&amp;"",""))</f>
        <v/>
      </c>
      <c r="N948" s="20">
        <f>IF($B948="","",IFERROR(INDEX(الموظفات!$E$5:$E$304,MATCH($B948,الموظفات!$B$5:$B$304,0))&amp;"",""))</f>
        <v/>
      </c>
      <c r="O948" s="21">
        <f>IF(C948="","",IFERROR(INDEX(الإعدادات!$D$7:$D$35,MATCH(C948,الإعدادات!$A$7:$A$35,0))&amp;"",""))</f>
        <v/>
      </c>
      <c r="P948" s="20">
        <f>IF(A948="","",INDEX(الإعدادات!$H$7:$H$18,MONTH(A948)))</f>
        <v/>
      </c>
      <c r="Q948" s="20">
        <f>IF(A948="","",INDEX(الإعدادات!$I$7:$I$18,MONTH(A948)))</f>
        <v/>
      </c>
      <c r="R948" s="20">
        <f>IF(A948="","",IF(MONTH(A948)&gt;=8,YEAR(A948)&amp;"-"&amp;(YEAR(A948)+1),(YEAR(A948)-1)&amp;"-"&amp;YEAR(A948)))</f>
        <v/>
      </c>
      <c r="S948" s="20">
        <f>IF(OR(A948="",B948=""),0,IF(AND(R948=التقارير!$C$4,OR(التقارير!$C$5="سنوي",AND(التقارير!$C$5="شهري",P948=التقارير!$C$6),AND(التقارير!$C$5="فصلي",Q948=التقارير!$C$7))),1,0))</f>
        <v/>
      </c>
      <c r="T948" s="20">
        <f>IF(S948=1,COUNTIF($S$5:S948,1),"")</f>
        <v/>
      </c>
      <c r="U948">
        <f>IF(AND($A948&lt;&gt;"",$B948&lt;&gt;"",$R948='تقرير الفصل الأول'!$C$4,$Q948='تقرير الفصل الأول'!$C$7),COUNT(U$4:U947)+1,"")</f>
        <v/>
      </c>
      <c r="V948">
        <f>IF(AND($A948&lt;&gt;"",$B948&lt;&gt;"",$R948='تقرير الفصل الثاني'!$C$4,$Q948='تقرير الفصل الثاني'!$C$7),COUNT(V$4:V947)+1,"")</f>
        <v/>
      </c>
      <c r="W948">
        <f>IF(AND($A948&lt;&gt;"",$B948&lt;&gt;"",$R948='تقرير سبتمبر'!$C$4,$P948='تقرير سبتمبر'!$C$6),COUNT(W$4:W947)+1,"")</f>
        <v/>
      </c>
      <c r="X948">
        <f>IF(AND($A948&lt;&gt;"",$B948&lt;&gt;"",$R948='تقرير أكتوبر'!$C$4,$P948='تقرير أكتوبر'!$C$6),COUNT(X$4:X947)+1,"")</f>
        <v/>
      </c>
      <c r="Y948">
        <f>IF(AND($A948&lt;&gt;"",$B948&lt;&gt;"",$R948='تقرير نوفمبر'!$C$4,$P948='تقرير نوفمبر'!$C$6),COUNT(Y$4:Y947)+1,"")</f>
        <v/>
      </c>
      <c r="Z948">
        <f>IF(AND($A948&lt;&gt;"",$B948&lt;&gt;"",$R948='تقرير ديسمبر'!$C$4,$P948='تقرير ديسمبر'!$C$6),COUNT(Z$4:Z947)+1,"")</f>
        <v/>
      </c>
      <c r="AA948">
        <f>IF(AND($A948&lt;&gt;"",$B948&lt;&gt;"",$R948='تقرير يناير'!$C$4,$P948='تقرير يناير'!$C$6),COUNT(AA$4:AA947)+1,"")</f>
        <v/>
      </c>
      <c r="AB948">
        <f>IF(AND($A948&lt;&gt;"",$B948&lt;&gt;"",$R948='تقرير فبراير'!$C$4,$P948='تقرير فبراير'!$C$6),COUNT(AB$4:AB947)+1,"")</f>
        <v/>
      </c>
      <c r="AC948">
        <f>IF(AND($A948&lt;&gt;"",$B948&lt;&gt;"",$R948='تقرير مارس'!$C$4,$P948='تقرير مارس'!$C$6),COUNT(AC$4:AC947)+1,"")</f>
        <v/>
      </c>
      <c r="AD948">
        <f>IF(AND($A948&lt;&gt;"",$B948&lt;&gt;"",$R948='تقرير أبريل'!$C$4,$P948='تقرير أبريل'!$C$6),COUNT(AD$4:AD947)+1,"")</f>
        <v/>
      </c>
      <c r="AE948">
        <f>IF(AND($A948&lt;&gt;"",$B948&lt;&gt;"",$R948='تقرير مايو'!$C$4,$P948='تقرير مايو'!$C$6),COUNT(AE$4:AE947)+1,"")</f>
        <v/>
      </c>
    </row>
    <row r="949">
      <c r="A949" s="16" t="n"/>
      <c r="B949" s="17" t="n"/>
      <c r="C949" s="17" t="n"/>
      <c r="D949" s="18" t="n"/>
      <c r="E949" s="17" t="n"/>
      <c r="F949" s="17" t="n"/>
      <c r="G949" s="19" t="n"/>
      <c r="H949" s="17" t="n"/>
      <c r="I949" s="17" t="n"/>
      <c r="J949" s="17" t="n"/>
      <c r="K949" s="20">
        <f>IF($B949="","",IFERROR(INDEX(الموظفات!$A$5:$A$304,MATCH($B949,الموظفات!$B$5:$B$304,0))&amp;"",""))</f>
        <v/>
      </c>
      <c r="L949" s="21">
        <f>IF($B949="","",IFERROR(INDEX(الموظفات!$C$5:$C$304,MATCH($B949,الموظفات!$B$5:$B$304,0))&amp;"",""))</f>
        <v/>
      </c>
      <c r="M949" s="20">
        <f>IF($B949="","",IFERROR(INDEX(الموظفات!$D$5:$D$304,MATCH($B949,الموظفات!$B$5:$B$304,0))&amp;"",""))</f>
        <v/>
      </c>
      <c r="N949" s="20">
        <f>IF($B949="","",IFERROR(INDEX(الموظفات!$E$5:$E$304,MATCH($B949,الموظفات!$B$5:$B$304,0))&amp;"",""))</f>
        <v/>
      </c>
      <c r="O949" s="21">
        <f>IF(C949="","",IFERROR(INDEX(الإعدادات!$D$7:$D$35,MATCH(C949,الإعدادات!$A$7:$A$35,0))&amp;"",""))</f>
        <v/>
      </c>
      <c r="P949" s="20">
        <f>IF(A949="","",INDEX(الإعدادات!$H$7:$H$18,MONTH(A949)))</f>
        <v/>
      </c>
      <c r="Q949" s="20">
        <f>IF(A949="","",INDEX(الإعدادات!$I$7:$I$18,MONTH(A949)))</f>
        <v/>
      </c>
      <c r="R949" s="20">
        <f>IF(A949="","",IF(MONTH(A949)&gt;=8,YEAR(A949)&amp;"-"&amp;(YEAR(A949)+1),(YEAR(A949)-1)&amp;"-"&amp;YEAR(A949)))</f>
        <v/>
      </c>
      <c r="S949" s="20">
        <f>IF(OR(A949="",B949=""),0,IF(AND(R949=التقارير!$C$4,OR(التقارير!$C$5="سنوي",AND(التقارير!$C$5="شهري",P949=التقارير!$C$6),AND(التقارير!$C$5="فصلي",Q949=التقارير!$C$7))),1,0))</f>
        <v/>
      </c>
      <c r="T949" s="20">
        <f>IF(S949=1,COUNTIF($S$5:S949,1),"")</f>
        <v/>
      </c>
      <c r="U949">
        <f>IF(AND($A949&lt;&gt;"",$B949&lt;&gt;"",$R949='تقرير الفصل الأول'!$C$4,$Q949='تقرير الفصل الأول'!$C$7),COUNT(U$4:U948)+1,"")</f>
        <v/>
      </c>
      <c r="V949">
        <f>IF(AND($A949&lt;&gt;"",$B949&lt;&gt;"",$R949='تقرير الفصل الثاني'!$C$4,$Q949='تقرير الفصل الثاني'!$C$7),COUNT(V$4:V948)+1,"")</f>
        <v/>
      </c>
      <c r="W949">
        <f>IF(AND($A949&lt;&gt;"",$B949&lt;&gt;"",$R949='تقرير سبتمبر'!$C$4,$P949='تقرير سبتمبر'!$C$6),COUNT(W$4:W948)+1,"")</f>
        <v/>
      </c>
      <c r="X949">
        <f>IF(AND($A949&lt;&gt;"",$B949&lt;&gt;"",$R949='تقرير أكتوبر'!$C$4,$P949='تقرير أكتوبر'!$C$6),COUNT(X$4:X948)+1,"")</f>
        <v/>
      </c>
      <c r="Y949">
        <f>IF(AND($A949&lt;&gt;"",$B949&lt;&gt;"",$R949='تقرير نوفمبر'!$C$4,$P949='تقرير نوفمبر'!$C$6),COUNT(Y$4:Y948)+1,"")</f>
        <v/>
      </c>
      <c r="Z949">
        <f>IF(AND($A949&lt;&gt;"",$B949&lt;&gt;"",$R949='تقرير ديسمبر'!$C$4,$P949='تقرير ديسمبر'!$C$6),COUNT(Z$4:Z948)+1,"")</f>
        <v/>
      </c>
      <c r="AA949">
        <f>IF(AND($A949&lt;&gt;"",$B949&lt;&gt;"",$R949='تقرير يناير'!$C$4,$P949='تقرير يناير'!$C$6),COUNT(AA$4:AA948)+1,"")</f>
        <v/>
      </c>
      <c r="AB949">
        <f>IF(AND($A949&lt;&gt;"",$B949&lt;&gt;"",$R949='تقرير فبراير'!$C$4,$P949='تقرير فبراير'!$C$6),COUNT(AB$4:AB948)+1,"")</f>
        <v/>
      </c>
      <c r="AC949">
        <f>IF(AND($A949&lt;&gt;"",$B949&lt;&gt;"",$R949='تقرير مارس'!$C$4,$P949='تقرير مارس'!$C$6),COUNT(AC$4:AC948)+1,"")</f>
        <v/>
      </c>
      <c r="AD949">
        <f>IF(AND($A949&lt;&gt;"",$B949&lt;&gt;"",$R949='تقرير أبريل'!$C$4,$P949='تقرير أبريل'!$C$6),COUNT(AD$4:AD948)+1,"")</f>
        <v/>
      </c>
      <c r="AE949">
        <f>IF(AND($A949&lt;&gt;"",$B949&lt;&gt;"",$R949='تقرير مايو'!$C$4,$P949='تقرير مايو'!$C$6),COUNT(AE$4:AE948)+1,"")</f>
        <v/>
      </c>
    </row>
    <row r="950">
      <c r="A950" s="16" t="n"/>
      <c r="B950" s="17" t="n"/>
      <c r="C950" s="17" t="n"/>
      <c r="D950" s="18" t="n"/>
      <c r="E950" s="17" t="n"/>
      <c r="F950" s="17" t="n"/>
      <c r="G950" s="19" t="n"/>
      <c r="H950" s="17" t="n"/>
      <c r="I950" s="17" t="n"/>
      <c r="J950" s="17" t="n"/>
      <c r="K950" s="20">
        <f>IF($B950="","",IFERROR(INDEX(الموظفات!$A$5:$A$304,MATCH($B950,الموظفات!$B$5:$B$304,0))&amp;"",""))</f>
        <v/>
      </c>
      <c r="L950" s="21">
        <f>IF($B950="","",IFERROR(INDEX(الموظفات!$C$5:$C$304,MATCH($B950,الموظفات!$B$5:$B$304,0))&amp;"",""))</f>
        <v/>
      </c>
      <c r="M950" s="20">
        <f>IF($B950="","",IFERROR(INDEX(الموظفات!$D$5:$D$304,MATCH($B950,الموظفات!$B$5:$B$304,0))&amp;"",""))</f>
        <v/>
      </c>
      <c r="N950" s="20">
        <f>IF($B950="","",IFERROR(INDEX(الموظفات!$E$5:$E$304,MATCH($B950,الموظفات!$B$5:$B$304,0))&amp;"",""))</f>
        <v/>
      </c>
      <c r="O950" s="21">
        <f>IF(C950="","",IFERROR(INDEX(الإعدادات!$D$7:$D$35,MATCH(C950,الإعدادات!$A$7:$A$35,0))&amp;"",""))</f>
        <v/>
      </c>
      <c r="P950" s="20">
        <f>IF(A950="","",INDEX(الإعدادات!$H$7:$H$18,MONTH(A950)))</f>
        <v/>
      </c>
      <c r="Q950" s="20">
        <f>IF(A950="","",INDEX(الإعدادات!$I$7:$I$18,MONTH(A950)))</f>
        <v/>
      </c>
      <c r="R950" s="20">
        <f>IF(A950="","",IF(MONTH(A950)&gt;=8,YEAR(A950)&amp;"-"&amp;(YEAR(A950)+1),(YEAR(A950)-1)&amp;"-"&amp;YEAR(A950)))</f>
        <v/>
      </c>
      <c r="S950" s="20">
        <f>IF(OR(A950="",B950=""),0,IF(AND(R950=التقارير!$C$4,OR(التقارير!$C$5="سنوي",AND(التقارير!$C$5="شهري",P950=التقارير!$C$6),AND(التقارير!$C$5="فصلي",Q950=التقارير!$C$7))),1,0))</f>
        <v/>
      </c>
      <c r="T950" s="20">
        <f>IF(S950=1,COUNTIF($S$5:S950,1),"")</f>
        <v/>
      </c>
      <c r="U950">
        <f>IF(AND($A950&lt;&gt;"",$B950&lt;&gt;"",$R950='تقرير الفصل الأول'!$C$4,$Q950='تقرير الفصل الأول'!$C$7),COUNT(U$4:U949)+1,"")</f>
        <v/>
      </c>
      <c r="V950">
        <f>IF(AND($A950&lt;&gt;"",$B950&lt;&gt;"",$R950='تقرير الفصل الثاني'!$C$4,$Q950='تقرير الفصل الثاني'!$C$7),COUNT(V$4:V949)+1,"")</f>
        <v/>
      </c>
      <c r="W950">
        <f>IF(AND($A950&lt;&gt;"",$B950&lt;&gt;"",$R950='تقرير سبتمبر'!$C$4,$P950='تقرير سبتمبر'!$C$6),COUNT(W$4:W949)+1,"")</f>
        <v/>
      </c>
      <c r="X950">
        <f>IF(AND($A950&lt;&gt;"",$B950&lt;&gt;"",$R950='تقرير أكتوبر'!$C$4,$P950='تقرير أكتوبر'!$C$6),COUNT(X$4:X949)+1,"")</f>
        <v/>
      </c>
      <c r="Y950">
        <f>IF(AND($A950&lt;&gt;"",$B950&lt;&gt;"",$R950='تقرير نوفمبر'!$C$4,$P950='تقرير نوفمبر'!$C$6),COUNT(Y$4:Y949)+1,"")</f>
        <v/>
      </c>
      <c r="Z950">
        <f>IF(AND($A950&lt;&gt;"",$B950&lt;&gt;"",$R950='تقرير ديسمبر'!$C$4,$P950='تقرير ديسمبر'!$C$6),COUNT(Z$4:Z949)+1,"")</f>
        <v/>
      </c>
      <c r="AA950">
        <f>IF(AND($A950&lt;&gt;"",$B950&lt;&gt;"",$R950='تقرير يناير'!$C$4,$P950='تقرير يناير'!$C$6),COUNT(AA$4:AA949)+1,"")</f>
        <v/>
      </c>
      <c r="AB950">
        <f>IF(AND($A950&lt;&gt;"",$B950&lt;&gt;"",$R950='تقرير فبراير'!$C$4,$P950='تقرير فبراير'!$C$6),COUNT(AB$4:AB949)+1,"")</f>
        <v/>
      </c>
      <c r="AC950">
        <f>IF(AND($A950&lt;&gt;"",$B950&lt;&gt;"",$R950='تقرير مارس'!$C$4,$P950='تقرير مارس'!$C$6),COUNT(AC$4:AC949)+1,"")</f>
        <v/>
      </c>
      <c r="AD950">
        <f>IF(AND($A950&lt;&gt;"",$B950&lt;&gt;"",$R950='تقرير أبريل'!$C$4,$P950='تقرير أبريل'!$C$6),COUNT(AD$4:AD949)+1,"")</f>
        <v/>
      </c>
      <c r="AE950">
        <f>IF(AND($A950&lt;&gt;"",$B950&lt;&gt;"",$R950='تقرير مايو'!$C$4,$P950='تقرير مايو'!$C$6),COUNT(AE$4:AE949)+1,"")</f>
        <v/>
      </c>
    </row>
    <row r="951">
      <c r="A951" s="16" t="n"/>
      <c r="B951" s="17" t="n"/>
      <c r="C951" s="17" t="n"/>
      <c r="D951" s="18" t="n"/>
      <c r="E951" s="17" t="n"/>
      <c r="F951" s="17" t="n"/>
      <c r="G951" s="19" t="n"/>
      <c r="H951" s="17" t="n"/>
      <c r="I951" s="17" t="n"/>
      <c r="J951" s="17" t="n"/>
      <c r="K951" s="20">
        <f>IF($B951="","",IFERROR(INDEX(الموظفات!$A$5:$A$304,MATCH($B951,الموظفات!$B$5:$B$304,0))&amp;"",""))</f>
        <v/>
      </c>
      <c r="L951" s="21">
        <f>IF($B951="","",IFERROR(INDEX(الموظفات!$C$5:$C$304,MATCH($B951,الموظفات!$B$5:$B$304,0))&amp;"",""))</f>
        <v/>
      </c>
      <c r="M951" s="20">
        <f>IF($B951="","",IFERROR(INDEX(الموظفات!$D$5:$D$304,MATCH($B951,الموظفات!$B$5:$B$304,0))&amp;"",""))</f>
        <v/>
      </c>
      <c r="N951" s="20">
        <f>IF($B951="","",IFERROR(INDEX(الموظفات!$E$5:$E$304,MATCH($B951,الموظفات!$B$5:$B$304,0))&amp;"",""))</f>
        <v/>
      </c>
      <c r="O951" s="21">
        <f>IF(C951="","",IFERROR(INDEX(الإعدادات!$D$7:$D$35,MATCH(C951,الإعدادات!$A$7:$A$35,0))&amp;"",""))</f>
        <v/>
      </c>
      <c r="P951" s="20">
        <f>IF(A951="","",INDEX(الإعدادات!$H$7:$H$18,MONTH(A951)))</f>
        <v/>
      </c>
      <c r="Q951" s="20">
        <f>IF(A951="","",INDEX(الإعدادات!$I$7:$I$18,MONTH(A951)))</f>
        <v/>
      </c>
      <c r="R951" s="20">
        <f>IF(A951="","",IF(MONTH(A951)&gt;=8,YEAR(A951)&amp;"-"&amp;(YEAR(A951)+1),(YEAR(A951)-1)&amp;"-"&amp;YEAR(A951)))</f>
        <v/>
      </c>
      <c r="S951" s="20">
        <f>IF(OR(A951="",B951=""),0,IF(AND(R951=التقارير!$C$4,OR(التقارير!$C$5="سنوي",AND(التقارير!$C$5="شهري",P951=التقارير!$C$6),AND(التقارير!$C$5="فصلي",Q951=التقارير!$C$7))),1,0))</f>
        <v/>
      </c>
      <c r="T951" s="20">
        <f>IF(S951=1,COUNTIF($S$5:S951,1),"")</f>
        <v/>
      </c>
      <c r="U951">
        <f>IF(AND($A951&lt;&gt;"",$B951&lt;&gt;"",$R951='تقرير الفصل الأول'!$C$4,$Q951='تقرير الفصل الأول'!$C$7),COUNT(U$4:U950)+1,"")</f>
        <v/>
      </c>
      <c r="V951">
        <f>IF(AND($A951&lt;&gt;"",$B951&lt;&gt;"",$R951='تقرير الفصل الثاني'!$C$4,$Q951='تقرير الفصل الثاني'!$C$7),COUNT(V$4:V950)+1,"")</f>
        <v/>
      </c>
      <c r="W951">
        <f>IF(AND($A951&lt;&gt;"",$B951&lt;&gt;"",$R951='تقرير سبتمبر'!$C$4,$P951='تقرير سبتمبر'!$C$6),COUNT(W$4:W950)+1,"")</f>
        <v/>
      </c>
      <c r="X951">
        <f>IF(AND($A951&lt;&gt;"",$B951&lt;&gt;"",$R951='تقرير أكتوبر'!$C$4,$P951='تقرير أكتوبر'!$C$6),COUNT(X$4:X950)+1,"")</f>
        <v/>
      </c>
      <c r="Y951">
        <f>IF(AND($A951&lt;&gt;"",$B951&lt;&gt;"",$R951='تقرير نوفمبر'!$C$4,$P951='تقرير نوفمبر'!$C$6),COUNT(Y$4:Y950)+1,"")</f>
        <v/>
      </c>
      <c r="Z951">
        <f>IF(AND($A951&lt;&gt;"",$B951&lt;&gt;"",$R951='تقرير ديسمبر'!$C$4,$P951='تقرير ديسمبر'!$C$6),COUNT(Z$4:Z950)+1,"")</f>
        <v/>
      </c>
      <c r="AA951">
        <f>IF(AND($A951&lt;&gt;"",$B951&lt;&gt;"",$R951='تقرير يناير'!$C$4,$P951='تقرير يناير'!$C$6),COUNT(AA$4:AA950)+1,"")</f>
        <v/>
      </c>
      <c r="AB951">
        <f>IF(AND($A951&lt;&gt;"",$B951&lt;&gt;"",$R951='تقرير فبراير'!$C$4,$P951='تقرير فبراير'!$C$6),COUNT(AB$4:AB950)+1,"")</f>
        <v/>
      </c>
      <c r="AC951">
        <f>IF(AND($A951&lt;&gt;"",$B951&lt;&gt;"",$R951='تقرير مارس'!$C$4,$P951='تقرير مارس'!$C$6),COUNT(AC$4:AC950)+1,"")</f>
        <v/>
      </c>
      <c r="AD951">
        <f>IF(AND($A951&lt;&gt;"",$B951&lt;&gt;"",$R951='تقرير أبريل'!$C$4,$P951='تقرير أبريل'!$C$6),COUNT(AD$4:AD950)+1,"")</f>
        <v/>
      </c>
      <c r="AE951">
        <f>IF(AND($A951&lt;&gt;"",$B951&lt;&gt;"",$R951='تقرير مايو'!$C$4,$P951='تقرير مايو'!$C$6),COUNT(AE$4:AE950)+1,"")</f>
        <v/>
      </c>
    </row>
    <row r="952">
      <c r="A952" s="16" t="n"/>
      <c r="B952" s="17" t="n"/>
      <c r="C952" s="17" t="n"/>
      <c r="D952" s="18" t="n"/>
      <c r="E952" s="17" t="n"/>
      <c r="F952" s="17" t="n"/>
      <c r="G952" s="19" t="n"/>
      <c r="H952" s="17" t="n"/>
      <c r="I952" s="17" t="n"/>
      <c r="J952" s="17" t="n"/>
      <c r="K952" s="20">
        <f>IF($B952="","",IFERROR(INDEX(الموظفات!$A$5:$A$304,MATCH($B952,الموظفات!$B$5:$B$304,0))&amp;"",""))</f>
        <v/>
      </c>
      <c r="L952" s="21">
        <f>IF($B952="","",IFERROR(INDEX(الموظفات!$C$5:$C$304,MATCH($B952,الموظفات!$B$5:$B$304,0))&amp;"",""))</f>
        <v/>
      </c>
      <c r="M952" s="20">
        <f>IF($B952="","",IFERROR(INDEX(الموظفات!$D$5:$D$304,MATCH($B952,الموظفات!$B$5:$B$304,0))&amp;"",""))</f>
        <v/>
      </c>
      <c r="N952" s="20">
        <f>IF($B952="","",IFERROR(INDEX(الموظفات!$E$5:$E$304,MATCH($B952,الموظفات!$B$5:$B$304,0))&amp;"",""))</f>
        <v/>
      </c>
      <c r="O952" s="21">
        <f>IF(C952="","",IFERROR(INDEX(الإعدادات!$D$7:$D$35,MATCH(C952,الإعدادات!$A$7:$A$35,0))&amp;"",""))</f>
        <v/>
      </c>
      <c r="P952" s="20">
        <f>IF(A952="","",INDEX(الإعدادات!$H$7:$H$18,MONTH(A952)))</f>
        <v/>
      </c>
      <c r="Q952" s="20">
        <f>IF(A952="","",INDEX(الإعدادات!$I$7:$I$18,MONTH(A952)))</f>
        <v/>
      </c>
      <c r="R952" s="20">
        <f>IF(A952="","",IF(MONTH(A952)&gt;=8,YEAR(A952)&amp;"-"&amp;(YEAR(A952)+1),(YEAR(A952)-1)&amp;"-"&amp;YEAR(A952)))</f>
        <v/>
      </c>
      <c r="S952" s="20">
        <f>IF(OR(A952="",B952=""),0,IF(AND(R952=التقارير!$C$4,OR(التقارير!$C$5="سنوي",AND(التقارير!$C$5="شهري",P952=التقارير!$C$6),AND(التقارير!$C$5="فصلي",Q952=التقارير!$C$7))),1,0))</f>
        <v/>
      </c>
      <c r="T952" s="20">
        <f>IF(S952=1,COUNTIF($S$5:S952,1),"")</f>
        <v/>
      </c>
      <c r="U952">
        <f>IF(AND($A952&lt;&gt;"",$B952&lt;&gt;"",$R952='تقرير الفصل الأول'!$C$4,$Q952='تقرير الفصل الأول'!$C$7),COUNT(U$4:U951)+1,"")</f>
        <v/>
      </c>
      <c r="V952">
        <f>IF(AND($A952&lt;&gt;"",$B952&lt;&gt;"",$R952='تقرير الفصل الثاني'!$C$4,$Q952='تقرير الفصل الثاني'!$C$7),COUNT(V$4:V951)+1,"")</f>
        <v/>
      </c>
      <c r="W952">
        <f>IF(AND($A952&lt;&gt;"",$B952&lt;&gt;"",$R952='تقرير سبتمبر'!$C$4,$P952='تقرير سبتمبر'!$C$6),COUNT(W$4:W951)+1,"")</f>
        <v/>
      </c>
      <c r="X952">
        <f>IF(AND($A952&lt;&gt;"",$B952&lt;&gt;"",$R952='تقرير أكتوبر'!$C$4,$P952='تقرير أكتوبر'!$C$6),COUNT(X$4:X951)+1,"")</f>
        <v/>
      </c>
      <c r="Y952">
        <f>IF(AND($A952&lt;&gt;"",$B952&lt;&gt;"",$R952='تقرير نوفمبر'!$C$4,$P952='تقرير نوفمبر'!$C$6),COUNT(Y$4:Y951)+1,"")</f>
        <v/>
      </c>
      <c r="Z952">
        <f>IF(AND($A952&lt;&gt;"",$B952&lt;&gt;"",$R952='تقرير ديسمبر'!$C$4,$P952='تقرير ديسمبر'!$C$6),COUNT(Z$4:Z951)+1,"")</f>
        <v/>
      </c>
      <c r="AA952">
        <f>IF(AND($A952&lt;&gt;"",$B952&lt;&gt;"",$R952='تقرير يناير'!$C$4,$P952='تقرير يناير'!$C$6),COUNT(AA$4:AA951)+1,"")</f>
        <v/>
      </c>
      <c r="AB952">
        <f>IF(AND($A952&lt;&gt;"",$B952&lt;&gt;"",$R952='تقرير فبراير'!$C$4,$P952='تقرير فبراير'!$C$6),COUNT(AB$4:AB951)+1,"")</f>
        <v/>
      </c>
      <c r="AC952">
        <f>IF(AND($A952&lt;&gt;"",$B952&lt;&gt;"",$R952='تقرير مارس'!$C$4,$P952='تقرير مارس'!$C$6),COUNT(AC$4:AC951)+1,"")</f>
        <v/>
      </c>
      <c r="AD952">
        <f>IF(AND($A952&lt;&gt;"",$B952&lt;&gt;"",$R952='تقرير أبريل'!$C$4,$P952='تقرير أبريل'!$C$6),COUNT(AD$4:AD951)+1,"")</f>
        <v/>
      </c>
      <c r="AE952">
        <f>IF(AND($A952&lt;&gt;"",$B952&lt;&gt;"",$R952='تقرير مايو'!$C$4,$P952='تقرير مايو'!$C$6),COUNT(AE$4:AE951)+1,"")</f>
        <v/>
      </c>
    </row>
    <row r="953">
      <c r="A953" s="16" t="n"/>
      <c r="B953" s="17" t="n"/>
      <c r="C953" s="17" t="n"/>
      <c r="D953" s="18" t="n"/>
      <c r="E953" s="17" t="n"/>
      <c r="F953" s="17" t="n"/>
      <c r="G953" s="19" t="n"/>
      <c r="H953" s="17" t="n"/>
      <c r="I953" s="17" t="n"/>
      <c r="J953" s="17" t="n"/>
      <c r="K953" s="20">
        <f>IF($B953="","",IFERROR(INDEX(الموظفات!$A$5:$A$304,MATCH($B953,الموظفات!$B$5:$B$304,0))&amp;"",""))</f>
        <v/>
      </c>
      <c r="L953" s="21">
        <f>IF($B953="","",IFERROR(INDEX(الموظفات!$C$5:$C$304,MATCH($B953,الموظفات!$B$5:$B$304,0))&amp;"",""))</f>
        <v/>
      </c>
      <c r="M953" s="20">
        <f>IF($B953="","",IFERROR(INDEX(الموظفات!$D$5:$D$304,MATCH($B953,الموظفات!$B$5:$B$304,0))&amp;"",""))</f>
        <v/>
      </c>
      <c r="N953" s="20">
        <f>IF($B953="","",IFERROR(INDEX(الموظفات!$E$5:$E$304,MATCH($B953,الموظفات!$B$5:$B$304,0))&amp;"",""))</f>
        <v/>
      </c>
      <c r="O953" s="21">
        <f>IF(C953="","",IFERROR(INDEX(الإعدادات!$D$7:$D$35,MATCH(C953,الإعدادات!$A$7:$A$35,0))&amp;"",""))</f>
        <v/>
      </c>
      <c r="P953" s="20">
        <f>IF(A953="","",INDEX(الإعدادات!$H$7:$H$18,MONTH(A953)))</f>
        <v/>
      </c>
      <c r="Q953" s="20">
        <f>IF(A953="","",INDEX(الإعدادات!$I$7:$I$18,MONTH(A953)))</f>
        <v/>
      </c>
      <c r="R953" s="20">
        <f>IF(A953="","",IF(MONTH(A953)&gt;=8,YEAR(A953)&amp;"-"&amp;(YEAR(A953)+1),(YEAR(A953)-1)&amp;"-"&amp;YEAR(A953)))</f>
        <v/>
      </c>
      <c r="S953" s="20">
        <f>IF(OR(A953="",B953=""),0,IF(AND(R953=التقارير!$C$4,OR(التقارير!$C$5="سنوي",AND(التقارير!$C$5="شهري",P953=التقارير!$C$6),AND(التقارير!$C$5="فصلي",Q953=التقارير!$C$7))),1,0))</f>
        <v/>
      </c>
      <c r="T953" s="20">
        <f>IF(S953=1,COUNTIF($S$5:S953,1),"")</f>
        <v/>
      </c>
      <c r="U953">
        <f>IF(AND($A953&lt;&gt;"",$B953&lt;&gt;"",$R953='تقرير الفصل الأول'!$C$4,$Q953='تقرير الفصل الأول'!$C$7),COUNT(U$4:U952)+1,"")</f>
        <v/>
      </c>
      <c r="V953">
        <f>IF(AND($A953&lt;&gt;"",$B953&lt;&gt;"",$R953='تقرير الفصل الثاني'!$C$4,$Q953='تقرير الفصل الثاني'!$C$7),COUNT(V$4:V952)+1,"")</f>
        <v/>
      </c>
      <c r="W953">
        <f>IF(AND($A953&lt;&gt;"",$B953&lt;&gt;"",$R953='تقرير سبتمبر'!$C$4,$P953='تقرير سبتمبر'!$C$6),COUNT(W$4:W952)+1,"")</f>
        <v/>
      </c>
      <c r="X953">
        <f>IF(AND($A953&lt;&gt;"",$B953&lt;&gt;"",$R953='تقرير أكتوبر'!$C$4,$P953='تقرير أكتوبر'!$C$6),COUNT(X$4:X952)+1,"")</f>
        <v/>
      </c>
      <c r="Y953">
        <f>IF(AND($A953&lt;&gt;"",$B953&lt;&gt;"",$R953='تقرير نوفمبر'!$C$4,$P953='تقرير نوفمبر'!$C$6),COUNT(Y$4:Y952)+1,"")</f>
        <v/>
      </c>
      <c r="Z953">
        <f>IF(AND($A953&lt;&gt;"",$B953&lt;&gt;"",$R953='تقرير ديسمبر'!$C$4,$P953='تقرير ديسمبر'!$C$6),COUNT(Z$4:Z952)+1,"")</f>
        <v/>
      </c>
      <c r="AA953">
        <f>IF(AND($A953&lt;&gt;"",$B953&lt;&gt;"",$R953='تقرير يناير'!$C$4,$P953='تقرير يناير'!$C$6),COUNT(AA$4:AA952)+1,"")</f>
        <v/>
      </c>
      <c r="AB953">
        <f>IF(AND($A953&lt;&gt;"",$B953&lt;&gt;"",$R953='تقرير فبراير'!$C$4,$P953='تقرير فبراير'!$C$6),COUNT(AB$4:AB952)+1,"")</f>
        <v/>
      </c>
      <c r="AC953">
        <f>IF(AND($A953&lt;&gt;"",$B953&lt;&gt;"",$R953='تقرير مارس'!$C$4,$P953='تقرير مارس'!$C$6),COUNT(AC$4:AC952)+1,"")</f>
        <v/>
      </c>
      <c r="AD953">
        <f>IF(AND($A953&lt;&gt;"",$B953&lt;&gt;"",$R953='تقرير أبريل'!$C$4,$P953='تقرير أبريل'!$C$6),COUNT(AD$4:AD952)+1,"")</f>
        <v/>
      </c>
      <c r="AE953">
        <f>IF(AND($A953&lt;&gt;"",$B953&lt;&gt;"",$R953='تقرير مايو'!$C$4,$P953='تقرير مايو'!$C$6),COUNT(AE$4:AE952)+1,"")</f>
        <v/>
      </c>
    </row>
    <row r="954">
      <c r="A954" s="16" t="n"/>
      <c r="B954" s="17" t="n"/>
      <c r="C954" s="17" t="n"/>
      <c r="D954" s="18" t="n"/>
      <c r="E954" s="17" t="n"/>
      <c r="F954" s="17" t="n"/>
      <c r="G954" s="19" t="n"/>
      <c r="H954" s="17" t="n"/>
      <c r="I954" s="17" t="n"/>
      <c r="J954" s="17" t="n"/>
      <c r="K954" s="20">
        <f>IF($B954="","",IFERROR(INDEX(الموظفات!$A$5:$A$304,MATCH($B954,الموظفات!$B$5:$B$304,0))&amp;"",""))</f>
        <v/>
      </c>
      <c r="L954" s="21">
        <f>IF($B954="","",IFERROR(INDEX(الموظفات!$C$5:$C$304,MATCH($B954,الموظفات!$B$5:$B$304,0))&amp;"",""))</f>
        <v/>
      </c>
      <c r="M954" s="20">
        <f>IF($B954="","",IFERROR(INDEX(الموظفات!$D$5:$D$304,MATCH($B954,الموظفات!$B$5:$B$304,0))&amp;"",""))</f>
        <v/>
      </c>
      <c r="N954" s="20">
        <f>IF($B954="","",IFERROR(INDEX(الموظفات!$E$5:$E$304,MATCH($B954,الموظفات!$B$5:$B$304,0))&amp;"",""))</f>
        <v/>
      </c>
      <c r="O954" s="21">
        <f>IF(C954="","",IFERROR(INDEX(الإعدادات!$D$7:$D$35,MATCH(C954,الإعدادات!$A$7:$A$35,0))&amp;"",""))</f>
        <v/>
      </c>
      <c r="P954" s="20">
        <f>IF(A954="","",INDEX(الإعدادات!$H$7:$H$18,MONTH(A954)))</f>
        <v/>
      </c>
      <c r="Q954" s="20">
        <f>IF(A954="","",INDEX(الإعدادات!$I$7:$I$18,MONTH(A954)))</f>
        <v/>
      </c>
      <c r="R954" s="20">
        <f>IF(A954="","",IF(MONTH(A954)&gt;=8,YEAR(A954)&amp;"-"&amp;(YEAR(A954)+1),(YEAR(A954)-1)&amp;"-"&amp;YEAR(A954)))</f>
        <v/>
      </c>
      <c r="S954" s="20">
        <f>IF(OR(A954="",B954=""),0,IF(AND(R954=التقارير!$C$4,OR(التقارير!$C$5="سنوي",AND(التقارير!$C$5="شهري",P954=التقارير!$C$6),AND(التقارير!$C$5="فصلي",Q954=التقارير!$C$7))),1,0))</f>
        <v/>
      </c>
      <c r="T954" s="20">
        <f>IF(S954=1,COUNTIF($S$5:S954,1),"")</f>
        <v/>
      </c>
      <c r="U954">
        <f>IF(AND($A954&lt;&gt;"",$B954&lt;&gt;"",$R954='تقرير الفصل الأول'!$C$4,$Q954='تقرير الفصل الأول'!$C$7),COUNT(U$4:U953)+1,"")</f>
        <v/>
      </c>
      <c r="V954">
        <f>IF(AND($A954&lt;&gt;"",$B954&lt;&gt;"",$R954='تقرير الفصل الثاني'!$C$4,$Q954='تقرير الفصل الثاني'!$C$7),COUNT(V$4:V953)+1,"")</f>
        <v/>
      </c>
      <c r="W954">
        <f>IF(AND($A954&lt;&gt;"",$B954&lt;&gt;"",$R954='تقرير سبتمبر'!$C$4,$P954='تقرير سبتمبر'!$C$6),COUNT(W$4:W953)+1,"")</f>
        <v/>
      </c>
      <c r="X954">
        <f>IF(AND($A954&lt;&gt;"",$B954&lt;&gt;"",$R954='تقرير أكتوبر'!$C$4,$P954='تقرير أكتوبر'!$C$6),COUNT(X$4:X953)+1,"")</f>
        <v/>
      </c>
      <c r="Y954">
        <f>IF(AND($A954&lt;&gt;"",$B954&lt;&gt;"",$R954='تقرير نوفمبر'!$C$4,$P954='تقرير نوفمبر'!$C$6),COUNT(Y$4:Y953)+1,"")</f>
        <v/>
      </c>
      <c r="Z954">
        <f>IF(AND($A954&lt;&gt;"",$B954&lt;&gt;"",$R954='تقرير ديسمبر'!$C$4,$P954='تقرير ديسمبر'!$C$6),COUNT(Z$4:Z953)+1,"")</f>
        <v/>
      </c>
      <c r="AA954">
        <f>IF(AND($A954&lt;&gt;"",$B954&lt;&gt;"",$R954='تقرير يناير'!$C$4,$P954='تقرير يناير'!$C$6),COUNT(AA$4:AA953)+1,"")</f>
        <v/>
      </c>
      <c r="AB954">
        <f>IF(AND($A954&lt;&gt;"",$B954&lt;&gt;"",$R954='تقرير فبراير'!$C$4,$P954='تقرير فبراير'!$C$6),COUNT(AB$4:AB953)+1,"")</f>
        <v/>
      </c>
      <c r="AC954">
        <f>IF(AND($A954&lt;&gt;"",$B954&lt;&gt;"",$R954='تقرير مارس'!$C$4,$P954='تقرير مارس'!$C$6),COUNT(AC$4:AC953)+1,"")</f>
        <v/>
      </c>
      <c r="AD954">
        <f>IF(AND($A954&lt;&gt;"",$B954&lt;&gt;"",$R954='تقرير أبريل'!$C$4,$P954='تقرير أبريل'!$C$6),COUNT(AD$4:AD953)+1,"")</f>
        <v/>
      </c>
      <c r="AE954">
        <f>IF(AND($A954&lt;&gt;"",$B954&lt;&gt;"",$R954='تقرير مايو'!$C$4,$P954='تقرير مايو'!$C$6),COUNT(AE$4:AE953)+1,"")</f>
        <v/>
      </c>
    </row>
    <row r="955">
      <c r="A955" s="16" t="n"/>
      <c r="B955" s="17" t="n"/>
      <c r="C955" s="17" t="n"/>
      <c r="D955" s="18" t="n"/>
      <c r="E955" s="17" t="n"/>
      <c r="F955" s="17" t="n"/>
      <c r="G955" s="19" t="n"/>
      <c r="H955" s="17" t="n"/>
      <c r="I955" s="17" t="n"/>
      <c r="J955" s="17" t="n"/>
      <c r="K955" s="20">
        <f>IF($B955="","",IFERROR(INDEX(الموظفات!$A$5:$A$304,MATCH($B955,الموظفات!$B$5:$B$304,0))&amp;"",""))</f>
        <v/>
      </c>
      <c r="L955" s="21">
        <f>IF($B955="","",IFERROR(INDEX(الموظفات!$C$5:$C$304,MATCH($B955,الموظفات!$B$5:$B$304,0))&amp;"",""))</f>
        <v/>
      </c>
      <c r="M955" s="20">
        <f>IF($B955="","",IFERROR(INDEX(الموظفات!$D$5:$D$304,MATCH($B955,الموظفات!$B$5:$B$304,0))&amp;"",""))</f>
        <v/>
      </c>
      <c r="N955" s="20">
        <f>IF($B955="","",IFERROR(INDEX(الموظفات!$E$5:$E$304,MATCH($B955,الموظفات!$B$5:$B$304,0))&amp;"",""))</f>
        <v/>
      </c>
      <c r="O955" s="21">
        <f>IF(C955="","",IFERROR(INDEX(الإعدادات!$D$7:$D$35,MATCH(C955,الإعدادات!$A$7:$A$35,0))&amp;"",""))</f>
        <v/>
      </c>
      <c r="P955" s="20">
        <f>IF(A955="","",INDEX(الإعدادات!$H$7:$H$18,MONTH(A955)))</f>
        <v/>
      </c>
      <c r="Q955" s="20">
        <f>IF(A955="","",INDEX(الإعدادات!$I$7:$I$18,MONTH(A955)))</f>
        <v/>
      </c>
      <c r="R955" s="20">
        <f>IF(A955="","",IF(MONTH(A955)&gt;=8,YEAR(A955)&amp;"-"&amp;(YEAR(A955)+1),(YEAR(A955)-1)&amp;"-"&amp;YEAR(A955)))</f>
        <v/>
      </c>
      <c r="S955" s="20">
        <f>IF(OR(A955="",B955=""),0,IF(AND(R955=التقارير!$C$4,OR(التقارير!$C$5="سنوي",AND(التقارير!$C$5="شهري",P955=التقارير!$C$6),AND(التقارير!$C$5="فصلي",Q955=التقارير!$C$7))),1,0))</f>
        <v/>
      </c>
      <c r="T955" s="20">
        <f>IF(S955=1,COUNTIF($S$5:S955,1),"")</f>
        <v/>
      </c>
      <c r="U955">
        <f>IF(AND($A955&lt;&gt;"",$B955&lt;&gt;"",$R955='تقرير الفصل الأول'!$C$4,$Q955='تقرير الفصل الأول'!$C$7),COUNT(U$4:U954)+1,"")</f>
        <v/>
      </c>
      <c r="V955">
        <f>IF(AND($A955&lt;&gt;"",$B955&lt;&gt;"",$R955='تقرير الفصل الثاني'!$C$4,$Q955='تقرير الفصل الثاني'!$C$7),COUNT(V$4:V954)+1,"")</f>
        <v/>
      </c>
      <c r="W955">
        <f>IF(AND($A955&lt;&gt;"",$B955&lt;&gt;"",$R955='تقرير سبتمبر'!$C$4,$P955='تقرير سبتمبر'!$C$6),COUNT(W$4:W954)+1,"")</f>
        <v/>
      </c>
      <c r="X955">
        <f>IF(AND($A955&lt;&gt;"",$B955&lt;&gt;"",$R955='تقرير أكتوبر'!$C$4,$P955='تقرير أكتوبر'!$C$6),COUNT(X$4:X954)+1,"")</f>
        <v/>
      </c>
      <c r="Y955">
        <f>IF(AND($A955&lt;&gt;"",$B955&lt;&gt;"",$R955='تقرير نوفمبر'!$C$4,$P955='تقرير نوفمبر'!$C$6),COUNT(Y$4:Y954)+1,"")</f>
        <v/>
      </c>
      <c r="Z955">
        <f>IF(AND($A955&lt;&gt;"",$B955&lt;&gt;"",$R955='تقرير ديسمبر'!$C$4,$P955='تقرير ديسمبر'!$C$6),COUNT(Z$4:Z954)+1,"")</f>
        <v/>
      </c>
      <c r="AA955">
        <f>IF(AND($A955&lt;&gt;"",$B955&lt;&gt;"",$R955='تقرير يناير'!$C$4,$P955='تقرير يناير'!$C$6),COUNT(AA$4:AA954)+1,"")</f>
        <v/>
      </c>
      <c r="AB955">
        <f>IF(AND($A955&lt;&gt;"",$B955&lt;&gt;"",$R955='تقرير فبراير'!$C$4,$P955='تقرير فبراير'!$C$6),COUNT(AB$4:AB954)+1,"")</f>
        <v/>
      </c>
      <c r="AC955">
        <f>IF(AND($A955&lt;&gt;"",$B955&lt;&gt;"",$R955='تقرير مارس'!$C$4,$P955='تقرير مارس'!$C$6),COUNT(AC$4:AC954)+1,"")</f>
        <v/>
      </c>
      <c r="AD955">
        <f>IF(AND($A955&lt;&gt;"",$B955&lt;&gt;"",$R955='تقرير أبريل'!$C$4,$P955='تقرير أبريل'!$C$6),COUNT(AD$4:AD954)+1,"")</f>
        <v/>
      </c>
      <c r="AE955">
        <f>IF(AND($A955&lt;&gt;"",$B955&lt;&gt;"",$R955='تقرير مايو'!$C$4,$P955='تقرير مايو'!$C$6),COUNT(AE$4:AE954)+1,"")</f>
        <v/>
      </c>
    </row>
    <row r="956">
      <c r="A956" s="16" t="n"/>
      <c r="B956" s="17" t="n"/>
      <c r="C956" s="17" t="n"/>
      <c r="D956" s="18" t="n"/>
      <c r="E956" s="17" t="n"/>
      <c r="F956" s="17" t="n"/>
      <c r="G956" s="19" t="n"/>
      <c r="H956" s="17" t="n"/>
      <c r="I956" s="17" t="n"/>
      <c r="J956" s="17" t="n"/>
      <c r="K956" s="20">
        <f>IF($B956="","",IFERROR(INDEX(الموظفات!$A$5:$A$304,MATCH($B956,الموظفات!$B$5:$B$304,0))&amp;"",""))</f>
        <v/>
      </c>
      <c r="L956" s="21">
        <f>IF($B956="","",IFERROR(INDEX(الموظفات!$C$5:$C$304,MATCH($B956,الموظفات!$B$5:$B$304,0))&amp;"",""))</f>
        <v/>
      </c>
      <c r="M956" s="20">
        <f>IF($B956="","",IFERROR(INDEX(الموظفات!$D$5:$D$304,MATCH($B956,الموظفات!$B$5:$B$304,0))&amp;"",""))</f>
        <v/>
      </c>
      <c r="N956" s="20">
        <f>IF($B956="","",IFERROR(INDEX(الموظفات!$E$5:$E$304,MATCH($B956,الموظفات!$B$5:$B$304,0))&amp;"",""))</f>
        <v/>
      </c>
      <c r="O956" s="21">
        <f>IF(C956="","",IFERROR(INDEX(الإعدادات!$D$7:$D$35,MATCH(C956,الإعدادات!$A$7:$A$35,0))&amp;"",""))</f>
        <v/>
      </c>
      <c r="P956" s="20">
        <f>IF(A956="","",INDEX(الإعدادات!$H$7:$H$18,MONTH(A956)))</f>
        <v/>
      </c>
      <c r="Q956" s="20">
        <f>IF(A956="","",INDEX(الإعدادات!$I$7:$I$18,MONTH(A956)))</f>
        <v/>
      </c>
      <c r="R956" s="20">
        <f>IF(A956="","",IF(MONTH(A956)&gt;=8,YEAR(A956)&amp;"-"&amp;(YEAR(A956)+1),(YEAR(A956)-1)&amp;"-"&amp;YEAR(A956)))</f>
        <v/>
      </c>
      <c r="S956" s="20">
        <f>IF(OR(A956="",B956=""),0,IF(AND(R956=التقارير!$C$4,OR(التقارير!$C$5="سنوي",AND(التقارير!$C$5="شهري",P956=التقارير!$C$6),AND(التقارير!$C$5="فصلي",Q956=التقارير!$C$7))),1,0))</f>
        <v/>
      </c>
      <c r="T956" s="20">
        <f>IF(S956=1,COUNTIF($S$5:S956,1),"")</f>
        <v/>
      </c>
      <c r="U956">
        <f>IF(AND($A956&lt;&gt;"",$B956&lt;&gt;"",$R956='تقرير الفصل الأول'!$C$4,$Q956='تقرير الفصل الأول'!$C$7),COUNT(U$4:U955)+1,"")</f>
        <v/>
      </c>
      <c r="V956">
        <f>IF(AND($A956&lt;&gt;"",$B956&lt;&gt;"",$R956='تقرير الفصل الثاني'!$C$4,$Q956='تقرير الفصل الثاني'!$C$7),COUNT(V$4:V955)+1,"")</f>
        <v/>
      </c>
      <c r="W956">
        <f>IF(AND($A956&lt;&gt;"",$B956&lt;&gt;"",$R956='تقرير سبتمبر'!$C$4,$P956='تقرير سبتمبر'!$C$6),COUNT(W$4:W955)+1,"")</f>
        <v/>
      </c>
      <c r="X956">
        <f>IF(AND($A956&lt;&gt;"",$B956&lt;&gt;"",$R956='تقرير أكتوبر'!$C$4,$P956='تقرير أكتوبر'!$C$6),COUNT(X$4:X955)+1,"")</f>
        <v/>
      </c>
      <c r="Y956">
        <f>IF(AND($A956&lt;&gt;"",$B956&lt;&gt;"",$R956='تقرير نوفمبر'!$C$4,$P956='تقرير نوفمبر'!$C$6),COUNT(Y$4:Y955)+1,"")</f>
        <v/>
      </c>
      <c r="Z956">
        <f>IF(AND($A956&lt;&gt;"",$B956&lt;&gt;"",$R956='تقرير ديسمبر'!$C$4,$P956='تقرير ديسمبر'!$C$6),COUNT(Z$4:Z955)+1,"")</f>
        <v/>
      </c>
      <c r="AA956">
        <f>IF(AND($A956&lt;&gt;"",$B956&lt;&gt;"",$R956='تقرير يناير'!$C$4,$P956='تقرير يناير'!$C$6),COUNT(AA$4:AA955)+1,"")</f>
        <v/>
      </c>
      <c r="AB956">
        <f>IF(AND($A956&lt;&gt;"",$B956&lt;&gt;"",$R956='تقرير فبراير'!$C$4,$P956='تقرير فبراير'!$C$6),COUNT(AB$4:AB955)+1,"")</f>
        <v/>
      </c>
      <c r="AC956">
        <f>IF(AND($A956&lt;&gt;"",$B956&lt;&gt;"",$R956='تقرير مارس'!$C$4,$P956='تقرير مارس'!$C$6),COUNT(AC$4:AC955)+1,"")</f>
        <v/>
      </c>
      <c r="AD956">
        <f>IF(AND($A956&lt;&gt;"",$B956&lt;&gt;"",$R956='تقرير أبريل'!$C$4,$P956='تقرير أبريل'!$C$6),COUNT(AD$4:AD955)+1,"")</f>
        <v/>
      </c>
      <c r="AE956">
        <f>IF(AND($A956&lt;&gt;"",$B956&lt;&gt;"",$R956='تقرير مايو'!$C$4,$P956='تقرير مايو'!$C$6),COUNT(AE$4:AE955)+1,"")</f>
        <v/>
      </c>
    </row>
    <row r="957">
      <c r="A957" s="16" t="n"/>
      <c r="B957" s="17" t="n"/>
      <c r="C957" s="17" t="n"/>
      <c r="D957" s="18" t="n"/>
      <c r="E957" s="17" t="n"/>
      <c r="F957" s="17" t="n"/>
      <c r="G957" s="19" t="n"/>
      <c r="H957" s="17" t="n"/>
      <c r="I957" s="17" t="n"/>
      <c r="J957" s="17" t="n"/>
      <c r="K957" s="20">
        <f>IF($B957="","",IFERROR(INDEX(الموظفات!$A$5:$A$304,MATCH($B957,الموظفات!$B$5:$B$304,0))&amp;"",""))</f>
        <v/>
      </c>
      <c r="L957" s="21">
        <f>IF($B957="","",IFERROR(INDEX(الموظفات!$C$5:$C$304,MATCH($B957,الموظفات!$B$5:$B$304,0))&amp;"",""))</f>
        <v/>
      </c>
      <c r="M957" s="20">
        <f>IF($B957="","",IFERROR(INDEX(الموظفات!$D$5:$D$304,MATCH($B957,الموظفات!$B$5:$B$304,0))&amp;"",""))</f>
        <v/>
      </c>
      <c r="N957" s="20">
        <f>IF($B957="","",IFERROR(INDEX(الموظفات!$E$5:$E$304,MATCH($B957,الموظفات!$B$5:$B$304,0))&amp;"",""))</f>
        <v/>
      </c>
      <c r="O957" s="21">
        <f>IF(C957="","",IFERROR(INDEX(الإعدادات!$D$7:$D$35,MATCH(C957,الإعدادات!$A$7:$A$35,0))&amp;"",""))</f>
        <v/>
      </c>
      <c r="P957" s="20">
        <f>IF(A957="","",INDEX(الإعدادات!$H$7:$H$18,MONTH(A957)))</f>
        <v/>
      </c>
      <c r="Q957" s="20">
        <f>IF(A957="","",INDEX(الإعدادات!$I$7:$I$18,MONTH(A957)))</f>
        <v/>
      </c>
      <c r="R957" s="20">
        <f>IF(A957="","",IF(MONTH(A957)&gt;=8,YEAR(A957)&amp;"-"&amp;(YEAR(A957)+1),(YEAR(A957)-1)&amp;"-"&amp;YEAR(A957)))</f>
        <v/>
      </c>
      <c r="S957" s="20">
        <f>IF(OR(A957="",B957=""),0,IF(AND(R957=التقارير!$C$4,OR(التقارير!$C$5="سنوي",AND(التقارير!$C$5="شهري",P957=التقارير!$C$6),AND(التقارير!$C$5="فصلي",Q957=التقارير!$C$7))),1,0))</f>
        <v/>
      </c>
      <c r="T957" s="20">
        <f>IF(S957=1,COUNTIF($S$5:S957,1),"")</f>
        <v/>
      </c>
      <c r="U957">
        <f>IF(AND($A957&lt;&gt;"",$B957&lt;&gt;"",$R957='تقرير الفصل الأول'!$C$4,$Q957='تقرير الفصل الأول'!$C$7),COUNT(U$4:U956)+1,"")</f>
        <v/>
      </c>
      <c r="V957">
        <f>IF(AND($A957&lt;&gt;"",$B957&lt;&gt;"",$R957='تقرير الفصل الثاني'!$C$4,$Q957='تقرير الفصل الثاني'!$C$7),COUNT(V$4:V956)+1,"")</f>
        <v/>
      </c>
      <c r="W957">
        <f>IF(AND($A957&lt;&gt;"",$B957&lt;&gt;"",$R957='تقرير سبتمبر'!$C$4,$P957='تقرير سبتمبر'!$C$6),COUNT(W$4:W956)+1,"")</f>
        <v/>
      </c>
      <c r="X957">
        <f>IF(AND($A957&lt;&gt;"",$B957&lt;&gt;"",$R957='تقرير أكتوبر'!$C$4,$P957='تقرير أكتوبر'!$C$6),COUNT(X$4:X956)+1,"")</f>
        <v/>
      </c>
      <c r="Y957">
        <f>IF(AND($A957&lt;&gt;"",$B957&lt;&gt;"",$R957='تقرير نوفمبر'!$C$4,$P957='تقرير نوفمبر'!$C$6),COUNT(Y$4:Y956)+1,"")</f>
        <v/>
      </c>
      <c r="Z957">
        <f>IF(AND($A957&lt;&gt;"",$B957&lt;&gt;"",$R957='تقرير ديسمبر'!$C$4,$P957='تقرير ديسمبر'!$C$6),COUNT(Z$4:Z956)+1,"")</f>
        <v/>
      </c>
      <c r="AA957">
        <f>IF(AND($A957&lt;&gt;"",$B957&lt;&gt;"",$R957='تقرير يناير'!$C$4,$P957='تقرير يناير'!$C$6),COUNT(AA$4:AA956)+1,"")</f>
        <v/>
      </c>
      <c r="AB957">
        <f>IF(AND($A957&lt;&gt;"",$B957&lt;&gt;"",$R957='تقرير فبراير'!$C$4,$P957='تقرير فبراير'!$C$6),COUNT(AB$4:AB956)+1,"")</f>
        <v/>
      </c>
      <c r="AC957">
        <f>IF(AND($A957&lt;&gt;"",$B957&lt;&gt;"",$R957='تقرير مارس'!$C$4,$P957='تقرير مارس'!$C$6),COUNT(AC$4:AC956)+1,"")</f>
        <v/>
      </c>
      <c r="AD957">
        <f>IF(AND($A957&lt;&gt;"",$B957&lt;&gt;"",$R957='تقرير أبريل'!$C$4,$P957='تقرير أبريل'!$C$6),COUNT(AD$4:AD956)+1,"")</f>
        <v/>
      </c>
      <c r="AE957">
        <f>IF(AND($A957&lt;&gt;"",$B957&lt;&gt;"",$R957='تقرير مايو'!$C$4,$P957='تقرير مايو'!$C$6),COUNT(AE$4:AE956)+1,"")</f>
        <v/>
      </c>
    </row>
    <row r="958">
      <c r="A958" s="16" t="n"/>
      <c r="B958" s="17" t="n"/>
      <c r="C958" s="17" t="n"/>
      <c r="D958" s="18" t="n"/>
      <c r="E958" s="17" t="n"/>
      <c r="F958" s="17" t="n"/>
      <c r="G958" s="19" t="n"/>
      <c r="H958" s="17" t="n"/>
      <c r="I958" s="17" t="n"/>
      <c r="J958" s="17" t="n"/>
      <c r="K958" s="20">
        <f>IF($B958="","",IFERROR(INDEX(الموظفات!$A$5:$A$304,MATCH($B958,الموظفات!$B$5:$B$304,0))&amp;"",""))</f>
        <v/>
      </c>
      <c r="L958" s="21">
        <f>IF($B958="","",IFERROR(INDEX(الموظفات!$C$5:$C$304,MATCH($B958,الموظفات!$B$5:$B$304,0))&amp;"",""))</f>
        <v/>
      </c>
      <c r="M958" s="20">
        <f>IF($B958="","",IFERROR(INDEX(الموظفات!$D$5:$D$304,MATCH($B958,الموظفات!$B$5:$B$304,0))&amp;"",""))</f>
        <v/>
      </c>
      <c r="N958" s="20">
        <f>IF($B958="","",IFERROR(INDEX(الموظفات!$E$5:$E$304,MATCH($B958,الموظفات!$B$5:$B$304,0))&amp;"",""))</f>
        <v/>
      </c>
      <c r="O958" s="21">
        <f>IF(C958="","",IFERROR(INDEX(الإعدادات!$D$7:$D$35,MATCH(C958,الإعدادات!$A$7:$A$35,0))&amp;"",""))</f>
        <v/>
      </c>
      <c r="P958" s="20">
        <f>IF(A958="","",INDEX(الإعدادات!$H$7:$H$18,MONTH(A958)))</f>
        <v/>
      </c>
      <c r="Q958" s="20">
        <f>IF(A958="","",INDEX(الإعدادات!$I$7:$I$18,MONTH(A958)))</f>
        <v/>
      </c>
      <c r="R958" s="20">
        <f>IF(A958="","",IF(MONTH(A958)&gt;=8,YEAR(A958)&amp;"-"&amp;(YEAR(A958)+1),(YEAR(A958)-1)&amp;"-"&amp;YEAR(A958)))</f>
        <v/>
      </c>
      <c r="S958" s="20">
        <f>IF(OR(A958="",B958=""),0,IF(AND(R958=التقارير!$C$4,OR(التقارير!$C$5="سنوي",AND(التقارير!$C$5="شهري",P958=التقارير!$C$6),AND(التقارير!$C$5="فصلي",Q958=التقارير!$C$7))),1,0))</f>
        <v/>
      </c>
      <c r="T958" s="20">
        <f>IF(S958=1,COUNTIF($S$5:S958,1),"")</f>
        <v/>
      </c>
      <c r="U958">
        <f>IF(AND($A958&lt;&gt;"",$B958&lt;&gt;"",$R958='تقرير الفصل الأول'!$C$4,$Q958='تقرير الفصل الأول'!$C$7),COUNT(U$4:U957)+1,"")</f>
        <v/>
      </c>
      <c r="V958">
        <f>IF(AND($A958&lt;&gt;"",$B958&lt;&gt;"",$R958='تقرير الفصل الثاني'!$C$4,$Q958='تقرير الفصل الثاني'!$C$7),COUNT(V$4:V957)+1,"")</f>
        <v/>
      </c>
      <c r="W958">
        <f>IF(AND($A958&lt;&gt;"",$B958&lt;&gt;"",$R958='تقرير سبتمبر'!$C$4,$P958='تقرير سبتمبر'!$C$6),COUNT(W$4:W957)+1,"")</f>
        <v/>
      </c>
      <c r="X958">
        <f>IF(AND($A958&lt;&gt;"",$B958&lt;&gt;"",$R958='تقرير أكتوبر'!$C$4,$P958='تقرير أكتوبر'!$C$6),COUNT(X$4:X957)+1,"")</f>
        <v/>
      </c>
      <c r="Y958">
        <f>IF(AND($A958&lt;&gt;"",$B958&lt;&gt;"",$R958='تقرير نوفمبر'!$C$4,$P958='تقرير نوفمبر'!$C$6),COUNT(Y$4:Y957)+1,"")</f>
        <v/>
      </c>
      <c r="Z958">
        <f>IF(AND($A958&lt;&gt;"",$B958&lt;&gt;"",$R958='تقرير ديسمبر'!$C$4,$P958='تقرير ديسمبر'!$C$6),COUNT(Z$4:Z957)+1,"")</f>
        <v/>
      </c>
      <c r="AA958">
        <f>IF(AND($A958&lt;&gt;"",$B958&lt;&gt;"",$R958='تقرير يناير'!$C$4,$P958='تقرير يناير'!$C$6),COUNT(AA$4:AA957)+1,"")</f>
        <v/>
      </c>
      <c r="AB958">
        <f>IF(AND($A958&lt;&gt;"",$B958&lt;&gt;"",$R958='تقرير فبراير'!$C$4,$P958='تقرير فبراير'!$C$6),COUNT(AB$4:AB957)+1,"")</f>
        <v/>
      </c>
      <c r="AC958">
        <f>IF(AND($A958&lt;&gt;"",$B958&lt;&gt;"",$R958='تقرير مارس'!$C$4,$P958='تقرير مارس'!$C$6),COUNT(AC$4:AC957)+1,"")</f>
        <v/>
      </c>
      <c r="AD958">
        <f>IF(AND($A958&lt;&gt;"",$B958&lt;&gt;"",$R958='تقرير أبريل'!$C$4,$P958='تقرير أبريل'!$C$6),COUNT(AD$4:AD957)+1,"")</f>
        <v/>
      </c>
      <c r="AE958">
        <f>IF(AND($A958&lt;&gt;"",$B958&lt;&gt;"",$R958='تقرير مايو'!$C$4,$P958='تقرير مايو'!$C$6),COUNT(AE$4:AE957)+1,"")</f>
        <v/>
      </c>
    </row>
    <row r="959">
      <c r="A959" s="16" t="n"/>
      <c r="B959" s="17" t="n"/>
      <c r="C959" s="17" t="n"/>
      <c r="D959" s="18" t="n"/>
      <c r="E959" s="17" t="n"/>
      <c r="F959" s="17" t="n"/>
      <c r="G959" s="19" t="n"/>
      <c r="H959" s="17" t="n"/>
      <c r="I959" s="17" t="n"/>
      <c r="J959" s="17" t="n"/>
      <c r="K959" s="20">
        <f>IF($B959="","",IFERROR(INDEX(الموظفات!$A$5:$A$304,MATCH($B959,الموظفات!$B$5:$B$304,0))&amp;"",""))</f>
        <v/>
      </c>
      <c r="L959" s="21">
        <f>IF($B959="","",IFERROR(INDEX(الموظفات!$C$5:$C$304,MATCH($B959,الموظفات!$B$5:$B$304,0))&amp;"",""))</f>
        <v/>
      </c>
      <c r="M959" s="20">
        <f>IF($B959="","",IFERROR(INDEX(الموظفات!$D$5:$D$304,MATCH($B959,الموظفات!$B$5:$B$304,0))&amp;"",""))</f>
        <v/>
      </c>
      <c r="N959" s="20">
        <f>IF($B959="","",IFERROR(INDEX(الموظفات!$E$5:$E$304,MATCH($B959,الموظفات!$B$5:$B$304,0))&amp;"",""))</f>
        <v/>
      </c>
      <c r="O959" s="21">
        <f>IF(C959="","",IFERROR(INDEX(الإعدادات!$D$7:$D$35,MATCH(C959,الإعدادات!$A$7:$A$35,0))&amp;"",""))</f>
        <v/>
      </c>
      <c r="P959" s="20">
        <f>IF(A959="","",INDEX(الإعدادات!$H$7:$H$18,MONTH(A959)))</f>
        <v/>
      </c>
      <c r="Q959" s="20">
        <f>IF(A959="","",INDEX(الإعدادات!$I$7:$I$18,MONTH(A959)))</f>
        <v/>
      </c>
      <c r="R959" s="20">
        <f>IF(A959="","",IF(MONTH(A959)&gt;=8,YEAR(A959)&amp;"-"&amp;(YEAR(A959)+1),(YEAR(A959)-1)&amp;"-"&amp;YEAR(A959)))</f>
        <v/>
      </c>
      <c r="S959" s="20">
        <f>IF(OR(A959="",B959=""),0,IF(AND(R959=التقارير!$C$4,OR(التقارير!$C$5="سنوي",AND(التقارير!$C$5="شهري",P959=التقارير!$C$6),AND(التقارير!$C$5="فصلي",Q959=التقارير!$C$7))),1,0))</f>
        <v/>
      </c>
      <c r="T959" s="20">
        <f>IF(S959=1,COUNTIF($S$5:S959,1),"")</f>
        <v/>
      </c>
      <c r="U959">
        <f>IF(AND($A959&lt;&gt;"",$B959&lt;&gt;"",$R959='تقرير الفصل الأول'!$C$4,$Q959='تقرير الفصل الأول'!$C$7),COUNT(U$4:U958)+1,"")</f>
        <v/>
      </c>
      <c r="V959">
        <f>IF(AND($A959&lt;&gt;"",$B959&lt;&gt;"",$R959='تقرير الفصل الثاني'!$C$4,$Q959='تقرير الفصل الثاني'!$C$7),COUNT(V$4:V958)+1,"")</f>
        <v/>
      </c>
      <c r="W959">
        <f>IF(AND($A959&lt;&gt;"",$B959&lt;&gt;"",$R959='تقرير سبتمبر'!$C$4,$P959='تقرير سبتمبر'!$C$6),COUNT(W$4:W958)+1,"")</f>
        <v/>
      </c>
      <c r="X959">
        <f>IF(AND($A959&lt;&gt;"",$B959&lt;&gt;"",$R959='تقرير أكتوبر'!$C$4,$P959='تقرير أكتوبر'!$C$6),COUNT(X$4:X958)+1,"")</f>
        <v/>
      </c>
      <c r="Y959">
        <f>IF(AND($A959&lt;&gt;"",$B959&lt;&gt;"",$R959='تقرير نوفمبر'!$C$4,$P959='تقرير نوفمبر'!$C$6),COUNT(Y$4:Y958)+1,"")</f>
        <v/>
      </c>
      <c r="Z959">
        <f>IF(AND($A959&lt;&gt;"",$B959&lt;&gt;"",$R959='تقرير ديسمبر'!$C$4,$P959='تقرير ديسمبر'!$C$6),COUNT(Z$4:Z958)+1,"")</f>
        <v/>
      </c>
      <c r="AA959">
        <f>IF(AND($A959&lt;&gt;"",$B959&lt;&gt;"",$R959='تقرير يناير'!$C$4,$P959='تقرير يناير'!$C$6),COUNT(AA$4:AA958)+1,"")</f>
        <v/>
      </c>
      <c r="AB959">
        <f>IF(AND($A959&lt;&gt;"",$B959&lt;&gt;"",$R959='تقرير فبراير'!$C$4,$P959='تقرير فبراير'!$C$6),COUNT(AB$4:AB958)+1,"")</f>
        <v/>
      </c>
      <c r="AC959">
        <f>IF(AND($A959&lt;&gt;"",$B959&lt;&gt;"",$R959='تقرير مارس'!$C$4,$P959='تقرير مارس'!$C$6),COUNT(AC$4:AC958)+1,"")</f>
        <v/>
      </c>
      <c r="AD959">
        <f>IF(AND($A959&lt;&gt;"",$B959&lt;&gt;"",$R959='تقرير أبريل'!$C$4,$P959='تقرير أبريل'!$C$6),COUNT(AD$4:AD958)+1,"")</f>
        <v/>
      </c>
      <c r="AE959">
        <f>IF(AND($A959&lt;&gt;"",$B959&lt;&gt;"",$R959='تقرير مايو'!$C$4,$P959='تقرير مايو'!$C$6),COUNT(AE$4:AE958)+1,"")</f>
        <v/>
      </c>
    </row>
    <row r="960">
      <c r="A960" s="16" t="n"/>
      <c r="B960" s="17" t="n"/>
      <c r="C960" s="17" t="n"/>
      <c r="D960" s="18" t="n"/>
      <c r="E960" s="17" t="n"/>
      <c r="F960" s="17" t="n"/>
      <c r="G960" s="19" t="n"/>
      <c r="H960" s="17" t="n"/>
      <c r="I960" s="17" t="n"/>
      <c r="J960" s="17" t="n"/>
      <c r="K960" s="20">
        <f>IF($B960="","",IFERROR(INDEX(الموظفات!$A$5:$A$304,MATCH($B960,الموظفات!$B$5:$B$304,0))&amp;"",""))</f>
        <v/>
      </c>
      <c r="L960" s="21">
        <f>IF($B960="","",IFERROR(INDEX(الموظفات!$C$5:$C$304,MATCH($B960,الموظفات!$B$5:$B$304,0))&amp;"",""))</f>
        <v/>
      </c>
      <c r="M960" s="20">
        <f>IF($B960="","",IFERROR(INDEX(الموظفات!$D$5:$D$304,MATCH($B960,الموظفات!$B$5:$B$304,0))&amp;"",""))</f>
        <v/>
      </c>
      <c r="N960" s="20">
        <f>IF($B960="","",IFERROR(INDEX(الموظفات!$E$5:$E$304,MATCH($B960,الموظفات!$B$5:$B$304,0))&amp;"",""))</f>
        <v/>
      </c>
      <c r="O960" s="21">
        <f>IF(C960="","",IFERROR(INDEX(الإعدادات!$D$7:$D$35,MATCH(C960,الإعدادات!$A$7:$A$35,0))&amp;"",""))</f>
        <v/>
      </c>
      <c r="P960" s="20">
        <f>IF(A960="","",INDEX(الإعدادات!$H$7:$H$18,MONTH(A960)))</f>
        <v/>
      </c>
      <c r="Q960" s="20">
        <f>IF(A960="","",INDEX(الإعدادات!$I$7:$I$18,MONTH(A960)))</f>
        <v/>
      </c>
      <c r="R960" s="20">
        <f>IF(A960="","",IF(MONTH(A960)&gt;=8,YEAR(A960)&amp;"-"&amp;(YEAR(A960)+1),(YEAR(A960)-1)&amp;"-"&amp;YEAR(A960)))</f>
        <v/>
      </c>
      <c r="S960" s="20">
        <f>IF(OR(A960="",B960=""),0,IF(AND(R960=التقارير!$C$4,OR(التقارير!$C$5="سنوي",AND(التقارير!$C$5="شهري",P960=التقارير!$C$6),AND(التقارير!$C$5="فصلي",Q960=التقارير!$C$7))),1,0))</f>
        <v/>
      </c>
      <c r="T960" s="20">
        <f>IF(S960=1,COUNTIF($S$5:S960,1),"")</f>
        <v/>
      </c>
      <c r="U960">
        <f>IF(AND($A960&lt;&gt;"",$B960&lt;&gt;"",$R960='تقرير الفصل الأول'!$C$4,$Q960='تقرير الفصل الأول'!$C$7),COUNT(U$4:U959)+1,"")</f>
        <v/>
      </c>
      <c r="V960">
        <f>IF(AND($A960&lt;&gt;"",$B960&lt;&gt;"",$R960='تقرير الفصل الثاني'!$C$4,$Q960='تقرير الفصل الثاني'!$C$7),COUNT(V$4:V959)+1,"")</f>
        <v/>
      </c>
      <c r="W960">
        <f>IF(AND($A960&lt;&gt;"",$B960&lt;&gt;"",$R960='تقرير سبتمبر'!$C$4,$P960='تقرير سبتمبر'!$C$6),COUNT(W$4:W959)+1,"")</f>
        <v/>
      </c>
      <c r="X960">
        <f>IF(AND($A960&lt;&gt;"",$B960&lt;&gt;"",$R960='تقرير أكتوبر'!$C$4,$P960='تقرير أكتوبر'!$C$6),COUNT(X$4:X959)+1,"")</f>
        <v/>
      </c>
      <c r="Y960">
        <f>IF(AND($A960&lt;&gt;"",$B960&lt;&gt;"",$R960='تقرير نوفمبر'!$C$4,$P960='تقرير نوفمبر'!$C$6),COUNT(Y$4:Y959)+1,"")</f>
        <v/>
      </c>
      <c r="Z960">
        <f>IF(AND($A960&lt;&gt;"",$B960&lt;&gt;"",$R960='تقرير ديسمبر'!$C$4,$P960='تقرير ديسمبر'!$C$6),COUNT(Z$4:Z959)+1,"")</f>
        <v/>
      </c>
      <c r="AA960">
        <f>IF(AND($A960&lt;&gt;"",$B960&lt;&gt;"",$R960='تقرير يناير'!$C$4,$P960='تقرير يناير'!$C$6),COUNT(AA$4:AA959)+1,"")</f>
        <v/>
      </c>
      <c r="AB960">
        <f>IF(AND($A960&lt;&gt;"",$B960&lt;&gt;"",$R960='تقرير فبراير'!$C$4,$P960='تقرير فبراير'!$C$6),COUNT(AB$4:AB959)+1,"")</f>
        <v/>
      </c>
      <c r="AC960">
        <f>IF(AND($A960&lt;&gt;"",$B960&lt;&gt;"",$R960='تقرير مارس'!$C$4,$P960='تقرير مارس'!$C$6),COUNT(AC$4:AC959)+1,"")</f>
        <v/>
      </c>
      <c r="AD960">
        <f>IF(AND($A960&lt;&gt;"",$B960&lt;&gt;"",$R960='تقرير أبريل'!$C$4,$P960='تقرير أبريل'!$C$6),COUNT(AD$4:AD959)+1,"")</f>
        <v/>
      </c>
      <c r="AE960">
        <f>IF(AND($A960&lt;&gt;"",$B960&lt;&gt;"",$R960='تقرير مايو'!$C$4,$P960='تقرير مايو'!$C$6),COUNT(AE$4:AE959)+1,"")</f>
        <v/>
      </c>
    </row>
    <row r="961">
      <c r="A961" s="16" t="n"/>
      <c r="B961" s="17" t="n"/>
      <c r="C961" s="17" t="n"/>
      <c r="D961" s="18" t="n"/>
      <c r="E961" s="17" t="n"/>
      <c r="F961" s="17" t="n"/>
      <c r="G961" s="19" t="n"/>
      <c r="H961" s="17" t="n"/>
      <c r="I961" s="17" t="n"/>
      <c r="J961" s="17" t="n"/>
      <c r="K961" s="20">
        <f>IF($B961="","",IFERROR(INDEX(الموظفات!$A$5:$A$304,MATCH($B961,الموظفات!$B$5:$B$304,0))&amp;"",""))</f>
        <v/>
      </c>
      <c r="L961" s="21">
        <f>IF($B961="","",IFERROR(INDEX(الموظفات!$C$5:$C$304,MATCH($B961,الموظفات!$B$5:$B$304,0))&amp;"",""))</f>
        <v/>
      </c>
      <c r="M961" s="20">
        <f>IF($B961="","",IFERROR(INDEX(الموظفات!$D$5:$D$304,MATCH($B961,الموظفات!$B$5:$B$304,0))&amp;"",""))</f>
        <v/>
      </c>
      <c r="N961" s="20">
        <f>IF($B961="","",IFERROR(INDEX(الموظفات!$E$5:$E$304,MATCH($B961,الموظفات!$B$5:$B$304,0))&amp;"",""))</f>
        <v/>
      </c>
      <c r="O961" s="21">
        <f>IF(C961="","",IFERROR(INDEX(الإعدادات!$D$7:$D$35,MATCH(C961,الإعدادات!$A$7:$A$35,0))&amp;"",""))</f>
        <v/>
      </c>
      <c r="P961" s="20">
        <f>IF(A961="","",INDEX(الإعدادات!$H$7:$H$18,MONTH(A961)))</f>
        <v/>
      </c>
      <c r="Q961" s="20">
        <f>IF(A961="","",INDEX(الإعدادات!$I$7:$I$18,MONTH(A961)))</f>
        <v/>
      </c>
      <c r="R961" s="20">
        <f>IF(A961="","",IF(MONTH(A961)&gt;=8,YEAR(A961)&amp;"-"&amp;(YEAR(A961)+1),(YEAR(A961)-1)&amp;"-"&amp;YEAR(A961)))</f>
        <v/>
      </c>
      <c r="S961" s="20">
        <f>IF(OR(A961="",B961=""),0,IF(AND(R961=التقارير!$C$4,OR(التقارير!$C$5="سنوي",AND(التقارير!$C$5="شهري",P961=التقارير!$C$6),AND(التقارير!$C$5="فصلي",Q961=التقارير!$C$7))),1,0))</f>
        <v/>
      </c>
      <c r="T961" s="20">
        <f>IF(S961=1,COUNTIF($S$5:S961,1),"")</f>
        <v/>
      </c>
      <c r="U961">
        <f>IF(AND($A961&lt;&gt;"",$B961&lt;&gt;"",$R961='تقرير الفصل الأول'!$C$4,$Q961='تقرير الفصل الأول'!$C$7),COUNT(U$4:U960)+1,"")</f>
        <v/>
      </c>
      <c r="V961">
        <f>IF(AND($A961&lt;&gt;"",$B961&lt;&gt;"",$R961='تقرير الفصل الثاني'!$C$4,$Q961='تقرير الفصل الثاني'!$C$7),COUNT(V$4:V960)+1,"")</f>
        <v/>
      </c>
      <c r="W961">
        <f>IF(AND($A961&lt;&gt;"",$B961&lt;&gt;"",$R961='تقرير سبتمبر'!$C$4,$P961='تقرير سبتمبر'!$C$6),COUNT(W$4:W960)+1,"")</f>
        <v/>
      </c>
      <c r="X961">
        <f>IF(AND($A961&lt;&gt;"",$B961&lt;&gt;"",$R961='تقرير أكتوبر'!$C$4,$P961='تقرير أكتوبر'!$C$6),COUNT(X$4:X960)+1,"")</f>
        <v/>
      </c>
      <c r="Y961">
        <f>IF(AND($A961&lt;&gt;"",$B961&lt;&gt;"",$R961='تقرير نوفمبر'!$C$4,$P961='تقرير نوفمبر'!$C$6),COUNT(Y$4:Y960)+1,"")</f>
        <v/>
      </c>
      <c r="Z961">
        <f>IF(AND($A961&lt;&gt;"",$B961&lt;&gt;"",$R961='تقرير ديسمبر'!$C$4,$P961='تقرير ديسمبر'!$C$6),COUNT(Z$4:Z960)+1,"")</f>
        <v/>
      </c>
      <c r="AA961">
        <f>IF(AND($A961&lt;&gt;"",$B961&lt;&gt;"",$R961='تقرير يناير'!$C$4,$P961='تقرير يناير'!$C$6),COUNT(AA$4:AA960)+1,"")</f>
        <v/>
      </c>
      <c r="AB961">
        <f>IF(AND($A961&lt;&gt;"",$B961&lt;&gt;"",$R961='تقرير فبراير'!$C$4,$P961='تقرير فبراير'!$C$6),COUNT(AB$4:AB960)+1,"")</f>
        <v/>
      </c>
      <c r="AC961">
        <f>IF(AND($A961&lt;&gt;"",$B961&lt;&gt;"",$R961='تقرير مارس'!$C$4,$P961='تقرير مارس'!$C$6),COUNT(AC$4:AC960)+1,"")</f>
        <v/>
      </c>
      <c r="AD961">
        <f>IF(AND($A961&lt;&gt;"",$B961&lt;&gt;"",$R961='تقرير أبريل'!$C$4,$P961='تقرير أبريل'!$C$6),COUNT(AD$4:AD960)+1,"")</f>
        <v/>
      </c>
      <c r="AE961">
        <f>IF(AND($A961&lt;&gt;"",$B961&lt;&gt;"",$R961='تقرير مايو'!$C$4,$P961='تقرير مايو'!$C$6),COUNT(AE$4:AE960)+1,"")</f>
        <v/>
      </c>
    </row>
    <row r="962">
      <c r="A962" s="16" t="n"/>
      <c r="B962" s="17" t="n"/>
      <c r="C962" s="17" t="n"/>
      <c r="D962" s="18" t="n"/>
      <c r="E962" s="17" t="n"/>
      <c r="F962" s="17" t="n"/>
      <c r="G962" s="19" t="n"/>
      <c r="H962" s="17" t="n"/>
      <c r="I962" s="17" t="n"/>
      <c r="J962" s="17" t="n"/>
      <c r="K962" s="20">
        <f>IF($B962="","",IFERROR(INDEX(الموظفات!$A$5:$A$304,MATCH($B962,الموظفات!$B$5:$B$304,0))&amp;"",""))</f>
        <v/>
      </c>
      <c r="L962" s="21">
        <f>IF($B962="","",IFERROR(INDEX(الموظفات!$C$5:$C$304,MATCH($B962,الموظفات!$B$5:$B$304,0))&amp;"",""))</f>
        <v/>
      </c>
      <c r="M962" s="20">
        <f>IF($B962="","",IFERROR(INDEX(الموظفات!$D$5:$D$304,MATCH($B962,الموظفات!$B$5:$B$304,0))&amp;"",""))</f>
        <v/>
      </c>
      <c r="N962" s="20">
        <f>IF($B962="","",IFERROR(INDEX(الموظفات!$E$5:$E$304,MATCH($B962,الموظفات!$B$5:$B$304,0))&amp;"",""))</f>
        <v/>
      </c>
      <c r="O962" s="21">
        <f>IF(C962="","",IFERROR(INDEX(الإعدادات!$D$7:$D$35,MATCH(C962,الإعدادات!$A$7:$A$35,0))&amp;"",""))</f>
        <v/>
      </c>
      <c r="P962" s="20">
        <f>IF(A962="","",INDEX(الإعدادات!$H$7:$H$18,MONTH(A962)))</f>
        <v/>
      </c>
      <c r="Q962" s="20">
        <f>IF(A962="","",INDEX(الإعدادات!$I$7:$I$18,MONTH(A962)))</f>
        <v/>
      </c>
      <c r="R962" s="20">
        <f>IF(A962="","",IF(MONTH(A962)&gt;=8,YEAR(A962)&amp;"-"&amp;(YEAR(A962)+1),(YEAR(A962)-1)&amp;"-"&amp;YEAR(A962)))</f>
        <v/>
      </c>
      <c r="S962" s="20">
        <f>IF(OR(A962="",B962=""),0,IF(AND(R962=التقارير!$C$4,OR(التقارير!$C$5="سنوي",AND(التقارير!$C$5="شهري",P962=التقارير!$C$6),AND(التقارير!$C$5="فصلي",Q962=التقارير!$C$7))),1,0))</f>
        <v/>
      </c>
      <c r="T962" s="20">
        <f>IF(S962=1,COUNTIF($S$5:S962,1),"")</f>
        <v/>
      </c>
      <c r="U962">
        <f>IF(AND($A962&lt;&gt;"",$B962&lt;&gt;"",$R962='تقرير الفصل الأول'!$C$4,$Q962='تقرير الفصل الأول'!$C$7),COUNT(U$4:U961)+1,"")</f>
        <v/>
      </c>
      <c r="V962">
        <f>IF(AND($A962&lt;&gt;"",$B962&lt;&gt;"",$R962='تقرير الفصل الثاني'!$C$4,$Q962='تقرير الفصل الثاني'!$C$7),COUNT(V$4:V961)+1,"")</f>
        <v/>
      </c>
      <c r="W962">
        <f>IF(AND($A962&lt;&gt;"",$B962&lt;&gt;"",$R962='تقرير سبتمبر'!$C$4,$P962='تقرير سبتمبر'!$C$6),COUNT(W$4:W961)+1,"")</f>
        <v/>
      </c>
      <c r="X962">
        <f>IF(AND($A962&lt;&gt;"",$B962&lt;&gt;"",$R962='تقرير أكتوبر'!$C$4,$P962='تقرير أكتوبر'!$C$6),COUNT(X$4:X961)+1,"")</f>
        <v/>
      </c>
      <c r="Y962">
        <f>IF(AND($A962&lt;&gt;"",$B962&lt;&gt;"",$R962='تقرير نوفمبر'!$C$4,$P962='تقرير نوفمبر'!$C$6),COUNT(Y$4:Y961)+1,"")</f>
        <v/>
      </c>
      <c r="Z962">
        <f>IF(AND($A962&lt;&gt;"",$B962&lt;&gt;"",$R962='تقرير ديسمبر'!$C$4,$P962='تقرير ديسمبر'!$C$6),COUNT(Z$4:Z961)+1,"")</f>
        <v/>
      </c>
      <c r="AA962">
        <f>IF(AND($A962&lt;&gt;"",$B962&lt;&gt;"",$R962='تقرير يناير'!$C$4,$P962='تقرير يناير'!$C$6),COUNT(AA$4:AA961)+1,"")</f>
        <v/>
      </c>
      <c r="AB962">
        <f>IF(AND($A962&lt;&gt;"",$B962&lt;&gt;"",$R962='تقرير فبراير'!$C$4,$P962='تقرير فبراير'!$C$6),COUNT(AB$4:AB961)+1,"")</f>
        <v/>
      </c>
      <c r="AC962">
        <f>IF(AND($A962&lt;&gt;"",$B962&lt;&gt;"",$R962='تقرير مارس'!$C$4,$P962='تقرير مارس'!$C$6),COUNT(AC$4:AC961)+1,"")</f>
        <v/>
      </c>
      <c r="AD962">
        <f>IF(AND($A962&lt;&gt;"",$B962&lt;&gt;"",$R962='تقرير أبريل'!$C$4,$P962='تقرير أبريل'!$C$6),COUNT(AD$4:AD961)+1,"")</f>
        <v/>
      </c>
      <c r="AE962">
        <f>IF(AND($A962&lt;&gt;"",$B962&lt;&gt;"",$R962='تقرير مايو'!$C$4,$P962='تقرير مايو'!$C$6),COUNT(AE$4:AE961)+1,"")</f>
        <v/>
      </c>
    </row>
    <row r="963">
      <c r="A963" s="16" t="n"/>
      <c r="B963" s="17" t="n"/>
      <c r="C963" s="17" t="n"/>
      <c r="D963" s="18" t="n"/>
      <c r="E963" s="17" t="n"/>
      <c r="F963" s="17" t="n"/>
      <c r="G963" s="19" t="n"/>
      <c r="H963" s="17" t="n"/>
      <c r="I963" s="17" t="n"/>
      <c r="J963" s="17" t="n"/>
      <c r="K963" s="20">
        <f>IF($B963="","",IFERROR(INDEX(الموظفات!$A$5:$A$304,MATCH($B963,الموظفات!$B$5:$B$304,0))&amp;"",""))</f>
        <v/>
      </c>
      <c r="L963" s="21">
        <f>IF($B963="","",IFERROR(INDEX(الموظفات!$C$5:$C$304,MATCH($B963,الموظفات!$B$5:$B$304,0))&amp;"",""))</f>
        <v/>
      </c>
      <c r="M963" s="20">
        <f>IF($B963="","",IFERROR(INDEX(الموظفات!$D$5:$D$304,MATCH($B963,الموظفات!$B$5:$B$304,0))&amp;"",""))</f>
        <v/>
      </c>
      <c r="N963" s="20">
        <f>IF($B963="","",IFERROR(INDEX(الموظفات!$E$5:$E$304,MATCH($B963,الموظفات!$B$5:$B$304,0))&amp;"",""))</f>
        <v/>
      </c>
      <c r="O963" s="21">
        <f>IF(C963="","",IFERROR(INDEX(الإعدادات!$D$7:$D$35,MATCH(C963,الإعدادات!$A$7:$A$35,0))&amp;"",""))</f>
        <v/>
      </c>
      <c r="P963" s="20">
        <f>IF(A963="","",INDEX(الإعدادات!$H$7:$H$18,MONTH(A963)))</f>
        <v/>
      </c>
      <c r="Q963" s="20">
        <f>IF(A963="","",INDEX(الإعدادات!$I$7:$I$18,MONTH(A963)))</f>
        <v/>
      </c>
      <c r="R963" s="20">
        <f>IF(A963="","",IF(MONTH(A963)&gt;=8,YEAR(A963)&amp;"-"&amp;(YEAR(A963)+1),(YEAR(A963)-1)&amp;"-"&amp;YEAR(A963)))</f>
        <v/>
      </c>
      <c r="S963" s="20">
        <f>IF(OR(A963="",B963=""),0,IF(AND(R963=التقارير!$C$4,OR(التقارير!$C$5="سنوي",AND(التقارير!$C$5="شهري",P963=التقارير!$C$6),AND(التقارير!$C$5="فصلي",Q963=التقارير!$C$7))),1,0))</f>
        <v/>
      </c>
      <c r="T963" s="20">
        <f>IF(S963=1,COUNTIF($S$5:S963,1),"")</f>
        <v/>
      </c>
      <c r="U963">
        <f>IF(AND($A963&lt;&gt;"",$B963&lt;&gt;"",$R963='تقرير الفصل الأول'!$C$4,$Q963='تقرير الفصل الأول'!$C$7),COUNT(U$4:U962)+1,"")</f>
        <v/>
      </c>
      <c r="V963">
        <f>IF(AND($A963&lt;&gt;"",$B963&lt;&gt;"",$R963='تقرير الفصل الثاني'!$C$4,$Q963='تقرير الفصل الثاني'!$C$7),COUNT(V$4:V962)+1,"")</f>
        <v/>
      </c>
      <c r="W963">
        <f>IF(AND($A963&lt;&gt;"",$B963&lt;&gt;"",$R963='تقرير سبتمبر'!$C$4,$P963='تقرير سبتمبر'!$C$6),COUNT(W$4:W962)+1,"")</f>
        <v/>
      </c>
      <c r="X963">
        <f>IF(AND($A963&lt;&gt;"",$B963&lt;&gt;"",$R963='تقرير أكتوبر'!$C$4,$P963='تقرير أكتوبر'!$C$6),COUNT(X$4:X962)+1,"")</f>
        <v/>
      </c>
      <c r="Y963">
        <f>IF(AND($A963&lt;&gt;"",$B963&lt;&gt;"",$R963='تقرير نوفمبر'!$C$4,$P963='تقرير نوفمبر'!$C$6),COUNT(Y$4:Y962)+1,"")</f>
        <v/>
      </c>
      <c r="Z963">
        <f>IF(AND($A963&lt;&gt;"",$B963&lt;&gt;"",$R963='تقرير ديسمبر'!$C$4,$P963='تقرير ديسمبر'!$C$6),COUNT(Z$4:Z962)+1,"")</f>
        <v/>
      </c>
      <c r="AA963">
        <f>IF(AND($A963&lt;&gt;"",$B963&lt;&gt;"",$R963='تقرير يناير'!$C$4,$P963='تقرير يناير'!$C$6),COUNT(AA$4:AA962)+1,"")</f>
        <v/>
      </c>
      <c r="AB963">
        <f>IF(AND($A963&lt;&gt;"",$B963&lt;&gt;"",$R963='تقرير فبراير'!$C$4,$P963='تقرير فبراير'!$C$6),COUNT(AB$4:AB962)+1,"")</f>
        <v/>
      </c>
      <c r="AC963">
        <f>IF(AND($A963&lt;&gt;"",$B963&lt;&gt;"",$R963='تقرير مارس'!$C$4,$P963='تقرير مارس'!$C$6),COUNT(AC$4:AC962)+1,"")</f>
        <v/>
      </c>
      <c r="AD963">
        <f>IF(AND($A963&lt;&gt;"",$B963&lt;&gt;"",$R963='تقرير أبريل'!$C$4,$P963='تقرير أبريل'!$C$6),COUNT(AD$4:AD962)+1,"")</f>
        <v/>
      </c>
      <c r="AE963">
        <f>IF(AND($A963&lt;&gt;"",$B963&lt;&gt;"",$R963='تقرير مايو'!$C$4,$P963='تقرير مايو'!$C$6),COUNT(AE$4:AE962)+1,"")</f>
        <v/>
      </c>
    </row>
    <row r="964">
      <c r="A964" s="16" t="n"/>
      <c r="B964" s="17" t="n"/>
      <c r="C964" s="17" t="n"/>
      <c r="D964" s="18" t="n"/>
      <c r="E964" s="17" t="n"/>
      <c r="F964" s="17" t="n"/>
      <c r="G964" s="19" t="n"/>
      <c r="H964" s="17" t="n"/>
      <c r="I964" s="17" t="n"/>
      <c r="J964" s="17" t="n"/>
      <c r="K964" s="20">
        <f>IF($B964="","",IFERROR(INDEX(الموظفات!$A$5:$A$304,MATCH($B964,الموظفات!$B$5:$B$304,0))&amp;"",""))</f>
        <v/>
      </c>
      <c r="L964" s="21">
        <f>IF($B964="","",IFERROR(INDEX(الموظفات!$C$5:$C$304,MATCH($B964,الموظفات!$B$5:$B$304,0))&amp;"",""))</f>
        <v/>
      </c>
      <c r="M964" s="20">
        <f>IF($B964="","",IFERROR(INDEX(الموظفات!$D$5:$D$304,MATCH($B964,الموظفات!$B$5:$B$304,0))&amp;"",""))</f>
        <v/>
      </c>
      <c r="N964" s="20">
        <f>IF($B964="","",IFERROR(INDEX(الموظفات!$E$5:$E$304,MATCH($B964,الموظفات!$B$5:$B$304,0))&amp;"",""))</f>
        <v/>
      </c>
      <c r="O964" s="21">
        <f>IF(C964="","",IFERROR(INDEX(الإعدادات!$D$7:$D$35,MATCH(C964,الإعدادات!$A$7:$A$35,0))&amp;"",""))</f>
        <v/>
      </c>
      <c r="P964" s="20">
        <f>IF(A964="","",INDEX(الإعدادات!$H$7:$H$18,MONTH(A964)))</f>
        <v/>
      </c>
      <c r="Q964" s="20">
        <f>IF(A964="","",INDEX(الإعدادات!$I$7:$I$18,MONTH(A964)))</f>
        <v/>
      </c>
      <c r="R964" s="20">
        <f>IF(A964="","",IF(MONTH(A964)&gt;=8,YEAR(A964)&amp;"-"&amp;(YEAR(A964)+1),(YEAR(A964)-1)&amp;"-"&amp;YEAR(A964)))</f>
        <v/>
      </c>
      <c r="S964" s="20">
        <f>IF(OR(A964="",B964=""),0,IF(AND(R964=التقارير!$C$4,OR(التقارير!$C$5="سنوي",AND(التقارير!$C$5="شهري",P964=التقارير!$C$6),AND(التقارير!$C$5="فصلي",Q964=التقارير!$C$7))),1,0))</f>
        <v/>
      </c>
      <c r="T964" s="20">
        <f>IF(S964=1,COUNTIF($S$5:S964,1),"")</f>
        <v/>
      </c>
      <c r="U964">
        <f>IF(AND($A964&lt;&gt;"",$B964&lt;&gt;"",$R964='تقرير الفصل الأول'!$C$4,$Q964='تقرير الفصل الأول'!$C$7),COUNT(U$4:U963)+1,"")</f>
        <v/>
      </c>
      <c r="V964">
        <f>IF(AND($A964&lt;&gt;"",$B964&lt;&gt;"",$R964='تقرير الفصل الثاني'!$C$4,$Q964='تقرير الفصل الثاني'!$C$7),COUNT(V$4:V963)+1,"")</f>
        <v/>
      </c>
      <c r="W964">
        <f>IF(AND($A964&lt;&gt;"",$B964&lt;&gt;"",$R964='تقرير سبتمبر'!$C$4,$P964='تقرير سبتمبر'!$C$6),COUNT(W$4:W963)+1,"")</f>
        <v/>
      </c>
      <c r="X964">
        <f>IF(AND($A964&lt;&gt;"",$B964&lt;&gt;"",$R964='تقرير أكتوبر'!$C$4,$P964='تقرير أكتوبر'!$C$6),COUNT(X$4:X963)+1,"")</f>
        <v/>
      </c>
      <c r="Y964">
        <f>IF(AND($A964&lt;&gt;"",$B964&lt;&gt;"",$R964='تقرير نوفمبر'!$C$4,$P964='تقرير نوفمبر'!$C$6),COUNT(Y$4:Y963)+1,"")</f>
        <v/>
      </c>
      <c r="Z964">
        <f>IF(AND($A964&lt;&gt;"",$B964&lt;&gt;"",$R964='تقرير ديسمبر'!$C$4,$P964='تقرير ديسمبر'!$C$6),COUNT(Z$4:Z963)+1,"")</f>
        <v/>
      </c>
      <c r="AA964">
        <f>IF(AND($A964&lt;&gt;"",$B964&lt;&gt;"",$R964='تقرير يناير'!$C$4,$P964='تقرير يناير'!$C$6),COUNT(AA$4:AA963)+1,"")</f>
        <v/>
      </c>
      <c r="AB964">
        <f>IF(AND($A964&lt;&gt;"",$B964&lt;&gt;"",$R964='تقرير فبراير'!$C$4,$P964='تقرير فبراير'!$C$6),COUNT(AB$4:AB963)+1,"")</f>
        <v/>
      </c>
      <c r="AC964">
        <f>IF(AND($A964&lt;&gt;"",$B964&lt;&gt;"",$R964='تقرير مارس'!$C$4,$P964='تقرير مارس'!$C$6),COUNT(AC$4:AC963)+1,"")</f>
        <v/>
      </c>
      <c r="AD964">
        <f>IF(AND($A964&lt;&gt;"",$B964&lt;&gt;"",$R964='تقرير أبريل'!$C$4,$P964='تقرير أبريل'!$C$6),COUNT(AD$4:AD963)+1,"")</f>
        <v/>
      </c>
      <c r="AE964">
        <f>IF(AND($A964&lt;&gt;"",$B964&lt;&gt;"",$R964='تقرير مايو'!$C$4,$P964='تقرير مايو'!$C$6),COUNT(AE$4:AE963)+1,"")</f>
        <v/>
      </c>
    </row>
    <row r="965">
      <c r="A965" s="16" t="n"/>
      <c r="B965" s="17" t="n"/>
      <c r="C965" s="17" t="n"/>
      <c r="D965" s="18" t="n"/>
      <c r="E965" s="17" t="n"/>
      <c r="F965" s="17" t="n"/>
      <c r="G965" s="19" t="n"/>
      <c r="H965" s="17" t="n"/>
      <c r="I965" s="17" t="n"/>
      <c r="J965" s="17" t="n"/>
      <c r="K965" s="20">
        <f>IF($B965="","",IFERROR(INDEX(الموظفات!$A$5:$A$304,MATCH($B965,الموظفات!$B$5:$B$304,0))&amp;"",""))</f>
        <v/>
      </c>
      <c r="L965" s="21">
        <f>IF($B965="","",IFERROR(INDEX(الموظفات!$C$5:$C$304,MATCH($B965,الموظفات!$B$5:$B$304,0))&amp;"",""))</f>
        <v/>
      </c>
      <c r="M965" s="20">
        <f>IF($B965="","",IFERROR(INDEX(الموظفات!$D$5:$D$304,MATCH($B965,الموظفات!$B$5:$B$304,0))&amp;"",""))</f>
        <v/>
      </c>
      <c r="N965" s="20">
        <f>IF($B965="","",IFERROR(INDEX(الموظفات!$E$5:$E$304,MATCH($B965,الموظفات!$B$5:$B$304,0))&amp;"",""))</f>
        <v/>
      </c>
      <c r="O965" s="21">
        <f>IF(C965="","",IFERROR(INDEX(الإعدادات!$D$7:$D$35,MATCH(C965,الإعدادات!$A$7:$A$35,0))&amp;"",""))</f>
        <v/>
      </c>
      <c r="P965" s="20">
        <f>IF(A965="","",INDEX(الإعدادات!$H$7:$H$18,MONTH(A965)))</f>
        <v/>
      </c>
      <c r="Q965" s="20">
        <f>IF(A965="","",INDEX(الإعدادات!$I$7:$I$18,MONTH(A965)))</f>
        <v/>
      </c>
      <c r="R965" s="20">
        <f>IF(A965="","",IF(MONTH(A965)&gt;=8,YEAR(A965)&amp;"-"&amp;(YEAR(A965)+1),(YEAR(A965)-1)&amp;"-"&amp;YEAR(A965)))</f>
        <v/>
      </c>
      <c r="S965" s="20">
        <f>IF(OR(A965="",B965=""),0,IF(AND(R965=التقارير!$C$4,OR(التقارير!$C$5="سنوي",AND(التقارير!$C$5="شهري",P965=التقارير!$C$6),AND(التقارير!$C$5="فصلي",Q965=التقارير!$C$7))),1,0))</f>
        <v/>
      </c>
      <c r="T965" s="20">
        <f>IF(S965=1,COUNTIF($S$5:S965,1),"")</f>
        <v/>
      </c>
      <c r="U965">
        <f>IF(AND($A965&lt;&gt;"",$B965&lt;&gt;"",$R965='تقرير الفصل الأول'!$C$4,$Q965='تقرير الفصل الأول'!$C$7),COUNT(U$4:U964)+1,"")</f>
        <v/>
      </c>
      <c r="V965">
        <f>IF(AND($A965&lt;&gt;"",$B965&lt;&gt;"",$R965='تقرير الفصل الثاني'!$C$4,$Q965='تقرير الفصل الثاني'!$C$7),COUNT(V$4:V964)+1,"")</f>
        <v/>
      </c>
      <c r="W965">
        <f>IF(AND($A965&lt;&gt;"",$B965&lt;&gt;"",$R965='تقرير سبتمبر'!$C$4,$P965='تقرير سبتمبر'!$C$6),COUNT(W$4:W964)+1,"")</f>
        <v/>
      </c>
      <c r="X965">
        <f>IF(AND($A965&lt;&gt;"",$B965&lt;&gt;"",$R965='تقرير أكتوبر'!$C$4,$P965='تقرير أكتوبر'!$C$6),COUNT(X$4:X964)+1,"")</f>
        <v/>
      </c>
      <c r="Y965">
        <f>IF(AND($A965&lt;&gt;"",$B965&lt;&gt;"",$R965='تقرير نوفمبر'!$C$4,$P965='تقرير نوفمبر'!$C$6),COUNT(Y$4:Y964)+1,"")</f>
        <v/>
      </c>
      <c r="Z965">
        <f>IF(AND($A965&lt;&gt;"",$B965&lt;&gt;"",$R965='تقرير ديسمبر'!$C$4,$P965='تقرير ديسمبر'!$C$6),COUNT(Z$4:Z964)+1,"")</f>
        <v/>
      </c>
      <c r="AA965">
        <f>IF(AND($A965&lt;&gt;"",$B965&lt;&gt;"",$R965='تقرير يناير'!$C$4,$P965='تقرير يناير'!$C$6),COUNT(AA$4:AA964)+1,"")</f>
        <v/>
      </c>
      <c r="AB965">
        <f>IF(AND($A965&lt;&gt;"",$B965&lt;&gt;"",$R965='تقرير فبراير'!$C$4,$P965='تقرير فبراير'!$C$6),COUNT(AB$4:AB964)+1,"")</f>
        <v/>
      </c>
      <c r="AC965">
        <f>IF(AND($A965&lt;&gt;"",$B965&lt;&gt;"",$R965='تقرير مارس'!$C$4,$P965='تقرير مارس'!$C$6),COUNT(AC$4:AC964)+1,"")</f>
        <v/>
      </c>
      <c r="AD965">
        <f>IF(AND($A965&lt;&gt;"",$B965&lt;&gt;"",$R965='تقرير أبريل'!$C$4,$P965='تقرير أبريل'!$C$6),COUNT(AD$4:AD964)+1,"")</f>
        <v/>
      </c>
      <c r="AE965">
        <f>IF(AND($A965&lt;&gt;"",$B965&lt;&gt;"",$R965='تقرير مايو'!$C$4,$P965='تقرير مايو'!$C$6),COUNT(AE$4:AE964)+1,"")</f>
        <v/>
      </c>
    </row>
    <row r="966">
      <c r="A966" s="16" t="n"/>
      <c r="B966" s="17" t="n"/>
      <c r="C966" s="17" t="n"/>
      <c r="D966" s="18" t="n"/>
      <c r="E966" s="17" t="n"/>
      <c r="F966" s="17" t="n"/>
      <c r="G966" s="19" t="n"/>
      <c r="H966" s="17" t="n"/>
      <c r="I966" s="17" t="n"/>
      <c r="J966" s="17" t="n"/>
      <c r="K966" s="20">
        <f>IF($B966="","",IFERROR(INDEX(الموظفات!$A$5:$A$304,MATCH($B966,الموظفات!$B$5:$B$304,0))&amp;"",""))</f>
        <v/>
      </c>
      <c r="L966" s="21">
        <f>IF($B966="","",IFERROR(INDEX(الموظفات!$C$5:$C$304,MATCH($B966,الموظفات!$B$5:$B$304,0))&amp;"",""))</f>
        <v/>
      </c>
      <c r="M966" s="20">
        <f>IF($B966="","",IFERROR(INDEX(الموظفات!$D$5:$D$304,MATCH($B966,الموظفات!$B$5:$B$304,0))&amp;"",""))</f>
        <v/>
      </c>
      <c r="N966" s="20">
        <f>IF($B966="","",IFERROR(INDEX(الموظفات!$E$5:$E$304,MATCH($B966,الموظفات!$B$5:$B$304,0))&amp;"",""))</f>
        <v/>
      </c>
      <c r="O966" s="21">
        <f>IF(C966="","",IFERROR(INDEX(الإعدادات!$D$7:$D$35,MATCH(C966,الإعدادات!$A$7:$A$35,0))&amp;"",""))</f>
        <v/>
      </c>
      <c r="P966" s="20">
        <f>IF(A966="","",INDEX(الإعدادات!$H$7:$H$18,MONTH(A966)))</f>
        <v/>
      </c>
      <c r="Q966" s="20">
        <f>IF(A966="","",INDEX(الإعدادات!$I$7:$I$18,MONTH(A966)))</f>
        <v/>
      </c>
      <c r="R966" s="20">
        <f>IF(A966="","",IF(MONTH(A966)&gt;=8,YEAR(A966)&amp;"-"&amp;(YEAR(A966)+1),(YEAR(A966)-1)&amp;"-"&amp;YEAR(A966)))</f>
        <v/>
      </c>
      <c r="S966" s="20">
        <f>IF(OR(A966="",B966=""),0,IF(AND(R966=التقارير!$C$4,OR(التقارير!$C$5="سنوي",AND(التقارير!$C$5="شهري",P966=التقارير!$C$6),AND(التقارير!$C$5="فصلي",Q966=التقارير!$C$7))),1,0))</f>
        <v/>
      </c>
      <c r="T966" s="20">
        <f>IF(S966=1,COUNTIF($S$5:S966,1),"")</f>
        <v/>
      </c>
      <c r="U966">
        <f>IF(AND($A966&lt;&gt;"",$B966&lt;&gt;"",$R966='تقرير الفصل الأول'!$C$4,$Q966='تقرير الفصل الأول'!$C$7),COUNT(U$4:U965)+1,"")</f>
        <v/>
      </c>
      <c r="V966">
        <f>IF(AND($A966&lt;&gt;"",$B966&lt;&gt;"",$R966='تقرير الفصل الثاني'!$C$4,$Q966='تقرير الفصل الثاني'!$C$7),COUNT(V$4:V965)+1,"")</f>
        <v/>
      </c>
      <c r="W966">
        <f>IF(AND($A966&lt;&gt;"",$B966&lt;&gt;"",$R966='تقرير سبتمبر'!$C$4,$P966='تقرير سبتمبر'!$C$6),COUNT(W$4:W965)+1,"")</f>
        <v/>
      </c>
      <c r="X966">
        <f>IF(AND($A966&lt;&gt;"",$B966&lt;&gt;"",$R966='تقرير أكتوبر'!$C$4,$P966='تقرير أكتوبر'!$C$6),COUNT(X$4:X965)+1,"")</f>
        <v/>
      </c>
      <c r="Y966">
        <f>IF(AND($A966&lt;&gt;"",$B966&lt;&gt;"",$R966='تقرير نوفمبر'!$C$4,$P966='تقرير نوفمبر'!$C$6),COUNT(Y$4:Y965)+1,"")</f>
        <v/>
      </c>
      <c r="Z966">
        <f>IF(AND($A966&lt;&gt;"",$B966&lt;&gt;"",$R966='تقرير ديسمبر'!$C$4,$P966='تقرير ديسمبر'!$C$6),COUNT(Z$4:Z965)+1,"")</f>
        <v/>
      </c>
      <c r="AA966">
        <f>IF(AND($A966&lt;&gt;"",$B966&lt;&gt;"",$R966='تقرير يناير'!$C$4,$P966='تقرير يناير'!$C$6),COUNT(AA$4:AA965)+1,"")</f>
        <v/>
      </c>
      <c r="AB966">
        <f>IF(AND($A966&lt;&gt;"",$B966&lt;&gt;"",$R966='تقرير فبراير'!$C$4,$P966='تقرير فبراير'!$C$6),COUNT(AB$4:AB965)+1,"")</f>
        <v/>
      </c>
      <c r="AC966">
        <f>IF(AND($A966&lt;&gt;"",$B966&lt;&gt;"",$R966='تقرير مارس'!$C$4,$P966='تقرير مارس'!$C$6),COUNT(AC$4:AC965)+1,"")</f>
        <v/>
      </c>
      <c r="AD966">
        <f>IF(AND($A966&lt;&gt;"",$B966&lt;&gt;"",$R966='تقرير أبريل'!$C$4,$P966='تقرير أبريل'!$C$6),COUNT(AD$4:AD965)+1,"")</f>
        <v/>
      </c>
      <c r="AE966">
        <f>IF(AND($A966&lt;&gt;"",$B966&lt;&gt;"",$R966='تقرير مايو'!$C$4,$P966='تقرير مايو'!$C$6),COUNT(AE$4:AE965)+1,"")</f>
        <v/>
      </c>
    </row>
    <row r="967">
      <c r="A967" s="16" t="n"/>
      <c r="B967" s="17" t="n"/>
      <c r="C967" s="17" t="n"/>
      <c r="D967" s="18" t="n"/>
      <c r="E967" s="17" t="n"/>
      <c r="F967" s="17" t="n"/>
      <c r="G967" s="19" t="n"/>
      <c r="H967" s="17" t="n"/>
      <c r="I967" s="17" t="n"/>
      <c r="J967" s="17" t="n"/>
      <c r="K967" s="20">
        <f>IF($B967="","",IFERROR(INDEX(الموظفات!$A$5:$A$304,MATCH($B967,الموظفات!$B$5:$B$304,0))&amp;"",""))</f>
        <v/>
      </c>
      <c r="L967" s="21">
        <f>IF($B967="","",IFERROR(INDEX(الموظفات!$C$5:$C$304,MATCH($B967,الموظفات!$B$5:$B$304,0))&amp;"",""))</f>
        <v/>
      </c>
      <c r="M967" s="20">
        <f>IF($B967="","",IFERROR(INDEX(الموظفات!$D$5:$D$304,MATCH($B967,الموظفات!$B$5:$B$304,0))&amp;"",""))</f>
        <v/>
      </c>
      <c r="N967" s="20">
        <f>IF($B967="","",IFERROR(INDEX(الموظفات!$E$5:$E$304,MATCH($B967,الموظفات!$B$5:$B$304,0))&amp;"",""))</f>
        <v/>
      </c>
      <c r="O967" s="21">
        <f>IF(C967="","",IFERROR(INDEX(الإعدادات!$D$7:$D$35,MATCH(C967,الإعدادات!$A$7:$A$35,0))&amp;"",""))</f>
        <v/>
      </c>
      <c r="P967" s="20">
        <f>IF(A967="","",INDEX(الإعدادات!$H$7:$H$18,MONTH(A967)))</f>
        <v/>
      </c>
      <c r="Q967" s="20">
        <f>IF(A967="","",INDEX(الإعدادات!$I$7:$I$18,MONTH(A967)))</f>
        <v/>
      </c>
      <c r="R967" s="20">
        <f>IF(A967="","",IF(MONTH(A967)&gt;=8,YEAR(A967)&amp;"-"&amp;(YEAR(A967)+1),(YEAR(A967)-1)&amp;"-"&amp;YEAR(A967)))</f>
        <v/>
      </c>
      <c r="S967" s="20">
        <f>IF(OR(A967="",B967=""),0,IF(AND(R967=التقارير!$C$4,OR(التقارير!$C$5="سنوي",AND(التقارير!$C$5="شهري",P967=التقارير!$C$6),AND(التقارير!$C$5="فصلي",Q967=التقارير!$C$7))),1,0))</f>
        <v/>
      </c>
      <c r="T967" s="20">
        <f>IF(S967=1,COUNTIF($S$5:S967,1),"")</f>
        <v/>
      </c>
      <c r="U967">
        <f>IF(AND($A967&lt;&gt;"",$B967&lt;&gt;"",$R967='تقرير الفصل الأول'!$C$4,$Q967='تقرير الفصل الأول'!$C$7),COUNT(U$4:U966)+1,"")</f>
        <v/>
      </c>
      <c r="V967">
        <f>IF(AND($A967&lt;&gt;"",$B967&lt;&gt;"",$R967='تقرير الفصل الثاني'!$C$4,$Q967='تقرير الفصل الثاني'!$C$7),COUNT(V$4:V966)+1,"")</f>
        <v/>
      </c>
      <c r="W967">
        <f>IF(AND($A967&lt;&gt;"",$B967&lt;&gt;"",$R967='تقرير سبتمبر'!$C$4,$P967='تقرير سبتمبر'!$C$6),COUNT(W$4:W966)+1,"")</f>
        <v/>
      </c>
      <c r="X967">
        <f>IF(AND($A967&lt;&gt;"",$B967&lt;&gt;"",$R967='تقرير أكتوبر'!$C$4,$P967='تقرير أكتوبر'!$C$6),COUNT(X$4:X966)+1,"")</f>
        <v/>
      </c>
      <c r="Y967">
        <f>IF(AND($A967&lt;&gt;"",$B967&lt;&gt;"",$R967='تقرير نوفمبر'!$C$4,$P967='تقرير نوفمبر'!$C$6),COUNT(Y$4:Y966)+1,"")</f>
        <v/>
      </c>
      <c r="Z967">
        <f>IF(AND($A967&lt;&gt;"",$B967&lt;&gt;"",$R967='تقرير ديسمبر'!$C$4,$P967='تقرير ديسمبر'!$C$6),COUNT(Z$4:Z966)+1,"")</f>
        <v/>
      </c>
      <c r="AA967">
        <f>IF(AND($A967&lt;&gt;"",$B967&lt;&gt;"",$R967='تقرير يناير'!$C$4,$P967='تقرير يناير'!$C$6),COUNT(AA$4:AA966)+1,"")</f>
        <v/>
      </c>
      <c r="AB967">
        <f>IF(AND($A967&lt;&gt;"",$B967&lt;&gt;"",$R967='تقرير فبراير'!$C$4,$P967='تقرير فبراير'!$C$6),COUNT(AB$4:AB966)+1,"")</f>
        <v/>
      </c>
      <c r="AC967">
        <f>IF(AND($A967&lt;&gt;"",$B967&lt;&gt;"",$R967='تقرير مارس'!$C$4,$P967='تقرير مارس'!$C$6),COUNT(AC$4:AC966)+1,"")</f>
        <v/>
      </c>
      <c r="AD967">
        <f>IF(AND($A967&lt;&gt;"",$B967&lt;&gt;"",$R967='تقرير أبريل'!$C$4,$P967='تقرير أبريل'!$C$6),COUNT(AD$4:AD966)+1,"")</f>
        <v/>
      </c>
      <c r="AE967">
        <f>IF(AND($A967&lt;&gt;"",$B967&lt;&gt;"",$R967='تقرير مايو'!$C$4,$P967='تقرير مايو'!$C$6),COUNT(AE$4:AE966)+1,"")</f>
        <v/>
      </c>
    </row>
    <row r="968">
      <c r="A968" s="16" t="n"/>
      <c r="B968" s="17" t="n"/>
      <c r="C968" s="17" t="n"/>
      <c r="D968" s="18" t="n"/>
      <c r="E968" s="17" t="n"/>
      <c r="F968" s="17" t="n"/>
      <c r="G968" s="19" t="n"/>
      <c r="H968" s="17" t="n"/>
      <c r="I968" s="17" t="n"/>
      <c r="J968" s="17" t="n"/>
      <c r="K968" s="20">
        <f>IF($B968="","",IFERROR(INDEX(الموظفات!$A$5:$A$304,MATCH($B968,الموظفات!$B$5:$B$304,0))&amp;"",""))</f>
        <v/>
      </c>
      <c r="L968" s="21">
        <f>IF($B968="","",IFERROR(INDEX(الموظفات!$C$5:$C$304,MATCH($B968,الموظفات!$B$5:$B$304,0))&amp;"",""))</f>
        <v/>
      </c>
      <c r="M968" s="20">
        <f>IF($B968="","",IFERROR(INDEX(الموظفات!$D$5:$D$304,MATCH($B968,الموظفات!$B$5:$B$304,0))&amp;"",""))</f>
        <v/>
      </c>
      <c r="N968" s="20">
        <f>IF($B968="","",IFERROR(INDEX(الموظفات!$E$5:$E$304,MATCH($B968,الموظفات!$B$5:$B$304,0))&amp;"",""))</f>
        <v/>
      </c>
      <c r="O968" s="21">
        <f>IF(C968="","",IFERROR(INDEX(الإعدادات!$D$7:$D$35,MATCH(C968,الإعدادات!$A$7:$A$35,0))&amp;"",""))</f>
        <v/>
      </c>
      <c r="P968" s="20">
        <f>IF(A968="","",INDEX(الإعدادات!$H$7:$H$18,MONTH(A968)))</f>
        <v/>
      </c>
      <c r="Q968" s="20">
        <f>IF(A968="","",INDEX(الإعدادات!$I$7:$I$18,MONTH(A968)))</f>
        <v/>
      </c>
      <c r="R968" s="20">
        <f>IF(A968="","",IF(MONTH(A968)&gt;=8,YEAR(A968)&amp;"-"&amp;(YEAR(A968)+1),(YEAR(A968)-1)&amp;"-"&amp;YEAR(A968)))</f>
        <v/>
      </c>
      <c r="S968" s="20">
        <f>IF(OR(A968="",B968=""),0,IF(AND(R968=التقارير!$C$4,OR(التقارير!$C$5="سنوي",AND(التقارير!$C$5="شهري",P968=التقارير!$C$6),AND(التقارير!$C$5="فصلي",Q968=التقارير!$C$7))),1,0))</f>
        <v/>
      </c>
      <c r="T968" s="20">
        <f>IF(S968=1,COUNTIF($S$5:S968,1),"")</f>
        <v/>
      </c>
      <c r="U968">
        <f>IF(AND($A968&lt;&gt;"",$B968&lt;&gt;"",$R968='تقرير الفصل الأول'!$C$4,$Q968='تقرير الفصل الأول'!$C$7),COUNT(U$4:U967)+1,"")</f>
        <v/>
      </c>
      <c r="V968">
        <f>IF(AND($A968&lt;&gt;"",$B968&lt;&gt;"",$R968='تقرير الفصل الثاني'!$C$4,$Q968='تقرير الفصل الثاني'!$C$7),COUNT(V$4:V967)+1,"")</f>
        <v/>
      </c>
      <c r="W968">
        <f>IF(AND($A968&lt;&gt;"",$B968&lt;&gt;"",$R968='تقرير سبتمبر'!$C$4,$P968='تقرير سبتمبر'!$C$6),COUNT(W$4:W967)+1,"")</f>
        <v/>
      </c>
      <c r="X968">
        <f>IF(AND($A968&lt;&gt;"",$B968&lt;&gt;"",$R968='تقرير أكتوبر'!$C$4,$P968='تقرير أكتوبر'!$C$6),COUNT(X$4:X967)+1,"")</f>
        <v/>
      </c>
      <c r="Y968">
        <f>IF(AND($A968&lt;&gt;"",$B968&lt;&gt;"",$R968='تقرير نوفمبر'!$C$4,$P968='تقرير نوفمبر'!$C$6),COUNT(Y$4:Y967)+1,"")</f>
        <v/>
      </c>
      <c r="Z968">
        <f>IF(AND($A968&lt;&gt;"",$B968&lt;&gt;"",$R968='تقرير ديسمبر'!$C$4,$P968='تقرير ديسمبر'!$C$6),COUNT(Z$4:Z967)+1,"")</f>
        <v/>
      </c>
      <c r="AA968">
        <f>IF(AND($A968&lt;&gt;"",$B968&lt;&gt;"",$R968='تقرير يناير'!$C$4,$P968='تقرير يناير'!$C$6),COUNT(AA$4:AA967)+1,"")</f>
        <v/>
      </c>
      <c r="AB968">
        <f>IF(AND($A968&lt;&gt;"",$B968&lt;&gt;"",$R968='تقرير فبراير'!$C$4,$P968='تقرير فبراير'!$C$6),COUNT(AB$4:AB967)+1,"")</f>
        <v/>
      </c>
      <c r="AC968">
        <f>IF(AND($A968&lt;&gt;"",$B968&lt;&gt;"",$R968='تقرير مارس'!$C$4,$P968='تقرير مارس'!$C$6),COUNT(AC$4:AC967)+1,"")</f>
        <v/>
      </c>
      <c r="AD968">
        <f>IF(AND($A968&lt;&gt;"",$B968&lt;&gt;"",$R968='تقرير أبريل'!$C$4,$P968='تقرير أبريل'!$C$6),COUNT(AD$4:AD967)+1,"")</f>
        <v/>
      </c>
      <c r="AE968">
        <f>IF(AND($A968&lt;&gt;"",$B968&lt;&gt;"",$R968='تقرير مايو'!$C$4,$P968='تقرير مايو'!$C$6),COUNT(AE$4:AE967)+1,"")</f>
        <v/>
      </c>
    </row>
    <row r="969">
      <c r="A969" s="16" t="n"/>
      <c r="B969" s="17" t="n"/>
      <c r="C969" s="17" t="n"/>
      <c r="D969" s="18" t="n"/>
      <c r="E969" s="17" t="n"/>
      <c r="F969" s="17" t="n"/>
      <c r="G969" s="19" t="n"/>
      <c r="H969" s="17" t="n"/>
      <c r="I969" s="17" t="n"/>
      <c r="J969" s="17" t="n"/>
      <c r="K969" s="20">
        <f>IF($B969="","",IFERROR(INDEX(الموظفات!$A$5:$A$304,MATCH($B969,الموظفات!$B$5:$B$304,0))&amp;"",""))</f>
        <v/>
      </c>
      <c r="L969" s="21">
        <f>IF($B969="","",IFERROR(INDEX(الموظفات!$C$5:$C$304,MATCH($B969,الموظفات!$B$5:$B$304,0))&amp;"",""))</f>
        <v/>
      </c>
      <c r="M969" s="20">
        <f>IF($B969="","",IFERROR(INDEX(الموظفات!$D$5:$D$304,MATCH($B969,الموظفات!$B$5:$B$304,0))&amp;"",""))</f>
        <v/>
      </c>
      <c r="N969" s="20">
        <f>IF($B969="","",IFERROR(INDEX(الموظفات!$E$5:$E$304,MATCH($B969,الموظفات!$B$5:$B$304,0))&amp;"",""))</f>
        <v/>
      </c>
      <c r="O969" s="21">
        <f>IF(C969="","",IFERROR(INDEX(الإعدادات!$D$7:$D$35,MATCH(C969,الإعدادات!$A$7:$A$35,0))&amp;"",""))</f>
        <v/>
      </c>
      <c r="P969" s="20">
        <f>IF(A969="","",INDEX(الإعدادات!$H$7:$H$18,MONTH(A969)))</f>
        <v/>
      </c>
      <c r="Q969" s="20">
        <f>IF(A969="","",INDEX(الإعدادات!$I$7:$I$18,MONTH(A969)))</f>
        <v/>
      </c>
      <c r="R969" s="20">
        <f>IF(A969="","",IF(MONTH(A969)&gt;=8,YEAR(A969)&amp;"-"&amp;(YEAR(A969)+1),(YEAR(A969)-1)&amp;"-"&amp;YEAR(A969)))</f>
        <v/>
      </c>
      <c r="S969" s="20">
        <f>IF(OR(A969="",B969=""),0,IF(AND(R969=التقارير!$C$4,OR(التقارير!$C$5="سنوي",AND(التقارير!$C$5="شهري",P969=التقارير!$C$6),AND(التقارير!$C$5="فصلي",Q969=التقارير!$C$7))),1,0))</f>
        <v/>
      </c>
      <c r="T969" s="20">
        <f>IF(S969=1,COUNTIF($S$5:S969,1),"")</f>
        <v/>
      </c>
      <c r="U969">
        <f>IF(AND($A969&lt;&gt;"",$B969&lt;&gt;"",$R969='تقرير الفصل الأول'!$C$4,$Q969='تقرير الفصل الأول'!$C$7),COUNT(U$4:U968)+1,"")</f>
        <v/>
      </c>
      <c r="V969">
        <f>IF(AND($A969&lt;&gt;"",$B969&lt;&gt;"",$R969='تقرير الفصل الثاني'!$C$4,$Q969='تقرير الفصل الثاني'!$C$7),COUNT(V$4:V968)+1,"")</f>
        <v/>
      </c>
      <c r="W969">
        <f>IF(AND($A969&lt;&gt;"",$B969&lt;&gt;"",$R969='تقرير سبتمبر'!$C$4,$P969='تقرير سبتمبر'!$C$6),COUNT(W$4:W968)+1,"")</f>
        <v/>
      </c>
      <c r="X969">
        <f>IF(AND($A969&lt;&gt;"",$B969&lt;&gt;"",$R969='تقرير أكتوبر'!$C$4,$P969='تقرير أكتوبر'!$C$6),COUNT(X$4:X968)+1,"")</f>
        <v/>
      </c>
      <c r="Y969">
        <f>IF(AND($A969&lt;&gt;"",$B969&lt;&gt;"",$R969='تقرير نوفمبر'!$C$4,$P969='تقرير نوفمبر'!$C$6),COUNT(Y$4:Y968)+1,"")</f>
        <v/>
      </c>
      <c r="Z969">
        <f>IF(AND($A969&lt;&gt;"",$B969&lt;&gt;"",$R969='تقرير ديسمبر'!$C$4,$P969='تقرير ديسمبر'!$C$6),COUNT(Z$4:Z968)+1,"")</f>
        <v/>
      </c>
      <c r="AA969">
        <f>IF(AND($A969&lt;&gt;"",$B969&lt;&gt;"",$R969='تقرير يناير'!$C$4,$P969='تقرير يناير'!$C$6),COUNT(AA$4:AA968)+1,"")</f>
        <v/>
      </c>
      <c r="AB969">
        <f>IF(AND($A969&lt;&gt;"",$B969&lt;&gt;"",$R969='تقرير فبراير'!$C$4,$P969='تقرير فبراير'!$C$6),COUNT(AB$4:AB968)+1,"")</f>
        <v/>
      </c>
      <c r="AC969">
        <f>IF(AND($A969&lt;&gt;"",$B969&lt;&gt;"",$R969='تقرير مارس'!$C$4,$P969='تقرير مارس'!$C$6),COUNT(AC$4:AC968)+1,"")</f>
        <v/>
      </c>
      <c r="AD969">
        <f>IF(AND($A969&lt;&gt;"",$B969&lt;&gt;"",$R969='تقرير أبريل'!$C$4,$P969='تقرير أبريل'!$C$6),COUNT(AD$4:AD968)+1,"")</f>
        <v/>
      </c>
      <c r="AE969">
        <f>IF(AND($A969&lt;&gt;"",$B969&lt;&gt;"",$R969='تقرير مايو'!$C$4,$P969='تقرير مايو'!$C$6),COUNT(AE$4:AE968)+1,"")</f>
        <v/>
      </c>
    </row>
    <row r="970">
      <c r="A970" s="16" t="n"/>
      <c r="B970" s="17" t="n"/>
      <c r="C970" s="17" t="n"/>
      <c r="D970" s="18" t="n"/>
      <c r="E970" s="17" t="n"/>
      <c r="F970" s="17" t="n"/>
      <c r="G970" s="19" t="n"/>
      <c r="H970" s="17" t="n"/>
      <c r="I970" s="17" t="n"/>
      <c r="J970" s="17" t="n"/>
      <c r="K970" s="20">
        <f>IF($B970="","",IFERROR(INDEX(الموظفات!$A$5:$A$304,MATCH($B970,الموظفات!$B$5:$B$304,0))&amp;"",""))</f>
        <v/>
      </c>
      <c r="L970" s="21">
        <f>IF($B970="","",IFERROR(INDEX(الموظفات!$C$5:$C$304,MATCH($B970,الموظفات!$B$5:$B$304,0))&amp;"",""))</f>
        <v/>
      </c>
      <c r="M970" s="20">
        <f>IF($B970="","",IFERROR(INDEX(الموظفات!$D$5:$D$304,MATCH($B970,الموظفات!$B$5:$B$304,0))&amp;"",""))</f>
        <v/>
      </c>
      <c r="N970" s="20">
        <f>IF($B970="","",IFERROR(INDEX(الموظفات!$E$5:$E$304,MATCH($B970,الموظفات!$B$5:$B$304,0))&amp;"",""))</f>
        <v/>
      </c>
      <c r="O970" s="21">
        <f>IF(C970="","",IFERROR(INDEX(الإعدادات!$D$7:$D$35,MATCH(C970,الإعدادات!$A$7:$A$35,0))&amp;"",""))</f>
        <v/>
      </c>
      <c r="P970" s="20">
        <f>IF(A970="","",INDEX(الإعدادات!$H$7:$H$18,MONTH(A970)))</f>
        <v/>
      </c>
      <c r="Q970" s="20">
        <f>IF(A970="","",INDEX(الإعدادات!$I$7:$I$18,MONTH(A970)))</f>
        <v/>
      </c>
      <c r="R970" s="20">
        <f>IF(A970="","",IF(MONTH(A970)&gt;=8,YEAR(A970)&amp;"-"&amp;(YEAR(A970)+1),(YEAR(A970)-1)&amp;"-"&amp;YEAR(A970)))</f>
        <v/>
      </c>
      <c r="S970" s="20">
        <f>IF(OR(A970="",B970=""),0,IF(AND(R970=التقارير!$C$4,OR(التقارير!$C$5="سنوي",AND(التقارير!$C$5="شهري",P970=التقارير!$C$6),AND(التقارير!$C$5="فصلي",Q970=التقارير!$C$7))),1,0))</f>
        <v/>
      </c>
      <c r="T970" s="20">
        <f>IF(S970=1,COUNTIF($S$5:S970,1),"")</f>
        <v/>
      </c>
      <c r="U970">
        <f>IF(AND($A970&lt;&gt;"",$B970&lt;&gt;"",$R970='تقرير الفصل الأول'!$C$4,$Q970='تقرير الفصل الأول'!$C$7),COUNT(U$4:U969)+1,"")</f>
        <v/>
      </c>
      <c r="V970">
        <f>IF(AND($A970&lt;&gt;"",$B970&lt;&gt;"",$R970='تقرير الفصل الثاني'!$C$4,$Q970='تقرير الفصل الثاني'!$C$7),COUNT(V$4:V969)+1,"")</f>
        <v/>
      </c>
      <c r="W970">
        <f>IF(AND($A970&lt;&gt;"",$B970&lt;&gt;"",$R970='تقرير سبتمبر'!$C$4,$P970='تقرير سبتمبر'!$C$6),COUNT(W$4:W969)+1,"")</f>
        <v/>
      </c>
      <c r="X970">
        <f>IF(AND($A970&lt;&gt;"",$B970&lt;&gt;"",$R970='تقرير أكتوبر'!$C$4,$P970='تقرير أكتوبر'!$C$6),COUNT(X$4:X969)+1,"")</f>
        <v/>
      </c>
      <c r="Y970">
        <f>IF(AND($A970&lt;&gt;"",$B970&lt;&gt;"",$R970='تقرير نوفمبر'!$C$4,$P970='تقرير نوفمبر'!$C$6),COUNT(Y$4:Y969)+1,"")</f>
        <v/>
      </c>
      <c r="Z970">
        <f>IF(AND($A970&lt;&gt;"",$B970&lt;&gt;"",$R970='تقرير ديسمبر'!$C$4,$P970='تقرير ديسمبر'!$C$6),COUNT(Z$4:Z969)+1,"")</f>
        <v/>
      </c>
      <c r="AA970">
        <f>IF(AND($A970&lt;&gt;"",$B970&lt;&gt;"",$R970='تقرير يناير'!$C$4,$P970='تقرير يناير'!$C$6),COUNT(AA$4:AA969)+1,"")</f>
        <v/>
      </c>
      <c r="AB970">
        <f>IF(AND($A970&lt;&gt;"",$B970&lt;&gt;"",$R970='تقرير فبراير'!$C$4,$P970='تقرير فبراير'!$C$6),COUNT(AB$4:AB969)+1,"")</f>
        <v/>
      </c>
      <c r="AC970">
        <f>IF(AND($A970&lt;&gt;"",$B970&lt;&gt;"",$R970='تقرير مارس'!$C$4,$P970='تقرير مارس'!$C$6),COUNT(AC$4:AC969)+1,"")</f>
        <v/>
      </c>
      <c r="AD970">
        <f>IF(AND($A970&lt;&gt;"",$B970&lt;&gt;"",$R970='تقرير أبريل'!$C$4,$P970='تقرير أبريل'!$C$6),COUNT(AD$4:AD969)+1,"")</f>
        <v/>
      </c>
      <c r="AE970">
        <f>IF(AND($A970&lt;&gt;"",$B970&lt;&gt;"",$R970='تقرير مايو'!$C$4,$P970='تقرير مايو'!$C$6),COUNT(AE$4:AE969)+1,"")</f>
        <v/>
      </c>
    </row>
    <row r="971">
      <c r="A971" s="16" t="n"/>
      <c r="B971" s="17" t="n"/>
      <c r="C971" s="17" t="n"/>
      <c r="D971" s="18" t="n"/>
      <c r="E971" s="17" t="n"/>
      <c r="F971" s="17" t="n"/>
      <c r="G971" s="19" t="n"/>
      <c r="H971" s="17" t="n"/>
      <c r="I971" s="17" t="n"/>
      <c r="J971" s="17" t="n"/>
      <c r="K971" s="20">
        <f>IF($B971="","",IFERROR(INDEX(الموظفات!$A$5:$A$304,MATCH($B971,الموظفات!$B$5:$B$304,0))&amp;"",""))</f>
        <v/>
      </c>
      <c r="L971" s="21">
        <f>IF($B971="","",IFERROR(INDEX(الموظفات!$C$5:$C$304,MATCH($B971,الموظفات!$B$5:$B$304,0))&amp;"",""))</f>
        <v/>
      </c>
      <c r="M971" s="20">
        <f>IF($B971="","",IFERROR(INDEX(الموظفات!$D$5:$D$304,MATCH($B971,الموظفات!$B$5:$B$304,0))&amp;"",""))</f>
        <v/>
      </c>
      <c r="N971" s="20">
        <f>IF($B971="","",IFERROR(INDEX(الموظفات!$E$5:$E$304,MATCH($B971,الموظفات!$B$5:$B$304,0))&amp;"",""))</f>
        <v/>
      </c>
      <c r="O971" s="21">
        <f>IF(C971="","",IFERROR(INDEX(الإعدادات!$D$7:$D$35,MATCH(C971,الإعدادات!$A$7:$A$35,0))&amp;"",""))</f>
        <v/>
      </c>
      <c r="P971" s="20">
        <f>IF(A971="","",INDEX(الإعدادات!$H$7:$H$18,MONTH(A971)))</f>
        <v/>
      </c>
      <c r="Q971" s="20">
        <f>IF(A971="","",INDEX(الإعدادات!$I$7:$I$18,MONTH(A971)))</f>
        <v/>
      </c>
      <c r="R971" s="20">
        <f>IF(A971="","",IF(MONTH(A971)&gt;=8,YEAR(A971)&amp;"-"&amp;(YEAR(A971)+1),(YEAR(A971)-1)&amp;"-"&amp;YEAR(A971)))</f>
        <v/>
      </c>
      <c r="S971" s="20">
        <f>IF(OR(A971="",B971=""),0,IF(AND(R971=التقارير!$C$4,OR(التقارير!$C$5="سنوي",AND(التقارير!$C$5="شهري",P971=التقارير!$C$6),AND(التقارير!$C$5="فصلي",Q971=التقارير!$C$7))),1,0))</f>
        <v/>
      </c>
      <c r="T971" s="20">
        <f>IF(S971=1,COUNTIF($S$5:S971,1),"")</f>
        <v/>
      </c>
      <c r="U971">
        <f>IF(AND($A971&lt;&gt;"",$B971&lt;&gt;"",$R971='تقرير الفصل الأول'!$C$4,$Q971='تقرير الفصل الأول'!$C$7),COUNT(U$4:U970)+1,"")</f>
        <v/>
      </c>
      <c r="V971">
        <f>IF(AND($A971&lt;&gt;"",$B971&lt;&gt;"",$R971='تقرير الفصل الثاني'!$C$4,$Q971='تقرير الفصل الثاني'!$C$7),COUNT(V$4:V970)+1,"")</f>
        <v/>
      </c>
      <c r="W971">
        <f>IF(AND($A971&lt;&gt;"",$B971&lt;&gt;"",$R971='تقرير سبتمبر'!$C$4,$P971='تقرير سبتمبر'!$C$6),COUNT(W$4:W970)+1,"")</f>
        <v/>
      </c>
      <c r="X971">
        <f>IF(AND($A971&lt;&gt;"",$B971&lt;&gt;"",$R971='تقرير أكتوبر'!$C$4,$P971='تقرير أكتوبر'!$C$6),COUNT(X$4:X970)+1,"")</f>
        <v/>
      </c>
      <c r="Y971">
        <f>IF(AND($A971&lt;&gt;"",$B971&lt;&gt;"",$R971='تقرير نوفمبر'!$C$4,$P971='تقرير نوفمبر'!$C$6),COUNT(Y$4:Y970)+1,"")</f>
        <v/>
      </c>
      <c r="Z971">
        <f>IF(AND($A971&lt;&gt;"",$B971&lt;&gt;"",$R971='تقرير ديسمبر'!$C$4,$P971='تقرير ديسمبر'!$C$6),COUNT(Z$4:Z970)+1,"")</f>
        <v/>
      </c>
      <c r="AA971">
        <f>IF(AND($A971&lt;&gt;"",$B971&lt;&gt;"",$R971='تقرير يناير'!$C$4,$P971='تقرير يناير'!$C$6),COUNT(AA$4:AA970)+1,"")</f>
        <v/>
      </c>
      <c r="AB971">
        <f>IF(AND($A971&lt;&gt;"",$B971&lt;&gt;"",$R971='تقرير فبراير'!$C$4,$P971='تقرير فبراير'!$C$6),COUNT(AB$4:AB970)+1,"")</f>
        <v/>
      </c>
      <c r="AC971">
        <f>IF(AND($A971&lt;&gt;"",$B971&lt;&gt;"",$R971='تقرير مارس'!$C$4,$P971='تقرير مارس'!$C$6),COUNT(AC$4:AC970)+1,"")</f>
        <v/>
      </c>
      <c r="AD971">
        <f>IF(AND($A971&lt;&gt;"",$B971&lt;&gt;"",$R971='تقرير أبريل'!$C$4,$P971='تقرير أبريل'!$C$6),COUNT(AD$4:AD970)+1,"")</f>
        <v/>
      </c>
      <c r="AE971">
        <f>IF(AND($A971&lt;&gt;"",$B971&lt;&gt;"",$R971='تقرير مايو'!$C$4,$P971='تقرير مايو'!$C$6),COUNT(AE$4:AE970)+1,"")</f>
        <v/>
      </c>
    </row>
    <row r="972">
      <c r="A972" s="16" t="n"/>
      <c r="B972" s="17" t="n"/>
      <c r="C972" s="17" t="n"/>
      <c r="D972" s="18" t="n"/>
      <c r="E972" s="17" t="n"/>
      <c r="F972" s="17" t="n"/>
      <c r="G972" s="19" t="n"/>
      <c r="H972" s="17" t="n"/>
      <c r="I972" s="17" t="n"/>
      <c r="J972" s="17" t="n"/>
      <c r="K972" s="20">
        <f>IF($B972="","",IFERROR(INDEX(الموظفات!$A$5:$A$304,MATCH($B972,الموظفات!$B$5:$B$304,0))&amp;"",""))</f>
        <v/>
      </c>
      <c r="L972" s="21">
        <f>IF($B972="","",IFERROR(INDEX(الموظفات!$C$5:$C$304,MATCH($B972,الموظفات!$B$5:$B$304,0))&amp;"",""))</f>
        <v/>
      </c>
      <c r="M972" s="20">
        <f>IF($B972="","",IFERROR(INDEX(الموظفات!$D$5:$D$304,MATCH($B972,الموظفات!$B$5:$B$304,0))&amp;"",""))</f>
        <v/>
      </c>
      <c r="N972" s="20">
        <f>IF($B972="","",IFERROR(INDEX(الموظفات!$E$5:$E$304,MATCH($B972,الموظفات!$B$5:$B$304,0))&amp;"",""))</f>
        <v/>
      </c>
      <c r="O972" s="21">
        <f>IF(C972="","",IFERROR(INDEX(الإعدادات!$D$7:$D$35,MATCH(C972,الإعدادات!$A$7:$A$35,0))&amp;"",""))</f>
        <v/>
      </c>
      <c r="P972" s="20">
        <f>IF(A972="","",INDEX(الإعدادات!$H$7:$H$18,MONTH(A972)))</f>
        <v/>
      </c>
      <c r="Q972" s="20">
        <f>IF(A972="","",INDEX(الإعدادات!$I$7:$I$18,MONTH(A972)))</f>
        <v/>
      </c>
      <c r="R972" s="20">
        <f>IF(A972="","",IF(MONTH(A972)&gt;=8,YEAR(A972)&amp;"-"&amp;(YEAR(A972)+1),(YEAR(A972)-1)&amp;"-"&amp;YEAR(A972)))</f>
        <v/>
      </c>
      <c r="S972" s="20">
        <f>IF(OR(A972="",B972=""),0,IF(AND(R972=التقارير!$C$4,OR(التقارير!$C$5="سنوي",AND(التقارير!$C$5="شهري",P972=التقارير!$C$6),AND(التقارير!$C$5="فصلي",Q972=التقارير!$C$7))),1,0))</f>
        <v/>
      </c>
      <c r="T972" s="20">
        <f>IF(S972=1,COUNTIF($S$5:S972,1),"")</f>
        <v/>
      </c>
      <c r="U972">
        <f>IF(AND($A972&lt;&gt;"",$B972&lt;&gt;"",$R972='تقرير الفصل الأول'!$C$4,$Q972='تقرير الفصل الأول'!$C$7),COUNT(U$4:U971)+1,"")</f>
        <v/>
      </c>
      <c r="V972">
        <f>IF(AND($A972&lt;&gt;"",$B972&lt;&gt;"",$R972='تقرير الفصل الثاني'!$C$4,$Q972='تقرير الفصل الثاني'!$C$7),COUNT(V$4:V971)+1,"")</f>
        <v/>
      </c>
      <c r="W972">
        <f>IF(AND($A972&lt;&gt;"",$B972&lt;&gt;"",$R972='تقرير سبتمبر'!$C$4,$P972='تقرير سبتمبر'!$C$6),COUNT(W$4:W971)+1,"")</f>
        <v/>
      </c>
      <c r="X972">
        <f>IF(AND($A972&lt;&gt;"",$B972&lt;&gt;"",$R972='تقرير أكتوبر'!$C$4,$P972='تقرير أكتوبر'!$C$6),COUNT(X$4:X971)+1,"")</f>
        <v/>
      </c>
      <c r="Y972">
        <f>IF(AND($A972&lt;&gt;"",$B972&lt;&gt;"",$R972='تقرير نوفمبر'!$C$4,$P972='تقرير نوفمبر'!$C$6),COUNT(Y$4:Y971)+1,"")</f>
        <v/>
      </c>
      <c r="Z972">
        <f>IF(AND($A972&lt;&gt;"",$B972&lt;&gt;"",$R972='تقرير ديسمبر'!$C$4,$P972='تقرير ديسمبر'!$C$6),COUNT(Z$4:Z971)+1,"")</f>
        <v/>
      </c>
      <c r="AA972">
        <f>IF(AND($A972&lt;&gt;"",$B972&lt;&gt;"",$R972='تقرير يناير'!$C$4,$P972='تقرير يناير'!$C$6),COUNT(AA$4:AA971)+1,"")</f>
        <v/>
      </c>
      <c r="AB972">
        <f>IF(AND($A972&lt;&gt;"",$B972&lt;&gt;"",$R972='تقرير فبراير'!$C$4,$P972='تقرير فبراير'!$C$6),COUNT(AB$4:AB971)+1,"")</f>
        <v/>
      </c>
      <c r="AC972">
        <f>IF(AND($A972&lt;&gt;"",$B972&lt;&gt;"",$R972='تقرير مارس'!$C$4,$P972='تقرير مارس'!$C$6),COUNT(AC$4:AC971)+1,"")</f>
        <v/>
      </c>
      <c r="AD972">
        <f>IF(AND($A972&lt;&gt;"",$B972&lt;&gt;"",$R972='تقرير أبريل'!$C$4,$P972='تقرير أبريل'!$C$6),COUNT(AD$4:AD971)+1,"")</f>
        <v/>
      </c>
      <c r="AE972">
        <f>IF(AND($A972&lt;&gt;"",$B972&lt;&gt;"",$R972='تقرير مايو'!$C$4,$P972='تقرير مايو'!$C$6),COUNT(AE$4:AE971)+1,"")</f>
        <v/>
      </c>
    </row>
    <row r="973">
      <c r="A973" s="16" t="n"/>
      <c r="B973" s="17" t="n"/>
      <c r="C973" s="17" t="n"/>
      <c r="D973" s="18" t="n"/>
      <c r="E973" s="17" t="n"/>
      <c r="F973" s="17" t="n"/>
      <c r="G973" s="19" t="n"/>
      <c r="H973" s="17" t="n"/>
      <c r="I973" s="17" t="n"/>
      <c r="J973" s="17" t="n"/>
      <c r="K973" s="20">
        <f>IF($B973="","",IFERROR(INDEX(الموظفات!$A$5:$A$304,MATCH($B973,الموظفات!$B$5:$B$304,0))&amp;"",""))</f>
        <v/>
      </c>
      <c r="L973" s="21">
        <f>IF($B973="","",IFERROR(INDEX(الموظفات!$C$5:$C$304,MATCH($B973,الموظفات!$B$5:$B$304,0))&amp;"",""))</f>
        <v/>
      </c>
      <c r="M973" s="20">
        <f>IF($B973="","",IFERROR(INDEX(الموظفات!$D$5:$D$304,MATCH($B973,الموظفات!$B$5:$B$304,0))&amp;"",""))</f>
        <v/>
      </c>
      <c r="N973" s="20">
        <f>IF($B973="","",IFERROR(INDEX(الموظفات!$E$5:$E$304,MATCH($B973,الموظفات!$B$5:$B$304,0))&amp;"",""))</f>
        <v/>
      </c>
      <c r="O973" s="21">
        <f>IF(C973="","",IFERROR(INDEX(الإعدادات!$D$7:$D$35,MATCH(C973,الإعدادات!$A$7:$A$35,0))&amp;"",""))</f>
        <v/>
      </c>
      <c r="P973" s="20">
        <f>IF(A973="","",INDEX(الإعدادات!$H$7:$H$18,MONTH(A973)))</f>
        <v/>
      </c>
      <c r="Q973" s="20">
        <f>IF(A973="","",INDEX(الإعدادات!$I$7:$I$18,MONTH(A973)))</f>
        <v/>
      </c>
      <c r="R973" s="20">
        <f>IF(A973="","",IF(MONTH(A973)&gt;=8,YEAR(A973)&amp;"-"&amp;(YEAR(A973)+1),(YEAR(A973)-1)&amp;"-"&amp;YEAR(A973)))</f>
        <v/>
      </c>
      <c r="S973" s="20">
        <f>IF(OR(A973="",B973=""),0,IF(AND(R973=التقارير!$C$4,OR(التقارير!$C$5="سنوي",AND(التقارير!$C$5="شهري",P973=التقارير!$C$6),AND(التقارير!$C$5="فصلي",Q973=التقارير!$C$7))),1,0))</f>
        <v/>
      </c>
      <c r="T973" s="20">
        <f>IF(S973=1,COUNTIF($S$5:S973,1),"")</f>
        <v/>
      </c>
      <c r="U973">
        <f>IF(AND($A973&lt;&gt;"",$B973&lt;&gt;"",$R973='تقرير الفصل الأول'!$C$4,$Q973='تقرير الفصل الأول'!$C$7),COUNT(U$4:U972)+1,"")</f>
        <v/>
      </c>
      <c r="V973">
        <f>IF(AND($A973&lt;&gt;"",$B973&lt;&gt;"",$R973='تقرير الفصل الثاني'!$C$4,$Q973='تقرير الفصل الثاني'!$C$7),COUNT(V$4:V972)+1,"")</f>
        <v/>
      </c>
      <c r="W973">
        <f>IF(AND($A973&lt;&gt;"",$B973&lt;&gt;"",$R973='تقرير سبتمبر'!$C$4,$P973='تقرير سبتمبر'!$C$6),COUNT(W$4:W972)+1,"")</f>
        <v/>
      </c>
      <c r="X973">
        <f>IF(AND($A973&lt;&gt;"",$B973&lt;&gt;"",$R973='تقرير أكتوبر'!$C$4,$P973='تقرير أكتوبر'!$C$6),COUNT(X$4:X972)+1,"")</f>
        <v/>
      </c>
      <c r="Y973">
        <f>IF(AND($A973&lt;&gt;"",$B973&lt;&gt;"",$R973='تقرير نوفمبر'!$C$4,$P973='تقرير نوفمبر'!$C$6),COUNT(Y$4:Y972)+1,"")</f>
        <v/>
      </c>
      <c r="Z973">
        <f>IF(AND($A973&lt;&gt;"",$B973&lt;&gt;"",$R973='تقرير ديسمبر'!$C$4,$P973='تقرير ديسمبر'!$C$6),COUNT(Z$4:Z972)+1,"")</f>
        <v/>
      </c>
      <c r="AA973">
        <f>IF(AND($A973&lt;&gt;"",$B973&lt;&gt;"",$R973='تقرير يناير'!$C$4,$P973='تقرير يناير'!$C$6),COUNT(AA$4:AA972)+1,"")</f>
        <v/>
      </c>
      <c r="AB973">
        <f>IF(AND($A973&lt;&gt;"",$B973&lt;&gt;"",$R973='تقرير فبراير'!$C$4,$P973='تقرير فبراير'!$C$6),COUNT(AB$4:AB972)+1,"")</f>
        <v/>
      </c>
      <c r="AC973">
        <f>IF(AND($A973&lt;&gt;"",$B973&lt;&gt;"",$R973='تقرير مارس'!$C$4,$P973='تقرير مارس'!$C$6),COUNT(AC$4:AC972)+1,"")</f>
        <v/>
      </c>
      <c r="AD973">
        <f>IF(AND($A973&lt;&gt;"",$B973&lt;&gt;"",$R973='تقرير أبريل'!$C$4,$P973='تقرير أبريل'!$C$6),COUNT(AD$4:AD972)+1,"")</f>
        <v/>
      </c>
      <c r="AE973">
        <f>IF(AND($A973&lt;&gt;"",$B973&lt;&gt;"",$R973='تقرير مايو'!$C$4,$P973='تقرير مايو'!$C$6),COUNT(AE$4:AE972)+1,"")</f>
        <v/>
      </c>
    </row>
    <row r="974">
      <c r="A974" s="16" t="n"/>
      <c r="B974" s="17" t="n"/>
      <c r="C974" s="17" t="n"/>
      <c r="D974" s="18" t="n"/>
      <c r="E974" s="17" t="n"/>
      <c r="F974" s="17" t="n"/>
      <c r="G974" s="19" t="n"/>
      <c r="H974" s="17" t="n"/>
      <c r="I974" s="17" t="n"/>
      <c r="J974" s="17" t="n"/>
      <c r="K974" s="20">
        <f>IF($B974="","",IFERROR(INDEX(الموظفات!$A$5:$A$304,MATCH($B974,الموظفات!$B$5:$B$304,0))&amp;"",""))</f>
        <v/>
      </c>
      <c r="L974" s="21">
        <f>IF($B974="","",IFERROR(INDEX(الموظفات!$C$5:$C$304,MATCH($B974,الموظفات!$B$5:$B$304,0))&amp;"",""))</f>
        <v/>
      </c>
      <c r="M974" s="20">
        <f>IF($B974="","",IFERROR(INDEX(الموظفات!$D$5:$D$304,MATCH($B974,الموظفات!$B$5:$B$304,0))&amp;"",""))</f>
        <v/>
      </c>
      <c r="N974" s="20">
        <f>IF($B974="","",IFERROR(INDEX(الموظفات!$E$5:$E$304,MATCH($B974,الموظفات!$B$5:$B$304,0))&amp;"",""))</f>
        <v/>
      </c>
      <c r="O974" s="21">
        <f>IF(C974="","",IFERROR(INDEX(الإعدادات!$D$7:$D$35,MATCH(C974,الإعدادات!$A$7:$A$35,0))&amp;"",""))</f>
        <v/>
      </c>
      <c r="P974" s="20">
        <f>IF(A974="","",INDEX(الإعدادات!$H$7:$H$18,MONTH(A974)))</f>
        <v/>
      </c>
      <c r="Q974" s="20">
        <f>IF(A974="","",INDEX(الإعدادات!$I$7:$I$18,MONTH(A974)))</f>
        <v/>
      </c>
      <c r="R974" s="20">
        <f>IF(A974="","",IF(MONTH(A974)&gt;=8,YEAR(A974)&amp;"-"&amp;(YEAR(A974)+1),(YEAR(A974)-1)&amp;"-"&amp;YEAR(A974)))</f>
        <v/>
      </c>
      <c r="S974" s="20">
        <f>IF(OR(A974="",B974=""),0,IF(AND(R974=التقارير!$C$4,OR(التقارير!$C$5="سنوي",AND(التقارير!$C$5="شهري",P974=التقارير!$C$6),AND(التقارير!$C$5="فصلي",Q974=التقارير!$C$7))),1,0))</f>
        <v/>
      </c>
      <c r="T974" s="20">
        <f>IF(S974=1,COUNTIF($S$5:S974,1),"")</f>
        <v/>
      </c>
      <c r="U974">
        <f>IF(AND($A974&lt;&gt;"",$B974&lt;&gt;"",$R974='تقرير الفصل الأول'!$C$4,$Q974='تقرير الفصل الأول'!$C$7),COUNT(U$4:U973)+1,"")</f>
        <v/>
      </c>
      <c r="V974">
        <f>IF(AND($A974&lt;&gt;"",$B974&lt;&gt;"",$R974='تقرير الفصل الثاني'!$C$4,$Q974='تقرير الفصل الثاني'!$C$7),COUNT(V$4:V973)+1,"")</f>
        <v/>
      </c>
      <c r="W974">
        <f>IF(AND($A974&lt;&gt;"",$B974&lt;&gt;"",$R974='تقرير سبتمبر'!$C$4,$P974='تقرير سبتمبر'!$C$6),COUNT(W$4:W973)+1,"")</f>
        <v/>
      </c>
      <c r="X974">
        <f>IF(AND($A974&lt;&gt;"",$B974&lt;&gt;"",$R974='تقرير أكتوبر'!$C$4,$P974='تقرير أكتوبر'!$C$6),COUNT(X$4:X973)+1,"")</f>
        <v/>
      </c>
      <c r="Y974">
        <f>IF(AND($A974&lt;&gt;"",$B974&lt;&gt;"",$R974='تقرير نوفمبر'!$C$4,$P974='تقرير نوفمبر'!$C$6),COUNT(Y$4:Y973)+1,"")</f>
        <v/>
      </c>
      <c r="Z974">
        <f>IF(AND($A974&lt;&gt;"",$B974&lt;&gt;"",$R974='تقرير ديسمبر'!$C$4,$P974='تقرير ديسمبر'!$C$6),COUNT(Z$4:Z973)+1,"")</f>
        <v/>
      </c>
      <c r="AA974">
        <f>IF(AND($A974&lt;&gt;"",$B974&lt;&gt;"",$R974='تقرير يناير'!$C$4,$P974='تقرير يناير'!$C$6),COUNT(AA$4:AA973)+1,"")</f>
        <v/>
      </c>
      <c r="AB974">
        <f>IF(AND($A974&lt;&gt;"",$B974&lt;&gt;"",$R974='تقرير فبراير'!$C$4,$P974='تقرير فبراير'!$C$6),COUNT(AB$4:AB973)+1,"")</f>
        <v/>
      </c>
      <c r="AC974">
        <f>IF(AND($A974&lt;&gt;"",$B974&lt;&gt;"",$R974='تقرير مارس'!$C$4,$P974='تقرير مارس'!$C$6),COUNT(AC$4:AC973)+1,"")</f>
        <v/>
      </c>
      <c r="AD974">
        <f>IF(AND($A974&lt;&gt;"",$B974&lt;&gt;"",$R974='تقرير أبريل'!$C$4,$P974='تقرير أبريل'!$C$6),COUNT(AD$4:AD973)+1,"")</f>
        <v/>
      </c>
      <c r="AE974">
        <f>IF(AND($A974&lt;&gt;"",$B974&lt;&gt;"",$R974='تقرير مايو'!$C$4,$P974='تقرير مايو'!$C$6),COUNT(AE$4:AE973)+1,"")</f>
        <v/>
      </c>
    </row>
    <row r="975">
      <c r="A975" s="16" t="n"/>
      <c r="B975" s="17" t="n"/>
      <c r="C975" s="17" t="n"/>
      <c r="D975" s="18" t="n"/>
      <c r="E975" s="17" t="n"/>
      <c r="F975" s="17" t="n"/>
      <c r="G975" s="19" t="n"/>
      <c r="H975" s="17" t="n"/>
      <c r="I975" s="17" t="n"/>
      <c r="J975" s="17" t="n"/>
      <c r="K975" s="20">
        <f>IF($B975="","",IFERROR(INDEX(الموظفات!$A$5:$A$304,MATCH($B975,الموظفات!$B$5:$B$304,0))&amp;"",""))</f>
        <v/>
      </c>
      <c r="L975" s="21">
        <f>IF($B975="","",IFERROR(INDEX(الموظفات!$C$5:$C$304,MATCH($B975,الموظفات!$B$5:$B$304,0))&amp;"",""))</f>
        <v/>
      </c>
      <c r="M975" s="20">
        <f>IF($B975="","",IFERROR(INDEX(الموظفات!$D$5:$D$304,MATCH($B975,الموظفات!$B$5:$B$304,0))&amp;"",""))</f>
        <v/>
      </c>
      <c r="N975" s="20">
        <f>IF($B975="","",IFERROR(INDEX(الموظفات!$E$5:$E$304,MATCH($B975,الموظفات!$B$5:$B$304,0))&amp;"",""))</f>
        <v/>
      </c>
      <c r="O975" s="21">
        <f>IF(C975="","",IFERROR(INDEX(الإعدادات!$D$7:$D$35,MATCH(C975,الإعدادات!$A$7:$A$35,0))&amp;"",""))</f>
        <v/>
      </c>
      <c r="P975" s="20">
        <f>IF(A975="","",INDEX(الإعدادات!$H$7:$H$18,MONTH(A975)))</f>
        <v/>
      </c>
      <c r="Q975" s="20">
        <f>IF(A975="","",INDEX(الإعدادات!$I$7:$I$18,MONTH(A975)))</f>
        <v/>
      </c>
      <c r="R975" s="20">
        <f>IF(A975="","",IF(MONTH(A975)&gt;=8,YEAR(A975)&amp;"-"&amp;(YEAR(A975)+1),(YEAR(A975)-1)&amp;"-"&amp;YEAR(A975)))</f>
        <v/>
      </c>
      <c r="S975" s="20">
        <f>IF(OR(A975="",B975=""),0,IF(AND(R975=التقارير!$C$4,OR(التقارير!$C$5="سنوي",AND(التقارير!$C$5="شهري",P975=التقارير!$C$6),AND(التقارير!$C$5="فصلي",Q975=التقارير!$C$7))),1,0))</f>
        <v/>
      </c>
      <c r="T975" s="20">
        <f>IF(S975=1,COUNTIF($S$5:S975,1),"")</f>
        <v/>
      </c>
      <c r="U975">
        <f>IF(AND($A975&lt;&gt;"",$B975&lt;&gt;"",$R975='تقرير الفصل الأول'!$C$4,$Q975='تقرير الفصل الأول'!$C$7),COUNT(U$4:U974)+1,"")</f>
        <v/>
      </c>
      <c r="V975">
        <f>IF(AND($A975&lt;&gt;"",$B975&lt;&gt;"",$R975='تقرير الفصل الثاني'!$C$4,$Q975='تقرير الفصل الثاني'!$C$7),COUNT(V$4:V974)+1,"")</f>
        <v/>
      </c>
      <c r="W975">
        <f>IF(AND($A975&lt;&gt;"",$B975&lt;&gt;"",$R975='تقرير سبتمبر'!$C$4,$P975='تقرير سبتمبر'!$C$6),COUNT(W$4:W974)+1,"")</f>
        <v/>
      </c>
      <c r="X975">
        <f>IF(AND($A975&lt;&gt;"",$B975&lt;&gt;"",$R975='تقرير أكتوبر'!$C$4,$P975='تقرير أكتوبر'!$C$6),COUNT(X$4:X974)+1,"")</f>
        <v/>
      </c>
      <c r="Y975">
        <f>IF(AND($A975&lt;&gt;"",$B975&lt;&gt;"",$R975='تقرير نوفمبر'!$C$4,$P975='تقرير نوفمبر'!$C$6),COUNT(Y$4:Y974)+1,"")</f>
        <v/>
      </c>
      <c r="Z975">
        <f>IF(AND($A975&lt;&gt;"",$B975&lt;&gt;"",$R975='تقرير ديسمبر'!$C$4,$P975='تقرير ديسمبر'!$C$6),COUNT(Z$4:Z974)+1,"")</f>
        <v/>
      </c>
      <c r="AA975">
        <f>IF(AND($A975&lt;&gt;"",$B975&lt;&gt;"",$R975='تقرير يناير'!$C$4,$P975='تقرير يناير'!$C$6),COUNT(AA$4:AA974)+1,"")</f>
        <v/>
      </c>
      <c r="AB975">
        <f>IF(AND($A975&lt;&gt;"",$B975&lt;&gt;"",$R975='تقرير فبراير'!$C$4,$P975='تقرير فبراير'!$C$6),COUNT(AB$4:AB974)+1,"")</f>
        <v/>
      </c>
      <c r="AC975">
        <f>IF(AND($A975&lt;&gt;"",$B975&lt;&gt;"",$R975='تقرير مارس'!$C$4,$P975='تقرير مارس'!$C$6),COUNT(AC$4:AC974)+1,"")</f>
        <v/>
      </c>
      <c r="AD975">
        <f>IF(AND($A975&lt;&gt;"",$B975&lt;&gt;"",$R975='تقرير أبريل'!$C$4,$P975='تقرير أبريل'!$C$6),COUNT(AD$4:AD974)+1,"")</f>
        <v/>
      </c>
      <c r="AE975">
        <f>IF(AND($A975&lt;&gt;"",$B975&lt;&gt;"",$R975='تقرير مايو'!$C$4,$P975='تقرير مايو'!$C$6),COUNT(AE$4:AE974)+1,"")</f>
        <v/>
      </c>
    </row>
    <row r="976">
      <c r="A976" s="16" t="n"/>
      <c r="B976" s="17" t="n"/>
      <c r="C976" s="17" t="n"/>
      <c r="D976" s="18" t="n"/>
      <c r="E976" s="17" t="n"/>
      <c r="F976" s="17" t="n"/>
      <c r="G976" s="19" t="n"/>
      <c r="H976" s="17" t="n"/>
      <c r="I976" s="17" t="n"/>
      <c r="J976" s="17" t="n"/>
      <c r="K976" s="20">
        <f>IF($B976="","",IFERROR(INDEX(الموظفات!$A$5:$A$304,MATCH($B976,الموظفات!$B$5:$B$304,0))&amp;"",""))</f>
        <v/>
      </c>
      <c r="L976" s="21">
        <f>IF($B976="","",IFERROR(INDEX(الموظفات!$C$5:$C$304,MATCH($B976,الموظفات!$B$5:$B$304,0))&amp;"",""))</f>
        <v/>
      </c>
      <c r="M976" s="20">
        <f>IF($B976="","",IFERROR(INDEX(الموظفات!$D$5:$D$304,MATCH($B976,الموظفات!$B$5:$B$304,0))&amp;"",""))</f>
        <v/>
      </c>
      <c r="N976" s="20">
        <f>IF($B976="","",IFERROR(INDEX(الموظفات!$E$5:$E$304,MATCH($B976,الموظفات!$B$5:$B$304,0))&amp;"",""))</f>
        <v/>
      </c>
      <c r="O976" s="21">
        <f>IF(C976="","",IFERROR(INDEX(الإعدادات!$D$7:$D$35,MATCH(C976,الإعدادات!$A$7:$A$35,0))&amp;"",""))</f>
        <v/>
      </c>
      <c r="P976" s="20">
        <f>IF(A976="","",INDEX(الإعدادات!$H$7:$H$18,MONTH(A976)))</f>
        <v/>
      </c>
      <c r="Q976" s="20">
        <f>IF(A976="","",INDEX(الإعدادات!$I$7:$I$18,MONTH(A976)))</f>
        <v/>
      </c>
      <c r="R976" s="20">
        <f>IF(A976="","",IF(MONTH(A976)&gt;=8,YEAR(A976)&amp;"-"&amp;(YEAR(A976)+1),(YEAR(A976)-1)&amp;"-"&amp;YEAR(A976)))</f>
        <v/>
      </c>
      <c r="S976" s="20">
        <f>IF(OR(A976="",B976=""),0,IF(AND(R976=التقارير!$C$4,OR(التقارير!$C$5="سنوي",AND(التقارير!$C$5="شهري",P976=التقارير!$C$6),AND(التقارير!$C$5="فصلي",Q976=التقارير!$C$7))),1,0))</f>
        <v/>
      </c>
      <c r="T976" s="20">
        <f>IF(S976=1,COUNTIF($S$5:S976,1),"")</f>
        <v/>
      </c>
      <c r="U976">
        <f>IF(AND($A976&lt;&gt;"",$B976&lt;&gt;"",$R976='تقرير الفصل الأول'!$C$4,$Q976='تقرير الفصل الأول'!$C$7),COUNT(U$4:U975)+1,"")</f>
        <v/>
      </c>
      <c r="V976">
        <f>IF(AND($A976&lt;&gt;"",$B976&lt;&gt;"",$R976='تقرير الفصل الثاني'!$C$4,$Q976='تقرير الفصل الثاني'!$C$7),COUNT(V$4:V975)+1,"")</f>
        <v/>
      </c>
      <c r="W976">
        <f>IF(AND($A976&lt;&gt;"",$B976&lt;&gt;"",$R976='تقرير سبتمبر'!$C$4,$P976='تقرير سبتمبر'!$C$6),COUNT(W$4:W975)+1,"")</f>
        <v/>
      </c>
      <c r="X976">
        <f>IF(AND($A976&lt;&gt;"",$B976&lt;&gt;"",$R976='تقرير أكتوبر'!$C$4,$P976='تقرير أكتوبر'!$C$6),COUNT(X$4:X975)+1,"")</f>
        <v/>
      </c>
      <c r="Y976">
        <f>IF(AND($A976&lt;&gt;"",$B976&lt;&gt;"",$R976='تقرير نوفمبر'!$C$4,$P976='تقرير نوفمبر'!$C$6),COUNT(Y$4:Y975)+1,"")</f>
        <v/>
      </c>
      <c r="Z976">
        <f>IF(AND($A976&lt;&gt;"",$B976&lt;&gt;"",$R976='تقرير ديسمبر'!$C$4,$P976='تقرير ديسمبر'!$C$6),COUNT(Z$4:Z975)+1,"")</f>
        <v/>
      </c>
      <c r="AA976">
        <f>IF(AND($A976&lt;&gt;"",$B976&lt;&gt;"",$R976='تقرير يناير'!$C$4,$P976='تقرير يناير'!$C$6),COUNT(AA$4:AA975)+1,"")</f>
        <v/>
      </c>
      <c r="AB976">
        <f>IF(AND($A976&lt;&gt;"",$B976&lt;&gt;"",$R976='تقرير فبراير'!$C$4,$P976='تقرير فبراير'!$C$6),COUNT(AB$4:AB975)+1,"")</f>
        <v/>
      </c>
      <c r="AC976">
        <f>IF(AND($A976&lt;&gt;"",$B976&lt;&gt;"",$R976='تقرير مارس'!$C$4,$P976='تقرير مارس'!$C$6),COUNT(AC$4:AC975)+1,"")</f>
        <v/>
      </c>
      <c r="AD976">
        <f>IF(AND($A976&lt;&gt;"",$B976&lt;&gt;"",$R976='تقرير أبريل'!$C$4,$P976='تقرير أبريل'!$C$6),COUNT(AD$4:AD975)+1,"")</f>
        <v/>
      </c>
      <c r="AE976">
        <f>IF(AND($A976&lt;&gt;"",$B976&lt;&gt;"",$R976='تقرير مايو'!$C$4,$P976='تقرير مايو'!$C$6),COUNT(AE$4:AE975)+1,"")</f>
        <v/>
      </c>
    </row>
    <row r="977">
      <c r="A977" s="16" t="n"/>
      <c r="B977" s="17" t="n"/>
      <c r="C977" s="17" t="n"/>
      <c r="D977" s="18" t="n"/>
      <c r="E977" s="17" t="n"/>
      <c r="F977" s="17" t="n"/>
      <c r="G977" s="19" t="n"/>
      <c r="H977" s="17" t="n"/>
      <c r="I977" s="17" t="n"/>
      <c r="J977" s="17" t="n"/>
      <c r="K977" s="20">
        <f>IF($B977="","",IFERROR(INDEX(الموظفات!$A$5:$A$304,MATCH($B977,الموظفات!$B$5:$B$304,0))&amp;"",""))</f>
        <v/>
      </c>
      <c r="L977" s="21">
        <f>IF($B977="","",IFERROR(INDEX(الموظفات!$C$5:$C$304,MATCH($B977,الموظفات!$B$5:$B$304,0))&amp;"",""))</f>
        <v/>
      </c>
      <c r="M977" s="20">
        <f>IF($B977="","",IFERROR(INDEX(الموظفات!$D$5:$D$304,MATCH($B977,الموظفات!$B$5:$B$304,0))&amp;"",""))</f>
        <v/>
      </c>
      <c r="N977" s="20">
        <f>IF($B977="","",IFERROR(INDEX(الموظفات!$E$5:$E$304,MATCH($B977,الموظفات!$B$5:$B$304,0))&amp;"",""))</f>
        <v/>
      </c>
      <c r="O977" s="21">
        <f>IF(C977="","",IFERROR(INDEX(الإعدادات!$D$7:$D$35,MATCH(C977,الإعدادات!$A$7:$A$35,0))&amp;"",""))</f>
        <v/>
      </c>
      <c r="P977" s="20">
        <f>IF(A977="","",INDEX(الإعدادات!$H$7:$H$18,MONTH(A977)))</f>
        <v/>
      </c>
      <c r="Q977" s="20">
        <f>IF(A977="","",INDEX(الإعدادات!$I$7:$I$18,MONTH(A977)))</f>
        <v/>
      </c>
      <c r="R977" s="20">
        <f>IF(A977="","",IF(MONTH(A977)&gt;=8,YEAR(A977)&amp;"-"&amp;(YEAR(A977)+1),(YEAR(A977)-1)&amp;"-"&amp;YEAR(A977)))</f>
        <v/>
      </c>
      <c r="S977" s="20">
        <f>IF(OR(A977="",B977=""),0,IF(AND(R977=التقارير!$C$4,OR(التقارير!$C$5="سنوي",AND(التقارير!$C$5="شهري",P977=التقارير!$C$6),AND(التقارير!$C$5="فصلي",Q977=التقارير!$C$7))),1,0))</f>
        <v/>
      </c>
      <c r="T977" s="20">
        <f>IF(S977=1,COUNTIF($S$5:S977,1),"")</f>
        <v/>
      </c>
      <c r="U977">
        <f>IF(AND($A977&lt;&gt;"",$B977&lt;&gt;"",$R977='تقرير الفصل الأول'!$C$4,$Q977='تقرير الفصل الأول'!$C$7),COUNT(U$4:U976)+1,"")</f>
        <v/>
      </c>
      <c r="V977">
        <f>IF(AND($A977&lt;&gt;"",$B977&lt;&gt;"",$R977='تقرير الفصل الثاني'!$C$4,$Q977='تقرير الفصل الثاني'!$C$7),COUNT(V$4:V976)+1,"")</f>
        <v/>
      </c>
      <c r="W977">
        <f>IF(AND($A977&lt;&gt;"",$B977&lt;&gt;"",$R977='تقرير سبتمبر'!$C$4,$P977='تقرير سبتمبر'!$C$6),COUNT(W$4:W976)+1,"")</f>
        <v/>
      </c>
      <c r="X977">
        <f>IF(AND($A977&lt;&gt;"",$B977&lt;&gt;"",$R977='تقرير أكتوبر'!$C$4,$P977='تقرير أكتوبر'!$C$6),COUNT(X$4:X976)+1,"")</f>
        <v/>
      </c>
      <c r="Y977">
        <f>IF(AND($A977&lt;&gt;"",$B977&lt;&gt;"",$R977='تقرير نوفمبر'!$C$4,$P977='تقرير نوفمبر'!$C$6),COUNT(Y$4:Y976)+1,"")</f>
        <v/>
      </c>
      <c r="Z977">
        <f>IF(AND($A977&lt;&gt;"",$B977&lt;&gt;"",$R977='تقرير ديسمبر'!$C$4,$P977='تقرير ديسمبر'!$C$6),COUNT(Z$4:Z976)+1,"")</f>
        <v/>
      </c>
      <c r="AA977">
        <f>IF(AND($A977&lt;&gt;"",$B977&lt;&gt;"",$R977='تقرير يناير'!$C$4,$P977='تقرير يناير'!$C$6),COUNT(AA$4:AA976)+1,"")</f>
        <v/>
      </c>
      <c r="AB977">
        <f>IF(AND($A977&lt;&gt;"",$B977&lt;&gt;"",$R977='تقرير فبراير'!$C$4,$P977='تقرير فبراير'!$C$6),COUNT(AB$4:AB976)+1,"")</f>
        <v/>
      </c>
      <c r="AC977">
        <f>IF(AND($A977&lt;&gt;"",$B977&lt;&gt;"",$R977='تقرير مارس'!$C$4,$P977='تقرير مارس'!$C$6),COUNT(AC$4:AC976)+1,"")</f>
        <v/>
      </c>
      <c r="AD977">
        <f>IF(AND($A977&lt;&gt;"",$B977&lt;&gt;"",$R977='تقرير أبريل'!$C$4,$P977='تقرير أبريل'!$C$6),COUNT(AD$4:AD976)+1,"")</f>
        <v/>
      </c>
      <c r="AE977">
        <f>IF(AND($A977&lt;&gt;"",$B977&lt;&gt;"",$R977='تقرير مايو'!$C$4,$P977='تقرير مايو'!$C$6),COUNT(AE$4:AE976)+1,"")</f>
        <v/>
      </c>
    </row>
    <row r="978">
      <c r="A978" s="16" t="n"/>
      <c r="B978" s="17" t="n"/>
      <c r="C978" s="17" t="n"/>
      <c r="D978" s="18" t="n"/>
      <c r="E978" s="17" t="n"/>
      <c r="F978" s="17" t="n"/>
      <c r="G978" s="19" t="n"/>
      <c r="H978" s="17" t="n"/>
      <c r="I978" s="17" t="n"/>
      <c r="J978" s="17" t="n"/>
      <c r="K978" s="20">
        <f>IF($B978="","",IFERROR(INDEX(الموظفات!$A$5:$A$304,MATCH($B978,الموظفات!$B$5:$B$304,0))&amp;"",""))</f>
        <v/>
      </c>
      <c r="L978" s="21">
        <f>IF($B978="","",IFERROR(INDEX(الموظفات!$C$5:$C$304,MATCH($B978,الموظفات!$B$5:$B$304,0))&amp;"",""))</f>
        <v/>
      </c>
      <c r="M978" s="20">
        <f>IF($B978="","",IFERROR(INDEX(الموظفات!$D$5:$D$304,MATCH($B978,الموظفات!$B$5:$B$304,0))&amp;"",""))</f>
        <v/>
      </c>
      <c r="N978" s="20">
        <f>IF($B978="","",IFERROR(INDEX(الموظفات!$E$5:$E$304,MATCH($B978,الموظفات!$B$5:$B$304,0))&amp;"",""))</f>
        <v/>
      </c>
      <c r="O978" s="21">
        <f>IF(C978="","",IFERROR(INDEX(الإعدادات!$D$7:$D$35,MATCH(C978,الإعدادات!$A$7:$A$35,0))&amp;"",""))</f>
        <v/>
      </c>
      <c r="P978" s="20">
        <f>IF(A978="","",INDEX(الإعدادات!$H$7:$H$18,MONTH(A978)))</f>
        <v/>
      </c>
      <c r="Q978" s="20">
        <f>IF(A978="","",INDEX(الإعدادات!$I$7:$I$18,MONTH(A978)))</f>
        <v/>
      </c>
      <c r="R978" s="20">
        <f>IF(A978="","",IF(MONTH(A978)&gt;=8,YEAR(A978)&amp;"-"&amp;(YEAR(A978)+1),(YEAR(A978)-1)&amp;"-"&amp;YEAR(A978)))</f>
        <v/>
      </c>
      <c r="S978" s="20">
        <f>IF(OR(A978="",B978=""),0,IF(AND(R978=التقارير!$C$4,OR(التقارير!$C$5="سنوي",AND(التقارير!$C$5="شهري",P978=التقارير!$C$6),AND(التقارير!$C$5="فصلي",Q978=التقارير!$C$7))),1,0))</f>
        <v/>
      </c>
      <c r="T978" s="20">
        <f>IF(S978=1,COUNTIF($S$5:S978,1),"")</f>
        <v/>
      </c>
      <c r="U978">
        <f>IF(AND($A978&lt;&gt;"",$B978&lt;&gt;"",$R978='تقرير الفصل الأول'!$C$4,$Q978='تقرير الفصل الأول'!$C$7),COUNT(U$4:U977)+1,"")</f>
        <v/>
      </c>
      <c r="V978">
        <f>IF(AND($A978&lt;&gt;"",$B978&lt;&gt;"",$R978='تقرير الفصل الثاني'!$C$4,$Q978='تقرير الفصل الثاني'!$C$7),COUNT(V$4:V977)+1,"")</f>
        <v/>
      </c>
      <c r="W978">
        <f>IF(AND($A978&lt;&gt;"",$B978&lt;&gt;"",$R978='تقرير سبتمبر'!$C$4,$P978='تقرير سبتمبر'!$C$6),COUNT(W$4:W977)+1,"")</f>
        <v/>
      </c>
      <c r="X978">
        <f>IF(AND($A978&lt;&gt;"",$B978&lt;&gt;"",$R978='تقرير أكتوبر'!$C$4,$P978='تقرير أكتوبر'!$C$6),COUNT(X$4:X977)+1,"")</f>
        <v/>
      </c>
      <c r="Y978">
        <f>IF(AND($A978&lt;&gt;"",$B978&lt;&gt;"",$R978='تقرير نوفمبر'!$C$4,$P978='تقرير نوفمبر'!$C$6),COUNT(Y$4:Y977)+1,"")</f>
        <v/>
      </c>
      <c r="Z978">
        <f>IF(AND($A978&lt;&gt;"",$B978&lt;&gt;"",$R978='تقرير ديسمبر'!$C$4,$P978='تقرير ديسمبر'!$C$6),COUNT(Z$4:Z977)+1,"")</f>
        <v/>
      </c>
      <c r="AA978">
        <f>IF(AND($A978&lt;&gt;"",$B978&lt;&gt;"",$R978='تقرير يناير'!$C$4,$P978='تقرير يناير'!$C$6),COUNT(AA$4:AA977)+1,"")</f>
        <v/>
      </c>
      <c r="AB978">
        <f>IF(AND($A978&lt;&gt;"",$B978&lt;&gt;"",$R978='تقرير فبراير'!$C$4,$P978='تقرير فبراير'!$C$6),COUNT(AB$4:AB977)+1,"")</f>
        <v/>
      </c>
      <c r="AC978">
        <f>IF(AND($A978&lt;&gt;"",$B978&lt;&gt;"",$R978='تقرير مارس'!$C$4,$P978='تقرير مارس'!$C$6),COUNT(AC$4:AC977)+1,"")</f>
        <v/>
      </c>
      <c r="AD978">
        <f>IF(AND($A978&lt;&gt;"",$B978&lt;&gt;"",$R978='تقرير أبريل'!$C$4,$P978='تقرير أبريل'!$C$6),COUNT(AD$4:AD977)+1,"")</f>
        <v/>
      </c>
      <c r="AE978">
        <f>IF(AND($A978&lt;&gt;"",$B978&lt;&gt;"",$R978='تقرير مايو'!$C$4,$P978='تقرير مايو'!$C$6),COUNT(AE$4:AE977)+1,"")</f>
        <v/>
      </c>
    </row>
    <row r="979">
      <c r="A979" s="16" t="n"/>
      <c r="B979" s="17" t="n"/>
      <c r="C979" s="17" t="n"/>
      <c r="D979" s="18" t="n"/>
      <c r="E979" s="17" t="n"/>
      <c r="F979" s="17" t="n"/>
      <c r="G979" s="19" t="n"/>
      <c r="H979" s="17" t="n"/>
      <c r="I979" s="17" t="n"/>
      <c r="J979" s="17" t="n"/>
      <c r="K979" s="20">
        <f>IF($B979="","",IFERROR(INDEX(الموظفات!$A$5:$A$304,MATCH($B979,الموظفات!$B$5:$B$304,0))&amp;"",""))</f>
        <v/>
      </c>
      <c r="L979" s="21">
        <f>IF($B979="","",IFERROR(INDEX(الموظفات!$C$5:$C$304,MATCH($B979,الموظفات!$B$5:$B$304,0))&amp;"",""))</f>
        <v/>
      </c>
      <c r="M979" s="20">
        <f>IF($B979="","",IFERROR(INDEX(الموظفات!$D$5:$D$304,MATCH($B979,الموظفات!$B$5:$B$304,0))&amp;"",""))</f>
        <v/>
      </c>
      <c r="N979" s="20">
        <f>IF($B979="","",IFERROR(INDEX(الموظفات!$E$5:$E$304,MATCH($B979,الموظفات!$B$5:$B$304,0))&amp;"",""))</f>
        <v/>
      </c>
      <c r="O979" s="21">
        <f>IF(C979="","",IFERROR(INDEX(الإعدادات!$D$7:$D$35,MATCH(C979,الإعدادات!$A$7:$A$35,0))&amp;"",""))</f>
        <v/>
      </c>
      <c r="P979" s="20">
        <f>IF(A979="","",INDEX(الإعدادات!$H$7:$H$18,MONTH(A979)))</f>
        <v/>
      </c>
      <c r="Q979" s="20">
        <f>IF(A979="","",INDEX(الإعدادات!$I$7:$I$18,MONTH(A979)))</f>
        <v/>
      </c>
      <c r="R979" s="20">
        <f>IF(A979="","",IF(MONTH(A979)&gt;=8,YEAR(A979)&amp;"-"&amp;(YEAR(A979)+1),(YEAR(A979)-1)&amp;"-"&amp;YEAR(A979)))</f>
        <v/>
      </c>
      <c r="S979" s="20">
        <f>IF(OR(A979="",B979=""),0,IF(AND(R979=التقارير!$C$4,OR(التقارير!$C$5="سنوي",AND(التقارير!$C$5="شهري",P979=التقارير!$C$6),AND(التقارير!$C$5="فصلي",Q979=التقارير!$C$7))),1,0))</f>
        <v/>
      </c>
      <c r="T979" s="20">
        <f>IF(S979=1,COUNTIF($S$5:S979,1),"")</f>
        <v/>
      </c>
      <c r="U979">
        <f>IF(AND($A979&lt;&gt;"",$B979&lt;&gt;"",$R979='تقرير الفصل الأول'!$C$4,$Q979='تقرير الفصل الأول'!$C$7),COUNT(U$4:U978)+1,"")</f>
        <v/>
      </c>
      <c r="V979">
        <f>IF(AND($A979&lt;&gt;"",$B979&lt;&gt;"",$R979='تقرير الفصل الثاني'!$C$4,$Q979='تقرير الفصل الثاني'!$C$7),COUNT(V$4:V978)+1,"")</f>
        <v/>
      </c>
      <c r="W979">
        <f>IF(AND($A979&lt;&gt;"",$B979&lt;&gt;"",$R979='تقرير سبتمبر'!$C$4,$P979='تقرير سبتمبر'!$C$6),COUNT(W$4:W978)+1,"")</f>
        <v/>
      </c>
      <c r="X979">
        <f>IF(AND($A979&lt;&gt;"",$B979&lt;&gt;"",$R979='تقرير أكتوبر'!$C$4,$P979='تقرير أكتوبر'!$C$6),COUNT(X$4:X978)+1,"")</f>
        <v/>
      </c>
      <c r="Y979">
        <f>IF(AND($A979&lt;&gt;"",$B979&lt;&gt;"",$R979='تقرير نوفمبر'!$C$4,$P979='تقرير نوفمبر'!$C$6),COUNT(Y$4:Y978)+1,"")</f>
        <v/>
      </c>
      <c r="Z979">
        <f>IF(AND($A979&lt;&gt;"",$B979&lt;&gt;"",$R979='تقرير ديسمبر'!$C$4,$P979='تقرير ديسمبر'!$C$6),COUNT(Z$4:Z978)+1,"")</f>
        <v/>
      </c>
      <c r="AA979">
        <f>IF(AND($A979&lt;&gt;"",$B979&lt;&gt;"",$R979='تقرير يناير'!$C$4,$P979='تقرير يناير'!$C$6),COUNT(AA$4:AA978)+1,"")</f>
        <v/>
      </c>
      <c r="AB979">
        <f>IF(AND($A979&lt;&gt;"",$B979&lt;&gt;"",$R979='تقرير فبراير'!$C$4,$P979='تقرير فبراير'!$C$6),COUNT(AB$4:AB978)+1,"")</f>
        <v/>
      </c>
      <c r="AC979">
        <f>IF(AND($A979&lt;&gt;"",$B979&lt;&gt;"",$R979='تقرير مارس'!$C$4,$P979='تقرير مارس'!$C$6),COUNT(AC$4:AC978)+1,"")</f>
        <v/>
      </c>
      <c r="AD979">
        <f>IF(AND($A979&lt;&gt;"",$B979&lt;&gt;"",$R979='تقرير أبريل'!$C$4,$P979='تقرير أبريل'!$C$6),COUNT(AD$4:AD978)+1,"")</f>
        <v/>
      </c>
      <c r="AE979">
        <f>IF(AND($A979&lt;&gt;"",$B979&lt;&gt;"",$R979='تقرير مايو'!$C$4,$P979='تقرير مايو'!$C$6),COUNT(AE$4:AE978)+1,"")</f>
        <v/>
      </c>
    </row>
    <row r="980">
      <c r="A980" s="16" t="n"/>
      <c r="B980" s="17" t="n"/>
      <c r="C980" s="17" t="n"/>
      <c r="D980" s="18" t="n"/>
      <c r="E980" s="17" t="n"/>
      <c r="F980" s="17" t="n"/>
      <c r="G980" s="19" t="n"/>
      <c r="H980" s="17" t="n"/>
      <c r="I980" s="17" t="n"/>
      <c r="J980" s="17" t="n"/>
      <c r="K980" s="20">
        <f>IF($B980="","",IFERROR(INDEX(الموظفات!$A$5:$A$304,MATCH($B980,الموظفات!$B$5:$B$304,0))&amp;"",""))</f>
        <v/>
      </c>
      <c r="L980" s="21">
        <f>IF($B980="","",IFERROR(INDEX(الموظفات!$C$5:$C$304,MATCH($B980,الموظفات!$B$5:$B$304,0))&amp;"",""))</f>
        <v/>
      </c>
      <c r="M980" s="20">
        <f>IF($B980="","",IFERROR(INDEX(الموظفات!$D$5:$D$304,MATCH($B980,الموظفات!$B$5:$B$304,0))&amp;"",""))</f>
        <v/>
      </c>
      <c r="N980" s="20">
        <f>IF($B980="","",IFERROR(INDEX(الموظفات!$E$5:$E$304,MATCH($B980,الموظفات!$B$5:$B$304,0))&amp;"",""))</f>
        <v/>
      </c>
      <c r="O980" s="21">
        <f>IF(C980="","",IFERROR(INDEX(الإعدادات!$D$7:$D$35,MATCH(C980,الإعدادات!$A$7:$A$35,0))&amp;"",""))</f>
        <v/>
      </c>
      <c r="P980" s="20">
        <f>IF(A980="","",INDEX(الإعدادات!$H$7:$H$18,MONTH(A980)))</f>
        <v/>
      </c>
      <c r="Q980" s="20">
        <f>IF(A980="","",INDEX(الإعدادات!$I$7:$I$18,MONTH(A980)))</f>
        <v/>
      </c>
      <c r="R980" s="20">
        <f>IF(A980="","",IF(MONTH(A980)&gt;=8,YEAR(A980)&amp;"-"&amp;(YEAR(A980)+1),(YEAR(A980)-1)&amp;"-"&amp;YEAR(A980)))</f>
        <v/>
      </c>
      <c r="S980" s="20">
        <f>IF(OR(A980="",B980=""),0,IF(AND(R980=التقارير!$C$4,OR(التقارير!$C$5="سنوي",AND(التقارير!$C$5="شهري",P980=التقارير!$C$6),AND(التقارير!$C$5="فصلي",Q980=التقارير!$C$7))),1,0))</f>
        <v/>
      </c>
      <c r="T980" s="20">
        <f>IF(S980=1,COUNTIF($S$5:S980,1),"")</f>
        <v/>
      </c>
      <c r="U980">
        <f>IF(AND($A980&lt;&gt;"",$B980&lt;&gt;"",$R980='تقرير الفصل الأول'!$C$4,$Q980='تقرير الفصل الأول'!$C$7),COUNT(U$4:U979)+1,"")</f>
        <v/>
      </c>
      <c r="V980">
        <f>IF(AND($A980&lt;&gt;"",$B980&lt;&gt;"",$R980='تقرير الفصل الثاني'!$C$4,$Q980='تقرير الفصل الثاني'!$C$7),COUNT(V$4:V979)+1,"")</f>
        <v/>
      </c>
      <c r="W980">
        <f>IF(AND($A980&lt;&gt;"",$B980&lt;&gt;"",$R980='تقرير سبتمبر'!$C$4,$P980='تقرير سبتمبر'!$C$6),COUNT(W$4:W979)+1,"")</f>
        <v/>
      </c>
      <c r="X980">
        <f>IF(AND($A980&lt;&gt;"",$B980&lt;&gt;"",$R980='تقرير أكتوبر'!$C$4,$P980='تقرير أكتوبر'!$C$6),COUNT(X$4:X979)+1,"")</f>
        <v/>
      </c>
      <c r="Y980">
        <f>IF(AND($A980&lt;&gt;"",$B980&lt;&gt;"",$R980='تقرير نوفمبر'!$C$4,$P980='تقرير نوفمبر'!$C$6),COUNT(Y$4:Y979)+1,"")</f>
        <v/>
      </c>
      <c r="Z980">
        <f>IF(AND($A980&lt;&gt;"",$B980&lt;&gt;"",$R980='تقرير ديسمبر'!$C$4,$P980='تقرير ديسمبر'!$C$6),COUNT(Z$4:Z979)+1,"")</f>
        <v/>
      </c>
      <c r="AA980">
        <f>IF(AND($A980&lt;&gt;"",$B980&lt;&gt;"",$R980='تقرير يناير'!$C$4,$P980='تقرير يناير'!$C$6),COUNT(AA$4:AA979)+1,"")</f>
        <v/>
      </c>
      <c r="AB980">
        <f>IF(AND($A980&lt;&gt;"",$B980&lt;&gt;"",$R980='تقرير فبراير'!$C$4,$P980='تقرير فبراير'!$C$6),COUNT(AB$4:AB979)+1,"")</f>
        <v/>
      </c>
      <c r="AC980">
        <f>IF(AND($A980&lt;&gt;"",$B980&lt;&gt;"",$R980='تقرير مارس'!$C$4,$P980='تقرير مارس'!$C$6),COUNT(AC$4:AC979)+1,"")</f>
        <v/>
      </c>
      <c r="AD980">
        <f>IF(AND($A980&lt;&gt;"",$B980&lt;&gt;"",$R980='تقرير أبريل'!$C$4,$P980='تقرير أبريل'!$C$6),COUNT(AD$4:AD979)+1,"")</f>
        <v/>
      </c>
      <c r="AE980">
        <f>IF(AND($A980&lt;&gt;"",$B980&lt;&gt;"",$R980='تقرير مايو'!$C$4,$P980='تقرير مايو'!$C$6),COUNT(AE$4:AE979)+1,"")</f>
        <v/>
      </c>
    </row>
    <row r="981">
      <c r="A981" s="16" t="n"/>
      <c r="B981" s="17" t="n"/>
      <c r="C981" s="17" t="n"/>
      <c r="D981" s="18" t="n"/>
      <c r="E981" s="17" t="n"/>
      <c r="F981" s="17" t="n"/>
      <c r="G981" s="19" t="n"/>
      <c r="H981" s="17" t="n"/>
      <c r="I981" s="17" t="n"/>
      <c r="J981" s="17" t="n"/>
      <c r="K981" s="20">
        <f>IF($B981="","",IFERROR(INDEX(الموظفات!$A$5:$A$304,MATCH($B981,الموظفات!$B$5:$B$304,0))&amp;"",""))</f>
        <v/>
      </c>
      <c r="L981" s="21">
        <f>IF($B981="","",IFERROR(INDEX(الموظفات!$C$5:$C$304,MATCH($B981,الموظفات!$B$5:$B$304,0))&amp;"",""))</f>
        <v/>
      </c>
      <c r="M981" s="20">
        <f>IF($B981="","",IFERROR(INDEX(الموظفات!$D$5:$D$304,MATCH($B981,الموظفات!$B$5:$B$304,0))&amp;"",""))</f>
        <v/>
      </c>
      <c r="N981" s="20">
        <f>IF($B981="","",IFERROR(INDEX(الموظفات!$E$5:$E$304,MATCH($B981,الموظفات!$B$5:$B$304,0))&amp;"",""))</f>
        <v/>
      </c>
      <c r="O981" s="21">
        <f>IF(C981="","",IFERROR(INDEX(الإعدادات!$D$7:$D$35,MATCH(C981,الإعدادات!$A$7:$A$35,0))&amp;"",""))</f>
        <v/>
      </c>
      <c r="P981" s="20">
        <f>IF(A981="","",INDEX(الإعدادات!$H$7:$H$18,MONTH(A981)))</f>
        <v/>
      </c>
      <c r="Q981" s="20">
        <f>IF(A981="","",INDEX(الإعدادات!$I$7:$I$18,MONTH(A981)))</f>
        <v/>
      </c>
      <c r="R981" s="20">
        <f>IF(A981="","",IF(MONTH(A981)&gt;=8,YEAR(A981)&amp;"-"&amp;(YEAR(A981)+1),(YEAR(A981)-1)&amp;"-"&amp;YEAR(A981)))</f>
        <v/>
      </c>
      <c r="S981" s="20">
        <f>IF(OR(A981="",B981=""),0,IF(AND(R981=التقارير!$C$4,OR(التقارير!$C$5="سنوي",AND(التقارير!$C$5="شهري",P981=التقارير!$C$6),AND(التقارير!$C$5="فصلي",Q981=التقارير!$C$7))),1,0))</f>
        <v/>
      </c>
      <c r="T981" s="20">
        <f>IF(S981=1,COUNTIF($S$5:S981,1),"")</f>
        <v/>
      </c>
      <c r="U981">
        <f>IF(AND($A981&lt;&gt;"",$B981&lt;&gt;"",$R981='تقرير الفصل الأول'!$C$4,$Q981='تقرير الفصل الأول'!$C$7),COUNT(U$4:U980)+1,"")</f>
        <v/>
      </c>
      <c r="V981">
        <f>IF(AND($A981&lt;&gt;"",$B981&lt;&gt;"",$R981='تقرير الفصل الثاني'!$C$4,$Q981='تقرير الفصل الثاني'!$C$7),COUNT(V$4:V980)+1,"")</f>
        <v/>
      </c>
      <c r="W981">
        <f>IF(AND($A981&lt;&gt;"",$B981&lt;&gt;"",$R981='تقرير سبتمبر'!$C$4,$P981='تقرير سبتمبر'!$C$6),COUNT(W$4:W980)+1,"")</f>
        <v/>
      </c>
      <c r="X981">
        <f>IF(AND($A981&lt;&gt;"",$B981&lt;&gt;"",$R981='تقرير أكتوبر'!$C$4,$P981='تقرير أكتوبر'!$C$6),COUNT(X$4:X980)+1,"")</f>
        <v/>
      </c>
      <c r="Y981">
        <f>IF(AND($A981&lt;&gt;"",$B981&lt;&gt;"",$R981='تقرير نوفمبر'!$C$4,$P981='تقرير نوفمبر'!$C$6),COUNT(Y$4:Y980)+1,"")</f>
        <v/>
      </c>
      <c r="Z981">
        <f>IF(AND($A981&lt;&gt;"",$B981&lt;&gt;"",$R981='تقرير ديسمبر'!$C$4,$P981='تقرير ديسمبر'!$C$6),COUNT(Z$4:Z980)+1,"")</f>
        <v/>
      </c>
      <c r="AA981">
        <f>IF(AND($A981&lt;&gt;"",$B981&lt;&gt;"",$R981='تقرير يناير'!$C$4,$P981='تقرير يناير'!$C$6),COUNT(AA$4:AA980)+1,"")</f>
        <v/>
      </c>
      <c r="AB981">
        <f>IF(AND($A981&lt;&gt;"",$B981&lt;&gt;"",$R981='تقرير فبراير'!$C$4,$P981='تقرير فبراير'!$C$6),COUNT(AB$4:AB980)+1,"")</f>
        <v/>
      </c>
      <c r="AC981">
        <f>IF(AND($A981&lt;&gt;"",$B981&lt;&gt;"",$R981='تقرير مارس'!$C$4,$P981='تقرير مارس'!$C$6),COUNT(AC$4:AC980)+1,"")</f>
        <v/>
      </c>
      <c r="AD981">
        <f>IF(AND($A981&lt;&gt;"",$B981&lt;&gt;"",$R981='تقرير أبريل'!$C$4,$P981='تقرير أبريل'!$C$6),COUNT(AD$4:AD980)+1,"")</f>
        <v/>
      </c>
      <c r="AE981">
        <f>IF(AND($A981&lt;&gt;"",$B981&lt;&gt;"",$R981='تقرير مايو'!$C$4,$P981='تقرير مايو'!$C$6),COUNT(AE$4:AE980)+1,"")</f>
        <v/>
      </c>
    </row>
    <row r="982">
      <c r="A982" s="16" t="n"/>
      <c r="B982" s="17" t="n"/>
      <c r="C982" s="17" t="n"/>
      <c r="D982" s="18" t="n"/>
      <c r="E982" s="17" t="n"/>
      <c r="F982" s="17" t="n"/>
      <c r="G982" s="19" t="n"/>
      <c r="H982" s="17" t="n"/>
      <c r="I982" s="17" t="n"/>
      <c r="J982" s="17" t="n"/>
      <c r="K982" s="20">
        <f>IF($B982="","",IFERROR(INDEX(الموظفات!$A$5:$A$304,MATCH($B982,الموظفات!$B$5:$B$304,0))&amp;"",""))</f>
        <v/>
      </c>
      <c r="L982" s="21">
        <f>IF($B982="","",IFERROR(INDEX(الموظفات!$C$5:$C$304,MATCH($B982,الموظفات!$B$5:$B$304,0))&amp;"",""))</f>
        <v/>
      </c>
      <c r="M982" s="20">
        <f>IF($B982="","",IFERROR(INDEX(الموظفات!$D$5:$D$304,MATCH($B982,الموظفات!$B$5:$B$304,0))&amp;"",""))</f>
        <v/>
      </c>
      <c r="N982" s="20">
        <f>IF($B982="","",IFERROR(INDEX(الموظفات!$E$5:$E$304,MATCH($B982,الموظفات!$B$5:$B$304,0))&amp;"",""))</f>
        <v/>
      </c>
      <c r="O982" s="21">
        <f>IF(C982="","",IFERROR(INDEX(الإعدادات!$D$7:$D$35,MATCH(C982,الإعدادات!$A$7:$A$35,0))&amp;"",""))</f>
        <v/>
      </c>
      <c r="P982" s="20">
        <f>IF(A982="","",INDEX(الإعدادات!$H$7:$H$18,MONTH(A982)))</f>
        <v/>
      </c>
      <c r="Q982" s="20">
        <f>IF(A982="","",INDEX(الإعدادات!$I$7:$I$18,MONTH(A982)))</f>
        <v/>
      </c>
      <c r="R982" s="20">
        <f>IF(A982="","",IF(MONTH(A982)&gt;=8,YEAR(A982)&amp;"-"&amp;(YEAR(A982)+1),(YEAR(A982)-1)&amp;"-"&amp;YEAR(A982)))</f>
        <v/>
      </c>
      <c r="S982" s="20">
        <f>IF(OR(A982="",B982=""),0,IF(AND(R982=التقارير!$C$4,OR(التقارير!$C$5="سنوي",AND(التقارير!$C$5="شهري",P982=التقارير!$C$6),AND(التقارير!$C$5="فصلي",Q982=التقارير!$C$7))),1,0))</f>
        <v/>
      </c>
      <c r="T982" s="20">
        <f>IF(S982=1,COUNTIF($S$5:S982,1),"")</f>
        <v/>
      </c>
      <c r="U982">
        <f>IF(AND($A982&lt;&gt;"",$B982&lt;&gt;"",$R982='تقرير الفصل الأول'!$C$4,$Q982='تقرير الفصل الأول'!$C$7),COUNT(U$4:U981)+1,"")</f>
        <v/>
      </c>
      <c r="V982">
        <f>IF(AND($A982&lt;&gt;"",$B982&lt;&gt;"",$R982='تقرير الفصل الثاني'!$C$4,$Q982='تقرير الفصل الثاني'!$C$7),COUNT(V$4:V981)+1,"")</f>
        <v/>
      </c>
      <c r="W982">
        <f>IF(AND($A982&lt;&gt;"",$B982&lt;&gt;"",$R982='تقرير سبتمبر'!$C$4,$P982='تقرير سبتمبر'!$C$6),COUNT(W$4:W981)+1,"")</f>
        <v/>
      </c>
      <c r="X982">
        <f>IF(AND($A982&lt;&gt;"",$B982&lt;&gt;"",$R982='تقرير أكتوبر'!$C$4,$P982='تقرير أكتوبر'!$C$6),COUNT(X$4:X981)+1,"")</f>
        <v/>
      </c>
      <c r="Y982">
        <f>IF(AND($A982&lt;&gt;"",$B982&lt;&gt;"",$R982='تقرير نوفمبر'!$C$4,$P982='تقرير نوفمبر'!$C$6),COUNT(Y$4:Y981)+1,"")</f>
        <v/>
      </c>
      <c r="Z982">
        <f>IF(AND($A982&lt;&gt;"",$B982&lt;&gt;"",$R982='تقرير ديسمبر'!$C$4,$P982='تقرير ديسمبر'!$C$6),COUNT(Z$4:Z981)+1,"")</f>
        <v/>
      </c>
      <c r="AA982">
        <f>IF(AND($A982&lt;&gt;"",$B982&lt;&gt;"",$R982='تقرير يناير'!$C$4,$P982='تقرير يناير'!$C$6),COUNT(AA$4:AA981)+1,"")</f>
        <v/>
      </c>
      <c r="AB982">
        <f>IF(AND($A982&lt;&gt;"",$B982&lt;&gt;"",$R982='تقرير فبراير'!$C$4,$P982='تقرير فبراير'!$C$6),COUNT(AB$4:AB981)+1,"")</f>
        <v/>
      </c>
      <c r="AC982">
        <f>IF(AND($A982&lt;&gt;"",$B982&lt;&gt;"",$R982='تقرير مارس'!$C$4,$P982='تقرير مارس'!$C$6),COUNT(AC$4:AC981)+1,"")</f>
        <v/>
      </c>
      <c r="AD982">
        <f>IF(AND($A982&lt;&gt;"",$B982&lt;&gt;"",$R982='تقرير أبريل'!$C$4,$P982='تقرير أبريل'!$C$6),COUNT(AD$4:AD981)+1,"")</f>
        <v/>
      </c>
      <c r="AE982">
        <f>IF(AND($A982&lt;&gt;"",$B982&lt;&gt;"",$R982='تقرير مايو'!$C$4,$P982='تقرير مايو'!$C$6),COUNT(AE$4:AE981)+1,"")</f>
        <v/>
      </c>
    </row>
    <row r="983">
      <c r="A983" s="16" t="n"/>
      <c r="B983" s="17" t="n"/>
      <c r="C983" s="17" t="n"/>
      <c r="D983" s="18" t="n"/>
      <c r="E983" s="17" t="n"/>
      <c r="F983" s="17" t="n"/>
      <c r="G983" s="19" t="n"/>
      <c r="H983" s="17" t="n"/>
      <c r="I983" s="17" t="n"/>
      <c r="J983" s="17" t="n"/>
      <c r="K983" s="20">
        <f>IF($B983="","",IFERROR(INDEX(الموظفات!$A$5:$A$304,MATCH($B983,الموظفات!$B$5:$B$304,0))&amp;"",""))</f>
        <v/>
      </c>
      <c r="L983" s="21">
        <f>IF($B983="","",IFERROR(INDEX(الموظفات!$C$5:$C$304,MATCH($B983,الموظفات!$B$5:$B$304,0))&amp;"",""))</f>
        <v/>
      </c>
      <c r="M983" s="20">
        <f>IF($B983="","",IFERROR(INDEX(الموظفات!$D$5:$D$304,MATCH($B983,الموظفات!$B$5:$B$304,0))&amp;"",""))</f>
        <v/>
      </c>
      <c r="N983" s="20">
        <f>IF($B983="","",IFERROR(INDEX(الموظفات!$E$5:$E$304,MATCH($B983,الموظفات!$B$5:$B$304,0))&amp;"",""))</f>
        <v/>
      </c>
      <c r="O983" s="21">
        <f>IF(C983="","",IFERROR(INDEX(الإعدادات!$D$7:$D$35,MATCH(C983,الإعدادات!$A$7:$A$35,0))&amp;"",""))</f>
        <v/>
      </c>
      <c r="P983" s="20">
        <f>IF(A983="","",INDEX(الإعدادات!$H$7:$H$18,MONTH(A983)))</f>
        <v/>
      </c>
      <c r="Q983" s="20">
        <f>IF(A983="","",INDEX(الإعدادات!$I$7:$I$18,MONTH(A983)))</f>
        <v/>
      </c>
      <c r="R983" s="20">
        <f>IF(A983="","",IF(MONTH(A983)&gt;=8,YEAR(A983)&amp;"-"&amp;(YEAR(A983)+1),(YEAR(A983)-1)&amp;"-"&amp;YEAR(A983)))</f>
        <v/>
      </c>
      <c r="S983" s="20">
        <f>IF(OR(A983="",B983=""),0,IF(AND(R983=التقارير!$C$4,OR(التقارير!$C$5="سنوي",AND(التقارير!$C$5="شهري",P983=التقارير!$C$6),AND(التقارير!$C$5="فصلي",Q983=التقارير!$C$7))),1,0))</f>
        <v/>
      </c>
      <c r="T983" s="20">
        <f>IF(S983=1,COUNTIF($S$5:S983,1),"")</f>
        <v/>
      </c>
      <c r="U983">
        <f>IF(AND($A983&lt;&gt;"",$B983&lt;&gt;"",$R983='تقرير الفصل الأول'!$C$4,$Q983='تقرير الفصل الأول'!$C$7),COUNT(U$4:U982)+1,"")</f>
        <v/>
      </c>
      <c r="V983">
        <f>IF(AND($A983&lt;&gt;"",$B983&lt;&gt;"",$R983='تقرير الفصل الثاني'!$C$4,$Q983='تقرير الفصل الثاني'!$C$7),COUNT(V$4:V982)+1,"")</f>
        <v/>
      </c>
      <c r="W983">
        <f>IF(AND($A983&lt;&gt;"",$B983&lt;&gt;"",$R983='تقرير سبتمبر'!$C$4,$P983='تقرير سبتمبر'!$C$6),COUNT(W$4:W982)+1,"")</f>
        <v/>
      </c>
      <c r="X983">
        <f>IF(AND($A983&lt;&gt;"",$B983&lt;&gt;"",$R983='تقرير أكتوبر'!$C$4,$P983='تقرير أكتوبر'!$C$6),COUNT(X$4:X982)+1,"")</f>
        <v/>
      </c>
      <c r="Y983">
        <f>IF(AND($A983&lt;&gt;"",$B983&lt;&gt;"",$R983='تقرير نوفمبر'!$C$4,$P983='تقرير نوفمبر'!$C$6),COUNT(Y$4:Y982)+1,"")</f>
        <v/>
      </c>
      <c r="Z983">
        <f>IF(AND($A983&lt;&gt;"",$B983&lt;&gt;"",$R983='تقرير ديسمبر'!$C$4,$P983='تقرير ديسمبر'!$C$6),COUNT(Z$4:Z982)+1,"")</f>
        <v/>
      </c>
      <c r="AA983">
        <f>IF(AND($A983&lt;&gt;"",$B983&lt;&gt;"",$R983='تقرير يناير'!$C$4,$P983='تقرير يناير'!$C$6),COUNT(AA$4:AA982)+1,"")</f>
        <v/>
      </c>
      <c r="AB983">
        <f>IF(AND($A983&lt;&gt;"",$B983&lt;&gt;"",$R983='تقرير فبراير'!$C$4,$P983='تقرير فبراير'!$C$6),COUNT(AB$4:AB982)+1,"")</f>
        <v/>
      </c>
      <c r="AC983">
        <f>IF(AND($A983&lt;&gt;"",$B983&lt;&gt;"",$R983='تقرير مارس'!$C$4,$P983='تقرير مارس'!$C$6),COUNT(AC$4:AC982)+1,"")</f>
        <v/>
      </c>
      <c r="AD983">
        <f>IF(AND($A983&lt;&gt;"",$B983&lt;&gt;"",$R983='تقرير أبريل'!$C$4,$P983='تقرير أبريل'!$C$6),COUNT(AD$4:AD982)+1,"")</f>
        <v/>
      </c>
      <c r="AE983">
        <f>IF(AND($A983&lt;&gt;"",$B983&lt;&gt;"",$R983='تقرير مايو'!$C$4,$P983='تقرير مايو'!$C$6),COUNT(AE$4:AE982)+1,"")</f>
        <v/>
      </c>
    </row>
    <row r="984">
      <c r="A984" s="16" t="n"/>
      <c r="B984" s="17" t="n"/>
      <c r="C984" s="17" t="n"/>
      <c r="D984" s="18" t="n"/>
      <c r="E984" s="17" t="n"/>
      <c r="F984" s="17" t="n"/>
      <c r="G984" s="19" t="n"/>
      <c r="H984" s="17" t="n"/>
      <c r="I984" s="17" t="n"/>
      <c r="J984" s="17" t="n"/>
      <c r="K984" s="20">
        <f>IF($B984="","",IFERROR(INDEX(الموظفات!$A$5:$A$304,MATCH($B984,الموظفات!$B$5:$B$304,0))&amp;"",""))</f>
        <v/>
      </c>
      <c r="L984" s="21">
        <f>IF($B984="","",IFERROR(INDEX(الموظفات!$C$5:$C$304,MATCH($B984,الموظفات!$B$5:$B$304,0))&amp;"",""))</f>
        <v/>
      </c>
      <c r="M984" s="20">
        <f>IF($B984="","",IFERROR(INDEX(الموظفات!$D$5:$D$304,MATCH($B984,الموظفات!$B$5:$B$304,0))&amp;"",""))</f>
        <v/>
      </c>
      <c r="N984" s="20">
        <f>IF($B984="","",IFERROR(INDEX(الموظفات!$E$5:$E$304,MATCH($B984,الموظفات!$B$5:$B$304,0))&amp;"",""))</f>
        <v/>
      </c>
      <c r="O984" s="21">
        <f>IF(C984="","",IFERROR(INDEX(الإعدادات!$D$7:$D$35,MATCH(C984,الإعدادات!$A$7:$A$35,0))&amp;"",""))</f>
        <v/>
      </c>
      <c r="P984" s="20">
        <f>IF(A984="","",INDEX(الإعدادات!$H$7:$H$18,MONTH(A984)))</f>
        <v/>
      </c>
      <c r="Q984" s="20">
        <f>IF(A984="","",INDEX(الإعدادات!$I$7:$I$18,MONTH(A984)))</f>
        <v/>
      </c>
      <c r="R984" s="20">
        <f>IF(A984="","",IF(MONTH(A984)&gt;=8,YEAR(A984)&amp;"-"&amp;(YEAR(A984)+1),(YEAR(A984)-1)&amp;"-"&amp;YEAR(A984)))</f>
        <v/>
      </c>
      <c r="S984" s="20">
        <f>IF(OR(A984="",B984=""),0,IF(AND(R984=التقارير!$C$4,OR(التقارير!$C$5="سنوي",AND(التقارير!$C$5="شهري",P984=التقارير!$C$6),AND(التقارير!$C$5="فصلي",Q984=التقارير!$C$7))),1,0))</f>
        <v/>
      </c>
      <c r="T984" s="20">
        <f>IF(S984=1,COUNTIF($S$5:S984,1),"")</f>
        <v/>
      </c>
      <c r="U984">
        <f>IF(AND($A984&lt;&gt;"",$B984&lt;&gt;"",$R984='تقرير الفصل الأول'!$C$4,$Q984='تقرير الفصل الأول'!$C$7),COUNT(U$4:U983)+1,"")</f>
        <v/>
      </c>
      <c r="V984">
        <f>IF(AND($A984&lt;&gt;"",$B984&lt;&gt;"",$R984='تقرير الفصل الثاني'!$C$4,$Q984='تقرير الفصل الثاني'!$C$7),COUNT(V$4:V983)+1,"")</f>
        <v/>
      </c>
      <c r="W984">
        <f>IF(AND($A984&lt;&gt;"",$B984&lt;&gt;"",$R984='تقرير سبتمبر'!$C$4,$P984='تقرير سبتمبر'!$C$6),COUNT(W$4:W983)+1,"")</f>
        <v/>
      </c>
      <c r="X984">
        <f>IF(AND($A984&lt;&gt;"",$B984&lt;&gt;"",$R984='تقرير أكتوبر'!$C$4,$P984='تقرير أكتوبر'!$C$6),COUNT(X$4:X983)+1,"")</f>
        <v/>
      </c>
      <c r="Y984">
        <f>IF(AND($A984&lt;&gt;"",$B984&lt;&gt;"",$R984='تقرير نوفمبر'!$C$4,$P984='تقرير نوفمبر'!$C$6),COUNT(Y$4:Y983)+1,"")</f>
        <v/>
      </c>
      <c r="Z984">
        <f>IF(AND($A984&lt;&gt;"",$B984&lt;&gt;"",$R984='تقرير ديسمبر'!$C$4,$P984='تقرير ديسمبر'!$C$6),COUNT(Z$4:Z983)+1,"")</f>
        <v/>
      </c>
      <c r="AA984">
        <f>IF(AND($A984&lt;&gt;"",$B984&lt;&gt;"",$R984='تقرير يناير'!$C$4,$P984='تقرير يناير'!$C$6),COUNT(AA$4:AA983)+1,"")</f>
        <v/>
      </c>
      <c r="AB984">
        <f>IF(AND($A984&lt;&gt;"",$B984&lt;&gt;"",$R984='تقرير فبراير'!$C$4,$P984='تقرير فبراير'!$C$6),COUNT(AB$4:AB983)+1,"")</f>
        <v/>
      </c>
      <c r="AC984">
        <f>IF(AND($A984&lt;&gt;"",$B984&lt;&gt;"",$R984='تقرير مارس'!$C$4,$P984='تقرير مارس'!$C$6),COUNT(AC$4:AC983)+1,"")</f>
        <v/>
      </c>
      <c r="AD984">
        <f>IF(AND($A984&lt;&gt;"",$B984&lt;&gt;"",$R984='تقرير أبريل'!$C$4,$P984='تقرير أبريل'!$C$6),COUNT(AD$4:AD983)+1,"")</f>
        <v/>
      </c>
      <c r="AE984">
        <f>IF(AND($A984&lt;&gt;"",$B984&lt;&gt;"",$R984='تقرير مايو'!$C$4,$P984='تقرير مايو'!$C$6),COUNT(AE$4:AE983)+1,"")</f>
        <v/>
      </c>
    </row>
    <row r="985">
      <c r="A985" s="16" t="n"/>
      <c r="B985" s="17" t="n"/>
      <c r="C985" s="17" t="n"/>
      <c r="D985" s="18" t="n"/>
      <c r="E985" s="17" t="n"/>
      <c r="F985" s="17" t="n"/>
      <c r="G985" s="19" t="n"/>
      <c r="H985" s="17" t="n"/>
      <c r="I985" s="17" t="n"/>
      <c r="J985" s="17" t="n"/>
      <c r="K985" s="20">
        <f>IF($B985="","",IFERROR(INDEX(الموظفات!$A$5:$A$304,MATCH($B985,الموظفات!$B$5:$B$304,0))&amp;"",""))</f>
        <v/>
      </c>
      <c r="L985" s="21">
        <f>IF($B985="","",IFERROR(INDEX(الموظفات!$C$5:$C$304,MATCH($B985,الموظفات!$B$5:$B$304,0))&amp;"",""))</f>
        <v/>
      </c>
      <c r="M985" s="20">
        <f>IF($B985="","",IFERROR(INDEX(الموظفات!$D$5:$D$304,MATCH($B985,الموظفات!$B$5:$B$304,0))&amp;"",""))</f>
        <v/>
      </c>
      <c r="N985" s="20">
        <f>IF($B985="","",IFERROR(INDEX(الموظفات!$E$5:$E$304,MATCH($B985,الموظفات!$B$5:$B$304,0))&amp;"",""))</f>
        <v/>
      </c>
      <c r="O985" s="21">
        <f>IF(C985="","",IFERROR(INDEX(الإعدادات!$D$7:$D$35,MATCH(C985,الإعدادات!$A$7:$A$35,0))&amp;"",""))</f>
        <v/>
      </c>
      <c r="P985" s="20">
        <f>IF(A985="","",INDEX(الإعدادات!$H$7:$H$18,MONTH(A985)))</f>
        <v/>
      </c>
      <c r="Q985" s="20">
        <f>IF(A985="","",INDEX(الإعدادات!$I$7:$I$18,MONTH(A985)))</f>
        <v/>
      </c>
      <c r="R985" s="20">
        <f>IF(A985="","",IF(MONTH(A985)&gt;=8,YEAR(A985)&amp;"-"&amp;(YEAR(A985)+1),(YEAR(A985)-1)&amp;"-"&amp;YEAR(A985)))</f>
        <v/>
      </c>
      <c r="S985" s="20">
        <f>IF(OR(A985="",B985=""),0,IF(AND(R985=التقارير!$C$4,OR(التقارير!$C$5="سنوي",AND(التقارير!$C$5="شهري",P985=التقارير!$C$6),AND(التقارير!$C$5="فصلي",Q985=التقارير!$C$7))),1,0))</f>
        <v/>
      </c>
      <c r="T985" s="20">
        <f>IF(S985=1,COUNTIF($S$5:S985,1),"")</f>
        <v/>
      </c>
      <c r="U985">
        <f>IF(AND($A985&lt;&gt;"",$B985&lt;&gt;"",$R985='تقرير الفصل الأول'!$C$4,$Q985='تقرير الفصل الأول'!$C$7),COUNT(U$4:U984)+1,"")</f>
        <v/>
      </c>
      <c r="V985">
        <f>IF(AND($A985&lt;&gt;"",$B985&lt;&gt;"",$R985='تقرير الفصل الثاني'!$C$4,$Q985='تقرير الفصل الثاني'!$C$7),COUNT(V$4:V984)+1,"")</f>
        <v/>
      </c>
      <c r="W985">
        <f>IF(AND($A985&lt;&gt;"",$B985&lt;&gt;"",$R985='تقرير سبتمبر'!$C$4,$P985='تقرير سبتمبر'!$C$6),COUNT(W$4:W984)+1,"")</f>
        <v/>
      </c>
      <c r="X985">
        <f>IF(AND($A985&lt;&gt;"",$B985&lt;&gt;"",$R985='تقرير أكتوبر'!$C$4,$P985='تقرير أكتوبر'!$C$6),COUNT(X$4:X984)+1,"")</f>
        <v/>
      </c>
      <c r="Y985">
        <f>IF(AND($A985&lt;&gt;"",$B985&lt;&gt;"",$R985='تقرير نوفمبر'!$C$4,$P985='تقرير نوفمبر'!$C$6),COUNT(Y$4:Y984)+1,"")</f>
        <v/>
      </c>
      <c r="Z985">
        <f>IF(AND($A985&lt;&gt;"",$B985&lt;&gt;"",$R985='تقرير ديسمبر'!$C$4,$P985='تقرير ديسمبر'!$C$6),COUNT(Z$4:Z984)+1,"")</f>
        <v/>
      </c>
      <c r="AA985">
        <f>IF(AND($A985&lt;&gt;"",$B985&lt;&gt;"",$R985='تقرير يناير'!$C$4,$P985='تقرير يناير'!$C$6),COUNT(AA$4:AA984)+1,"")</f>
        <v/>
      </c>
      <c r="AB985">
        <f>IF(AND($A985&lt;&gt;"",$B985&lt;&gt;"",$R985='تقرير فبراير'!$C$4,$P985='تقرير فبراير'!$C$6),COUNT(AB$4:AB984)+1,"")</f>
        <v/>
      </c>
      <c r="AC985">
        <f>IF(AND($A985&lt;&gt;"",$B985&lt;&gt;"",$R985='تقرير مارس'!$C$4,$P985='تقرير مارس'!$C$6),COUNT(AC$4:AC984)+1,"")</f>
        <v/>
      </c>
      <c r="AD985">
        <f>IF(AND($A985&lt;&gt;"",$B985&lt;&gt;"",$R985='تقرير أبريل'!$C$4,$P985='تقرير أبريل'!$C$6),COUNT(AD$4:AD984)+1,"")</f>
        <v/>
      </c>
      <c r="AE985">
        <f>IF(AND($A985&lt;&gt;"",$B985&lt;&gt;"",$R985='تقرير مايو'!$C$4,$P985='تقرير مايو'!$C$6),COUNT(AE$4:AE984)+1,"")</f>
        <v/>
      </c>
    </row>
    <row r="986">
      <c r="A986" s="16" t="n"/>
      <c r="B986" s="17" t="n"/>
      <c r="C986" s="17" t="n"/>
      <c r="D986" s="18" t="n"/>
      <c r="E986" s="17" t="n"/>
      <c r="F986" s="17" t="n"/>
      <c r="G986" s="19" t="n"/>
      <c r="H986" s="17" t="n"/>
      <c r="I986" s="17" t="n"/>
      <c r="J986" s="17" t="n"/>
      <c r="K986" s="20">
        <f>IF($B986="","",IFERROR(INDEX(الموظفات!$A$5:$A$304,MATCH($B986,الموظفات!$B$5:$B$304,0))&amp;"",""))</f>
        <v/>
      </c>
      <c r="L986" s="21">
        <f>IF($B986="","",IFERROR(INDEX(الموظفات!$C$5:$C$304,MATCH($B986,الموظفات!$B$5:$B$304,0))&amp;"",""))</f>
        <v/>
      </c>
      <c r="M986" s="20">
        <f>IF($B986="","",IFERROR(INDEX(الموظفات!$D$5:$D$304,MATCH($B986,الموظفات!$B$5:$B$304,0))&amp;"",""))</f>
        <v/>
      </c>
      <c r="N986" s="20">
        <f>IF($B986="","",IFERROR(INDEX(الموظفات!$E$5:$E$304,MATCH($B986,الموظفات!$B$5:$B$304,0))&amp;"",""))</f>
        <v/>
      </c>
      <c r="O986" s="21">
        <f>IF(C986="","",IFERROR(INDEX(الإعدادات!$D$7:$D$35,MATCH(C986,الإعدادات!$A$7:$A$35,0))&amp;"",""))</f>
        <v/>
      </c>
      <c r="P986" s="20">
        <f>IF(A986="","",INDEX(الإعدادات!$H$7:$H$18,MONTH(A986)))</f>
        <v/>
      </c>
      <c r="Q986" s="20">
        <f>IF(A986="","",INDEX(الإعدادات!$I$7:$I$18,MONTH(A986)))</f>
        <v/>
      </c>
      <c r="R986" s="20">
        <f>IF(A986="","",IF(MONTH(A986)&gt;=8,YEAR(A986)&amp;"-"&amp;(YEAR(A986)+1),(YEAR(A986)-1)&amp;"-"&amp;YEAR(A986)))</f>
        <v/>
      </c>
      <c r="S986" s="20">
        <f>IF(OR(A986="",B986=""),0,IF(AND(R986=التقارير!$C$4,OR(التقارير!$C$5="سنوي",AND(التقارير!$C$5="شهري",P986=التقارير!$C$6),AND(التقارير!$C$5="فصلي",Q986=التقارير!$C$7))),1,0))</f>
        <v/>
      </c>
      <c r="T986" s="20">
        <f>IF(S986=1,COUNTIF($S$5:S986,1),"")</f>
        <v/>
      </c>
      <c r="U986">
        <f>IF(AND($A986&lt;&gt;"",$B986&lt;&gt;"",$R986='تقرير الفصل الأول'!$C$4,$Q986='تقرير الفصل الأول'!$C$7),COUNT(U$4:U985)+1,"")</f>
        <v/>
      </c>
      <c r="V986">
        <f>IF(AND($A986&lt;&gt;"",$B986&lt;&gt;"",$R986='تقرير الفصل الثاني'!$C$4,$Q986='تقرير الفصل الثاني'!$C$7),COUNT(V$4:V985)+1,"")</f>
        <v/>
      </c>
      <c r="W986">
        <f>IF(AND($A986&lt;&gt;"",$B986&lt;&gt;"",$R986='تقرير سبتمبر'!$C$4,$P986='تقرير سبتمبر'!$C$6),COUNT(W$4:W985)+1,"")</f>
        <v/>
      </c>
      <c r="X986">
        <f>IF(AND($A986&lt;&gt;"",$B986&lt;&gt;"",$R986='تقرير أكتوبر'!$C$4,$P986='تقرير أكتوبر'!$C$6),COUNT(X$4:X985)+1,"")</f>
        <v/>
      </c>
      <c r="Y986">
        <f>IF(AND($A986&lt;&gt;"",$B986&lt;&gt;"",$R986='تقرير نوفمبر'!$C$4,$P986='تقرير نوفمبر'!$C$6),COUNT(Y$4:Y985)+1,"")</f>
        <v/>
      </c>
      <c r="Z986">
        <f>IF(AND($A986&lt;&gt;"",$B986&lt;&gt;"",$R986='تقرير ديسمبر'!$C$4,$P986='تقرير ديسمبر'!$C$6),COUNT(Z$4:Z985)+1,"")</f>
        <v/>
      </c>
      <c r="AA986">
        <f>IF(AND($A986&lt;&gt;"",$B986&lt;&gt;"",$R986='تقرير يناير'!$C$4,$P986='تقرير يناير'!$C$6),COUNT(AA$4:AA985)+1,"")</f>
        <v/>
      </c>
      <c r="AB986">
        <f>IF(AND($A986&lt;&gt;"",$B986&lt;&gt;"",$R986='تقرير فبراير'!$C$4,$P986='تقرير فبراير'!$C$6),COUNT(AB$4:AB985)+1,"")</f>
        <v/>
      </c>
      <c r="AC986">
        <f>IF(AND($A986&lt;&gt;"",$B986&lt;&gt;"",$R986='تقرير مارس'!$C$4,$P986='تقرير مارس'!$C$6),COUNT(AC$4:AC985)+1,"")</f>
        <v/>
      </c>
      <c r="AD986">
        <f>IF(AND($A986&lt;&gt;"",$B986&lt;&gt;"",$R986='تقرير أبريل'!$C$4,$P986='تقرير أبريل'!$C$6),COUNT(AD$4:AD985)+1,"")</f>
        <v/>
      </c>
      <c r="AE986">
        <f>IF(AND($A986&lt;&gt;"",$B986&lt;&gt;"",$R986='تقرير مايو'!$C$4,$P986='تقرير مايو'!$C$6),COUNT(AE$4:AE985)+1,"")</f>
        <v/>
      </c>
    </row>
    <row r="987">
      <c r="A987" s="16" t="n"/>
      <c r="B987" s="17" t="n"/>
      <c r="C987" s="17" t="n"/>
      <c r="D987" s="18" t="n"/>
      <c r="E987" s="17" t="n"/>
      <c r="F987" s="17" t="n"/>
      <c r="G987" s="19" t="n"/>
      <c r="H987" s="17" t="n"/>
      <c r="I987" s="17" t="n"/>
      <c r="J987" s="17" t="n"/>
      <c r="K987" s="20">
        <f>IF($B987="","",IFERROR(INDEX(الموظفات!$A$5:$A$304,MATCH($B987,الموظفات!$B$5:$B$304,0))&amp;"",""))</f>
        <v/>
      </c>
      <c r="L987" s="21">
        <f>IF($B987="","",IFERROR(INDEX(الموظفات!$C$5:$C$304,MATCH($B987,الموظفات!$B$5:$B$304,0))&amp;"",""))</f>
        <v/>
      </c>
      <c r="M987" s="20">
        <f>IF($B987="","",IFERROR(INDEX(الموظفات!$D$5:$D$304,MATCH($B987,الموظفات!$B$5:$B$304,0))&amp;"",""))</f>
        <v/>
      </c>
      <c r="N987" s="20">
        <f>IF($B987="","",IFERROR(INDEX(الموظفات!$E$5:$E$304,MATCH($B987,الموظفات!$B$5:$B$304,0))&amp;"",""))</f>
        <v/>
      </c>
      <c r="O987" s="21">
        <f>IF(C987="","",IFERROR(INDEX(الإعدادات!$D$7:$D$35,MATCH(C987,الإعدادات!$A$7:$A$35,0))&amp;"",""))</f>
        <v/>
      </c>
      <c r="P987" s="20">
        <f>IF(A987="","",INDEX(الإعدادات!$H$7:$H$18,MONTH(A987)))</f>
        <v/>
      </c>
      <c r="Q987" s="20">
        <f>IF(A987="","",INDEX(الإعدادات!$I$7:$I$18,MONTH(A987)))</f>
        <v/>
      </c>
      <c r="R987" s="20">
        <f>IF(A987="","",IF(MONTH(A987)&gt;=8,YEAR(A987)&amp;"-"&amp;(YEAR(A987)+1),(YEAR(A987)-1)&amp;"-"&amp;YEAR(A987)))</f>
        <v/>
      </c>
      <c r="S987" s="20">
        <f>IF(OR(A987="",B987=""),0,IF(AND(R987=التقارير!$C$4,OR(التقارير!$C$5="سنوي",AND(التقارير!$C$5="شهري",P987=التقارير!$C$6),AND(التقارير!$C$5="فصلي",Q987=التقارير!$C$7))),1,0))</f>
        <v/>
      </c>
      <c r="T987" s="20">
        <f>IF(S987=1,COUNTIF($S$5:S987,1),"")</f>
        <v/>
      </c>
      <c r="U987">
        <f>IF(AND($A987&lt;&gt;"",$B987&lt;&gt;"",$R987='تقرير الفصل الأول'!$C$4,$Q987='تقرير الفصل الأول'!$C$7),COUNT(U$4:U986)+1,"")</f>
        <v/>
      </c>
      <c r="V987">
        <f>IF(AND($A987&lt;&gt;"",$B987&lt;&gt;"",$R987='تقرير الفصل الثاني'!$C$4,$Q987='تقرير الفصل الثاني'!$C$7),COUNT(V$4:V986)+1,"")</f>
        <v/>
      </c>
      <c r="W987">
        <f>IF(AND($A987&lt;&gt;"",$B987&lt;&gt;"",$R987='تقرير سبتمبر'!$C$4,$P987='تقرير سبتمبر'!$C$6),COUNT(W$4:W986)+1,"")</f>
        <v/>
      </c>
      <c r="X987">
        <f>IF(AND($A987&lt;&gt;"",$B987&lt;&gt;"",$R987='تقرير أكتوبر'!$C$4,$P987='تقرير أكتوبر'!$C$6),COUNT(X$4:X986)+1,"")</f>
        <v/>
      </c>
      <c r="Y987">
        <f>IF(AND($A987&lt;&gt;"",$B987&lt;&gt;"",$R987='تقرير نوفمبر'!$C$4,$P987='تقرير نوفمبر'!$C$6),COUNT(Y$4:Y986)+1,"")</f>
        <v/>
      </c>
      <c r="Z987">
        <f>IF(AND($A987&lt;&gt;"",$B987&lt;&gt;"",$R987='تقرير ديسمبر'!$C$4,$P987='تقرير ديسمبر'!$C$6),COUNT(Z$4:Z986)+1,"")</f>
        <v/>
      </c>
      <c r="AA987">
        <f>IF(AND($A987&lt;&gt;"",$B987&lt;&gt;"",$R987='تقرير يناير'!$C$4,$P987='تقرير يناير'!$C$6),COUNT(AA$4:AA986)+1,"")</f>
        <v/>
      </c>
      <c r="AB987">
        <f>IF(AND($A987&lt;&gt;"",$B987&lt;&gt;"",$R987='تقرير فبراير'!$C$4,$P987='تقرير فبراير'!$C$6),COUNT(AB$4:AB986)+1,"")</f>
        <v/>
      </c>
      <c r="AC987">
        <f>IF(AND($A987&lt;&gt;"",$B987&lt;&gt;"",$R987='تقرير مارس'!$C$4,$P987='تقرير مارس'!$C$6),COUNT(AC$4:AC986)+1,"")</f>
        <v/>
      </c>
      <c r="AD987">
        <f>IF(AND($A987&lt;&gt;"",$B987&lt;&gt;"",$R987='تقرير أبريل'!$C$4,$P987='تقرير أبريل'!$C$6),COUNT(AD$4:AD986)+1,"")</f>
        <v/>
      </c>
      <c r="AE987">
        <f>IF(AND($A987&lt;&gt;"",$B987&lt;&gt;"",$R987='تقرير مايو'!$C$4,$P987='تقرير مايو'!$C$6),COUNT(AE$4:AE986)+1,"")</f>
        <v/>
      </c>
    </row>
    <row r="988">
      <c r="A988" s="16" t="n"/>
      <c r="B988" s="17" t="n"/>
      <c r="C988" s="17" t="n"/>
      <c r="D988" s="18" t="n"/>
      <c r="E988" s="17" t="n"/>
      <c r="F988" s="17" t="n"/>
      <c r="G988" s="19" t="n"/>
      <c r="H988" s="17" t="n"/>
      <c r="I988" s="17" t="n"/>
      <c r="J988" s="17" t="n"/>
      <c r="K988" s="20">
        <f>IF($B988="","",IFERROR(INDEX(الموظفات!$A$5:$A$304,MATCH($B988,الموظفات!$B$5:$B$304,0))&amp;"",""))</f>
        <v/>
      </c>
      <c r="L988" s="21">
        <f>IF($B988="","",IFERROR(INDEX(الموظفات!$C$5:$C$304,MATCH($B988,الموظفات!$B$5:$B$304,0))&amp;"",""))</f>
        <v/>
      </c>
      <c r="M988" s="20">
        <f>IF($B988="","",IFERROR(INDEX(الموظفات!$D$5:$D$304,MATCH($B988,الموظفات!$B$5:$B$304,0))&amp;"",""))</f>
        <v/>
      </c>
      <c r="N988" s="20">
        <f>IF($B988="","",IFERROR(INDEX(الموظفات!$E$5:$E$304,MATCH($B988,الموظفات!$B$5:$B$304,0))&amp;"",""))</f>
        <v/>
      </c>
      <c r="O988" s="21">
        <f>IF(C988="","",IFERROR(INDEX(الإعدادات!$D$7:$D$35,MATCH(C988,الإعدادات!$A$7:$A$35,0))&amp;"",""))</f>
        <v/>
      </c>
      <c r="P988" s="20">
        <f>IF(A988="","",INDEX(الإعدادات!$H$7:$H$18,MONTH(A988)))</f>
        <v/>
      </c>
      <c r="Q988" s="20">
        <f>IF(A988="","",INDEX(الإعدادات!$I$7:$I$18,MONTH(A988)))</f>
        <v/>
      </c>
      <c r="R988" s="20">
        <f>IF(A988="","",IF(MONTH(A988)&gt;=8,YEAR(A988)&amp;"-"&amp;(YEAR(A988)+1),(YEAR(A988)-1)&amp;"-"&amp;YEAR(A988)))</f>
        <v/>
      </c>
      <c r="S988" s="20">
        <f>IF(OR(A988="",B988=""),0,IF(AND(R988=التقارير!$C$4,OR(التقارير!$C$5="سنوي",AND(التقارير!$C$5="شهري",P988=التقارير!$C$6),AND(التقارير!$C$5="فصلي",Q988=التقارير!$C$7))),1,0))</f>
        <v/>
      </c>
      <c r="T988" s="20">
        <f>IF(S988=1,COUNTIF($S$5:S988,1),"")</f>
        <v/>
      </c>
      <c r="U988">
        <f>IF(AND($A988&lt;&gt;"",$B988&lt;&gt;"",$R988='تقرير الفصل الأول'!$C$4,$Q988='تقرير الفصل الأول'!$C$7),COUNT(U$4:U987)+1,"")</f>
        <v/>
      </c>
      <c r="V988">
        <f>IF(AND($A988&lt;&gt;"",$B988&lt;&gt;"",$R988='تقرير الفصل الثاني'!$C$4,$Q988='تقرير الفصل الثاني'!$C$7),COUNT(V$4:V987)+1,"")</f>
        <v/>
      </c>
      <c r="W988">
        <f>IF(AND($A988&lt;&gt;"",$B988&lt;&gt;"",$R988='تقرير سبتمبر'!$C$4,$P988='تقرير سبتمبر'!$C$6),COUNT(W$4:W987)+1,"")</f>
        <v/>
      </c>
      <c r="X988">
        <f>IF(AND($A988&lt;&gt;"",$B988&lt;&gt;"",$R988='تقرير أكتوبر'!$C$4,$P988='تقرير أكتوبر'!$C$6),COUNT(X$4:X987)+1,"")</f>
        <v/>
      </c>
      <c r="Y988">
        <f>IF(AND($A988&lt;&gt;"",$B988&lt;&gt;"",$R988='تقرير نوفمبر'!$C$4,$P988='تقرير نوفمبر'!$C$6),COUNT(Y$4:Y987)+1,"")</f>
        <v/>
      </c>
      <c r="Z988">
        <f>IF(AND($A988&lt;&gt;"",$B988&lt;&gt;"",$R988='تقرير ديسمبر'!$C$4,$P988='تقرير ديسمبر'!$C$6),COUNT(Z$4:Z987)+1,"")</f>
        <v/>
      </c>
      <c r="AA988">
        <f>IF(AND($A988&lt;&gt;"",$B988&lt;&gt;"",$R988='تقرير يناير'!$C$4,$P988='تقرير يناير'!$C$6),COUNT(AA$4:AA987)+1,"")</f>
        <v/>
      </c>
      <c r="AB988">
        <f>IF(AND($A988&lt;&gt;"",$B988&lt;&gt;"",$R988='تقرير فبراير'!$C$4,$P988='تقرير فبراير'!$C$6),COUNT(AB$4:AB987)+1,"")</f>
        <v/>
      </c>
      <c r="AC988">
        <f>IF(AND($A988&lt;&gt;"",$B988&lt;&gt;"",$R988='تقرير مارس'!$C$4,$P988='تقرير مارس'!$C$6),COUNT(AC$4:AC987)+1,"")</f>
        <v/>
      </c>
      <c r="AD988">
        <f>IF(AND($A988&lt;&gt;"",$B988&lt;&gt;"",$R988='تقرير أبريل'!$C$4,$P988='تقرير أبريل'!$C$6),COUNT(AD$4:AD987)+1,"")</f>
        <v/>
      </c>
      <c r="AE988">
        <f>IF(AND($A988&lt;&gt;"",$B988&lt;&gt;"",$R988='تقرير مايو'!$C$4,$P988='تقرير مايو'!$C$6),COUNT(AE$4:AE987)+1,"")</f>
        <v/>
      </c>
    </row>
    <row r="989">
      <c r="A989" s="16" t="n"/>
      <c r="B989" s="17" t="n"/>
      <c r="C989" s="17" t="n"/>
      <c r="D989" s="18" t="n"/>
      <c r="E989" s="17" t="n"/>
      <c r="F989" s="17" t="n"/>
      <c r="G989" s="19" t="n"/>
      <c r="H989" s="17" t="n"/>
      <c r="I989" s="17" t="n"/>
      <c r="J989" s="17" t="n"/>
      <c r="K989" s="20">
        <f>IF($B989="","",IFERROR(INDEX(الموظفات!$A$5:$A$304,MATCH($B989,الموظفات!$B$5:$B$304,0))&amp;"",""))</f>
        <v/>
      </c>
      <c r="L989" s="21">
        <f>IF($B989="","",IFERROR(INDEX(الموظفات!$C$5:$C$304,MATCH($B989,الموظفات!$B$5:$B$304,0))&amp;"",""))</f>
        <v/>
      </c>
      <c r="M989" s="20">
        <f>IF($B989="","",IFERROR(INDEX(الموظفات!$D$5:$D$304,MATCH($B989,الموظفات!$B$5:$B$304,0))&amp;"",""))</f>
        <v/>
      </c>
      <c r="N989" s="20">
        <f>IF($B989="","",IFERROR(INDEX(الموظفات!$E$5:$E$304,MATCH($B989,الموظفات!$B$5:$B$304,0))&amp;"",""))</f>
        <v/>
      </c>
      <c r="O989" s="21">
        <f>IF(C989="","",IFERROR(INDEX(الإعدادات!$D$7:$D$35,MATCH(C989,الإعدادات!$A$7:$A$35,0))&amp;"",""))</f>
        <v/>
      </c>
      <c r="P989" s="20">
        <f>IF(A989="","",INDEX(الإعدادات!$H$7:$H$18,MONTH(A989)))</f>
        <v/>
      </c>
      <c r="Q989" s="20">
        <f>IF(A989="","",INDEX(الإعدادات!$I$7:$I$18,MONTH(A989)))</f>
        <v/>
      </c>
      <c r="R989" s="20">
        <f>IF(A989="","",IF(MONTH(A989)&gt;=8,YEAR(A989)&amp;"-"&amp;(YEAR(A989)+1),(YEAR(A989)-1)&amp;"-"&amp;YEAR(A989)))</f>
        <v/>
      </c>
      <c r="S989" s="20">
        <f>IF(OR(A989="",B989=""),0,IF(AND(R989=التقارير!$C$4,OR(التقارير!$C$5="سنوي",AND(التقارير!$C$5="شهري",P989=التقارير!$C$6),AND(التقارير!$C$5="فصلي",Q989=التقارير!$C$7))),1,0))</f>
        <v/>
      </c>
      <c r="T989" s="20">
        <f>IF(S989=1,COUNTIF($S$5:S989,1),"")</f>
        <v/>
      </c>
      <c r="U989">
        <f>IF(AND($A989&lt;&gt;"",$B989&lt;&gt;"",$R989='تقرير الفصل الأول'!$C$4,$Q989='تقرير الفصل الأول'!$C$7),COUNT(U$4:U988)+1,"")</f>
        <v/>
      </c>
      <c r="V989">
        <f>IF(AND($A989&lt;&gt;"",$B989&lt;&gt;"",$R989='تقرير الفصل الثاني'!$C$4,$Q989='تقرير الفصل الثاني'!$C$7),COUNT(V$4:V988)+1,"")</f>
        <v/>
      </c>
      <c r="W989">
        <f>IF(AND($A989&lt;&gt;"",$B989&lt;&gt;"",$R989='تقرير سبتمبر'!$C$4,$P989='تقرير سبتمبر'!$C$6),COUNT(W$4:W988)+1,"")</f>
        <v/>
      </c>
      <c r="X989">
        <f>IF(AND($A989&lt;&gt;"",$B989&lt;&gt;"",$R989='تقرير أكتوبر'!$C$4,$P989='تقرير أكتوبر'!$C$6),COUNT(X$4:X988)+1,"")</f>
        <v/>
      </c>
      <c r="Y989">
        <f>IF(AND($A989&lt;&gt;"",$B989&lt;&gt;"",$R989='تقرير نوفمبر'!$C$4,$P989='تقرير نوفمبر'!$C$6),COUNT(Y$4:Y988)+1,"")</f>
        <v/>
      </c>
      <c r="Z989">
        <f>IF(AND($A989&lt;&gt;"",$B989&lt;&gt;"",$R989='تقرير ديسمبر'!$C$4,$P989='تقرير ديسمبر'!$C$6),COUNT(Z$4:Z988)+1,"")</f>
        <v/>
      </c>
      <c r="AA989">
        <f>IF(AND($A989&lt;&gt;"",$B989&lt;&gt;"",$R989='تقرير يناير'!$C$4,$P989='تقرير يناير'!$C$6),COUNT(AA$4:AA988)+1,"")</f>
        <v/>
      </c>
      <c r="AB989">
        <f>IF(AND($A989&lt;&gt;"",$B989&lt;&gt;"",$R989='تقرير فبراير'!$C$4,$P989='تقرير فبراير'!$C$6),COUNT(AB$4:AB988)+1,"")</f>
        <v/>
      </c>
      <c r="AC989">
        <f>IF(AND($A989&lt;&gt;"",$B989&lt;&gt;"",$R989='تقرير مارس'!$C$4,$P989='تقرير مارس'!$C$6),COUNT(AC$4:AC988)+1,"")</f>
        <v/>
      </c>
      <c r="AD989">
        <f>IF(AND($A989&lt;&gt;"",$B989&lt;&gt;"",$R989='تقرير أبريل'!$C$4,$P989='تقرير أبريل'!$C$6),COUNT(AD$4:AD988)+1,"")</f>
        <v/>
      </c>
      <c r="AE989">
        <f>IF(AND($A989&lt;&gt;"",$B989&lt;&gt;"",$R989='تقرير مايو'!$C$4,$P989='تقرير مايو'!$C$6),COUNT(AE$4:AE988)+1,"")</f>
        <v/>
      </c>
    </row>
    <row r="990">
      <c r="A990" s="16" t="n"/>
      <c r="B990" s="17" t="n"/>
      <c r="C990" s="17" t="n"/>
      <c r="D990" s="18" t="n"/>
      <c r="E990" s="17" t="n"/>
      <c r="F990" s="17" t="n"/>
      <c r="G990" s="19" t="n"/>
      <c r="H990" s="17" t="n"/>
      <c r="I990" s="17" t="n"/>
      <c r="J990" s="17" t="n"/>
      <c r="K990" s="20">
        <f>IF($B990="","",IFERROR(INDEX(الموظفات!$A$5:$A$304,MATCH($B990,الموظفات!$B$5:$B$304,0))&amp;"",""))</f>
        <v/>
      </c>
      <c r="L990" s="21">
        <f>IF($B990="","",IFERROR(INDEX(الموظفات!$C$5:$C$304,MATCH($B990,الموظفات!$B$5:$B$304,0))&amp;"",""))</f>
        <v/>
      </c>
      <c r="M990" s="20">
        <f>IF($B990="","",IFERROR(INDEX(الموظفات!$D$5:$D$304,MATCH($B990,الموظفات!$B$5:$B$304,0))&amp;"",""))</f>
        <v/>
      </c>
      <c r="N990" s="20">
        <f>IF($B990="","",IFERROR(INDEX(الموظفات!$E$5:$E$304,MATCH($B990,الموظفات!$B$5:$B$304,0))&amp;"",""))</f>
        <v/>
      </c>
      <c r="O990" s="21">
        <f>IF(C990="","",IFERROR(INDEX(الإعدادات!$D$7:$D$35,MATCH(C990,الإعدادات!$A$7:$A$35,0))&amp;"",""))</f>
        <v/>
      </c>
      <c r="P990" s="20">
        <f>IF(A990="","",INDEX(الإعدادات!$H$7:$H$18,MONTH(A990)))</f>
        <v/>
      </c>
      <c r="Q990" s="20">
        <f>IF(A990="","",INDEX(الإعدادات!$I$7:$I$18,MONTH(A990)))</f>
        <v/>
      </c>
      <c r="R990" s="20">
        <f>IF(A990="","",IF(MONTH(A990)&gt;=8,YEAR(A990)&amp;"-"&amp;(YEAR(A990)+1),(YEAR(A990)-1)&amp;"-"&amp;YEAR(A990)))</f>
        <v/>
      </c>
      <c r="S990" s="20">
        <f>IF(OR(A990="",B990=""),0,IF(AND(R990=التقارير!$C$4,OR(التقارير!$C$5="سنوي",AND(التقارير!$C$5="شهري",P990=التقارير!$C$6),AND(التقارير!$C$5="فصلي",Q990=التقارير!$C$7))),1,0))</f>
        <v/>
      </c>
      <c r="T990" s="20">
        <f>IF(S990=1,COUNTIF($S$5:S990,1),"")</f>
        <v/>
      </c>
      <c r="U990">
        <f>IF(AND($A990&lt;&gt;"",$B990&lt;&gt;"",$R990='تقرير الفصل الأول'!$C$4,$Q990='تقرير الفصل الأول'!$C$7),COUNT(U$4:U989)+1,"")</f>
        <v/>
      </c>
      <c r="V990">
        <f>IF(AND($A990&lt;&gt;"",$B990&lt;&gt;"",$R990='تقرير الفصل الثاني'!$C$4,$Q990='تقرير الفصل الثاني'!$C$7),COUNT(V$4:V989)+1,"")</f>
        <v/>
      </c>
      <c r="W990">
        <f>IF(AND($A990&lt;&gt;"",$B990&lt;&gt;"",$R990='تقرير سبتمبر'!$C$4,$P990='تقرير سبتمبر'!$C$6),COUNT(W$4:W989)+1,"")</f>
        <v/>
      </c>
      <c r="X990">
        <f>IF(AND($A990&lt;&gt;"",$B990&lt;&gt;"",$R990='تقرير أكتوبر'!$C$4,$P990='تقرير أكتوبر'!$C$6),COUNT(X$4:X989)+1,"")</f>
        <v/>
      </c>
      <c r="Y990">
        <f>IF(AND($A990&lt;&gt;"",$B990&lt;&gt;"",$R990='تقرير نوفمبر'!$C$4,$P990='تقرير نوفمبر'!$C$6),COUNT(Y$4:Y989)+1,"")</f>
        <v/>
      </c>
      <c r="Z990">
        <f>IF(AND($A990&lt;&gt;"",$B990&lt;&gt;"",$R990='تقرير ديسمبر'!$C$4,$P990='تقرير ديسمبر'!$C$6),COUNT(Z$4:Z989)+1,"")</f>
        <v/>
      </c>
      <c r="AA990">
        <f>IF(AND($A990&lt;&gt;"",$B990&lt;&gt;"",$R990='تقرير يناير'!$C$4,$P990='تقرير يناير'!$C$6),COUNT(AA$4:AA989)+1,"")</f>
        <v/>
      </c>
      <c r="AB990">
        <f>IF(AND($A990&lt;&gt;"",$B990&lt;&gt;"",$R990='تقرير فبراير'!$C$4,$P990='تقرير فبراير'!$C$6),COUNT(AB$4:AB989)+1,"")</f>
        <v/>
      </c>
      <c r="AC990">
        <f>IF(AND($A990&lt;&gt;"",$B990&lt;&gt;"",$R990='تقرير مارس'!$C$4,$P990='تقرير مارس'!$C$6),COUNT(AC$4:AC989)+1,"")</f>
        <v/>
      </c>
      <c r="AD990">
        <f>IF(AND($A990&lt;&gt;"",$B990&lt;&gt;"",$R990='تقرير أبريل'!$C$4,$P990='تقرير أبريل'!$C$6),COUNT(AD$4:AD989)+1,"")</f>
        <v/>
      </c>
      <c r="AE990">
        <f>IF(AND($A990&lt;&gt;"",$B990&lt;&gt;"",$R990='تقرير مايو'!$C$4,$P990='تقرير مايو'!$C$6),COUNT(AE$4:AE989)+1,"")</f>
        <v/>
      </c>
    </row>
    <row r="991">
      <c r="A991" s="16" t="n"/>
      <c r="B991" s="17" t="n"/>
      <c r="C991" s="17" t="n"/>
      <c r="D991" s="18" t="n"/>
      <c r="E991" s="17" t="n"/>
      <c r="F991" s="17" t="n"/>
      <c r="G991" s="19" t="n"/>
      <c r="H991" s="17" t="n"/>
      <c r="I991" s="17" t="n"/>
      <c r="J991" s="17" t="n"/>
      <c r="K991" s="20">
        <f>IF($B991="","",IFERROR(INDEX(الموظفات!$A$5:$A$304,MATCH($B991,الموظفات!$B$5:$B$304,0))&amp;"",""))</f>
        <v/>
      </c>
      <c r="L991" s="21">
        <f>IF($B991="","",IFERROR(INDEX(الموظفات!$C$5:$C$304,MATCH($B991,الموظفات!$B$5:$B$304,0))&amp;"",""))</f>
        <v/>
      </c>
      <c r="M991" s="20">
        <f>IF($B991="","",IFERROR(INDEX(الموظفات!$D$5:$D$304,MATCH($B991,الموظفات!$B$5:$B$304,0))&amp;"",""))</f>
        <v/>
      </c>
      <c r="N991" s="20">
        <f>IF($B991="","",IFERROR(INDEX(الموظفات!$E$5:$E$304,MATCH($B991,الموظفات!$B$5:$B$304,0))&amp;"",""))</f>
        <v/>
      </c>
      <c r="O991" s="21">
        <f>IF(C991="","",IFERROR(INDEX(الإعدادات!$D$7:$D$35,MATCH(C991,الإعدادات!$A$7:$A$35,0))&amp;"",""))</f>
        <v/>
      </c>
      <c r="P991" s="20">
        <f>IF(A991="","",INDEX(الإعدادات!$H$7:$H$18,MONTH(A991)))</f>
        <v/>
      </c>
      <c r="Q991" s="20">
        <f>IF(A991="","",INDEX(الإعدادات!$I$7:$I$18,MONTH(A991)))</f>
        <v/>
      </c>
      <c r="R991" s="20">
        <f>IF(A991="","",IF(MONTH(A991)&gt;=8,YEAR(A991)&amp;"-"&amp;(YEAR(A991)+1),(YEAR(A991)-1)&amp;"-"&amp;YEAR(A991)))</f>
        <v/>
      </c>
      <c r="S991" s="20">
        <f>IF(OR(A991="",B991=""),0,IF(AND(R991=التقارير!$C$4,OR(التقارير!$C$5="سنوي",AND(التقارير!$C$5="شهري",P991=التقارير!$C$6),AND(التقارير!$C$5="فصلي",Q991=التقارير!$C$7))),1,0))</f>
        <v/>
      </c>
      <c r="T991" s="20">
        <f>IF(S991=1,COUNTIF($S$5:S991,1),"")</f>
        <v/>
      </c>
      <c r="U991">
        <f>IF(AND($A991&lt;&gt;"",$B991&lt;&gt;"",$R991='تقرير الفصل الأول'!$C$4,$Q991='تقرير الفصل الأول'!$C$7),COUNT(U$4:U990)+1,"")</f>
        <v/>
      </c>
      <c r="V991">
        <f>IF(AND($A991&lt;&gt;"",$B991&lt;&gt;"",$R991='تقرير الفصل الثاني'!$C$4,$Q991='تقرير الفصل الثاني'!$C$7),COUNT(V$4:V990)+1,"")</f>
        <v/>
      </c>
      <c r="W991">
        <f>IF(AND($A991&lt;&gt;"",$B991&lt;&gt;"",$R991='تقرير سبتمبر'!$C$4,$P991='تقرير سبتمبر'!$C$6),COUNT(W$4:W990)+1,"")</f>
        <v/>
      </c>
      <c r="X991">
        <f>IF(AND($A991&lt;&gt;"",$B991&lt;&gt;"",$R991='تقرير أكتوبر'!$C$4,$P991='تقرير أكتوبر'!$C$6),COUNT(X$4:X990)+1,"")</f>
        <v/>
      </c>
      <c r="Y991">
        <f>IF(AND($A991&lt;&gt;"",$B991&lt;&gt;"",$R991='تقرير نوفمبر'!$C$4,$P991='تقرير نوفمبر'!$C$6),COUNT(Y$4:Y990)+1,"")</f>
        <v/>
      </c>
      <c r="Z991">
        <f>IF(AND($A991&lt;&gt;"",$B991&lt;&gt;"",$R991='تقرير ديسمبر'!$C$4,$P991='تقرير ديسمبر'!$C$6),COUNT(Z$4:Z990)+1,"")</f>
        <v/>
      </c>
      <c r="AA991">
        <f>IF(AND($A991&lt;&gt;"",$B991&lt;&gt;"",$R991='تقرير يناير'!$C$4,$P991='تقرير يناير'!$C$6),COUNT(AA$4:AA990)+1,"")</f>
        <v/>
      </c>
      <c r="AB991">
        <f>IF(AND($A991&lt;&gt;"",$B991&lt;&gt;"",$R991='تقرير فبراير'!$C$4,$P991='تقرير فبراير'!$C$6),COUNT(AB$4:AB990)+1,"")</f>
        <v/>
      </c>
      <c r="AC991">
        <f>IF(AND($A991&lt;&gt;"",$B991&lt;&gt;"",$R991='تقرير مارس'!$C$4,$P991='تقرير مارس'!$C$6),COUNT(AC$4:AC990)+1,"")</f>
        <v/>
      </c>
      <c r="AD991">
        <f>IF(AND($A991&lt;&gt;"",$B991&lt;&gt;"",$R991='تقرير أبريل'!$C$4,$P991='تقرير أبريل'!$C$6),COUNT(AD$4:AD990)+1,"")</f>
        <v/>
      </c>
      <c r="AE991">
        <f>IF(AND($A991&lt;&gt;"",$B991&lt;&gt;"",$R991='تقرير مايو'!$C$4,$P991='تقرير مايو'!$C$6),COUNT(AE$4:AE990)+1,"")</f>
        <v/>
      </c>
    </row>
    <row r="992">
      <c r="A992" s="16" t="n"/>
      <c r="B992" s="17" t="n"/>
      <c r="C992" s="17" t="n"/>
      <c r="D992" s="18" t="n"/>
      <c r="E992" s="17" t="n"/>
      <c r="F992" s="17" t="n"/>
      <c r="G992" s="19" t="n"/>
      <c r="H992" s="17" t="n"/>
      <c r="I992" s="17" t="n"/>
      <c r="J992" s="17" t="n"/>
      <c r="K992" s="20">
        <f>IF($B992="","",IFERROR(INDEX(الموظفات!$A$5:$A$304,MATCH($B992,الموظفات!$B$5:$B$304,0))&amp;"",""))</f>
        <v/>
      </c>
      <c r="L992" s="21">
        <f>IF($B992="","",IFERROR(INDEX(الموظفات!$C$5:$C$304,MATCH($B992,الموظفات!$B$5:$B$304,0))&amp;"",""))</f>
        <v/>
      </c>
      <c r="M992" s="20">
        <f>IF($B992="","",IFERROR(INDEX(الموظفات!$D$5:$D$304,MATCH($B992,الموظفات!$B$5:$B$304,0))&amp;"",""))</f>
        <v/>
      </c>
      <c r="N992" s="20">
        <f>IF($B992="","",IFERROR(INDEX(الموظفات!$E$5:$E$304,MATCH($B992,الموظفات!$B$5:$B$304,0))&amp;"",""))</f>
        <v/>
      </c>
      <c r="O992" s="21">
        <f>IF(C992="","",IFERROR(INDEX(الإعدادات!$D$7:$D$35,MATCH(C992,الإعدادات!$A$7:$A$35,0))&amp;"",""))</f>
        <v/>
      </c>
      <c r="P992" s="20">
        <f>IF(A992="","",INDEX(الإعدادات!$H$7:$H$18,MONTH(A992)))</f>
        <v/>
      </c>
      <c r="Q992" s="20">
        <f>IF(A992="","",INDEX(الإعدادات!$I$7:$I$18,MONTH(A992)))</f>
        <v/>
      </c>
      <c r="R992" s="20">
        <f>IF(A992="","",IF(MONTH(A992)&gt;=8,YEAR(A992)&amp;"-"&amp;(YEAR(A992)+1),(YEAR(A992)-1)&amp;"-"&amp;YEAR(A992)))</f>
        <v/>
      </c>
      <c r="S992" s="20">
        <f>IF(OR(A992="",B992=""),0,IF(AND(R992=التقارير!$C$4,OR(التقارير!$C$5="سنوي",AND(التقارير!$C$5="شهري",P992=التقارير!$C$6),AND(التقارير!$C$5="فصلي",Q992=التقارير!$C$7))),1,0))</f>
        <v/>
      </c>
      <c r="T992" s="20">
        <f>IF(S992=1,COUNTIF($S$5:S992,1),"")</f>
        <v/>
      </c>
      <c r="U992">
        <f>IF(AND($A992&lt;&gt;"",$B992&lt;&gt;"",$R992='تقرير الفصل الأول'!$C$4,$Q992='تقرير الفصل الأول'!$C$7),COUNT(U$4:U991)+1,"")</f>
        <v/>
      </c>
      <c r="V992">
        <f>IF(AND($A992&lt;&gt;"",$B992&lt;&gt;"",$R992='تقرير الفصل الثاني'!$C$4,$Q992='تقرير الفصل الثاني'!$C$7),COUNT(V$4:V991)+1,"")</f>
        <v/>
      </c>
      <c r="W992">
        <f>IF(AND($A992&lt;&gt;"",$B992&lt;&gt;"",$R992='تقرير سبتمبر'!$C$4,$P992='تقرير سبتمبر'!$C$6),COUNT(W$4:W991)+1,"")</f>
        <v/>
      </c>
      <c r="X992">
        <f>IF(AND($A992&lt;&gt;"",$B992&lt;&gt;"",$R992='تقرير أكتوبر'!$C$4,$P992='تقرير أكتوبر'!$C$6),COUNT(X$4:X991)+1,"")</f>
        <v/>
      </c>
      <c r="Y992">
        <f>IF(AND($A992&lt;&gt;"",$B992&lt;&gt;"",$R992='تقرير نوفمبر'!$C$4,$P992='تقرير نوفمبر'!$C$6),COUNT(Y$4:Y991)+1,"")</f>
        <v/>
      </c>
      <c r="Z992">
        <f>IF(AND($A992&lt;&gt;"",$B992&lt;&gt;"",$R992='تقرير ديسمبر'!$C$4,$P992='تقرير ديسمبر'!$C$6),COUNT(Z$4:Z991)+1,"")</f>
        <v/>
      </c>
      <c r="AA992">
        <f>IF(AND($A992&lt;&gt;"",$B992&lt;&gt;"",$R992='تقرير يناير'!$C$4,$P992='تقرير يناير'!$C$6),COUNT(AA$4:AA991)+1,"")</f>
        <v/>
      </c>
      <c r="AB992">
        <f>IF(AND($A992&lt;&gt;"",$B992&lt;&gt;"",$R992='تقرير فبراير'!$C$4,$P992='تقرير فبراير'!$C$6),COUNT(AB$4:AB991)+1,"")</f>
        <v/>
      </c>
      <c r="AC992">
        <f>IF(AND($A992&lt;&gt;"",$B992&lt;&gt;"",$R992='تقرير مارس'!$C$4,$P992='تقرير مارس'!$C$6),COUNT(AC$4:AC991)+1,"")</f>
        <v/>
      </c>
      <c r="AD992">
        <f>IF(AND($A992&lt;&gt;"",$B992&lt;&gt;"",$R992='تقرير أبريل'!$C$4,$P992='تقرير أبريل'!$C$6),COUNT(AD$4:AD991)+1,"")</f>
        <v/>
      </c>
      <c r="AE992">
        <f>IF(AND($A992&lt;&gt;"",$B992&lt;&gt;"",$R992='تقرير مايو'!$C$4,$P992='تقرير مايو'!$C$6),COUNT(AE$4:AE991)+1,"")</f>
        <v/>
      </c>
    </row>
    <row r="993">
      <c r="A993" s="16" t="n"/>
      <c r="B993" s="17" t="n"/>
      <c r="C993" s="17" t="n"/>
      <c r="D993" s="18" t="n"/>
      <c r="E993" s="17" t="n"/>
      <c r="F993" s="17" t="n"/>
      <c r="G993" s="19" t="n"/>
      <c r="H993" s="17" t="n"/>
      <c r="I993" s="17" t="n"/>
      <c r="J993" s="17" t="n"/>
      <c r="K993" s="20">
        <f>IF($B993="","",IFERROR(INDEX(الموظفات!$A$5:$A$304,MATCH($B993,الموظفات!$B$5:$B$304,0))&amp;"",""))</f>
        <v/>
      </c>
      <c r="L993" s="21">
        <f>IF($B993="","",IFERROR(INDEX(الموظفات!$C$5:$C$304,MATCH($B993,الموظفات!$B$5:$B$304,0))&amp;"",""))</f>
        <v/>
      </c>
      <c r="M993" s="20">
        <f>IF($B993="","",IFERROR(INDEX(الموظفات!$D$5:$D$304,MATCH($B993,الموظفات!$B$5:$B$304,0))&amp;"",""))</f>
        <v/>
      </c>
      <c r="N993" s="20">
        <f>IF($B993="","",IFERROR(INDEX(الموظفات!$E$5:$E$304,MATCH($B993,الموظفات!$B$5:$B$304,0))&amp;"",""))</f>
        <v/>
      </c>
      <c r="O993" s="21">
        <f>IF(C993="","",IFERROR(INDEX(الإعدادات!$D$7:$D$35,MATCH(C993,الإعدادات!$A$7:$A$35,0))&amp;"",""))</f>
        <v/>
      </c>
      <c r="P993" s="20">
        <f>IF(A993="","",INDEX(الإعدادات!$H$7:$H$18,MONTH(A993)))</f>
        <v/>
      </c>
      <c r="Q993" s="20">
        <f>IF(A993="","",INDEX(الإعدادات!$I$7:$I$18,MONTH(A993)))</f>
        <v/>
      </c>
      <c r="R993" s="20">
        <f>IF(A993="","",IF(MONTH(A993)&gt;=8,YEAR(A993)&amp;"-"&amp;(YEAR(A993)+1),(YEAR(A993)-1)&amp;"-"&amp;YEAR(A993)))</f>
        <v/>
      </c>
      <c r="S993" s="20">
        <f>IF(OR(A993="",B993=""),0,IF(AND(R993=التقارير!$C$4,OR(التقارير!$C$5="سنوي",AND(التقارير!$C$5="شهري",P993=التقارير!$C$6),AND(التقارير!$C$5="فصلي",Q993=التقارير!$C$7))),1,0))</f>
        <v/>
      </c>
      <c r="T993" s="20">
        <f>IF(S993=1,COUNTIF($S$5:S993,1),"")</f>
        <v/>
      </c>
      <c r="U993">
        <f>IF(AND($A993&lt;&gt;"",$B993&lt;&gt;"",$R993='تقرير الفصل الأول'!$C$4,$Q993='تقرير الفصل الأول'!$C$7),COUNT(U$4:U992)+1,"")</f>
        <v/>
      </c>
      <c r="V993">
        <f>IF(AND($A993&lt;&gt;"",$B993&lt;&gt;"",$R993='تقرير الفصل الثاني'!$C$4,$Q993='تقرير الفصل الثاني'!$C$7),COUNT(V$4:V992)+1,"")</f>
        <v/>
      </c>
      <c r="W993">
        <f>IF(AND($A993&lt;&gt;"",$B993&lt;&gt;"",$R993='تقرير سبتمبر'!$C$4,$P993='تقرير سبتمبر'!$C$6),COUNT(W$4:W992)+1,"")</f>
        <v/>
      </c>
      <c r="X993">
        <f>IF(AND($A993&lt;&gt;"",$B993&lt;&gt;"",$R993='تقرير أكتوبر'!$C$4,$P993='تقرير أكتوبر'!$C$6),COUNT(X$4:X992)+1,"")</f>
        <v/>
      </c>
      <c r="Y993">
        <f>IF(AND($A993&lt;&gt;"",$B993&lt;&gt;"",$R993='تقرير نوفمبر'!$C$4,$P993='تقرير نوفمبر'!$C$6),COUNT(Y$4:Y992)+1,"")</f>
        <v/>
      </c>
      <c r="Z993">
        <f>IF(AND($A993&lt;&gt;"",$B993&lt;&gt;"",$R993='تقرير ديسمبر'!$C$4,$P993='تقرير ديسمبر'!$C$6),COUNT(Z$4:Z992)+1,"")</f>
        <v/>
      </c>
      <c r="AA993">
        <f>IF(AND($A993&lt;&gt;"",$B993&lt;&gt;"",$R993='تقرير يناير'!$C$4,$P993='تقرير يناير'!$C$6),COUNT(AA$4:AA992)+1,"")</f>
        <v/>
      </c>
      <c r="AB993">
        <f>IF(AND($A993&lt;&gt;"",$B993&lt;&gt;"",$R993='تقرير فبراير'!$C$4,$P993='تقرير فبراير'!$C$6),COUNT(AB$4:AB992)+1,"")</f>
        <v/>
      </c>
      <c r="AC993">
        <f>IF(AND($A993&lt;&gt;"",$B993&lt;&gt;"",$R993='تقرير مارس'!$C$4,$P993='تقرير مارس'!$C$6),COUNT(AC$4:AC992)+1,"")</f>
        <v/>
      </c>
      <c r="AD993">
        <f>IF(AND($A993&lt;&gt;"",$B993&lt;&gt;"",$R993='تقرير أبريل'!$C$4,$P993='تقرير أبريل'!$C$6),COUNT(AD$4:AD992)+1,"")</f>
        <v/>
      </c>
      <c r="AE993">
        <f>IF(AND($A993&lt;&gt;"",$B993&lt;&gt;"",$R993='تقرير مايو'!$C$4,$P993='تقرير مايو'!$C$6),COUNT(AE$4:AE992)+1,"")</f>
        <v/>
      </c>
    </row>
    <row r="994">
      <c r="A994" s="16" t="n"/>
      <c r="B994" s="17" t="n"/>
      <c r="C994" s="17" t="n"/>
      <c r="D994" s="18" t="n"/>
      <c r="E994" s="17" t="n"/>
      <c r="F994" s="17" t="n"/>
      <c r="G994" s="19" t="n"/>
      <c r="H994" s="17" t="n"/>
      <c r="I994" s="17" t="n"/>
      <c r="J994" s="17" t="n"/>
      <c r="K994" s="20">
        <f>IF($B994="","",IFERROR(INDEX(الموظفات!$A$5:$A$304,MATCH($B994,الموظفات!$B$5:$B$304,0))&amp;"",""))</f>
        <v/>
      </c>
      <c r="L994" s="21">
        <f>IF($B994="","",IFERROR(INDEX(الموظفات!$C$5:$C$304,MATCH($B994,الموظفات!$B$5:$B$304,0))&amp;"",""))</f>
        <v/>
      </c>
      <c r="M994" s="20">
        <f>IF($B994="","",IFERROR(INDEX(الموظفات!$D$5:$D$304,MATCH($B994,الموظفات!$B$5:$B$304,0))&amp;"",""))</f>
        <v/>
      </c>
      <c r="N994" s="20">
        <f>IF($B994="","",IFERROR(INDEX(الموظفات!$E$5:$E$304,MATCH($B994,الموظفات!$B$5:$B$304,0))&amp;"",""))</f>
        <v/>
      </c>
      <c r="O994" s="21">
        <f>IF(C994="","",IFERROR(INDEX(الإعدادات!$D$7:$D$35,MATCH(C994,الإعدادات!$A$7:$A$35,0))&amp;"",""))</f>
        <v/>
      </c>
      <c r="P994" s="20">
        <f>IF(A994="","",INDEX(الإعدادات!$H$7:$H$18,MONTH(A994)))</f>
        <v/>
      </c>
      <c r="Q994" s="20">
        <f>IF(A994="","",INDEX(الإعدادات!$I$7:$I$18,MONTH(A994)))</f>
        <v/>
      </c>
      <c r="R994" s="20">
        <f>IF(A994="","",IF(MONTH(A994)&gt;=8,YEAR(A994)&amp;"-"&amp;(YEAR(A994)+1),(YEAR(A994)-1)&amp;"-"&amp;YEAR(A994)))</f>
        <v/>
      </c>
      <c r="S994" s="20">
        <f>IF(OR(A994="",B994=""),0,IF(AND(R994=التقارير!$C$4,OR(التقارير!$C$5="سنوي",AND(التقارير!$C$5="شهري",P994=التقارير!$C$6),AND(التقارير!$C$5="فصلي",Q994=التقارير!$C$7))),1,0))</f>
        <v/>
      </c>
      <c r="T994" s="20">
        <f>IF(S994=1,COUNTIF($S$5:S994,1),"")</f>
        <v/>
      </c>
      <c r="U994">
        <f>IF(AND($A994&lt;&gt;"",$B994&lt;&gt;"",$R994='تقرير الفصل الأول'!$C$4,$Q994='تقرير الفصل الأول'!$C$7),COUNT(U$4:U993)+1,"")</f>
        <v/>
      </c>
      <c r="V994">
        <f>IF(AND($A994&lt;&gt;"",$B994&lt;&gt;"",$R994='تقرير الفصل الثاني'!$C$4,$Q994='تقرير الفصل الثاني'!$C$7),COUNT(V$4:V993)+1,"")</f>
        <v/>
      </c>
      <c r="W994">
        <f>IF(AND($A994&lt;&gt;"",$B994&lt;&gt;"",$R994='تقرير سبتمبر'!$C$4,$P994='تقرير سبتمبر'!$C$6),COUNT(W$4:W993)+1,"")</f>
        <v/>
      </c>
      <c r="X994">
        <f>IF(AND($A994&lt;&gt;"",$B994&lt;&gt;"",$R994='تقرير أكتوبر'!$C$4,$P994='تقرير أكتوبر'!$C$6),COUNT(X$4:X993)+1,"")</f>
        <v/>
      </c>
      <c r="Y994">
        <f>IF(AND($A994&lt;&gt;"",$B994&lt;&gt;"",$R994='تقرير نوفمبر'!$C$4,$P994='تقرير نوفمبر'!$C$6),COUNT(Y$4:Y993)+1,"")</f>
        <v/>
      </c>
      <c r="Z994">
        <f>IF(AND($A994&lt;&gt;"",$B994&lt;&gt;"",$R994='تقرير ديسمبر'!$C$4,$P994='تقرير ديسمبر'!$C$6),COUNT(Z$4:Z993)+1,"")</f>
        <v/>
      </c>
      <c r="AA994">
        <f>IF(AND($A994&lt;&gt;"",$B994&lt;&gt;"",$R994='تقرير يناير'!$C$4,$P994='تقرير يناير'!$C$6),COUNT(AA$4:AA993)+1,"")</f>
        <v/>
      </c>
      <c r="AB994">
        <f>IF(AND($A994&lt;&gt;"",$B994&lt;&gt;"",$R994='تقرير فبراير'!$C$4,$P994='تقرير فبراير'!$C$6),COUNT(AB$4:AB993)+1,"")</f>
        <v/>
      </c>
      <c r="AC994">
        <f>IF(AND($A994&lt;&gt;"",$B994&lt;&gt;"",$R994='تقرير مارس'!$C$4,$P994='تقرير مارس'!$C$6),COUNT(AC$4:AC993)+1,"")</f>
        <v/>
      </c>
      <c r="AD994">
        <f>IF(AND($A994&lt;&gt;"",$B994&lt;&gt;"",$R994='تقرير أبريل'!$C$4,$P994='تقرير أبريل'!$C$6),COUNT(AD$4:AD993)+1,"")</f>
        <v/>
      </c>
      <c r="AE994">
        <f>IF(AND($A994&lt;&gt;"",$B994&lt;&gt;"",$R994='تقرير مايو'!$C$4,$P994='تقرير مايو'!$C$6),COUNT(AE$4:AE993)+1,"")</f>
        <v/>
      </c>
    </row>
    <row r="995">
      <c r="A995" s="16" t="n"/>
      <c r="B995" s="17" t="n"/>
      <c r="C995" s="17" t="n"/>
      <c r="D995" s="18" t="n"/>
      <c r="E995" s="17" t="n"/>
      <c r="F995" s="17" t="n"/>
      <c r="G995" s="19" t="n"/>
      <c r="H995" s="17" t="n"/>
      <c r="I995" s="17" t="n"/>
      <c r="J995" s="17" t="n"/>
      <c r="K995" s="20">
        <f>IF($B995="","",IFERROR(INDEX(الموظفات!$A$5:$A$304,MATCH($B995,الموظفات!$B$5:$B$304,0))&amp;"",""))</f>
        <v/>
      </c>
      <c r="L995" s="21">
        <f>IF($B995="","",IFERROR(INDEX(الموظفات!$C$5:$C$304,MATCH($B995,الموظفات!$B$5:$B$304,0))&amp;"",""))</f>
        <v/>
      </c>
      <c r="M995" s="20">
        <f>IF($B995="","",IFERROR(INDEX(الموظفات!$D$5:$D$304,MATCH($B995,الموظفات!$B$5:$B$304,0))&amp;"",""))</f>
        <v/>
      </c>
      <c r="N995" s="20">
        <f>IF($B995="","",IFERROR(INDEX(الموظفات!$E$5:$E$304,MATCH($B995,الموظفات!$B$5:$B$304,0))&amp;"",""))</f>
        <v/>
      </c>
      <c r="O995" s="21">
        <f>IF(C995="","",IFERROR(INDEX(الإعدادات!$D$7:$D$35,MATCH(C995,الإعدادات!$A$7:$A$35,0))&amp;"",""))</f>
        <v/>
      </c>
      <c r="P995" s="20">
        <f>IF(A995="","",INDEX(الإعدادات!$H$7:$H$18,MONTH(A995)))</f>
        <v/>
      </c>
      <c r="Q995" s="20">
        <f>IF(A995="","",INDEX(الإعدادات!$I$7:$I$18,MONTH(A995)))</f>
        <v/>
      </c>
      <c r="R995" s="20">
        <f>IF(A995="","",IF(MONTH(A995)&gt;=8,YEAR(A995)&amp;"-"&amp;(YEAR(A995)+1),(YEAR(A995)-1)&amp;"-"&amp;YEAR(A995)))</f>
        <v/>
      </c>
      <c r="S995" s="20">
        <f>IF(OR(A995="",B995=""),0,IF(AND(R995=التقارير!$C$4,OR(التقارير!$C$5="سنوي",AND(التقارير!$C$5="شهري",P995=التقارير!$C$6),AND(التقارير!$C$5="فصلي",Q995=التقارير!$C$7))),1,0))</f>
        <v/>
      </c>
      <c r="T995" s="20">
        <f>IF(S995=1,COUNTIF($S$5:S995,1),"")</f>
        <v/>
      </c>
      <c r="U995">
        <f>IF(AND($A995&lt;&gt;"",$B995&lt;&gt;"",$R995='تقرير الفصل الأول'!$C$4,$Q995='تقرير الفصل الأول'!$C$7),COUNT(U$4:U994)+1,"")</f>
        <v/>
      </c>
      <c r="V995">
        <f>IF(AND($A995&lt;&gt;"",$B995&lt;&gt;"",$R995='تقرير الفصل الثاني'!$C$4,$Q995='تقرير الفصل الثاني'!$C$7),COUNT(V$4:V994)+1,"")</f>
        <v/>
      </c>
      <c r="W995">
        <f>IF(AND($A995&lt;&gt;"",$B995&lt;&gt;"",$R995='تقرير سبتمبر'!$C$4,$P995='تقرير سبتمبر'!$C$6),COUNT(W$4:W994)+1,"")</f>
        <v/>
      </c>
      <c r="X995">
        <f>IF(AND($A995&lt;&gt;"",$B995&lt;&gt;"",$R995='تقرير أكتوبر'!$C$4,$P995='تقرير أكتوبر'!$C$6),COUNT(X$4:X994)+1,"")</f>
        <v/>
      </c>
      <c r="Y995">
        <f>IF(AND($A995&lt;&gt;"",$B995&lt;&gt;"",$R995='تقرير نوفمبر'!$C$4,$P995='تقرير نوفمبر'!$C$6),COUNT(Y$4:Y994)+1,"")</f>
        <v/>
      </c>
      <c r="Z995">
        <f>IF(AND($A995&lt;&gt;"",$B995&lt;&gt;"",$R995='تقرير ديسمبر'!$C$4,$P995='تقرير ديسمبر'!$C$6),COUNT(Z$4:Z994)+1,"")</f>
        <v/>
      </c>
      <c r="AA995">
        <f>IF(AND($A995&lt;&gt;"",$B995&lt;&gt;"",$R995='تقرير يناير'!$C$4,$P995='تقرير يناير'!$C$6),COUNT(AA$4:AA994)+1,"")</f>
        <v/>
      </c>
      <c r="AB995">
        <f>IF(AND($A995&lt;&gt;"",$B995&lt;&gt;"",$R995='تقرير فبراير'!$C$4,$P995='تقرير فبراير'!$C$6),COUNT(AB$4:AB994)+1,"")</f>
        <v/>
      </c>
      <c r="AC995">
        <f>IF(AND($A995&lt;&gt;"",$B995&lt;&gt;"",$R995='تقرير مارس'!$C$4,$P995='تقرير مارس'!$C$6),COUNT(AC$4:AC994)+1,"")</f>
        <v/>
      </c>
      <c r="AD995">
        <f>IF(AND($A995&lt;&gt;"",$B995&lt;&gt;"",$R995='تقرير أبريل'!$C$4,$P995='تقرير أبريل'!$C$6),COUNT(AD$4:AD994)+1,"")</f>
        <v/>
      </c>
      <c r="AE995">
        <f>IF(AND($A995&lt;&gt;"",$B995&lt;&gt;"",$R995='تقرير مايو'!$C$4,$P995='تقرير مايو'!$C$6),COUNT(AE$4:AE994)+1,"")</f>
        <v/>
      </c>
    </row>
    <row r="996">
      <c r="A996" s="16" t="n"/>
      <c r="B996" s="17" t="n"/>
      <c r="C996" s="17" t="n"/>
      <c r="D996" s="18" t="n"/>
      <c r="E996" s="17" t="n"/>
      <c r="F996" s="17" t="n"/>
      <c r="G996" s="19" t="n"/>
      <c r="H996" s="17" t="n"/>
      <c r="I996" s="17" t="n"/>
      <c r="J996" s="17" t="n"/>
      <c r="K996" s="20">
        <f>IF($B996="","",IFERROR(INDEX(الموظفات!$A$5:$A$304,MATCH($B996,الموظفات!$B$5:$B$304,0))&amp;"",""))</f>
        <v/>
      </c>
      <c r="L996" s="21">
        <f>IF($B996="","",IFERROR(INDEX(الموظفات!$C$5:$C$304,MATCH($B996,الموظفات!$B$5:$B$304,0))&amp;"",""))</f>
        <v/>
      </c>
      <c r="M996" s="20">
        <f>IF($B996="","",IFERROR(INDEX(الموظفات!$D$5:$D$304,MATCH($B996,الموظفات!$B$5:$B$304,0))&amp;"",""))</f>
        <v/>
      </c>
      <c r="N996" s="20">
        <f>IF($B996="","",IFERROR(INDEX(الموظفات!$E$5:$E$304,MATCH($B996,الموظفات!$B$5:$B$304,0))&amp;"",""))</f>
        <v/>
      </c>
      <c r="O996" s="21">
        <f>IF(C996="","",IFERROR(INDEX(الإعدادات!$D$7:$D$35,MATCH(C996,الإعدادات!$A$7:$A$35,0))&amp;"",""))</f>
        <v/>
      </c>
      <c r="P996" s="20">
        <f>IF(A996="","",INDEX(الإعدادات!$H$7:$H$18,MONTH(A996)))</f>
        <v/>
      </c>
      <c r="Q996" s="20">
        <f>IF(A996="","",INDEX(الإعدادات!$I$7:$I$18,MONTH(A996)))</f>
        <v/>
      </c>
      <c r="R996" s="20">
        <f>IF(A996="","",IF(MONTH(A996)&gt;=8,YEAR(A996)&amp;"-"&amp;(YEAR(A996)+1),(YEAR(A996)-1)&amp;"-"&amp;YEAR(A996)))</f>
        <v/>
      </c>
      <c r="S996" s="20">
        <f>IF(OR(A996="",B996=""),0,IF(AND(R996=التقارير!$C$4,OR(التقارير!$C$5="سنوي",AND(التقارير!$C$5="شهري",P996=التقارير!$C$6),AND(التقارير!$C$5="فصلي",Q996=التقارير!$C$7))),1,0))</f>
        <v/>
      </c>
      <c r="T996" s="20">
        <f>IF(S996=1,COUNTIF($S$5:S996,1),"")</f>
        <v/>
      </c>
      <c r="U996">
        <f>IF(AND($A996&lt;&gt;"",$B996&lt;&gt;"",$R996='تقرير الفصل الأول'!$C$4,$Q996='تقرير الفصل الأول'!$C$7),COUNT(U$4:U995)+1,"")</f>
        <v/>
      </c>
      <c r="V996">
        <f>IF(AND($A996&lt;&gt;"",$B996&lt;&gt;"",$R996='تقرير الفصل الثاني'!$C$4,$Q996='تقرير الفصل الثاني'!$C$7),COUNT(V$4:V995)+1,"")</f>
        <v/>
      </c>
      <c r="W996">
        <f>IF(AND($A996&lt;&gt;"",$B996&lt;&gt;"",$R996='تقرير سبتمبر'!$C$4,$P996='تقرير سبتمبر'!$C$6),COUNT(W$4:W995)+1,"")</f>
        <v/>
      </c>
      <c r="X996">
        <f>IF(AND($A996&lt;&gt;"",$B996&lt;&gt;"",$R996='تقرير أكتوبر'!$C$4,$P996='تقرير أكتوبر'!$C$6),COUNT(X$4:X995)+1,"")</f>
        <v/>
      </c>
      <c r="Y996">
        <f>IF(AND($A996&lt;&gt;"",$B996&lt;&gt;"",$R996='تقرير نوفمبر'!$C$4,$P996='تقرير نوفمبر'!$C$6),COUNT(Y$4:Y995)+1,"")</f>
        <v/>
      </c>
      <c r="Z996">
        <f>IF(AND($A996&lt;&gt;"",$B996&lt;&gt;"",$R996='تقرير ديسمبر'!$C$4,$P996='تقرير ديسمبر'!$C$6),COUNT(Z$4:Z995)+1,"")</f>
        <v/>
      </c>
      <c r="AA996">
        <f>IF(AND($A996&lt;&gt;"",$B996&lt;&gt;"",$R996='تقرير يناير'!$C$4,$P996='تقرير يناير'!$C$6),COUNT(AA$4:AA995)+1,"")</f>
        <v/>
      </c>
      <c r="AB996">
        <f>IF(AND($A996&lt;&gt;"",$B996&lt;&gt;"",$R996='تقرير فبراير'!$C$4,$P996='تقرير فبراير'!$C$6),COUNT(AB$4:AB995)+1,"")</f>
        <v/>
      </c>
      <c r="AC996">
        <f>IF(AND($A996&lt;&gt;"",$B996&lt;&gt;"",$R996='تقرير مارس'!$C$4,$P996='تقرير مارس'!$C$6),COUNT(AC$4:AC995)+1,"")</f>
        <v/>
      </c>
      <c r="AD996">
        <f>IF(AND($A996&lt;&gt;"",$B996&lt;&gt;"",$R996='تقرير أبريل'!$C$4,$P996='تقرير أبريل'!$C$6),COUNT(AD$4:AD995)+1,"")</f>
        <v/>
      </c>
      <c r="AE996">
        <f>IF(AND($A996&lt;&gt;"",$B996&lt;&gt;"",$R996='تقرير مايو'!$C$4,$P996='تقرير مايو'!$C$6),COUNT(AE$4:AE995)+1,"")</f>
        <v/>
      </c>
    </row>
    <row r="997">
      <c r="A997" s="16" t="n"/>
      <c r="B997" s="17" t="n"/>
      <c r="C997" s="17" t="n"/>
      <c r="D997" s="18" t="n"/>
      <c r="E997" s="17" t="n"/>
      <c r="F997" s="17" t="n"/>
      <c r="G997" s="19" t="n"/>
      <c r="H997" s="17" t="n"/>
      <c r="I997" s="17" t="n"/>
      <c r="J997" s="17" t="n"/>
      <c r="K997" s="20">
        <f>IF($B997="","",IFERROR(INDEX(الموظفات!$A$5:$A$304,MATCH($B997,الموظفات!$B$5:$B$304,0))&amp;"",""))</f>
        <v/>
      </c>
      <c r="L997" s="21">
        <f>IF($B997="","",IFERROR(INDEX(الموظفات!$C$5:$C$304,MATCH($B997,الموظفات!$B$5:$B$304,0))&amp;"",""))</f>
        <v/>
      </c>
      <c r="M997" s="20">
        <f>IF($B997="","",IFERROR(INDEX(الموظفات!$D$5:$D$304,MATCH($B997,الموظفات!$B$5:$B$304,0))&amp;"",""))</f>
        <v/>
      </c>
      <c r="N997" s="20">
        <f>IF($B997="","",IFERROR(INDEX(الموظفات!$E$5:$E$304,MATCH($B997,الموظفات!$B$5:$B$304,0))&amp;"",""))</f>
        <v/>
      </c>
      <c r="O997" s="21">
        <f>IF(C997="","",IFERROR(INDEX(الإعدادات!$D$7:$D$35,MATCH(C997,الإعدادات!$A$7:$A$35,0))&amp;"",""))</f>
        <v/>
      </c>
      <c r="P997" s="20">
        <f>IF(A997="","",INDEX(الإعدادات!$H$7:$H$18,MONTH(A997)))</f>
        <v/>
      </c>
      <c r="Q997" s="20">
        <f>IF(A997="","",INDEX(الإعدادات!$I$7:$I$18,MONTH(A997)))</f>
        <v/>
      </c>
      <c r="R997" s="20">
        <f>IF(A997="","",IF(MONTH(A997)&gt;=8,YEAR(A997)&amp;"-"&amp;(YEAR(A997)+1),(YEAR(A997)-1)&amp;"-"&amp;YEAR(A997)))</f>
        <v/>
      </c>
      <c r="S997" s="20">
        <f>IF(OR(A997="",B997=""),0,IF(AND(R997=التقارير!$C$4,OR(التقارير!$C$5="سنوي",AND(التقارير!$C$5="شهري",P997=التقارير!$C$6),AND(التقارير!$C$5="فصلي",Q997=التقارير!$C$7))),1,0))</f>
        <v/>
      </c>
      <c r="T997" s="20">
        <f>IF(S997=1,COUNTIF($S$5:S997,1),"")</f>
        <v/>
      </c>
      <c r="U997">
        <f>IF(AND($A997&lt;&gt;"",$B997&lt;&gt;"",$R997='تقرير الفصل الأول'!$C$4,$Q997='تقرير الفصل الأول'!$C$7),COUNT(U$4:U996)+1,"")</f>
        <v/>
      </c>
      <c r="V997">
        <f>IF(AND($A997&lt;&gt;"",$B997&lt;&gt;"",$R997='تقرير الفصل الثاني'!$C$4,$Q997='تقرير الفصل الثاني'!$C$7),COUNT(V$4:V996)+1,"")</f>
        <v/>
      </c>
      <c r="W997">
        <f>IF(AND($A997&lt;&gt;"",$B997&lt;&gt;"",$R997='تقرير سبتمبر'!$C$4,$P997='تقرير سبتمبر'!$C$6),COUNT(W$4:W996)+1,"")</f>
        <v/>
      </c>
      <c r="X997">
        <f>IF(AND($A997&lt;&gt;"",$B997&lt;&gt;"",$R997='تقرير أكتوبر'!$C$4,$P997='تقرير أكتوبر'!$C$6),COUNT(X$4:X996)+1,"")</f>
        <v/>
      </c>
      <c r="Y997">
        <f>IF(AND($A997&lt;&gt;"",$B997&lt;&gt;"",$R997='تقرير نوفمبر'!$C$4,$P997='تقرير نوفمبر'!$C$6),COUNT(Y$4:Y996)+1,"")</f>
        <v/>
      </c>
      <c r="Z997">
        <f>IF(AND($A997&lt;&gt;"",$B997&lt;&gt;"",$R997='تقرير ديسمبر'!$C$4,$P997='تقرير ديسمبر'!$C$6),COUNT(Z$4:Z996)+1,"")</f>
        <v/>
      </c>
      <c r="AA997">
        <f>IF(AND($A997&lt;&gt;"",$B997&lt;&gt;"",$R997='تقرير يناير'!$C$4,$P997='تقرير يناير'!$C$6),COUNT(AA$4:AA996)+1,"")</f>
        <v/>
      </c>
      <c r="AB997">
        <f>IF(AND($A997&lt;&gt;"",$B997&lt;&gt;"",$R997='تقرير فبراير'!$C$4,$P997='تقرير فبراير'!$C$6),COUNT(AB$4:AB996)+1,"")</f>
        <v/>
      </c>
      <c r="AC997">
        <f>IF(AND($A997&lt;&gt;"",$B997&lt;&gt;"",$R997='تقرير مارس'!$C$4,$P997='تقرير مارس'!$C$6),COUNT(AC$4:AC996)+1,"")</f>
        <v/>
      </c>
      <c r="AD997">
        <f>IF(AND($A997&lt;&gt;"",$B997&lt;&gt;"",$R997='تقرير أبريل'!$C$4,$P997='تقرير أبريل'!$C$6),COUNT(AD$4:AD996)+1,"")</f>
        <v/>
      </c>
      <c r="AE997">
        <f>IF(AND($A997&lt;&gt;"",$B997&lt;&gt;"",$R997='تقرير مايو'!$C$4,$P997='تقرير مايو'!$C$6),COUNT(AE$4:AE996)+1,"")</f>
        <v/>
      </c>
    </row>
    <row r="998">
      <c r="A998" s="16" t="n"/>
      <c r="B998" s="17" t="n"/>
      <c r="C998" s="17" t="n"/>
      <c r="D998" s="18" t="n"/>
      <c r="E998" s="17" t="n"/>
      <c r="F998" s="17" t="n"/>
      <c r="G998" s="19" t="n"/>
      <c r="H998" s="17" t="n"/>
      <c r="I998" s="17" t="n"/>
      <c r="J998" s="17" t="n"/>
      <c r="K998" s="20">
        <f>IF($B998="","",IFERROR(INDEX(الموظفات!$A$5:$A$304,MATCH($B998,الموظفات!$B$5:$B$304,0))&amp;"",""))</f>
        <v/>
      </c>
      <c r="L998" s="21">
        <f>IF($B998="","",IFERROR(INDEX(الموظفات!$C$5:$C$304,MATCH($B998,الموظفات!$B$5:$B$304,0))&amp;"",""))</f>
        <v/>
      </c>
      <c r="M998" s="20">
        <f>IF($B998="","",IFERROR(INDEX(الموظفات!$D$5:$D$304,MATCH($B998,الموظفات!$B$5:$B$304,0))&amp;"",""))</f>
        <v/>
      </c>
      <c r="N998" s="20">
        <f>IF($B998="","",IFERROR(INDEX(الموظفات!$E$5:$E$304,MATCH($B998,الموظفات!$B$5:$B$304,0))&amp;"",""))</f>
        <v/>
      </c>
      <c r="O998" s="21">
        <f>IF(C998="","",IFERROR(INDEX(الإعدادات!$D$7:$D$35,MATCH(C998,الإعدادات!$A$7:$A$35,0))&amp;"",""))</f>
        <v/>
      </c>
      <c r="P998" s="20">
        <f>IF(A998="","",INDEX(الإعدادات!$H$7:$H$18,MONTH(A998)))</f>
        <v/>
      </c>
      <c r="Q998" s="20">
        <f>IF(A998="","",INDEX(الإعدادات!$I$7:$I$18,MONTH(A998)))</f>
        <v/>
      </c>
      <c r="R998" s="20">
        <f>IF(A998="","",IF(MONTH(A998)&gt;=8,YEAR(A998)&amp;"-"&amp;(YEAR(A998)+1),(YEAR(A998)-1)&amp;"-"&amp;YEAR(A998)))</f>
        <v/>
      </c>
      <c r="S998" s="20">
        <f>IF(OR(A998="",B998=""),0,IF(AND(R998=التقارير!$C$4,OR(التقارير!$C$5="سنوي",AND(التقارير!$C$5="شهري",P998=التقارير!$C$6),AND(التقارير!$C$5="فصلي",Q998=التقارير!$C$7))),1,0))</f>
        <v/>
      </c>
      <c r="T998" s="20">
        <f>IF(S998=1,COUNTIF($S$5:S998,1),"")</f>
        <v/>
      </c>
      <c r="U998">
        <f>IF(AND($A998&lt;&gt;"",$B998&lt;&gt;"",$R998='تقرير الفصل الأول'!$C$4,$Q998='تقرير الفصل الأول'!$C$7),COUNT(U$4:U997)+1,"")</f>
        <v/>
      </c>
      <c r="V998">
        <f>IF(AND($A998&lt;&gt;"",$B998&lt;&gt;"",$R998='تقرير الفصل الثاني'!$C$4,$Q998='تقرير الفصل الثاني'!$C$7),COUNT(V$4:V997)+1,"")</f>
        <v/>
      </c>
      <c r="W998">
        <f>IF(AND($A998&lt;&gt;"",$B998&lt;&gt;"",$R998='تقرير سبتمبر'!$C$4,$P998='تقرير سبتمبر'!$C$6),COUNT(W$4:W997)+1,"")</f>
        <v/>
      </c>
      <c r="X998">
        <f>IF(AND($A998&lt;&gt;"",$B998&lt;&gt;"",$R998='تقرير أكتوبر'!$C$4,$P998='تقرير أكتوبر'!$C$6),COUNT(X$4:X997)+1,"")</f>
        <v/>
      </c>
      <c r="Y998">
        <f>IF(AND($A998&lt;&gt;"",$B998&lt;&gt;"",$R998='تقرير نوفمبر'!$C$4,$P998='تقرير نوفمبر'!$C$6),COUNT(Y$4:Y997)+1,"")</f>
        <v/>
      </c>
      <c r="Z998">
        <f>IF(AND($A998&lt;&gt;"",$B998&lt;&gt;"",$R998='تقرير ديسمبر'!$C$4,$P998='تقرير ديسمبر'!$C$6),COUNT(Z$4:Z997)+1,"")</f>
        <v/>
      </c>
      <c r="AA998">
        <f>IF(AND($A998&lt;&gt;"",$B998&lt;&gt;"",$R998='تقرير يناير'!$C$4,$P998='تقرير يناير'!$C$6),COUNT(AA$4:AA997)+1,"")</f>
        <v/>
      </c>
      <c r="AB998">
        <f>IF(AND($A998&lt;&gt;"",$B998&lt;&gt;"",$R998='تقرير فبراير'!$C$4,$P998='تقرير فبراير'!$C$6),COUNT(AB$4:AB997)+1,"")</f>
        <v/>
      </c>
      <c r="AC998">
        <f>IF(AND($A998&lt;&gt;"",$B998&lt;&gt;"",$R998='تقرير مارس'!$C$4,$P998='تقرير مارس'!$C$6),COUNT(AC$4:AC997)+1,"")</f>
        <v/>
      </c>
      <c r="AD998">
        <f>IF(AND($A998&lt;&gt;"",$B998&lt;&gt;"",$R998='تقرير أبريل'!$C$4,$P998='تقرير أبريل'!$C$6),COUNT(AD$4:AD997)+1,"")</f>
        <v/>
      </c>
      <c r="AE998">
        <f>IF(AND($A998&lt;&gt;"",$B998&lt;&gt;"",$R998='تقرير مايو'!$C$4,$P998='تقرير مايو'!$C$6),COUNT(AE$4:AE997)+1,"")</f>
        <v/>
      </c>
    </row>
    <row r="999">
      <c r="A999" s="16" t="n"/>
      <c r="B999" s="17" t="n"/>
      <c r="C999" s="17" t="n"/>
      <c r="D999" s="18" t="n"/>
      <c r="E999" s="17" t="n"/>
      <c r="F999" s="17" t="n"/>
      <c r="G999" s="19" t="n"/>
      <c r="H999" s="17" t="n"/>
      <c r="I999" s="17" t="n"/>
      <c r="J999" s="17" t="n"/>
      <c r="K999" s="20">
        <f>IF($B999="","",IFERROR(INDEX(الموظفات!$A$5:$A$304,MATCH($B999,الموظفات!$B$5:$B$304,0))&amp;"",""))</f>
        <v/>
      </c>
      <c r="L999" s="21">
        <f>IF($B999="","",IFERROR(INDEX(الموظفات!$C$5:$C$304,MATCH($B999,الموظفات!$B$5:$B$304,0))&amp;"",""))</f>
        <v/>
      </c>
      <c r="M999" s="20">
        <f>IF($B999="","",IFERROR(INDEX(الموظفات!$D$5:$D$304,MATCH($B999,الموظفات!$B$5:$B$304,0))&amp;"",""))</f>
        <v/>
      </c>
      <c r="N999" s="20">
        <f>IF($B999="","",IFERROR(INDEX(الموظفات!$E$5:$E$304,MATCH($B999,الموظفات!$B$5:$B$304,0))&amp;"",""))</f>
        <v/>
      </c>
      <c r="O999" s="21">
        <f>IF(C999="","",IFERROR(INDEX(الإعدادات!$D$7:$D$35,MATCH(C999,الإعدادات!$A$7:$A$35,0))&amp;"",""))</f>
        <v/>
      </c>
      <c r="P999" s="20">
        <f>IF(A999="","",INDEX(الإعدادات!$H$7:$H$18,MONTH(A999)))</f>
        <v/>
      </c>
      <c r="Q999" s="20">
        <f>IF(A999="","",INDEX(الإعدادات!$I$7:$I$18,MONTH(A999)))</f>
        <v/>
      </c>
      <c r="R999" s="20">
        <f>IF(A999="","",IF(MONTH(A999)&gt;=8,YEAR(A999)&amp;"-"&amp;(YEAR(A999)+1),(YEAR(A999)-1)&amp;"-"&amp;YEAR(A999)))</f>
        <v/>
      </c>
      <c r="S999" s="20">
        <f>IF(OR(A999="",B999=""),0,IF(AND(R999=التقارير!$C$4,OR(التقارير!$C$5="سنوي",AND(التقارير!$C$5="شهري",P999=التقارير!$C$6),AND(التقارير!$C$5="فصلي",Q999=التقارير!$C$7))),1,0))</f>
        <v/>
      </c>
      <c r="T999" s="20">
        <f>IF(S999=1,COUNTIF($S$5:S999,1),"")</f>
        <v/>
      </c>
      <c r="U999">
        <f>IF(AND($A999&lt;&gt;"",$B999&lt;&gt;"",$R999='تقرير الفصل الأول'!$C$4,$Q999='تقرير الفصل الأول'!$C$7),COUNT(U$4:U998)+1,"")</f>
        <v/>
      </c>
      <c r="V999">
        <f>IF(AND($A999&lt;&gt;"",$B999&lt;&gt;"",$R999='تقرير الفصل الثاني'!$C$4,$Q999='تقرير الفصل الثاني'!$C$7),COUNT(V$4:V998)+1,"")</f>
        <v/>
      </c>
      <c r="W999">
        <f>IF(AND($A999&lt;&gt;"",$B999&lt;&gt;"",$R999='تقرير سبتمبر'!$C$4,$P999='تقرير سبتمبر'!$C$6),COUNT(W$4:W998)+1,"")</f>
        <v/>
      </c>
      <c r="X999">
        <f>IF(AND($A999&lt;&gt;"",$B999&lt;&gt;"",$R999='تقرير أكتوبر'!$C$4,$P999='تقرير أكتوبر'!$C$6),COUNT(X$4:X998)+1,"")</f>
        <v/>
      </c>
      <c r="Y999">
        <f>IF(AND($A999&lt;&gt;"",$B999&lt;&gt;"",$R999='تقرير نوفمبر'!$C$4,$P999='تقرير نوفمبر'!$C$6),COUNT(Y$4:Y998)+1,"")</f>
        <v/>
      </c>
      <c r="Z999">
        <f>IF(AND($A999&lt;&gt;"",$B999&lt;&gt;"",$R999='تقرير ديسمبر'!$C$4,$P999='تقرير ديسمبر'!$C$6),COUNT(Z$4:Z998)+1,"")</f>
        <v/>
      </c>
      <c r="AA999">
        <f>IF(AND($A999&lt;&gt;"",$B999&lt;&gt;"",$R999='تقرير يناير'!$C$4,$P999='تقرير يناير'!$C$6),COUNT(AA$4:AA998)+1,"")</f>
        <v/>
      </c>
      <c r="AB999">
        <f>IF(AND($A999&lt;&gt;"",$B999&lt;&gt;"",$R999='تقرير فبراير'!$C$4,$P999='تقرير فبراير'!$C$6),COUNT(AB$4:AB998)+1,"")</f>
        <v/>
      </c>
      <c r="AC999">
        <f>IF(AND($A999&lt;&gt;"",$B999&lt;&gt;"",$R999='تقرير مارس'!$C$4,$P999='تقرير مارس'!$C$6),COUNT(AC$4:AC998)+1,"")</f>
        <v/>
      </c>
      <c r="AD999">
        <f>IF(AND($A999&lt;&gt;"",$B999&lt;&gt;"",$R999='تقرير أبريل'!$C$4,$P999='تقرير أبريل'!$C$6),COUNT(AD$4:AD998)+1,"")</f>
        <v/>
      </c>
      <c r="AE999">
        <f>IF(AND($A999&lt;&gt;"",$B999&lt;&gt;"",$R999='تقرير مايو'!$C$4,$P999='تقرير مايو'!$C$6),COUNT(AE$4:AE998)+1,"")</f>
        <v/>
      </c>
    </row>
    <row r="1000">
      <c r="A1000" s="16" t="n"/>
      <c r="B1000" s="17" t="n"/>
      <c r="C1000" s="17" t="n"/>
      <c r="D1000" s="18" t="n"/>
      <c r="E1000" s="17" t="n"/>
      <c r="F1000" s="17" t="n"/>
      <c r="G1000" s="19" t="n"/>
      <c r="H1000" s="17" t="n"/>
      <c r="I1000" s="17" t="n"/>
      <c r="J1000" s="17" t="n"/>
      <c r="K1000" s="20">
        <f>IF($B1000="","",IFERROR(INDEX(الموظفات!$A$5:$A$304,MATCH($B1000,الموظفات!$B$5:$B$304,0))&amp;"",""))</f>
        <v/>
      </c>
      <c r="L1000" s="21">
        <f>IF($B1000="","",IFERROR(INDEX(الموظفات!$C$5:$C$304,MATCH($B1000,الموظفات!$B$5:$B$304,0))&amp;"",""))</f>
        <v/>
      </c>
      <c r="M1000" s="20">
        <f>IF($B1000="","",IFERROR(INDEX(الموظفات!$D$5:$D$304,MATCH($B1000,الموظفات!$B$5:$B$304,0))&amp;"",""))</f>
        <v/>
      </c>
      <c r="N1000" s="20">
        <f>IF($B1000="","",IFERROR(INDEX(الموظفات!$E$5:$E$304,MATCH($B1000,الموظفات!$B$5:$B$304,0))&amp;"",""))</f>
        <v/>
      </c>
      <c r="O1000" s="21">
        <f>IF(C1000="","",IFERROR(INDEX(الإعدادات!$D$7:$D$35,MATCH(C1000,الإعدادات!$A$7:$A$35,0))&amp;"",""))</f>
        <v/>
      </c>
      <c r="P1000" s="20">
        <f>IF(A1000="","",INDEX(الإعدادات!$H$7:$H$18,MONTH(A1000)))</f>
        <v/>
      </c>
      <c r="Q1000" s="20">
        <f>IF(A1000="","",INDEX(الإعدادات!$I$7:$I$18,MONTH(A1000)))</f>
        <v/>
      </c>
      <c r="R1000" s="20">
        <f>IF(A1000="","",IF(MONTH(A1000)&gt;=8,YEAR(A1000)&amp;"-"&amp;(YEAR(A1000)+1),(YEAR(A1000)-1)&amp;"-"&amp;YEAR(A1000)))</f>
        <v/>
      </c>
      <c r="S1000" s="20">
        <f>IF(OR(A1000="",B1000=""),0,IF(AND(R1000=التقارير!$C$4,OR(التقارير!$C$5="سنوي",AND(التقارير!$C$5="شهري",P1000=التقارير!$C$6),AND(التقارير!$C$5="فصلي",Q1000=التقارير!$C$7))),1,0))</f>
        <v/>
      </c>
      <c r="T1000" s="20">
        <f>IF(S1000=1,COUNTIF($S$5:S1000,1),"")</f>
        <v/>
      </c>
      <c r="U1000">
        <f>IF(AND($A1000&lt;&gt;"",$B1000&lt;&gt;"",$R1000='تقرير الفصل الأول'!$C$4,$Q1000='تقرير الفصل الأول'!$C$7),COUNT(U$4:U999)+1,"")</f>
        <v/>
      </c>
      <c r="V1000">
        <f>IF(AND($A1000&lt;&gt;"",$B1000&lt;&gt;"",$R1000='تقرير الفصل الثاني'!$C$4,$Q1000='تقرير الفصل الثاني'!$C$7),COUNT(V$4:V999)+1,"")</f>
        <v/>
      </c>
      <c r="W1000">
        <f>IF(AND($A1000&lt;&gt;"",$B1000&lt;&gt;"",$R1000='تقرير سبتمبر'!$C$4,$P1000='تقرير سبتمبر'!$C$6),COUNT(W$4:W999)+1,"")</f>
        <v/>
      </c>
      <c r="X1000">
        <f>IF(AND($A1000&lt;&gt;"",$B1000&lt;&gt;"",$R1000='تقرير أكتوبر'!$C$4,$P1000='تقرير أكتوبر'!$C$6),COUNT(X$4:X999)+1,"")</f>
        <v/>
      </c>
      <c r="Y1000">
        <f>IF(AND($A1000&lt;&gt;"",$B1000&lt;&gt;"",$R1000='تقرير نوفمبر'!$C$4,$P1000='تقرير نوفمبر'!$C$6),COUNT(Y$4:Y999)+1,"")</f>
        <v/>
      </c>
      <c r="Z1000">
        <f>IF(AND($A1000&lt;&gt;"",$B1000&lt;&gt;"",$R1000='تقرير ديسمبر'!$C$4,$P1000='تقرير ديسمبر'!$C$6),COUNT(Z$4:Z999)+1,"")</f>
        <v/>
      </c>
      <c r="AA1000">
        <f>IF(AND($A1000&lt;&gt;"",$B1000&lt;&gt;"",$R1000='تقرير يناير'!$C$4,$P1000='تقرير يناير'!$C$6),COUNT(AA$4:AA999)+1,"")</f>
        <v/>
      </c>
      <c r="AB1000">
        <f>IF(AND($A1000&lt;&gt;"",$B1000&lt;&gt;"",$R1000='تقرير فبراير'!$C$4,$P1000='تقرير فبراير'!$C$6),COUNT(AB$4:AB999)+1,"")</f>
        <v/>
      </c>
      <c r="AC1000">
        <f>IF(AND($A1000&lt;&gt;"",$B1000&lt;&gt;"",$R1000='تقرير مارس'!$C$4,$P1000='تقرير مارس'!$C$6),COUNT(AC$4:AC999)+1,"")</f>
        <v/>
      </c>
      <c r="AD1000">
        <f>IF(AND($A1000&lt;&gt;"",$B1000&lt;&gt;"",$R1000='تقرير أبريل'!$C$4,$P1000='تقرير أبريل'!$C$6),COUNT(AD$4:AD999)+1,"")</f>
        <v/>
      </c>
      <c r="AE1000">
        <f>IF(AND($A1000&lt;&gt;"",$B1000&lt;&gt;"",$R1000='تقرير مايو'!$C$4,$P1000='تقرير مايو'!$C$6),COUNT(AE$4:AE999)+1,"")</f>
        <v/>
      </c>
    </row>
    <row r="1001">
      <c r="A1001" s="16" t="n"/>
      <c r="B1001" s="17" t="n"/>
      <c r="C1001" s="17" t="n"/>
      <c r="D1001" s="18" t="n"/>
      <c r="E1001" s="17" t="n"/>
      <c r="F1001" s="17" t="n"/>
      <c r="G1001" s="19" t="n"/>
      <c r="H1001" s="17" t="n"/>
      <c r="I1001" s="17" t="n"/>
      <c r="J1001" s="17" t="n"/>
      <c r="K1001" s="20">
        <f>IF($B1001="","",IFERROR(INDEX(الموظفات!$A$5:$A$304,MATCH($B1001,الموظفات!$B$5:$B$304,0))&amp;"",""))</f>
        <v/>
      </c>
      <c r="L1001" s="21">
        <f>IF($B1001="","",IFERROR(INDEX(الموظفات!$C$5:$C$304,MATCH($B1001,الموظفات!$B$5:$B$304,0))&amp;"",""))</f>
        <v/>
      </c>
      <c r="M1001" s="20">
        <f>IF($B1001="","",IFERROR(INDEX(الموظفات!$D$5:$D$304,MATCH($B1001,الموظفات!$B$5:$B$304,0))&amp;"",""))</f>
        <v/>
      </c>
      <c r="N1001" s="20">
        <f>IF($B1001="","",IFERROR(INDEX(الموظفات!$E$5:$E$304,MATCH($B1001,الموظفات!$B$5:$B$304,0))&amp;"",""))</f>
        <v/>
      </c>
      <c r="O1001" s="21">
        <f>IF(C1001="","",IFERROR(INDEX(الإعدادات!$D$7:$D$35,MATCH(C1001,الإعدادات!$A$7:$A$35,0))&amp;"",""))</f>
        <v/>
      </c>
      <c r="P1001" s="20">
        <f>IF(A1001="","",INDEX(الإعدادات!$H$7:$H$18,MONTH(A1001)))</f>
        <v/>
      </c>
      <c r="Q1001" s="20">
        <f>IF(A1001="","",INDEX(الإعدادات!$I$7:$I$18,MONTH(A1001)))</f>
        <v/>
      </c>
      <c r="R1001" s="20">
        <f>IF(A1001="","",IF(MONTH(A1001)&gt;=8,YEAR(A1001)&amp;"-"&amp;(YEAR(A1001)+1),(YEAR(A1001)-1)&amp;"-"&amp;YEAR(A1001)))</f>
        <v/>
      </c>
      <c r="S1001" s="20">
        <f>IF(OR(A1001="",B1001=""),0,IF(AND(R1001=التقارير!$C$4,OR(التقارير!$C$5="سنوي",AND(التقارير!$C$5="شهري",P1001=التقارير!$C$6),AND(التقارير!$C$5="فصلي",Q1001=التقارير!$C$7))),1,0))</f>
        <v/>
      </c>
      <c r="T1001" s="20">
        <f>IF(S1001=1,COUNTIF($S$5:S1001,1),"")</f>
        <v/>
      </c>
      <c r="U1001">
        <f>IF(AND($A1001&lt;&gt;"",$B1001&lt;&gt;"",$R1001='تقرير الفصل الأول'!$C$4,$Q1001='تقرير الفصل الأول'!$C$7),COUNT(U$4:U1000)+1,"")</f>
        <v/>
      </c>
      <c r="V1001">
        <f>IF(AND($A1001&lt;&gt;"",$B1001&lt;&gt;"",$R1001='تقرير الفصل الثاني'!$C$4,$Q1001='تقرير الفصل الثاني'!$C$7),COUNT(V$4:V1000)+1,"")</f>
        <v/>
      </c>
      <c r="W1001">
        <f>IF(AND($A1001&lt;&gt;"",$B1001&lt;&gt;"",$R1001='تقرير سبتمبر'!$C$4,$P1001='تقرير سبتمبر'!$C$6),COUNT(W$4:W1000)+1,"")</f>
        <v/>
      </c>
      <c r="X1001">
        <f>IF(AND($A1001&lt;&gt;"",$B1001&lt;&gt;"",$R1001='تقرير أكتوبر'!$C$4,$P1001='تقرير أكتوبر'!$C$6),COUNT(X$4:X1000)+1,"")</f>
        <v/>
      </c>
      <c r="Y1001">
        <f>IF(AND($A1001&lt;&gt;"",$B1001&lt;&gt;"",$R1001='تقرير نوفمبر'!$C$4,$P1001='تقرير نوفمبر'!$C$6),COUNT(Y$4:Y1000)+1,"")</f>
        <v/>
      </c>
      <c r="Z1001">
        <f>IF(AND($A1001&lt;&gt;"",$B1001&lt;&gt;"",$R1001='تقرير ديسمبر'!$C$4,$P1001='تقرير ديسمبر'!$C$6),COUNT(Z$4:Z1000)+1,"")</f>
        <v/>
      </c>
      <c r="AA1001">
        <f>IF(AND($A1001&lt;&gt;"",$B1001&lt;&gt;"",$R1001='تقرير يناير'!$C$4,$P1001='تقرير يناير'!$C$6),COUNT(AA$4:AA1000)+1,"")</f>
        <v/>
      </c>
      <c r="AB1001">
        <f>IF(AND($A1001&lt;&gt;"",$B1001&lt;&gt;"",$R1001='تقرير فبراير'!$C$4,$P1001='تقرير فبراير'!$C$6),COUNT(AB$4:AB1000)+1,"")</f>
        <v/>
      </c>
      <c r="AC1001">
        <f>IF(AND($A1001&lt;&gt;"",$B1001&lt;&gt;"",$R1001='تقرير مارس'!$C$4,$P1001='تقرير مارس'!$C$6),COUNT(AC$4:AC1000)+1,"")</f>
        <v/>
      </c>
      <c r="AD1001">
        <f>IF(AND($A1001&lt;&gt;"",$B1001&lt;&gt;"",$R1001='تقرير أبريل'!$C$4,$P1001='تقرير أبريل'!$C$6),COUNT(AD$4:AD1000)+1,"")</f>
        <v/>
      </c>
      <c r="AE1001">
        <f>IF(AND($A1001&lt;&gt;"",$B1001&lt;&gt;"",$R1001='تقرير مايو'!$C$4,$P1001='تقرير مايو'!$C$6),COUNT(AE$4:AE1000)+1,"")</f>
        <v/>
      </c>
    </row>
    <row r="1002">
      <c r="A1002" s="16" t="n"/>
      <c r="B1002" s="17" t="n"/>
      <c r="C1002" s="17" t="n"/>
      <c r="D1002" s="18" t="n"/>
      <c r="E1002" s="17" t="n"/>
      <c r="F1002" s="17" t="n"/>
      <c r="G1002" s="19" t="n"/>
      <c r="H1002" s="17" t="n"/>
      <c r="I1002" s="17" t="n"/>
      <c r="J1002" s="17" t="n"/>
      <c r="K1002" s="20">
        <f>IF($B1002="","",IFERROR(INDEX(الموظفات!$A$5:$A$304,MATCH($B1002,الموظفات!$B$5:$B$304,0))&amp;"",""))</f>
        <v/>
      </c>
      <c r="L1002" s="21">
        <f>IF($B1002="","",IFERROR(INDEX(الموظفات!$C$5:$C$304,MATCH($B1002,الموظفات!$B$5:$B$304,0))&amp;"",""))</f>
        <v/>
      </c>
      <c r="M1002" s="20">
        <f>IF($B1002="","",IFERROR(INDEX(الموظفات!$D$5:$D$304,MATCH($B1002,الموظفات!$B$5:$B$304,0))&amp;"",""))</f>
        <v/>
      </c>
      <c r="N1002" s="20">
        <f>IF($B1002="","",IFERROR(INDEX(الموظفات!$E$5:$E$304,MATCH($B1002,الموظفات!$B$5:$B$304,0))&amp;"",""))</f>
        <v/>
      </c>
      <c r="O1002" s="21">
        <f>IF(C1002="","",IFERROR(INDEX(الإعدادات!$D$7:$D$35,MATCH(C1002,الإعدادات!$A$7:$A$35,0))&amp;"",""))</f>
        <v/>
      </c>
      <c r="P1002" s="20">
        <f>IF(A1002="","",INDEX(الإعدادات!$H$7:$H$18,MONTH(A1002)))</f>
        <v/>
      </c>
      <c r="Q1002" s="20">
        <f>IF(A1002="","",INDEX(الإعدادات!$I$7:$I$18,MONTH(A1002)))</f>
        <v/>
      </c>
      <c r="R1002" s="20">
        <f>IF(A1002="","",IF(MONTH(A1002)&gt;=8,YEAR(A1002)&amp;"-"&amp;(YEAR(A1002)+1),(YEAR(A1002)-1)&amp;"-"&amp;YEAR(A1002)))</f>
        <v/>
      </c>
      <c r="S1002" s="20">
        <f>IF(OR(A1002="",B1002=""),0,IF(AND(R1002=التقارير!$C$4,OR(التقارير!$C$5="سنوي",AND(التقارير!$C$5="شهري",P1002=التقارير!$C$6),AND(التقارير!$C$5="فصلي",Q1002=التقارير!$C$7))),1,0))</f>
        <v/>
      </c>
      <c r="T1002" s="20">
        <f>IF(S1002=1,COUNTIF($S$5:S1002,1),"")</f>
        <v/>
      </c>
      <c r="U1002">
        <f>IF(AND($A1002&lt;&gt;"",$B1002&lt;&gt;"",$R1002='تقرير الفصل الأول'!$C$4,$Q1002='تقرير الفصل الأول'!$C$7),COUNT(U$4:U1001)+1,"")</f>
        <v/>
      </c>
      <c r="V1002">
        <f>IF(AND($A1002&lt;&gt;"",$B1002&lt;&gt;"",$R1002='تقرير الفصل الثاني'!$C$4,$Q1002='تقرير الفصل الثاني'!$C$7),COUNT(V$4:V1001)+1,"")</f>
        <v/>
      </c>
      <c r="W1002">
        <f>IF(AND($A1002&lt;&gt;"",$B1002&lt;&gt;"",$R1002='تقرير سبتمبر'!$C$4,$P1002='تقرير سبتمبر'!$C$6),COUNT(W$4:W1001)+1,"")</f>
        <v/>
      </c>
      <c r="X1002">
        <f>IF(AND($A1002&lt;&gt;"",$B1002&lt;&gt;"",$R1002='تقرير أكتوبر'!$C$4,$P1002='تقرير أكتوبر'!$C$6),COUNT(X$4:X1001)+1,"")</f>
        <v/>
      </c>
      <c r="Y1002">
        <f>IF(AND($A1002&lt;&gt;"",$B1002&lt;&gt;"",$R1002='تقرير نوفمبر'!$C$4,$P1002='تقرير نوفمبر'!$C$6),COUNT(Y$4:Y1001)+1,"")</f>
        <v/>
      </c>
      <c r="Z1002">
        <f>IF(AND($A1002&lt;&gt;"",$B1002&lt;&gt;"",$R1002='تقرير ديسمبر'!$C$4,$P1002='تقرير ديسمبر'!$C$6),COUNT(Z$4:Z1001)+1,"")</f>
        <v/>
      </c>
      <c r="AA1002">
        <f>IF(AND($A1002&lt;&gt;"",$B1002&lt;&gt;"",$R1002='تقرير يناير'!$C$4,$P1002='تقرير يناير'!$C$6),COUNT(AA$4:AA1001)+1,"")</f>
        <v/>
      </c>
      <c r="AB1002">
        <f>IF(AND($A1002&lt;&gt;"",$B1002&lt;&gt;"",$R1002='تقرير فبراير'!$C$4,$P1002='تقرير فبراير'!$C$6),COUNT(AB$4:AB1001)+1,"")</f>
        <v/>
      </c>
      <c r="AC1002">
        <f>IF(AND($A1002&lt;&gt;"",$B1002&lt;&gt;"",$R1002='تقرير مارس'!$C$4,$P1002='تقرير مارس'!$C$6),COUNT(AC$4:AC1001)+1,"")</f>
        <v/>
      </c>
      <c r="AD1002">
        <f>IF(AND($A1002&lt;&gt;"",$B1002&lt;&gt;"",$R1002='تقرير أبريل'!$C$4,$P1002='تقرير أبريل'!$C$6),COUNT(AD$4:AD1001)+1,"")</f>
        <v/>
      </c>
      <c r="AE1002">
        <f>IF(AND($A1002&lt;&gt;"",$B1002&lt;&gt;"",$R1002='تقرير مايو'!$C$4,$P1002='تقرير مايو'!$C$6),COUNT(AE$4:AE1001)+1,"")</f>
        <v/>
      </c>
    </row>
    <row r="1003">
      <c r="A1003" s="16" t="n"/>
      <c r="B1003" s="17" t="n"/>
      <c r="C1003" s="17" t="n"/>
      <c r="D1003" s="18" t="n"/>
      <c r="E1003" s="17" t="n"/>
      <c r="F1003" s="17" t="n"/>
      <c r="G1003" s="19" t="n"/>
      <c r="H1003" s="17" t="n"/>
      <c r="I1003" s="17" t="n"/>
      <c r="J1003" s="17" t="n"/>
      <c r="K1003" s="20">
        <f>IF($B1003="","",IFERROR(INDEX(الموظفات!$A$5:$A$304,MATCH($B1003,الموظفات!$B$5:$B$304,0))&amp;"",""))</f>
        <v/>
      </c>
      <c r="L1003" s="21">
        <f>IF($B1003="","",IFERROR(INDEX(الموظفات!$C$5:$C$304,MATCH($B1003,الموظفات!$B$5:$B$304,0))&amp;"",""))</f>
        <v/>
      </c>
      <c r="M1003" s="20">
        <f>IF($B1003="","",IFERROR(INDEX(الموظفات!$D$5:$D$304,MATCH($B1003,الموظفات!$B$5:$B$304,0))&amp;"",""))</f>
        <v/>
      </c>
      <c r="N1003" s="20">
        <f>IF($B1003="","",IFERROR(INDEX(الموظفات!$E$5:$E$304,MATCH($B1003,الموظفات!$B$5:$B$304,0))&amp;"",""))</f>
        <v/>
      </c>
      <c r="O1003" s="21">
        <f>IF(C1003="","",IFERROR(INDEX(الإعدادات!$D$7:$D$35,MATCH(C1003,الإعدادات!$A$7:$A$35,0))&amp;"",""))</f>
        <v/>
      </c>
      <c r="P1003" s="20">
        <f>IF(A1003="","",INDEX(الإعدادات!$H$7:$H$18,MONTH(A1003)))</f>
        <v/>
      </c>
      <c r="Q1003" s="20">
        <f>IF(A1003="","",INDEX(الإعدادات!$I$7:$I$18,MONTH(A1003)))</f>
        <v/>
      </c>
      <c r="R1003" s="20">
        <f>IF(A1003="","",IF(MONTH(A1003)&gt;=8,YEAR(A1003)&amp;"-"&amp;(YEAR(A1003)+1),(YEAR(A1003)-1)&amp;"-"&amp;YEAR(A1003)))</f>
        <v/>
      </c>
      <c r="S1003" s="20">
        <f>IF(OR(A1003="",B1003=""),0,IF(AND(R1003=التقارير!$C$4,OR(التقارير!$C$5="سنوي",AND(التقارير!$C$5="شهري",P1003=التقارير!$C$6),AND(التقارير!$C$5="فصلي",Q1003=التقارير!$C$7))),1,0))</f>
        <v/>
      </c>
      <c r="T1003" s="20">
        <f>IF(S1003=1,COUNTIF($S$5:S1003,1),"")</f>
        <v/>
      </c>
      <c r="U1003">
        <f>IF(AND($A1003&lt;&gt;"",$B1003&lt;&gt;"",$R1003='تقرير الفصل الأول'!$C$4,$Q1003='تقرير الفصل الأول'!$C$7),COUNT(U$4:U1002)+1,"")</f>
        <v/>
      </c>
      <c r="V1003">
        <f>IF(AND($A1003&lt;&gt;"",$B1003&lt;&gt;"",$R1003='تقرير الفصل الثاني'!$C$4,$Q1003='تقرير الفصل الثاني'!$C$7),COUNT(V$4:V1002)+1,"")</f>
        <v/>
      </c>
      <c r="W1003">
        <f>IF(AND($A1003&lt;&gt;"",$B1003&lt;&gt;"",$R1003='تقرير سبتمبر'!$C$4,$P1003='تقرير سبتمبر'!$C$6),COUNT(W$4:W1002)+1,"")</f>
        <v/>
      </c>
      <c r="X1003">
        <f>IF(AND($A1003&lt;&gt;"",$B1003&lt;&gt;"",$R1003='تقرير أكتوبر'!$C$4,$P1003='تقرير أكتوبر'!$C$6),COUNT(X$4:X1002)+1,"")</f>
        <v/>
      </c>
      <c r="Y1003">
        <f>IF(AND($A1003&lt;&gt;"",$B1003&lt;&gt;"",$R1003='تقرير نوفمبر'!$C$4,$P1003='تقرير نوفمبر'!$C$6),COUNT(Y$4:Y1002)+1,"")</f>
        <v/>
      </c>
      <c r="Z1003">
        <f>IF(AND($A1003&lt;&gt;"",$B1003&lt;&gt;"",$R1003='تقرير ديسمبر'!$C$4,$P1003='تقرير ديسمبر'!$C$6),COUNT(Z$4:Z1002)+1,"")</f>
        <v/>
      </c>
      <c r="AA1003">
        <f>IF(AND($A1003&lt;&gt;"",$B1003&lt;&gt;"",$R1003='تقرير يناير'!$C$4,$P1003='تقرير يناير'!$C$6),COUNT(AA$4:AA1002)+1,"")</f>
        <v/>
      </c>
      <c r="AB1003">
        <f>IF(AND($A1003&lt;&gt;"",$B1003&lt;&gt;"",$R1003='تقرير فبراير'!$C$4,$P1003='تقرير فبراير'!$C$6),COUNT(AB$4:AB1002)+1,"")</f>
        <v/>
      </c>
      <c r="AC1003">
        <f>IF(AND($A1003&lt;&gt;"",$B1003&lt;&gt;"",$R1003='تقرير مارس'!$C$4,$P1003='تقرير مارس'!$C$6),COUNT(AC$4:AC1002)+1,"")</f>
        <v/>
      </c>
      <c r="AD1003">
        <f>IF(AND($A1003&lt;&gt;"",$B1003&lt;&gt;"",$R1003='تقرير أبريل'!$C$4,$P1003='تقرير أبريل'!$C$6),COUNT(AD$4:AD1002)+1,"")</f>
        <v/>
      </c>
      <c r="AE1003">
        <f>IF(AND($A1003&lt;&gt;"",$B1003&lt;&gt;"",$R1003='تقرير مايو'!$C$4,$P1003='تقرير مايو'!$C$6),COUNT(AE$4:AE1002)+1,"")</f>
        <v/>
      </c>
    </row>
    <row r="1004">
      <c r="A1004" s="16" t="n"/>
      <c r="B1004" s="17" t="n"/>
      <c r="C1004" s="17" t="n"/>
      <c r="D1004" s="18" t="n"/>
      <c r="E1004" s="17" t="n"/>
      <c r="F1004" s="17" t="n"/>
      <c r="G1004" s="19" t="n"/>
      <c r="H1004" s="17" t="n"/>
      <c r="I1004" s="17" t="n"/>
      <c r="J1004" s="17" t="n"/>
      <c r="K1004" s="20">
        <f>IF($B1004="","",IFERROR(INDEX(الموظفات!$A$5:$A$304,MATCH($B1004,الموظفات!$B$5:$B$304,0))&amp;"",""))</f>
        <v/>
      </c>
      <c r="L1004" s="21">
        <f>IF($B1004="","",IFERROR(INDEX(الموظفات!$C$5:$C$304,MATCH($B1004,الموظفات!$B$5:$B$304,0))&amp;"",""))</f>
        <v/>
      </c>
      <c r="M1004" s="20">
        <f>IF($B1004="","",IFERROR(INDEX(الموظفات!$D$5:$D$304,MATCH($B1004,الموظفات!$B$5:$B$304,0))&amp;"",""))</f>
        <v/>
      </c>
      <c r="N1004" s="20">
        <f>IF($B1004="","",IFERROR(INDEX(الموظفات!$E$5:$E$304,MATCH($B1004,الموظفات!$B$5:$B$304,0))&amp;"",""))</f>
        <v/>
      </c>
      <c r="O1004" s="21">
        <f>IF(C1004="","",IFERROR(INDEX(الإعدادات!$D$7:$D$35,MATCH(C1004,الإعدادات!$A$7:$A$35,0))&amp;"",""))</f>
        <v/>
      </c>
      <c r="P1004" s="20">
        <f>IF(A1004="","",INDEX(الإعدادات!$H$7:$H$18,MONTH(A1004)))</f>
        <v/>
      </c>
      <c r="Q1004" s="20">
        <f>IF(A1004="","",INDEX(الإعدادات!$I$7:$I$18,MONTH(A1004)))</f>
        <v/>
      </c>
      <c r="R1004" s="20">
        <f>IF(A1004="","",IF(MONTH(A1004)&gt;=8,YEAR(A1004)&amp;"-"&amp;(YEAR(A1004)+1),(YEAR(A1004)-1)&amp;"-"&amp;YEAR(A1004)))</f>
        <v/>
      </c>
      <c r="S1004" s="20">
        <f>IF(OR(A1004="",B1004=""),0,IF(AND(R1004=التقارير!$C$4,OR(التقارير!$C$5="سنوي",AND(التقارير!$C$5="شهري",P1004=التقارير!$C$6),AND(التقارير!$C$5="فصلي",Q1004=التقارير!$C$7))),1,0))</f>
        <v/>
      </c>
      <c r="T1004" s="20">
        <f>IF(S1004=1,COUNTIF($S$5:S1004,1),"")</f>
        <v/>
      </c>
      <c r="U1004">
        <f>IF(AND($A1004&lt;&gt;"",$B1004&lt;&gt;"",$R1004='تقرير الفصل الأول'!$C$4,$Q1004='تقرير الفصل الأول'!$C$7),COUNT(U$4:U1003)+1,"")</f>
        <v/>
      </c>
      <c r="V1004">
        <f>IF(AND($A1004&lt;&gt;"",$B1004&lt;&gt;"",$R1004='تقرير الفصل الثاني'!$C$4,$Q1004='تقرير الفصل الثاني'!$C$7),COUNT(V$4:V1003)+1,"")</f>
        <v/>
      </c>
      <c r="W1004">
        <f>IF(AND($A1004&lt;&gt;"",$B1004&lt;&gt;"",$R1004='تقرير سبتمبر'!$C$4,$P1004='تقرير سبتمبر'!$C$6),COUNT(W$4:W1003)+1,"")</f>
        <v/>
      </c>
      <c r="X1004">
        <f>IF(AND($A1004&lt;&gt;"",$B1004&lt;&gt;"",$R1004='تقرير أكتوبر'!$C$4,$P1004='تقرير أكتوبر'!$C$6),COUNT(X$4:X1003)+1,"")</f>
        <v/>
      </c>
      <c r="Y1004">
        <f>IF(AND($A1004&lt;&gt;"",$B1004&lt;&gt;"",$R1004='تقرير نوفمبر'!$C$4,$P1004='تقرير نوفمبر'!$C$6),COUNT(Y$4:Y1003)+1,"")</f>
        <v/>
      </c>
      <c r="Z1004">
        <f>IF(AND($A1004&lt;&gt;"",$B1004&lt;&gt;"",$R1004='تقرير ديسمبر'!$C$4,$P1004='تقرير ديسمبر'!$C$6),COUNT(Z$4:Z1003)+1,"")</f>
        <v/>
      </c>
      <c r="AA1004">
        <f>IF(AND($A1004&lt;&gt;"",$B1004&lt;&gt;"",$R1004='تقرير يناير'!$C$4,$P1004='تقرير يناير'!$C$6),COUNT(AA$4:AA1003)+1,"")</f>
        <v/>
      </c>
      <c r="AB1004">
        <f>IF(AND($A1004&lt;&gt;"",$B1004&lt;&gt;"",$R1004='تقرير فبراير'!$C$4,$P1004='تقرير فبراير'!$C$6),COUNT(AB$4:AB1003)+1,"")</f>
        <v/>
      </c>
      <c r="AC1004">
        <f>IF(AND($A1004&lt;&gt;"",$B1004&lt;&gt;"",$R1004='تقرير مارس'!$C$4,$P1004='تقرير مارس'!$C$6),COUNT(AC$4:AC1003)+1,"")</f>
        <v/>
      </c>
      <c r="AD1004">
        <f>IF(AND($A1004&lt;&gt;"",$B1004&lt;&gt;"",$R1004='تقرير أبريل'!$C$4,$P1004='تقرير أبريل'!$C$6),COUNT(AD$4:AD1003)+1,"")</f>
        <v/>
      </c>
      <c r="AE1004">
        <f>IF(AND($A1004&lt;&gt;"",$B1004&lt;&gt;"",$R1004='تقرير مايو'!$C$4,$P1004='تقرير مايو'!$C$6),COUNT(AE$4:AE1003)+1,"")</f>
        <v/>
      </c>
    </row>
    <row r="1005">
      <c r="A1005" s="16" t="n"/>
      <c r="B1005" s="17" t="n"/>
      <c r="C1005" s="17" t="n"/>
      <c r="D1005" s="18" t="n"/>
      <c r="E1005" s="17" t="n"/>
      <c r="F1005" s="17" t="n"/>
      <c r="G1005" s="19" t="n"/>
      <c r="H1005" s="17" t="n"/>
      <c r="I1005" s="17" t="n"/>
      <c r="J1005" s="17" t="n"/>
      <c r="K1005" s="20">
        <f>IF($B1005="","",IFERROR(INDEX(الموظفات!$A$5:$A$304,MATCH($B1005,الموظفات!$B$5:$B$304,0))&amp;"",""))</f>
        <v/>
      </c>
      <c r="L1005" s="21">
        <f>IF($B1005="","",IFERROR(INDEX(الموظفات!$C$5:$C$304,MATCH($B1005,الموظفات!$B$5:$B$304,0))&amp;"",""))</f>
        <v/>
      </c>
      <c r="M1005" s="20">
        <f>IF($B1005="","",IFERROR(INDEX(الموظفات!$D$5:$D$304,MATCH($B1005,الموظفات!$B$5:$B$304,0))&amp;"",""))</f>
        <v/>
      </c>
      <c r="N1005" s="20">
        <f>IF($B1005="","",IFERROR(INDEX(الموظفات!$E$5:$E$304,MATCH($B1005,الموظفات!$B$5:$B$304,0))&amp;"",""))</f>
        <v/>
      </c>
      <c r="O1005" s="21">
        <f>IF(C1005="","",IFERROR(INDEX(الإعدادات!$D$7:$D$35,MATCH(C1005,الإعدادات!$A$7:$A$35,0))&amp;"",""))</f>
        <v/>
      </c>
      <c r="P1005" s="20">
        <f>IF(A1005="","",INDEX(الإعدادات!$H$7:$H$18,MONTH(A1005)))</f>
        <v/>
      </c>
      <c r="Q1005" s="20">
        <f>IF(A1005="","",INDEX(الإعدادات!$I$7:$I$18,MONTH(A1005)))</f>
        <v/>
      </c>
      <c r="R1005" s="20">
        <f>IF(A1005="","",IF(MONTH(A1005)&gt;=8,YEAR(A1005)&amp;"-"&amp;(YEAR(A1005)+1),(YEAR(A1005)-1)&amp;"-"&amp;YEAR(A1005)))</f>
        <v/>
      </c>
      <c r="S1005" s="20">
        <f>IF(OR(A1005="",B1005=""),0,IF(AND(R1005=التقارير!$C$4,OR(التقارير!$C$5="سنوي",AND(التقارير!$C$5="شهري",P1005=التقارير!$C$6),AND(التقارير!$C$5="فصلي",Q1005=التقارير!$C$7))),1,0))</f>
        <v/>
      </c>
      <c r="T1005" s="20">
        <f>IF(S1005=1,COUNTIF($S$5:S1005,1),"")</f>
        <v/>
      </c>
      <c r="U1005">
        <f>IF(AND($A1005&lt;&gt;"",$B1005&lt;&gt;"",$R1005='تقرير الفصل الأول'!$C$4,$Q1005='تقرير الفصل الأول'!$C$7),COUNT(U$4:U1004)+1,"")</f>
        <v/>
      </c>
      <c r="V1005">
        <f>IF(AND($A1005&lt;&gt;"",$B1005&lt;&gt;"",$R1005='تقرير الفصل الثاني'!$C$4,$Q1005='تقرير الفصل الثاني'!$C$7),COUNT(V$4:V1004)+1,"")</f>
        <v/>
      </c>
      <c r="W1005">
        <f>IF(AND($A1005&lt;&gt;"",$B1005&lt;&gt;"",$R1005='تقرير سبتمبر'!$C$4,$P1005='تقرير سبتمبر'!$C$6),COUNT(W$4:W1004)+1,"")</f>
        <v/>
      </c>
      <c r="X1005">
        <f>IF(AND($A1005&lt;&gt;"",$B1005&lt;&gt;"",$R1005='تقرير أكتوبر'!$C$4,$P1005='تقرير أكتوبر'!$C$6),COUNT(X$4:X1004)+1,"")</f>
        <v/>
      </c>
      <c r="Y1005">
        <f>IF(AND($A1005&lt;&gt;"",$B1005&lt;&gt;"",$R1005='تقرير نوفمبر'!$C$4,$P1005='تقرير نوفمبر'!$C$6),COUNT(Y$4:Y1004)+1,"")</f>
        <v/>
      </c>
      <c r="Z1005">
        <f>IF(AND($A1005&lt;&gt;"",$B1005&lt;&gt;"",$R1005='تقرير ديسمبر'!$C$4,$P1005='تقرير ديسمبر'!$C$6),COUNT(Z$4:Z1004)+1,"")</f>
        <v/>
      </c>
      <c r="AA1005">
        <f>IF(AND($A1005&lt;&gt;"",$B1005&lt;&gt;"",$R1005='تقرير يناير'!$C$4,$P1005='تقرير يناير'!$C$6),COUNT(AA$4:AA1004)+1,"")</f>
        <v/>
      </c>
      <c r="AB1005">
        <f>IF(AND($A1005&lt;&gt;"",$B1005&lt;&gt;"",$R1005='تقرير فبراير'!$C$4,$P1005='تقرير فبراير'!$C$6),COUNT(AB$4:AB1004)+1,"")</f>
        <v/>
      </c>
      <c r="AC1005">
        <f>IF(AND($A1005&lt;&gt;"",$B1005&lt;&gt;"",$R1005='تقرير مارس'!$C$4,$P1005='تقرير مارس'!$C$6),COUNT(AC$4:AC1004)+1,"")</f>
        <v/>
      </c>
      <c r="AD1005">
        <f>IF(AND($A1005&lt;&gt;"",$B1005&lt;&gt;"",$R1005='تقرير أبريل'!$C$4,$P1005='تقرير أبريل'!$C$6),COUNT(AD$4:AD1004)+1,"")</f>
        <v/>
      </c>
      <c r="AE1005">
        <f>IF(AND($A1005&lt;&gt;"",$B1005&lt;&gt;"",$R1005='تقرير مايو'!$C$4,$P1005='تقرير مايو'!$C$6),COUNT(AE$4:AE1004)+1,"")</f>
        <v/>
      </c>
    </row>
    <row r="1006">
      <c r="A1006" s="16" t="n"/>
      <c r="B1006" s="17" t="n"/>
      <c r="C1006" s="17" t="n"/>
      <c r="D1006" s="18" t="n"/>
      <c r="E1006" s="17" t="n"/>
      <c r="F1006" s="17" t="n"/>
      <c r="G1006" s="19" t="n"/>
      <c r="H1006" s="17" t="n"/>
      <c r="I1006" s="17" t="n"/>
      <c r="J1006" s="17" t="n"/>
      <c r="K1006" s="20">
        <f>IF($B1006="","",IFERROR(INDEX(الموظفات!$A$5:$A$304,MATCH($B1006,الموظفات!$B$5:$B$304,0))&amp;"",""))</f>
        <v/>
      </c>
      <c r="L1006" s="21">
        <f>IF($B1006="","",IFERROR(INDEX(الموظفات!$C$5:$C$304,MATCH($B1006,الموظفات!$B$5:$B$304,0))&amp;"",""))</f>
        <v/>
      </c>
      <c r="M1006" s="20">
        <f>IF($B1006="","",IFERROR(INDEX(الموظفات!$D$5:$D$304,MATCH($B1006,الموظفات!$B$5:$B$304,0))&amp;"",""))</f>
        <v/>
      </c>
      <c r="N1006" s="20">
        <f>IF($B1006="","",IFERROR(INDEX(الموظفات!$E$5:$E$304,MATCH($B1006,الموظفات!$B$5:$B$304,0))&amp;"",""))</f>
        <v/>
      </c>
      <c r="O1006" s="21">
        <f>IF(C1006="","",IFERROR(INDEX(الإعدادات!$D$7:$D$35,MATCH(C1006,الإعدادات!$A$7:$A$35,0))&amp;"",""))</f>
        <v/>
      </c>
      <c r="P1006" s="20">
        <f>IF(A1006="","",INDEX(الإعدادات!$H$7:$H$18,MONTH(A1006)))</f>
        <v/>
      </c>
      <c r="Q1006" s="20">
        <f>IF(A1006="","",INDEX(الإعدادات!$I$7:$I$18,MONTH(A1006)))</f>
        <v/>
      </c>
      <c r="R1006" s="20">
        <f>IF(A1006="","",IF(MONTH(A1006)&gt;=8,YEAR(A1006)&amp;"-"&amp;(YEAR(A1006)+1),(YEAR(A1006)-1)&amp;"-"&amp;YEAR(A1006)))</f>
        <v/>
      </c>
      <c r="S1006" s="20">
        <f>IF(OR(A1006="",B1006=""),0,IF(AND(R1006=التقارير!$C$4,OR(التقارير!$C$5="سنوي",AND(التقارير!$C$5="شهري",P1006=التقارير!$C$6),AND(التقارير!$C$5="فصلي",Q1006=التقارير!$C$7))),1,0))</f>
        <v/>
      </c>
      <c r="T1006" s="20">
        <f>IF(S1006=1,COUNTIF($S$5:S1006,1),"")</f>
        <v/>
      </c>
      <c r="U1006">
        <f>IF(AND($A1006&lt;&gt;"",$B1006&lt;&gt;"",$R1006='تقرير الفصل الأول'!$C$4,$Q1006='تقرير الفصل الأول'!$C$7),COUNT(U$4:U1005)+1,"")</f>
        <v/>
      </c>
      <c r="V1006">
        <f>IF(AND($A1006&lt;&gt;"",$B1006&lt;&gt;"",$R1006='تقرير الفصل الثاني'!$C$4,$Q1006='تقرير الفصل الثاني'!$C$7),COUNT(V$4:V1005)+1,"")</f>
        <v/>
      </c>
      <c r="W1006">
        <f>IF(AND($A1006&lt;&gt;"",$B1006&lt;&gt;"",$R1006='تقرير سبتمبر'!$C$4,$P1006='تقرير سبتمبر'!$C$6),COUNT(W$4:W1005)+1,"")</f>
        <v/>
      </c>
      <c r="X1006">
        <f>IF(AND($A1006&lt;&gt;"",$B1006&lt;&gt;"",$R1006='تقرير أكتوبر'!$C$4,$P1006='تقرير أكتوبر'!$C$6),COUNT(X$4:X1005)+1,"")</f>
        <v/>
      </c>
      <c r="Y1006">
        <f>IF(AND($A1006&lt;&gt;"",$B1006&lt;&gt;"",$R1006='تقرير نوفمبر'!$C$4,$P1006='تقرير نوفمبر'!$C$6),COUNT(Y$4:Y1005)+1,"")</f>
        <v/>
      </c>
      <c r="Z1006">
        <f>IF(AND($A1006&lt;&gt;"",$B1006&lt;&gt;"",$R1006='تقرير ديسمبر'!$C$4,$P1006='تقرير ديسمبر'!$C$6),COUNT(Z$4:Z1005)+1,"")</f>
        <v/>
      </c>
      <c r="AA1006">
        <f>IF(AND($A1006&lt;&gt;"",$B1006&lt;&gt;"",$R1006='تقرير يناير'!$C$4,$P1006='تقرير يناير'!$C$6),COUNT(AA$4:AA1005)+1,"")</f>
        <v/>
      </c>
      <c r="AB1006">
        <f>IF(AND($A1006&lt;&gt;"",$B1006&lt;&gt;"",$R1006='تقرير فبراير'!$C$4,$P1006='تقرير فبراير'!$C$6),COUNT(AB$4:AB1005)+1,"")</f>
        <v/>
      </c>
      <c r="AC1006">
        <f>IF(AND($A1006&lt;&gt;"",$B1006&lt;&gt;"",$R1006='تقرير مارس'!$C$4,$P1006='تقرير مارس'!$C$6),COUNT(AC$4:AC1005)+1,"")</f>
        <v/>
      </c>
      <c r="AD1006">
        <f>IF(AND($A1006&lt;&gt;"",$B1006&lt;&gt;"",$R1006='تقرير أبريل'!$C$4,$P1006='تقرير أبريل'!$C$6),COUNT(AD$4:AD1005)+1,"")</f>
        <v/>
      </c>
      <c r="AE1006">
        <f>IF(AND($A1006&lt;&gt;"",$B1006&lt;&gt;"",$R1006='تقرير مايو'!$C$4,$P1006='تقرير مايو'!$C$6),COUNT(AE$4:AE1005)+1,"")</f>
        <v/>
      </c>
    </row>
    <row r="1007">
      <c r="A1007" s="16" t="n"/>
      <c r="B1007" s="17" t="n"/>
      <c r="C1007" s="17" t="n"/>
      <c r="D1007" s="18" t="n"/>
      <c r="E1007" s="17" t="n"/>
      <c r="F1007" s="17" t="n"/>
      <c r="G1007" s="19" t="n"/>
      <c r="H1007" s="17" t="n"/>
      <c r="I1007" s="17" t="n"/>
      <c r="J1007" s="17" t="n"/>
      <c r="K1007" s="20">
        <f>IF($B1007="","",IFERROR(INDEX(الموظفات!$A$5:$A$304,MATCH($B1007,الموظفات!$B$5:$B$304,0))&amp;"",""))</f>
        <v/>
      </c>
      <c r="L1007" s="21">
        <f>IF($B1007="","",IFERROR(INDEX(الموظفات!$C$5:$C$304,MATCH($B1007,الموظفات!$B$5:$B$304,0))&amp;"",""))</f>
        <v/>
      </c>
      <c r="M1007" s="20">
        <f>IF($B1007="","",IFERROR(INDEX(الموظفات!$D$5:$D$304,MATCH($B1007,الموظفات!$B$5:$B$304,0))&amp;"",""))</f>
        <v/>
      </c>
      <c r="N1007" s="20">
        <f>IF($B1007="","",IFERROR(INDEX(الموظفات!$E$5:$E$304,MATCH($B1007,الموظفات!$B$5:$B$304,0))&amp;"",""))</f>
        <v/>
      </c>
      <c r="O1007" s="21">
        <f>IF(C1007="","",IFERROR(INDEX(الإعدادات!$D$7:$D$35,MATCH(C1007,الإعدادات!$A$7:$A$35,0))&amp;"",""))</f>
        <v/>
      </c>
      <c r="P1007" s="20">
        <f>IF(A1007="","",INDEX(الإعدادات!$H$7:$H$18,MONTH(A1007)))</f>
        <v/>
      </c>
      <c r="Q1007" s="20">
        <f>IF(A1007="","",INDEX(الإعدادات!$I$7:$I$18,MONTH(A1007)))</f>
        <v/>
      </c>
      <c r="R1007" s="20">
        <f>IF(A1007="","",IF(MONTH(A1007)&gt;=8,YEAR(A1007)&amp;"-"&amp;(YEAR(A1007)+1),(YEAR(A1007)-1)&amp;"-"&amp;YEAR(A1007)))</f>
        <v/>
      </c>
      <c r="S1007" s="20">
        <f>IF(OR(A1007="",B1007=""),0,IF(AND(R1007=التقارير!$C$4,OR(التقارير!$C$5="سنوي",AND(التقارير!$C$5="شهري",P1007=التقارير!$C$6),AND(التقارير!$C$5="فصلي",Q1007=التقارير!$C$7))),1,0))</f>
        <v/>
      </c>
      <c r="T1007" s="20">
        <f>IF(S1007=1,COUNTIF($S$5:S1007,1),"")</f>
        <v/>
      </c>
      <c r="U1007">
        <f>IF(AND($A1007&lt;&gt;"",$B1007&lt;&gt;"",$R1007='تقرير الفصل الأول'!$C$4,$Q1007='تقرير الفصل الأول'!$C$7),COUNT(U$4:U1006)+1,"")</f>
        <v/>
      </c>
      <c r="V1007">
        <f>IF(AND($A1007&lt;&gt;"",$B1007&lt;&gt;"",$R1007='تقرير الفصل الثاني'!$C$4,$Q1007='تقرير الفصل الثاني'!$C$7),COUNT(V$4:V1006)+1,"")</f>
        <v/>
      </c>
      <c r="W1007">
        <f>IF(AND($A1007&lt;&gt;"",$B1007&lt;&gt;"",$R1007='تقرير سبتمبر'!$C$4,$P1007='تقرير سبتمبر'!$C$6),COUNT(W$4:W1006)+1,"")</f>
        <v/>
      </c>
      <c r="X1007">
        <f>IF(AND($A1007&lt;&gt;"",$B1007&lt;&gt;"",$R1007='تقرير أكتوبر'!$C$4,$P1007='تقرير أكتوبر'!$C$6),COUNT(X$4:X1006)+1,"")</f>
        <v/>
      </c>
      <c r="Y1007">
        <f>IF(AND($A1007&lt;&gt;"",$B1007&lt;&gt;"",$R1007='تقرير نوفمبر'!$C$4,$P1007='تقرير نوفمبر'!$C$6),COUNT(Y$4:Y1006)+1,"")</f>
        <v/>
      </c>
      <c r="Z1007">
        <f>IF(AND($A1007&lt;&gt;"",$B1007&lt;&gt;"",$R1007='تقرير ديسمبر'!$C$4,$P1007='تقرير ديسمبر'!$C$6),COUNT(Z$4:Z1006)+1,"")</f>
        <v/>
      </c>
      <c r="AA1007">
        <f>IF(AND($A1007&lt;&gt;"",$B1007&lt;&gt;"",$R1007='تقرير يناير'!$C$4,$P1007='تقرير يناير'!$C$6),COUNT(AA$4:AA1006)+1,"")</f>
        <v/>
      </c>
      <c r="AB1007">
        <f>IF(AND($A1007&lt;&gt;"",$B1007&lt;&gt;"",$R1007='تقرير فبراير'!$C$4,$P1007='تقرير فبراير'!$C$6),COUNT(AB$4:AB1006)+1,"")</f>
        <v/>
      </c>
      <c r="AC1007">
        <f>IF(AND($A1007&lt;&gt;"",$B1007&lt;&gt;"",$R1007='تقرير مارس'!$C$4,$P1007='تقرير مارس'!$C$6),COUNT(AC$4:AC1006)+1,"")</f>
        <v/>
      </c>
      <c r="AD1007">
        <f>IF(AND($A1007&lt;&gt;"",$B1007&lt;&gt;"",$R1007='تقرير أبريل'!$C$4,$P1007='تقرير أبريل'!$C$6),COUNT(AD$4:AD1006)+1,"")</f>
        <v/>
      </c>
      <c r="AE1007">
        <f>IF(AND($A1007&lt;&gt;"",$B1007&lt;&gt;"",$R1007='تقرير مايو'!$C$4,$P1007='تقرير مايو'!$C$6),COUNT(AE$4:AE1006)+1,"")</f>
        <v/>
      </c>
    </row>
    <row r="1008">
      <c r="A1008" s="16" t="n"/>
      <c r="B1008" s="17" t="n"/>
      <c r="C1008" s="17" t="n"/>
      <c r="D1008" s="18" t="n"/>
      <c r="E1008" s="17" t="n"/>
      <c r="F1008" s="17" t="n"/>
      <c r="G1008" s="19" t="n"/>
      <c r="H1008" s="17" t="n"/>
      <c r="I1008" s="17" t="n"/>
      <c r="J1008" s="17" t="n"/>
      <c r="K1008" s="20">
        <f>IF($B1008="","",IFERROR(INDEX(الموظفات!$A$5:$A$304,MATCH($B1008,الموظفات!$B$5:$B$304,0))&amp;"",""))</f>
        <v/>
      </c>
      <c r="L1008" s="21">
        <f>IF($B1008="","",IFERROR(INDEX(الموظفات!$C$5:$C$304,MATCH($B1008,الموظفات!$B$5:$B$304,0))&amp;"",""))</f>
        <v/>
      </c>
      <c r="M1008" s="20">
        <f>IF($B1008="","",IFERROR(INDEX(الموظفات!$D$5:$D$304,MATCH($B1008,الموظفات!$B$5:$B$304,0))&amp;"",""))</f>
        <v/>
      </c>
      <c r="N1008" s="20">
        <f>IF($B1008="","",IFERROR(INDEX(الموظفات!$E$5:$E$304,MATCH($B1008,الموظفات!$B$5:$B$304,0))&amp;"",""))</f>
        <v/>
      </c>
      <c r="O1008" s="21">
        <f>IF(C1008="","",IFERROR(INDEX(الإعدادات!$D$7:$D$35,MATCH(C1008,الإعدادات!$A$7:$A$35,0))&amp;"",""))</f>
        <v/>
      </c>
      <c r="P1008" s="20">
        <f>IF(A1008="","",INDEX(الإعدادات!$H$7:$H$18,MONTH(A1008)))</f>
        <v/>
      </c>
      <c r="Q1008" s="20">
        <f>IF(A1008="","",INDEX(الإعدادات!$I$7:$I$18,MONTH(A1008)))</f>
        <v/>
      </c>
      <c r="R1008" s="20">
        <f>IF(A1008="","",IF(MONTH(A1008)&gt;=8,YEAR(A1008)&amp;"-"&amp;(YEAR(A1008)+1),(YEAR(A1008)-1)&amp;"-"&amp;YEAR(A1008)))</f>
        <v/>
      </c>
      <c r="S1008" s="20">
        <f>IF(OR(A1008="",B1008=""),0,IF(AND(R1008=التقارير!$C$4,OR(التقارير!$C$5="سنوي",AND(التقارير!$C$5="شهري",P1008=التقارير!$C$6),AND(التقارير!$C$5="فصلي",Q1008=التقارير!$C$7))),1,0))</f>
        <v/>
      </c>
      <c r="T1008" s="20">
        <f>IF(S1008=1,COUNTIF($S$5:S1008,1),"")</f>
        <v/>
      </c>
      <c r="U1008">
        <f>IF(AND($A1008&lt;&gt;"",$B1008&lt;&gt;"",$R1008='تقرير الفصل الأول'!$C$4,$Q1008='تقرير الفصل الأول'!$C$7),COUNT(U$4:U1007)+1,"")</f>
        <v/>
      </c>
      <c r="V1008">
        <f>IF(AND($A1008&lt;&gt;"",$B1008&lt;&gt;"",$R1008='تقرير الفصل الثاني'!$C$4,$Q1008='تقرير الفصل الثاني'!$C$7),COUNT(V$4:V1007)+1,"")</f>
        <v/>
      </c>
      <c r="W1008">
        <f>IF(AND($A1008&lt;&gt;"",$B1008&lt;&gt;"",$R1008='تقرير سبتمبر'!$C$4,$P1008='تقرير سبتمبر'!$C$6),COUNT(W$4:W1007)+1,"")</f>
        <v/>
      </c>
      <c r="X1008">
        <f>IF(AND($A1008&lt;&gt;"",$B1008&lt;&gt;"",$R1008='تقرير أكتوبر'!$C$4,$P1008='تقرير أكتوبر'!$C$6),COUNT(X$4:X1007)+1,"")</f>
        <v/>
      </c>
      <c r="Y1008">
        <f>IF(AND($A1008&lt;&gt;"",$B1008&lt;&gt;"",$R1008='تقرير نوفمبر'!$C$4,$P1008='تقرير نوفمبر'!$C$6),COUNT(Y$4:Y1007)+1,"")</f>
        <v/>
      </c>
      <c r="Z1008">
        <f>IF(AND($A1008&lt;&gt;"",$B1008&lt;&gt;"",$R1008='تقرير ديسمبر'!$C$4,$P1008='تقرير ديسمبر'!$C$6),COUNT(Z$4:Z1007)+1,"")</f>
        <v/>
      </c>
      <c r="AA1008">
        <f>IF(AND($A1008&lt;&gt;"",$B1008&lt;&gt;"",$R1008='تقرير يناير'!$C$4,$P1008='تقرير يناير'!$C$6),COUNT(AA$4:AA1007)+1,"")</f>
        <v/>
      </c>
      <c r="AB1008">
        <f>IF(AND($A1008&lt;&gt;"",$B1008&lt;&gt;"",$R1008='تقرير فبراير'!$C$4,$P1008='تقرير فبراير'!$C$6),COUNT(AB$4:AB1007)+1,"")</f>
        <v/>
      </c>
      <c r="AC1008">
        <f>IF(AND($A1008&lt;&gt;"",$B1008&lt;&gt;"",$R1008='تقرير مارس'!$C$4,$P1008='تقرير مارس'!$C$6),COUNT(AC$4:AC1007)+1,"")</f>
        <v/>
      </c>
      <c r="AD1008">
        <f>IF(AND($A1008&lt;&gt;"",$B1008&lt;&gt;"",$R1008='تقرير أبريل'!$C$4,$P1008='تقرير أبريل'!$C$6),COUNT(AD$4:AD1007)+1,"")</f>
        <v/>
      </c>
      <c r="AE1008">
        <f>IF(AND($A1008&lt;&gt;"",$B1008&lt;&gt;"",$R1008='تقرير مايو'!$C$4,$P1008='تقرير مايو'!$C$6),COUNT(AE$4:AE1007)+1,"")</f>
        <v/>
      </c>
    </row>
    <row r="1009">
      <c r="A1009" s="16" t="n"/>
      <c r="B1009" s="17" t="n"/>
      <c r="C1009" s="17" t="n"/>
      <c r="D1009" s="18" t="n"/>
      <c r="E1009" s="17" t="n"/>
      <c r="F1009" s="17" t="n"/>
      <c r="G1009" s="19" t="n"/>
      <c r="H1009" s="17" t="n"/>
      <c r="I1009" s="17" t="n"/>
      <c r="J1009" s="17" t="n"/>
      <c r="K1009" s="20">
        <f>IF($B1009="","",IFERROR(INDEX(الموظفات!$A$5:$A$304,MATCH($B1009,الموظفات!$B$5:$B$304,0))&amp;"",""))</f>
        <v/>
      </c>
      <c r="L1009" s="21">
        <f>IF($B1009="","",IFERROR(INDEX(الموظفات!$C$5:$C$304,MATCH($B1009,الموظفات!$B$5:$B$304,0))&amp;"",""))</f>
        <v/>
      </c>
      <c r="M1009" s="20">
        <f>IF($B1009="","",IFERROR(INDEX(الموظفات!$D$5:$D$304,MATCH($B1009,الموظفات!$B$5:$B$304,0))&amp;"",""))</f>
        <v/>
      </c>
      <c r="N1009" s="20">
        <f>IF($B1009="","",IFERROR(INDEX(الموظفات!$E$5:$E$304,MATCH($B1009,الموظفات!$B$5:$B$304,0))&amp;"",""))</f>
        <v/>
      </c>
      <c r="O1009" s="21">
        <f>IF(C1009="","",IFERROR(INDEX(الإعدادات!$D$7:$D$35,MATCH(C1009,الإعدادات!$A$7:$A$35,0))&amp;"",""))</f>
        <v/>
      </c>
      <c r="P1009" s="20">
        <f>IF(A1009="","",INDEX(الإعدادات!$H$7:$H$18,MONTH(A1009)))</f>
        <v/>
      </c>
      <c r="Q1009" s="20">
        <f>IF(A1009="","",INDEX(الإعدادات!$I$7:$I$18,MONTH(A1009)))</f>
        <v/>
      </c>
      <c r="R1009" s="20">
        <f>IF(A1009="","",IF(MONTH(A1009)&gt;=8,YEAR(A1009)&amp;"-"&amp;(YEAR(A1009)+1),(YEAR(A1009)-1)&amp;"-"&amp;YEAR(A1009)))</f>
        <v/>
      </c>
      <c r="S1009" s="20">
        <f>IF(OR(A1009="",B1009=""),0,IF(AND(R1009=التقارير!$C$4,OR(التقارير!$C$5="سنوي",AND(التقارير!$C$5="شهري",P1009=التقارير!$C$6),AND(التقارير!$C$5="فصلي",Q1009=التقارير!$C$7))),1,0))</f>
        <v/>
      </c>
      <c r="T1009" s="20">
        <f>IF(S1009=1,COUNTIF($S$5:S1009,1),"")</f>
        <v/>
      </c>
      <c r="U1009">
        <f>IF(AND($A1009&lt;&gt;"",$B1009&lt;&gt;"",$R1009='تقرير الفصل الأول'!$C$4,$Q1009='تقرير الفصل الأول'!$C$7),COUNT(U$4:U1008)+1,"")</f>
        <v/>
      </c>
      <c r="V1009">
        <f>IF(AND($A1009&lt;&gt;"",$B1009&lt;&gt;"",$R1009='تقرير الفصل الثاني'!$C$4,$Q1009='تقرير الفصل الثاني'!$C$7),COUNT(V$4:V1008)+1,"")</f>
        <v/>
      </c>
      <c r="W1009">
        <f>IF(AND($A1009&lt;&gt;"",$B1009&lt;&gt;"",$R1009='تقرير سبتمبر'!$C$4,$P1009='تقرير سبتمبر'!$C$6),COUNT(W$4:W1008)+1,"")</f>
        <v/>
      </c>
      <c r="X1009">
        <f>IF(AND($A1009&lt;&gt;"",$B1009&lt;&gt;"",$R1009='تقرير أكتوبر'!$C$4,$P1009='تقرير أكتوبر'!$C$6),COUNT(X$4:X1008)+1,"")</f>
        <v/>
      </c>
      <c r="Y1009">
        <f>IF(AND($A1009&lt;&gt;"",$B1009&lt;&gt;"",$R1009='تقرير نوفمبر'!$C$4,$P1009='تقرير نوفمبر'!$C$6),COUNT(Y$4:Y1008)+1,"")</f>
        <v/>
      </c>
      <c r="Z1009">
        <f>IF(AND($A1009&lt;&gt;"",$B1009&lt;&gt;"",$R1009='تقرير ديسمبر'!$C$4,$P1009='تقرير ديسمبر'!$C$6),COUNT(Z$4:Z1008)+1,"")</f>
        <v/>
      </c>
      <c r="AA1009">
        <f>IF(AND($A1009&lt;&gt;"",$B1009&lt;&gt;"",$R1009='تقرير يناير'!$C$4,$P1009='تقرير يناير'!$C$6),COUNT(AA$4:AA1008)+1,"")</f>
        <v/>
      </c>
      <c r="AB1009">
        <f>IF(AND($A1009&lt;&gt;"",$B1009&lt;&gt;"",$R1009='تقرير فبراير'!$C$4,$P1009='تقرير فبراير'!$C$6),COUNT(AB$4:AB1008)+1,"")</f>
        <v/>
      </c>
      <c r="AC1009">
        <f>IF(AND($A1009&lt;&gt;"",$B1009&lt;&gt;"",$R1009='تقرير مارس'!$C$4,$P1009='تقرير مارس'!$C$6),COUNT(AC$4:AC1008)+1,"")</f>
        <v/>
      </c>
      <c r="AD1009">
        <f>IF(AND($A1009&lt;&gt;"",$B1009&lt;&gt;"",$R1009='تقرير أبريل'!$C$4,$P1009='تقرير أبريل'!$C$6),COUNT(AD$4:AD1008)+1,"")</f>
        <v/>
      </c>
      <c r="AE1009">
        <f>IF(AND($A1009&lt;&gt;"",$B1009&lt;&gt;"",$R1009='تقرير مايو'!$C$4,$P1009='تقرير مايو'!$C$6),COUNT(AE$4:AE1008)+1,"")</f>
        <v/>
      </c>
    </row>
    <row r="1010">
      <c r="A1010" s="16" t="n"/>
      <c r="B1010" s="17" t="n"/>
      <c r="C1010" s="17" t="n"/>
      <c r="D1010" s="18" t="n"/>
      <c r="E1010" s="17" t="n"/>
      <c r="F1010" s="17" t="n"/>
      <c r="G1010" s="19" t="n"/>
      <c r="H1010" s="17" t="n"/>
      <c r="I1010" s="17" t="n"/>
      <c r="J1010" s="17" t="n"/>
      <c r="K1010" s="20">
        <f>IF($B1010="","",IFERROR(INDEX(الموظفات!$A$5:$A$304,MATCH($B1010,الموظفات!$B$5:$B$304,0))&amp;"",""))</f>
        <v/>
      </c>
      <c r="L1010" s="21">
        <f>IF($B1010="","",IFERROR(INDEX(الموظفات!$C$5:$C$304,MATCH($B1010,الموظفات!$B$5:$B$304,0))&amp;"",""))</f>
        <v/>
      </c>
      <c r="M1010" s="20">
        <f>IF($B1010="","",IFERROR(INDEX(الموظفات!$D$5:$D$304,MATCH($B1010,الموظفات!$B$5:$B$304,0))&amp;"",""))</f>
        <v/>
      </c>
      <c r="N1010" s="20">
        <f>IF($B1010="","",IFERROR(INDEX(الموظفات!$E$5:$E$304,MATCH($B1010,الموظفات!$B$5:$B$304,0))&amp;"",""))</f>
        <v/>
      </c>
      <c r="O1010" s="21">
        <f>IF(C1010="","",IFERROR(INDEX(الإعدادات!$D$7:$D$35,MATCH(C1010,الإعدادات!$A$7:$A$35,0))&amp;"",""))</f>
        <v/>
      </c>
      <c r="P1010" s="20">
        <f>IF(A1010="","",INDEX(الإعدادات!$H$7:$H$18,MONTH(A1010)))</f>
        <v/>
      </c>
      <c r="Q1010" s="20">
        <f>IF(A1010="","",INDEX(الإعدادات!$I$7:$I$18,MONTH(A1010)))</f>
        <v/>
      </c>
      <c r="R1010" s="20">
        <f>IF(A1010="","",IF(MONTH(A1010)&gt;=8,YEAR(A1010)&amp;"-"&amp;(YEAR(A1010)+1),(YEAR(A1010)-1)&amp;"-"&amp;YEAR(A1010)))</f>
        <v/>
      </c>
      <c r="S1010" s="20">
        <f>IF(OR(A1010="",B1010=""),0,IF(AND(R1010=التقارير!$C$4,OR(التقارير!$C$5="سنوي",AND(التقارير!$C$5="شهري",P1010=التقارير!$C$6),AND(التقارير!$C$5="فصلي",Q1010=التقارير!$C$7))),1,0))</f>
        <v/>
      </c>
      <c r="T1010" s="20">
        <f>IF(S1010=1,COUNTIF($S$5:S1010,1),"")</f>
        <v/>
      </c>
      <c r="U1010">
        <f>IF(AND($A1010&lt;&gt;"",$B1010&lt;&gt;"",$R1010='تقرير الفصل الأول'!$C$4,$Q1010='تقرير الفصل الأول'!$C$7),COUNT(U$4:U1009)+1,"")</f>
        <v/>
      </c>
      <c r="V1010">
        <f>IF(AND($A1010&lt;&gt;"",$B1010&lt;&gt;"",$R1010='تقرير الفصل الثاني'!$C$4,$Q1010='تقرير الفصل الثاني'!$C$7),COUNT(V$4:V1009)+1,"")</f>
        <v/>
      </c>
      <c r="W1010">
        <f>IF(AND($A1010&lt;&gt;"",$B1010&lt;&gt;"",$R1010='تقرير سبتمبر'!$C$4,$P1010='تقرير سبتمبر'!$C$6),COUNT(W$4:W1009)+1,"")</f>
        <v/>
      </c>
      <c r="X1010">
        <f>IF(AND($A1010&lt;&gt;"",$B1010&lt;&gt;"",$R1010='تقرير أكتوبر'!$C$4,$P1010='تقرير أكتوبر'!$C$6),COUNT(X$4:X1009)+1,"")</f>
        <v/>
      </c>
      <c r="Y1010">
        <f>IF(AND($A1010&lt;&gt;"",$B1010&lt;&gt;"",$R1010='تقرير نوفمبر'!$C$4,$P1010='تقرير نوفمبر'!$C$6),COUNT(Y$4:Y1009)+1,"")</f>
        <v/>
      </c>
      <c r="Z1010">
        <f>IF(AND($A1010&lt;&gt;"",$B1010&lt;&gt;"",$R1010='تقرير ديسمبر'!$C$4,$P1010='تقرير ديسمبر'!$C$6),COUNT(Z$4:Z1009)+1,"")</f>
        <v/>
      </c>
      <c r="AA1010">
        <f>IF(AND($A1010&lt;&gt;"",$B1010&lt;&gt;"",$R1010='تقرير يناير'!$C$4,$P1010='تقرير يناير'!$C$6),COUNT(AA$4:AA1009)+1,"")</f>
        <v/>
      </c>
      <c r="AB1010">
        <f>IF(AND($A1010&lt;&gt;"",$B1010&lt;&gt;"",$R1010='تقرير فبراير'!$C$4,$P1010='تقرير فبراير'!$C$6),COUNT(AB$4:AB1009)+1,"")</f>
        <v/>
      </c>
      <c r="AC1010">
        <f>IF(AND($A1010&lt;&gt;"",$B1010&lt;&gt;"",$R1010='تقرير مارس'!$C$4,$P1010='تقرير مارس'!$C$6),COUNT(AC$4:AC1009)+1,"")</f>
        <v/>
      </c>
      <c r="AD1010">
        <f>IF(AND($A1010&lt;&gt;"",$B1010&lt;&gt;"",$R1010='تقرير أبريل'!$C$4,$P1010='تقرير أبريل'!$C$6),COUNT(AD$4:AD1009)+1,"")</f>
        <v/>
      </c>
      <c r="AE1010">
        <f>IF(AND($A1010&lt;&gt;"",$B1010&lt;&gt;"",$R1010='تقرير مايو'!$C$4,$P1010='تقرير مايو'!$C$6),COUNT(AE$4:AE1009)+1,"")</f>
        <v/>
      </c>
    </row>
    <row r="1011">
      <c r="A1011" s="16" t="n"/>
      <c r="B1011" s="17" t="n"/>
      <c r="C1011" s="17" t="n"/>
      <c r="D1011" s="18" t="n"/>
      <c r="E1011" s="17" t="n"/>
      <c r="F1011" s="17" t="n"/>
      <c r="G1011" s="19" t="n"/>
      <c r="H1011" s="17" t="n"/>
      <c r="I1011" s="17" t="n"/>
      <c r="J1011" s="17" t="n"/>
      <c r="K1011" s="20">
        <f>IF($B1011="","",IFERROR(INDEX(الموظفات!$A$5:$A$304,MATCH($B1011,الموظفات!$B$5:$B$304,0))&amp;"",""))</f>
        <v/>
      </c>
      <c r="L1011" s="21">
        <f>IF($B1011="","",IFERROR(INDEX(الموظفات!$C$5:$C$304,MATCH($B1011,الموظفات!$B$5:$B$304,0))&amp;"",""))</f>
        <v/>
      </c>
      <c r="M1011" s="20">
        <f>IF($B1011="","",IFERROR(INDEX(الموظفات!$D$5:$D$304,MATCH($B1011,الموظفات!$B$5:$B$304,0))&amp;"",""))</f>
        <v/>
      </c>
      <c r="N1011" s="20">
        <f>IF($B1011="","",IFERROR(INDEX(الموظفات!$E$5:$E$304,MATCH($B1011,الموظفات!$B$5:$B$304,0))&amp;"",""))</f>
        <v/>
      </c>
      <c r="O1011" s="21">
        <f>IF(C1011="","",IFERROR(INDEX(الإعدادات!$D$7:$D$35,MATCH(C1011,الإعدادات!$A$7:$A$35,0))&amp;"",""))</f>
        <v/>
      </c>
      <c r="P1011" s="20">
        <f>IF(A1011="","",INDEX(الإعدادات!$H$7:$H$18,MONTH(A1011)))</f>
        <v/>
      </c>
      <c r="Q1011" s="20">
        <f>IF(A1011="","",INDEX(الإعدادات!$I$7:$I$18,MONTH(A1011)))</f>
        <v/>
      </c>
      <c r="R1011" s="20">
        <f>IF(A1011="","",IF(MONTH(A1011)&gt;=8,YEAR(A1011)&amp;"-"&amp;(YEAR(A1011)+1),(YEAR(A1011)-1)&amp;"-"&amp;YEAR(A1011)))</f>
        <v/>
      </c>
      <c r="S1011" s="20">
        <f>IF(OR(A1011="",B1011=""),0,IF(AND(R1011=التقارير!$C$4,OR(التقارير!$C$5="سنوي",AND(التقارير!$C$5="شهري",P1011=التقارير!$C$6),AND(التقارير!$C$5="فصلي",Q1011=التقارير!$C$7))),1,0))</f>
        <v/>
      </c>
      <c r="T1011" s="20">
        <f>IF(S1011=1,COUNTIF($S$5:S1011,1),"")</f>
        <v/>
      </c>
      <c r="U1011">
        <f>IF(AND($A1011&lt;&gt;"",$B1011&lt;&gt;"",$R1011='تقرير الفصل الأول'!$C$4,$Q1011='تقرير الفصل الأول'!$C$7),COUNT(U$4:U1010)+1,"")</f>
        <v/>
      </c>
      <c r="V1011">
        <f>IF(AND($A1011&lt;&gt;"",$B1011&lt;&gt;"",$R1011='تقرير الفصل الثاني'!$C$4,$Q1011='تقرير الفصل الثاني'!$C$7),COUNT(V$4:V1010)+1,"")</f>
        <v/>
      </c>
      <c r="W1011">
        <f>IF(AND($A1011&lt;&gt;"",$B1011&lt;&gt;"",$R1011='تقرير سبتمبر'!$C$4,$P1011='تقرير سبتمبر'!$C$6),COUNT(W$4:W1010)+1,"")</f>
        <v/>
      </c>
      <c r="X1011">
        <f>IF(AND($A1011&lt;&gt;"",$B1011&lt;&gt;"",$R1011='تقرير أكتوبر'!$C$4,$P1011='تقرير أكتوبر'!$C$6),COUNT(X$4:X1010)+1,"")</f>
        <v/>
      </c>
      <c r="Y1011">
        <f>IF(AND($A1011&lt;&gt;"",$B1011&lt;&gt;"",$R1011='تقرير نوفمبر'!$C$4,$P1011='تقرير نوفمبر'!$C$6),COUNT(Y$4:Y1010)+1,"")</f>
        <v/>
      </c>
      <c r="Z1011">
        <f>IF(AND($A1011&lt;&gt;"",$B1011&lt;&gt;"",$R1011='تقرير ديسمبر'!$C$4,$P1011='تقرير ديسمبر'!$C$6),COUNT(Z$4:Z1010)+1,"")</f>
        <v/>
      </c>
      <c r="AA1011">
        <f>IF(AND($A1011&lt;&gt;"",$B1011&lt;&gt;"",$R1011='تقرير يناير'!$C$4,$P1011='تقرير يناير'!$C$6),COUNT(AA$4:AA1010)+1,"")</f>
        <v/>
      </c>
      <c r="AB1011">
        <f>IF(AND($A1011&lt;&gt;"",$B1011&lt;&gt;"",$R1011='تقرير فبراير'!$C$4,$P1011='تقرير فبراير'!$C$6),COUNT(AB$4:AB1010)+1,"")</f>
        <v/>
      </c>
      <c r="AC1011">
        <f>IF(AND($A1011&lt;&gt;"",$B1011&lt;&gt;"",$R1011='تقرير مارس'!$C$4,$P1011='تقرير مارس'!$C$6),COUNT(AC$4:AC1010)+1,"")</f>
        <v/>
      </c>
      <c r="AD1011">
        <f>IF(AND($A1011&lt;&gt;"",$B1011&lt;&gt;"",$R1011='تقرير أبريل'!$C$4,$P1011='تقرير أبريل'!$C$6),COUNT(AD$4:AD1010)+1,"")</f>
        <v/>
      </c>
      <c r="AE1011">
        <f>IF(AND($A1011&lt;&gt;"",$B1011&lt;&gt;"",$R1011='تقرير مايو'!$C$4,$P1011='تقرير مايو'!$C$6),COUNT(AE$4:AE1010)+1,"")</f>
        <v/>
      </c>
    </row>
    <row r="1012">
      <c r="A1012" s="16" t="n"/>
      <c r="B1012" s="17" t="n"/>
      <c r="C1012" s="17" t="n"/>
      <c r="D1012" s="18" t="n"/>
      <c r="E1012" s="17" t="n"/>
      <c r="F1012" s="17" t="n"/>
      <c r="G1012" s="19" t="n"/>
      <c r="H1012" s="17" t="n"/>
      <c r="I1012" s="17" t="n"/>
      <c r="J1012" s="17" t="n"/>
      <c r="K1012" s="20">
        <f>IF($B1012="","",IFERROR(INDEX(الموظفات!$A$5:$A$304,MATCH($B1012,الموظفات!$B$5:$B$304,0))&amp;"",""))</f>
        <v/>
      </c>
      <c r="L1012" s="21">
        <f>IF($B1012="","",IFERROR(INDEX(الموظفات!$C$5:$C$304,MATCH($B1012,الموظفات!$B$5:$B$304,0))&amp;"",""))</f>
        <v/>
      </c>
      <c r="M1012" s="20">
        <f>IF($B1012="","",IFERROR(INDEX(الموظفات!$D$5:$D$304,MATCH($B1012,الموظفات!$B$5:$B$304,0))&amp;"",""))</f>
        <v/>
      </c>
      <c r="N1012" s="20">
        <f>IF($B1012="","",IFERROR(INDEX(الموظفات!$E$5:$E$304,MATCH($B1012,الموظفات!$B$5:$B$304,0))&amp;"",""))</f>
        <v/>
      </c>
      <c r="O1012" s="21">
        <f>IF(C1012="","",IFERROR(INDEX(الإعدادات!$D$7:$D$35,MATCH(C1012,الإعدادات!$A$7:$A$35,0))&amp;"",""))</f>
        <v/>
      </c>
      <c r="P1012" s="20">
        <f>IF(A1012="","",INDEX(الإعدادات!$H$7:$H$18,MONTH(A1012)))</f>
        <v/>
      </c>
      <c r="Q1012" s="20">
        <f>IF(A1012="","",INDEX(الإعدادات!$I$7:$I$18,MONTH(A1012)))</f>
        <v/>
      </c>
      <c r="R1012" s="20">
        <f>IF(A1012="","",IF(MONTH(A1012)&gt;=8,YEAR(A1012)&amp;"-"&amp;(YEAR(A1012)+1),(YEAR(A1012)-1)&amp;"-"&amp;YEAR(A1012)))</f>
        <v/>
      </c>
      <c r="S1012" s="20">
        <f>IF(OR(A1012="",B1012=""),0,IF(AND(R1012=التقارير!$C$4,OR(التقارير!$C$5="سنوي",AND(التقارير!$C$5="شهري",P1012=التقارير!$C$6),AND(التقارير!$C$5="فصلي",Q1012=التقارير!$C$7))),1,0))</f>
        <v/>
      </c>
      <c r="T1012" s="20">
        <f>IF(S1012=1,COUNTIF($S$5:S1012,1),"")</f>
        <v/>
      </c>
      <c r="U1012">
        <f>IF(AND($A1012&lt;&gt;"",$B1012&lt;&gt;"",$R1012='تقرير الفصل الأول'!$C$4,$Q1012='تقرير الفصل الأول'!$C$7),COUNT(U$4:U1011)+1,"")</f>
        <v/>
      </c>
      <c r="V1012">
        <f>IF(AND($A1012&lt;&gt;"",$B1012&lt;&gt;"",$R1012='تقرير الفصل الثاني'!$C$4,$Q1012='تقرير الفصل الثاني'!$C$7),COUNT(V$4:V1011)+1,"")</f>
        <v/>
      </c>
      <c r="W1012">
        <f>IF(AND($A1012&lt;&gt;"",$B1012&lt;&gt;"",$R1012='تقرير سبتمبر'!$C$4,$P1012='تقرير سبتمبر'!$C$6),COUNT(W$4:W1011)+1,"")</f>
        <v/>
      </c>
      <c r="X1012">
        <f>IF(AND($A1012&lt;&gt;"",$B1012&lt;&gt;"",$R1012='تقرير أكتوبر'!$C$4,$P1012='تقرير أكتوبر'!$C$6),COUNT(X$4:X1011)+1,"")</f>
        <v/>
      </c>
      <c r="Y1012">
        <f>IF(AND($A1012&lt;&gt;"",$B1012&lt;&gt;"",$R1012='تقرير نوفمبر'!$C$4,$P1012='تقرير نوفمبر'!$C$6),COUNT(Y$4:Y1011)+1,"")</f>
        <v/>
      </c>
      <c r="Z1012">
        <f>IF(AND($A1012&lt;&gt;"",$B1012&lt;&gt;"",$R1012='تقرير ديسمبر'!$C$4,$P1012='تقرير ديسمبر'!$C$6),COUNT(Z$4:Z1011)+1,"")</f>
        <v/>
      </c>
      <c r="AA1012">
        <f>IF(AND($A1012&lt;&gt;"",$B1012&lt;&gt;"",$R1012='تقرير يناير'!$C$4,$P1012='تقرير يناير'!$C$6),COUNT(AA$4:AA1011)+1,"")</f>
        <v/>
      </c>
      <c r="AB1012">
        <f>IF(AND($A1012&lt;&gt;"",$B1012&lt;&gt;"",$R1012='تقرير فبراير'!$C$4,$P1012='تقرير فبراير'!$C$6),COUNT(AB$4:AB1011)+1,"")</f>
        <v/>
      </c>
      <c r="AC1012">
        <f>IF(AND($A1012&lt;&gt;"",$B1012&lt;&gt;"",$R1012='تقرير مارس'!$C$4,$P1012='تقرير مارس'!$C$6),COUNT(AC$4:AC1011)+1,"")</f>
        <v/>
      </c>
      <c r="AD1012">
        <f>IF(AND($A1012&lt;&gt;"",$B1012&lt;&gt;"",$R1012='تقرير أبريل'!$C$4,$P1012='تقرير أبريل'!$C$6),COUNT(AD$4:AD1011)+1,"")</f>
        <v/>
      </c>
      <c r="AE1012">
        <f>IF(AND($A1012&lt;&gt;"",$B1012&lt;&gt;"",$R1012='تقرير مايو'!$C$4,$P1012='تقرير مايو'!$C$6),COUNT(AE$4:AE1011)+1,"")</f>
        <v/>
      </c>
    </row>
    <row r="1013">
      <c r="A1013" s="16" t="n"/>
      <c r="B1013" s="17" t="n"/>
      <c r="C1013" s="17" t="n"/>
      <c r="D1013" s="18" t="n"/>
      <c r="E1013" s="17" t="n"/>
      <c r="F1013" s="17" t="n"/>
      <c r="G1013" s="19" t="n"/>
      <c r="H1013" s="17" t="n"/>
      <c r="I1013" s="17" t="n"/>
      <c r="J1013" s="17" t="n"/>
      <c r="K1013" s="20">
        <f>IF($B1013="","",IFERROR(INDEX(الموظفات!$A$5:$A$304,MATCH($B1013,الموظفات!$B$5:$B$304,0))&amp;"",""))</f>
        <v/>
      </c>
      <c r="L1013" s="21">
        <f>IF($B1013="","",IFERROR(INDEX(الموظفات!$C$5:$C$304,MATCH($B1013,الموظفات!$B$5:$B$304,0))&amp;"",""))</f>
        <v/>
      </c>
      <c r="M1013" s="20">
        <f>IF($B1013="","",IFERROR(INDEX(الموظفات!$D$5:$D$304,MATCH($B1013,الموظفات!$B$5:$B$304,0))&amp;"",""))</f>
        <v/>
      </c>
      <c r="N1013" s="20">
        <f>IF($B1013="","",IFERROR(INDEX(الموظفات!$E$5:$E$304,MATCH($B1013,الموظفات!$B$5:$B$304,0))&amp;"",""))</f>
        <v/>
      </c>
      <c r="O1013" s="21">
        <f>IF(C1013="","",IFERROR(INDEX(الإعدادات!$D$7:$D$35,MATCH(C1013,الإعدادات!$A$7:$A$35,0))&amp;"",""))</f>
        <v/>
      </c>
      <c r="P1013" s="20">
        <f>IF(A1013="","",INDEX(الإعدادات!$H$7:$H$18,MONTH(A1013)))</f>
        <v/>
      </c>
      <c r="Q1013" s="20">
        <f>IF(A1013="","",INDEX(الإعدادات!$I$7:$I$18,MONTH(A1013)))</f>
        <v/>
      </c>
      <c r="R1013" s="20">
        <f>IF(A1013="","",IF(MONTH(A1013)&gt;=8,YEAR(A1013)&amp;"-"&amp;(YEAR(A1013)+1),(YEAR(A1013)-1)&amp;"-"&amp;YEAR(A1013)))</f>
        <v/>
      </c>
      <c r="S1013" s="20">
        <f>IF(OR(A1013="",B1013=""),0,IF(AND(R1013=التقارير!$C$4,OR(التقارير!$C$5="سنوي",AND(التقارير!$C$5="شهري",P1013=التقارير!$C$6),AND(التقارير!$C$5="فصلي",Q1013=التقارير!$C$7))),1,0))</f>
        <v/>
      </c>
      <c r="T1013" s="20">
        <f>IF(S1013=1,COUNTIF($S$5:S1013,1),"")</f>
        <v/>
      </c>
      <c r="U1013">
        <f>IF(AND($A1013&lt;&gt;"",$B1013&lt;&gt;"",$R1013='تقرير الفصل الأول'!$C$4,$Q1013='تقرير الفصل الأول'!$C$7),COUNT(U$4:U1012)+1,"")</f>
        <v/>
      </c>
      <c r="V1013">
        <f>IF(AND($A1013&lt;&gt;"",$B1013&lt;&gt;"",$R1013='تقرير الفصل الثاني'!$C$4,$Q1013='تقرير الفصل الثاني'!$C$7),COUNT(V$4:V1012)+1,"")</f>
        <v/>
      </c>
      <c r="W1013">
        <f>IF(AND($A1013&lt;&gt;"",$B1013&lt;&gt;"",$R1013='تقرير سبتمبر'!$C$4,$P1013='تقرير سبتمبر'!$C$6),COUNT(W$4:W1012)+1,"")</f>
        <v/>
      </c>
      <c r="X1013">
        <f>IF(AND($A1013&lt;&gt;"",$B1013&lt;&gt;"",$R1013='تقرير أكتوبر'!$C$4,$P1013='تقرير أكتوبر'!$C$6),COUNT(X$4:X1012)+1,"")</f>
        <v/>
      </c>
      <c r="Y1013">
        <f>IF(AND($A1013&lt;&gt;"",$B1013&lt;&gt;"",$R1013='تقرير نوفمبر'!$C$4,$P1013='تقرير نوفمبر'!$C$6),COUNT(Y$4:Y1012)+1,"")</f>
        <v/>
      </c>
      <c r="Z1013">
        <f>IF(AND($A1013&lt;&gt;"",$B1013&lt;&gt;"",$R1013='تقرير ديسمبر'!$C$4,$P1013='تقرير ديسمبر'!$C$6),COUNT(Z$4:Z1012)+1,"")</f>
        <v/>
      </c>
      <c r="AA1013">
        <f>IF(AND($A1013&lt;&gt;"",$B1013&lt;&gt;"",$R1013='تقرير يناير'!$C$4,$P1013='تقرير يناير'!$C$6),COUNT(AA$4:AA1012)+1,"")</f>
        <v/>
      </c>
      <c r="AB1013">
        <f>IF(AND($A1013&lt;&gt;"",$B1013&lt;&gt;"",$R1013='تقرير فبراير'!$C$4,$P1013='تقرير فبراير'!$C$6),COUNT(AB$4:AB1012)+1,"")</f>
        <v/>
      </c>
      <c r="AC1013">
        <f>IF(AND($A1013&lt;&gt;"",$B1013&lt;&gt;"",$R1013='تقرير مارس'!$C$4,$P1013='تقرير مارس'!$C$6),COUNT(AC$4:AC1012)+1,"")</f>
        <v/>
      </c>
      <c r="AD1013">
        <f>IF(AND($A1013&lt;&gt;"",$B1013&lt;&gt;"",$R1013='تقرير أبريل'!$C$4,$P1013='تقرير أبريل'!$C$6),COUNT(AD$4:AD1012)+1,"")</f>
        <v/>
      </c>
      <c r="AE1013">
        <f>IF(AND($A1013&lt;&gt;"",$B1013&lt;&gt;"",$R1013='تقرير مايو'!$C$4,$P1013='تقرير مايو'!$C$6),COUNT(AE$4:AE1012)+1,"")</f>
        <v/>
      </c>
    </row>
    <row r="1014">
      <c r="A1014" s="16" t="n"/>
      <c r="B1014" s="17" t="n"/>
      <c r="C1014" s="17" t="n"/>
      <c r="D1014" s="18" t="n"/>
      <c r="E1014" s="17" t="n"/>
      <c r="F1014" s="17" t="n"/>
      <c r="G1014" s="19" t="n"/>
      <c r="H1014" s="17" t="n"/>
      <c r="I1014" s="17" t="n"/>
      <c r="J1014" s="17" t="n"/>
      <c r="K1014" s="20">
        <f>IF($B1014="","",IFERROR(INDEX(الموظفات!$A$5:$A$304,MATCH($B1014,الموظفات!$B$5:$B$304,0))&amp;"",""))</f>
        <v/>
      </c>
      <c r="L1014" s="21">
        <f>IF($B1014="","",IFERROR(INDEX(الموظفات!$C$5:$C$304,MATCH($B1014,الموظفات!$B$5:$B$304,0))&amp;"",""))</f>
        <v/>
      </c>
      <c r="M1014" s="20">
        <f>IF($B1014="","",IFERROR(INDEX(الموظفات!$D$5:$D$304,MATCH($B1014,الموظفات!$B$5:$B$304,0))&amp;"",""))</f>
        <v/>
      </c>
      <c r="N1014" s="20">
        <f>IF($B1014="","",IFERROR(INDEX(الموظفات!$E$5:$E$304,MATCH($B1014,الموظفات!$B$5:$B$304,0))&amp;"",""))</f>
        <v/>
      </c>
      <c r="O1014" s="21">
        <f>IF(C1014="","",IFERROR(INDEX(الإعدادات!$D$7:$D$35,MATCH(C1014,الإعدادات!$A$7:$A$35,0))&amp;"",""))</f>
        <v/>
      </c>
      <c r="P1014" s="20">
        <f>IF(A1014="","",INDEX(الإعدادات!$H$7:$H$18,MONTH(A1014)))</f>
        <v/>
      </c>
      <c r="Q1014" s="20">
        <f>IF(A1014="","",INDEX(الإعدادات!$I$7:$I$18,MONTH(A1014)))</f>
        <v/>
      </c>
      <c r="R1014" s="20">
        <f>IF(A1014="","",IF(MONTH(A1014)&gt;=8,YEAR(A1014)&amp;"-"&amp;(YEAR(A1014)+1),(YEAR(A1014)-1)&amp;"-"&amp;YEAR(A1014)))</f>
        <v/>
      </c>
      <c r="S1014" s="20">
        <f>IF(OR(A1014="",B1014=""),0,IF(AND(R1014=التقارير!$C$4,OR(التقارير!$C$5="سنوي",AND(التقارير!$C$5="شهري",P1014=التقارير!$C$6),AND(التقارير!$C$5="فصلي",Q1014=التقارير!$C$7))),1,0))</f>
        <v/>
      </c>
      <c r="T1014" s="20">
        <f>IF(S1014=1,COUNTIF($S$5:S1014,1),"")</f>
        <v/>
      </c>
      <c r="U1014">
        <f>IF(AND($A1014&lt;&gt;"",$B1014&lt;&gt;"",$R1014='تقرير الفصل الأول'!$C$4,$Q1014='تقرير الفصل الأول'!$C$7),COUNT(U$4:U1013)+1,"")</f>
        <v/>
      </c>
      <c r="V1014">
        <f>IF(AND($A1014&lt;&gt;"",$B1014&lt;&gt;"",$R1014='تقرير الفصل الثاني'!$C$4,$Q1014='تقرير الفصل الثاني'!$C$7),COUNT(V$4:V1013)+1,"")</f>
        <v/>
      </c>
      <c r="W1014">
        <f>IF(AND($A1014&lt;&gt;"",$B1014&lt;&gt;"",$R1014='تقرير سبتمبر'!$C$4,$P1014='تقرير سبتمبر'!$C$6),COUNT(W$4:W1013)+1,"")</f>
        <v/>
      </c>
      <c r="X1014">
        <f>IF(AND($A1014&lt;&gt;"",$B1014&lt;&gt;"",$R1014='تقرير أكتوبر'!$C$4,$P1014='تقرير أكتوبر'!$C$6),COUNT(X$4:X1013)+1,"")</f>
        <v/>
      </c>
      <c r="Y1014">
        <f>IF(AND($A1014&lt;&gt;"",$B1014&lt;&gt;"",$R1014='تقرير نوفمبر'!$C$4,$P1014='تقرير نوفمبر'!$C$6),COUNT(Y$4:Y1013)+1,"")</f>
        <v/>
      </c>
      <c r="Z1014">
        <f>IF(AND($A1014&lt;&gt;"",$B1014&lt;&gt;"",$R1014='تقرير ديسمبر'!$C$4,$P1014='تقرير ديسمبر'!$C$6),COUNT(Z$4:Z1013)+1,"")</f>
        <v/>
      </c>
      <c r="AA1014">
        <f>IF(AND($A1014&lt;&gt;"",$B1014&lt;&gt;"",$R1014='تقرير يناير'!$C$4,$P1014='تقرير يناير'!$C$6),COUNT(AA$4:AA1013)+1,"")</f>
        <v/>
      </c>
      <c r="AB1014">
        <f>IF(AND($A1014&lt;&gt;"",$B1014&lt;&gt;"",$R1014='تقرير فبراير'!$C$4,$P1014='تقرير فبراير'!$C$6),COUNT(AB$4:AB1013)+1,"")</f>
        <v/>
      </c>
      <c r="AC1014">
        <f>IF(AND($A1014&lt;&gt;"",$B1014&lt;&gt;"",$R1014='تقرير مارس'!$C$4,$P1014='تقرير مارس'!$C$6),COUNT(AC$4:AC1013)+1,"")</f>
        <v/>
      </c>
      <c r="AD1014">
        <f>IF(AND($A1014&lt;&gt;"",$B1014&lt;&gt;"",$R1014='تقرير أبريل'!$C$4,$P1014='تقرير أبريل'!$C$6),COUNT(AD$4:AD1013)+1,"")</f>
        <v/>
      </c>
      <c r="AE1014">
        <f>IF(AND($A1014&lt;&gt;"",$B1014&lt;&gt;"",$R1014='تقرير مايو'!$C$4,$P1014='تقرير مايو'!$C$6),COUNT(AE$4:AE1013)+1,"")</f>
        <v/>
      </c>
    </row>
    <row r="1015">
      <c r="A1015" s="16" t="n"/>
      <c r="B1015" s="17" t="n"/>
      <c r="C1015" s="17" t="n"/>
      <c r="D1015" s="18" t="n"/>
      <c r="E1015" s="17" t="n"/>
      <c r="F1015" s="17" t="n"/>
      <c r="G1015" s="19" t="n"/>
      <c r="H1015" s="17" t="n"/>
      <c r="I1015" s="17" t="n"/>
      <c r="J1015" s="17" t="n"/>
      <c r="K1015" s="20">
        <f>IF($B1015="","",IFERROR(INDEX(الموظفات!$A$5:$A$304,MATCH($B1015,الموظفات!$B$5:$B$304,0))&amp;"",""))</f>
        <v/>
      </c>
      <c r="L1015" s="21">
        <f>IF($B1015="","",IFERROR(INDEX(الموظفات!$C$5:$C$304,MATCH($B1015,الموظفات!$B$5:$B$304,0))&amp;"",""))</f>
        <v/>
      </c>
      <c r="M1015" s="20">
        <f>IF($B1015="","",IFERROR(INDEX(الموظفات!$D$5:$D$304,MATCH($B1015,الموظفات!$B$5:$B$304,0))&amp;"",""))</f>
        <v/>
      </c>
      <c r="N1015" s="20">
        <f>IF($B1015="","",IFERROR(INDEX(الموظفات!$E$5:$E$304,MATCH($B1015,الموظفات!$B$5:$B$304,0))&amp;"",""))</f>
        <v/>
      </c>
      <c r="O1015" s="21">
        <f>IF(C1015="","",IFERROR(INDEX(الإعدادات!$D$7:$D$35,MATCH(C1015,الإعدادات!$A$7:$A$35,0))&amp;"",""))</f>
        <v/>
      </c>
      <c r="P1015" s="20">
        <f>IF(A1015="","",INDEX(الإعدادات!$H$7:$H$18,MONTH(A1015)))</f>
        <v/>
      </c>
      <c r="Q1015" s="20">
        <f>IF(A1015="","",INDEX(الإعدادات!$I$7:$I$18,MONTH(A1015)))</f>
        <v/>
      </c>
      <c r="R1015" s="20">
        <f>IF(A1015="","",IF(MONTH(A1015)&gt;=8,YEAR(A1015)&amp;"-"&amp;(YEAR(A1015)+1),(YEAR(A1015)-1)&amp;"-"&amp;YEAR(A1015)))</f>
        <v/>
      </c>
      <c r="S1015" s="20">
        <f>IF(OR(A1015="",B1015=""),0,IF(AND(R1015=التقارير!$C$4,OR(التقارير!$C$5="سنوي",AND(التقارير!$C$5="شهري",P1015=التقارير!$C$6),AND(التقارير!$C$5="فصلي",Q1015=التقارير!$C$7))),1,0))</f>
        <v/>
      </c>
      <c r="T1015" s="20">
        <f>IF(S1015=1,COUNTIF($S$5:S1015,1),"")</f>
        <v/>
      </c>
      <c r="U1015">
        <f>IF(AND($A1015&lt;&gt;"",$B1015&lt;&gt;"",$R1015='تقرير الفصل الأول'!$C$4,$Q1015='تقرير الفصل الأول'!$C$7),COUNT(U$4:U1014)+1,"")</f>
        <v/>
      </c>
      <c r="V1015">
        <f>IF(AND($A1015&lt;&gt;"",$B1015&lt;&gt;"",$R1015='تقرير الفصل الثاني'!$C$4,$Q1015='تقرير الفصل الثاني'!$C$7),COUNT(V$4:V1014)+1,"")</f>
        <v/>
      </c>
      <c r="W1015">
        <f>IF(AND($A1015&lt;&gt;"",$B1015&lt;&gt;"",$R1015='تقرير سبتمبر'!$C$4,$P1015='تقرير سبتمبر'!$C$6),COUNT(W$4:W1014)+1,"")</f>
        <v/>
      </c>
      <c r="X1015">
        <f>IF(AND($A1015&lt;&gt;"",$B1015&lt;&gt;"",$R1015='تقرير أكتوبر'!$C$4,$P1015='تقرير أكتوبر'!$C$6),COUNT(X$4:X1014)+1,"")</f>
        <v/>
      </c>
      <c r="Y1015">
        <f>IF(AND($A1015&lt;&gt;"",$B1015&lt;&gt;"",$R1015='تقرير نوفمبر'!$C$4,$P1015='تقرير نوفمبر'!$C$6),COUNT(Y$4:Y1014)+1,"")</f>
        <v/>
      </c>
      <c r="Z1015">
        <f>IF(AND($A1015&lt;&gt;"",$B1015&lt;&gt;"",$R1015='تقرير ديسمبر'!$C$4,$P1015='تقرير ديسمبر'!$C$6),COUNT(Z$4:Z1014)+1,"")</f>
        <v/>
      </c>
      <c r="AA1015">
        <f>IF(AND($A1015&lt;&gt;"",$B1015&lt;&gt;"",$R1015='تقرير يناير'!$C$4,$P1015='تقرير يناير'!$C$6),COUNT(AA$4:AA1014)+1,"")</f>
        <v/>
      </c>
      <c r="AB1015">
        <f>IF(AND($A1015&lt;&gt;"",$B1015&lt;&gt;"",$R1015='تقرير فبراير'!$C$4,$P1015='تقرير فبراير'!$C$6),COUNT(AB$4:AB1014)+1,"")</f>
        <v/>
      </c>
      <c r="AC1015">
        <f>IF(AND($A1015&lt;&gt;"",$B1015&lt;&gt;"",$R1015='تقرير مارس'!$C$4,$P1015='تقرير مارس'!$C$6),COUNT(AC$4:AC1014)+1,"")</f>
        <v/>
      </c>
      <c r="AD1015">
        <f>IF(AND($A1015&lt;&gt;"",$B1015&lt;&gt;"",$R1015='تقرير أبريل'!$C$4,$P1015='تقرير أبريل'!$C$6),COUNT(AD$4:AD1014)+1,"")</f>
        <v/>
      </c>
      <c r="AE1015">
        <f>IF(AND($A1015&lt;&gt;"",$B1015&lt;&gt;"",$R1015='تقرير مايو'!$C$4,$P1015='تقرير مايو'!$C$6),COUNT(AE$4:AE1014)+1,"")</f>
        <v/>
      </c>
    </row>
    <row r="1016">
      <c r="A1016" s="16" t="n"/>
      <c r="B1016" s="17" t="n"/>
      <c r="C1016" s="17" t="n"/>
      <c r="D1016" s="18" t="n"/>
      <c r="E1016" s="17" t="n"/>
      <c r="F1016" s="17" t="n"/>
      <c r="G1016" s="19" t="n"/>
      <c r="H1016" s="17" t="n"/>
      <c r="I1016" s="17" t="n"/>
      <c r="J1016" s="17" t="n"/>
      <c r="K1016" s="20">
        <f>IF($B1016="","",IFERROR(INDEX(الموظفات!$A$5:$A$304,MATCH($B1016,الموظفات!$B$5:$B$304,0))&amp;"",""))</f>
        <v/>
      </c>
      <c r="L1016" s="21">
        <f>IF($B1016="","",IFERROR(INDEX(الموظفات!$C$5:$C$304,MATCH($B1016,الموظفات!$B$5:$B$304,0))&amp;"",""))</f>
        <v/>
      </c>
      <c r="M1016" s="20">
        <f>IF($B1016="","",IFERROR(INDEX(الموظفات!$D$5:$D$304,MATCH($B1016,الموظفات!$B$5:$B$304,0))&amp;"",""))</f>
        <v/>
      </c>
      <c r="N1016" s="20">
        <f>IF($B1016="","",IFERROR(INDEX(الموظفات!$E$5:$E$304,MATCH($B1016,الموظفات!$B$5:$B$304,0))&amp;"",""))</f>
        <v/>
      </c>
      <c r="O1016" s="21">
        <f>IF(C1016="","",IFERROR(INDEX(الإعدادات!$D$7:$D$35,MATCH(C1016,الإعدادات!$A$7:$A$35,0))&amp;"",""))</f>
        <v/>
      </c>
      <c r="P1016" s="20">
        <f>IF(A1016="","",INDEX(الإعدادات!$H$7:$H$18,MONTH(A1016)))</f>
        <v/>
      </c>
      <c r="Q1016" s="20">
        <f>IF(A1016="","",INDEX(الإعدادات!$I$7:$I$18,MONTH(A1016)))</f>
        <v/>
      </c>
      <c r="R1016" s="20">
        <f>IF(A1016="","",IF(MONTH(A1016)&gt;=8,YEAR(A1016)&amp;"-"&amp;(YEAR(A1016)+1),(YEAR(A1016)-1)&amp;"-"&amp;YEAR(A1016)))</f>
        <v/>
      </c>
      <c r="S1016" s="20">
        <f>IF(OR(A1016="",B1016=""),0,IF(AND(R1016=التقارير!$C$4,OR(التقارير!$C$5="سنوي",AND(التقارير!$C$5="شهري",P1016=التقارير!$C$6),AND(التقارير!$C$5="فصلي",Q1016=التقارير!$C$7))),1,0))</f>
        <v/>
      </c>
      <c r="T1016" s="20">
        <f>IF(S1016=1,COUNTIF($S$5:S1016,1),"")</f>
        <v/>
      </c>
      <c r="U1016">
        <f>IF(AND($A1016&lt;&gt;"",$B1016&lt;&gt;"",$R1016='تقرير الفصل الأول'!$C$4,$Q1016='تقرير الفصل الأول'!$C$7),COUNT(U$4:U1015)+1,"")</f>
        <v/>
      </c>
      <c r="V1016">
        <f>IF(AND($A1016&lt;&gt;"",$B1016&lt;&gt;"",$R1016='تقرير الفصل الثاني'!$C$4,$Q1016='تقرير الفصل الثاني'!$C$7),COUNT(V$4:V1015)+1,"")</f>
        <v/>
      </c>
      <c r="W1016">
        <f>IF(AND($A1016&lt;&gt;"",$B1016&lt;&gt;"",$R1016='تقرير سبتمبر'!$C$4,$P1016='تقرير سبتمبر'!$C$6),COUNT(W$4:W1015)+1,"")</f>
        <v/>
      </c>
      <c r="X1016">
        <f>IF(AND($A1016&lt;&gt;"",$B1016&lt;&gt;"",$R1016='تقرير أكتوبر'!$C$4,$P1016='تقرير أكتوبر'!$C$6),COUNT(X$4:X1015)+1,"")</f>
        <v/>
      </c>
      <c r="Y1016">
        <f>IF(AND($A1016&lt;&gt;"",$B1016&lt;&gt;"",$R1016='تقرير نوفمبر'!$C$4,$P1016='تقرير نوفمبر'!$C$6),COUNT(Y$4:Y1015)+1,"")</f>
        <v/>
      </c>
      <c r="Z1016">
        <f>IF(AND($A1016&lt;&gt;"",$B1016&lt;&gt;"",$R1016='تقرير ديسمبر'!$C$4,$P1016='تقرير ديسمبر'!$C$6),COUNT(Z$4:Z1015)+1,"")</f>
        <v/>
      </c>
      <c r="AA1016">
        <f>IF(AND($A1016&lt;&gt;"",$B1016&lt;&gt;"",$R1016='تقرير يناير'!$C$4,$P1016='تقرير يناير'!$C$6),COUNT(AA$4:AA1015)+1,"")</f>
        <v/>
      </c>
      <c r="AB1016">
        <f>IF(AND($A1016&lt;&gt;"",$B1016&lt;&gt;"",$R1016='تقرير فبراير'!$C$4,$P1016='تقرير فبراير'!$C$6),COUNT(AB$4:AB1015)+1,"")</f>
        <v/>
      </c>
      <c r="AC1016">
        <f>IF(AND($A1016&lt;&gt;"",$B1016&lt;&gt;"",$R1016='تقرير مارس'!$C$4,$P1016='تقرير مارس'!$C$6),COUNT(AC$4:AC1015)+1,"")</f>
        <v/>
      </c>
      <c r="AD1016">
        <f>IF(AND($A1016&lt;&gt;"",$B1016&lt;&gt;"",$R1016='تقرير أبريل'!$C$4,$P1016='تقرير أبريل'!$C$6),COUNT(AD$4:AD1015)+1,"")</f>
        <v/>
      </c>
      <c r="AE1016">
        <f>IF(AND($A1016&lt;&gt;"",$B1016&lt;&gt;"",$R1016='تقرير مايو'!$C$4,$P1016='تقرير مايو'!$C$6),COUNT(AE$4:AE1015)+1,"")</f>
        <v/>
      </c>
    </row>
    <row r="1017">
      <c r="A1017" s="16" t="n"/>
      <c r="B1017" s="17" t="n"/>
      <c r="C1017" s="17" t="n"/>
      <c r="D1017" s="18" t="n"/>
      <c r="E1017" s="17" t="n"/>
      <c r="F1017" s="17" t="n"/>
      <c r="G1017" s="19" t="n"/>
      <c r="H1017" s="17" t="n"/>
      <c r="I1017" s="17" t="n"/>
      <c r="J1017" s="17" t="n"/>
      <c r="K1017" s="20">
        <f>IF($B1017="","",IFERROR(INDEX(الموظفات!$A$5:$A$304,MATCH($B1017,الموظفات!$B$5:$B$304,0))&amp;"",""))</f>
        <v/>
      </c>
      <c r="L1017" s="21">
        <f>IF($B1017="","",IFERROR(INDEX(الموظفات!$C$5:$C$304,MATCH($B1017,الموظفات!$B$5:$B$304,0))&amp;"",""))</f>
        <v/>
      </c>
      <c r="M1017" s="20">
        <f>IF($B1017="","",IFERROR(INDEX(الموظفات!$D$5:$D$304,MATCH($B1017,الموظفات!$B$5:$B$304,0))&amp;"",""))</f>
        <v/>
      </c>
      <c r="N1017" s="20">
        <f>IF($B1017="","",IFERROR(INDEX(الموظفات!$E$5:$E$304,MATCH($B1017,الموظفات!$B$5:$B$304,0))&amp;"",""))</f>
        <v/>
      </c>
      <c r="O1017" s="21">
        <f>IF(C1017="","",IFERROR(INDEX(الإعدادات!$D$7:$D$35,MATCH(C1017,الإعدادات!$A$7:$A$35,0))&amp;"",""))</f>
        <v/>
      </c>
      <c r="P1017" s="20">
        <f>IF(A1017="","",INDEX(الإعدادات!$H$7:$H$18,MONTH(A1017)))</f>
        <v/>
      </c>
      <c r="Q1017" s="20">
        <f>IF(A1017="","",INDEX(الإعدادات!$I$7:$I$18,MONTH(A1017)))</f>
        <v/>
      </c>
      <c r="R1017" s="20">
        <f>IF(A1017="","",IF(MONTH(A1017)&gt;=8,YEAR(A1017)&amp;"-"&amp;(YEAR(A1017)+1),(YEAR(A1017)-1)&amp;"-"&amp;YEAR(A1017)))</f>
        <v/>
      </c>
      <c r="S1017" s="20">
        <f>IF(OR(A1017="",B1017=""),0,IF(AND(R1017=التقارير!$C$4,OR(التقارير!$C$5="سنوي",AND(التقارير!$C$5="شهري",P1017=التقارير!$C$6),AND(التقارير!$C$5="فصلي",Q1017=التقارير!$C$7))),1,0))</f>
        <v/>
      </c>
      <c r="T1017" s="20">
        <f>IF(S1017=1,COUNTIF($S$5:S1017,1),"")</f>
        <v/>
      </c>
      <c r="U1017">
        <f>IF(AND($A1017&lt;&gt;"",$B1017&lt;&gt;"",$R1017='تقرير الفصل الأول'!$C$4,$Q1017='تقرير الفصل الأول'!$C$7),COUNT(U$4:U1016)+1,"")</f>
        <v/>
      </c>
      <c r="V1017">
        <f>IF(AND($A1017&lt;&gt;"",$B1017&lt;&gt;"",$R1017='تقرير الفصل الثاني'!$C$4,$Q1017='تقرير الفصل الثاني'!$C$7),COUNT(V$4:V1016)+1,"")</f>
        <v/>
      </c>
      <c r="W1017">
        <f>IF(AND($A1017&lt;&gt;"",$B1017&lt;&gt;"",$R1017='تقرير سبتمبر'!$C$4,$P1017='تقرير سبتمبر'!$C$6),COUNT(W$4:W1016)+1,"")</f>
        <v/>
      </c>
      <c r="X1017">
        <f>IF(AND($A1017&lt;&gt;"",$B1017&lt;&gt;"",$R1017='تقرير أكتوبر'!$C$4,$P1017='تقرير أكتوبر'!$C$6),COUNT(X$4:X1016)+1,"")</f>
        <v/>
      </c>
      <c r="Y1017">
        <f>IF(AND($A1017&lt;&gt;"",$B1017&lt;&gt;"",$R1017='تقرير نوفمبر'!$C$4,$P1017='تقرير نوفمبر'!$C$6),COUNT(Y$4:Y1016)+1,"")</f>
        <v/>
      </c>
      <c r="Z1017">
        <f>IF(AND($A1017&lt;&gt;"",$B1017&lt;&gt;"",$R1017='تقرير ديسمبر'!$C$4,$P1017='تقرير ديسمبر'!$C$6),COUNT(Z$4:Z1016)+1,"")</f>
        <v/>
      </c>
      <c r="AA1017">
        <f>IF(AND($A1017&lt;&gt;"",$B1017&lt;&gt;"",$R1017='تقرير يناير'!$C$4,$P1017='تقرير يناير'!$C$6),COUNT(AA$4:AA1016)+1,"")</f>
        <v/>
      </c>
      <c r="AB1017">
        <f>IF(AND($A1017&lt;&gt;"",$B1017&lt;&gt;"",$R1017='تقرير فبراير'!$C$4,$P1017='تقرير فبراير'!$C$6),COUNT(AB$4:AB1016)+1,"")</f>
        <v/>
      </c>
      <c r="AC1017">
        <f>IF(AND($A1017&lt;&gt;"",$B1017&lt;&gt;"",$R1017='تقرير مارس'!$C$4,$P1017='تقرير مارس'!$C$6),COUNT(AC$4:AC1016)+1,"")</f>
        <v/>
      </c>
      <c r="AD1017">
        <f>IF(AND($A1017&lt;&gt;"",$B1017&lt;&gt;"",$R1017='تقرير أبريل'!$C$4,$P1017='تقرير أبريل'!$C$6),COUNT(AD$4:AD1016)+1,"")</f>
        <v/>
      </c>
      <c r="AE1017">
        <f>IF(AND($A1017&lt;&gt;"",$B1017&lt;&gt;"",$R1017='تقرير مايو'!$C$4,$P1017='تقرير مايو'!$C$6),COUNT(AE$4:AE1016)+1,"")</f>
        <v/>
      </c>
    </row>
    <row r="1018">
      <c r="A1018" s="16" t="n"/>
      <c r="B1018" s="17" t="n"/>
      <c r="C1018" s="17" t="n"/>
      <c r="D1018" s="18" t="n"/>
      <c r="E1018" s="17" t="n"/>
      <c r="F1018" s="17" t="n"/>
      <c r="G1018" s="19" t="n"/>
      <c r="H1018" s="17" t="n"/>
      <c r="I1018" s="17" t="n"/>
      <c r="J1018" s="17" t="n"/>
      <c r="K1018" s="20">
        <f>IF($B1018="","",IFERROR(INDEX(الموظفات!$A$5:$A$304,MATCH($B1018,الموظفات!$B$5:$B$304,0))&amp;"",""))</f>
        <v/>
      </c>
      <c r="L1018" s="21">
        <f>IF($B1018="","",IFERROR(INDEX(الموظفات!$C$5:$C$304,MATCH($B1018,الموظفات!$B$5:$B$304,0))&amp;"",""))</f>
        <v/>
      </c>
      <c r="M1018" s="20">
        <f>IF($B1018="","",IFERROR(INDEX(الموظفات!$D$5:$D$304,MATCH($B1018,الموظفات!$B$5:$B$304,0))&amp;"",""))</f>
        <v/>
      </c>
      <c r="N1018" s="20">
        <f>IF($B1018="","",IFERROR(INDEX(الموظفات!$E$5:$E$304,MATCH($B1018,الموظفات!$B$5:$B$304,0))&amp;"",""))</f>
        <v/>
      </c>
      <c r="O1018" s="21">
        <f>IF(C1018="","",IFERROR(INDEX(الإعدادات!$D$7:$D$35,MATCH(C1018,الإعدادات!$A$7:$A$35,0))&amp;"",""))</f>
        <v/>
      </c>
      <c r="P1018" s="20">
        <f>IF(A1018="","",INDEX(الإعدادات!$H$7:$H$18,MONTH(A1018)))</f>
        <v/>
      </c>
      <c r="Q1018" s="20">
        <f>IF(A1018="","",INDEX(الإعدادات!$I$7:$I$18,MONTH(A1018)))</f>
        <v/>
      </c>
      <c r="R1018" s="20">
        <f>IF(A1018="","",IF(MONTH(A1018)&gt;=8,YEAR(A1018)&amp;"-"&amp;(YEAR(A1018)+1),(YEAR(A1018)-1)&amp;"-"&amp;YEAR(A1018)))</f>
        <v/>
      </c>
      <c r="S1018" s="20">
        <f>IF(OR(A1018="",B1018=""),0,IF(AND(R1018=التقارير!$C$4,OR(التقارير!$C$5="سنوي",AND(التقارير!$C$5="شهري",P1018=التقارير!$C$6),AND(التقارير!$C$5="فصلي",Q1018=التقارير!$C$7))),1,0))</f>
        <v/>
      </c>
      <c r="T1018" s="20">
        <f>IF(S1018=1,COUNTIF($S$5:S1018,1),"")</f>
        <v/>
      </c>
      <c r="U1018">
        <f>IF(AND($A1018&lt;&gt;"",$B1018&lt;&gt;"",$R1018='تقرير الفصل الأول'!$C$4,$Q1018='تقرير الفصل الأول'!$C$7),COUNT(U$4:U1017)+1,"")</f>
        <v/>
      </c>
      <c r="V1018">
        <f>IF(AND($A1018&lt;&gt;"",$B1018&lt;&gt;"",$R1018='تقرير الفصل الثاني'!$C$4,$Q1018='تقرير الفصل الثاني'!$C$7),COUNT(V$4:V1017)+1,"")</f>
        <v/>
      </c>
      <c r="W1018">
        <f>IF(AND($A1018&lt;&gt;"",$B1018&lt;&gt;"",$R1018='تقرير سبتمبر'!$C$4,$P1018='تقرير سبتمبر'!$C$6),COUNT(W$4:W1017)+1,"")</f>
        <v/>
      </c>
      <c r="X1018">
        <f>IF(AND($A1018&lt;&gt;"",$B1018&lt;&gt;"",$R1018='تقرير أكتوبر'!$C$4,$P1018='تقرير أكتوبر'!$C$6),COUNT(X$4:X1017)+1,"")</f>
        <v/>
      </c>
      <c r="Y1018">
        <f>IF(AND($A1018&lt;&gt;"",$B1018&lt;&gt;"",$R1018='تقرير نوفمبر'!$C$4,$P1018='تقرير نوفمبر'!$C$6),COUNT(Y$4:Y1017)+1,"")</f>
        <v/>
      </c>
      <c r="Z1018">
        <f>IF(AND($A1018&lt;&gt;"",$B1018&lt;&gt;"",$R1018='تقرير ديسمبر'!$C$4,$P1018='تقرير ديسمبر'!$C$6),COUNT(Z$4:Z1017)+1,"")</f>
        <v/>
      </c>
      <c r="AA1018">
        <f>IF(AND($A1018&lt;&gt;"",$B1018&lt;&gt;"",$R1018='تقرير يناير'!$C$4,$P1018='تقرير يناير'!$C$6),COUNT(AA$4:AA1017)+1,"")</f>
        <v/>
      </c>
      <c r="AB1018">
        <f>IF(AND($A1018&lt;&gt;"",$B1018&lt;&gt;"",$R1018='تقرير فبراير'!$C$4,$P1018='تقرير فبراير'!$C$6),COUNT(AB$4:AB1017)+1,"")</f>
        <v/>
      </c>
      <c r="AC1018">
        <f>IF(AND($A1018&lt;&gt;"",$B1018&lt;&gt;"",$R1018='تقرير مارس'!$C$4,$P1018='تقرير مارس'!$C$6),COUNT(AC$4:AC1017)+1,"")</f>
        <v/>
      </c>
      <c r="AD1018">
        <f>IF(AND($A1018&lt;&gt;"",$B1018&lt;&gt;"",$R1018='تقرير أبريل'!$C$4,$P1018='تقرير أبريل'!$C$6),COUNT(AD$4:AD1017)+1,"")</f>
        <v/>
      </c>
      <c r="AE1018">
        <f>IF(AND($A1018&lt;&gt;"",$B1018&lt;&gt;"",$R1018='تقرير مايو'!$C$4,$P1018='تقرير مايو'!$C$6),COUNT(AE$4:AE1017)+1,"")</f>
        <v/>
      </c>
    </row>
    <row r="1019">
      <c r="A1019" s="16" t="n"/>
      <c r="B1019" s="17" t="n"/>
      <c r="C1019" s="17" t="n"/>
      <c r="D1019" s="18" t="n"/>
      <c r="E1019" s="17" t="n"/>
      <c r="F1019" s="17" t="n"/>
      <c r="G1019" s="19" t="n"/>
      <c r="H1019" s="17" t="n"/>
      <c r="I1019" s="17" t="n"/>
      <c r="J1019" s="17" t="n"/>
      <c r="K1019" s="20">
        <f>IF($B1019="","",IFERROR(INDEX(الموظفات!$A$5:$A$304,MATCH($B1019,الموظفات!$B$5:$B$304,0))&amp;"",""))</f>
        <v/>
      </c>
      <c r="L1019" s="21">
        <f>IF($B1019="","",IFERROR(INDEX(الموظفات!$C$5:$C$304,MATCH($B1019,الموظفات!$B$5:$B$304,0))&amp;"",""))</f>
        <v/>
      </c>
      <c r="M1019" s="20">
        <f>IF($B1019="","",IFERROR(INDEX(الموظفات!$D$5:$D$304,MATCH($B1019,الموظفات!$B$5:$B$304,0))&amp;"",""))</f>
        <v/>
      </c>
      <c r="N1019" s="20">
        <f>IF($B1019="","",IFERROR(INDEX(الموظفات!$E$5:$E$304,MATCH($B1019,الموظفات!$B$5:$B$304,0))&amp;"",""))</f>
        <v/>
      </c>
      <c r="O1019" s="21">
        <f>IF(C1019="","",IFERROR(INDEX(الإعدادات!$D$7:$D$35,MATCH(C1019,الإعدادات!$A$7:$A$35,0))&amp;"",""))</f>
        <v/>
      </c>
      <c r="P1019" s="20">
        <f>IF(A1019="","",INDEX(الإعدادات!$H$7:$H$18,MONTH(A1019)))</f>
        <v/>
      </c>
      <c r="Q1019" s="20">
        <f>IF(A1019="","",INDEX(الإعدادات!$I$7:$I$18,MONTH(A1019)))</f>
        <v/>
      </c>
      <c r="R1019" s="20">
        <f>IF(A1019="","",IF(MONTH(A1019)&gt;=8,YEAR(A1019)&amp;"-"&amp;(YEAR(A1019)+1),(YEAR(A1019)-1)&amp;"-"&amp;YEAR(A1019)))</f>
        <v/>
      </c>
      <c r="S1019" s="20">
        <f>IF(OR(A1019="",B1019=""),0,IF(AND(R1019=التقارير!$C$4,OR(التقارير!$C$5="سنوي",AND(التقارير!$C$5="شهري",P1019=التقارير!$C$6),AND(التقارير!$C$5="فصلي",Q1019=التقارير!$C$7))),1,0))</f>
        <v/>
      </c>
      <c r="T1019" s="20">
        <f>IF(S1019=1,COUNTIF($S$5:S1019,1),"")</f>
        <v/>
      </c>
      <c r="U1019">
        <f>IF(AND($A1019&lt;&gt;"",$B1019&lt;&gt;"",$R1019='تقرير الفصل الأول'!$C$4,$Q1019='تقرير الفصل الأول'!$C$7),COUNT(U$4:U1018)+1,"")</f>
        <v/>
      </c>
      <c r="V1019">
        <f>IF(AND($A1019&lt;&gt;"",$B1019&lt;&gt;"",$R1019='تقرير الفصل الثاني'!$C$4,$Q1019='تقرير الفصل الثاني'!$C$7),COUNT(V$4:V1018)+1,"")</f>
        <v/>
      </c>
      <c r="W1019">
        <f>IF(AND($A1019&lt;&gt;"",$B1019&lt;&gt;"",$R1019='تقرير سبتمبر'!$C$4,$P1019='تقرير سبتمبر'!$C$6),COUNT(W$4:W1018)+1,"")</f>
        <v/>
      </c>
      <c r="X1019">
        <f>IF(AND($A1019&lt;&gt;"",$B1019&lt;&gt;"",$R1019='تقرير أكتوبر'!$C$4,$P1019='تقرير أكتوبر'!$C$6),COUNT(X$4:X1018)+1,"")</f>
        <v/>
      </c>
      <c r="Y1019">
        <f>IF(AND($A1019&lt;&gt;"",$B1019&lt;&gt;"",$R1019='تقرير نوفمبر'!$C$4,$P1019='تقرير نوفمبر'!$C$6),COUNT(Y$4:Y1018)+1,"")</f>
        <v/>
      </c>
      <c r="Z1019">
        <f>IF(AND($A1019&lt;&gt;"",$B1019&lt;&gt;"",$R1019='تقرير ديسمبر'!$C$4,$P1019='تقرير ديسمبر'!$C$6),COUNT(Z$4:Z1018)+1,"")</f>
        <v/>
      </c>
      <c r="AA1019">
        <f>IF(AND($A1019&lt;&gt;"",$B1019&lt;&gt;"",$R1019='تقرير يناير'!$C$4,$P1019='تقرير يناير'!$C$6),COUNT(AA$4:AA1018)+1,"")</f>
        <v/>
      </c>
      <c r="AB1019">
        <f>IF(AND($A1019&lt;&gt;"",$B1019&lt;&gt;"",$R1019='تقرير فبراير'!$C$4,$P1019='تقرير فبراير'!$C$6),COUNT(AB$4:AB1018)+1,"")</f>
        <v/>
      </c>
      <c r="AC1019">
        <f>IF(AND($A1019&lt;&gt;"",$B1019&lt;&gt;"",$R1019='تقرير مارس'!$C$4,$P1019='تقرير مارس'!$C$6),COUNT(AC$4:AC1018)+1,"")</f>
        <v/>
      </c>
      <c r="AD1019">
        <f>IF(AND($A1019&lt;&gt;"",$B1019&lt;&gt;"",$R1019='تقرير أبريل'!$C$4,$P1019='تقرير أبريل'!$C$6),COUNT(AD$4:AD1018)+1,"")</f>
        <v/>
      </c>
      <c r="AE1019">
        <f>IF(AND($A1019&lt;&gt;"",$B1019&lt;&gt;"",$R1019='تقرير مايو'!$C$4,$P1019='تقرير مايو'!$C$6),COUNT(AE$4:AE1018)+1,"")</f>
        <v/>
      </c>
    </row>
    <row r="1020">
      <c r="A1020" s="16" t="n"/>
      <c r="B1020" s="17" t="n"/>
      <c r="C1020" s="17" t="n"/>
      <c r="D1020" s="18" t="n"/>
      <c r="E1020" s="17" t="n"/>
      <c r="F1020" s="17" t="n"/>
      <c r="G1020" s="19" t="n"/>
      <c r="H1020" s="17" t="n"/>
      <c r="I1020" s="17" t="n"/>
      <c r="J1020" s="17" t="n"/>
      <c r="K1020" s="20">
        <f>IF($B1020="","",IFERROR(INDEX(الموظفات!$A$5:$A$304,MATCH($B1020,الموظفات!$B$5:$B$304,0))&amp;"",""))</f>
        <v/>
      </c>
      <c r="L1020" s="21">
        <f>IF($B1020="","",IFERROR(INDEX(الموظفات!$C$5:$C$304,MATCH($B1020,الموظفات!$B$5:$B$304,0))&amp;"",""))</f>
        <v/>
      </c>
      <c r="M1020" s="20">
        <f>IF($B1020="","",IFERROR(INDEX(الموظفات!$D$5:$D$304,MATCH($B1020,الموظفات!$B$5:$B$304,0))&amp;"",""))</f>
        <v/>
      </c>
      <c r="N1020" s="20">
        <f>IF($B1020="","",IFERROR(INDEX(الموظفات!$E$5:$E$304,MATCH($B1020,الموظفات!$B$5:$B$304,0))&amp;"",""))</f>
        <v/>
      </c>
      <c r="O1020" s="21">
        <f>IF(C1020="","",IFERROR(INDEX(الإعدادات!$D$7:$D$35,MATCH(C1020,الإعدادات!$A$7:$A$35,0))&amp;"",""))</f>
        <v/>
      </c>
      <c r="P1020" s="20">
        <f>IF(A1020="","",INDEX(الإعدادات!$H$7:$H$18,MONTH(A1020)))</f>
        <v/>
      </c>
      <c r="Q1020" s="20">
        <f>IF(A1020="","",INDEX(الإعدادات!$I$7:$I$18,MONTH(A1020)))</f>
        <v/>
      </c>
      <c r="R1020" s="20">
        <f>IF(A1020="","",IF(MONTH(A1020)&gt;=8,YEAR(A1020)&amp;"-"&amp;(YEAR(A1020)+1),(YEAR(A1020)-1)&amp;"-"&amp;YEAR(A1020)))</f>
        <v/>
      </c>
      <c r="S1020" s="20">
        <f>IF(OR(A1020="",B1020=""),0,IF(AND(R1020=التقارير!$C$4,OR(التقارير!$C$5="سنوي",AND(التقارير!$C$5="شهري",P1020=التقارير!$C$6),AND(التقارير!$C$5="فصلي",Q1020=التقارير!$C$7))),1,0))</f>
        <v/>
      </c>
      <c r="T1020" s="20">
        <f>IF(S1020=1,COUNTIF($S$5:S1020,1),"")</f>
        <v/>
      </c>
      <c r="U1020">
        <f>IF(AND($A1020&lt;&gt;"",$B1020&lt;&gt;"",$R1020='تقرير الفصل الأول'!$C$4,$Q1020='تقرير الفصل الأول'!$C$7),COUNT(U$4:U1019)+1,"")</f>
        <v/>
      </c>
      <c r="V1020">
        <f>IF(AND($A1020&lt;&gt;"",$B1020&lt;&gt;"",$R1020='تقرير الفصل الثاني'!$C$4,$Q1020='تقرير الفصل الثاني'!$C$7),COUNT(V$4:V1019)+1,"")</f>
        <v/>
      </c>
      <c r="W1020">
        <f>IF(AND($A1020&lt;&gt;"",$B1020&lt;&gt;"",$R1020='تقرير سبتمبر'!$C$4,$P1020='تقرير سبتمبر'!$C$6),COUNT(W$4:W1019)+1,"")</f>
        <v/>
      </c>
      <c r="X1020">
        <f>IF(AND($A1020&lt;&gt;"",$B1020&lt;&gt;"",$R1020='تقرير أكتوبر'!$C$4,$P1020='تقرير أكتوبر'!$C$6),COUNT(X$4:X1019)+1,"")</f>
        <v/>
      </c>
      <c r="Y1020">
        <f>IF(AND($A1020&lt;&gt;"",$B1020&lt;&gt;"",$R1020='تقرير نوفمبر'!$C$4,$P1020='تقرير نوفمبر'!$C$6),COUNT(Y$4:Y1019)+1,"")</f>
        <v/>
      </c>
      <c r="Z1020">
        <f>IF(AND($A1020&lt;&gt;"",$B1020&lt;&gt;"",$R1020='تقرير ديسمبر'!$C$4,$P1020='تقرير ديسمبر'!$C$6),COUNT(Z$4:Z1019)+1,"")</f>
        <v/>
      </c>
      <c r="AA1020">
        <f>IF(AND($A1020&lt;&gt;"",$B1020&lt;&gt;"",$R1020='تقرير يناير'!$C$4,$P1020='تقرير يناير'!$C$6),COUNT(AA$4:AA1019)+1,"")</f>
        <v/>
      </c>
      <c r="AB1020">
        <f>IF(AND($A1020&lt;&gt;"",$B1020&lt;&gt;"",$R1020='تقرير فبراير'!$C$4,$P1020='تقرير فبراير'!$C$6),COUNT(AB$4:AB1019)+1,"")</f>
        <v/>
      </c>
      <c r="AC1020">
        <f>IF(AND($A1020&lt;&gt;"",$B1020&lt;&gt;"",$R1020='تقرير مارس'!$C$4,$P1020='تقرير مارس'!$C$6),COUNT(AC$4:AC1019)+1,"")</f>
        <v/>
      </c>
      <c r="AD1020">
        <f>IF(AND($A1020&lt;&gt;"",$B1020&lt;&gt;"",$R1020='تقرير أبريل'!$C$4,$P1020='تقرير أبريل'!$C$6),COUNT(AD$4:AD1019)+1,"")</f>
        <v/>
      </c>
      <c r="AE1020">
        <f>IF(AND($A1020&lt;&gt;"",$B1020&lt;&gt;"",$R1020='تقرير مايو'!$C$4,$P1020='تقرير مايو'!$C$6),COUNT(AE$4:AE1019)+1,"")</f>
        <v/>
      </c>
    </row>
    <row r="1021">
      <c r="A1021" s="16" t="n"/>
      <c r="B1021" s="17" t="n"/>
      <c r="C1021" s="17" t="n"/>
      <c r="D1021" s="18" t="n"/>
      <c r="E1021" s="17" t="n"/>
      <c r="F1021" s="17" t="n"/>
      <c r="G1021" s="19" t="n"/>
      <c r="H1021" s="17" t="n"/>
      <c r="I1021" s="17" t="n"/>
      <c r="J1021" s="17" t="n"/>
      <c r="K1021" s="20">
        <f>IF($B1021="","",IFERROR(INDEX(الموظفات!$A$5:$A$304,MATCH($B1021,الموظفات!$B$5:$B$304,0))&amp;"",""))</f>
        <v/>
      </c>
      <c r="L1021" s="21">
        <f>IF($B1021="","",IFERROR(INDEX(الموظفات!$C$5:$C$304,MATCH($B1021,الموظفات!$B$5:$B$304,0))&amp;"",""))</f>
        <v/>
      </c>
      <c r="M1021" s="20">
        <f>IF($B1021="","",IFERROR(INDEX(الموظفات!$D$5:$D$304,MATCH($B1021,الموظفات!$B$5:$B$304,0))&amp;"",""))</f>
        <v/>
      </c>
      <c r="N1021" s="20">
        <f>IF($B1021="","",IFERROR(INDEX(الموظفات!$E$5:$E$304,MATCH($B1021,الموظفات!$B$5:$B$304,0))&amp;"",""))</f>
        <v/>
      </c>
      <c r="O1021" s="21">
        <f>IF(C1021="","",IFERROR(INDEX(الإعدادات!$D$7:$D$35,MATCH(C1021,الإعدادات!$A$7:$A$35,0))&amp;"",""))</f>
        <v/>
      </c>
      <c r="P1021" s="20">
        <f>IF(A1021="","",INDEX(الإعدادات!$H$7:$H$18,MONTH(A1021)))</f>
        <v/>
      </c>
      <c r="Q1021" s="20">
        <f>IF(A1021="","",INDEX(الإعدادات!$I$7:$I$18,MONTH(A1021)))</f>
        <v/>
      </c>
      <c r="R1021" s="20">
        <f>IF(A1021="","",IF(MONTH(A1021)&gt;=8,YEAR(A1021)&amp;"-"&amp;(YEAR(A1021)+1),(YEAR(A1021)-1)&amp;"-"&amp;YEAR(A1021)))</f>
        <v/>
      </c>
      <c r="S1021" s="20">
        <f>IF(OR(A1021="",B1021=""),0,IF(AND(R1021=التقارير!$C$4,OR(التقارير!$C$5="سنوي",AND(التقارير!$C$5="شهري",P1021=التقارير!$C$6),AND(التقارير!$C$5="فصلي",Q1021=التقارير!$C$7))),1,0))</f>
        <v/>
      </c>
      <c r="T1021" s="20">
        <f>IF(S1021=1,COUNTIF($S$5:S1021,1),"")</f>
        <v/>
      </c>
      <c r="U1021">
        <f>IF(AND($A1021&lt;&gt;"",$B1021&lt;&gt;"",$R1021='تقرير الفصل الأول'!$C$4,$Q1021='تقرير الفصل الأول'!$C$7),COUNT(U$4:U1020)+1,"")</f>
        <v/>
      </c>
      <c r="V1021">
        <f>IF(AND($A1021&lt;&gt;"",$B1021&lt;&gt;"",$R1021='تقرير الفصل الثاني'!$C$4,$Q1021='تقرير الفصل الثاني'!$C$7),COUNT(V$4:V1020)+1,"")</f>
        <v/>
      </c>
      <c r="W1021">
        <f>IF(AND($A1021&lt;&gt;"",$B1021&lt;&gt;"",$R1021='تقرير سبتمبر'!$C$4,$P1021='تقرير سبتمبر'!$C$6),COUNT(W$4:W1020)+1,"")</f>
        <v/>
      </c>
      <c r="X1021">
        <f>IF(AND($A1021&lt;&gt;"",$B1021&lt;&gt;"",$R1021='تقرير أكتوبر'!$C$4,$P1021='تقرير أكتوبر'!$C$6),COUNT(X$4:X1020)+1,"")</f>
        <v/>
      </c>
      <c r="Y1021">
        <f>IF(AND($A1021&lt;&gt;"",$B1021&lt;&gt;"",$R1021='تقرير نوفمبر'!$C$4,$P1021='تقرير نوفمبر'!$C$6),COUNT(Y$4:Y1020)+1,"")</f>
        <v/>
      </c>
      <c r="Z1021">
        <f>IF(AND($A1021&lt;&gt;"",$B1021&lt;&gt;"",$R1021='تقرير ديسمبر'!$C$4,$P1021='تقرير ديسمبر'!$C$6),COUNT(Z$4:Z1020)+1,"")</f>
        <v/>
      </c>
      <c r="AA1021">
        <f>IF(AND($A1021&lt;&gt;"",$B1021&lt;&gt;"",$R1021='تقرير يناير'!$C$4,$P1021='تقرير يناير'!$C$6),COUNT(AA$4:AA1020)+1,"")</f>
        <v/>
      </c>
      <c r="AB1021">
        <f>IF(AND($A1021&lt;&gt;"",$B1021&lt;&gt;"",$R1021='تقرير فبراير'!$C$4,$P1021='تقرير فبراير'!$C$6),COUNT(AB$4:AB1020)+1,"")</f>
        <v/>
      </c>
      <c r="AC1021">
        <f>IF(AND($A1021&lt;&gt;"",$B1021&lt;&gt;"",$R1021='تقرير مارس'!$C$4,$P1021='تقرير مارس'!$C$6),COUNT(AC$4:AC1020)+1,"")</f>
        <v/>
      </c>
      <c r="AD1021">
        <f>IF(AND($A1021&lt;&gt;"",$B1021&lt;&gt;"",$R1021='تقرير أبريل'!$C$4,$P1021='تقرير أبريل'!$C$6),COUNT(AD$4:AD1020)+1,"")</f>
        <v/>
      </c>
      <c r="AE1021">
        <f>IF(AND($A1021&lt;&gt;"",$B1021&lt;&gt;"",$R1021='تقرير مايو'!$C$4,$P1021='تقرير مايو'!$C$6),COUNT(AE$4:AE1020)+1,"")</f>
        <v/>
      </c>
    </row>
    <row r="1022">
      <c r="A1022" s="16" t="n"/>
      <c r="B1022" s="17" t="n"/>
      <c r="C1022" s="17" t="n"/>
      <c r="D1022" s="18" t="n"/>
      <c r="E1022" s="17" t="n"/>
      <c r="F1022" s="17" t="n"/>
      <c r="G1022" s="19" t="n"/>
      <c r="H1022" s="17" t="n"/>
      <c r="I1022" s="17" t="n"/>
      <c r="J1022" s="17" t="n"/>
      <c r="K1022" s="20">
        <f>IF($B1022="","",IFERROR(INDEX(الموظفات!$A$5:$A$304,MATCH($B1022,الموظفات!$B$5:$B$304,0))&amp;"",""))</f>
        <v/>
      </c>
      <c r="L1022" s="21">
        <f>IF($B1022="","",IFERROR(INDEX(الموظفات!$C$5:$C$304,MATCH($B1022,الموظفات!$B$5:$B$304,0))&amp;"",""))</f>
        <v/>
      </c>
      <c r="M1022" s="20">
        <f>IF($B1022="","",IFERROR(INDEX(الموظفات!$D$5:$D$304,MATCH($B1022,الموظفات!$B$5:$B$304,0))&amp;"",""))</f>
        <v/>
      </c>
      <c r="N1022" s="20">
        <f>IF($B1022="","",IFERROR(INDEX(الموظفات!$E$5:$E$304,MATCH($B1022,الموظفات!$B$5:$B$304,0))&amp;"",""))</f>
        <v/>
      </c>
      <c r="O1022" s="21">
        <f>IF(C1022="","",IFERROR(INDEX(الإعدادات!$D$7:$D$35,MATCH(C1022,الإعدادات!$A$7:$A$35,0))&amp;"",""))</f>
        <v/>
      </c>
      <c r="P1022" s="20">
        <f>IF(A1022="","",INDEX(الإعدادات!$H$7:$H$18,MONTH(A1022)))</f>
        <v/>
      </c>
      <c r="Q1022" s="20">
        <f>IF(A1022="","",INDEX(الإعدادات!$I$7:$I$18,MONTH(A1022)))</f>
        <v/>
      </c>
      <c r="R1022" s="20">
        <f>IF(A1022="","",IF(MONTH(A1022)&gt;=8,YEAR(A1022)&amp;"-"&amp;(YEAR(A1022)+1),(YEAR(A1022)-1)&amp;"-"&amp;YEAR(A1022)))</f>
        <v/>
      </c>
      <c r="S1022" s="20">
        <f>IF(OR(A1022="",B1022=""),0,IF(AND(R1022=التقارير!$C$4,OR(التقارير!$C$5="سنوي",AND(التقارير!$C$5="شهري",P1022=التقارير!$C$6),AND(التقارير!$C$5="فصلي",Q1022=التقارير!$C$7))),1,0))</f>
        <v/>
      </c>
      <c r="T1022" s="20">
        <f>IF(S1022=1,COUNTIF($S$5:S1022,1),"")</f>
        <v/>
      </c>
      <c r="U1022">
        <f>IF(AND($A1022&lt;&gt;"",$B1022&lt;&gt;"",$R1022='تقرير الفصل الأول'!$C$4,$Q1022='تقرير الفصل الأول'!$C$7),COUNT(U$4:U1021)+1,"")</f>
        <v/>
      </c>
      <c r="V1022">
        <f>IF(AND($A1022&lt;&gt;"",$B1022&lt;&gt;"",$R1022='تقرير الفصل الثاني'!$C$4,$Q1022='تقرير الفصل الثاني'!$C$7),COUNT(V$4:V1021)+1,"")</f>
        <v/>
      </c>
      <c r="W1022">
        <f>IF(AND($A1022&lt;&gt;"",$B1022&lt;&gt;"",$R1022='تقرير سبتمبر'!$C$4,$P1022='تقرير سبتمبر'!$C$6),COUNT(W$4:W1021)+1,"")</f>
        <v/>
      </c>
      <c r="X1022">
        <f>IF(AND($A1022&lt;&gt;"",$B1022&lt;&gt;"",$R1022='تقرير أكتوبر'!$C$4,$P1022='تقرير أكتوبر'!$C$6),COUNT(X$4:X1021)+1,"")</f>
        <v/>
      </c>
      <c r="Y1022">
        <f>IF(AND($A1022&lt;&gt;"",$B1022&lt;&gt;"",$R1022='تقرير نوفمبر'!$C$4,$P1022='تقرير نوفمبر'!$C$6),COUNT(Y$4:Y1021)+1,"")</f>
        <v/>
      </c>
      <c r="Z1022">
        <f>IF(AND($A1022&lt;&gt;"",$B1022&lt;&gt;"",$R1022='تقرير ديسمبر'!$C$4,$P1022='تقرير ديسمبر'!$C$6),COUNT(Z$4:Z1021)+1,"")</f>
        <v/>
      </c>
      <c r="AA1022">
        <f>IF(AND($A1022&lt;&gt;"",$B1022&lt;&gt;"",$R1022='تقرير يناير'!$C$4,$P1022='تقرير يناير'!$C$6),COUNT(AA$4:AA1021)+1,"")</f>
        <v/>
      </c>
      <c r="AB1022">
        <f>IF(AND($A1022&lt;&gt;"",$B1022&lt;&gt;"",$R1022='تقرير فبراير'!$C$4,$P1022='تقرير فبراير'!$C$6),COUNT(AB$4:AB1021)+1,"")</f>
        <v/>
      </c>
      <c r="AC1022">
        <f>IF(AND($A1022&lt;&gt;"",$B1022&lt;&gt;"",$R1022='تقرير مارس'!$C$4,$P1022='تقرير مارس'!$C$6),COUNT(AC$4:AC1021)+1,"")</f>
        <v/>
      </c>
      <c r="AD1022">
        <f>IF(AND($A1022&lt;&gt;"",$B1022&lt;&gt;"",$R1022='تقرير أبريل'!$C$4,$P1022='تقرير أبريل'!$C$6),COUNT(AD$4:AD1021)+1,"")</f>
        <v/>
      </c>
      <c r="AE1022">
        <f>IF(AND($A1022&lt;&gt;"",$B1022&lt;&gt;"",$R1022='تقرير مايو'!$C$4,$P1022='تقرير مايو'!$C$6),COUNT(AE$4:AE1021)+1,"")</f>
        <v/>
      </c>
    </row>
    <row r="1023">
      <c r="A1023" s="16" t="n"/>
      <c r="B1023" s="17" t="n"/>
      <c r="C1023" s="17" t="n"/>
      <c r="D1023" s="18" t="n"/>
      <c r="E1023" s="17" t="n"/>
      <c r="F1023" s="17" t="n"/>
      <c r="G1023" s="19" t="n"/>
      <c r="H1023" s="17" t="n"/>
      <c r="I1023" s="17" t="n"/>
      <c r="J1023" s="17" t="n"/>
      <c r="K1023" s="20">
        <f>IF($B1023="","",IFERROR(INDEX(الموظفات!$A$5:$A$304,MATCH($B1023,الموظفات!$B$5:$B$304,0))&amp;"",""))</f>
        <v/>
      </c>
      <c r="L1023" s="21">
        <f>IF($B1023="","",IFERROR(INDEX(الموظفات!$C$5:$C$304,MATCH($B1023,الموظفات!$B$5:$B$304,0))&amp;"",""))</f>
        <v/>
      </c>
      <c r="M1023" s="20">
        <f>IF($B1023="","",IFERROR(INDEX(الموظفات!$D$5:$D$304,MATCH($B1023,الموظفات!$B$5:$B$304,0))&amp;"",""))</f>
        <v/>
      </c>
      <c r="N1023" s="20">
        <f>IF($B1023="","",IFERROR(INDEX(الموظفات!$E$5:$E$304,MATCH($B1023,الموظفات!$B$5:$B$304,0))&amp;"",""))</f>
        <v/>
      </c>
      <c r="O1023" s="21">
        <f>IF(C1023="","",IFERROR(INDEX(الإعدادات!$D$7:$D$35,MATCH(C1023,الإعدادات!$A$7:$A$35,0))&amp;"",""))</f>
        <v/>
      </c>
      <c r="P1023" s="20">
        <f>IF(A1023="","",INDEX(الإعدادات!$H$7:$H$18,MONTH(A1023)))</f>
        <v/>
      </c>
      <c r="Q1023" s="20">
        <f>IF(A1023="","",INDEX(الإعدادات!$I$7:$I$18,MONTH(A1023)))</f>
        <v/>
      </c>
      <c r="R1023" s="20">
        <f>IF(A1023="","",IF(MONTH(A1023)&gt;=8,YEAR(A1023)&amp;"-"&amp;(YEAR(A1023)+1),(YEAR(A1023)-1)&amp;"-"&amp;YEAR(A1023)))</f>
        <v/>
      </c>
      <c r="S1023" s="20">
        <f>IF(OR(A1023="",B1023=""),0,IF(AND(R1023=التقارير!$C$4,OR(التقارير!$C$5="سنوي",AND(التقارير!$C$5="شهري",P1023=التقارير!$C$6),AND(التقارير!$C$5="فصلي",Q1023=التقارير!$C$7))),1,0))</f>
        <v/>
      </c>
      <c r="T1023" s="20">
        <f>IF(S1023=1,COUNTIF($S$5:S1023,1),"")</f>
        <v/>
      </c>
      <c r="U1023">
        <f>IF(AND($A1023&lt;&gt;"",$B1023&lt;&gt;"",$R1023='تقرير الفصل الأول'!$C$4,$Q1023='تقرير الفصل الأول'!$C$7),COUNT(U$4:U1022)+1,"")</f>
        <v/>
      </c>
      <c r="V1023">
        <f>IF(AND($A1023&lt;&gt;"",$B1023&lt;&gt;"",$R1023='تقرير الفصل الثاني'!$C$4,$Q1023='تقرير الفصل الثاني'!$C$7),COUNT(V$4:V1022)+1,"")</f>
        <v/>
      </c>
      <c r="W1023">
        <f>IF(AND($A1023&lt;&gt;"",$B1023&lt;&gt;"",$R1023='تقرير سبتمبر'!$C$4,$P1023='تقرير سبتمبر'!$C$6),COUNT(W$4:W1022)+1,"")</f>
        <v/>
      </c>
      <c r="X1023">
        <f>IF(AND($A1023&lt;&gt;"",$B1023&lt;&gt;"",$R1023='تقرير أكتوبر'!$C$4,$P1023='تقرير أكتوبر'!$C$6),COUNT(X$4:X1022)+1,"")</f>
        <v/>
      </c>
      <c r="Y1023">
        <f>IF(AND($A1023&lt;&gt;"",$B1023&lt;&gt;"",$R1023='تقرير نوفمبر'!$C$4,$P1023='تقرير نوفمبر'!$C$6),COUNT(Y$4:Y1022)+1,"")</f>
        <v/>
      </c>
      <c r="Z1023">
        <f>IF(AND($A1023&lt;&gt;"",$B1023&lt;&gt;"",$R1023='تقرير ديسمبر'!$C$4,$P1023='تقرير ديسمبر'!$C$6),COUNT(Z$4:Z1022)+1,"")</f>
        <v/>
      </c>
      <c r="AA1023">
        <f>IF(AND($A1023&lt;&gt;"",$B1023&lt;&gt;"",$R1023='تقرير يناير'!$C$4,$P1023='تقرير يناير'!$C$6),COUNT(AA$4:AA1022)+1,"")</f>
        <v/>
      </c>
      <c r="AB1023">
        <f>IF(AND($A1023&lt;&gt;"",$B1023&lt;&gt;"",$R1023='تقرير فبراير'!$C$4,$P1023='تقرير فبراير'!$C$6),COUNT(AB$4:AB1022)+1,"")</f>
        <v/>
      </c>
      <c r="AC1023">
        <f>IF(AND($A1023&lt;&gt;"",$B1023&lt;&gt;"",$R1023='تقرير مارس'!$C$4,$P1023='تقرير مارس'!$C$6),COUNT(AC$4:AC1022)+1,"")</f>
        <v/>
      </c>
      <c r="AD1023">
        <f>IF(AND($A1023&lt;&gt;"",$B1023&lt;&gt;"",$R1023='تقرير أبريل'!$C$4,$P1023='تقرير أبريل'!$C$6),COUNT(AD$4:AD1022)+1,"")</f>
        <v/>
      </c>
      <c r="AE1023">
        <f>IF(AND($A1023&lt;&gt;"",$B1023&lt;&gt;"",$R1023='تقرير مايو'!$C$4,$P1023='تقرير مايو'!$C$6),COUNT(AE$4:AE1022)+1,"")</f>
        <v/>
      </c>
    </row>
    <row r="1024">
      <c r="A1024" s="16" t="n"/>
      <c r="B1024" s="17" t="n"/>
      <c r="C1024" s="17" t="n"/>
      <c r="D1024" s="18" t="n"/>
      <c r="E1024" s="17" t="n"/>
      <c r="F1024" s="17" t="n"/>
      <c r="G1024" s="19" t="n"/>
      <c r="H1024" s="17" t="n"/>
      <c r="I1024" s="17" t="n"/>
      <c r="J1024" s="17" t="n"/>
      <c r="K1024" s="20">
        <f>IF($B1024="","",IFERROR(INDEX(الموظفات!$A$5:$A$304,MATCH($B1024,الموظفات!$B$5:$B$304,0))&amp;"",""))</f>
        <v/>
      </c>
      <c r="L1024" s="21">
        <f>IF($B1024="","",IFERROR(INDEX(الموظفات!$C$5:$C$304,MATCH($B1024,الموظفات!$B$5:$B$304,0))&amp;"",""))</f>
        <v/>
      </c>
      <c r="M1024" s="20">
        <f>IF($B1024="","",IFERROR(INDEX(الموظفات!$D$5:$D$304,MATCH($B1024,الموظفات!$B$5:$B$304,0))&amp;"",""))</f>
        <v/>
      </c>
      <c r="N1024" s="20">
        <f>IF($B1024="","",IFERROR(INDEX(الموظفات!$E$5:$E$304,MATCH($B1024,الموظفات!$B$5:$B$304,0))&amp;"",""))</f>
        <v/>
      </c>
      <c r="O1024" s="21">
        <f>IF(C1024="","",IFERROR(INDEX(الإعدادات!$D$7:$D$35,MATCH(C1024,الإعدادات!$A$7:$A$35,0))&amp;"",""))</f>
        <v/>
      </c>
      <c r="P1024" s="20">
        <f>IF(A1024="","",INDEX(الإعدادات!$H$7:$H$18,MONTH(A1024)))</f>
        <v/>
      </c>
      <c r="Q1024" s="20">
        <f>IF(A1024="","",INDEX(الإعدادات!$I$7:$I$18,MONTH(A1024)))</f>
        <v/>
      </c>
      <c r="R1024" s="20">
        <f>IF(A1024="","",IF(MONTH(A1024)&gt;=8,YEAR(A1024)&amp;"-"&amp;(YEAR(A1024)+1),(YEAR(A1024)-1)&amp;"-"&amp;YEAR(A1024)))</f>
        <v/>
      </c>
      <c r="S1024" s="20">
        <f>IF(OR(A1024="",B1024=""),0,IF(AND(R1024=التقارير!$C$4,OR(التقارير!$C$5="سنوي",AND(التقارير!$C$5="شهري",P1024=التقارير!$C$6),AND(التقارير!$C$5="فصلي",Q1024=التقارير!$C$7))),1,0))</f>
        <v/>
      </c>
      <c r="T1024" s="20">
        <f>IF(S1024=1,COUNTIF($S$5:S1024,1),"")</f>
        <v/>
      </c>
      <c r="U1024">
        <f>IF(AND($A1024&lt;&gt;"",$B1024&lt;&gt;"",$R1024='تقرير الفصل الأول'!$C$4,$Q1024='تقرير الفصل الأول'!$C$7),COUNT(U$4:U1023)+1,"")</f>
        <v/>
      </c>
      <c r="V1024">
        <f>IF(AND($A1024&lt;&gt;"",$B1024&lt;&gt;"",$R1024='تقرير الفصل الثاني'!$C$4,$Q1024='تقرير الفصل الثاني'!$C$7),COUNT(V$4:V1023)+1,"")</f>
        <v/>
      </c>
      <c r="W1024">
        <f>IF(AND($A1024&lt;&gt;"",$B1024&lt;&gt;"",$R1024='تقرير سبتمبر'!$C$4,$P1024='تقرير سبتمبر'!$C$6),COUNT(W$4:W1023)+1,"")</f>
        <v/>
      </c>
      <c r="X1024">
        <f>IF(AND($A1024&lt;&gt;"",$B1024&lt;&gt;"",$R1024='تقرير أكتوبر'!$C$4,$P1024='تقرير أكتوبر'!$C$6),COUNT(X$4:X1023)+1,"")</f>
        <v/>
      </c>
      <c r="Y1024">
        <f>IF(AND($A1024&lt;&gt;"",$B1024&lt;&gt;"",$R1024='تقرير نوفمبر'!$C$4,$P1024='تقرير نوفمبر'!$C$6),COUNT(Y$4:Y1023)+1,"")</f>
        <v/>
      </c>
      <c r="Z1024">
        <f>IF(AND($A1024&lt;&gt;"",$B1024&lt;&gt;"",$R1024='تقرير ديسمبر'!$C$4,$P1024='تقرير ديسمبر'!$C$6),COUNT(Z$4:Z1023)+1,"")</f>
        <v/>
      </c>
      <c r="AA1024">
        <f>IF(AND($A1024&lt;&gt;"",$B1024&lt;&gt;"",$R1024='تقرير يناير'!$C$4,$P1024='تقرير يناير'!$C$6),COUNT(AA$4:AA1023)+1,"")</f>
        <v/>
      </c>
      <c r="AB1024">
        <f>IF(AND($A1024&lt;&gt;"",$B1024&lt;&gt;"",$R1024='تقرير فبراير'!$C$4,$P1024='تقرير فبراير'!$C$6),COUNT(AB$4:AB1023)+1,"")</f>
        <v/>
      </c>
      <c r="AC1024">
        <f>IF(AND($A1024&lt;&gt;"",$B1024&lt;&gt;"",$R1024='تقرير مارس'!$C$4,$P1024='تقرير مارس'!$C$6),COUNT(AC$4:AC1023)+1,"")</f>
        <v/>
      </c>
      <c r="AD1024">
        <f>IF(AND($A1024&lt;&gt;"",$B1024&lt;&gt;"",$R1024='تقرير أبريل'!$C$4,$P1024='تقرير أبريل'!$C$6),COUNT(AD$4:AD1023)+1,"")</f>
        <v/>
      </c>
      <c r="AE1024">
        <f>IF(AND($A1024&lt;&gt;"",$B1024&lt;&gt;"",$R1024='تقرير مايو'!$C$4,$P1024='تقرير مايو'!$C$6),COUNT(AE$4:AE1023)+1,"")</f>
        <v/>
      </c>
    </row>
    <row r="1025">
      <c r="A1025" s="16" t="n"/>
      <c r="B1025" s="17" t="n"/>
      <c r="C1025" s="17" t="n"/>
      <c r="D1025" s="18" t="n"/>
      <c r="E1025" s="17" t="n"/>
      <c r="F1025" s="17" t="n"/>
      <c r="G1025" s="19" t="n"/>
      <c r="H1025" s="17" t="n"/>
      <c r="I1025" s="17" t="n"/>
      <c r="J1025" s="17" t="n"/>
      <c r="K1025" s="20">
        <f>IF($B1025="","",IFERROR(INDEX(الموظفات!$A$5:$A$304,MATCH($B1025,الموظفات!$B$5:$B$304,0))&amp;"",""))</f>
        <v/>
      </c>
      <c r="L1025" s="21">
        <f>IF($B1025="","",IFERROR(INDEX(الموظفات!$C$5:$C$304,MATCH($B1025,الموظفات!$B$5:$B$304,0))&amp;"",""))</f>
        <v/>
      </c>
      <c r="M1025" s="20">
        <f>IF($B1025="","",IFERROR(INDEX(الموظفات!$D$5:$D$304,MATCH($B1025,الموظفات!$B$5:$B$304,0))&amp;"",""))</f>
        <v/>
      </c>
      <c r="N1025" s="20">
        <f>IF($B1025="","",IFERROR(INDEX(الموظفات!$E$5:$E$304,MATCH($B1025,الموظفات!$B$5:$B$304,0))&amp;"",""))</f>
        <v/>
      </c>
      <c r="O1025" s="21">
        <f>IF(C1025="","",IFERROR(INDEX(الإعدادات!$D$7:$D$35,MATCH(C1025,الإعدادات!$A$7:$A$35,0))&amp;"",""))</f>
        <v/>
      </c>
      <c r="P1025" s="20">
        <f>IF(A1025="","",INDEX(الإعدادات!$H$7:$H$18,MONTH(A1025)))</f>
        <v/>
      </c>
      <c r="Q1025" s="20">
        <f>IF(A1025="","",INDEX(الإعدادات!$I$7:$I$18,MONTH(A1025)))</f>
        <v/>
      </c>
      <c r="R1025" s="20">
        <f>IF(A1025="","",IF(MONTH(A1025)&gt;=8,YEAR(A1025)&amp;"-"&amp;(YEAR(A1025)+1),(YEAR(A1025)-1)&amp;"-"&amp;YEAR(A1025)))</f>
        <v/>
      </c>
      <c r="S1025" s="20">
        <f>IF(OR(A1025="",B1025=""),0,IF(AND(R1025=التقارير!$C$4,OR(التقارير!$C$5="سنوي",AND(التقارير!$C$5="شهري",P1025=التقارير!$C$6),AND(التقارير!$C$5="فصلي",Q1025=التقارير!$C$7))),1,0))</f>
        <v/>
      </c>
      <c r="T1025" s="20">
        <f>IF(S1025=1,COUNTIF($S$5:S1025,1),"")</f>
        <v/>
      </c>
      <c r="U1025">
        <f>IF(AND($A1025&lt;&gt;"",$B1025&lt;&gt;"",$R1025='تقرير الفصل الأول'!$C$4,$Q1025='تقرير الفصل الأول'!$C$7),COUNT(U$4:U1024)+1,"")</f>
        <v/>
      </c>
      <c r="V1025">
        <f>IF(AND($A1025&lt;&gt;"",$B1025&lt;&gt;"",$R1025='تقرير الفصل الثاني'!$C$4,$Q1025='تقرير الفصل الثاني'!$C$7),COUNT(V$4:V1024)+1,"")</f>
        <v/>
      </c>
      <c r="W1025">
        <f>IF(AND($A1025&lt;&gt;"",$B1025&lt;&gt;"",$R1025='تقرير سبتمبر'!$C$4,$P1025='تقرير سبتمبر'!$C$6),COUNT(W$4:W1024)+1,"")</f>
        <v/>
      </c>
      <c r="X1025">
        <f>IF(AND($A1025&lt;&gt;"",$B1025&lt;&gt;"",$R1025='تقرير أكتوبر'!$C$4,$P1025='تقرير أكتوبر'!$C$6),COUNT(X$4:X1024)+1,"")</f>
        <v/>
      </c>
      <c r="Y1025">
        <f>IF(AND($A1025&lt;&gt;"",$B1025&lt;&gt;"",$R1025='تقرير نوفمبر'!$C$4,$P1025='تقرير نوفمبر'!$C$6),COUNT(Y$4:Y1024)+1,"")</f>
        <v/>
      </c>
      <c r="Z1025">
        <f>IF(AND($A1025&lt;&gt;"",$B1025&lt;&gt;"",$R1025='تقرير ديسمبر'!$C$4,$P1025='تقرير ديسمبر'!$C$6),COUNT(Z$4:Z1024)+1,"")</f>
        <v/>
      </c>
      <c r="AA1025">
        <f>IF(AND($A1025&lt;&gt;"",$B1025&lt;&gt;"",$R1025='تقرير يناير'!$C$4,$P1025='تقرير يناير'!$C$6),COUNT(AA$4:AA1024)+1,"")</f>
        <v/>
      </c>
      <c r="AB1025">
        <f>IF(AND($A1025&lt;&gt;"",$B1025&lt;&gt;"",$R1025='تقرير فبراير'!$C$4,$P1025='تقرير فبراير'!$C$6),COUNT(AB$4:AB1024)+1,"")</f>
        <v/>
      </c>
      <c r="AC1025">
        <f>IF(AND($A1025&lt;&gt;"",$B1025&lt;&gt;"",$R1025='تقرير مارس'!$C$4,$P1025='تقرير مارس'!$C$6),COUNT(AC$4:AC1024)+1,"")</f>
        <v/>
      </c>
      <c r="AD1025">
        <f>IF(AND($A1025&lt;&gt;"",$B1025&lt;&gt;"",$R1025='تقرير أبريل'!$C$4,$P1025='تقرير أبريل'!$C$6),COUNT(AD$4:AD1024)+1,"")</f>
        <v/>
      </c>
      <c r="AE1025">
        <f>IF(AND($A1025&lt;&gt;"",$B1025&lt;&gt;"",$R1025='تقرير مايو'!$C$4,$P1025='تقرير مايو'!$C$6),COUNT(AE$4:AE1024)+1,"")</f>
        <v/>
      </c>
    </row>
    <row r="1026">
      <c r="A1026" s="16" t="n"/>
      <c r="B1026" s="17" t="n"/>
      <c r="C1026" s="17" t="n"/>
      <c r="D1026" s="18" t="n"/>
      <c r="E1026" s="17" t="n"/>
      <c r="F1026" s="17" t="n"/>
      <c r="G1026" s="19" t="n"/>
      <c r="H1026" s="17" t="n"/>
      <c r="I1026" s="17" t="n"/>
      <c r="J1026" s="17" t="n"/>
      <c r="K1026" s="20">
        <f>IF($B1026="","",IFERROR(INDEX(الموظفات!$A$5:$A$304,MATCH($B1026,الموظفات!$B$5:$B$304,0))&amp;"",""))</f>
        <v/>
      </c>
      <c r="L1026" s="21">
        <f>IF($B1026="","",IFERROR(INDEX(الموظفات!$C$5:$C$304,MATCH($B1026,الموظفات!$B$5:$B$304,0))&amp;"",""))</f>
        <v/>
      </c>
      <c r="M1026" s="20">
        <f>IF($B1026="","",IFERROR(INDEX(الموظفات!$D$5:$D$304,MATCH($B1026,الموظفات!$B$5:$B$304,0))&amp;"",""))</f>
        <v/>
      </c>
      <c r="N1026" s="20">
        <f>IF($B1026="","",IFERROR(INDEX(الموظفات!$E$5:$E$304,MATCH($B1026,الموظفات!$B$5:$B$304,0))&amp;"",""))</f>
        <v/>
      </c>
      <c r="O1026" s="21">
        <f>IF(C1026="","",IFERROR(INDEX(الإعدادات!$D$7:$D$35,MATCH(C1026,الإعدادات!$A$7:$A$35,0))&amp;"",""))</f>
        <v/>
      </c>
      <c r="P1026" s="20">
        <f>IF(A1026="","",INDEX(الإعدادات!$H$7:$H$18,MONTH(A1026)))</f>
        <v/>
      </c>
      <c r="Q1026" s="20">
        <f>IF(A1026="","",INDEX(الإعدادات!$I$7:$I$18,MONTH(A1026)))</f>
        <v/>
      </c>
      <c r="R1026" s="20">
        <f>IF(A1026="","",IF(MONTH(A1026)&gt;=8,YEAR(A1026)&amp;"-"&amp;(YEAR(A1026)+1),(YEAR(A1026)-1)&amp;"-"&amp;YEAR(A1026)))</f>
        <v/>
      </c>
      <c r="S1026" s="20">
        <f>IF(OR(A1026="",B1026=""),0,IF(AND(R1026=التقارير!$C$4,OR(التقارير!$C$5="سنوي",AND(التقارير!$C$5="شهري",P1026=التقارير!$C$6),AND(التقارير!$C$5="فصلي",Q1026=التقارير!$C$7))),1,0))</f>
        <v/>
      </c>
      <c r="T1026" s="20">
        <f>IF(S1026=1,COUNTIF($S$5:S1026,1),"")</f>
        <v/>
      </c>
      <c r="U1026">
        <f>IF(AND($A1026&lt;&gt;"",$B1026&lt;&gt;"",$R1026='تقرير الفصل الأول'!$C$4,$Q1026='تقرير الفصل الأول'!$C$7),COUNT(U$4:U1025)+1,"")</f>
        <v/>
      </c>
      <c r="V1026">
        <f>IF(AND($A1026&lt;&gt;"",$B1026&lt;&gt;"",$R1026='تقرير الفصل الثاني'!$C$4,$Q1026='تقرير الفصل الثاني'!$C$7),COUNT(V$4:V1025)+1,"")</f>
        <v/>
      </c>
      <c r="W1026">
        <f>IF(AND($A1026&lt;&gt;"",$B1026&lt;&gt;"",$R1026='تقرير سبتمبر'!$C$4,$P1026='تقرير سبتمبر'!$C$6),COUNT(W$4:W1025)+1,"")</f>
        <v/>
      </c>
      <c r="X1026">
        <f>IF(AND($A1026&lt;&gt;"",$B1026&lt;&gt;"",$R1026='تقرير أكتوبر'!$C$4,$P1026='تقرير أكتوبر'!$C$6),COUNT(X$4:X1025)+1,"")</f>
        <v/>
      </c>
      <c r="Y1026">
        <f>IF(AND($A1026&lt;&gt;"",$B1026&lt;&gt;"",$R1026='تقرير نوفمبر'!$C$4,$P1026='تقرير نوفمبر'!$C$6),COUNT(Y$4:Y1025)+1,"")</f>
        <v/>
      </c>
      <c r="Z1026">
        <f>IF(AND($A1026&lt;&gt;"",$B1026&lt;&gt;"",$R1026='تقرير ديسمبر'!$C$4,$P1026='تقرير ديسمبر'!$C$6),COUNT(Z$4:Z1025)+1,"")</f>
        <v/>
      </c>
      <c r="AA1026">
        <f>IF(AND($A1026&lt;&gt;"",$B1026&lt;&gt;"",$R1026='تقرير يناير'!$C$4,$P1026='تقرير يناير'!$C$6),COUNT(AA$4:AA1025)+1,"")</f>
        <v/>
      </c>
      <c r="AB1026">
        <f>IF(AND($A1026&lt;&gt;"",$B1026&lt;&gt;"",$R1026='تقرير فبراير'!$C$4,$P1026='تقرير فبراير'!$C$6),COUNT(AB$4:AB1025)+1,"")</f>
        <v/>
      </c>
      <c r="AC1026">
        <f>IF(AND($A1026&lt;&gt;"",$B1026&lt;&gt;"",$R1026='تقرير مارس'!$C$4,$P1026='تقرير مارس'!$C$6),COUNT(AC$4:AC1025)+1,"")</f>
        <v/>
      </c>
      <c r="AD1026">
        <f>IF(AND($A1026&lt;&gt;"",$B1026&lt;&gt;"",$R1026='تقرير أبريل'!$C$4,$P1026='تقرير أبريل'!$C$6),COUNT(AD$4:AD1025)+1,"")</f>
        <v/>
      </c>
      <c r="AE1026">
        <f>IF(AND($A1026&lt;&gt;"",$B1026&lt;&gt;"",$R1026='تقرير مايو'!$C$4,$P1026='تقرير مايو'!$C$6),COUNT(AE$4:AE1025)+1,"")</f>
        <v/>
      </c>
    </row>
    <row r="1027">
      <c r="A1027" s="16" t="n"/>
      <c r="B1027" s="17" t="n"/>
      <c r="C1027" s="17" t="n"/>
      <c r="D1027" s="18" t="n"/>
      <c r="E1027" s="17" t="n"/>
      <c r="F1027" s="17" t="n"/>
      <c r="G1027" s="19" t="n"/>
      <c r="H1027" s="17" t="n"/>
      <c r="I1027" s="17" t="n"/>
      <c r="J1027" s="17" t="n"/>
      <c r="K1027" s="20">
        <f>IF($B1027="","",IFERROR(INDEX(الموظفات!$A$5:$A$304,MATCH($B1027,الموظفات!$B$5:$B$304,0))&amp;"",""))</f>
        <v/>
      </c>
      <c r="L1027" s="21">
        <f>IF($B1027="","",IFERROR(INDEX(الموظفات!$C$5:$C$304,MATCH($B1027,الموظفات!$B$5:$B$304,0))&amp;"",""))</f>
        <v/>
      </c>
      <c r="M1027" s="20">
        <f>IF($B1027="","",IFERROR(INDEX(الموظفات!$D$5:$D$304,MATCH($B1027,الموظفات!$B$5:$B$304,0))&amp;"",""))</f>
        <v/>
      </c>
      <c r="N1027" s="20">
        <f>IF($B1027="","",IFERROR(INDEX(الموظفات!$E$5:$E$304,MATCH($B1027,الموظفات!$B$5:$B$304,0))&amp;"",""))</f>
        <v/>
      </c>
      <c r="O1027" s="21">
        <f>IF(C1027="","",IFERROR(INDEX(الإعدادات!$D$7:$D$35,MATCH(C1027,الإعدادات!$A$7:$A$35,0))&amp;"",""))</f>
        <v/>
      </c>
      <c r="P1027" s="20">
        <f>IF(A1027="","",INDEX(الإعدادات!$H$7:$H$18,MONTH(A1027)))</f>
        <v/>
      </c>
      <c r="Q1027" s="20">
        <f>IF(A1027="","",INDEX(الإعدادات!$I$7:$I$18,MONTH(A1027)))</f>
        <v/>
      </c>
      <c r="R1027" s="20">
        <f>IF(A1027="","",IF(MONTH(A1027)&gt;=8,YEAR(A1027)&amp;"-"&amp;(YEAR(A1027)+1),(YEAR(A1027)-1)&amp;"-"&amp;YEAR(A1027)))</f>
        <v/>
      </c>
      <c r="S1027" s="20">
        <f>IF(OR(A1027="",B1027=""),0,IF(AND(R1027=التقارير!$C$4,OR(التقارير!$C$5="سنوي",AND(التقارير!$C$5="شهري",P1027=التقارير!$C$6),AND(التقارير!$C$5="فصلي",Q1027=التقارير!$C$7))),1,0))</f>
        <v/>
      </c>
      <c r="T1027" s="20">
        <f>IF(S1027=1,COUNTIF($S$5:S1027,1),"")</f>
        <v/>
      </c>
      <c r="U1027">
        <f>IF(AND($A1027&lt;&gt;"",$B1027&lt;&gt;"",$R1027='تقرير الفصل الأول'!$C$4,$Q1027='تقرير الفصل الأول'!$C$7),COUNT(U$4:U1026)+1,"")</f>
        <v/>
      </c>
      <c r="V1027">
        <f>IF(AND($A1027&lt;&gt;"",$B1027&lt;&gt;"",$R1027='تقرير الفصل الثاني'!$C$4,$Q1027='تقرير الفصل الثاني'!$C$7),COUNT(V$4:V1026)+1,"")</f>
        <v/>
      </c>
      <c r="W1027">
        <f>IF(AND($A1027&lt;&gt;"",$B1027&lt;&gt;"",$R1027='تقرير سبتمبر'!$C$4,$P1027='تقرير سبتمبر'!$C$6),COUNT(W$4:W1026)+1,"")</f>
        <v/>
      </c>
      <c r="X1027">
        <f>IF(AND($A1027&lt;&gt;"",$B1027&lt;&gt;"",$R1027='تقرير أكتوبر'!$C$4,$P1027='تقرير أكتوبر'!$C$6),COUNT(X$4:X1026)+1,"")</f>
        <v/>
      </c>
      <c r="Y1027">
        <f>IF(AND($A1027&lt;&gt;"",$B1027&lt;&gt;"",$R1027='تقرير نوفمبر'!$C$4,$P1027='تقرير نوفمبر'!$C$6),COUNT(Y$4:Y1026)+1,"")</f>
        <v/>
      </c>
      <c r="Z1027">
        <f>IF(AND($A1027&lt;&gt;"",$B1027&lt;&gt;"",$R1027='تقرير ديسمبر'!$C$4,$P1027='تقرير ديسمبر'!$C$6),COUNT(Z$4:Z1026)+1,"")</f>
        <v/>
      </c>
      <c r="AA1027">
        <f>IF(AND($A1027&lt;&gt;"",$B1027&lt;&gt;"",$R1027='تقرير يناير'!$C$4,$P1027='تقرير يناير'!$C$6),COUNT(AA$4:AA1026)+1,"")</f>
        <v/>
      </c>
      <c r="AB1027">
        <f>IF(AND($A1027&lt;&gt;"",$B1027&lt;&gt;"",$R1027='تقرير فبراير'!$C$4,$P1027='تقرير فبراير'!$C$6),COUNT(AB$4:AB1026)+1,"")</f>
        <v/>
      </c>
      <c r="AC1027">
        <f>IF(AND($A1027&lt;&gt;"",$B1027&lt;&gt;"",$R1027='تقرير مارس'!$C$4,$P1027='تقرير مارس'!$C$6),COUNT(AC$4:AC1026)+1,"")</f>
        <v/>
      </c>
      <c r="AD1027">
        <f>IF(AND($A1027&lt;&gt;"",$B1027&lt;&gt;"",$R1027='تقرير أبريل'!$C$4,$P1027='تقرير أبريل'!$C$6),COUNT(AD$4:AD1026)+1,"")</f>
        <v/>
      </c>
      <c r="AE1027">
        <f>IF(AND($A1027&lt;&gt;"",$B1027&lt;&gt;"",$R1027='تقرير مايو'!$C$4,$P1027='تقرير مايو'!$C$6),COUNT(AE$4:AE1026)+1,"")</f>
        <v/>
      </c>
    </row>
    <row r="1028">
      <c r="A1028" s="16" t="n"/>
      <c r="B1028" s="17" t="n"/>
      <c r="C1028" s="17" t="n"/>
      <c r="D1028" s="18" t="n"/>
      <c r="E1028" s="17" t="n"/>
      <c r="F1028" s="17" t="n"/>
      <c r="G1028" s="19" t="n"/>
      <c r="H1028" s="17" t="n"/>
      <c r="I1028" s="17" t="n"/>
      <c r="J1028" s="17" t="n"/>
      <c r="K1028" s="20">
        <f>IF($B1028="","",IFERROR(INDEX(الموظفات!$A$5:$A$304,MATCH($B1028,الموظفات!$B$5:$B$304,0))&amp;"",""))</f>
        <v/>
      </c>
      <c r="L1028" s="21">
        <f>IF($B1028="","",IFERROR(INDEX(الموظفات!$C$5:$C$304,MATCH($B1028,الموظفات!$B$5:$B$304,0))&amp;"",""))</f>
        <v/>
      </c>
      <c r="M1028" s="20">
        <f>IF($B1028="","",IFERROR(INDEX(الموظفات!$D$5:$D$304,MATCH($B1028,الموظفات!$B$5:$B$304,0))&amp;"",""))</f>
        <v/>
      </c>
      <c r="N1028" s="20">
        <f>IF($B1028="","",IFERROR(INDEX(الموظفات!$E$5:$E$304,MATCH($B1028,الموظفات!$B$5:$B$304,0))&amp;"",""))</f>
        <v/>
      </c>
      <c r="O1028" s="21">
        <f>IF(C1028="","",IFERROR(INDEX(الإعدادات!$D$7:$D$35,MATCH(C1028,الإعدادات!$A$7:$A$35,0))&amp;"",""))</f>
        <v/>
      </c>
      <c r="P1028" s="20">
        <f>IF(A1028="","",INDEX(الإعدادات!$H$7:$H$18,MONTH(A1028)))</f>
        <v/>
      </c>
      <c r="Q1028" s="20">
        <f>IF(A1028="","",INDEX(الإعدادات!$I$7:$I$18,MONTH(A1028)))</f>
        <v/>
      </c>
      <c r="R1028" s="20">
        <f>IF(A1028="","",IF(MONTH(A1028)&gt;=8,YEAR(A1028)&amp;"-"&amp;(YEAR(A1028)+1),(YEAR(A1028)-1)&amp;"-"&amp;YEAR(A1028)))</f>
        <v/>
      </c>
      <c r="S1028" s="20">
        <f>IF(OR(A1028="",B1028=""),0,IF(AND(R1028=التقارير!$C$4,OR(التقارير!$C$5="سنوي",AND(التقارير!$C$5="شهري",P1028=التقارير!$C$6),AND(التقارير!$C$5="فصلي",Q1028=التقارير!$C$7))),1,0))</f>
        <v/>
      </c>
      <c r="T1028" s="20">
        <f>IF(S1028=1,COUNTIF($S$5:S1028,1),"")</f>
        <v/>
      </c>
      <c r="U1028">
        <f>IF(AND($A1028&lt;&gt;"",$B1028&lt;&gt;"",$R1028='تقرير الفصل الأول'!$C$4,$Q1028='تقرير الفصل الأول'!$C$7),COUNT(U$4:U1027)+1,"")</f>
        <v/>
      </c>
      <c r="V1028">
        <f>IF(AND($A1028&lt;&gt;"",$B1028&lt;&gt;"",$R1028='تقرير الفصل الثاني'!$C$4,$Q1028='تقرير الفصل الثاني'!$C$7),COUNT(V$4:V1027)+1,"")</f>
        <v/>
      </c>
      <c r="W1028">
        <f>IF(AND($A1028&lt;&gt;"",$B1028&lt;&gt;"",$R1028='تقرير سبتمبر'!$C$4,$P1028='تقرير سبتمبر'!$C$6),COUNT(W$4:W1027)+1,"")</f>
        <v/>
      </c>
      <c r="X1028">
        <f>IF(AND($A1028&lt;&gt;"",$B1028&lt;&gt;"",$R1028='تقرير أكتوبر'!$C$4,$P1028='تقرير أكتوبر'!$C$6),COUNT(X$4:X1027)+1,"")</f>
        <v/>
      </c>
      <c r="Y1028">
        <f>IF(AND($A1028&lt;&gt;"",$B1028&lt;&gt;"",$R1028='تقرير نوفمبر'!$C$4,$P1028='تقرير نوفمبر'!$C$6),COUNT(Y$4:Y1027)+1,"")</f>
        <v/>
      </c>
      <c r="Z1028">
        <f>IF(AND($A1028&lt;&gt;"",$B1028&lt;&gt;"",$R1028='تقرير ديسمبر'!$C$4,$P1028='تقرير ديسمبر'!$C$6),COUNT(Z$4:Z1027)+1,"")</f>
        <v/>
      </c>
      <c r="AA1028">
        <f>IF(AND($A1028&lt;&gt;"",$B1028&lt;&gt;"",$R1028='تقرير يناير'!$C$4,$P1028='تقرير يناير'!$C$6),COUNT(AA$4:AA1027)+1,"")</f>
        <v/>
      </c>
      <c r="AB1028">
        <f>IF(AND($A1028&lt;&gt;"",$B1028&lt;&gt;"",$R1028='تقرير فبراير'!$C$4,$P1028='تقرير فبراير'!$C$6),COUNT(AB$4:AB1027)+1,"")</f>
        <v/>
      </c>
      <c r="AC1028">
        <f>IF(AND($A1028&lt;&gt;"",$B1028&lt;&gt;"",$R1028='تقرير مارس'!$C$4,$P1028='تقرير مارس'!$C$6),COUNT(AC$4:AC1027)+1,"")</f>
        <v/>
      </c>
      <c r="AD1028">
        <f>IF(AND($A1028&lt;&gt;"",$B1028&lt;&gt;"",$R1028='تقرير أبريل'!$C$4,$P1028='تقرير أبريل'!$C$6),COUNT(AD$4:AD1027)+1,"")</f>
        <v/>
      </c>
      <c r="AE1028">
        <f>IF(AND($A1028&lt;&gt;"",$B1028&lt;&gt;"",$R1028='تقرير مايو'!$C$4,$P1028='تقرير مايو'!$C$6),COUNT(AE$4:AE1027)+1,"")</f>
        <v/>
      </c>
    </row>
    <row r="1029">
      <c r="A1029" s="16" t="n"/>
      <c r="B1029" s="17" t="n"/>
      <c r="C1029" s="17" t="n"/>
      <c r="D1029" s="18" t="n"/>
      <c r="E1029" s="17" t="n"/>
      <c r="F1029" s="17" t="n"/>
      <c r="G1029" s="19" t="n"/>
      <c r="H1029" s="17" t="n"/>
      <c r="I1029" s="17" t="n"/>
      <c r="J1029" s="17" t="n"/>
      <c r="K1029" s="20">
        <f>IF($B1029="","",IFERROR(INDEX(الموظفات!$A$5:$A$304,MATCH($B1029,الموظفات!$B$5:$B$304,0))&amp;"",""))</f>
        <v/>
      </c>
      <c r="L1029" s="21">
        <f>IF($B1029="","",IFERROR(INDEX(الموظفات!$C$5:$C$304,MATCH($B1029,الموظفات!$B$5:$B$304,0))&amp;"",""))</f>
        <v/>
      </c>
      <c r="M1029" s="20">
        <f>IF($B1029="","",IFERROR(INDEX(الموظفات!$D$5:$D$304,MATCH($B1029,الموظفات!$B$5:$B$304,0))&amp;"",""))</f>
        <v/>
      </c>
      <c r="N1029" s="20">
        <f>IF($B1029="","",IFERROR(INDEX(الموظفات!$E$5:$E$304,MATCH($B1029,الموظفات!$B$5:$B$304,0))&amp;"",""))</f>
        <v/>
      </c>
      <c r="O1029" s="21">
        <f>IF(C1029="","",IFERROR(INDEX(الإعدادات!$D$7:$D$35,MATCH(C1029,الإعدادات!$A$7:$A$35,0))&amp;"",""))</f>
        <v/>
      </c>
      <c r="P1029" s="20">
        <f>IF(A1029="","",INDEX(الإعدادات!$H$7:$H$18,MONTH(A1029)))</f>
        <v/>
      </c>
      <c r="Q1029" s="20">
        <f>IF(A1029="","",INDEX(الإعدادات!$I$7:$I$18,MONTH(A1029)))</f>
        <v/>
      </c>
      <c r="R1029" s="20">
        <f>IF(A1029="","",IF(MONTH(A1029)&gt;=8,YEAR(A1029)&amp;"-"&amp;(YEAR(A1029)+1),(YEAR(A1029)-1)&amp;"-"&amp;YEAR(A1029)))</f>
        <v/>
      </c>
      <c r="S1029" s="20">
        <f>IF(OR(A1029="",B1029=""),0,IF(AND(R1029=التقارير!$C$4,OR(التقارير!$C$5="سنوي",AND(التقارير!$C$5="شهري",P1029=التقارير!$C$6),AND(التقارير!$C$5="فصلي",Q1029=التقارير!$C$7))),1,0))</f>
        <v/>
      </c>
      <c r="T1029" s="20">
        <f>IF(S1029=1,COUNTIF($S$5:S1029,1),"")</f>
        <v/>
      </c>
      <c r="U1029">
        <f>IF(AND($A1029&lt;&gt;"",$B1029&lt;&gt;"",$R1029='تقرير الفصل الأول'!$C$4,$Q1029='تقرير الفصل الأول'!$C$7),COUNT(U$4:U1028)+1,"")</f>
        <v/>
      </c>
      <c r="V1029">
        <f>IF(AND($A1029&lt;&gt;"",$B1029&lt;&gt;"",$R1029='تقرير الفصل الثاني'!$C$4,$Q1029='تقرير الفصل الثاني'!$C$7),COUNT(V$4:V1028)+1,"")</f>
        <v/>
      </c>
      <c r="W1029">
        <f>IF(AND($A1029&lt;&gt;"",$B1029&lt;&gt;"",$R1029='تقرير سبتمبر'!$C$4,$P1029='تقرير سبتمبر'!$C$6),COUNT(W$4:W1028)+1,"")</f>
        <v/>
      </c>
      <c r="X1029">
        <f>IF(AND($A1029&lt;&gt;"",$B1029&lt;&gt;"",$R1029='تقرير أكتوبر'!$C$4,$P1029='تقرير أكتوبر'!$C$6),COUNT(X$4:X1028)+1,"")</f>
        <v/>
      </c>
      <c r="Y1029">
        <f>IF(AND($A1029&lt;&gt;"",$B1029&lt;&gt;"",$R1029='تقرير نوفمبر'!$C$4,$P1029='تقرير نوفمبر'!$C$6),COUNT(Y$4:Y1028)+1,"")</f>
        <v/>
      </c>
      <c r="Z1029">
        <f>IF(AND($A1029&lt;&gt;"",$B1029&lt;&gt;"",$R1029='تقرير ديسمبر'!$C$4,$P1029='تقرير ديسمبر'!$C$6),COUNT(Z$4:Z1028)+1,"")</f>
        <v/>
      </c>
      <c r="AA1029">
        <f>IF(AND($A1029&lt;&gt;"",$B1029&lt;&gt;"",$R1029='تقرير يناير'!$C$4,$P1029='تقرير يناير'!$C$6),COUNT(AA$4:AA1028)+1,"")</f>
        <v/>
      </c>
      <c r="AB1029">
        <f>IF(AND($A1029&lt;&gt;"",$B1029&lt;&gt;"",$R1029='تقرير فبراير'!$C$4,$P1029='تقرير فبراير'!$C$6),COUNT(AB$4:AB1028)+1,"")</f>
        <v/>
      </c>
      <c r="AC1029">
        <f>IF(AND($A1029&lt;&gt;"",$B1029&lt;&gt;"",$R1029='تقرير مارس'!$C$4,$P1029='تقرير مارس'!$C$6),COUNT(AC$4:AC1028)+1,"")</f>
        <v/>
      </c>
      <c r="AD1029">
        <f>IF(AND($A1029&lt;&gt;"",$B1029&lt;&gt;"",$R1029='تقرير أبريل'!$C$4,$P1029='تقرير أبريل'!$C$6),COUNT(AD$4:AD1028)+1,"")</f>
        <v/>
      </c>
      <c r="AE1029">
        <f>IF(AND($A1029&lt;&gt;"",$B1029&lt;&gt;"",$R1029='تقرير مايو'!$C$4,$P1029='تقرير مايو'!$C$6),COUNT(AE$4:AE1028)+1,"")</f>
        <v/>
      </c>
    </row>
    <row r="1030">
      <c r="A1030" s="16" t="n"/>
      <c r="B1030" s="17" t="n"/>
      <c r="C1030" s="17" t="n"/>
      <c r="D1030" s="18" t="n"/>
      <c r="E1030" s="17" t="n"/>
      <c r="F1030" s="17" t="n"/>
      <c r="G1030" s="19" t="n"/>
      <c r="H1030" s="17" t="n"/>
      <c r="I1030" s="17" t="n"/>
      <c r="J1030" s="17" t="n"/>
      <c r="K1030" s="20">
        <f>IF($B1030="","",IFERROR(INDEX(الموظفات!$A$5:$A$304,MATCH($B1030,الموظفات!$B$5:$B$304,0))&amp;"",""))</f>
        <v/>
      </c>
      <c r="L1030" s="21">
        <f>IF($B1030="","",IFERROR(INDEX(الموظفات!$C$5:$C$304,MATCH($B1030,الموظفات!$B$5:$B$304,0))&amp;"",""))</f>
        <v/>
      </c>
      <c r="M1030" s="20">
        <f>IF($B1030="","",IFERROR(INDEX(الموظفات!$D$5:$D$304,MATCH($B1030,الموظفات!$B$5:$B$304,0))&amp;"",""))</f>
        <v/>
      </c>
      <c r="N1030" s="20">
        <f>IF($B1030="","",IFERROR(INDEX(الموظفات!$E$5:$E$304,MATCH($B1030,الموظفات!$B$5:$B$304,0))&amp;"",""))</f>
        <v/>
      </c>
      <c r="O1030" s="21">
        <f>IF(C1030="","",IFERROR(INDEX(الإعدادات!$D$7:$D$35,MATCH(C1030,الإعدادات!$A$7:$A$35,0))&amp;"",""))</f>
        <v/>
      </c>
      <c r="P1030" s="20">
        <f>IF(A1030="","",INDEX(الإعدادات!$H$7:$H$18,MONTH(A1030)))</f>
        <v/>
      </c>
      <c r="Q1030" s="20">
        <f>IF(A1030="","",INDEX(الإعدادات!$I$7:$I$18,MONTH(A1030)))</f>
        <v/>
      </c>
      <c r="R1030" s="20">
        <f>IF(A1030="","",IF(MONTH(A1030)&gt;=8,YEAR(A1030)&amp;"-"&amp;(YEAR(A1030)+1),(YEAR(A1030)-1)&amp;"-"&amp;YEAR(A1030)))</f>
        <v/>
      </c>
      <c r="S1030" s="20">
        <f>IF(OR(A1030="",B1030=""),0,IF(AND(R1030=التقارير!$C$4,OR(التقارير!$C$5="سنوي",AND(التقارير!$C$5="شهري",P1030=التقارير!$C$6),AND(التقارير!$C$5="فصلي",Q1030=التقارير!$C$7))),1,0))</f>
        <v/>
      </c>
      <c r="T1030" s="20">
        <f>IF(S1030=1,COUNTIF($S$5:S1030,1),"")</f>
        <v/>
      </c>
      <c r="U1030">
        <f>IF(AND($A1030&lt;&gt;"",$B1030&lt;&gt;"",$R1030='تقرير الفصل الأول'!$C$4,$Q1030='تقرير الفصل الأول'!$C$7),COUNT(U$4:U1029)+1,"")</f>
        <v/>
      </c>
      <c r="V1030">
        <f>IF(AND($A1030&lt;&gt;"",$B1030&lt;&gt;"",$R1030='تقرير الفصل الثاني'!$C$4,$Q1030='تقرير الفصل الثاني'!$C$7),COUNT(V$4:V1029)+1,"")</f>
        <v/>
      </c>
      <c r="W1030">
        <f>IF(AND($A1030&lt;&gt;"",$B1030&lt;&gt;"",$R1030='تقرير سبتمبر'!$C$4,$P1030='تقرير سبتمبر'!$C$6),COUNT(W$4:W1029)+1,"")</f>
        <v/>
      </c>
      <c r="X1030">
        <f>IF(AND($A1030&lt;&gt;"",$B1030&lt;&gt;"",$R1030='تقرير أكتوبر'!$C$4,$P1030='تقرير أكتوبر'!$C$6),COUNT(X$4:X1029)+1,"")</f>
        <v/>
      </c>
      <c r="Y1030">
        <f>IF(AND($A1030&lt;&gt;"",$B1030&lt;&gt;"",$R1030='تقرير نوفمبر'!$C$4,$P1030='تقرير نوفمبر'!$C$6),COUNT(Y$4:Y1029)+1,"")</f>
        <v/>
      </c>
      <c r="Z1030">
        <f>IF(AND($A1030&lt;&gt;"",$B1030&lt;&gt;"",$R1030='تقرير ديسمبر'!$C$4,$P1030='تقرير ديسمبر'!$C$6),COUNT(Z$4:Z1029)+1,"")</f>
        <v/>
      </c>
      <c r="AA1030">
        <f>IF(AND($A1030&lt;&gt;"",$B1030&lt;&gt;"",$R1030='تقرير يناير'!$C$4,$P1030='تقرير يناير'!$C$6),COUNT(AA$4:AA1029)+1,"")</f>
        <v/>
      </c>
      <c r="AB1030">
        <f>IF(AND($A1030&lt;&gt;"",$B1030&lt;&gt;"",$R1030='تقرير فبراير'!$C$4,$P1030='تقرير فبراير'!$C$6),COUNT(AB$4:AB1029)+1,"")</f>
        <v/>
      </c>
      <c r="AC1030">
        <f>IF(AND($A1030&lt;&gt;"",$B1030&lt;&gt;"",$R1030='تقرير مارس'!$C$4,$P1030='تقرير مارس'!$C$6),COUNT(AC$4:AC1029)+1,"")</f>
        <v/>
      </c>
      <c r="AD1030">
        <f>IF(AND($A1030&lt;&gt;"",$B1030&lt;&gt;"",$R1030='تقرير أبريل'!$C$4,$P1030='تقرير أبريل'!$C$6),COUNT(AD$4:AD1029)+1,"")</f>
        <v/>
      </c>
      <c r="AE1030">
        <f>IF(AND($A1030&lt;&gt;"",$B1030&lt;&gt;"",$R1030='تقرير مايو'!$C$4,$P1030='تقرير مايو'!$C$6),COUNT(AE$4:AE1029)+1,"")</f>
        <v/>
      </c>
    </row>
    <row r="1031">
      <c r="A1031" s="16" t="n"/>
      <c r="B1031" s="17" t="n"/>
      <c r="C1031" s="17" t="n"/>
      <c r="D1031" s="18" t="n"/>
      <c r="E1031" s="17" t="n"/>
      <c r="F1031" s="17" t="n"/>
      <c r="G1031" s="19" t="n"/>
      <c r="H1031" s="17" t="n"/>
      <c r="I1031" s="17" t="n"/>
      <c r="J1031" s="17" t="n"/>
      <c r="K1031" s="20">
        <f>IF($B1031="","",IFERROR(INDEX(الموظفات!$A$5:$A$304,MATCH($B1031,الموظفات!$B$5:$B$304,0))&amp;"",""))</f>
        <v/>
      </c>
      <c r="L1031" s="21">
        <f>IF($B1031="","",IFERROR(INDEX(الموظفات!$C$5:$C$304,MATCH($B1031,الموظفات!$B$5:$B$304,0))&amp;"",""))</f>
        <v/>
      </c>
      <c r="M1031" s="20">
        <f>IF($B1031="","",IFERROR(INDEX(الموظفات!$D$5:$D$304,MATCH($B1031,الموظفات!$B$5:$B$304,0))&amp;"",""))</f>
        <v/>
      </c>
      <c r="N1031" s="20">
        <f>IF($B1031="","",IFERROR(INDEX(الموظفات!$E$5:$E$304,MATCH($B1031,الموظفات!$B$5:$B$304,0))&amp;"",""))</f>
        <v/>
      </c>
      <c r="O1031" s="21">
        <f>IF(C1031="","",IFERROR(INDEX(الإعدادات!$D$7:$D$35,MATCH(C1031,الإعدادات!$A$7:$A$35,0))&amp;"",""))</f>
        <v/>
      </c>
      <c r="P1031" s="20">
        <f>IF(A1031="","",INDEX(الإعدادات!$H$7:$H$18,MONTH(A1031)))</f>
        <v/>
      </c>
      <c r="Q1031" s="20">
        <f>IF(A1031="","",INDEX(الإعدادات!$I$7:$I$18,MONTH(A1031)))</f>
        <v/>
      </c>
      <c r="R1031" s="20">
        <f>IF(A1031="","",IF(MONTH(A1031)&gt;=8,YEAR(A1031)&amp;"-"&amp;(YEAR(A1031)+1),(YEAR(A1031)-1)&amp;"-"&amp;YEAR(A1031)))</f>
        <v/>
      </c>
      <c r="S1031" s="20">
        <f>IF(OR(A1031="",B1031=""),0,IF(AND(R1031=التقارير!$C$4,OR(التقارير!$C$5="سنوي",AND(التقارير!$C$5="شهري",P1031=التقارير!$C$6),AND(التقارير!$C$5="فصلي",Q1031=التقارير!$C$7))),1,0))</f>
        <v/>
      </c>
      <c r="T1031" s="20">
        <f>IF(S1031=1,COUNTIF($S$5:S1031,1),"")</f>
        <v/>
      </c>
      <c r="U1031">
        <f>IF(AND($A1031&lt;&gt;"",$B1031&lt;&gt;"",$R1031='تقرير الفصل الأول'!$C$4,$Q1031='تقرير الفصل الأول'!$C$7),COUNT(U$4:U1030)+1,"")</f>
        <v/>
      </c>
      <c r="V1031">
        <f>IF(AND($A1031&lt;&gt;"",$B1031&lt;&gt;"",$R1031='تقرير الفصل الثاني'!$C$4,$Q1031='تقرير الفصل الثاني'!$C$7),COUNT(V$4:V1030)+1,"")</f>
        <v/>
      </c>
      <c r="W1031">
        <f>IF(AND($A1031&lt;&gt;"",$B1031&lt;&gt;"",$R1031='تقرير سبتمبر'!$C$4,$P1031='تقرير سبتمبر'!$C$6),COUNT(W$4:W1030)+1,"")</f>
        <v/>
      </c>
      <c r="X1031">
        <f>IF(AND($A1031&lt;&gt;"",$B1031&lt;&gt;"",$R1031='تقرير أكتوبر'!$C$4,$P1031='تقرير أكتوبر'!$C$6),COUNT(X$4:X1030)+1,"")</f>
        <v/>
      </c>
      <c r="Y1031">
        <f>IF(AND($A1031&lt;&gt;"",$B1031&lt;&gt;"",$R1031='تقرير نوفمبر'!$C$4,$P1031='تقرير نوفمبر'!$C$6),COUNT(Y$4:Y1030)+1,"")</f>
        <v/>
      </c>
      <c r="Z1031">
        <f>IF(AND($A1031&lt;&gt;"",$B1031&lt;&gt;"",$R1031='تقرير ديسمبر'!$C$4,$P1031='تقرير ديسمبر'!$C$6),COUNT(Z$4:Z1030)+1,"")</f>
        <v/>
      </c>
      <c r="AA1031">
        <f>IF(AND($A1031&lt;&gt;"",$B1031&lt;&gt;"",$R1031='تقرير يناير'!$C$4,$P1031='تقرير يناير'!$C$6),COUNT(AA$4:AA1030)+1,"")</f>
        <v/>
      </c>
      <c r="AB1031">
        <f>IF(AND($A1031&lt;&gt;"",$B1031&lt;&gt;"",$R1031='تقرير فبراير'!$C$4,$P1031='تقرير فبراير'!$C$6),COUNT(AB$4:AB1030)+1,"")</f>
        <v/>
      </c>
      <c r="AC1031">
        <f>IF(AND($A1031&lt;&gt;"",$B1031&lt;&gt;"",$R1031='تقرير مارس'!$C$4,$P1031='تقرير مارس'!$C$6),COUNT(AC$4:AC1030)+1,"")</f>
        <v/>
      </c>
      <c r="AD1031">
        <f>IF(AND($A1031&lt;&gt;"",$B1031&lt;&gt;"",$R1031='تقرير أبريل'!$C$4,$P1031='تقرير أبريل'!$C$6),COUNT(AD$4:AD1030)+1,"")</f>
        <v/>
      </c>
      <c r="AE1031">
        <f>IF(AND($A1031&lt;&gt;"",$B1031&lt;&gt;"",$R1031='تقرير مايو'!$C$4,$P1031='تقرير مايو'!$C$6),COUNT(AE$4:AE1030)+1,"")</f>
        <v/>
      </c>
    </row>
    <row r="1032">
      <c r="A1032" s="16" t="n"/>
      <c r="B1032" s="17" t="n"/>
      <c r="C1032" s="17" t="n"/>
      <c r="D1032" s="18" t="n"/>
      <c r="E1032" s="17" t="n"/>
      <c r="F1032" s="17" t="n"/>
      <c r="G1032" s="19" t="n"/>
      <c r="H1032" s="17" t="n"/>
      <c r="I1032" s="17" t="n"/>
      <c r="J1032" s="17" t="n"/>
      <c r="K1032" s="20">
        <f>IF($B1032="","",IFERROR(INDEX(الموظفات!$A$5:$A$304,MATCH($B1032,الموظفات!$B$5:$B$304,0))&amp;"",""))</f>
        <v/>
      </c>
      <c r="L1032" s="21">
        <f>IF($B1032="","",IFERROR(INDEX(الموظفات!$C$5:$C$304,MATCH($B1032,الموظفات!$B$5:$B$304,0))&amp;"",""))</f>
        <v/>
      </c>
      <c r="M1032" s="20">
        <f>IF($B1032="","",IFERROR(INDEX(الموظفات!$D$5:$D$304,MATCH($B1032,الموظفات!$B$5:$B$304,0))&amp;"",""))</f>
        <v/>
      </c>
      <c r="N1032" s="20">
        <f>IF($B1032="","",IFERROR(INDEX(الموظفات!$E$5:$E$304,MATCH($B1032,الموظفات!$B$5:$B$304,0))&amp;"",""))</f>
        <v/>
      </c>
      <c r="O1032" s="21">
        <f>IF(C1032="","",IFERROR(INDEX(الإعدادات!$D$7:$D$35,MATCH(C1032,الإعدادات!$A$7:$A$35,0))&amp;"",""))</f>
        <v/>
      </c>
      <c r="P1032" s="20">
        <f>IF(A1032="","",INDEX(الإعدادات!$H$7:$H$18,MONTH(A1032)))</f>
        <v/>
      </c>
      <c r="Q1032" s="20">
        <f>IF(A1032="","",INDEX(الإعدادات!$I$7:$I$18,MONTH(A1032)))</f>
        <v/>
      </c>
      <c r="R1032" s="20">
        <f>IF(A1032="","",IF(MONTH(A1032)&gt;=8,YEAR(A1032)&amp;"-"&amp;(YEAR(A1032)+1),(YEAR(A1032)-1)&amp;"-"&amp;YEAR(A1032)))</f>
        <v/>
      </c>
      <c r="S1032" s="20">
        <f>IF(OR(A1032="",B1032=""),0,IF(AND(R1032=التقارير!$C$4,OR(التقارير!$C$5="سنوي",AND(التقارير!$C$5="شهري",P1032=التقارير!$C$6),AND(التقارير!$C$5="فصلي",Q1032=التقارير!$C$7))),1,0))</f>
        <v/>
      </c>
      <c r="T1032" s="20">
        <f>IF(S1032=1,COUNTIF($S$5:S1032,1),"")</f>
        <v/>
      </c>
      <c r="U1032">
        <f>IF(AND($A1032&lt;&gt;"",$B1032&lt;&gt;"",$R1032='تقرير الفصل الأول'!$C$4,$Q1032='تقرير الفصل الأول'!$C$7),COUNT(U$4:U1031)+1,"")</f>
        <v/>
      </c>
      <c r="V1032">
        <f>IF(AND($A1032&lt;&gt;"",$B1032&lt;&gt;"",$R1032='تقرير الفصل الثاني'!$C$4,$Q1032='تقرير الفصل الثاني'!$C$7),COUNT(V$4:V1031)+1,"")</f>
        <v/>
      </c>
      <c r="W1032">
        <f>IF(AND($A1032&lt;&gt;"",$B1032&lt;&gt;"",$R1032='تقرير سبتمبر'!$C$4,$P1032='تقرير سبتمبر'!$C$6),COUNT(W$4:W1031)+1,"")</f>
        <v/>
      </c>
      <c r="X1032">
        <f>IF(AND($A1032&lt;&gt;"",$B1032&lt;&gt;"",$R1032='تقرير أكتوبر'!$C$4,$P1032='تقرير أكتوبر'!$C$6),COUNT(X$4:X1031)+1,"")</f>
        <v/>
      </c>
      <c r="Y1032">
        <f>IF(AND($A1032&lt;&gt;"",$B1032&lt;&gt;"",$R1032='تقرير نوفمبر'!$C$4,$P1032='تقرير نوفمبر'!$C$6),COUNT(Y$4:Y1031)+1,"")</f>
        <v/>
      </c>
      <c r="Z1032">
        <f>IF(AND($A1032&lt;&gt;"",$B1032&lt;&gt;"",$R1032='تقرير ديسمبر'!$C$4,$P1032='تقرير ديسمبر'!$C$6),COUNT(Z$4:Z1031)+1,"")</f>
        <v/>
      </c>
      <c r="AA1032">
        <f>IF(AND($A1032&lt;&gt;"",$B1032&lt;&gt;"",$R1032='تقرير يناير'!$C$4,$P1032='تقرير يناير'!$C$6),COUNT(AA$4:AA1031)+1,"")</f>
        <v/>
      </c>
      <c r="AB1032">
        <f>IF(AND($A1032&lt;&gt;"",$B1032&lt;&gt;"",$R1032='تقرير فبراير'!$C$4,$P1032='تقرير فبراير'!$C$6),COUNT(AB$4:AB1031)+1,"")</f>
        <v/>
      </c>
      <c r="AC1032">
        <f>IF(AND($A1032&lt;&gt;"",$B1032&lt;&gt;"",$R1032='تقرير مارس'!$C$4,$P1032='تقرير مارس'!$C$6),COUNT(AC$4:AC1031)+1,"")</f>
        <v/>
      </c>
      <c r="AD1032">
        <f>IF(AND($A1032&lt;&gt;"",$B1032&lt;&gt;"",$R1032='تقرير أبريل'!$C$4,$P1032='تقرير أبريل'!$C$6),COUNT(AD$4:AD1031)+1,"")</f>
        <v/>
      </c>
      <c r="AE1032">
        <f>IF(AND($A1032&lt;&gt;"",$B1032&lt;&gt;"",$R1032='تقرير مايو'!$C$4,$P1032='تقرير مايو'!$C$6),COUNT(AE$4:AE1031)+1,"")</f>
        <v/>
      </c>
    </row>
    <row r="1033">
      <c r="A1033" s="16" t="n"/>
      <c r="B1033" s="17" t="n"/>
      <c r="C1033" s="17" t="n"/>
      <c r="D1033" s="18" t="n"/>
      <c r="E1033" s="17" t="n"/>
      <c r="F1033" s="17" t="n"/>
      <c r="G1033" s="19" t="n"/>
      <c r="H1033" s="17" t="n"/>
      <c r="I1033" s="17" t="n"/>
      <c r="J1033" s="17" t="n"/>
      <c r="K1033" s="20">
        <f>IF($B1033="","",IFERROR(INDEX(الموظفات!$A$5:$A$304,MATCH($B1033,الموظفات!$B$5:$B$304,0))&amp;"",""))</f>
        <v/>
      </c>
      <c r="L1033" s="21">
        <f>IF($B1033="","",IFERROR(INDEX(الموظفات!$C$5:$C$304,MATCH($B1033,الموظفات!$B$5:$B$304,0))&amp;"",""))</f>
        <v/>
      </c>
      <c r="M1033" s="20">
        <f>IF($B1033="","",IFERROR(INDEX(الموظفات!$D$5:$D$304,MATCH($B1033,الموظفات!$B$5:$B$304,0))&amp;"",""))</f>
        <v/>
      </c>
      <c r="N1033" s="20">
        <f>IF($B1033="","",IFERROR(INDEX(الموظفات!$E$5:$E$304,MATCH($B1033,الموظفات!$B$5:$B$304,0))&amp;"",""))</f>
        <v/>
      </c>
      <c r="O1033" s="21">
        <f>IF(C1033="","",IFERROR(INDEX(الإعدادات!$D$7:$D$35,MATCH(C1033,الإعدادات!$A$7:$A$35,0))&amp;"",""))</f>
        <v/>
      </c>
      <c r="P1033" s="20">
        <f>IF(A1033="","",INDEX(الإعدادات!$H$7:$H$18,MONTH(A1033)))</f>
        <v/>
      </c>
      <c r="Q1033" s="20">
        <f>IF(A1033="","",INDEX(الإعدادات!$I$7:$I$18,MONTH(A1033)))</f>
        <v/>
      </c>
      <c r="R1033" s="20">
        <f>IF(A1033="","",IF(MONTH(A1033)&gt;=8,YEAR(A1033)&amp;"-"&amp;(YEAR(A1033)+1),(YEAR(A1033)-1)&amp;"-"&amp;YEAR(A1033)))</f>
        <v/>
      </c>
      <c r="S1033" s="20">
        <f>IF(OR(A1033="",B1033=""),0,IF(AND(R1033=التقارير!$C$4,OR(التقارير!$C$5="سنوي",AND(التقارير!$C$5="شهري",P1033=التقارير!$C$6),AND(التقارير!$C$5="فصلي",Q1033=التقارير!$C$7))),1,0))</f>
        <v/>
      </c>
      <c r="T1033" s="20">
        <f>IF(S1033=1,COUNTIF($S$5:S1033,1),"")</f>
        <v/>
      </c>
      <c r="U1033">
        <f>IF(AND($A1033&lt;&gt;"",$B1033&lt;&gt;"",$R1033='تقرير الفصل الأول'!$C$4,$Q1033='تقرير الفصل الأول'!$C$7),COUNT(U$4:U1032)+1,"")</f>
        <v/>
      </c>
      <c r="V1033">
        <f>IF(AND($A1033&lt;&gt;"",$B1033&lt;&gt;"",$R1033='تقرير الفصل الثاني'!$C$4,$Q1033='تقرير الفصل الثاني'!$C$7),COUNT(V$4:V1032)+1,"")</f>
        <v/>
      </c>
      <c r="W1033">
        <f>IF(AND($A1033&lt;&gt;"",$B1033&lt;&gt;"",$R1033='تقرير سبتمبر'!$C$4,$P1033='تقرير سبتمبر'!$C$6),COUNT(W$4:W1032)+1,"")</f>
        <v/>
      </c>
      <c r="X1033">
        <f>IF(AND($A1033&lt;&gt;"",$B1033&lt;&gt;"",$R1033='تقرير أكتوبر'!$C$4,$P1033='تقرير أكتوبر'!$C$6),COUNT(X$4:X1032)+1,"")</f>
        <v/>
      </c>
      <c r="Y1033">
        <f>IF(AND($A1033&lt;&gt;"",$B1033&lt;&gt;"",$R1033='تقرير نوفمبر'!$C$4,$P1033='تقرير نوفمبر'!$C$6),COUNT(Y$4:Y1032)+1,"")</f>
        <v/>
      </c>
      <c r="Z1033">
        <f>IF(AND($A1033&lt;&gt;"",$B1033&lt;&gt;"",$R1033='تقرير ديسمبر'!$C$4,$P1033='تقرير ديسمبر'!$C$6),COUNT(Z$4:Z1032)+1,"")</f>
        <v/>
      </c>
      <c r="AA1033">
        <f>IF(AND($A1033&lt;&gt;"",$B1033&lt;&gt;"",$R1033='تقرير يناير'!$C$4,$P1033='تقرير يناير'!$C$6),COUNT(AA$4:AA1032)+1,"")</f>
        <v/>
      </c>
      <c r="AB1033">
        <f>IF(AND($A1033&lt;&gt;"",$B1033&lt;&gt;"",$R1033='تقرير فبراير'!$C$4,$P1033='تقرير فبراير'!$C$6),COUNT(AB$4:AB1032)+1,"")</f>
        <v/>
      </c>
      <c r="AC1033">
        <f>IF(AND($A1033&lt;&gt;"",$B1033&lt;&gt;"",$R1033='تقرير مارس'!$C$4,$P1033='تقرير مارس'!$C$6),COUNT(AC$4:AC1032)+1,"")</f>
        <v/>
      </c>
      <c r="AD1033">
        <f>IF(AND($A1033&lt;&gt;"",$B1033&lt;&gt;"",$R1033='تقرير أبريل'!$C$4,$P1033='تقرير أبريل'!$C$6),COUNT(AD$4:AD1032)+1,"")</f>
        <v/>
      </c>
      <c r="AE1033">
        <f>IF(AND($A1033&lt;&gt;"",$B1033&lt;&gt;"",$R1033='تقرير مايو'!$C$4,$P1033='تقرير مايو'!$C$6),COUNT(AE$4:AE1032)+1,"")</f>
        <v/>
      </c>
    </row>
    <row r="1034">
      <c r="A1034" s="16" t="n"/>
      <c r="B1034" s="17" t="n"/>
      <c r="C1034" s="17" t="n"/>
      <c r="D1034" s="18" t="n"/>
      <c r="E1034" s="17" t="n"/>
      <c r="F1034" s="17" t="n"/>
      <c r="G1034" s="19" t="n"/>
      <c r="H1034" s="17" t="n"/>
      <c r="I1034" s="17" t="n"/>
      <c r="J1034" s="17" t="n"/>
      <c r="K1034" s="20">
        <f>IF($B1034="","",IFERROR(INDEX(الموظفات!$A$5:$A$304,MATCH($B1034,الموظفات!$B$5:$B$304,0))&amp;"",""))</f>
        <v/>
      </c>
      <c r="L1034" s="21">
        <f>IF($B1034="","",IFERROR(INDEX(الموظفات!$C$5:$C$304,MATCH($B1034,الموظفات!$B$5:$B$304,0))&amp;"",""))</f>
        <v/>
      </c>
      <c r="M1034" s="20">
        <f>IF($B1034="","",IFERROR(INDEX(الموظفات!$D$5:$D$304,MATCH($B1034,الموظفات!$B$5:$B$304,0))&amp;"",""))</f>
        <v/>
      </c>
      <c r="N1034" s="20">
        <f>IF($B1034="","",IFERROR(INDEX(الموظفات!$E$5:$E$304,MATCH($B1034,الموظفات!$B$5:$B$304,0))&amp;"",""))</f>
        <v/>
      </c>
      <c r="O1034" s="21">
        <f>IF(C1034="","",IFERROR(INDEX(الإعدادات!$D$7:$D$35,MATCH(C1034,الإعدادات!$A$7:$A$35,0))&amp;"",""))</f>
        <v/>
      </c>
      <c r="P1034" s="20">
        <f>IF(A1034="","",INDEX(الإعدادات!$H$7:$H$18,MONTH(A1034)))</f>
        <v/>
      </c>
      <c r="Q1034" s="20">
        <f>IF(A1034="","",INDEX(الإعدادات!$I$7:$I$18,MONTH(A1034)))</f>
        <v/>
      </c>
      <c r="R1034" s="20">
        <f>IF(A1034="","",IF(MONTH(A1034)&gt;=8,YEAR(A1034)&amp;"-"&amp;(YEAR(A1034)+1),(YEAR(A1034)-1)&amp;"-"&amp;YEAR(A1034)))</f>
        <v/>
      </c>
      <c r="S1034" s="20">
        <f>IF(OR(A1034="",B1034=""),0,IF(AND(R1034=التقارير!$C$4,OR(التقارير!$C$5="سنوي",AND(التقارير!$C$5="شهري",P1034=التقارير!$C$6),AND(التقارير!$C$5="فصلي",Q1034=التقارير!$C$7))),1,0))</f>
        <v/>
      </c>
      <c r="T1034" s="20">
        <f>IF(S1034=1,COUNTIF($S$5:S1034,1),"")</f>
        <v/>
      </c>
      <c r="U1034">
        <f>IF(AND($A1034&lt;&gt;"",$B1034&lt;&gt;"",$R1034='تقرير الفصل الأول'!$C$4,$Q1034='تقرير الفصل الأول'!$C$7),COUNT(U$4:U1033)+1,"")</f>
        <v/>
      </c>
      <c r="V1034">
        <f>IF(AND($A1034&lt;&gt;"",$B1034&lt;&gt;"",$R1034='تقرير الفصل الثاني'!$C$4,$Q1034='تقرير الفصل الثاني'!$C$7),COUNT(V$4:V1033)+1,"")</f>
        <v/>
      </c>
      <c r="W1034">
        <f>IF(AND($A1034&lt;&gt;"",$B1034&lt;&gt;"",$R1034='تقرير سبتمبر'!$C$4,$P1034='تقرير سبتمبر'!$C$6),COUNT(W$4:W1033)+1,"")</f>
        <v/>
      </c>
      <c r="X1034">
        <f>IF(AND($A1034&lt;&gt;"",$B1034&lt;&gt;"",$R1034='تقرير أكتوبر'!$C$4,$P1034='تقرير أكتوبر'!$C$6),COUNT(X$4:X1033)+1,"")</f>
        <v/>
      </c>
      <c r="Y1034">
        <f>IF(AND($A1034&lt;&gt;"",$B1034&lt;&gt;"",$R1034='تقرير نوفمبر'!$C$4,$P1034='تقرير نوفمبر'!$C$6),COUNT(Y$4:Y1033)+1,"")</f>
        <v/>
      </c>
      <c r="Z1034">
        <f>IF(AND($A1034&lt;&gt;"",$B1034&lt;&gt;"",$R1034='تقرير ديسمبر'!$C$4,$P1034='تقرير ديسمبر'!$C$6),COUNT(Z$4:Z1033)+1,"")</f>
        <v/>
      </c>
      <c r="AA1034">
        <f>IF(AND($A1034&lt;&gt;"",$B1034&lt;&gt;"",$R1034='تقرير يناير'!$C$4,$P1034='تقرير يناير'!$C$6),COUNT(AA$4:AA1033)+1,"")</f>
        <v/>
      </c>
      <c r="AB1034">
        <f>IF(AND($A1034&lt;&gt;"",$B1034&lt;&gt;"",$R1034='تقرير فبراير'!$C$4,$P1034='تقرير فبراير'!$C$6),COUNT(AB$4:AB1033)+1,"")</f>
        <v/>
      </c>
      <c r="AC1034">
        <f>IF(AND($A1034&lt;&gt;"",$B1034&lt;&gt;"",$R1034='تقرير مارس'!$C$4,$P1034='تقرير مارس'!$C$6),COUNT(AC$4:AC1033)+1,"")</f>
        <v/>
      </c>
      <c r="AD1034">
        <f>IF(AND($A1034&lt;&gt;"",$B1034&lt;&gt;"",$R1034='تقرير أبريل'!$C$4,$P1034='تقرير أبريل'!$C$6),COUNT(AD$4:AD1033)+1,"")</f>
        <v/>
      </c>
      <c r="AE1034">
        <f>IF(AND($A1034&lt;&gt;"",$B1034&lt;&gt;"",$R1034='تقرير مايو'!$C$4,$P1034='تقرير مايو'!$C$6),COUNT(AE$4:AE1033)+1,"")</f>
        <v/>
      </c>
    </row>
    <row r="1035">
      <c r="A1035" s="16" t="n"/>
      <c r="B1035" s="17" t="n"/>
      <c r="C1035" s="17" t="n"/>
      <c r="D1035" s="18" t="n"/>
      <c r="E1035" s="17" t="n"/>
      <c r="F1035" s="17" t="n"/>
      <c r="G1035" s="19" t="n"/>
      <c r="H1035" s="17" t="n"/>
      <c r="I1035" s="17" t="n"/>
      <c r="J1035" s="17" t="n"/>
      <c r="K1035" s="20">
        <f>IF($B1035="","",IFERROR(INDEX(الموظفات!$A$5:$A$304,MATCH($B1035,الموظفات!$B$5:$B$304,0))&amp;"",""))</f>
        <v/>
      </c>
      <c r="L1035" s="21">
        <f>IF($B1035="","",IFERROR(INDEX(الموظفات!$C$5:$C$304,MATCH($B1035,الموظفات!$B$5:$B$304,0))&amp;"",""))</f>
        <v/>
      </c>
      <c r="M1035" s="20">
        <f>IF($B1035="","",IFERROR(INDEX(الموظفات!$D$5:$D$304,MATCH($B1035,الموظفات!$B$5:$B$304,0))&amp;"",""))</f>
        <v/>
      </c>
      <c r="N1035" s="20">
        <f>IF($B1035="","",IFERROR(INDEX(الموظفات!$E$5:$E$304,MATCH($B1035,الموظفات!$B$5:$B$304,0))&amp;"",""))</f>
        <v/>
      </c>
      <c r="O1035" s="21">
        <f>IF(C1035="","",IFERROR(INDEX(الإعدادات!$D$7:$D$35,MATCH(C1035,الإعدادات!$A$7:$A$35,0))&amp;"",""))</f>
        <v/>
      </c>
      <c r="P1035" s="20">
        <f>IF(A1035="","",INDEX(الإعدادات!$H$7:$H$18,MONTH(A1035)))</f>
        <v/>
      </c>
      <c r="Q1035" s="20">
        <f>IF(A1035="","",INDEX(الإعدادات!$I$7:$I$18,MONTH(A1035)))</f>
        <v/>
      </c>
      <c r="R1035" s="20">
        <f>IF(A1035="","",IF(MONTH(A1035)&gt;=8,YEAR(A1035)&amp;"-"&amp;(YEAR(A1035)+1),(YEAR(A1035)-1)&amp;"-"&amp;YEAR(A1035)))</f>
        <v/>
      </c>
      <c r="S1035" s="20">
        <f>IF(OR(A1035="",B1035=""),0,IF(AND(R1035=التقارير!$C$4,OR(التقارير!$C$5="سنوي",AND(التقارير!$C$5="شهري",P1035=التقارير!$C$6),AND(التقارير!$C$5="فصلي",Q1035=التقارير!$C$7))),1,0))</f>
        <v/>
      </c>
      <c r="T1035" s="20">
        <f>IF(S1035=1,COUNTIF($S$5:S1035,1),"")</f>
        <v/>
      </c>
      <c r="U1035">
        <f>IF(AND($A1035&lt;&gt;"",$B1035&lt;&gt;"",$R1035='تقرير الفصل الأول'!$C$4,$Q1035='تقرير الفصل الأول'!$C$7),COUNT(U$4:U1034)+1,"")</f>
        <v/>
      </c>
      <c r="V1035">
        <f>IF(AND($A1035&lt;&gt;"",$B1035&lt;&gt;"",$R1035='تقرير الفصل الثاني'!$C$4,$Q1035='تقرير الفصل الثاني'!$C$7),COUNT(V$4:V1034)+1,"")</f>
        <v/>
      </c>
      <c r="W1035">
        <f>IF(AND($A1035&lt;&gt;"",$B1035&lt;&gt;"",$R1035='تقرير سبتمبر'!$C$4,$P1035='تقرير سبتمبر'!$C$6),COUNT(W$4:W1034)+1,"")</f>
        <v/>
      </c>
      <c r="X1035">
        <f>IF(AND($A1035&lt;&gt;"",$B1035&lt;&gt;"",$R1035='تقرير أكتوبر'!$C$4,$P1035='تقرير أكتوبر'!$C$6),COUNT(X$4:X1034)+1,"")</f>
        <v/>
      </c>
      <c r="Y1035">
        <f>IF(AND($A1035&lt;&gt;"",$B1035&lt;&gt;"",$R1035='تقرير نوفمبر'!$C$4,$P1035='تقرير نوفمبر'!$C$6),COUNT(Y$4:Y1034)+1,"")</f>
        <v/>
      </c>
      <c r="Z1035">
        <f>IF(AND($A1035&lt;&gt;"",$B1035&lt;&gt;"",$R1035='تقرير ديسمبر'!$C$4,$P1035='تقرير ديسمبر'!$C$6),COUNT(Z$4:Z1034)+1,"")</f>
        <v/>
      </c>
      <c r="AA1035">
        <f>IF(AND($A1035&lt;&gt;"",$B1035&lt;&gt;"",$R1035='تقرير يناير'!$C$4,$P1035='تقرير يناير'!$C$6),COUNT(AA$4:AA1034)+1,"")</f>
        <v/>
      </c>
      <c r="AB1035">
        <f>IF(AND($A1035&lt;&gt;"",$B1035&lt;&gt;"",$R1035='تقرير فبراير'!$C$4,$P1035='تقرير فبراير'!$C$6),COUNT(AB$4:AB1034)+1,"")</f>
        <v/>
      </c>
      <c r="AC1035">
        <f>IF(AND($A1035&lt;&gt;"",$B1035&lt;&gt;"",$R1035='تقرير مارس'!$C$4,$P1035='تقرير مارس'!$C$6),COUNT(AC$4:AC1034)+1,"")</f>
        <v/>
      </c>
      <c r="AD1035">
        <f>IF(AND($A1035&lt;&gt;"",$B1035&lt;&gt;"",$R1035='تقرير أبريل'!$C$4,$P1035='تقرير أبريل'!$C$6),COUNT(AD$4:AD1034)+1,"")</f>
        <v/>
      </c>
      <c r="AE1035">
        <f>IF(AND($A1035&lt;&gt;"",$B1035&lt;&gt;"",$R1035='تقرير مايو'!$C$4,$P1035='تقرير مايو'!$C$6),COUNT(AE$4:AE1034)+1,"")</f>
        <v/>
      </c>
    </row>
    <row r="1036">
      <c r="A1036" s="16" t="n"/>
      <c r="B1036" s="17" t="n"/>
      <c r="C1036" s="17" t="n"/>
      <c r="D1036" s="18" t="n"/>
      <c r="E1036" s="17" t="n"/>
      <c r="F1036" s="17" t="n"/>
      <c r="G1036" s="19" t="n"/>
      <c r="H1036" s="17" t="n"/>
      <c r="I1036" s="17" t="n"/>
      <c r="J1036" s="17" t="n"/>
      <c r="K1036" s="20">
        <f>IF($B1036="","",IFERROR(INDEX(الموظفات!$A$5:$A$304,MATCH($B1036,الموظفات!$B$5:$B$304,0))&amp;"",""))</f>
        <v/>
      </c>
      <c r="L1036" s="21">
        <f>IF($B1036="","",IFERROR(INDEX(الموظفات!$C$5:$C$304,MATCH($B1036,الموظفات!$B$5:$B$304,0))&amp;"",""))</f>
        <v/>
      </c>
      <c r="M1036" s="20">
        <f>IF($B1036="","",IFERROR(INDEX(الموظفات!$D$5:$D$304,MATCH($B1036,الموظفات!$B$5:$B$304,0))&amp;"",""))</f>
        <v/>
      </c>
      <c r="N1036" s="20">
        <f>IF($B1036="","",IFERROR(INDEX(الموظفات!$E$5:$E$304,MATCH($B1036,الموظفات!$B$5:$B$304,0))&amp;"",""))</f>
        <v/>
      </c>
      <c r="O1036" s="21">
        <f>IF(C1036="","",IFERROR(INDEX(الإعدادات!$D$7:$D$35,MATCH(C1036,الإعدادات!$A$7:$A$35,0))&amp;"",""))</f>
        <v/>
      </c>
      <c r="P1036" s="20">
        <f>IF(A1036="","",INDEX(الإعدادات!$H$7:$H$18,MONTH(A1036)))</f>
        <v/>
      </c>
      <c r="Q1036" s="20">
        <f>IF(A1036="","",INDEX(الإعدادات!$I$7:$I$18,MONTH(A1036)))</f>
        <v/>
      </c>
      <c r="R1036" s="20">
        <f>IF(A1036="","",IF(MONTH(A1036)&gt;=8,YEAR(A1036)&amp;"-"&amp;(YEAR(A1036)+1),(YEAR(A1036)-1)&amp;"-"&amp;YEAR(A1036)))</f>
        <v/>
      </c>
      <c r="S1036" s="20">
        <f>IF(OR(A1036="",B1036=""),0,IF(AND(R1036=التقارير!$C$4,OR(التقارير!$C$5="سنوي",AND(التقارير!$C$5="شهري",P1036=التقارير!$C$6),AND(التقارير!$C$5="فصلي",Q1036=التقارير!$C$7))),1,0))</f>
        <v/>
      </c>
      <c r="T1036" s="20">
        <f>IF(S1036=1,COUNTIF($S$5:S1036,1),"")</f>
        <v/>
      </c>
      <c r="U1036">
        <f>IF(AND($A1036&lt;&gt;"",$B1036&lt;&gt;"",$R1036='تقرير الفصل الأول'!$C$4,$Q1036='تقرير الفصل الأول'!$C$7),COUNT(U$4:U1035)+1,"")</f>
        <v/>
      </c>
      <c r="V1036">
        <f>IF(AND($A1036&lt;&gt;"",$B1036&lt;&gt;"",$R1036='تقرير الفصل الثاني'!$C$4,$Q1036='تقرير الفصل الثاني'!$C$7),COUNT(V$4:V1035)+1,"")</f>
        <v/>
      </c>
      <c r="W1036">
        <f>IF(AND($A1036&lt;&gt;"",$B1036&lt;&gt;"",$R1036='تقرير سبتمبر'!$C$4,$P1036='تقرير سبتمبر'!$C$6),COUNT(W$4:W1035)+1,"")</f>
        <v/>
      </c>
      <c r="X1036">
        <f>IF(AND($A1036&lt;&gt;"",$B1036&lt;&gt;"",$R1036='تقرير أكتوبر'!$C$4,$P1036='تقرير أكتوبر'!$C$6),COUNT(X$4:X1035)+1,"")</f>
        <v/>
      </c>
      <c r="Y1036">
        <f>IF(AND($A1036&lt;&gt;"",$B1036&lt;&gt;"",$R1036='تقرير نوفمبر'!$C$4,$P1036='تقرير نوفمبر'!$C$6),COUNT(Y$4:Y1035)+1,"")</f>
        <v/>
      </c>
      <c r="Z1036">
        <f>IF(AND($A1036&lt;&gt;"",$B1036&lt;&gt;"",$R1036='تقرير ديسمبر'!$C$4,$P1036='تقرير ديسمبر'!$C$6),COUNT(Z$4:Z1035)+1,"")</f>
        <v/>
      </c>
      <c r="AA1036">
        <f>IF(AND($A1036&lt;&gt;"",$B1036&lt;&gt;"",$R1036='تقرير يناير'!$C$4,$P1036='تقرير يناير'!$C$6),COUNT(AA$4:AA1035)+1,"")</f>
        <v/>
      </c>
      <c r="AB1036">
        <f>IF(AND($A1036&lt;&gt;"",$B1036&lt;&gt;"",$R1036='تقرير فبراير'!$C$4,$P1036='تقرير فبراير'!$C$6),COUNT(AB$4:AB1035)+1,"")</f>
        <v/>
      </c>
      <c r="AC1036">
        <f>IF(AND($A1036&lt;&gt;"",$B1036&lt;&gt;"",$R1036='تقرير مارس'!$C$4,$P1036='تقرير مارس'!$C$6),COUNT(AC$4:AC1035)+1,"")</f>
        <v/>
      </c>
      <c r="AD1036">
        <f>IF(AND($A1036&lt;&gt;"",$B1036&lt;&gt;"",$R1036='تقرير أبريل'!$C$4,$P1036='تقرير أبريل'!$C$6),COUNT(AD$4:AD1035)+1,"")</f>
        <v/>
      </c>
      <c r="AE1036">
        <f>IF(AND($A1036&lt;&gt;"",$B1036&lt;&gt;"",$R1036='تقرير مايو'!$C$4,$P1036='تقرير مايو'!$C$6),COUNT(AE$4:AE1035)+1,"")</f>
        <v/>
      </c>
    </row>
    <row r="1037">
      <c r="A1037" s="16" t="n"/>
      <c r="B1037" s="17" t="n"/>
      <c r="C1037" s="17" t="n"/>
      <c r="D1037" s="18" t="n"/>
      <c r="E1037" s="17" t="n"/>
      <c r="F1037" s="17" t="n"/>
      <c r="G1037" s="19" t="n"/>
      <c r="H1037" s="17" t="n"/>
      <c r="I1037" s="17" t="n"/>
      <c r="J1037" s="17" t="n"/>
      <c r="K1037" s="20">
        <f>IF($B1037="","",IFERROR(INDEX(الموظفات!$A$5:$A$304,MATCH($B1037,الموظفات!$B$5:$B$304,0))&amp;"",""))</f>
        <v/>
      </c>
      <c r="L1037" s="21">
        <f>IF($B1037="","",IFERROR(INDEX(الموظفات!$C$5:$C$304,MATCH($B1037,الموظفات!$B$5:$B$304,0))&amp;"",""))</f>
        <v/>
      </c>
      <c r="M1037" s="20">
        <f>IF($B1037="","",IFERROR(INDEX(الموظفات!$D$5:$D$304,MATCH($B1037,الموظفات!$B$5:$B$304,0))&amp;"",""))</f>
        <v/>
      </c>
      <c r="N1037" s="20">
        <f>IF($B1037="","",IFERROR(INDEX(الموظفات!$E$5:$E$304,MATCH($B1037,الموظفات!$B$5:$B$304,0))&amp;"",""))</f>
        <v/>
      </c>
      <c r="O1037" s="21">
        <f>IF(C1037="","",IFERROR(INDEX(الإعدادات!$D$7:$D$35,MATCH(C1037,الإعدادات!$A$7:$A$35,0))&amp;"",""))</f>
        <v/>
      </c>
      <c r="P1037" s="20">
        <f>IF(A1037="","",INDEX(الإعدادات!$H$7:$H$18,MONTH(A1037)))</f>
        <v/>
      </c>
      <c r="Q1037" s="20">
        <f>IF(A1037="","",INDEX(الإعدادات!$I$7:$I$18,MONTH(A1037)))</f>
        <v/>
      </c>
      <c r="R1037" s="20">
        <f>IF(A1037="","",IF(MONTH(A1037)&gt;=8,YEAR(A1037)&amp;"-"&amp;(YEAR(A1037)+1),(YEAR(A1037)-1)&amp;"-"&amp;YEAR(A1037)))</f>
        <v/>
      </c>
      <c r="S1037" s="20">
        <f>IF(OR(A1037="",B1037=""),0,IF(AND(R1037=التقارير!$C$4,OR(التقارير!$C$5="سنوي",AND(التقارير!$C$5="شهري",P1037=التقارير!$C$6),AND(التقارير!$C$5="فصلي",Q1037=التقارير!$C$7))),1,0))</f>
        <v/>
      </c>
      <c r="T1037" s="20">
        <f>IF(S1037=1,COUNTIF($S$5:S1037,1),"")</f>
        <v/>
      </c>
      <c r="U1037">
        <f>IF(AND($A1037&lt;&gt;"",$B1037&lt;&gt;"",$R1037='تقرير الفصل الأول'!$C$4,$Q1037='تقرير الفصل الأول'!$C$7),COUNT(U$4:U1036)+1,"")</f>
        <v/>
      </c>
      <c r="V1037">
        <f>IF(AND($A1037&lt;&gt;"",$B1037&lt;&gt;"",$R1037='تقرير الفصل الثاني'!$C$4,$Q1037='تقرير الفصل الثاني'!$C$7),COUNT(V$4:V1036)+1,"")</f>
        <v/>
      </c>
      <c r="W1037">
        <f>IF(AND($A1037&lt;&gt;"",$B1037&lt;&gt;"",$R1037='تقرير سبتمبر'!$C$4,$P1037='تقرير سبتمبر'!$C$6),COUNT(W$4:W1036)+1,"")</f>
        <v/>
      </c>
      <c r="X1037">
        <f>IF(AND($A1037&lt;&gt;"",$B1037&lt;&gt;"",$R1037='تقرير أكتوبر'!$C$4,$P1037='تقرير أكتوبر'!$C$6),COUNT(X$4:X1036)+1,"")</f>
        <v/>
      </c>
      <c r="Y1037">
        <f>IF(AND($A1037&lt;&gt;"",$B1037&lt;&gt;"",$R1037='تقرير نوفمبر'!$C$4,$P1037='تقرير نوفمبر'!$C$6),COUNT(Y$4:Y1036)+1,"")</f>
        <v/>
      </c>
      <c r="Z1037">
        <f>IF(AND($A1037&lt;&gt;"",$B1037&lt;&gt;"",$R1037='تقرير ديسمبر'!$C$4,$P1037='تقرير ديسمبر'!$C$6),COUNT(Z$4:Z1036)+1,"")</f>
        <v/>
      </c>
      <c r="AA1037">
        <f>IF(AND($A1037&lt;&gt;"",$B1037&lt;&gt;"",$R1037='تقرير يناير'!$C$4,$P1037='تقرير يناير'!$C$6),COUNT(AA$4:AA1036)+1,"")</f>
        <v/>
      </c>
      <c r="AB1037">
        <f>IF(AND($A1037&lt;&gt;"",$B1037&lt;&gt;"",$R1037='تقرير فبراير'!$C$4,$P1037='تقرير فبراير'!$C$6),COUNT(AB$4:AB1036)+1,"")</f>
        <v/>
      </c>
      <c r="AC1037">
        <f>IF(AND($A1037&lt;&gt;"",$B1037&lt;&gt;"",$R1037='تقرير مارس'!$C$4,$P1037='تقرير مارس'!$C$6),COUNT(AC$4:AC1036)+1,"")</f>
        <v/>
      </c>
      <c r="AD1037">
        <f>IF(AND($A1037&lt;&gt;"",$B1037&lt;&gt;"",$R1037='تقرير أبريل'!$C$4,$P1037='تقرير أبريل'!$C$6),COUNT(AD$4:AD1036)+1,"")</f>
        <v/>
      </c>
      <c r="AE1037">
        <f>IF(AND($A1037&lt;&gt;"",$B1037&lt;&gt;"",$R1037='تقرير مايو'!$C$4,$P1037='تقرير مايو'!$C$6),COUNT(AE$4:AE1036)+1,"")</f>
        <v/>
      </c>
    </row>
    <row r="1038">
      <c r="A1038" s="16" t="n"/>
      <c r="B1038" s="17" t="n"/>
      <c r="C1038" s="17" t="n"/>
      <c r="D1038" s="18" t="n"/>
      <c r="E1038" s="17" t="n"/>
      <c r="F1038" s="17" t="n"/>
      <c r="G1038" s="19" t="n"/>
      <c r="H1038" s="17" t="n"/>
      <c r="I1038" s="17" t="n"/>
      <c r="J1038" s="17" t="n"/>
      <c r="K1038" s="20">
        <f>IF($B1038="","",IFERROR(INDEX(الموظفات!$A$5:$A$304,MATCH($B1038,الموظفات!$B$5:$B$304,0))&amp;"",""))</f>
        <v/>
      </c>
      <c r="L1038" s="21">
        <f>IF($B1038="","",IFERROR(INDEX(الموظفات!$C$5:$C$304,MATCH($B1038,الموظفات!$B$5:$B$304,0))&amp;"",""))</f>
        <v/>
      </c>
      <c r="M1038" s="20">
        <f>IF($B1038="","",IFERROR(INDEX(الموظفات!$D$5:$D$304,MATCH($B1038,الموظفات!$B$5:$B$304,0))&amp;"",""))</f>
        <v/>
      </c>
      <c r="N1038" s="20">
        <f>IF($B1038="","",IFERROR(INDEX(الموظفات!$E$5:$E$304,MATCH($B1038,الموظفات!$B$5:$B$304,0))&amp;"",""))</f>
        <v/>
      </c>
      <c r="O1038" s="21">
        <f>IF(C1038="","",IFERROR(INDEX(الإعدادات!$D$7:$D$35,MATCH(C1038,الإعدادات!$A$7:$A$35,0))&amp;"",""))</f>
        <v/>
      </c>
      <c r="P1038" s="20">
        <f>IF(A1038="","",INDEX(الإعدادات!$H$7:$H$18,MONTH(A1038)))</f>
        <v/>
      </c>
      <c r="Q1038" s="20">
        <f>IF(A1038="","",INDEX(الإعدادات!$I$7:$I$18,MONTH(A1038)))</f>
        <v/>
      </c>
      <c r="R1038" s="20">
        <f>IF(A1038="","",IF(MONTH(A1038)&gt;=8,YEAR(A1038)&amp;"-"&amp;(YEAR(A1038)+1),(YEAR(A1038)-1)&amp;"-"&amp;YEAR(A1038)))</f>
        <v/>
      </c>
      <c r="S1038" s="20">
        <f>IF(OR(A1038="",B1038=""),0,IF(AND(R1038=التقارير!$C$4,OR(التقارير!$C$5="سنوي",AND(التقارير!$C$5="شهري",P1038=التقارير!$C$6),AND(التقارير!$C$5="فصلي",Q1038=التقارير!$C$7))),1,0))</f>
        <v/>
      </c>
      <c r="T1038" s="20">
        <f>IF(S1038=1,COUNTIF($S$5:S1038,1),"")</f>
        <v/>
      </c>
      <c r="U1038">
        <f>IF(AND($A1038&lt;&gt;"",$B1038&lt;&gt;"",$R1038='تقرير الفصل الأول'!$C$4,$Q1038='تقرير الفصل الأول'!$C$7),COUNT(U$4:U1037)+1,"")</f>
        <v/>
      </c>
      <c r="V1038">
        <f>IF(AND($A1038&lt;&gt;"",$B1038&lt;&gt;"",$R1038='تقرير الفصل الثاني'!$C$4,$Q1038='تقرير الفصل الثاني'!$C$7),COUNT(V$4:V1037)+1,"")</f>
        <v/>
      </c>
      <c r="W1038">
        <f>IF(AND($A1038&lt;&gt;"",$B1038&lt;&gt;"",$R1038='تقرير سبتمبر'!$C$4,$P1038='تقرير سبتمبر'!$C$6),COUNT(W$4:W1037)+1,"")</f>
        <v/>
      </c>
      <c r="X1038">
        <f>IF(AND($A1038&lt;&gt;"",$B1038&lt;&gt;"",$R1038='تقرير أكتوبر'!$C$4,$P1038='تقرير أكتوبر'!$C$6),COUNT(X$4:X1037)+1,"")</f>
        <v/>
      </c>
      <c r="Y1038">
        <f>IF(AND($A1038&lt;&gt;"",$B1038&lt;&gt;"",$R1038='تقرير نوفمبر'!$C$4,$P1038='تقرير نوفمبر'!$C$6),COUNT(Y$4:Y1037)+1,"")</f>
        <v/>
      </c>
      <c r="Z1038">
        <f>IF(AND($A1038&lt;&gt;"",$B1038&lt;&gt;"",$R1038='تقرير ديسمبر'!$C$4,$P1038='تقرير ديسمبر'!$C$6),COUNT(Z$4:Z1037)+1,"")</f>
        <v/>
      </c>
      <c r="AA1038">
        <f>IF(AND($A1038&lt;&gt;"",$B1038&lt;&gt;"",$R1038='تقرير يناير'!$C$4,$P1038='تقرير يناير'!$C$6),COUNT(AA$4:AA1037)+1,"")</f>
        <v/>
      </c>
      <c r="AB1038">
        <f>IF(AND($A1038&lt;&gt;"",$B1038&lt;&gt;"",$R1038='تقرير فبراير'!$C$4,$P1038='تقرير فبراير'!$C$6),COUNT(AB$4:AB1037)+1,"")</f>
        <v/>
      </c>
      <c r="AC1038">
        <f>IF(AND($A1038&lt;&gt;"",$B1038&lt;&gt;"",$R1038='تقرير مارس'!$C$4,$P1038='تقرير مارس'!$C$6),COUNT(AC$4:AC1037)+1,"")</f>
        <v/>
      </c>
      <c r="AD1038">
        <f>IF(AND($A1038&lt;&gt;"",$B1038&lt;&gt;"",$R1038='تقرير أبريل'!$C$4,$P1038='تقرير أبريل'!$C$6),COUNT(AD$4:AD1037)+1,"")</f>
        <v/>
      </c>
      <c r="AE1038">
        <f>IF(AND($A1038&lt;&gt;"",$B1038&lt;&gt;"",$R1038='تقرير مايو'!$C$4,$P1038='تقرير مايو'!$C$6),COUNT(AE$4:AE1037)+1,"")</f>
        <v/>
      </c>
    </row>
    <row r="1039">
      <c r="A1039" s="16" t="n"/>
      <c r="B1039" s="17" t="n"/>
      <c r="C1039" s="17" t="n"/>
      <c r="D1039" s="18" t="n"/>
      <c r="E1039" s="17" t="n"/>
      <c r="F1039" s="17" t="n"/>
      <c r="G1039" s="19" t="n"/>
      <c r="H1039" s="17" t="n"/>
      <c r="I1039" s="17" t="n"/>
      <c r="J1039" s="17" t="n"/>
      <c r="K1039" s="20">
        <f>IF($B1039="","",IFERROR(INDEX(الموظفات!$A$5:$A$304,MATCH($B1039,الموظفات!$B$5:$B$304,0))&amp;"",""))</f>
        <v/>
      </c>
      <c r="L1039" s="21">
        <f>IF($B1039="","",IFERROR(INDEX(الموظفات!$C$5:$C$304,MATCH($B1039,الموظفات!$B$5:$B$304,0))&amp;"",""))</f>
        <v/>
      </c>
      <c r="M1039" s="20">
        <f>IF($B1039="","",IFERROR(INDEX(الموظفات!$D$5:$D$304,MATCH($B1039,الموظفات!$B$5:$B$304,0))&amp;"",""))</f>
        <v/>
      </c>
      <c r="N1039" s="20">
        <f>IF($B1039="","",IFERROR(INDEX(الموظفات!$E$5:$E$304,MATCH($B1039,الموظفات!$B$5:$B$304,0))&amp;"",""))</f>
        <v/>
      </c>
      <c r="O1039" s="21">
        <f>IF(C1039="","",IFERROR(INDEX(الإعدادات!$D$7:$D$35,MATCH(C1039,الإعدادات!$A$7:$A$35,0))&amp;"",""))</f>
        <v/>
      </c>
      <c r="P1039" s="20">
        <f>IF(A1039="","",INDEX(الإعدادات!$H$7:$H$18,MONTH(A1039)))</f>
        <v/>
      </c>
      <c r="Q1039" s="20">
        <f>IF(A1039="","",INDEX(الإعدادات!$I$7:$I$18,MONTH(A1039)))</f>
        <v/>
      </c>
      <c r="R1039" s="20">
        <f>IF(A1039="","",IF(MONTH(A1039)&gt;=8,YEAR(A1039)&amp;"-"&amp;(YEAR(A1039)+1),(YEAR(A1039)-1)&amp;"-"&amp;YEAR(A1039)))</f>
        <v/>
      </c>
      <c r="S1039" s="20">
        <f>IF(OR(A1039="",B1039=""),0,IF(AND(R1039=التقارير!$C$4,OR(التقارير!$C$5="سنوي",AND(التقارير!$C$5="شهري",P1039=التقارير!$C$6),AND(التقارير!$C$5="فصلي",Q1039=التقارير!$C$7))),1,0))</f>
        <v/>
      </c>
      <c r="T1039" s="20">
        <f>IF(S1039=1,COUNTIF($S$5:S1039,1),"")</f>
        <v/>
      </c>
      <c r="U1039">
        <f>IF(AND($A1039&lt;&gt;"",$B1039&lt;&gt;"",$R1039='تقرير الفصل الأول'!$C$4,$Q1039='تقرير الفصل الأول'!$C$7),COUNT(U$4:U1038)+1,"")</f>
        <v/>
      </c>
      <c r="V1039">
        <f>IF(AND($A1039&lt;&gt;"",$B1039&lt;&gt;"",$R1039='تقرير الفصل الثاني'!$C$4,$Q1039='تقرير الفصل الثاني'!$C$7),COUNT(V$4:V1038)+1,"")</f>
        <v/>
      </c>
      <c r="W1039">
        <f>IF(AND($A1039&lt;&gt;"",$B1039&lt;&gt;"",$R1039='تقرير سبتمبر'!$C$4,$P1039='تقرير سبتمبر'!$C$6),COUNT(W$4:W1038)+1,"")</f>
        <v/>
      </c>
      <c r="X1039">
        <f>IF(AND($A1039&lt;&gt;"",$B1039&lt;&gt;"",$R1039='تقرير أكتوبر'!$C$4,$P1039='تقرير أكتوبر'!$C$6),COUNT(X$4:X1038)+1,"")</f>
        <v/>
      </c>
      <c r="Y1039">
        <f>IF(AND($A1039&lt;&gt;"",$B1039&lt;&gt;"",$R1039='تقرير نوفمبر'!$C$4,$P1039='تقرير نوفمبر'!$C$6),COUNT(Y$4:Y1038)+1,"")</f>
        <v/>
      </c>
      <c r="Z1039">
        <f>IF(AND($A1039&lt;&gt;"",$B1039&lt;&gt;"",$R1039='تقرير ديسمبر'!$C$4,$P1039='تقرير ديسمبر'!$C$6),COUNT(Z$4:Z1038)+1,"")</f>
        <v/>
      </c>
      <c r="AA1039">
        <f>IF(AND($A1039&lt;&gt;"",$B1039&lt;&gt;"",$R1039='تقرير يناير'!$C$4,$P1039='تقرير يناير'!$C$6),COUNT(AA$4:AA1038)+1,"")</f>
        <v/>
      </c>
      <c r="AB1039">
        <f>IF(AND($A1039&lt;&gt;"",$B1039&lt;&gt;"",$R1039='تقرير فبراير'!$C$4,$P1039='تقرير فبراير'!$C$6),COUNT(AB$4:AB1038)+1,"")</f>
        <v/>
      </c>
      <c r="AC1039">
        <f>IF(AND($A1039&lt;&gt;"",$B1039&lt;&gt;"",$R1039='تقرير مارس'!$C$4,$P1039='تقرير مارس'!$C$6),COUNT(AC$4:AC1038)+1,"")</f>
        <v/>
      </c>
      <c r="AD1039">
        <f>IF(AND($A1039&lt;&gt;"",$B1039&lt;&gt;"",$R1039='تقرير أبريل'!$C$4,$P1039='تقرير أبريل'!$C$6),COUNT(AD$4:AD1038)+1,"")</f>
        <v/>
      </c>
      <c r="AE1039">
        <f>IF(AND($A1039&lt;&gt;"",$B1039&lt;&gt;"",$R1039='تقرير مايو'!$C$4,$P1039='تقرير مايو'!$C$6),COUNT(AE$4:AE1038)+1,"")</f>
        <v/>
      </c>
    </row>
    <row r="1040">
      <c r="A1040" s="16" t="n"/>
      <c r="B1040" s="17" t="n"/>
      <c r="C1040" s="17" t="n"/>
      <c r="D1040" s="18" t="n"/>
      <c r="E1040" s="17" t="n"/>
      <c r="F1040" s="17" t="n"/>
      <c r="G1040" s="19" t="n"/>
      <c r="H1040" s="17" t="n"/>
      <c r="I1040" s="17" t="n"/>
      <c r="J1040" s="17" t="n"/>
      <c r="K1040" s="20">
        <f>IF($B1040="","",IFERROR(INDEX(الموظفات!$A$5:$A$304,MATCH($B1040,الموظفات!$B$5:$B$304,0))&amp;"",""))</f>
        <v/>
      </c>
      <c r="L1040" s="21">
        <f>IF($B1040="","",IFERROR(INDEX(الموظفات!$C$5:$C$304,MATCH($B1040,الموظفات!$B$5:$B$304,0))&amp;"",""))</f>
        <v/>
      </c>
      <c r="M1040" s="20">
        <f>IF($B1040="","",IFERROR(INDEX(الموظفات!$D$5:$D$304,MATCH($B1040,الموظفات!$B$5:$B$304,0))&amp;"",""))</f>
        <v/>
      </c>
      <c r="N1040" s="20">
        <f>IF($B1040="","",IFERROR(INDEX(الموظفات!$E$5:$E$304,MATCH($B1040,الموظفات!$B$5:$B$304,0))&amp;"",""))</f>
        <v/>
      </c>
      <c r="O1040" s="21">
        <f>IF(C1040="","",IFERROR(INDEX(الإعدادات!$D$7:$D$35,MATCH(C1040,الإعدادات!$A$7:$A$35,0))&amp;"",""))</f>
        <v/>
      </c>
      <c r="P1040" s="20">
        <f>IF(A1040="","",INDEX(الإعدادات!$H$7:$H$18,MONTH(A1040)))</f>
        <v/>
      </c>
      <c r="Q1040" s="20">
        <f>IF(A1040="","",INDEX(الإعدادات!$I$7:$I$18,MONTH(A1040)))</f>
        <v/>
      </c>
      <c r="R1040" s="20">
        <f>IF(A1040="","",IF(MONTH(A1040)&gt;=8,YEAR(A1040)&amp;"-"&amp;(YEAR(A1040)+1),(YEAR(A1040)-1)&amp;"-"&amp;YEAR(A1040)))</f>
        <v/>
      </c>
      <c r="S1040" s="20">
        <f>IF(OR(A1040="",B1040=""),0,IF(AND(R1040=التقارير!$C$4,OR(التقارير!$C$5="سنوي",AND(التقارير!$C$5="شهري",P1040=التقارير!$C$6),AND(التقارير!$C$5="فصلي",Q1040=التقارير!$C$7))),1,0))</f>
        <v/>
      </c>
      <c r="T1040" s="20">
        <f>IF(S1040=1,COUNTIF($S$5:S1040,1),"")</f>
        <v/>
      </c>
      <c r="U1040">
        <f>IF(AND($A1040&lt;&gt;"",$B1040&lt;&gt;"",$R1040='تقرير الفصل الأول'!$C$4,$Q1040='تقرير الفصل الأول'!$C$7),COUNT(U$4:U1039)+1,"")</f>
        <v/>
      </c>
      <c r="V1040">
        <f>IF(AND($A1040&lt;&gt;"",$B1040&lt;&gt;"",$R1040='تقرير الفصل الثاني'!$C$4,$Q1040='تقرير الفصل الثاني'!$C$7),COUNT(V$4:V1039)+1,"")</f>
        <v/>
      </c>
      <c r="W1040">
        <f>IF(AND($A1040&lt;&gt;"",$B1040&lt;&gt;"",$R1040='تقرير سبتمبر'!$C$4,$P1040='تقرير سبتمبر'!$C$6),COUNT(W$4:W1039)+1,"")</f>
        <v/>
      </c>
      <c r="X1040">
        <f>IF(AND($A1040&lt;&gt;"",$B1040&lt;&gt;"",$R1040='تقرير أكتوبر'!$C$4,$P1040='تقرير أكتوبر'!$C$6),COUNT(X$4:X1039)+1,"")</f>
        <v/>
      </c>
      <c r="Y1040">
        <f>IF(AND($A1040&lt;&gt;"",$B1040&lt;&gt;"",$R1040='تقرير نوفمبر'!$C$4,$P1040='تقرير نوفمبر'!$C$6),COUNT(Y$4:Y1039)+1,"")</f>
        <v/>
      </c>
      <c r="Z1040">
        <f>IF(AND($A1040&lt;&gt;"",$B1040&lt;&gt;"",$R1040='تقرير ديسمبر'!$C$4,$P1040='تقرير ديسمبر'!$C$6),COUNT(Z$4:Z1039)+1,"")</f>
        <v/>
      </c>
      <c r="AA1040">
        <f>IF(AND($A1040&lt;&gt;"",$B1040&lt;&gt;"",$R1040='تقرير يناير'!$C$4,$P1040='تقرير يناير'!$C$6),COUNT(AA$4:AA1039)+1,"")</f>
        <v/>
      </c>
      <c r="AB1040">
        <f>IF(AND($A1040&lt;&gt;"",$B1040&lt;&gt;"",$R1040='تقرير فبراير'!$C$4,$P1040='تقرير فبراير'!$C$6),COUNT(AB$4:AB1039)+1,"")</f>
        <v/>
      </c>
      <c r="AC1040">
        <f>IF(AND($A1040&lt;&gt;"",$B1040&lt;&gt;"",$R1040='تقرير مارس'!$C$4,$P1040='تقرير مارس'!$C$6),COUNT(AC$4:AC1039)+1,"")</f>
        <v/>
      </c>
      <c r="AD1040">
        <f>IF(AND($A1040&lt;&gt;"",$B1040&lt;&gt;"",$R1040='تقرير أبريل'!$C$4,$P1040='تقرير أبريل'!$C$6),COUNT(AD$4:AD1039)+1,"")</f>
        <v/>
      </c>
      <c r="AE1040">
        <f>IF(AND($A1040&lt;&gt;"",$B1040&lt;&gt;"",$R1040='تقرير مايو'!$C$4,$P1040='تقرير مايو'!$C$6),COUNT(AE$4:AE1039)+1,"")</f>
        <v/>
      </c>
    </row>
    <row r="1041">
      <c r="A1041" s="16" t="n"/>
      <c r="B1041" s="17" t="n"/>
      <c r="C1041" s="17" t="n"/>
      <c r="D1041" s="18" t="n"/>
      <c r="E1041" s="17" t="n"/>
      <c r="F1041" s="17" t="n"/>
      <c r="G1041" s="19" t="n"/>
      <c r="H1041" s="17" t="n"/>
      <c r="I1041" s="17" t="n"/>
      <c r="J1041" s="17" t="n"/>
      <c r="K1041" s="20">
        <f>IF($B1041="","",IFERROR(INDEX(الموظفات!$A$5:$A$304,MATCH($B1041,الموظفات!$B$5:$B$304,0))&amp;"",""))</f>
        <v/>
      </c>
      <c r="L1041" s="21">
        <f>IF($B1041="","",IFERROR(INDEX(الموظفات!$C$5:$C$304,MATCH($B1041,الموظفات!$B$5:$B$304,0))&amp;"",""))</f>
        <v/>
      </c>
      <c r="M1041" s="20">
        <f>IF($B1041="","",IFERROR(INDEX(الموظفات!$D$5:$D$304,MATCH($B1041,الموظفات!$B$5:$B$304,0))&amp;"",""))</f>
        <v/>
      </c>
      <c r="N1041" s="20">
        <f>IF($B1041="","",IFERROR(INDEX(الموظفات!$E$5:$E$304,MATCH($B1041,الموظفات!$B$5:$B$304,0))&amp;"",""))</f>
        <v/>
      </c>
      <c r="O1041" s="21">
        <f>IF(C1041="","",IFERROR(INDEX(الإعدادات!$D$7:$D$35,MATCH(C1041,الإعدادات!$A$7:$A$35,0))&amp;"",""))</f>
        <v/>
      </c>
      <c r="P1041" s="20">
        <f>IF(A1041="","",INDEX(الإعدادات!$H$7:$H$18,MONTH(A1041)))</f>
        <v/>
      </c>
      <c r="Q1041" s="20">
        <f>IF(A1041="","",INDEX(الإعدادات!$I$7:$I$18,MONTH(A1041)))</f>
        <v/>
      </c>
      <c r="R1041" s="20">
        <f>IF(A1041="","",IF(MONTH(A1041)&gt;=8,YEAR(A1041)&amp;"-"&amp;(YEAR(A1041)+1),(YEAR(A1041)-1)&amp;"-"&amp;YEAR(A1041)))</f>
        <v/>
      </c>
      <c r="S1041" s="20">
        <f>IF(OR(A1041="",B1041=""),0,IF(AND(R1041=التقارير!$C$4,OR(التقارير!$C$5="سنوي",AND(التقارير!$C$5="شهري",P1041=التقارير!$C$6),AND(التقارير!$C$5="فصلي",Q1041=التقارير!$C$7))),1,0))</f>
        <v/>
      </c>
      <c r="T1041" s="20">
        <f>IF(S1041=1,COUNTIF($S$5:S1041,1),"")</f>
        <v/>
      </c>
      <c r="U1041">
        <f>IF(AND($A1041&lt;&gt;"",$B1041&lt;&gt;"",$R1041='تقرير الفصل الأول'!$C$4,$Q1041='تقرير الفصل الأول'!$C$7),COUNT(U$4:U1040)+1,"")</f>
        <v/>
      </c>
      <c r="V1041">
        <f>IF(AND($A1041&lt;&gt;"",$B1041&lt;&gt;"",$R1041='تقرير الفصل الثاني'!$C$4,$Q1041='تقرير الفصل الثاني'!$C$7),COUNT(V$4:V1040)+1,"")</f>
        <v/>
      </c>
      <c r="W1041">
        <f>IF(AND($A1041&lt;&gt;"",$B1041&lt;&gt;"",$R1041='تقرير سبتمبر'!$C$4,$P1041='تقرير سبتمبر'!$C$6),COUNT(W$4:W1040)+1,"")</f>
        <v/>
      </c>
      <c r="X1041">
        <f>IF(AND($A1041&lt;&gt;"",$B1041&lt;&gt;"",$R1041='تقرير أكتوبر'!$C$4,$P1041='تقرير أكتوبر'!$C$6),COUNT(X$4:X1040)+1,"")</f>
        <v/>
      </c>
      <c r="Y1041">
        <f>IF(AND($A1041&lt;&gt;"",$B1041&lt;&gt;"",$R1041='تقرير نوفمبر'!$C$4,$P1041='تقرير نوفمبر'!$C$6),COUNT(Y$4:Y1040)+1,"")</f>
        <v/>
      </c>
      <c r="Z1041">
        <f>IF(AND($A1041&lt;&gt;"",$B1041&lt;&gt;"",$R1041='تقرير ديسمبر'!$C$4,$P1041='تقرير ديسمبر'!$C$6),COUNT(Z$4:Z1040)+1,"")</f>
        <v/>
      </c>
      <c r="AA1041">
        <f>IF(AND($A1041&lt;&gt;"",$B1041&lt;&gt;"",$R1041='تقرير يناير'!$C$4,$P1041='تقرير يناير'!$C$6),COUNT(AA$4:AA1040)+1,"")</f>
        <v/>
      </c>
      <c r="AB1041">
        <f>IF(AND($A1041&lt;&gt;"",$B1041&lt;&gt;"",$R1041='تقرير فبراير'!$C$4,$P1041='تقرير فبراير'!$C$6),COUNT(AB$4:AB1040)+1,"")</f>
        <v/>
      </c>
      <c r="AC1041">
        <f>IF(AND($A1041&lt;&gt;"",$B1041&lt;&gt;"",$R1041='تقرير مارس'!$C$4,$P1041='تقرير مارس'!$C$6),COUNT(AC$4:AC1040)+1,"")</f>
        <v/>
      </c>
      <c r="AD1041">
        <f>IF(AND($A1041&lt;&gt;"",$B1041&lt;&gt;"",$R1041='تقرير أبريل'!$C$4,$P1041='تقرير أبريل'!$C$6),COUNT(AD$4:AD1040)+1,"")</f>
        <v/>
      </c>
      <c r="AE1041">
        <f>IF(AND($A1041&lt;&gt;"",$B1041&lt;&gt;"",$R1041='تقرير مايو'!$C$4,$P1041='تقرير مايو'!$C$6),COUNT(AE$4:AE1040)+1,"")</f>
        <v/>
      </c>
    </row>
    <row r="1042">
      <c r="A1042" s="16" t="n"/>
      <c r="B1042" s="17" t="n"/>
      <c r="C1042" s="17" t="n"/>
      <c r="D1042" s="18" t="n"/>
      <c r="E1042" s="17" t="n"/>
      <c r="F1042" s="17" t="n"/>
      <c r="G1042" s="19" t="n"/>
      <c r="H1042" s="17" t="n"/>
      <c r="I1042" s="17" t="n"/>
      <c r="J1042" s="17" t="n"/>
      <c r="K1042" s="20">
        <f>IF($B1042="","",IFERROR(INDEX(الموظفات!$A$5:$A$304,MATCH($B1042,الموظفات!$B$5:$B$304,0))&amp;"",""))</f>
        <v/>
      </c>
      <c r="L1042" s="21">
        <f>IF($B1042="","",IFERROR(INDEX(الموظفات!$C$5:$C$304,MATCH($B1042,الموظفات!$B$5:$B$304,0))&amp;"",""))</f>
        <v/>
      </c>
      <c r="M1042" s="20">
        <f>IF($B1042="","",IFERROR(INDEX(الموظفات!$D$5:$D$304,MATCH($B1042,الموظفات!$B$5:$B$304,0))&amp;"",""))</f>
        <v/>
      </c>
      <c r="N1042" s="20">
        <f>IF($B1042="","",IFERROR(INDEX(الموظفات!$E$5:$E$304,MATCH($B1042,الموظفات!$B$5:$B$304,0))&amp;"",""))</f>
        <v/>
      </c>
      <c r="O1042" s="21">
        <f>IF(C1042="","",IFERROR(INDEX(الإعدادات!$D$7:$D$35,MATCH(C1042,الإعدادات!$A$7:$A$35,0))&amp;"",""))</f>
        <v/>
      </c>
      <c r="P1042" s="20">
        <f>IF(A1042="","",INDEX(الإعدادات!$H$7:$H$18,MONTH(A1042)))</f>
        <v/>
      </c>
      <c r="Q1042" s="20">
        <f>IF(A1042="","",INDEX(الإعدادات!$I$7:$I$18,MONTH(A1042)))</f>
        <v/>
      </c>
      <c r="R1042" s="20">
        <f>IF(A1042="","",IF(MONTH(A1042)&gt;=8,YEAR(A1042)&amp;"-"&amp;(YEAR(A1042)+1),(YEAR(A1042)-1)&amp;"-"&amp;YEAR(A1042)))</f>
        <v/>
      </c>
      <c r="S1042" s="20">
        <f>IF(OR(A1042="",B1042=""),0,IF(AND(R1042=التقارير!$C$4,OR(التقارير!$C$5="سنوي",AND(التقارير!$C$5="شهري",P1042=التقارير!$C$6),AND(التقارير!$C$5="فصلي",Q1042=التقارير!$C$7))),1,0))</f>
        <v/>
      </c>
      <c r="T1042" s="20">
        <f>IF(S1042=1,COUNTIF($S$5:S1042,1),"")</f>
        <v/>
      </c>
      <c r="U1042">
        <f>IF(AND($A1042&lt;&gt;"",$B1042&lt;&gt;"",$R1042='تقرير الفصل الأول'!$C$4,$Q1042='تقرير الفصل الأول'!$C$7),COUNT(U$4:U1041)+1,"")</f>
        <v/>
      </c>
      <c r="V1042">
        <f>IF(AND($A1042&lt;&gt;"",$B1042&lt;&gt;"",$R1042='تقرير الفصل الثاني'!$C$4,$Q1042='تقرير الفصل الثاني'!$C$7),COUNT(V$4:V1041)+1,"")</f>
        <v/>
      </c>
      <c r="W1042">
        <f>IF(AND($A1042&lt;&gt;"",$B1042&lt;&gt;"",$R1042='تقرير سبتمبر'!$C$4,$P1042='تقرير سبتمبر'!$C$6),COUNT(W$4:W1041)+1,"")</f>
        <v/>
      </c>
      <c r="X1042">
        <f>IF(AND($A1042&lt;&gt;"",$B1042&lt;&gt;"",$R1042='تقرير أكتوبر'!$C$4,$P1042='تقرير أكتوبر'!$C$6),COUNT(X$4:X1041)+1,"")</f>
        <v/>
      </c>
      <c r="Y1042">
        <f>IF(AND($A1042&lt;&gt;"",$B1042&lt;&gt;"",$R1042='تقرير نوفمبر'!$C$4,$P1042='تقرير نوفمبر'!$C$6),COUNT(Y$4:Y1041)+1,"")</f>
        <v/>
      </c>
      <c r="Z1042">
        <f>IF(AND($A1042&lt;&gt;"",$B1042&lt;&gt;"",$R1042='تقرير ديسمبر'!$C$4,$P1042='تقرير ديسمبر'!$C$6),COUNT(Z$4:Z1041)+1,"")</f>
        <v/>
      </c>
      <c r="AA1042">
        <f>IF(AND($A1042&lt;&gt;"",$B1042&lt;&gt;"",$R1042='تقرير يناير'!$C$4,$P1042='تقرير يناير'!$C$6),COUNT(AA$4:AA1041)+1,"")</f>
        <v/>
      </c>
      <c r="AB1042">
        <f>IF(AND($A1042&lt;&gt;"",$B1042&lt;&gt;"",$R1042='تقرير فبراير'!$C$4,$P1042='تقرير فبراير'!$C$6),COUNT(AB$4:AB1041)+1,"")</f>
        <v/>
      </c>
      <c r="AC1042">
        <f>IF(AND($A1042&lt;&gt;"",$B1042&lt;&gt;"",$R1042='تقرير مارس'!$C$4,$P1042='تقرير مارس'!$C$6),COUNT(AC$4:AC1041)+1,"")</f>
        <v/>
      </c>
      <c r="AD1042">
        <f>IF(AND($A1042&lt;&gt;"",$B1042&lt;&gt;"",$R1042='تقرير أبريل'!$C$4,$P1042='تقرير أبريل'!$C$6),COUNT(AD$4:AD1041)+1,"")</f>
        <v/>
      </c>
      <c r="AE1042">
        <f>IF(AND($A1042&lt;&gt;"",$B1042&lt;&gt;"",$R1042='تقرير مايو'!$C$4,$P1042='تقرير مايو'!$C$6),COUNT(AE$4:AE1041)+1,"")</f>
        <v/>
      </c>
    </row>
    <row r="1043">
      <c r="A1043" s="16" t="n"/>
      <c r="B1043" s="17" t="n"/>
      <c r="C1043" s="17" t="n"/>
      <c r="D1043" s="18" t="n"/>
      <c r="E1043" s="17" t="n"/>
      <c r="F1043" s="17" t="n"/>
      <c r="G1043" s="19" t="n"/>
      <c r="H1043" s="17" t="n"/>
      <c r="I1043" s="17" t="n"/>
      <c r="J1043" s="17" t="n"/>
      <c r="K1043" s="20">
        <f>IF($B1043="","",IFERROR(INDEX(الموظفات!$A$5:$A$304,MATCH($B1043,الموظفات!$B$5:$B$304,0))&amp;"",""))</f>
        <v/>
      </c>
      <c r="L1043" s="21">
        <f>IF($B1043="","",IFERROR(INDEX(الموظفات!$C$5:$C$304,MATCH($B1043,الموظفات!$B$5:$B$304,0))&amp;"",""))</f>
        <v/>
      </c>
      <c r="M1043" s="20">
        <f>IF($B1043="","",IFERROR(INDEX(الموظفات!$D$5:$D$304,MATCH($B1043,الموظفات!$B$5:$B$304,0))&amp;"",""))</f>
        <v/>
      </c>
      <c r="N1043" s="20">
        <f>IF($B1043="","",IFERROR(INDEX(الموظفات!$E$5:$E$304,MATCH($B1043,الموظفات!$B$5:$B$304,0))&amp;"",""))</f>
        <v/>
      </c>
      <c r="O1043" s="21">
        <f>IF(C1043="","",IFERROR(INDEX(الإعدادات!$D$7:$D$35,MATCH(C1043,الإعدادات!$A$7:$A$35,0))&amp;"",""))</f>
        <v/>
      </c>
      <c r="P1043" s="20">
        <f>IF(A1043="","",INDEX(الإعدادات!$H$7:$H$18,MONTH(A1043)))</f>
        <v/>
      </c>
      <c r="Q1043" s="20">
        <f>IF(A1043="","",INDEX(الإعدادات!$I$7:$I$18,MONTH(A1043)))</f>
        <v/>
      </c>
      <c r="R1043" s="20">
        <f>IF(A1043="","",IF(MONTH(A1043)&gt;=8,YEAR(A1043)&amp;"-"&amp;(YEAR(A1043)+1),(YEAR(A1043)-1)&amp;"-"&amp;YEAR(A1043)))</f>
        <v/>
      </c>
      <c r="S1043" s="20">
        <f>IF(OR(A1043="",B1043=""),0,IF(AND(R1043=التقارير!$C$4,OR(التقارير!$C$5="سنوي",AND(التقارير!$C$5="شهري",P1043=التقارير!$C$6),AND(التقارير!$C$5="فصلي",Q1043=التقارير!$C$7))),1,0))</f>
        <v/>
      </c>
      <c r="T1043" s="20">
        <f>IF(S1043=1,COUNTIF($S$5:S1043,1),"")</f>
        <v/>
      </c>
      <c r="U1043">
        <f>IF(AND($A1043&lt;&gt;"",$B1043&lt;&gt;"",$R1043='تقرير الفصل الأول'!$C$4,$Q1043='تقرير الفصل الأول'!$C$7),COUNT(U$4:U1042)+1,"")</f>
        <v/>
      </c>
      <c r="V1043">
        <f>IF(AND($A1043&lt;&gt;"",$B1043&lt;&gt;"",$R1043='تقرير الفصل الثاني'!$C$4,$Q1043='تقرير الفصل الثاني'!$C$7),COUNT(V$4:V1042)+1,"")</f>
        <v/>
      </c>
      <c r="W1043">
        <f>IF(AND($A1043&lt;&gt;"",$B1043&lt;&gt;"",$R1043='تقرير سبتمبر'!$C$4,$P1043='تقرير سبتمبر'!$C$6),COUNT(W$4:W1042)+1,"")</f>
        <v/>
      </c>
      <c r="X1043">
        <f>IF(AND($A1043&lt;&gt;"",$B1043&lt;&gt;"",$R1043='تقرير أكتوبر'!$C$4,$P1043='تقرير أكتوبر'!$C$6),COUNT(X$4:X1042)+1,"")</f>
        <v/>
      </c>
      <c r="Y1043">
        <f>IF(AND($A1043&lt;&gt;"",$B1043&lt;&gt;"",$R1043='تقرير نوفمبر'!$C$4,$P1043='تقرير نوفمبر'!$C$6),COUNT(Y$4:Y1042)+1,"")</f>
        <v/>
      </c>
      <c r="Z1043">
        <f>IF(AND($A1043&lt;&gt;"",$B1043&lt;&gt;"",$R1043='تقرير ديسمبر'!$C$4,$P1043='تقرير ديسمبر'!$C$6),COUNT(Z$4:Z1042)+1,"")</f>
        <v/>
      </c>
      <c r="AA1043">
        <f>IF(AND($A1043&lt;&gt;"",$B1043&lt;&gt;"",$R1043='تقرير يناير'!$C$4,$P1043='تقرير يناير'!$C$6),COUNT(AA$4:AA1042)+1,"")</f>
        <v/>
      </c>
      <c r="AB1043">
        <f>IF(AND($A1043&lt;&gt;"",$B1043&lt;&gt;"",$R1043='تقرير فبراير'!$C$4,$P1043='تقرير فبراير'!$C$6),COUNT(AB$4:AB1042)+1,"")</f>
        <v/>
      </c>
      <c r="AC1043">
        <f>IF(AND($A1043&lt;&gt;"",$B1043&lt;&gt;"",$R1043='تقرير مارس'!$C$4,$P1043='تقرير مارس'!$C$6),COUNT(AC$4:AC1042)+1,"")</f>
        <v/>
      </c>
      <c r="AD1043">
        <f>IF(AND($A1043&lt;&gt;"",$B1043&lt;&gt;"",$R1043='تقرير أبريل'!$C$4,$P1043='تقرير أبريل'!$C$6),COUNT(AD$4:AD1042)+1,"")</f>
        <v/>
      </c>
      <c r="AE1043">
        <f>IF(AND($A1043&lt;&gt;"",$B1043&lt;&gt;"",$R1043='تقرير مايو'!$C$4,$P1043='تقرير مايو'!$C$6),COUNT(AE$4:AE1042)+1,"")</f>
        <v/>
      </c>
    </row>
    <row r="1044">
      <c r="A1044" s="16" t="n"/>
      <c r="B1044" s="17" t="n"/>
      <c r="C1044" s="17" t="n"/>
      <c r="D1044" s="18" t="n"/>
      <c r="E1044" s="17" t="n"/>
      <c r="F1044" s="17" t="n"/>
      <c r="G1044" s="19" t="n"/>
      <c r="H1044" s="17" t="n"/>
      <c r="I1044" s="17" t="n"/>
      <c r="J1044" s="17" t="n"/>
      <c r="K1044" s="20">
        <f>IF($B1044="","",IFERROR(INDEX(الموظفات!$A$5:$A$304,MATCH($B1044,الموظفات!$B$5:$B$304,0))&amp;"",""))</f>
        <v/>
      </c>
      <c r="L1044" s="21">
        <f>IF($B1044="","",IFERROR(INDEX(الموظفات!$C$5:$C$304,MATCH($B1044,الموظفات!$B$5:$B$304,0))&amp;"",""))</f>
        <v/>
      </c>
      <c r="M1044" s="20">
        <f>IF($B1044="","",IFERROR(INDEX(الموظفات!$D$5:$D$304,MATCH($B1044,الموظفات!$B$5:$B$304,0))&amp;"",""))</f>
        <v/>
      </c>
      <c r="N1044" s="20">
        <f>IF($B1044="","",IFERROR(INDEX(الموظفات!$E$5:$E$304,MATCH($B1044,الموظفات!$B$5:$B$304,0))&amp;"",""))</f>
        <v/>
      </c>
      <c r="O1044" s="21">
        <f>IF(C1044="","",IFERROR(INDEX(الإعدادات!$D$7:$D$35,MATCH(C1044,الإعدادات!$A$7:$A$35,0))&amp;"",""))</f>
        <v/>
      </c>
      <c r="P1044" s="20">
        <f>IF(A1044="","",INDEX(الإعدادات!$H$7:$H$18,MONTH(A1044)))</f>
        <v/>
      </c>
      <c r="Q1044" s="20">
        <f>IF(A1044="","",INDEX(الإعدادات!$I$7:$I$18,MONTH(A1044)))</f>
        <v/>
      </c>
      <c r="R1044" s="20">
        <f>IF(A1044="","",IF(MONTH(A1044)&gt;=8,YEAR(A1044)&amp;"-"&amp;(YEAR(A1044)+1),(YEAR(A1044)-1)&amp;"-"&amp;YEAR(A1044)))</f>
        <v/>
      </c>
      <c r="S1044" s="20">
        <f>IF(OR(A1044="",B1044=""),0,IF(AND(R1044=التقارير!$C$4,OR(التقارير!$C$5="سنوي",AND(التقارير!$C$5="شهري",P1044=التقارير!$C$6),AND(التقارير!$C$5="فصلي",Q1044=التقارير!$C$7))),1,0))</f>
        <v/>
      </c>
      <c r="T1044" s="20">
        <f>IF(S1044=1,COUNTIF($S$5:S1044,1),"")</f>
        <v/>
      </c>
      <c r="U1044">
        <f>IF(AND($A1044&lt;&gt;"",$B1044&lt;&gt;"",$R1044='تقرير الفصل الأول'!$C$4,$Q1044='تقرير الفصل الأول'!$C$7),COUNT(U$4:U1043)+1,"")</f>
        <v/>
      </c>
      <c r="V1044">
        <f>IF(AND($A1044&lt;&gt;"",$B1044&lt;&gt;"",$R1044='تقرير الفصل الثاني'!$C$4,$Q1044='تقرير الفصل الثاني'!$C$7),COUNT(V$4:V1043)+1,"")</f>
        <v/>
      </c>
      <c r="W1044">
        <f>IF(AND($A1044&lt;&gt;"",$B1044&lt;&gt;"",$R1044='تقرير سبتمبر'!$C$4,$P1044='تقرير سبتمبر'!$C$6),COUNT(W$4:W1043)+1,"")</f>
        <v/>
      </c>
      <c r="X1044">
        <f>IF(AND($A1044&lt;&gt;"",$B1044&lt;&gt;"",$R1044='تقرير أكتوبر'!$C$4,$P1044='تقرير أكتوبر'!$C$6),COUNT(X$4:X1043)+1,"")</f>
        <v/>
      </c>
      <c r="Y1044">
        <f>IF(AND($A1044&lt;&gt;"",$B1044&lt;&gt;"",$R1044='تقرير نوفمبر'!$C$4,$P1044='تقرير نوفمبر'!$C$6),COUNT(Y$4:Y1043)+1,"")</f>
        <v/>
      </c>
      <c r="Z1044">
        <f>IF(AND($A1044&lt;&gt;"",$B1044&lt;&gt;"",$R1044='تقرير ديسمبر'!$C$4,$P1044='تقرير ديسمبر'!$C$6),COUNT(Z$4:Z1043)+1,"")</f>
        <v/>
      </c>
      <c r="AA1044">
        <f>IF(AND($A1044&lt;&gt;"",$B1044&lt;&gt;"",$R1044='تقرير يناير'!$C$4,$P1044='تقرير يناير'!$C$6),COUNT(AA$4:AA1043)+1,"")</f>
        <v/>
      </c>
      <c r="AB1044">
        <f>IF(AND($A1044&lt;&gt;"",$B1044&lt;&gt;"",$R1044='تقرير فبراير'!$C$4,$P1044='تقرير فبراير'!$C$6),COUNT(AB$4:AB1043)+1,"")</f>
        <v/>
      </c>
      <c r="AC1044">
        <f>IF(AND($A1044&lt;&gt;"",$B1044&lt;&gt;"",$R1044='تقرير مارس'!$C$4,$P1044='تقرير مارس'!$C$6),COUNT(AC$4:AC1043)+1,"")</f>
        <v/>
      </c>
      <c r="AD1044">
        <f>IF(AND($A1044&lt;&gt;"",$B1044&lt;&gt;"",$R1044='تقرير أبريل'!$C$4,$P1044='تقرير أبريل'!$C$6),COUNT(AD$4:AD1043)+1,"")</f>
        <v/>
      </c>
      <c r="AE1044">
        <f>IF(AND($A1044&lt;&gt;"",$B1044&lt;&gt;"",$R1044='تقرير مايو'!$C$4,$P1044='تقرير مايو'!$C$6),COUNT(AE$4:AE1043)+1,"")</f>
        <v/>
      </c>
    </row>
    <row r="1045">
      <c r="A1045" s="16" t="n"/>
      <c r="B1045" s="17" t="n"/>
      <c r="C1045" s="17" t="n"/>
      <c r="D1045" s="18" t="n"/>
      <c r="E1045" s="17" t="n"/>
      <c r="F1045" s="17" t="n"/>
      <c r="G1045" s="19" t="n"/>
      <c r="H1045" s="17" t="n"/>
      <c r="I1045" s="17" t="n"/>
      <c r="J1045" s="17" t="n"/>
      <c r="K1045" s="20">
        <f>IF($B1045="","",IFERROR(INDEX(الموظفات!$A$5:$A$304,MATCH($B1045,الموظفات!$B$5:$B$304,0))&amp;"",""))</f>
        <v/>
      </c>
      <c r="L1045" s="21">
        <f>IF($B1045="","",IFERROR(INDEX(الموظفات!$C$5:$C$304,MATCH($B1045,الموظفات!$B$5:$B$304,0))&amp;"",""))</f>
        <v/>
      </c>
      <c r="M1045" s="20">
        <f>IF($B1045="","",IFERROR(INDEX(الموظفات!$D$5:$D$304,MATCH($B1045,الموظفات!$B$5:$B$304,0))&amp;"",""))</f>
        <v/>
      </c>
      <c r="N1045" s="20">
        <f>IF($B1045="","",IFERROR(INDEX(الموظفات!$E$5:$E$304,MATCH($B1045,الموظفات!$B$5:$B$304,0))&amp;"",""))</f>
        <v/>
      </c>
      <c r="O1045" s="21">
        <f>IF(C1045="","",IFERROR(INDEX(الإعدادات!$D$7:$D$35,MATCH(C1045,الإعدادات!$A$7:$A$35,0))&amp;"",""))</f>
        <v/>
      </c>
      <c r="P1045" s="20">
        <f>IF(A1045="","",INDEX(الإعدادات!$H$7:$H$18,MONTH(A1045)))</f>
        <v/>
      </c>
      <c r="Q1045" s="20">
        <f>IF(A1045="","",INDEX(الإعدادات!$I$7:$I$18,MONTH(A1045)))</f>
        <v/>
      </c>
      <c r="R1045" s="20">
        <f>IF(A1045="","",IF(MONTH(A1045)&gt;=8,YEAR(A1045)&amp;"-"&amp;(YEAR(A1045)+1),(YEAR(A1045)-1)&amp;"-"&amp;YEAR(A1045)))</f>
        <v/>
      </c>
      <c r="S1045" s="20">
        <f>IF(OR(A1045="",B1045=""),0,IF(AND(R1045=التقارير!$C$4,OR(التقارير!$C$5="سنوي",AND(التقارير!$C$5="شهري",P1045=التقارير!$C$6),AND(التقارير!$C$5="فصلي",Q1045=التقارير!$C$7))),1,0))</f>
        <v/>
      </c>
      <c r="T1045" s="20">
        <f>IF(S1045=1,COUNTIF($S$5:S1045,1),"")</f>
        <v/>
      </c>
      <c r="U1045">
        <f>IF(AND($A1045&lt;&gt;"",$B1045&lt;&gt;"",$R1045='تقرير الفصل الأول'!$C$4,$Q1045='تقرير الفصل الأول'!$C$7),COUNT(U$4:U1044)+1,"")</f>
        <v/>
      </c>
      <c r="V1045">
        <f>IF(AND($A1045&lt;&gt;"",$B1045&lt;&gt;"",$R1045='تقرير الفصل الثاني'!$C$4,$Q1045='تقرير الفصل الثاني'!$C$7),COUNT(V$4:V1044)+1,"")</f>
        <v/>
      </c>
      <c r="W1045">
        <f>IF(AND($A1045&lt;&gt;"",$B1045&lt;&gt;"",$R1045='تقرير سبتمبر'!$C$4,$P1045='تقرير سبتمبر'!$C$6),COUNT(W$4:W1044)+1,"")</f>
        <v/>
      </c>
      <c r="X1045">
        <f>IF(AND($A1045&lt;&gt;"",$B1045&lt;&gt;"",$R1045='تقرير أكتوبر'!$C$4,$P1045='تقرير أكتوبر'!$C$6),COUNT(X$4:X1044)+1,"")</f>
        <v/>
      </c>
      <c r="Y1045">
        <f>IF(AND($A1045&lt;&gt;"",$B1045&lt;&gt;"",$R1045='تقرير نوفمبر'!$C$4,$P1045='تقرير نوفمبر'!$C$6),COUNT(Y$4:Y1044)+1,"")</f>
        <v/>
      </c>
      <c r="Z1045">
        <f>IF(AND($A1045&lt;&gt;"",$B1045&lt;&gt;"",$R1045='تقرير ديسمبر'!$C$4,$P1045='تقرير ديسمبر'!$C$6),COUNT(Z$4:Z1044)+1,"")</f>
        <v/>
      </c>
      <c r="AA1045">
        <f>IF(AND($A1045&lt;&gt;"",$B1045&lt;&gt;"",$R1045='تقرير يناير'!$C$4,$P1045='تقرير يناير'!$C$6),COUNT(AA$4:AA1044)+1,"")</f>
        <v/>
      </c>
      <c r="AB1045">
        <f>IF(AND($A1045&lt;&gt;"",$B1045&lt;&gt;"",$R1045='تقرير فبراير'!$C$4,$P1045='تقرير فبراير'!$C$6),COUNT(AB$4:AB1044)+1,"")</f>
        <v/>
      </c>
      <c r="AC1045">
        <f>IF(AND($A1045&lt;&gt;"",$B1045&lt;&gt;"",$R1045='تقرير مارس'!$C$4,$P1045='تقرير مارس'!$C$6),COUNT(AC$4:AC1044)+1,"")</f>
        <v/>
      </c>
      <c r="AD1045">
        <f>IF(AND($A1045&lt;&gt;"",$B1045&lt;&gt;"",$R1045='تقرير أبريل'!$C$4,$P1045='تقرير أبريل'!$C$6),COUNT(AD$4:AD1044)+1,"")</f>
        <v/>
      </c>
      <c r="AE1045">
        <f>IF(AND($A1045&lt;&gt;"",$B1045&lt;&gt;"",$R1045='تقرير مايو'!$C$4,$P1045='تقرير مايو'!$C$6),COUNT(AE$4:AE1044)+1,"")</f>
        <v/>
      </c>
    </row>
    <row r="1046">
      <c r="A1046" s="16" t="n"/>
      <c r="B1046" s="17" t="n"/>
      <c r="C1046" s="17" t="n"/>
      <c r="D1046" s="18" t="n"/>
      <c r="E1046" s="17" t="n"/>
      <c r="F1046" s="17" t="n"/>
      <c r="G1046" s="19" t="n"/>
      <c r="H1046" s="17" t="n"/>
      <c r="I1046" s="17" t="n"/>
      <c r="J1046" s="17" t="n"/>
      <c r="K1046" s="20">
        <f>IF($B1046="","",IFERROR(INDEX(الموظفات!$A$5:$A$304,MATCH($B1046,الموظفات!$B$5:$B$304,0))&amp;"",""))</f>
        <v/>
      </c>
      <c r="L1046" s="21">
        <f>IF($B1046="","",IFERROR(INDEX(الموظفات!$C$5:$C$304,MATCH($B1046,الموظفات!$B$5:$B$304,0))&amp;"",""))</f>
        <v/>
      </c>
      <c r="M1046" s="20">
        <f>IF($B1046="","",IFERROR(INDEX(الموظفات!$D$5:$D$304,MATCH($B1046,الموظفات!$B$5:$B$304,0))&amp;"",""))</f>
        <v/>
      </c>
      <c r="N1046" s="20">
        <f>IF($B1046="","",IFERROR(INDEX(الموظفات!$E$5:$E$304,MATCH($B1046,الموظفات!$B$5:$B$304,0))&amp;"",""))</f>
        <v/>
      </c>
      <c r="O1046" s="21">
        <f>IF(C1046="","",IFERROR(INDEX(الإعدادات!$D$7:$D$35,MATCH(C1046,الإعدادات!$A$7:$A$35,0))&amp;"",""))</f>
        <v/>
      </c>
      <c r="P1046" s="20">
        <f>IF(A1046="","",INDEX(الإعدادات!$H$7:$H$18,MONTH(A1046)))</f>
        <v/>
      </c>
      <c r="Q1046" s="20">
        <f>IF(A1046="","",INDEX(الإعدادات!$I$7:$I$18,MONTH(A1046)))</f>
        <v/>
      </c>
      <c r="R1046" s="20">
        <f>IF(A1046="","",IF(MONTH(A1046)&gt;=8,YEAR(A1046)&amp;"-"&amp;(YEAR(A1046)+1),(YEAR(A1046)-1)&amp;"-"&amp;YEAR(A1046)))</f>
        <v/>
      </c>
      <c r="S1046" s="20">
        <f>IF(OR(A1046="",B1046=""),0,IF(AND(R1046=التقارير!$C$4,OR(التقارير!$C$5="سنوي",AND(التقارير!$C$5="شهري",P1046=التقارير!$C$6),AND(التقارير!$C$5="فصلي",Q1046=التقارير!$C$7))),1,0))</f>
        <v/>
      </c>
      <c r="T1046" s="20">
        <f>IF(S1046=1,COUNTIF($S$5:S1046,1),"")</f>
        <v/>
      </c>
      <c r="U1046">
        <f>IF(AND($A1046&lt;&gt;"",$B1046&lt;&gt;"",$R1046='تقرير الفصل الأول'!$C$4,$Q1046='تقرير الفصل الأول'!$C$7),COUNT(U$4:U1045)+1,"")</f>
        <v/>
      </c>
      <c r="V1046">
        <f>IF(AND($A1046&lt;&gt;"",$B1046&lt;&gt;"",$R1046='تقرير الفصل الثاني'!$C$4,$Q1046='تقرير الفصل الثاني'!$C$7),COUNT(V$4:V1045)+1,"")</f>
        <v/>
      </c>
      <c r="W1046">
        <f>IF(AND($A1046&lt;&gt;"",$B1046&lt;&gt;"",$R1046='تقرير سبتمبر'!$C$4,$P1046='تقرير سبتمبر'!$C$6),COUNT(W$4:W1045)+1,"")</f>
        <v/>
      </c>
      <c r="X1046">
        <f>IF(AND($A1046&lt;&gt;"",$B1046&lt;&gt;"",$R1046='تقرير أكتوبر'!$C$4,$P1046='تقرير أكتوبر'!$C$6),COUNT(X$4:X1045)+1,"")</f>
        <v/>
      </c>
      <c r="Y1046">
        <f>IF(AND($A1046&lt;&gt;"",$B1046&lt;&gt;"",$R1046='تقرير نوفمبر'!$C$4,$P1046='تقرير نوفمبر'!$C$6),COUNT(Y$4:Y1045)+1,"")</f>
        <v/>
      </c>
      <c r="Z1046">
        <f>IF(AND($A1046&lt;&gt;"",$B1046&lt;&gt;"",$R1046='تقرير ديسمبر'!$C$4,$P1046='تقرير ديسمبر'!$C$6),COUNT(Z$4:Z1045)+1,"")</f>
        <v/>
      </c>
      <c r="AA1046">
        <f>IF(AND($A1046&lt;&gt;"",$B1046&lt;&gt;"",$R1046='تقرير يناير'!$C$4,$P1046='تقرير يناير'!$C$6),COUNT(AA$4:AA1045)+1,"")</f>
        <v/>
      </c>
      <c r="AB1046">
        <f>IF(AND($A1046&lt;&gt;"",$B1046&lt;&gt;"",$R1046='تقرير فبراير'!$C$4,$P1046='تقرير فبراير'!$C$6),COUNT(AB$4:AB1045)+1,"")</f>
        <v/>
      </c>
      <c r="AC1046">
        <f>IF(AND($A1046&lt;&gt;"",$B1046&lt;&gt;"",$R1046='تقرير مارس'!$C$4,$P1046='تقرير مارس'!$C$6),COUNT(AC$4:AC1045)+1,"")</f>
        <v/>
      </c>
      <c r="AD1046">
        <f>IF(AND($A1046&lt;&gt;"",$B1046&lt;&gt;"",$R1046='تقرير أبريل'!$C$4,$P1046='تقرير أبريل'!$C$6),COUNT(AD$4:AD1045)+1,"")</f>
        <v/>
      </c>
      <c r="AE1046">
        <f>IF(AND($A1046&lt;&gt;"",$B1046&lt;&gt;"",$R1046='تقرير مايو'!$C$4,$P1046='تقرير مايو'!$C$6),COUNT(AE$4:AE1045)+1,"")</f>
        <v/>
      </c>
    </row>
    <row r="1047">
      <c r="A1047" s="16" t="n"/>
      <c r="B1047" s="17" t="n"/>
      <c r="C1047" s="17" t="n"/>
      <c r="D1047" s="18" t="n"/>
      <c r="E1047" s="17" t="n"/>
      <c r="F1047" s="17" t="n"/>
      <c r="G1047" s="19" t="n"/>
      <c r="H1047" s="17" t="n"/>
      <c r="I1047" s="17" t="n"/>
      <c r="J1047" s="17" t="n"/>
      <c r="K1047" s="20">
        <f>IF($B1047="","",IFERROR(INDEX(الموظفات!$A$5:$A$304,MATCH($B1047,الموظفات!$B$5:$B$304,0))&amp;"",""))</f>
        <v/>
      </c>
      <c r="L1047" s="21">
        <f>IF($B1047="","",IFERROR(INDEX(الموظفات!$C$5:$C$304,MATCH($B1047,الموظفات!$B$5:$B$304,0))&amp;"",""))</f>
        <v/>
      </c>
      <c r="M1047" s="20">
        <f>IF($B1047="","",IFERROR(INDEX(الموظفات!$D$5:$D$304,MATCH($B1047,الموظفات!$B$5:$B$304,0))&amp;"",""))</f>
        <v/>
      </c>
      <c r="N1047" s="20">
        <f>IF($B1047="","",IFERROR(INDEX(الموظفات!$E$5:$E$304,MATCH($B1047,الموظفات!$B$5:$B$304,0))&amp;"",""))</f>
        <v/>
      </c>
      <c r="O1047" s="21">
        <f>IF(C1047="","",IFERROR(INDEX(الإعدادات!$D$7:$D$35,MATCH(C1047,الإعدادات!$A$7:$A$35,0))&amp;"",""))</f>
        <v/>
      </c>
      <c r="P1047" s="20">
        <f>IF(A1047="","",INDEX(الإعدادات!$H$7:$H$18,MONTH(A1047)))</f>
        <v/>
      </c>
      <c r="Q1047" s="20">
        <f>IF(A1047="","",INDEX(الإعدادات!$I$7:$I$18,MONTH(A1047)))</f>
        <v/>
      </c>
      <c r="R1047" s="20">
        <f>IF(A1047="","",IF(MONTH(A1047)&gt;=8,YEAR(A1047)&amp;"-"&amp;(YEAR(A1047)+1),(YEAR(A1047)-1)&amp;"-"&amp;YEAR(A1047)))</f>
        <v/>
      </c>
      <c r="S1047" s="20">
        <f>IF(OR(A1047="",B1047=""),0,IF(AND(R1047=التقارير!$C$4,OR(التقارير!$C$5="سنوي",AND(التقارير!$C$5="شهري",P1047=التقارير!$C$6),AND(التقارير!$C$5="فصلي",Q1047=التقارير!$C$7))),1,0))</f>
        <v/>
      </c>
      <c r="T1047" s="20">
        <f>IF(S1047=1,COUNTIF($S$5:S1047,1),"")</f>
        <v/>
      </c>
      <c r="U1047">
        <f>IF(AND($A1047&lt;&gt;"",$B1047&lt;&gt;"",$R1047='تقرير الفصل الأول'!$C$4,$Q1047='تقرير الفصل الأول'!$C$7),COUNT(U$4:U1046)+1,"")</f>
        <v/>
      </c>
      <c r="V1047">
        <f>IF(AND($A1047&lt;&gt;"",$B1047&lt;&gt;"",$R1047='تقرير الفصل الثاني'!$C$4,$Q1047='تقرير الفصل الثاني'!$C$7),COUNT(V$4:V1046)+1,"")</f>
        <v/>
      </c>
      <c r="W1047">
        <f>IF(AND($A1047&lt;&gt;"",$B1047&lt;&gt;"",$R1047='تقرير سبتمبر'!$C$4,$P1047='تقرير سبتمبر'!$C$6),COUNT(W$4:W1046)+1,"")</f>
        <v/>
      </c>
      <c r="X1047">
        <f>IF(AND($A1047&lt;&gt;"",$B1047&lt;&gt;"",$R1047='تقرير أكتوبر'!$C$4,$P1047='تقرير أكتوبر'!$C$6),COUNT(X$4:X1046)+1,"")</f>
        <v/>
      </c>
      <c r="Y1047">
        <f>IF(AND($A1047&lt;&gt;"",$B1047&lt;&gt;"",$R1047='تقرير نوفمبر'!$C$4,$P1047='تقرير نوفمبر'!$C$6),COUNT(Y$4:Y1046)+1,"")</f>
        <v/>
      </c>
      <c r="Z1047">
        <f>IF(AND($A1047&lt;&gt;"",$B1047&lt;&gt;"",$R1047='تقرير ديسمبر'!$C$4,$P1047='تقرير ديسمبر'!$C$6),COUNT(Z$4:Z1046)+1,"")</f>
        <v/>
      </c>
      <c r="AA1047">
        <f>IF(AND($A1047&lt;&gt;"",$B1047&lt;&gt;"",$R1047='تقرير يناير'!$C$4,$P1047='تقرير يناير'!$C$6),COUNT(AA$4:AA1046)+1,"")</f>
        <v/>
      </c>
      <c r="AB1047">
        <f>IF(AND($A1047&lt;&gt;"",$B1047&lt;&gt;"",$R1047='تقرير فبراير'!$C$4,$P1047='تقرير فبراير'!$C$6),COUNT(AB$4:AB1046)+1,"")</f>
        <v/>
      </c>
      <c r="AC1047">
        <f>IF(AND($A1047&lt;&gt;"",$B1047&lt;&gt;"",$R1047='تقرير مارس'!$C$4,$P1047='تقرير مارس'!$C$6),COUNT(AC$4:AC1046)+1,"")</f>
        <v/>
      </c>
      <c r="AD1047">
        <f>IF(AND($A1047&lt;&gt;"",$B1047&lt;&gt;"",$R1047='تقرير أبريل'!$C$4,$P1047='تقرير أبريل'!$C$6),COUNT(AD$4:AD1046)+1,"")</f>
        <v/>
      </c>
      <c r="AE1047">
        <f>IF(AND($A1047&lt;&gt;"",$B1047&lt;&gt;"",$R1047='تقرير مايو'!$C$4,$P1047='تقرير مايو'!$C$6),COUNT(AE$4:AE1046)+1,"")</f>
        <v/>
      </c>
    </row>
    <row r="1048">
      <c r="A1048" s="16" t="n"/>
      <c r="B1048" s="17" t="n"/>
      <c r="C1048" s="17" t="n"/>
      <c r="D1048" s="18" t="n"/>
      <c r="E1048" s="17" t="n"/>
      <c r="F1048" s="17" t="n"/>
      <c r="G1048" s="19" t="n"/>
      <c r="H1048" s="17" t="n"/>
      <c r="I1048" s="17" t="n"/>
      <c r="J1048" s="17" t="n"/>
      <c r="K1048" s="20">
        <f>IF($B1048="","",IFERROR(INDEX(الموظفات!$A$5:$A$304,MATCH($B1048,الموظفات!$B$5:$B$304,0))&amp;"",""))</f>
        <v/>
      </c>
      <c r="L1048" s="21">
        <f>IF($B1048="","",IFERROR(INDEX(الموظفات!$C$5:$C$304,MATCH($B1048,الموظفات!$B$5:$B$304,0))&amp;"",""))</f>
        <v/>
      </c>
      <c r="M1048" s="20">
        <f>IF($B1048="","",IFERROR(INDEX(الموظفات!$D$5:$D$304,MATCH($B1048,الموظفات!$B$5:$B$304,0))&amp;"",""))</f>
        <v/>
      </c>
      <c r="N1048" s="20">
        <f>IF($B1048="","",IFERROR(INDEX(الموظفات!$E$5:$E$304,MATCH($B1048,الموظفات!$B$5:$B$304,0))&amp;"",""))</f>
        <v/>
      </c>
      <c r="O1048" s="21">
        <f>IF(C1048="","",IFERROR(INDEX(الإعدادات!$D$7:$D$35,MATCH(C1048,الإعدادات!$A$7:$A$35,0))&amp;"",""))</f>
        <v/>
      </c>
      <c r="P1048" s="20">
        <f>IF(A1048="","",INDEX(الإعدادات!$H$7:$H$18,MONTH(A1048)))</f>
        <v/>
      </c>
      <c r="Q1048" s="20">
        <f>IF(A1048="","",INDEX(الإعدادات!$I$7:$I$18,MONTH(A1048)))</f>
        <v/>
      </c>
      <c r="R1048" s="20">
        <f>IF(A1048="","",IF(MONTH(A1048)&gt;=8,YEAR(A1048)&amp;"-"&amp;(YEAR(A1048)+1),(YEAR(A1048)-1)&amp;"-"&amp;YEAR(A1048)))</f>
        <v/>
      </c>
      <c r="S1048" s="20">
        <f>IF(OR(A1048="",B1048=""),0,IF(AND(R1048=التقارير!$C$4,OR(التقارير!$C$5="سنوي",AND(التقارير!$C$5="شهري",P1048=التقارير!$C$6),AND(التقارير!$C$5="فصلي",Q1048=التقارير!$C$7))),1,0))</f>
        <v/>
      </c>
      <c r="T1048" s="20">
        <f>IF(S1048=1,COUNTIF($S$5:S1048,1),"")</f>
        <v/>
      </c>
      <c r="U1048">
        <f>IF(AND($A1048&lt;&gt;"",$B1048&lt;&gt;"",$R1048='تقرير الفصل الأول'!$C$4,$Q1048='تقرير الفصل الأول'!$C$7),COUNT(U$4:U1047)+1,"")</f>
        <v/>
      </c>
      <c r="V1048">
        <f>IF(AND($A1048&lt;&gt;"",$B1048&lt;&gt;"",$R1048='تقرير الفصل الثاني'!$C$4,$Q1048='تقرير الفصل الثاني'!$C$7),COUNT(V$4:V1047)+1,"")</f>
        <v/>
      </c>
      <c r="W1048">
        <f>IF(AND($A1048&lt;&gt;"",$B1048&lt;&gt;"",$R1048='تقرير سبتمبر'!$C$4,$P1048='تقرير سبتمبر'!$C$6),COUNT(W$4:W1047)+1,"")</f>
        <v/>
      </c>
      <c r="X1048">
        <f>IF(AND($A1048&lt;&gt;"",$B1048&lt;&gt;"",$R1048='تقرير أكتوبر'!$C$4,$P1048='تقرير أكتوبر'!$C$6),COUNT(X$4:X1047)+1,"")</f>
        <v/>
      </c>
      <c r="Y1048">
        <f>IF(AND($A1048&lt;&gt;"",$B1048&lt;&gt;"",$R1048='تقرير نوفمبر'!$C$4,$P1048='تقرير نوفمبر'!$C$6),COUNT(Y$4:Y1047)+1,"")</f>
        <v/>
      </c>
      <c r="Z1048">
        <f>IF(AND($A1048&lt;&gt;"",$B1048&lt;&gt;"",$R1048='تقرير ديسمبر'!$C$4,$P1048='تقرير ديسمبر'!$C$6),COUNT(Z$4:Z1047)+1,"")</f>
        <v/>
      </c>
      <c r="AA1048">
        <f>IF(AND($A1048&lt;&gt;"",$B1048&lt;&gt;"",$R1048='تقرير يناير'!$C$4,$P1048='تقرير يناير'!$C$6),COUNT(AA$4:AA1047)+1,"")</f>
        <v/>
      </c>
      <c r="AB1048">
        <f>IF(AND($A1048&lt;&gt;"",$B1048&lt;&gt;"",$R1048='تقرير فبراير'!$C$4,$P1048='تقرير فبراير'!$C$6),COUNT(AB$4:AB1047)+1,"")</f>
        <v/>
      </c>
      <c r="AC1048">
        <f>IF(AND($A1048&lt;&gt;"",$B1048&lt;&gt;"",$R1048='تقرير مارس'!$C$4,$P1048='تقرير مارس'!$C$6),COUNT(AC$4:AC1047)+1,"")</f>
        <v/>
      </c>
      <c r="AD1048">
        <f>IF(AND($A1048&lt;&gt;"",$B1048&lt;&gt;"",$R1048='تقرير أبريل'!$C$4,$P1048='تقرير أبريل'!$C$6),COUNT(AD$4:AD1047)+1,"")</f>
        <v/>
      </c>
      <c r="AE1048">
        <f>IF(AND($A1048&lt;&gt;"",$B1048&lt;&gt;"",$R1048='تقرير مايو'!$C$4,$P1048='تقرير مايو'!$C$6),COUNT(AE$4:AE1047)+1,"")</f>
        <v/>
      </c>
    </row>
    <row r="1049">
      <c r="A1049" s="16" t="n"/>
      <c r="B1049" s="17" t="n"/>
      <c r="C1049" s="17" t="n"/>
      <c r="D1049" s="18" t="n"/>
      <c r="E1049" s="17" t="n"/>
      <c r="F1049" s="17" t="n"/>
      <c r="G1049" s="19" t="n"/>
      <c r="H1049" s="17" t="n"/>
      <c r="I1049" s="17" t="n"/>
      <c r="J1049" s="17" t="n"/>
      <c r="K1049" s="20">
        <f>IF($B1049="","",IFERROR(INDEX(الموظفات!$A$5:$A$304,MATCH($B1049,الموظفات!$B$5:$B$304,0))&amp;"",""))</f>
        <v/>
      </c>
      <c r="L1049" s="21">
        <f>IF($B1049="","",IFERROR(INDEX(الموظفات!$C$5:$C$304,MATCH($B1049,الموظفات!$B$5:$B$304,0))&amp;"",""))</f>
        <v/>
      </c>
      <c r="M1049" s="20">
        <f>IF($B1049="","",IFERROR(INDEX(الموظفات!$D$5:$D$304,MATCH($B1049,الموظفات!$B$5:$B$304,0))&amp;"",""))</f>
        <v/>
      </c>
      <c r="N1049" s="20">
        <f>IF($B1049="","",IFERROR(INDEX(الموظفات!$E$5:$E$304,MATCH($B1049,الموظفات!$B$5:$B$304,0))&amp;"",""))</f>
        <v/>
      </c>
      <c r="O1049" s="21">
        <f>IF(C1049="","",IFERROR(INDEX(الإعدادات!$D$7:$D$35,MATCH(C1049,الإعدادات!$A$7:$A$35,0))&amp;"",""))</f>
        <v/>
      </c>
      <c r="P1049" s="20">
        <f>IF(A1049="","",INDEX(الإعدادات!$H$7:$H$18,MONTH(A1049)))</f>
        <v/>
      </c>
      <c r="Q1049" s="20">
        <f>IF(A1049="","",INDEX(الإعدادات!$I$7:$I$18,MONTH(A1049)))</f>
        <v/>
      </c>
      <c r="R1049" s="20">
        <f>IF(A1049="","",IF(MONTH(A1049)&gt;=8,YEAR(A1049)&amp;"-"&amp;(YEAR(A1049)+1),(YEAR(A1049)-1)&amp;"-"&amp;YEAR(A1049)))</f>
        <v/>
      </c>
      <c r="S1049" s="20">
        <f>IF(OR(A1049="",B1049=""),0,IF(AND(R1049=التقارير!$C$4,OR(التقارير!$C$5="سنوي",AND(التقارير!$C$5="شهري",P1049=التقارير!$C$6),AND(التقارير!$C$5="فصلي",Q1049=التقارير!$C$7))),1,0))</f>
        <v/>
      </c>
      <c r="T1049" s="20">
        <f>IF(S1049=1,COUNTIF($S$5:S1049,1),"")</f>
        <v/>
      </c>
      <c r="U1049">
        <f>IF(AND($A1049&lt;&gt;"",$B1049&lt;&gt;"",$R1049='تقرير الفصل الأول'!$C$4,$Q1049='تقرير الفصل الأول'!$C$7),COUNT(U$4:U1048)+1,"")</f>
        <v/>
      </c>
      <c r="V1049">
        <f>IF(AND($A1049&lt;&gt;"",$B1049&lt;&gt;"",$R1049='تقرير الفصل الثاني'!$C$4,$Q1049='تقرير الفصل الثاني'!$C$7),COUNT(V$4:V1048)+1,"")</f>
        <v/>
      </c>
      <c r="W1049">
        <f>IF(AND($A1049&lt;&gt;"",$B1049&lt;&gt;"",$R1049='تقرير سبتمبر'!$C$4,$P1049='تقرير سبتمبر'!$C$6),COUNT(W$4:W1048)+1,"")</f>
        <v/>
      </c>
      <c r="X1049">
        <f>IF(AND($A1049&lt;&gt;"",$B1049&lt;&gt;"",$R1049='تقرير أكتوبر'!$C$4,$P1049='تقرير أكتوبر'!$C$6),COUNT(X$4:X1048)+1,"")</f>
        <v/>
      </c>
      <c r="Y1049">
        <f>IF(AND($A1049&lt;&gt;"",$B1049&lt;&gt;"",$R1049='تقرير نوفمبر'!$C$4,$P1049='تقرير نوفمبر'!$C$6),COUNT(Y$4:Y1048)+1,"")</f>
        <v/>
      </c>
      <c r="Z1049">
        <f>IF(AND($A1049&lt;&gt;"",$B1049&lt;&gt;"",$R1049='تقرير ديسمبر'!$C$4,$P1049='تقرير ديسمبر'!$C$6),COUNT(Z$4:Z1048)+1,"")</f>
        <v/>
      </c>
      <c r="AA1049">
        <f>IF(AND($A1049&lt;&gt;"",$B1049&lt;&gt;"",$R1049='تقرير يناير'!$C$4,$P1049='تقرير يناير'!$C$6),COUNT(AA$4:AA1048)+1,"")</f>
        <v/>
      </c>
      <c r="AB1049">
        <f>IF(AND($A1049&lt;&gt;"",$B1049&lt;&gt;"",$R1049='تقرير فبراير'!$C$4,$P1049='تقرير فبراير'!$C$6),COUNT(AB$4:AB1048)+1,"")</f>
        <v/>
      </c>
      <c r="AC1049">
        <f>IF(AND($A1049&lt;&gt;"",$B1049&lt;&gt;"",$R1049='تقرير مارس'!$C$4,$P1049='تقرير مارس'!$C$6),COUNT(AC$4:AC1048)+1,"")</f>
        <v/>
      </c>
      <c r="AD1049">
        <f>IF(AND($A1049&lt;&gt;"",$B1049&lt;&gt;"",$R1049='تقرير أبريل'!$C$4,$P1049='تقرير أبريل'!$C$6),COUNT(AD$4:AD1048)+1,"")</f>
        <v/>
      </c>
      <c r="AE1049">
        <f>IF(AND($A1049&lt;&gt;"",$B1049&lt;&gt;"",$R1049='تقرير مايو'!$C$4,$P1049='تقرير مايو'!$C$6),COUNT(AE$4:AE1048)+1,"")</f>
        <v/>
      </c>
    </row>
    <row r="1050">
      <c r="A1050" s="16" t="n"/>
      <c r="B1050" s="17" t="n"/>
      <c r="C1050" s="17" t="n"/>
      <c r="D1050" s="18" t="n"/>
      <c r="E1050" s="17" t="n"/>
      <c r="F1050" s="17" t="n"/>
      <c r="G1050" s="19" t="n"/>
      <c r="H1050" s="17" t="n"/>
      <c r="I1050" s="17" t="n"/>
      <c r="J1050" s="17" t="n"/>
      <c r="K1050" s="20">
        <f>IF($B1050="","",IFERROR(INDEX(الموظفات!$A$5:$A$304,MATCH($B1050,الموظفات!$B$5:$B$304,0))&amp;"",""))</f>
        <v/>
      </c>
      <c r="L1050" s="21">
        <f>IF($B1050="","",IFERROR(INDEX(الموظفات!$C$5:$C$304,MATCH($B1050,الموظفات!$B$5:$B$304,0))&amp;"",""))</f>
        <v/>
      </c>
      <c r="M1050" s="20">
        <f>IF($B1050="","",IFERROR(INDEX(الموظفات!$D$5:$D$304,MATCH($B1050,الموظفات!$B$5:$B$304,0))&amp;"",""))</f>
        <v/>
      </c>
      <c r="N1050" s="20">
        <f>IF($B1050="","",IFERROR(INDEX(الموظفات!$E$5:$E$304,MATCH($B1050,الموظفات!$B$5:$B$304,0))&amp;"",""))</f>
        <v/>
      </c>
      <c r="O1050" s="21">
        <f>IF(C1050="","",IFERROR(INDEX(الإعدادات!$D$7:$D$35,MATCH(C1050,الإعدادات!$A$7:$A$35,0))&amp;"",""))</f>
        <v/>
      </c>
      <c r="P1050" s="20">
        <f>IF(A1050="","",INDEX(الإعدادات!$H$7:$H$18,MONTH(A1050)))</f>
        <v/>
      </c>
      <c r="Q1050" s="20">
        <f>IF(A1050="","",INDEX(الإعدادات!$I$7:$I$18,MONTH(A1050)))</f>
        <v/>
      </c>
      <c r="R1050" s="20">
        <f>IF(A1050="","",IF(MONTH(A1050)&gt;=8,YEAR(A1050)&amp;"-"&amp;(YEAR(A1050)+1),(YEAR(A1050)-1)&amp;"-"&amp;YEAR(A1050)))</f>
        <v/>
      </c>
      <c r="S1050" s="20">
        <f>IF(OR(A1050="",B1050=""),0,IF(AND(R1050=التقارير!$C$4,OR(التقارير!$C$5="سنوي",AND(التقارير!$C$5="شهري",P1050=التقارير!$C$6),AND(التقارير!$C$5="فصلي",Q1050=التقارير!$C$7))),1,0))</f>
        <v/>
      </c>
      <c r="T1050" s="20">
        <f>IF(S1050=1,COUNTIF($S$5:S1050,1),"")</f>
        <v/>
      </c>
      <c r="U1050">
        <f>IF(AND($A1050&lt;&gt;"",$B1050&lt;&gt;"",$R1050='تقرير الفصل الأول'!$C$4,$Q1050='تقرير الفصل الأول'!$C$7),COUNT(U$4:U1049)+1,"")</f>
        <v/>
      </c>
      <c r="V1050">
        <f>IF(AND($A1050&lt;&gt;"",$B1050&lt;&gt;"",$R1050='تقرير الفصل الثاني'!$C$4,$Q1050='تقرير الفصل الثاني'!$C$7),COUNT(V$4:V1049)+1,"")</f>
        <v/>
      </c>
      <c r="W1050">
        <f>IF(AND($A1050&lt;&gt;"",$B1050&lt;&gt;"",$R1050='تقرير سبتمبر'!$C$4,$P1050='تقرير سبتمبر'!$C$6),COUNT(W$4:W1049)+1,"")</f>
        <v/>
      </c>
      <c r="X1050">
        <f>IF(AND($A1050&lt;&gt;"",$B1050&lt;&gt;"",$R1050='تقرير أكتوبر'!$C$4,$P1050='تقرير أكتوبر'!$C$6),COUNT(X$4:X1049)+1,"")</f>
        <v/>
      </c>
      <c r="Y1050">
        <f>IF(AND($A1050&lt;&gt;"",$B1050&lt;&gt;"",$R1050='تقرير نوفمبر'!$C$4,$P1050='تقرير نوفمبر'!$C$6),COUNT(Y$4:Y1049)+1,"")</f>
        <v/>
      </c>
      <c r="Z1050">
        <f>IF(AND($A1050&lt;&gt;"",$B1050&lt;&gt;"",$R1050='تقرير ديسمبر'!$C$4,$P1050='تقرير ديسمبر'!$C$6),COUNT(Z$4:Z1049)+1,"")</f>
        <v/>
      </c>
      <c r="AA1050">
        <f>IF(AND($A1050&lt;&gt;"",$B1050&lt;&gt;"",$R1050='تقرير يناير'!$C$4,$P1050='تقرير يناير'!$C$6),COUNT(AA$4:AA1049)+1,"")</f>
        <v/>
      </c>
      <c r="AB1050">
        <f>IF(AND($A1050&lt;&gt;"",$B1050&lt;&gt;"",$R1050='تقرير فبراير'!$C$4,$P1050='تقرير فبراير'!$C$6),COUNT(AB$4:AB1049)+1,"")</f>
        <v/>
      </c>
      <c r="AC1050">
        <f>IF(AND($A1050&lt;&gt;"",$B1050&lt;&gt;"",$R1050='تقرير مارس'!$C$4,$P1050='تقرير مارس'!$C$6),COUNT(AC$4:AC1049)+1,"")</f>
        <v/>
      </c>
      <c r="AD1050">
        <f>IF(AND($A1050&lt;&gt;"",$B1050&lt;&gt;"",$R1050='تقرير أبريل'!$C$4,$P1050='تقرير أبريل'!$C$6),COUNT(AD$4:AD1049)+1,"")</f>
        <v/>
      </c>
      <c r="AE1050">
        <f>IF(AND($A1050&lt;&gt;"",$B1050&lt;&gt;"",$R1050='تقرير مايو'!$C$4,$P1050='تقرير مايو'!$C$6),COUNT(AE$4:AE1049)+1,"")</f>
        <v/>
      </c>
    </row>
    <row r="1051">
      <c r="A1051" s="16" t="n"/>
      <c r="B1051" s="17" t="n"/>
      <c r="C1051" s="17" t="n"/>
      <c r="D1051" s="18" t="n"/>
      <c r="E1051" s="17" t="n"/>
      <c r="F1051" s="17" t="n"/>
      <c r="G1051" s="19" t="n"/>
      <c r="H1051" s="17" t="n"/>
      <c r="I1051" s="17" t="n"/>
      <c r="J1051" s="17" t="n"/>
      <c r="K1051" s="20">
        <f>IF($B1051="","",IFERROR(INDEX(الموظفات!$A$5:$A$304,MATCH($B1051,الموظفات!$B$5:$B$304,0))&amp;"",""))</f>
        <v/>
      </c>
      <c r="L1051" s="21">
        <f>IF($B1051="","",IFERROR(INDEX(الموظفات!$C$5:$C$304,MATCH($B1051,الموظفات!$B$5:$B$304,0))&amp;"",""))</f>
        <v/>
      </c>
      <c r="M1051" s="20">
        <f>IF($B1051="","",IFERROR(INDEX(الموظفات!$D$5:$D$304,MATCH($B1051,الموظفات!$B$5:$B$304,0))&amp;"",""))</f>
        <v/>
      </c>
      <c r="N1051" s="20">
        <f>IF($B1051="","",IFERROR(INDEX(الموظفات!$E$5:$E$304,MATCH($B1051,الموظفات!$B$5:$B$304,0))&amp;"",""))</f>
        <v/>
      </c>
      <c r="O1051" s="21">
        <f>IF(C1051="","",IFERROR(INDEX(الإعدادات!$D$7:$D$35,MATCH(C1051,الإعدادات!$A$7:$A$35,0))&amp;"",""))</f>
        <v/>
      </c>
      <c r="P1051" s="20">
        <f>IF(A1051="","",INDEX(الإعدادات!$H$7:$H$18,MONTH(A1051)))</f>
        <v/>
      </c>
      <c r="Q1051" s="20">
        <f>IF(A1051="","",INDEX(الإعدادات!$I$7:$I$18,MONTH(A1051)))</f>
        <v/>
      </c>
      <c r="R1051" s="20">
        <f>IF(A1051="","",IF(MONTH(A1051)&gt;=8,YEAR(A1051)&amp;"-"&amp;(YEAR(A1051)+1),(YEAR(A1051)-1)&amp;"-"&amp;YEAR(A1051)))</f>
        <v/>
      </c>
      <c r="S1051" s="20">
        <f>IF(OR(A1051="",B1051=""),0,IF(AND(R1051=التقارير!$C$4,OR(التقارير!$C$5="سنوي",AND(التقارير!$C$5="شهري",P1051=التقارير!$C$6),AND(التقارير!$C$5="فصلي",Q1051=التقارير!$C$7))),1,0))</f>
        <v/>
      </c>
      <c r="T1051" s="20">
        <f>IF(S1051=1,COUNTIF($S$5:S1051,1),"")</f>
        <v/>
      </c>
      <c r="U1051">
        <f>IF(AND($A1051&lt;&gt;"",$B1051&lt;&gt;"",$R1051='تقرير الفصل الأول'!$C$4,$Q1051='تقرير الفصل الأول'!$C$7),COUNT(U$4:U1050)+1,"")</f>
        <v/>
      </c>
      <c r="V1051">
        <f>IF(AND($A1051&lt;&gt;"",$B1051&lt;&gt;"",$R1051='تقرير الفصل الثاني'!$C$4,$Q1051='تقرير الفصل الثاني'!$C$7),COUNT(V$4:V1050)+1,"")</f>
        <v/>
      </c>
      <c r="W1051">
        <f>IF(AND($A1051&lt;&gt;"",$B1051&lt;&gt;"",$R1051='تقرير سبتمبر'!$C$4,$P1051='تقرير سبتمبر'!$C$6),COUNT(W$4:W1050)+1,"")</f>
        <v/>
      </c>
      <c r="X1051">
        <f>IF(AND($A1051&lt;&gt;"",$B1051&lt;&gt;"",$R1051='تقرير أكتوبر'!$C$4,$P1051='تقرير أكتوبر'!$C$6),COUNT(X$4:X1050)+1,"")</f>
        <v/>
      </c>
      <c r="Y1051">
        <f>IF(AND($A1051&lt;&gt;"",$B1051&lt;&gt;"",$R1051='تقرير نوفمبر'!$C$4,$P1051='تقرير نوفمبر'!$C$6),COUNT(Y$4:Y1050)+1,"")</f>
        <v/>
      </c>
      <c r="Z1051">
        <f>IF(AND($A1051&lt;&gt;"",$B1051&lt;&gt;"",$R1051='تقرير ديسمبر'!$C$4,$P1051='تقرير ديسمبر'!$C$6),COUNT(Z$4:Z1050)+1,"")</f>
        <v/>
      </c>
      <c r="AA1051">
        <f>IF(AND($A1051&lt;&gt;"",$B1051&lt;&gt;"",$R1051='تقرير يناير'!$C$4,$P1051='تقرير يناير'!$C$6),COUNT(AA$4:AA1050)+1,"")</f>
        <v/>
      </c>
      <c r="AB1051">
        <f>IF(AND($A1051&lt;&gt;"",$B1051&lt;&gt;"",$R1051='تقرير فبراير'!$C$4,$P1051='تقرير فبراير'!$C$6),COUNT(AB$4:AB1050)+1,"")</f>
        <v/>
      </c>
      <c r="AC1051">
        <f>IF(AND($A1051&lt;&gt;"",$B1051&lt;&gt;"",$R1051='تقرير مارس'!$C$4,$P1051='تقرير مارس'!$C$6),COUNT(AC$4:AC1050)+1,"")</f>
        <v/>
      </c>
      <c r="AD1051">
        <f>IF(AND($A1051&lt;&gt;"",$B1051&lt;&gt;"",$R1051='تقرير أبريل'!$C$4,$P1051='تقرير أبريل'!$C$6),COUNT(AD$4:AD1050)+1,"")</f>
        <v/>
      </c>
      <c r="AE1051">
        <f>IF(AND($A1051&lt;&gt;"",$B1051&lt;&gt;"",$R1051='تقرير مايو'!$C$4,$P1051='تقرير مايو'!$C$6),COUNT(AE$4:AE1050)+1,"")</f>
        <v/>
      </c>
    </row>
    <row r="1052">
      <c r="A1052" s="16" t="n"/>
      <c r="B1052" s="17" t="n"/>
      <c r="C1052" s="17" t="n"/>
      <c r="D1052" s="18" t="n"/>
      <c r="E1052" s="17" t="n"/>
      <c r="F1052" s="17" t="n"/>
      <c r="G1052" s="19" t="n"/>
      <c r="H1052" s="17" t="n"/>
      <c r="I1052" s="17" t="n"/>
      <c r="J1052" s="17" t="n"/>
      <c r="K1052" s="20">
        <f>IF($B1052="","",IFERROR(INDEX(الموظفات!$A$5:$A$304,MATCH($B1052,الموظفات!$B$5:$B$304,0))&amp;"",""))</f>
        <v/>
      </c>
      <c r="L1052" s="21">
        <f>IF($B1052="","",IFERROR(INDEX(الموظفات!$C$5:$C$304,MATCH($B1052,الموظفات!$B$5:$B$304,0))&amp;"",""))</f>
        <v/>
      </c>
      <c r="M1052" s="20">
        <f>IF($B1052="","",IFERROR(INDEX(الموظفات!$D$5:$D$304,MATCH($B1052,الموظفات!$B$5:$B$304,0))&amp;"",""))</f>
        <v/>
      </c>
      <c r="N1052" s="20">
        <f>IF($B1052="","",IFERROR(INDEX(الموظفات!$E$5:$E$304,MATCH($B1052,الموظفات!$B$5:$B$304,0))&amp;"",""))</f>
        <v/>
      </c>
      <c r="O1052" s="21">
        <f>IF(C1052="","",IFERROR(INDEX(الإعدادات!$D$7:$D$35,MATCH(C1052,الإعدادات!$A$7:$A$35,0))&amp;"",""))</f>
        <v/>
      </c>
      <c r="P1052" s="20">
        <f>IF(A1052="","",INDEX(الإعدادات!$H$7:$H$18,MONTH(A1052)))</f>
        <v/>
      </c>
      <c r="Q1052" s="20">
        <f>IF(A1052="","",INDEX(الإعدادات!$I$7:$I$18,MONTH(A1052)))</f>
        <v/>
      </c>
      <c r="R1052" s="20">
        <f>IF(A1052="","",IF(MONTH(A1052)&gt;=8,YEAR(A1052)&amp;"-"&amp;(YEAR(A1052)+1),(YEAR(A1052)-1)&amp;"-"&amp;YEAR(A1052)))</f>
        <v/>
      </c>
      <c r="S1052" s="20">
        <f>IF(OR(A1052="",B1052=""),0,IF(AND(R1052=التقارير!$C$4,OR(التقارير!$C$5="سنوي",AND(التقارير!$C$5="شهري",P1052=التقارير!$C$6),AND(التقارير!$C$5="فصلي",Q1052=التقارير!$C$7))),1,0))</f>
        <v/>
      </c>
      <c r="T1052" s="20">
        <f>IF(S1052=1,COUNTIF($S$5:S1052,1),"")</f>
        <v/>
      </c>
      <c r="U1052">
        <f>IF(AND($A1052&lt;&gt;"",$B1052&lt;&gt;"",$R1052='تقرير الفصل الأول'!$C$4,$Q1052='تقرير الفصل الأول'!$C$7),COUNT(U$4:U1051)+1,"")</f>
        <v/>
      </c>
      <c r="V1052">
        <f>IF(AND($A1052&lt;&gt;"",$B1052&lt;&gt;"",$R1052='تقرير الفصل الثاني'!$C$4,$Q1052='تقرير الفصل الثاني'!$C$7),COUNT(V$4:V1051)+1,"")</f>
        <v/>
      </c>
      <c r="W1052">
        <f>IF(AND($A1052&lt;&gt;"",$B1052&lt;&gt;"",$R1052='تقرير سبتمبر'!$C$4,$P1052='تقرير سبتمبر'!$C$6),COUNT(W$4:W1051)+1,"")</f>
        <v/>
      </c>
      <c r="X1052">
        <f>IF(AND($A1052&lt;&gt;"",$B1052&lt;&gt;"",$R1052='تقرير أكتوبر'!$C$4,$P1052='تقرير أكتوبر'!$C$6),COUNT(X$4:X1051)+1,"")</f>
        <v/>
      </c>
      <c r="Y1052">
        <f>IF(AND($A1052&lt;&gt;"",$B1052&lt;&gt;"",$R1052='تقرير نوفمبر'!$C$4,$P1052='تقرير نوفمبر'!$C$6),COUNT(Y$4:Y1051)+1,"")</f>
        <v/>
      </c>
      <c r="Z1052">
        <f>IF(AND($A1052&lt;&gt;"",$B1052&lt;&gt;"",$R1052='تقرير ديسمبر'!$C$4,$P1052='تقرير ديسمبر'!$C$6),COUNT(Z$4:Z1051)+1,"")</f>
        <v/>
      </c>
      <c r="AA1052">
        <f>IF(AND($A1052&lt;&gt;"",$B1052&lt;&gt;"",$R1052='تقرير يناير'!$C$4,$P1052='تقرير يناير'!$C$6),COUNT(AA$4:AA1051)+1,"")</f>
        <v/>
      </c>
      <c r="AB1052">
        <f>IF(AND($A1052&lt;&gt;"",$B1052&lt;&gt;"",$R1052='تقرير فبراير'!$C$4,$P1052='تقرير فبراير'!$C$6),COUNT(AB$4:AB1051)+1,"")</f>
        <v/>
      </c>
      <c r="AC1052">
        <f>IF(AND($A1052&lt;&gt;"",$B1052&lt;&gt;"",$R1052='تقرير مارس'!$C$4,$P1052='تقرير مارس'!$C$6),COUNT(AC$4:AC1051)+1,"")</f>
        <v/>
      </c>
      <c r="AD1052">
        <f>IF(AND($A1052&lt;&gt;"",$B1052&lt;&gt;"",$R1052='تقرير أبريل'!$C$4,$P1052='تقرير أبريل'!$C$6),COUNT(AD$4:AD1051)+1,"")</f>
        <v/>
      </c>
      <c r="AE1052">
        <f>IF(AND($A1052&lt;&gt;"",$B1052&lt;&gt;"",$R1052='تقرير مايو'!$C$4,$P1052='تقرير مايو'!$C$6),COUNT(AE$4:AE1051)+1,"")</f>
        <v/>
      </c>
    </row>
    <row r="1053">
      <c r="A1053" s="16" t="n"/>
      <c r="B1053" s="17" t="n"/>
      <c r="C1053" s="17" t="n"/>
      <c r="D1053" s="18" t="n"/>
      <c r="E1053" s="17" t="n"/>
      <c r="F1053" s="17" t="n"/>
      <c r="G1053" s="19" t="n"/>
      <c r="H1053" s="17" t="n"/>
      <c r="I1053" s="17" t="n"/>
      <c r="J1053" s="17" t="n"/>
      <c r="K1053" s="20">
        <f>IF($B1053="","",IFERROR(INDEX(الموظفات!$A$5:$A$304,MATCH($B1053,الموظفات!$B$5:$B$304,0))&amp;"",""))</f>
        <v/>
      </c>
      <c r="L1053" s="21">
        <f>IF($B1053="","",IFERROR(INDEX(الموظفات!$C$5:$C$304,MATCH($B1053,الموظفات!$B$5:$B$304,0))&amp;"",""))</f>
        <v/>
      </c>
      <c r="M1053" s="20">
        <f>IF($B1053="","",IFERROR(INDEX(الموظفات!$D$5:$D$304,MATCH($B1053,الموظفات!$B$5:$B$304,0))&amp;"",""))</f>
        <v/>
      </c>
      <c r="N1053" s="20">
        <f>IF($B1053="","",IFERROR(INDEX(الموظفات!$E$5:$E$304,MATCH($B1053,الموظفات!$B$5:$B$304,0))&amp;"",""))</f>
        <v/>
      </c>
      <c r="O1053" s="21">
        <f>IF(C1053="","",IFERROR(INDEX(الإعدادات!$D$7:$D$35,MATCH(C1053,الإعدادات!$A$7:$A$35,0))&amp;"",""))</f>
        <v/>
      </c>
      <c r="P1053" s="20">
        <f>IF(A1053="","",INDEX(الإعدادات!$H$7:$H$18,MONTH(A1053)))</f>
        <v/>
      </c>
      <c r="Q1053" s="20">
        <f>IF(A1053="","",INDEX(الإعدادات!$I$7:$I$18,MONTH(A1053)))</f>
        <v/>
      </c>
      <c r="R1053" s="20">
        <f>IF(A1053="","",IF(MONTH(A1053)&gt;=8,YEAR(A1053)&amp;"-"&amp;(YEAR(A1053)+1),(YEAR(A1053)-1)&amp;"-"&amp;YEAR(A1053)))</f>
        <v/>
      </c>
      <c r="S1053" s="20">
        <f>IF(OR(A1053="",B1053=""),0,IF(AND(R1053=التقارير!$C$4,OR(التقارير!$C$5="سنوي",AND(التقارير!$C$5="شهري",P1053=التقارير!$C$6),AND(التقارير!$C$5="فصلي",Q1053=التقارير!$C$7))),1,0))</f>
        <v/>
      </c>
      <c r="T1053" s="20">
        <f>IF(S1053=1,COUNTIF($S$5:S1053,1),"")</f>
        <v/>
      </c>
      <c r="U1053">
        <f>IF(AND($A1053&lt;&gt;"",$B1053&lt;&gt;"",$R1053='تقرير الفصل الأول'!$C$4,$Q1053='تقرير الفصل الأول'!$C$7),COUNT(U$4:U1052)+1,"")</f>
        <v/>
      </c>
      <c r="V1053">
        <f>IF(AND($A1053&lt;&gt;"",$B1053&lt;&gt;"",$R1053='تقرير الفصل الثاني'!$C$4,$Q1053='تقرير الفصل الثاني'!$C$7),COUNT(V$4:V1052)+1,"")</f>
        <v/>
      </c>
      <c r="W1053">
        <f>IF(AND($A1053&lt;&gt;"",$B1053&lt;&gt;"",$R1053='تقرير سبتمبر'!$C$4,$P1053='تقرير سبتمبر'!$C$6),COUNT(W$4:W1052)+1,"")</f>
        <v/>
      </c>
      <c r="X1053">
        <f>IF(AND($A1053&lt;&gt;"",$B1053&lt;&gt;"",$R1053='تقرير أكتوبر'!$C$4,$P1053='تقرير أكتوبر'!$C$6),COUNT(X$4:X1052)+1,"")</f>
        <v/>
      </c>
      <c r="Y1053">
        <f>IF(AND($A1053&lt;&gt;"",$B1053&lt;&gt;"",$R1053='تقرير نوفمبر'!$C$4,$P1053='تقرير نوفمبر'!$C$6),COUNT(Y$4:Y1052)+1,"")</f>
        <v/>
      </c>
      <c r="Z1053">
        <f>IF(AND($A1053&lt;&gt;"",$B1053&lt;&gt;"",$R1053='تقرير ديسمبر'!$C$4,$P1053='تقرير ديسمبر'!$C$6),COUNT(Z$4:Z1052)+1,"")</f>
        <v/>
      </c>
      <c r="AA1053">
        <f>IF(AND($A1053&lt;&gt;"",$B1053&lt;&gt;"",$R1053='تقرير يناير'!$C$4,$P1053='تقرير يناير'!$C$6),COUNT(AA$4:AA1052)+1,"")</f>
        <v/>
      </c>
      <c r="AB1053">
        <f>IF(AND($A1053&lt;&gt;"",$B1053&lt;&gt;"",$R1053='تقرير فبراير'!$C$4,$P1053='تقرير فبراير'!$C$6),COUNT(AB$4:AB1052)+1,"")</f>
        <v/>
      </c>
      <c r="AC1053">
        <f>IF(AND($A1053&lt;&gt;"",$B1053&lt;&gt;"",$R1053='تقرير مارس'!$C$4,$P1053='تقرير مارس'!$C$6),COUNT(AC$4:AC1052)+1,"")</f>
        <v/>
      </c>
      <c r="AD1053">
        <f>IF(AND($A1053&lt;&gt;"",$B1053&lt;&gt;"",$R1053='تقرير أبريل'!$C$4,$P1053='تقرير أبريل'!$C$6),COUNT(AD$4:AD1052)+1,"")</f>
        <v/>
      </c>
      <c r="AE1053">
        <f>IF(AND($A1053&lt;&gt;"",$B1053&lt;&gt;"",$R1053='تقرير مايو'!$C$4,$P1053='تقرير مايو'!$C$6),COUNT(AE$4:AE1052)+1,"")</f>
        <v/>
      </c>
    </row>
    <row r="1054">
      <c r="A1054" s="16" t="n"/>
      <c r="B1054" s="17" t="n"/>
      <c r="C1054" s="17" t="n"/>
      <c r="D1054" s="18" t="n"/>
      <c r="E1054" s="17" t="n"/>
      <c r="F1054" s="17" t="n"/>
      <c r="G1054" s="19" t="n"/>
      <c r="H1054" s="17" t="n"/>
      <c r="I1054" s="17" t="n"/>
      <c r="J1054" s="17" t="n"/>
      <c r="K1054" s="20">
        <f>IF($B1054="","",IFERROR(INDEX(الموظفات!$A$5:$A$304,MATCH($B1054,الموظفات!$B$5:$B$304,0))&amp;"",""))</f>
        <v/>
      </c>
      <c r="L1054" s="21">
        <f>IF($B1054="","",IFERROR(INDEX(الموظفات!$C$5:$C$304,MATCH($B1054,الموظفات!$B$5:$B$304,0))&amp;"",""))</f>
        <v/>
      </c>
      <c r="M1054" s="20">
        <f>IF($B1054="","",IFERROR(INDEX(الموظفات!$D$5:$D$304,MATCH($B1054,الموظفات!$B$5:$B$304,0))&amp;"",""))</f>
        <v/>
      </c>
      <c r="N1054" s="20">
        <f>IF($B1054="","",IFERROR(INDEX(الموظفات!$E$5:$E$304,MATCH($B1054,الموظفات!$B$5:$B$304,0))&amp;"",""))</f>
        <v/>
      </c>
      <c r="O1054" s="21">
        <f>IF(C1054="","",IFERROR(INDEX(الإعدادات!$D$7:$D$35,MATCH(C1054,الإعدادات!$A$7:$A$35,0))&amp;"",""))</f>
        <v/>
      </c>
      <c r="P1054" s="20">
        <f>IF(A1054="","",INDEX(الإعدادات!$H$7:$H$18,MONTH(A1054)))</f>
        <v/>
      </c>
      <c r="Q1054" s="20">
        <f>IF(A1054="","",INDEX(الإعدادات!$I$7:$I$18,MONTH(A1054)))</f>
        <v/>
      </c>
      <c r="R1054" s="20">
        <f>IF(A1054="","",IF(MONTH(A1054)&gt;=8,YEAR(A1054)&amp;"-"&amp;(YEAR(A1054)+1),(YEAR(A1054)-1)&amp;"-"&amp;YEAR(A1054)))</f>
        <v/>
      </c>
      <c r="S1054" s="20">
        <f>IF(OR(A1054="",B1054=""),0,IF(AND(R1054=التقارير!$C$4,OR(التقارير!$C$5="سنوي",AND(التقارير!$C$5="شهري",P1054=التقارير!$C$6),AND(التقارير!$C$5="فصلي",Q1054=التقارير!$C$7))),1,0))</f>
        <v/>
      </c>
      <c r="T1054" s="20">
        <f>IF(S1054=1,COUNTIF($S$5:S1054,1),"")</f>
        <v/>
      </c>
      <c r="U1054">
        <f>IF(AND($A1054&lt;&gt;"",$B1054&lt;&gt;"",$R1054='تقرير الفصل الأول'!$C$4,$Q1054='تقرير الفصل الأول'!$C$7),COUNT(U$4:U1053)+1,"")</f>
        <v/>
      </c>
      <c r="V1054">
        <f>IF(AND($A1054&lt;&gt;"",$B1054&lt;&gt;"",$R1054='تقرير الفصل الثاني'!$C$4,$Q1054='تقرير الفصل الثاني'!$C$7),COUNT(V$4:V1053)+1,"")</f>
        <v/>
      </c>
      <c r="W1054">
        <f>IF(AND($A1054&lt;&gt;"",$B1054&lt;&gt;"",$R1054='تقرير سبتمبر'!$C$4,$P1054='تقرير سبتمبر'!$C$6),COUNT(W$4:W1053)+1,"")</f>
        <v/>
      </c>
      <c r="X1054">
        <f>IF(AND($A1054&lt;&gt;"",$B1054&lt;&gt;"",$R1054='تقرير أكتوبر'!$C$4,$P1054='تقرير أكتوبر'!$C$6),COUNT(X$4:X1053)+1,"")</f>
        <v/>
      </c>
      <c r="Y1054">
        <f>IF(AND($A1054&lt;&gt;"",$B1054&lt;&gt;"",$R1054='تقرير نوفمبر'!$C$4,$P1054='تقرير نوفمبر'!$C$6),COUNT(Y$4:Y1053)+1,"")</f>
        <v/>
      </c>
      <c r="Z1054">
        <f>IF(AND($A1054&lt;&gt;"",$B1054&lt;&gt;"",$R1054='تقرير ديسمبر'!$C$4,$P1054='تقرير ديسمبر'!$C$6),COUNT(Z$4:Z1053)+1,"")</f>
        <v/>
      </c>
      <c r="AA1054">
        <f>IF(AND($A1054&lt;&gt;"",$B1054&lt;&gt;"",$R1054='تقرير يناير'!$C$4,$P1054='تقرير يناير'!$C$6),COUNT(AA$4:AA1053)+1,"")</f>
        <v/>
      </c>
      <c r="AB1054">
        <f>IF(AND($A1054&lt;&gt;"",$B1054&lt;&gt;"",$R1054='تقرير فبراير'!$C$4,$P1054='تقرير فبراير'!$C$6),COUNT(AB$4:AB1053)+1,"")</f>
        <v/>
      </c>
      <c r="AC1054">
        <f>IF(AND($A1054&lt;&gt;"",$B1054&lt;&gt;"",$R1054='تقرير مارس'!$C$4,$P1054='تقرير مارس'!$C$6),COUNT(AC$4:AC1053)+1,"")</f>
        <v/>
      </c>
      <c r="AD1054">
        <f>IF(AND($A1054&lt;&gt;"",$B1054&lt;&gt;"",$R1054='تقرير أبريل'!$C$4,$P1054='تقرير أبريل'!$C$6),COUNT(AD$4:AD1053)+1,"")</f>
        <v/>
      </c>
      <c r="AE1054">
        <f>IF(AND($A1054&lt;&gt;"",$B1054&lt;&gt;"",$R1054='تقرير مايو'!$C$4,$P1054='تقرير مايو'!$C$6),COUNT(AE$4:AE1053)+1,"")</f>
        <v/>
      </c>
    </row>
    <row r="1055">
      <c r="A1055" s="16" t="n"/>
      <c r="B1055" s="17" t="n"/>
      <c r="C1055" s="17" t="n"/>
      <c r="D1055" s="18" t="n"/>
      <c r="E1055" s="17" t="n"/>
      <c r="F1055" s="17" t="n"/>
      <c r="G1055" s="19" t="n"/>
      <c r="H1055" s="17" t="n"/>
      <c r="I1055" s="17" t="n"/>
      <c r="J1055" s="17" t="n"/>
      <c r="K1055" s="20">
        <f>IF($B1055="","",IFERROR(INDEX(الموظفات!$A$5:$A$304,MATCH($B1055,الموظفات!$B$5:$B$304,0))&amp;"",""))</f>
        <v/>
      </c>
      <c r="L1055" s="21">
        <f>IF($B1055="","",IFERROR(INDEX(الموظفات!$C$5:$C$304,MATCH($B1055,الموظفات!$B$5:$B$304,0))&amp;"",""))</f>
        <v/>
      </c>
      <c r="M1055" s="20">
        <f>IF($B1055="","",IFERROR(INDEX(الموظفات!$D$5:$D$304,MATCH($B1055,الموظفات!$B$5:$B$304,0))&amp;"",""))</f>
        <v/>
      </c>
      <c r="N1055" s="20">
        <f>IF($B1055="","",IFERROR(INDEX(الموظفات!$E$5:$E$304,MATCH($B1055,الموظفات!$B$5:$B$304,0))&amp;"",""))</f>
        <v/>
      </c>
      <c r="O1055" s="21">
        <f>IF(C1055="","",IFERROR(INDEX(الإعدادات!$D$7:$D$35,MATCH(C1055,الإعدادات!$A$7:$A$35,0))&amp;"",""))</f>
        <v/>
      </c>
      <c r="P1055" s="20">
        <f>IF(A1055="","",INDEX(الإعدادات!$H$7:$H$18,MONTH(A1055)))</f>
        <v/>
      </c>
      <c r="Q1055" s="20">
        <f>IF(A1055="","",INDEX(الإعدادات!$I$7:$I$18,MONTH(A1055)))</f>
        <v/>
      </c>
      <c r="R1055" s="20">
        <f>IF(A1055="","",IF(MONTH(A1055)&gt;=8,YEAR(A1055)&amp;"-"&amp;(YEAR(A1055)+1),(YEAR(A1055)-1)&amp;"-"&amp;YEAR(A1055)))</f>
        <v/>
      </c>
      <c r="S1055" s="20">
        <f>IF(OR(A1055="",B1055=""),0,IF(AND(R1055=التقارير!$C$4,OR(التقارير!$C$5="سنوي",AND(التقارير!$C$5="شهري",P1055=التقارير!$C$6),AND(التقارير!$C$5="فصلي",Q1055=التقارير!$C$7))),1,0))</f>
        <v/>
      </c>
      <c r="T1055" s="20">
        <f>IF(S1055=1,COUNTIF($S$5:S1055,1),"")</f>
        <v/>
      </c>
      <c r="U1055">
        <f>IF(AND($A1055&lt;&gt;"",$B1055&lt;&gt;"",$R1055='تقرير الفصل الأول'!$C$4,$Q1055='تقرير الفصل الأول'!$C$7),COUNT(U$4:U1054)+1,"")</f>
        <v/>
      </c>
      <c r="V1055">
        <f>IF(AND($A1055&lt;&gt;"",$B1055&lt;&gt;"",$R1055='تقرير الفصل الثاني'!$C$4,$Q1055='تقرير الفصل الثاني'!$C$7),COUNT(V$4:V1054)+1,"")</f>
        <v/>
      </c>
      <c r="W1055">
        <f>IF(AND($A1055&lt;&gt;"",$B1055&lt;&gt;"",$R1055='تقرير سبتمبر'!$C$4,$P1055='تقرير سبتمبر'!$C$6),COUNT(W$4:W1054)+1,"")</f>
        <v/>
      </c>
      <c r="X1055">
        <f>IF(AND($A1055&lt;&gt;"",$B1055&lt;&gt;"",$R1055='تقرير أكتوبر'!$C$4,$P1055='تقرير أكتوبر'!$C$6),COUNT(X$4:X1054)+1,"")</f>
        <v/>
      </c>
      <c r="Y1055">
        <f>IF(AND($A1055&lt;&gt;"",$B1055&lt;&gt;"",$R1055='تقرير نوفمبر'!$C$4,$P1055='تقرير نوفمبر'!$C$6),COUNT(Y$4:Y1054)+1,"")</f>
        <v/>
      </c>
      <c r="Z1055">
        <f>IF(AND($A1055&lt;&gt;"",$B1055&lt;&gt;"",$R1055='تقرير ديسمبر'!$C$4,$P1055='تقرير ديسمبر'!$C$6),COUNT(Z$4:Z1054)+1,"")</f>
        <v/>
      </c>
      <c r="AA1055">
        <f>IF(AND($A1055&lt;&gt;"",$B1055&lt;&gt;"",$R1055='تقرير يناير'!$C$4,$P1055='تقرير يناير'!$C$6),COUNT(AA$4:AA1054)+1,"")</f>
        <v/>
      </c>
      <c r="AB1055">
        <f>IF(AND($A1055&lt;&gt;"",$B1055&lt;&gt;"",$R1055='تقرير فبراير'!$C$4,$P1055='تقرير فبراير'!$C$6),COUNT(AB$4:AB1054)+1,"")</f>
        <v/>
      </c>
      <c r="AC1055">
        <f>IF(AND($A1055&lt;&gt;"",$B1055&lt;&gt;"",$R1055='تقرير مارس'!$C$4,$P1055='تقرير مارس'!$C$6),COUNT(AC$4:AC1054)+1,"")</f>
        <v/>
      </c>
      <c r="AD1055">
        <f>IF(AND($A1055&lt;&gt;"",$B1055&lt;&gt;"",$R1055='تقرير أبريل'!$C$4,$P1055='تقرير أبريل'!$C$6),COUNT(AD$4:AD1054)+1,"")</f>
        <v/>
      </c>
      <c r="AE1055">
        <f>IF(AND($A1055&lt;&gt;"",$B1055&lt;&gt;"",$R1055='تقرير مايو'!$C$4,$P1055='تقرير مايو'!$C$6),COUNT(AE$4:AE1054)+1,"")</f>
        <v/>
      </c>
    </row>
    <row r="1056">
      <c r="A1056" s="16" t="n"/>
      <c r="B1056" s="17" t="n"/>
      <c r="C1056" s="17" t="n"/>
      <c r="D1056" s="18" t="n"/>
      <c r="E1056" s="17" t="n"/>
      <c r="F1056" s="17" t="n"/>
      <c r="G1056" s="19" t="n"/>
      <c r="H1056" s="17" t="n"/>
      <c r="I1056" s="17" t="n"/>
      <c r="J1056" s="17" t="n"/>
      <c r="K1056" s="20">
        <f>IF($B1056="","",IFERROR(INDEX(الموظفات!$A$5:$A$304,MATCH($B1056,الموظفات!$B$5:$B$304,0))&amp;"",""))</f>
        <v/>
      </c>
      <c r="L1056" s="21">
        <f>IF($B1056="","",IFERROR(INDEX(الموظفات!$C$5:$C$304,MATCH($B1056,الموظفات!$B$5:$B$304,0))&amp;"",""))</f>
        <v/>
      </c>
      <c r="M1056" s="20">
        <f>IF($B1056="","",IFERROR(INDEX(الموظفات!$D$5:$D$304,MATCH($B1056,الموظفات!$B$5:$B$304,0))&amp;"",""))</f>
        <v/>
      </c>
      <c r="N1056" s="20">
        <f>IF($B1056="","",IFERROR(INDEX(الموظفات!$E$5:$E$304,MATCH($B1056,الموظفات!$B$5:$B$304,0))&amp;"",""))</f>
        <v/>
      </c>
      <c r="O1056" s="21">
        <f>IF(C1056="","",IFERROR(INDEX(الإعدادات!$D$7:$D$35,MATCH(C1056,الإعدادات!$A$7:$A$35,0))&amp;"",""))</f>
        <v/>
      </c>
      <c r="P1056" s="20">
        <f>IF(A1056="","",INDEX(الإعدادات!$H$7:$H$18,MONTH(A1056)))</f>
        <v/>
      </c>
      <c r="Q1056" s="20">
        <f>IF(A1056="","",INDEX(الإعدادات!$I$7:$I$18,MONTH(A1056)))</f>
        <v/>
      </c>
      <c r="R1056" s="20">
        <f>IF(A1056="","",IF(MONTH(A1056)&gt;=8,YEAR(A1056)&amp;"-"&amp;(YEAR(A1056)+1),(YEAR(A1056)-1)&amp;"-"&amp;YEAR(A1056)))</f>
        <v/>
      </c>
      <c r="S1056" s="20">
        <f>IF(OR(A1056="",B1056=""),0,IF(AND(R1056=التقارير!$C$4,OR(التقارير!$C$5="سنوي",AND(التقارير!$C$5="شهري",P1056=التقارير!$C$6),AND(التقارير!$C$5="فصلي",Q1056=التقارير!$C$7))),1,0))</f>
        <v/>
      </c>
      <c r="T1056" s="20">
        <f>IF(S1056=1,COUNTIF($S$5:S1056,1),"")</f>
        <v/>
      </c>
      <c r="U1056">
        <f>IF(AND($A1056&lt;&gt;"",$B1056&lt;&gt;"",$R1056='تقرير الفصل الأول'!$C$4,$Q1056='تقرير الفصل الأول'!$C$7),COUNT(U$4:U1055)+1,"")</f>
        <v/>
      </c>
      <c r="V1056">
        <f>IF(AND($A1056&lt;&gt;"",$B1056&lt;&gt;"",$R1056='تقرير الفصل الثاني'!$C$4,$Q1056='تقرير الفصل الثاني'!$C$7),COUNT(V$4:V1055)+1,"")</f>
        <v/>
      </c>
      <c r="W1056">
        <f>IF(AND($A1056&lt;&gt;"",$B1056&lt;&gt;"",$R1056='تقرير سبتمبر'!$C$4,$P1056='تقرير سبتمبر'!$C$6),COUNT(W$4:W1055)+1,"")</f>
        <v/>
      </c>
      <c r="X1056">
        <f>IF(AND($A1056&lt;&gt;"",$B1056&lt;&gt;"",$R1056='تقرير أكتوبر'!$C$4,$P1056='تقرير أكتوبر'!$C$6),COUNT(X$4:X1055)+1,"")</f>
        <v/>
      </c>
      <c r="Y1056">
        <f>IF(AND($A1056&lt;&gt;"",$B1056&lt;&gt;"",$R1056='تقرير نوفمبر'!$C$4,$P1056='تقرير نوفمبر'!$C$6),COUNT(Y$4:Y1055)+1,"")</f>
        <v/>
      </c>
      <c r="Z1056">
        <f>IF(AND($A1056&lt;&gt;"",$B1056&lt;&gt;"",$R1056='تقرير ديسمبر'!$C$4,$P1056='تقرير ديسمبر'!$C$6),COUNT(Z$4:Z1055)+1,"")</f>
        <v/>
      </c>
      <c r="AA1056">
        <f>IF(AND($A1056&lt;&gt;"",$B1056&lt;&gt;"",$R1056='تقرير يناير'!$C$4,$P1056='تقرير يناير'!$C$6),COUNT(AA$4:AA1055)+1,"")</f>
        <v/>
      </c>
      <c r="AB1056">
        <f>IF(AND($A1056&lt;&gt;"",$B1056&lt;&gt;"",$R1056='تقرير فبراير'!$C$4,$P1056='تقرير فبراير'!$C$6),COUNT(AB$4:AB1055)+1,"")</f>
        <v/>
      </c>
      <c r="AC1056">
        <f>IF(AND($A1056&lt;&gt;"",$B1056&lt;&gt;"",$R1056='تقرير مارس'!$C$4,$P1056='تقرير مارس'!$C$6),COUNT(AC$4:AC1055)+1,"")</f>
        <v/>
      </c>
      <c r="AD1056">
        <f>IF(AND($A1056&lt;&gt;"",$B1056&lt;&gt;"",$R1056='تقرير أبريل'!$C$4,$P1056='تقرير أبريل'!$C$6),COUNT(AD$4:AD1055)+1,"")</f>
        <v/>
      </c>
      <c r="AE1056">
        <f>IF(AND($A1056&lt;&gt;"",$B1056&lt;&gt;"",$R1056='تقرير مايو'!$C$4,$P1056='تقرير مايو'!$C$6),COUNT(AE$4:AE1055)+1,"")</f>
        <v/>
      </c>
    </row>
    <row r="1057">
      <c r="A1057" s="16" t="n"/>
      <c r="B1057" s="17" t="n"/>
      <c r="C1057" s="17" t="n"/>
      <c r="D1057" s="18" t="n"/>
      <c r="E1057" s="17" t="n"/>
      <c r="F1057" s="17" t="n"/>
      <c r="G1057" s="19" t="n"/>
      <c r="H1057" s="17" t="n"/>
      <c r="I1057" s="17" t="n"/>
      <c r="J1057" s="17" t="n"/>
      <c r="K1057" s="20">
        <f>IF($B1057="","",IFERROR(INDEX(الموظفات!$A$5:$A$304,MATCH($B1057,الموظفات!$B$5:$B$304,0))&amp;"",""))</f>
        <v/>
      </c>
      <c r="L1057" s="21">
        <f>IF($B1057="","",IFERROR(INDEX(الموظفات!$C$5:$C$304,MATCH($B1057,الموظفات!$B$5:$B$304,0))&amp;"",""))</f>
        <v/>
      </c>
      <c r="M1057" s="20">
        <f>IF($B1057="","",IFERROR(INDEX(الموظفات!$D$5:$D$304,MATCH($B1057,الموظفات!$B$5:$B$304,0))&amp;"",""))</f>
        <v/>
      </c>
      <c r="N1057" s="20">
        <f>IF($B1057="","",IFERROR(INDEX(الموظفات!$E$5:$E$304,MATCH($B1057,الموظفات!$B$5:$B$304,0))&amp;"",""))</f>
        <v/>
      </c>
      <c r="O1057" s="21">
        <f>IF(C1057="","",IFERROR(INDEX(الإعدادات!$D$7:$D$35,MATCH(C1057,الإعدادات!$A$7:$A$35,0))&amp;"",""))</f>
        <v/>
      </c>
      <c r="P1057" s="20">
        <f>IF(A1057="","",INDEX(الإعدادات!$H$7:$H$18,MONTH(A1057)))</f>
        <v/>
      </c>
      <c r="Q1057" s="20">
        <f>IF(A1057="","",INDEX(الإعدادات!$I$7:$I$18,MONTH(A1057)))</f>
        <v/>
      </c>
      <c r="R1057" s="20">
        <f>IF(A1057="","",IF(MONTH(A1057)&gt;=8,YEAR(A1057)&amp;"-"&amp;(YEAR(A1057)+1),(YEAR(A1057)-1)&amp;"-"&amp;YEAR(A1057)))</f>
        <v/>
      </c>
      <c r="S1057" s="20">
        <f>IF(OR(A1057="",B1057=""),0,IF(AND(R1057=التقارير!$C$4,OR(التقارير!$C$5="سنوي",AND(التقارير!$C$5="شهري",P1057=التقارير!$C$6),AND(التقارير!$C$5="فصلي",Q1057=التقارير!$C$7))),1,0))</f>
        <v/>
      </c>
      <c r="T1057" s="20">
        <f>IF(S1057=1,COUNTIF($S$5:S1057,1),"")</f>
        <v/>
      </c>
      <c r="U1057">
        <f>IF(AND($A1057&lt;&gt;"",$B1057&lt;&gt;"",$R1057='تقرير الفصل الأول'!$C$4,$Q1057='تقرير الفصل الأول'!$C$7),COUNT(U$4:U1056)+1,"")</f>
        <v/>
      </c>
      <c r="V1057">
        <f>IF(AND($A1057&lt;&gt;"",$B1057&lt;&gt;"",$R1057='تقرير الفصل الثاني'!$C$4,$Q1057='تقرير الفصل الثاني'!$C$7),COUNT(V$4:V1056)+1,"")</f>
        <v/>
      </c>
      <c r="W1057">
        <f>IF(AND($A1057&lt;&gt;"",$B1057&lt;&gt;"",$R1057='تقرير سبتمبر'!$C$4,$P1057='تقرير سبتمبر'!$C$6),COUNT(W$4:W1056)+1,"")</f>
        <v/>
      </c>
      <c r="X1057">
        <f>IF(AND($A1057&lt;&gt;"",$B1057&lt;&gt;"",$R1057='تقرير أكتوبر'!$C$4,$P1057='تقرير أكتوبر'!$C$6),COUNT(X$4:X1056)+1,"")</f>
        <v/>
      </c>
      <c r="Y1057">
        <f>IF(AND($A1057&lt;&gt;"",$B1057&lt;&gt;"",$R1057='تقرير نوفمبر'!$C$4,$P1057='تقرير نوفمبر'!$C$6),COUNT(Y$4:Y1056)+1,"")</f>
        <v/>
      </c>
      <c r="Z1057">
        <f>IF(AND($A1057&lt;&gt;"",$B1057&lt;&gt;"",$R1057='تقرير ديسمبر'!$C$4,$P1057='تقرير ديسمبر'!$C$6),COUNT(Z$4:Z1056)+1,"")</f>
        <v/>
      </c>
      <c r="AA1057">
        <f>IF(AND($A1057&lt;&gt;"",$B1057&lt;&gt;"",$R1057='تقرير يناير'!$C$4,$P1057='تقرير يناير'!$C$6),COUNT(AA$4:AA1056)+1,"")</f>
        <v/>
      </c>
      <c r="AB1057">
        <f>IF(AND($A1057&lt;&gt;"",$B1057&lt;&gt;"",$R1057='تقرير فبراير'!$C$4,$P1057='تقرير فبراير'!$C$6),COUNT(AB$4:AB1056)+1,"")</f>
        <v/>
      </c>
      <c r="AC1057">
        <f>IF(AND($A1057&lt;&gt;"",$B1057&lt;&gt;"",$R1057='تقرير مارس'!$C$4,$P1057='تقرير مارس'!$C$6),COUNT(AC$4:AC1056)+1,"")</f>
        <v/>
      </c>
      <c r="AD1057">
        <f>IF(AND($A1057&lt;&gt;"",$B1057&lt;&gt;"",$R1057='تقرير أبريل'!$C$4,$P1057='تقرير أبريل'!$C$6),COUNT(AD$4:AD1056)+1,"")</f>
        <v/>
      </c>
      <c r="AE1057">
        <f>IF(AND($A1057&lt;&gt;"",$B1057&lt;&gt;"",$R1057='تقرير مايو'!$C$4,$P1057='تقرير مايو'!$C$6),COUNT(AE$4:AE1056)+1,"")</f>
        <v/>
      </c>
    </row>
    <row r="1058">
      <c r="A1058" s="16" t="n"/>
      <c r="B1058" s="17" t="n"/>
      <c r="C1058" s="17" t="n"/>
      <c r="D1058" s="18" t="n"/>
      <c r="E1058" s="17" t="n"/>
      <c r="F1058" s="17" t="n"/>
      <c r="G1058" s="19" t="n"/>
      <c r="H1058" s="17" t="n"/>
      <c r="I1058" s="17" t="n"/>
      <c r="J1058" s="17" t="n"/>
      <c r="K1058" s="20">
        <f>IF($B1058="","",IFERROR(INDEX(الموظفات!$A$5:$A$304,MATCH($B1058,الموظفات!$B$5:$B$304,0))&amp;"",""))</f>
        <v/>
      </c>
      <c r="L1058" s="21">
        <f>IF($B1058="","",IFERROR(INDEX(الموظفات!$C$5:$C$304,MATCH($B1058,الموظفات!$B$5:$B$304,0))&amp;"",""))</f>
        <v/>
      </c>
      <c r="M1058" s="20">
        <f>IF($B1058="","",IFERROR(INDEX(الموظفات!$D$5:$D$304,MATCH($B1058,الموظفات!$B$5:$B$304,0))&amp;"",""))</f>
        <v/>
      </c>
      <c r="N1058" s="20">
        <f>IF($B1058="","",IFERROR(INDEX(الموظفات!$E$5:$E$304,MATCH($B1058,الموظفات!$B$5:$B$304,0))&amp;"",""))</f>
        <v/>
      </c>
      <c r="O1058" s="21">
        <f>IF(C1058="","",IFERROR(INDEX(الإعدادات!$D$7:$D$35,MATCH(C1058,الإعدادات!$A$7:$A$35,0))&amp;"",""))</f>
        <v/>
      </c>
      <c r="P1058" s="20">
        <f>IF(A1058="","",INDEX(الإعدادات!$H$7:$H$18,MONTH(A1058)))</f>
        <v/>
      </c>
      <c r="Q1058" s="20">
        <f>IF(A1058="","",INDEX(الإعدادات!$I$7:$I$18,MONTH(A1058)))</f>
        <v/>
      </c>
      <c r="R1058" s="20">
        <f>IF(A1058="","",IF(MONTH(A1058)&gt;=8,YEAR(A1058)&amp;"-"&amp;(YEAR(A1058)+1),(YEAR(A1058)-1)&amp;"-"&amp;YEAR(A1058)))</f>
        <v/>
      </c>
      <c r="S1058" s="20">
        <f>IF(OR(A1058="",B1058=""),0,IF(AND(R1058=التقارير!$C$4,OR(التقارير!$C$5="سنوي",AND(التقارير!$C$5="شهري",P1058=التقارير!$C$6),AND(التقارير!$C$5="فصلي",Q1058=التقارير!$C$7))),1,0))</f>
        <v/>
      </c>
      <c r="T1058" s="20">
        <f>IF(S1058=1,COUNTIF($S$5:S1058,1),"")</f>
        <v/>
      </c>
      <c r="U1058">
        <f>IF(AND($A1058&lt;&gt;"",$B1058&lt;&gt;"",$R1058='تقرير الفصل الأول'!$C$4,$Q1058='تقرير الفصل الأول'!$C$7),COUNT(U$4:U1057)+1,"")</f>
        <v/>
      </c>
      <c r="V1058">
        <f>IF(AND($A1058&lt;&gt;"",$B1058&lt;&gt;"",$R1058='تقرير الفصل الثاني'!$C$4,$Q1058='تقرير الفصل الثاني'!$C$7),COUNT(V$4:V1057)+1,"")</f>
        <v/>
      </c>
      <c r="W1058">
        <f>IF(AND($A1058&lt;&gt;"",$B1058&lt;&gt;"",$R1058='تقرير سبتمبر'!$C$4,$P1058='تقرير سبتمبر'!$C$6),COUNT(W$4:W1057)+1,"")</f>
        <v/>
      </c>
      <c r="X1058">
        <f>IF(AND($A1058&lt;&gt;"",$B1058&lt;&gt;"",$R1058='تقرير أكتوبر'!$C$4,$P1058='تقرير أكتوبر'!$C$6),COUNT(X$4:X1057)+1,"")</f>
        <v/>
      </c>
      <c r="Y1058">
        <f>IF(AND($A1058&lt;&gt;"",$B1058&lt;&gt;"",$R1058='تقرير نوفمبر'!$C$4,$P1058='تقرير نوفمبر'!$C$6),COUNT(Y$4:Y1057)+1,"")</f>
        <v/>
      </c>
      <c r="Z1058">
        <f>IF(AND($A1058&lt;&gt;"",$B1058&lt;&gt;"",$R1058='تقرير ديسمبر'!$C$4,$P1058='تقرير ديسمبر'!$C$6),COUNT(Z$4:Z1057)+1,"")</f>
        <v/>
      </c>
      <c r="AA1058">
        <f>IF(AND($A1058&lt;&gt;"",$B1058&lt;&gt;"",$R1058='تقرير يناير'!$C$4,$P1058='تقرير يناير'!$C$6),COUNT(AA$4:AA1057)+1,"")</f>
        <v/>
      </c>
      <c r="AB1058">
        <f>IF(AND($A1058&lt;&gt;"",$B1058&lt;&gt;"",$R1058='تقرير فبراير'!$C$4,$P1058='تقرير فبراير'!$C$6),COUNT(AB$4:AB1057)+1,"")</f>
        <v/>
      </c>
      <c r="AC1058">
        <f>IF(AND($A1058&lt;&gt;"",$B1058&lt;&gt;"",$R1058='تقرير مارس'!$C$4,$P1058='تقرير مارس'!$C$6),COUNT(AC$4:AC1057)+1,"")</f>
        <v/>
      </c>
      <c r="AD1058">
        <f>IF(AND($A1058&lt;&gt;"",$B1058&lt;&gt;"",$R1058='تقرير أبريل'!$C$4,$P1058='تقرير أبريل'!$C$6),COUNT(AD$4:AD1057)+1,"")</f>
        <v/>
      </c>
      <c r="AE1058">
        <f>IF(AND($A1058&lt;&gt;"",$B1058&lt;&gt;"",$R1058='تقرير مايو'!$C$4,$P1058='تقرير مايو'!$C$6),COUNT(AE$4:AE1057)+1,"")</f>
        <v/>
      </c>
    </row>
    <row r="1059">
      <c r="A1059" s="16" t="n"/>
      <c r="B1059" s="17" t="n"/>
      <c r="C1059" s="17" t="n"/>
      <c r="D1059" s="18" t="n"/>
      <c r="E1059" s="17" t="n"/>
      <c r="F1059" s="17" t="n"/>
      <c r="G1059" s="19" t="n"/>
      <c r="H1059" s="17" t="n"/>
      <c r="I1059" s="17" t="n"/>
      <c r="J1059" s="17" t="n"/>
      <c r="K1059" s="20">
        <f>IF($B1059="","",IFERROR(INDEX(الموظفات!$A$5:$A$304,MATCH($B1059,الموظفات!$B$5:$B$304,0))&amp;"",""))</f>
        <v/>
      </c>
      <c r="L1059" s="21">
        <f>IF($B1059="","",IFERROR(INDEX(الموظفات!$C$5:$C$304,MATCH($B1059,الموظفات!$B$5:$B$304,0))&amp;"",""))</f>
        <v/>
      </c>
      <c r="M1059" s="20">
        <f>IF($B1059="","",IFERROR(INDEX(الموظفات!$D$5:$D$304,MATCH($B1059,الموظفات!$B$5:$B$304,0))&amp;"",""))</f>
        <v/>
      </c>
      <c r="N1059" s="20">
        <f>IF($B1059="","",IFERROR(INDEX(الموظفات!$E$5:$E$304,MATCH($B1059,الموظفات!$B$5:$B$304,0))&amp;"",""))</f>
        <v/>
      </c>
      <c r="O1059" s="21">
        <f>IF(C1059="","",IFERROR(INDEX(الإعدادات!$D$7:$D$35,MATCH(C1059,الإعدادات!$A$7:$A$35,0))&amp;"",""))</f>
        <v/>
      </c>
      <c r="P1059" s="20">
        <f>IF(A1059="","",INDEX(الإعدادات!$H$7:$H$18,MONTH(A1059)))</f>
        <v/>
      </c>
      <c r="Q1059" s="20">
        <f>IF(A1059="","",INDEX(الإعدادات!$I$7:$I$18,MONTH(A1059)))</f>
        <v/>
      </c>
      <c r="R1059" s="20">
        <f>IF(A1059="","",IF(MONTH(A1059)&gt;=8,YEAR(A1059)&amp;"-"&amp;(YEAR(A1059)+1),(YEAR(A1059)-1)&amp;"-"&amp;YEAR(A1059)))</f>
        <v/>
      </c>
      <c r="S1059" s="20">
        <f>IF(OR(A1059="",B1059=""),0,IF(AND(R1059=التقارير!$C$4,OR(التقارير!$C$5="سنوي",AND(التقارير!$C$5="شهري",P1059=التقارير!$C$6),AND(التقارير!$C$5="فصلي",Q1059=التقارير!$C$7))),1,0))</f>
        <v/>
      </c>
      <c r="T1059" s="20">
        <f>IF(S1059=1,COUNTIF($S$5:S1059,1),"")</f>
        <v/>
      </c>
      <c r="U1059">
        <f>IF(AND($A1059&lt;&gt;"",$B1059&lt;&gt;"",$R1059='تقرير الفصل الأول'!$C$4,$Q1059='تقرير الفصل الأول'!$C$7),COUNT(U$4:U1058)+1,"")</f>
        <v/>
      </c>
      <c r="V1059">
        <f>IF(AND($A1059&lt;&gt;"",$B1059&lt;&gt;"",$R1059='تقرير الفصل الثاني'!$C$4,$Q1059='تقرير الفصل الثاني'!$C$7),COUNT(V$4:V1058)+1,"")</f>
        <v/>
      </c>
      <c r="W1059">
        <f>IF(AND($A1059&lt;&gt;"",$B1059&lt;&gt;"",$R1059='تقرير سبتمبر'!$C$4,$P1059='تقرير سبتمبر'!$C$6),COUNT(W$4:W1058)+1,"")</f>
        <v/>
      </c>
      <c r="X1059">
        <f>IF(AND($A1059&lt;&gt;"",$B1059&lt;&gt;"",$R1059='تقرير أكتوبر'!$C$4,$P1059='تقرير أكتوبر'!$C$6),COUNT(X$4:X1058)+1,"")</f>
        <v/>
      </c>
      <c r="Y1059">
        <f>IF(AND($A1059&lt;&gt;"",$B1059&lt;&gt;"",$R1059='تقرير نوفمبر'!$C$4,$P1059='تقرير نوفمبر'!$C$6),COUNT(Y$4:Y1058)+1,"")</f>
        <v/>
      </c>
      <c r="Z1059">
        <f>IF(AND($A1059&lt;&gt;"",$B1059&lt;&gt;"",$R1059='تقرير ديسمبر'!$C$4,$P1059='تقرير ديسمبر'!$C$6),COUNT(Z$4:Z1058)+1,"")</f>
        <v/>
      </c>
      <c r="AA1059">
        <f>IF(AND($A1059&lt;&gt;"",$B1059&lt;&gt;"",$R1059='تقرير يناير'!$C$4,$P1059='تقرير يناير'!$C$6),COUNT(AA$4:AA1058)+1,"")</f>
        <v/>
      </c>
      <c r="AB1059">
        <f>IF(AND($A1059&lt;&gt;"",$B1059&lt;&gt;"",$R1059='تقرير فبراير'!$C$4,$P1059='تقرير فبراير'!$C$6),COUNT(AB$4:AB1058)+1,"")</f>
        <v/>
      </c>
      <c r="AC1059">
        <f>IF(AND($A1059&lt;&gt;"",$B1059&lt;&gt;"",$R1059='تقرير مارس'!$C$4,$P1059='تقرير مارس'!$C$6),COUNT(AC$4:AC1058)+1,"")</f>
        <v/>
      </c>
      <c r="AD1059">
        <f>IF(AND($A1059&lt;&gt;"",$B1059&lt;&gt;"",$R1059='تقرير أبريل'!$C$4,$P1059='تقرير أبريل'!$C$6),COUNT(AD$4:AD1058)+1,"")</f>
        <v/>
      </c>
      <c r="AE1059">
        <f>IF(AND($A1059&lt;&gt;"",$B1059&lt;&gt;"",$R1059='تقرير مايو'!$C$4,$P1059='تقرير مايو'!$C$6),COUNT(AE$4:AE1058)+1,"")</f>
        <v/>
      </c>
    </row>
    <row r="1060">
      <c r="A1060" s="16" t="n"/>
      <c r="B1060" s="17" t="n"/>
      <c r="C1060" s="17" t="n"/>
      <c r="D1060" s="18" t="n"/>
      <c r="E1060" s="17" t="n"/>
      <c r="F1060" s="17" t="n"/>
      <c r="G1060" s="19" t="n"/>
      <c r="H1060" s="17" t="n"/>
      <c r="I1060" s="17" t="n"/>
      <c r="J1060" s="17" t="n"/>
      <c r="K1060" s="20">
        <f>IF($B1060="","",IFERROR(INDEX(الموظفات!$A$5:$A$304,MATCH($B1060,الموظفات!$B$5:$B$304,0))&amp;"",""))</f>
        <v/>
      </c>
      <c r="L1060" s="21">
        <f>IF($B1060="","",IFERROR(INDEX(الموظفات!$C$5:$C$304,MATCH($B1060,الموظفات!$B$5:$B$304,0))&amp;"",""))</f>
        <v/>
      </c>
      <c r="M1060" s="20">
        <f>IF($B1060="","",IFERROR(INDEX(الموظفات!$D$5:$D$304,MATCH($B1060,الموظفات!$B$5:$B$304,0))&amp;"",""))</f>
        <v/>
      </c>
      <c r="N1060" s="20">
        <f>IF($B1060="","",IFERROR(INDEX(الموظفات!$E$5:$E$304,MATCH($B1060,الموظفات!$B$5:$B$304,0))&amp;"",""))</f>
        <v/>
      </c>
      <c r="O1060" s="21">
        <f>IF(C1060="","",IFERROR(INDEX(الإعدادات!$D$7:$D$35,MATCH(C1060,الإعدادات!$A$7:$A$35,0))&amp;"",""))</f>
        <v/>
      </c>
      <c r="P1060" s="20">
        <f>IF(A1060="","",INDEX(الإعدادات!$H$7:$H$18,MONTH(A1060)))</f>
        <v/>
      </c>
      <c r="Q1060" s="20">
        <f>IF(A1060="","",INDEX(الإعدادات!$I$7:$I$18,MONTH(A1060)))</f>
        <v/>
      </c>
      <c r="R1060" s="20">
        <f>IF(A1060="","",IF(MONTH(A1060)&gt;=8,YEAR(A1060)&amp;"-"&amp;(YEAR(A1060)+1),(YEAR(A1060)-1)&amp;"-"&amp;YEAR(A1060)))</f>
        <v/>
      </c>
      <c r="S1060" s="20">
        <f>IF(OR(A1060="",B1060=""),0,IF(AND(R1060=التقارير!$C$4,OR(التقارير!$C$5="سنوي",AND(التقارير!$C$5="شهري",P1060=التقارير!$C$6),AND(التقارير!$C$5="فصلي",Q1060=التقارير!$C$7))),1,0))</f>
        <v/>
      </c>
      <c r="T1060" s="20">
        <f>IF(S1060=1,COUNTIF($S$5:S1060,1),"")</f>
        <v/>
      </c>
      <c r="U1060">
        <f>IF(AND($A1060&lt;&gt;"",$B1060&lt;&gt;"",$R1060='تقرير الفصل الأول'!$C$4,$Q1060='تقرير الفصل الأول'!$C$7),COUNT(U$4:U1059)+1,"")</f>
        <v/>
      </c>
      <c r="V1060">
        <f>IF(AND($A1060&lt;&gt;"",$B1060&lt;&gt;"",$R1060='تقرير الفصل الثاني'!$C$4,$Q1060='تقرير الفصل الثاني'!$C$7),COUNT(V$4:V1059)+1,"")</f>
        <v/>
      </c>
      <c r="W1060">
        <f>IF(AND($A1060&lt;&gt;"",$B1060&lt;&gt;"",$R1060='تقرير سبتمبر'!$C$4,$P1060='تقرير سبتمبر'!$C$6),COUNT(W$4:W1059)+1,"")</f>
        <v/>
      </c>
      <c r="X1060">
        <f>IF(AND($A1060&lt;&gt;"",$B1060&lt;&gt;"",$R1060='تقرير أكتوبر'!$C$4,$P1060='تقرير أكتوبر'!$C$6),COUNT(X$4:X1059)+1,"")</f>
        <v/>
      </c>
      <c r="Y1060">
        <f>IF(AND($A1060&lt;&gt;"",$B1060&lt;&gt;"",$R1060='تقرير نوفمبر'!$C$4,$P1060='تقرير نوفمبر'!$C$6),COUNT(Y$4:Y1059)+1,"")</f>
        <v/>
      </c>
      <c r="Z1060">
        <f>IF(AND($A1060&lt;&gt;"",$B1060&lt;&gt;"",$R1060='تقرير ديسمبر'!$C$4,$P1060='تقرير ديسمبر'!$C$6),COUNT(Z$4:Z1059)+1,"")</f>
        <v/>
      </c>
      <c r="AA1060">
        <f>IF(AND($A1060&lt;&gt;"",$B1060&lt;&gt;"",$R1060='تقرير يناير'!$C$4,$P1060='تقرير يناير'!$C$6),COUNT(AA$4:AA1059)+1,"")</f>
        <v/>
      </c>
      <c r="AB1060">
        <f>IF(AND($A1060&lt;&gt;"",$B1060&lt;&gt;"",$R1060='تقرير فبراير'!$C$4,$P1060='تقرير فبراير'!$C$6),COUNT(AB$4:AB1059)+1,"")</f>
        <v/>
      </c>
      <c r="AC1060">
        <f>IF(AND($A1060&lt;&gt;"",$B1060&lt;&gt;"",$R1060='تقرير مارس'!$C$4,$P1060='تقرير مارس'!$C$6),COUNT(AC$4:AC1059)+1,"")</f>
        <v/>
      </c>
      <c r="AD1060">
        <f>IF(AND($A1060&lt;&gt;"",$B1060&lt;&gt;"",$R1060='تقرير أبريل'!$C$4,$P1060='تقرير أبريل'!$C$6),COUNT(AD$4:AD1059)+1,"")</f>
        <v/>
      </c>
      <c r="AE1060">
        <f>IF(AND($A1060&lt;&gt;"",$B1060&lt;&gt;"",$R1060='تقرير مايو'!$C$4,$P1060='تقرير مايو'!$C$6),COUNT(AE$4:AE1059)+1,"")</f>
        <v/>
      </c>
    </row>
    <row r="1061">
      <c r="A1061" s="16" t="n"/>
      <c r="B1061" s="17" t="n"/>
      <c r="C1061" s="17" t="n"/>
      <c r="D1061" s="18" t="n"/>
      <c r="E1061" s="17" t="n"/>
      <c r="F1061" s="17" t="n"/>
      <c r="G1061" s="19" t="n"/>
      <c r="H1061" s="17" t="n"/>
      <c r="I1061" s="17" t="n"/>
      <c r="J1061" s="17" t="n"/>
      <c r="K1061" s="20">
        <f>IF($B1061="","",IFERROR(INDEX(الموظفات!$A$5:$A$304,MATCH($B1061,الموظفات!$B$5:$B$304,0))&amp;"",""))</f>
        <v/>
      </c>
      <c r="L1061" s="21">
        <f>IF($B1061="","",IFERROR(INDEX(الموظفات!$C$5:$C$304,MATCH($B1061,الموظفات!$B$5:$B$304,0))&amp;"",""))</f>
        <v/>
      </c>
      <c r="M1061" s="20">
        <f>IF($B1061="","",IFERROR(INDEX(الموظفات!$D$5:$D$304,MATCH($B1061,الموظفات!$B$5:$B$304,0))&amp;"",""))</f>
        <v/>
      </c>
      <c r="N1061" s="20">
        <f>IF($B1061="","",IFERROR(INDEX(الموظفات!$E$5:$E$304,MATCH($B1061,الموظفات!$B$5:$B$304,0))&amp;"",""))</f>
        <v/>
      </c>
      <c r="O1061" s="21">
        <f>IF(C1061="","",IFERROR(INDEX(الإعدادات!$D$7:$D$35,MATCH(C1061,الإعدادات!$A$7:$A$35,0))&amp;"",""))</f>
        <v/>
      </c>
      <c r="P1061" s="20">
        <f>IF(A1061="","",INDEX(الإعدادات!$H$7:$H$18,MONTH(A1061)))</f>
        <v/>
      </c>
      <c r="Q1061" s="20">
        <f>IF(A1061="","",INDEX(الإعدادات!$I$7:$I$18,MONTH(A1061)))</f>
        <v/>
      </c>
      <c r="R1061" s="20">
        <f>IF(A1061="","",IF(MONTH(A1061)&gt;=8,YEAR(A1061)&amp;"-"&amp;(YEAR(A1061)+1),(YEAR(A1061)-1)&amp;"-"&amp;YEAR(A1061)))</f>
        <v/>
      </c>
      <c r="S1061" s="20">
        <f>IF(OR(A1061="",B1061=""),0,IF(AND(R1061=التقارير!$C$4,OR(التقارير!$C$5="سنوي",AND(التقارير!$C$5="شهري",P1061=التقارير!$C$6),AND(التقارير!$C$5="فصلي",Q1061=التقارير!$C$7))),1,0))</f>
        <v/>
      </c>
      <c r="T1061" s="20">
        <f>IF(S1061=1,COUNTIF($S$5:S1061,1),"")</f>
        <v/>
      </c>
      <c r="U1061">
        <f>IF(AND($A1061&lt;&gt;"",$B1061&lt;&gt;"",$R1061='تقرير الفصل الأول'!$C$4,$Q1061='تقرير الفصل الأول'!$C$7),COUNT(U$4:U1060)+1,"")</f>
        <v/>
      </c>
      <c r="V1061">
        <f>IF(AND($A1061&lt;&gt;"",$B1061&lt;&gt;"",$R1061='تقرير الفصل الثاني'!$C$4,$Q1061='تقرير الفصل الثاني'!$C$7),COUNT(V$4:V1060)+1,"")</f>
        <v/>
      </c>
      <c r="W1061">
        <f>IF(AND($A1061&lt;&gt;"",$B1061&lt;&gt;"",$R1061='تقرير سبتمبر'!$C$4,$P1061='تقرير سبتمبر'!$C$6),COUNT(W$4:W1060)+1,"")</f>
        <v/>
      </c>
      <c r="X1061">
        <f>IF(AND($A1061&lt;&gt;"",$B1061&lt;&gt;"",$R1061='تقرير أكتوبر'!$C$4,$P1061='تقرير أكتوبر'!$C$6),COUNT(X$4:X1060)+1,"")</f>
        <v/>
      </c>
      <c r="Y1061">
        <f>IF(AND($A1061&lt;&gt;"",$B1061&lt;&gt;"",$R1061='تقرير نوفمبر'!$C$4,$P1061='تقرير نوفمبر'!$C$6),COUNT(Y$4:Y1060)+1,"")</f>
        <v/>
      </c>
      <c r="Z1061">
        <f>IF(AND($A1061&lt;&gt;"",$B1061&lt;&gt;"",$R1061='تقرير ديسمبر'!$C$4,$P1061='تقرير ديسمبر'!$C$6),COUNT(Z$4:Z1060)+1,"")</f>
        <v/>
      </c>
      <c r="AA1061">
        <f>IF(AND($A1061&lt;&gt;"",$B1061&lt;&gt;"",$R1061='تقرير يناير'!$C$4,$P1061='تقرير يناير'!$C$6),COUNT(AA$4:AA1060)+1,"")</f>
        <v/>
      </c>
      <c r="AB1061">
        <f>IF(AND($A1061&lt;&gt;"",$B1061&lt;&gt;"",$R1061='تقرير فبراير'!$C$4,$P1061='تقرير فبراير'!$C$6),COUNT(AB$4:AB1060)+1,"")</f>
        <v/>
      </c>
      <c r="AC1061">
        <f>IF(AND($A1061&lt;&gt;"",$B1061&lt;&gt;"",$R1061='تقرير مارس'!$C$4,$P1061='تقرير مارس'!$C$6),COUNT(AC$4:AC1060)+1,"")</f>
        <v/>
      </c>
      <c r="AD1061">
        <f>IF(AND($A1061&lt;&gt;"",$B1061&lt;&gt;"",$R1061='تقرير أبريل'!$C$4,$P1061='تقرير أبريل'!$C$6),COUNT(AD$4:AD1060)+1,"")</f>
        <v/>
      </c>
      <c r="AE1061">
        <f>IF(AND($A1061&lt;&gt;"",$B1061&lt;&gt;"",$R1061='تقرير مايو'!$C$4,$P1061='تقرير مايو'!$C$6),COUNT(AE$4:AE1060)+1,"")</f>
        <v/>
      </c>
    </row>
    <row r="1062">
      <c r="A1062" s="16" t="n"/>
      <c r="B1062" s="17" t="n"/>
      <c r="C1062" s="17" t="n"/>
      <c r="D1062" s="18" t="n"/>
      <c r="E1062" s="17" t="n"/>
      <c r="F1062" s="17" t="n"/>
      <c r="G1062" s="19" t="n"/>
      <c r="H1062" s="17" t="n"/>
      <c r="I1062" s="17" t="n"/>
      <c r="J1062" s="17" t="n"/>
      <c r="K1062" s="20">
        <f>IF($B1062="","",IFERROR(INDEX(الموظفات!$A$5:$A$304,MATCH($B1062,الموظفات!$B$5:$B$304,0))&amp;"",""))</f>
        <v/>
      </c>
      <c r="L1062" s="21">
        <f>IF($B1062="","",IFERROR(INDEX(الموظفات!$C$5:$C$304,MATCH($B1062,الموظفات!$B$5:$B$304,0))&amp;"",""))</f>
        <v/>
      </c>
      <c r="M1062" s="20">
        <f>IF($B1062="","",IFERROR(INDEX(الموظفات!$D$5:$D$304,MATCH($B1062,الموظفات!$B$5:$B$304,0))&amp;"",""))</f>
        <v/>
      </c>
      <c r="N1062" s="20">
        <f>IF($B1062="","",IFERROR(INDEX(الموظفات!$E$5:$E$304,MATCH($B1062,الموظفات!$B$5:$B$304,0))&amp;"",""))</f>
        <v/>
      </c>
      <c r="O1062" s="21">
        <f>IF(C1062="","",IFERROR(INDEX(الإعدادات!$D$7:$D$35,MATCH(C1062,الإعدادات!$A$7:$A$35,0))&amp;"",""))</f>
        <v/>
      </c>
      <c r="P1062" s="20">
        <f>IF(A1062="","",INDEX(الإعدادات!$H$7:$H$18,MONTH(A1062)))</f>
        <v/>
      </c>
      <c r="Q1062" s="20">
        <f>IF(A1062="","",INDEX(الإعدادات!$I$7:$I$18,MONTH(A1062)))</f>
        <v/>
      </c>
      <c r="R1062" s="20">
        <f>IF(A1062="","",IF(MONTH(A1062)&gt;=8,YEAR(A1062)&amp;"-"&amp;(YEAR(A1062)+1),(YEAR(A1062)-1)&amp;"-"&amp;YEAR(A1062)))</f>
        <v/>
      </c>
      <c r="S1062" s="20">
        <f>IF(OR(A1062="",B1062=""),0,IF(AND(R1062=التقارير!$C$4,OR(التقارير!$C$5="سنوي",AND(التقارير!$C$5="شهري",P1062=التقارير!$C$6),AND(التقارير!$C$5="فصلي",Q1062=التقارير!$C$7))),1,0))</f>
        <v/>
      </c>
      <c r="T1062" s="20">
        <f>IF(S1062=1,COUNTIF($S$5:S1062,1),"")</f>
        <v/>
      </c>
      <c r="U1062">
        <f>IF(AND($A1062&lt;&gt;"",$B1062&lt;&gt;"",$R1062='تقرير الفصل الأول'!$C$4,$Q1062='تقرير الفصل الأول'!$C$7),COUNT(U$4:U1061)+1,"")</f>
        <v/>
      </c>
      <c r="V1062">
        <f>IF(AND($A1062&lt;&gt;"",$B1062&lt;&gt;"",$R1062='تقرير الفصل الثاني'!$C$4,$Q1062='تقرير الفصل الثاني'!$C$7),COUNT(V$4:V1061)+1,"")</f>
        <v/>
      </c>
      <c r="W1062">
        <f>IF(AND($A1062&lt;&gt;"",$B1062&lt;&gt;"",$R1062='تقرير سبتمبر'!$C$4,$P1062='تقرير سبتمبر'!$C$6),COUNT(W$4:W1061)+1,"")</f>
        <v/>
      </c>
      <c r="X1062">
        <f>IF(AND($A1062&lt;&gt;"",$B1062&lt;&gt;"",$R1062='تقرير أكتوبر'!$C$4,$P1062='تقرير أكتوبر'!$C$6),COUNT(X$4:X1061)+1,"")</f>
        <v/>
      </c>
      <c r="Y1062">
        <f>IF(AND($A1062&lt;&gt;"",$B1062&lt;&gt;"",$R1062='تقرير نوفمبر'!$C$4,$P1062='تقرير نوفمبر'!$C$6),COUNT(Y$4:Y1061)+1,"")</f>
        <v/>
      </c>
      <c r="Z1062">
        <f>IF(AND($A1062&lt;&gt;"",$B1062&lt;&gt;"",$R1062='تقرير ديسمبر'!$C$4,$P1062='تقرير ديسمبر'!$C$6),COUNT(Z$4:Z1061)+1,"")</f>
        <v/>
      </c>
      <c r="AA1062">
        <f>IF(AND($A1062&lt;&gt;"",$B1062&lt;&gt;"",$R1062='تقرير يناير'!$C$4,$P1062='تقرير يناير'!$C$6),COUNT(AA$4:AA1061)+1,"")</f>
        <v/>
      </c>
      <c r="AB1062">
        <f>IF(AND($A1062&lt;&gt;"",$B1062&lt;&gt;"",$R1062='تقرير فبراير'!$C$4,$P1062='تقرير فبراير'!$C$6),COUNT(AB$4:AB1061)+1,"")</f>
        <v/>
      </c>
      <c r="AC1062">
        <f>IF(AND($A1062&lt;&gt;"",$B1062&lt;&gt;"",$R1062='تقرير مارس'!$C$4,$P1062='تقرير مارس'!$C$6),COUNT(AC$4:AC1061)+1,"")</f>
        <v/>
      </c>
      <c r="AD1062">
        <f>IF(AND($A1062&lt;&gt;"",$B1062&lt;&gt;"",$R1062='تقرير أبريل'!$C$4,$P1062='تقرير أبريل'!$C$6),COUNT(AD$4:AD1061)+1,"")</f>
        <v/>
      </c>
      <c r="AE1062">
        <f>IF(AND($A1062&lt;&gt;"",$B1062&lt;&gt;"",$R1062='تقرير مايو'!$C$4,$P1062='تقرير مايو'!$C$6),COUNT(AE$4:AE1061)+1,"")</f>
        <v/>
      </c>
    </row>
    <row r="1063">
      <c r="A1063" s="16" t="n"/>
      <c r="B1063" s="17" t="n"/>
      <c r="C1063" s="17" t="n"/>
      <c r="D1063" s="18" t="n"/>
      <c r="E1063" s="17" t="n"/>
      <c r="F1063" s="17" t="n"/>
      <c r="G1063" s="19" t="n"/>
      <c r="H1063" s="17" t="n"/>
      <c r="I1063" s="17" t="n"/>
      <c r="J1063" s="17" t="n"/>
      <c r="K1063" s="20">
        <f>IF($B1063="","",IFERROR(INDEX(الموظفات!$A$5:$A$304,MATCH($B1063,الموظفات!$B$5:$B$304,0))&amp;"",""))</f>
        <v/>
      </c>
      <c r="L1063" s="21">
        <f>IF($B1063="","",IFERROR(INDEX(الموظفات!$C$5:$C$304,MATCH($B1063,الموظفات!$B$5:$B$304,0))&amp;"",""))</f>
        <v/>
      </c>
      <c r="M1063" s="20">
        <f>IF($B1063="","",IFERROR(INDEX(الموظفات!$D$5:$D$304,MATCH($B1063,الموظفات!$B$5:$B$304,0))&amp;"",""))</f>
        <v/>
      </c>
      <c r="N1063" s="20">
        <f>IF($B1063="","",IFERROR(INDEX(الموظفات!$E$5:$E$304,MATCH($B1063,الموظفات!$B$5:$B$304,0))&amp;"",""))</f>
        <v/>
      </c>
      <c r="O1063" s="21">
        <f>IF(C1063="","",IFERROR(INDEX(الإعدادات!$D$7:$D$35,MATCH(C1063,الإعدادات!$A$7:$A$35,0))&amp;"",""))</f>
        <v/>
      </c>
      <c r="P1063" s="20">
        <f>IF(A1063="","",INDEX(الإعدادات!$H$7:$H$18,MONTH(A1063)))</f>
        <v/>
      </c>
      <c r="Q1063" s="20">
        <f>IF(A1063="","",INDEX(الإعدادات!$I$7:$I$18,MONTH(A1063)))</f>
        <v/>
      </c>
      <c r="R1063" s="20">
        <f>IF(A1063="","",IF(MONTH(A1063)&gt;=8,YEAR(A1063)&amp;"-"&amp;(YEAR(A1063)+1),(YEAR(A1063)-1)&amp;"-"&amp;YEAR(A1063)))</f>
        <v/>
      </c>
      <c r="S1063" s="20">
        <f>IF(OR(A1063="",B1063=""),0,IF(AND(R1063=التقارير!$C$4,OR(التقارير!$C$5="سنوي",AND(التقارير!$C$5="شهري",P1063=التقارير!$C$6),AND(التقارير!$C$5="فصلي",Q1063=التقارير!$C$7))),1,0))</f>
        <v/>
      </c>
      <c r="T1063" s="20">
        <f>IF(S1063=1,COUNTIF($S$5:S1063,1),"")</f>
        <v/>
      </c>
      <c r="U1063">
        <f>IF(AND($A1063&lt;&gt;"",$B1063&lt;&gt;"",$R1063='تقرير الفصل الأول'!$C$4,$Q1063='تقرير الفصل الأول'!$C$7),COUNT(U$4:U1062)+1,"")</f>
        <v/>
      </c>
      <c r="V1063">
        <f>IF(AND($A1063&lt;&gt;"",$B1063&lt;&gt;"",$R1063='تقرير الفصل الثاني'!$C$4,$Q1063='تقرير الفصل الثاني'!$C$7),COUNT(V$4:V1062)+1,"")</f>
        <v/>
      </c>
      <c r="W1063">
        <f>IF(AND($A1063&lt;&gt;"",$B1063&lt;&gt;"",$R1063='تقرير سبتمبر'!$C$4,$P1063='تقرير سبتمبر'!$C$6),COUNT(W$4:W1062)+1,"")</f>
        <v/>
      </c>
      <c r="X1063">
        <f>IF(AND($A1063&lt;&gt;"",$B1063&lt;&gt;"",$R1063='تقرير أكتوبر'!$C$4,$P1063='تقرير أكتوبر'!$C$6),COUNT(X$4:X1062)+1,"")</f>
        <v/>
      </c>
      <c r="Y1063">
        <f>IF(AND($A1063&lt;&gt;"",$B1063&lt;&gt;"",$R1063='تقرير نوفمبر'!$C$4,$P1063='تقرير نوفمبر'!$C$6),COUNT(Y$4:Y1062)+1,"")</f>
        <v/>
      </c>
      <c r="Z1063">
        <f>IF(AND($A1063&lt;&gt;"",$B1063&lt;&gt;"",$R1063='تقرير ديسمبر'!$C$4,$P1063='تقرير ديسمبر'!$C$6),COUNT(Z$4:Z1062)+1,"")</f>
        <v/>
      </c>
      <c r="AA1063">
        <f>IF(AND($A1063&lt;&gt;"",$B1063&lt;&gt;"",$R1063='تقرير يناير'!$C$4,$P1063='تقرير يناير'!$C$6),COUNT(AA$4:AA1062)+1,"")</f>
        <v/>
      </c>
      <c r="AB1063">
        <f>IF(AND($A1063&lt;&gt;"",$B1063&lt;&gt;"",$R1063='تقرير فبراير'!$C$4,$P1063='تقرير فبراير'!$C$6),COUNT(AB$4:AB1062)+1,"")</f>
        <v/>
      </c>
      <c r="AC1063">
        <f>IF(AND($A1063&lt;&gt;"",$B1063&lt;&gt;"",$R1063='تقرير مارس'!$C$4,$P1063='تقرير مارس'!$C$6),COUNT(AC$4:AC1062)+1,"")</f>
        <v/>
      </c>
      <c r="AD1063">
        <f>IF(AND($A1063&lt;&gt;"",$B1063&lt;&gt;"",$R1063='تقرير أبريل'!$C$4,$P1063='تقرير أبريل'!$C$6),COUNT(AD$4:AD1062)+1,"")</f>
        <v/>
      </c>
      <c r="AE1063">
        <f>IF(AND($A1063&lt;&gt;"",$B1063&lt;&gt;"",$R1063='تقرير مايو'!$C$4,$P1063='تقرير مايو'!$C$6),COUNT(AE$4:AE1062)+1,"")</f>
        <v/>
      </c>
    </row>
    <row r="1064">
      <c r="A1064" s="16" t="n"/>
      <c r="B1064" s="17" t="n"/>
      <c r="C1064" s="17" t="n"/>
      <c r="D1064" s="18" t="n"/>
      <c r="E1064" s="17" t="n"/>
      <c r="F1064" s="17" t="n"/>
      <c r="G1064" s="19" t="n"/>
      <c r="H1064" s="17" t="n"/>
      <c r="I1064" s="17" t="n"/>
      <c r="J1064" s="17" t="n"/>
      <c r="K1064" s="20">
        <f>IF($B1064="","",IFERROR(INDEX(الموظفات!$A$5:$A$304,MATCH($B1064,الموظفات!$B$5:$B$304,0))&amp;"",""))</f>
        <v/>
      </c>
      <c r="L1064" s="21">
        <f>IF($B1064="","",IFERROR(INDEX(الموظفات!$C$5:$C$304,MATCH($B1064,الموظفات!$B$5:$B$304,0))&amp;"",""))</f>
        <v/>
      </c>
      <c r="M1064" s="20">
        <f>IF($B1064="","",IFERROR(INDEX(الموظفات!$D$5:$D$304,MATCH($B1064,الموظفات!$B$5:$B$304,0))&amp;"",""))</f>
        <v/>
      </c>
      <c r="N1064" s="20">
        <f>IF($B1064="","",IFERROR(INDEX(الموظفات!$E$5:$E$304,MATCH($B1064,الموظفات!$B$5:$B$304,0))&amp;"",""))</f>
        <v/>
      </c>
      <c r="O1064" s="21">
        <f>IF(C1064="","",IFERROR(INDEX(الإعدادات!$D$7:$D$35,MATCH(C1064,الإعدادات!$A$7:$A$35,0))&amp;"",""))</f>
        <v/>
      </c>
      <c r="P1064" s="20">
        <f>IF(A1064="","",INDEX(الإعدادات!$H$7:$H$18,MONTH(A1064)))</f>
        <v/>
      </c>
      <c r="Q1064" s="20">
        <f>IF(A1064="","",INDEX(الإعدادات!$I$7:$I$18,MONTH(A1064)))</f>
        <v/>
      </c>
      <c r="R1064" s="20">
        <f>IF(A1064="","",IF(MONTH(A1064)&gt;=8,YEAR(A1064)&amp;"-"&amp;(YEAR(A1064)+1),(YEAR(A1064)-1)&amp;"-"&amp;YEAR(A1064)))</f>
        <v/>
      </c>
      <c r="S1064" s="20">
        <f>IF(OR(A1064="",B1064=""),0,IF(AND(R1064=التقارير!$C$4,OR(التقارير!$C$5="سنوي",AND(التقارير!$C$5="شهري",P1064=التقارير!$C$6),AND(التقارير!$C$5="فصلي",Q1064=التقارير!$C$7))),1,0))</f>
        <v/>
      </c>
      <c r="T1064" s="20">
        <f>IF(S1064=1,COUNTIF($S$5:S1064,1),"")</f>
        <v/>
      </c>
      <c r="U1064">
        <f>IF(AND($A1064&lt;&gt;"",$B1064&lt;&gt;"",$R1064='تقرير الفصل الأول'!$C$4,$Q1064='تقرير الفصل الأول'!$C$7),COUNT(U$4:U1063)+1,"")</f>
        <v/>
      </c>
      <c r="V1064">
        <f>IF(AND($A1064&lt;&gt;"",$B1064&lt;&gt;"",$R1064='تقرير الفصل الثاني'!$C$4,$Q1064='تقرير الفصل الثاني'!$C$7),COUNT(V$4:V1063)+1,"")</f>
        <v/>
      </c>
      <c r="W1064">
        <f>IF(AND($A1064&lt;&gt;"",$B1064&lt;&gt;"",$R1064='تقرير سبتمبر'!$C$4,$P1064='تقرير سبتمبر'!$C$6),COUNT(W$4:W1063)+1,"")</f>
        <v/>
      </c>
      <c r="X1064">
        <f>IF(AND($A1064&lt;&gt;"",$B1064&lt;&gt;"",$R1064='تقرير أكتوبر'!$C$4,$P1064='تقرير أكتوبر'!$C$6),COUNT(X$4:X1063)+1,"")</f>
        <v/>
      </c>
      <c r="Y1064">
        <f>IF(AND($A1064&lt;&gt;"",$B1064&lt;&gt;"",$R1064='تقرير نوفمبر'!$C$4,$P1064='تقرير نوفمبر'!$C$6),COUNT(Y$4:Y1063)+1,"")</f>
        <v/>
      </c>
      <c r="Z1064">
        <f>IF(AND($A1064&lt;&gt;"",$B1064&lt;&gt;"",$R1064='تقرير ديسمبر'!$C$4,$P1064='تقرير ديسمبر'!$C$6),COUNT(Z$4:Z1063)+1,"")</f>
        <v/>
      </c>
      <c r="AA1064">
        <f>IF(AND($A1064&lt;&gt;"",$B1064&lt;&gt;"",$R1064='تقرير يناير'!$C$4,$P1064='تقرير يناير'!$C$6),COUNT(AA$4:AA1063)+1,"")</f>
        <v/>
      </c>
      <c r="AB1064">
        <f>IF(AND($A1064&lt;&gt;"",$B1064&lt;&gt;"",$R1064='تقرير فبراير'!$C$4,$P1064='تقرير فبراير'!$C$6),COUNT(AB$4:AB1063)+1,"")</f>
        <v/>
      </c>
      <c r="AC1064">
        <f>IF(AND($A1064&lt;&gt;"",$B1064&lt;&gt;"",$R1064='تقرير مارس'!$C$4,$P1064='تقرير مارس'!$C$6),COUNT(AC$4:AC1063)+1,"")</f>
        <v/>
      </c>
      <c r="AD1064">
        <f>IF(AND($A1064&lt;&gt;"",$B1064&lt;&gt;"",$R1064='تقرير أبريل'!$C$4,$P1064='تقرير أبريل'!$C$6),COUNT(AD$4:AD1063)+1,"")</f>
        <v/>
      </c>
      <c r="AE1064">
        <f>IF(AND($A1064&lt;&gt;"",$B1064&lt;&gt;"",$R1064='تقرير مايو'!$C$4,$P1064='تقرير مايو'!$C$6),COUNT(AE$4:AE1063)+1,"")</f>
        <v/>
      </c>
    </row>
    <row r="1065">
      <c r="A1065" s="16" t="n"/>
      <c r="B1065" s="17" t="n"/>
      <c r="C1065" s="17" t="n"/>
      <c r="D1065" s="18" t="n"/>
      <c r="E1065" s="17" t="n"/>
      <c r="F1065" s="17" t="n"/>
      <c r="G1065" s="19" t="n"/>
      <c r="H1065" s="17" t="n"/>
      <c r="I1065" s="17" t="n"/>
      <c r="J1065" s="17" t="n"/>
      <c r="K1065" s="20">
        <f>IF($B1065="","",IFERROR(INDEX(الموظفات!$A$5:$A$304,MATCH($B1065,الموظفات!$B$5:$B$304,0))&amp;"",""))</f>
        <v/>
      </c>
      <c r="L1065" s="21">
        <f>IF($B1065="","",IFERROR(INDEX(الموظفات!$C$5:$C$304,MATCH($B1065,الموظفات!$B$5:$B$304,0))&amp;"",""))</f>
        <v/>
      </c>
      <c r="M1065" s="20">
        <f>IF($B1065="","",IFERROR(INDEX(الموظفات!$D$5:$D$304,MATCH($B1065,الموظفات!$B$5:$B$304,0))&amp;"",""))</f>
        <v/>
      </c>
      <c r="N1065" s="20">
        <f>IF($B1065="","",IFERROR(INDEX(الموظفات!$E$5:$E$304,MATCH($B1065,الموظفات!$B$5:$B$304,0))&amp;"",""))</f>
        <v/>
      </c>
      <c r="O1065" s="21">
        <f>IF(C1065="","",IFERROR(INDEX(الإعدادات!$D$7:$D$35,MATCH(C1065,الإعدادات!$A$7:$A$35,0))&amp;"",""))</f>
        <v/>
      </c>
      <c r="P1065" s="20">
        <f>IF(A1065="","",INDEX(الإعدادات!$H$7:$H$18,MONTH(A1065)))</f>
        <v/>
      </c>
      <c r="Q1065" s="20">
        <f>IF(A1065="","",INDEX(الإعدادات!$I$7:$I$18,MONTH(A1065)))</f>
        <v/>
      </c>
      <c r="R1065" s="20">
        <f>IF(A1065="","",IF(MONTH(A1065)&gt;=8,YEAR(A1065)&amp;"-"&amp;(YEAR(A1065)+1),(YEAR(A1065)-1)&amp;"-"&amp;YEAR(A1065)))</f>
        <v/>
      </c>
      <c r="S1065" s="20">
        <f>IF(OR(A1065="",B1065=""),0,IF(AND(R1065=التقارير!$C$4,OR(التقارير!$C$5="سنوي",AND(التقارير!$C$5="شهري",P1065=التقارير!$C$6),AND(التقارير!$C$5="فصلي",Q1065=التقارير!$C$7))),1,0))</f>
        <v/>
      </c>
      <c r="T1065" s="20">
        <f>IF(S1065=1,COUNTIF($S$5:S1065,1),"")</f>
        <v/>
      </c>
      <c r="U1065">
        <f>IF(AND($A1065&lt;&gt;"",$B1065&lt;&gt;"",$R1065='تقرير الفصل الأول'!$C$4,$Q1065='تقرير الفصل الأول'!$C$7),COUNT(U$4:U1064)+1,"")</f>
        <v/>
      </c>
      <c r="V1065">
        <f>IF(AND($A1065&lt;&gt;"",$B1065&lt;&gt;"",$R1065='تقرير الفصل الثاني'!$C$4,$Q1065='تقرير الفصل الثاني'!$C$7),COUNT(V$4:V1064)+1,"")</f>
        <v/>
      </c>
      <c r="W1065">
        <f>IF(AND($A1065&lt;&gt;"",$B1065&lt;&gt;"",$R1065='تقرير سبتمبر'!$C$4,$P1065='تقرير سبتمبر'!$C$6),COUNT(W$4:W1064)+1,"")</f>
        <v/>
      </c>
      <c r="X1065">
        <f>IF(AND($A1065&lt;&gt;"",$B1065&lt;&gt;"",$R1065='تقرير أكتوبر'!$C$4,$P1065='تقرير أكتوبر'!$C$6),COUNT(X$4:X1064)+1,"")</f>
        <v/>
      </c>
      <c r="Y1065">
        <f>IF(AND($A1065&lt;&gt;"",$B1065&lt;&gt;"",$R1065='تقرير نوفمبر'!$C$4,$P1065='تقرير نوفمبر'!$C$6),COUNT(Y$4:Y1064)+1,"")</f>
        <v/>
      </c>
      <c r="Z1065">
        <f>IF(AND($A1065&lt;&gt;"",$B1065&lt;&gt;"",$R1065='تقرير ديسمبر'!$C$4,$P1065='تقرير ديسمبر'!$C$6),COUNT(Z$4:Z1064)+1,"")</f>
        <v/>
      </c>
      <c r="AA1065">
        <f>IF(AND($A1065&lt;&gt;"",$B1065&lt;&gt;"",$R1065='تقرير يناير'!$C$4,$P1065='تقرير يناير'!$C$6),COUNT(AA$4:AA1064)+1,"")</f>
        <v/>
      </c>
      <c r="AB1065">
        <f>IF(AND($A1065&lt;&gt;"",$B1065&lt;&gt;"",$R1065='تقرير فبراير'!$C$4,$P1065='تقرير فبراير'!$C$6),COUNT(AB$4:AB1064)+1,"")</f>
        <v/>
      </c>
      <c r="AC1065">
        <f>IF(AND($A1065&lt;&gt;"",$B1065&lt;&gt;"",$R1065='تقرير مارس'!$C$4,$P1065='تقرير مارس'!$C$6),COUNT(AC$4:AC1064)+1,"")</f>
        <v/>
      </c>
      <c r="AD1065">
        <f>IF(AND($A1065&lt;&gt;"",$B1065&lt;&gt;"",$R1065='تقرير أبريل'!$C$4,$P1065='تقرير أبريل'!$C$6),COUNT(AD$4:AD1064)+1,"")</f>
        <v/>
      </c>
      <c r="AE1065">
        <f>IF(AND($A1065&lt;&gt;"",$B1065&lt;&gt;"",$R1065='تقرير مايو'!$C$4,$P1065='تقرير مايو'!$C$6),COUNT(AE$4:AE1064)+1,"")</f>
        <v/>
      </c>
    </row>
    <row r="1066">
      <c r="A1066" s="16" t="n"/>
      <c r="B1066" s="17" t="n"/>
      <c r="C1066" s="17" t="n"/>
      <c r="D1066" s="18" t="n"/>
      <c r="E1066" s="17" t="n"/>
      <c r="F1066" s="17" t="n"/>
      <c r="G1066" s="19" t="n"/>
      <c r="H1066" s="17" t="n"/>
      <c r="I1066" s="17" t="n"/>
      <c r="J1066" s="17" t="n"/>
      <c r="K1066" s="20">
        <f>IF($B1066="","",IFERROR(INDEX(الموظفات!$A$5:$A$304,MATCH($B1066,الموظفات!$B$5:$B$304,0))&amp;"",""))</f>
        <v/>
      </c>
      <c r="L1066" s="21">
        <f>IF($B1066="","",IFERROR(INDEX(الموظفات!$C$5:$C$304,MATCH($B1066,الموظفات!$B$5:$B$304,0))&amp;"",""))</f>
        <v/>
      </c>
      <c r="M1066" s="20">
        <f>IF($B1066="","",IFERROR(INDEX(الموظفات!$D$5:$D$304,MATCH($B1066,الموظفات!$B$5:$B$304,0))&amp;"",""))</f>
        <v/>
      </c>
      <c r="N1066" s="20">
        <f>IF($B1066="","",IFERROR(INDEX(الموظفات!$E$5:$E$304,MATCH($B1066,الموظفات!$B$5:$B$304,0))&amp;"",""))</f>
        <v/>
      </c>
      <c r="O1066" s="21">
        <f>IF(C1066="","",IFERROR(INDEX(الإعدادات!$D$7:$D$35,MATCH(C1066,الإعدادات!$A$7:$A$35,0))&amp;"",""))</f>
        <v/>
      </c>
      <c r="P1066" s="20">
        <f>IF(A1066="","",INDEX(الإعدادات!$H$7:$H$18,MONTH(A1066)))</f>
        <v/>
      </c>
      <c r="Q1066" s="20">
        <f>IF(A1066="","",INDEX(الإعدادات!$I$7:$I$18,MONTH(A1066)))</f>
        <v/>
      </c>
      <c r="R1066" s="20">
        <f>IF(A1066="","",IF(MONTH(A1066)&gt;=8,YEAR(A1066)&amp;"-"&amp;(YEAR(A1066)+1),(YEAR(A1066)-1)&amp;"-"&amp;YEAR(A1066)))</f>
        <v/>
      </c>
      <c r="S1066" s="20">
        <f>IF(OR(A1066="",B1066=""),0,IF(AND(R1066=التقارير!$C$4,OR(التقارير!$C$5="سنوي",AND(التقارير!$C$5="شهري",P1066=التقارير!$C$6),AND(التقارير!$C$5="فصلي",Q1066=التقارير!$C$7))),1,0))</f>
        <v/>
      </c>
      <c r="T1066" s="20">
        <f>IF(S1066=1,COUNTIF($S$5:S1066,1),"")</f>
        <v/>
      </c>
      <c r="U1066">
        <f>IF(AND($A1066&lt;&gt;"",$B1066&lt;&gt;"",$R1066='تقرير الفصل الأول'!$C$4,$Q1066='تقرير الفصل الأول'!$C$7),COUNT(U$4:U1065)+1,"")</f>
        <v/>
      </c>
      <c r="V1066">
        <f>IF(AND($A1066&lt;&gt;"",$B1066&lt;&gt;"",$R1066='تقرير الفصل الثاني'!$C$4,$Q1066='تقرير الفصل الثاني'!$C$7),COUNT(V$4:V1065)+1,"")</f>
        <v/>
      </c>
      <c r="W1066">
        <f>IF(AND($A1066&lt;&gt;"",$B1066&lt;&gt;"",$R1066='تقرير سبتمبر'!$C$4,$P1066='تقرير سبتمبر'!$C$6),COUNT(W$4:W1065)+1,"")</f>
        <v/>
      </c>
      <c r="X1066">
        <f>IF(AND($A1066&lt;&gt;"",$B1066&lt;&gt;"",$R1066='تقرير أكتوبر'!$C$4,$P1066='تقرير أكتوبر'!$C$6),COUNT(X$4:X1065)+1,"")</f>
        <v/>
      </c>
      <c r="Y1066">
        <f>IF(AND($A1066&lt;&gt;"",$B1066&lt;&gt;"",$R1066='تقرير نوفمبر'!$C$4,$P1066='تقرير نوفمبر'!$C$6),COUNT(Y$4:Y1065)+1,"")</f>
        <v/>
      </c>
      <c r="Z1066">
        <f>IF(AND($A1066&lt;&gt;"",$B1066&lt;&gt;"",$R1066='تقرير ديسمبر'!$C$4,$P1066='تقرير ديسمبر'!$C$6),COUNT(Z$4:Z1065)+1,"")</f>
        <v/>
      </c>
      <c r="AA1066">
        <f>IF(AND($A1066&lt;&gt;"",$B1066&lt;&gt;"",$R1066='تقرير يناير'!$C$4,$P1066='تقرير يناير'!$C$6),COUNT(AA$4:AA1065)+1,"")</f>
        <v/>
      </c>
      <c r="AB1066">
        <f>IF(AND($A1066&lt;&gt;"",$B1066&lt;&gt;"",$R1066='تقرير فبراير'!$C$4,$P1066='تقرير فبراير'!$C$6),COUNT(AB$4:AB1065)+1,"")</f>
        <v/>
      </c>
      <c r="AC1066">
        <f>IF(AND($A1066&lt;&gt;"",$B1066&lt;&gt;"",$R1066='تقرير مارس'!$C$4,$P1066='تقرير مارس'!$C$6),COUNT(AC$4:AC1065)+1,"")</f>
        <v/>
      </c>
      <c r="AD1066">
        <f>IF(AND($A1066&lt;&gt;"",$B1066&lt;&gt;"",$R1066='تقرير أبريل'!$C$4,$P1066='تقرير أبريل'!$C$6),COUNT(AD$4:AD1065)+1,"")</f>
        <v/>
      </c>
      <c r="AE1066">
        <f>IF(AND($A1066&lt;&gt;"",$B1066&lt;&gt;"",$R1066='تقرير مايو'!$C$4,$P1066='تقرير مايو'!$C$6),COUNT(AE$4:AE1065)+1,"")</f>
        <v/>
      </c>
    </row>
    <row r="1067">
      <c r="A1067" s="16" t="n"/>
      <c r="B1067" s="17" t="n"/>
      <c r="C1067" s="17" t="n"/>
      <c r="D1067" s="18" t="n"/>
      <c r="E1067" s="17" t="n"/>
      <c r="F1067" s="17" t="n"/>
      <c r="G1067" s="19" t="n"/>
      <c r="H1067" s="17" t="n"/>
      <c r="I1067" s="17" t="n"/>
      <c r="J1067" s="17" t="n"/>
      <c r="K1067" s="20">
        <f>IF($B1067="","",IFERROR(INDEX(الموظفات!$A$5:$A$304,MATCH($B1067,الموظفات!$B$5:$B$304,0))&amp;"",""))</f>
        <v/>
      </c>
      <c r="L1067" s="21">
        <f>IF($B1067="","",IFERROR(INDEX(الموظفات!$C$5:$C$304,MATCH($B1067,الموظفات!$B$5:$B$304,0))&amp;"",""))</f>
        <v/>
      </c>
      <c r="M1067" s="20">
        <f>IF($B1067="","",IFERROR(INDEX(الموظفات!$D$5:$D$304,MATCH($B1067,الموظفات!$B$5:$B$304,0))&amp;"",""))</f>
        <v/>
      </c>
      <c r="N1067" s="20">
        <f>IF($B1067="","",IFERROR(INDEX(الموظفات!$E$5:$E$304,MATCH($B1067,الموظفات!$B$5:$B$304,0))&amp;"",""))</f>
        <v/>
      </c>
      <c r="O1067" s="21">
        <f>IF(C1067="","",IFERROR(INDEX(الإعدادات!$D$7:$D$35,MATCH(C1067,الإعدادات!$A$7:$A$35,0))&amp;"",""))</f>
        <v/>
      </c>
      <c r="P1067" s="20">
        <f>IF(A1067="","",INDEX(الإعدادات!$H$7:$H$18,MONTH(A1067)))</f>
        <v/>
      </c>
      <c r="Q1067" s="20">
        <f>IF(A1067="","",INDEX(الإعدادات!$I$7:$I$18,MONTH(A1067)))</f>
        <v/>
      </c>
      <c r="R1067" s="20">
        <f>IF(A1067="","",IF(MONTH(A1067)&gt;=8,YEAR(A1067)&amp;"-"&amp;(YEAR(A1067)+1),(YEAR(A1067)-1)&amp;"-"&amp;YEAR(A1067)))</f>
        <v/>
      </c>
      <c r="S1067" s="20">
        <f>IF(OR(A1067="",B1067=""),0,IF(AND(R1067=التقارير!$C$4,OR(التقارير!$C$5="سنوي",AND(التقارير!$C$5="شهري",P1067=التقارير!$C$6),AND(التقارير!$C$5="فصلي",Q1067=التقارير!$C$7))),1,0))</f>
        <v/>
      </c>
      <c r="T1067" s="20">
        <f>IF(S1067=1,COUNTIF($S$5:S1067,1),"")</f>
        <v/>
      </c>
      <c r="U1067">
        <f>IF(AND($A1067&lt;&gt;"",$B1067&lt;&gt;"",$R1067='تقرير الفصل الأول'!$C$4,$Q1067='تقرير الفصل الأول'!$C$7),COUNT(U$4:U1066)+1,"")</f>
        <v/>
      </c>
      <c r="V1067">
        <f>IF(AND($A1067&lt;&gt;"",$B1067&lt;&gt;"",$R1067='تقرير الفصل الثاني'!$C$4,$Q1067='تقرير الفصل الثاني'!$C$7),COUNT(V$4:V1066)+1,"")</f>
        <v/>
      </c>
      <c r="W1067">
        <f>IF(AND($A1067&lt;&gt;"",$B1067&lt;&gt;"",$R1067='تقرير سبتمبر'!$C$4,$P1067='تقرير سبتمبر'!$C$6),COUNT(W$4:W1066)+1,"")</f>
        <v/>
      </c>
      <c r="X1067">
        <f>IF(AND($A1067&lt;&gt;"",$B1067&lt;&gt;"",$R1067='تقرير أكتوبر'!$C$4,$P1067='تقرير أكتوبر'!$C$6),COUNT(X$4:X1066)+1,"")</f>
        <v/>
      </c>
      <c r="Y1067">
        <f>IF(AND($A1067&lt;&gt;"",$B1067&lt;&gt;"",$R1067='تقرير نوفمبر'!$C$4,$P1067='تقرير نوفمبر'!$C$6),COUNT(Y$4:Y1066)+1,"")</f>
        <v/>
      </c>
      <c r="Z1067">
        <f>IF(AND($A1067&lt;&gt;"",$B1067&lt;&gt;"",$R1067='تقرير ديسمبر'!$C$4,$P1067='تقرير ديسمبر'!$C$6),COUNT(Z$4:Z1066)+1,"")</f>
        <v/>
      </c>
      <c r="AA1067">
        <f>IF(AND($A1067&lt;&gt;"",$B1067&lt;&gt;"",$R1067='تقرير يناير'!$C$4,$P1067='تقرير يناير'!$C$6),COUNT(AA$4:AA1066)+1,"")</f>
        <v/>
      </c>
      <c r="AB1067">
        <f>IF(AND($A1067&lt;&gt;"",$B1067&lt;&gt;"",$R1067='تقرير فبراير'!$C$4,$P1067='تقرير فبراير'!$C$6),COUNT(AB$4:AB1066)+1,"")</f>
        <v/>
      </c>
      <c r="AC1067">
        <f>IF(AND($A1067&lt;&gt;"",$B1067&lt;&gt;"",$R1067='تقرير مارس'!$C$4,$P1067='تقرير مارس'!$C$6),COUNT(AC$4:AC1066)+1,"")</f>
        <v/>
      </c>
      <c r="AD1067">
        <f>IF(AND($A1067&lt;&gt;"",$B1067&lt;&gt;"",$R1067='تقرير أبريل'!$C$4,$P1067='تقرير أبريل'!$C$6),COUNT(AD$4:AD1066)+1,"")</f>
        <v/>
      </c>
      <c r="AE1067">
        <f>IF(AND($A1067&lt;&gt;"",$B1067&lt;&gt;"",$R1067='تقرير مايو'!$C$4,$P1067='تقرير مايو'!$C$6),COUNT(AE$4:AE1066)+1,"")</f>
        <v/>
      </c>
    </row>
    <row r="1068">
      <c r="A1068" s="16" t="n"/>
      <c r="B1068" s="17" t="n"/>
      <c r="C1068" s="17" t="n"/>
      <c r="D1068" s="18" t="n"/>
      <c r="E1068" s="17" t="n"/>
      <c r="F1068" s="17" t="n"/>
      <c r="G1068" s="19" t="n"/>
      <c r="H1068" s="17" t="n"/>
      <c r="I1068" s="17" t="n"/>
      <c r="J1068" s="17" t="n"/>
      <c r="K1068" s="20">
        <f>IF($B1068="","",IFERROR(INDEX(الموظفات!$A$5:$A$304,MATCH($B1068,الموظفات!$B$5:$B$304,0))&amp;"",""))</f>
        <v/>
      </c>
      <c r="L1068" s="21">
        <f>IF($B1068="","",IFERROR(INDEX(الموظفات!$C$5:$C$304,MATCH($B1068,الموظفات!$B$5:$B$304,0))&amp;"",""))</f>
        <v/>
      </c>
      <c r="M1068" s="20">
        <f>IF($B1068="","",IFERROR(INDEX(الموظفات!$D$5:$D$304,MATCH($B1068,الموظفات!$B$5:$B$304,0))&amp;"",""))</f>
        <v/>
      </c>
      <c r="N1068" s="20">
        <f>IF($B1068="","",IFERROR(INDEX(الموظفات!$E$5:$E$304,MATCH($B1068,الموظفات!$B$5:$B$304,0))&amp;"",""))</f>
        <v/>
      </c>
      <c r="O1068" s="21">
        <f>IF(C1068="","",IFERROR(INDEX(الإعدادات!$D$7:$D$35,MATCH(C1068,الإعدادات!$A$7:$A$35,0))&amp;"",""))</f>
        <v/>
      </c>
      <c r="P1068" s="20">
        <f>IF(A1068="","",INDEX(الإعدادات!$H$7:$H$18,MONTH(A1068)))</f>
        <v/>
      </c>
      <c r="Q1068" s="20">
        <f>IF(A1068="","",INDEX(الإعدادات!$I$7:$I$18,MONTH(A1068)))</f>
        <v/>
      </c>
      <c r="R1068" s="20">
        <f>IF(A1068="","",IF(MONTH(A1068)&gt;=8,YEAR(A1068)&amp;"-"&amp;(YEAR(A1068)+1),(YEAR(A1068)-1)&amp;"-"&amp;YEAR(A1068)))</f>
        <v/>
      </c>
      <c r="S1068" s="20">
        <f>IF(OR(A1068="",B1068=""),0,IF(AND(R1068=التقارير!$C$4,OR(التقارير!$C$5="سنوي",AND(التقارير!$C$5="شهري",P1068=التقارير!$C$6),AND(التقارير!$C$5="فصلي",Q1068=التقارير!$C$7))),1,0))</f>
        <v/>
      </c>
      <c r="T1068" s="20">
        <f>IF(S1068=1,COUNTIF($S$5:S1068,1),"")</f>
        <v/>
      </c>
      <c r="U1068">
        <f>IF(AND($A1068&lt;&gt;"",$B1068&lt;&gt;"",$R1068='تقرير الفصل الأول'!$C$4,$Q1068='تقرير الفصل الأول'!$C$7),COUNT(U$4:U1067)+1,"")</f>
        <v/>
      </c>
      <c r="V1068">
        <f>IF(AND($A1068&lt;&gt;"",$B1068&lt;&gt;"",$R1068='تقرير الفصل الثاني'!$C$4,$Q1068='تقرير الفصل الثاني'!$C$7),COUNT(V$4:V1067)+1,"")</f>
        <v/>
      </c>
      <c r="W1068">
        <f>IF(AND($A1068&lt;&gt;"",$B1068&lt;&gt;"",$R1068='تقرير سبتمبر'!$C$4,$P1068='تقرير سبتمبر'!$C$6),COUNT(W$4:W1067)+1,"")</f>
        <v/>
      </c>
      <c r="X1068">
        <f>IF(AND($A1068&lt;&gt;"",$B1068&lt;&gt;"",$R1068='تقرير أكتوبر'!$C$4,$P1068='تقرير أكتوبر'!$C$6),COUNT(X$4:X1067)+1,"")</f>
        <v/>
      </c>
      <c r="Y1068">
        <f>IF(AND($A1068&lt;&gt;"",$B1068&lt;&gt;"",$R1068='تقرير نوفمبر'!$C$4,$P1068='تقرير نوفمبر'!$C$6),COUNT(Y$4:Y1067)+1,"")</f>
        <v/>
      </c>
      <c r="Z1068">
        <f>IF(AND($A1068&lt;&gt;"",$B1068&lt;&gt;"",$R1068='تقرير ديسمبر'!$C$4,$P1068='تقرير ديسمبر'!$C$6),COUNT(Z$4:Z1067)+1,"")</f>
        <v/>
      </c>
      <c r="AA1068">
        <f>IF(AND($A1068&lt;&gt;"",$B1068&lt;&gt;"",$R1068='تقرير يناير'!$C$4,$P1068='تقرير يناير'!$C$6),COUNT(AA$4:AA1067)+1,"")</f>
        <v/>
      </c>
      <c r="AB1068">
        <f>IF(AND($A1068&lt;&gt;"",$B1068&lt;&gt;"",$R1068='تقرير فبراير'!$C$4,$P1068='تقرير فبراير'!$C$6),COUNT(AB$4:AB1067)+1,"")</f>
        <v/>
      </c>
      <c r="AC1068">
        <f>IF(AND($A1068&lt;&gt;"",$B1068&lt;&gt;"",$R1068='تقرير مارس'!$C$4,$P1068='تقرير مارس'!$C$6),COUNT(AC$4:AC1067)+1,"")</f>
        <v/>
      </c>
      <c r="AD1068">
        <f>IF(AND($A1068&lt;&gt;"",$B1068&lt;&gt;"",$R1068='تقرير أبريل'!$C$4,$P1068='تقرير أبريل'!$C$6),COUNT(AD$4:AD1067)+1,"")</f>
        <v/>
      </c>
      <c r="AE1068">
        <f>IF(AND($A1068&lt;&gt;"",$B1068&lt;&gt;"",$R1068='تقرير مايو'!$C$4,$P1068='تقرير مايو'!$C$6),COUNT(AE$4:AE1067)+1,"")</f>
        <v/>
      </c>
    </row>
    <row r="1069">
      <c r="A1069" s="16" t="n"/>
      <c r="B1069" s="17" t="n"/>
      <c r="C1069" s="17" t="n"/>
      <c r="D1069" s="18" t="n"/>
      <c r="E1069" s="17" t="n"/>
      <c r="F1069" s="17" t="n"/>
      <c r="G1069" s="19" t="n"/>
      <c r="H1069" s="17" t="n"/>
      <c r="I1069" s="17" t="n"/>
      <c r="J1069" s="17" t="n"/>
      <c r="K1069" s="20">
        <f>IF($B1069="","",IFERROR(INDEX(الموظفات!$A$5:$A$304,MATCH($B1069,الموظفات!$B$5:$B$304,0))&amp;"",""))</f>
        <v/>
      </c>
      <c r="L1069" s="21">
        <f>IF($B1069="","",IFERROR(INDEX(الموظفات!$C$5:$C$304,MATCH($B1069,الموظفات!$B$5:$B$304,0))&amp;"",""))</f>
        <v/>
      </c>
      <c r="M1069" s="20">
        <f>IF($B1069="","",IFERROR(INDEX(الموظفات!$D$5:$D$304,MATCH($B1069,الموظفات!$B$5:$B$304,0))&amp;"",""))</f>
        <v/>
      </c>
      <c r="N1069" s="20">
        <f>IF($B1069="","",IFERROR(INDEX(الموظفات!$E$5:$E$304,MATCH($B1069,الموظفات!$B$5:$B$304,0))&amp;"",""))</f>
        <v/>
      </c>
      <c r="O1069" s="21">
        <f>IF(C1069="","",IFERROR(INDEX(الإعدادات!$D$7:$D$35,MATCH(C1069,الإعدادات!$A$7:$A$35,0))&amp;"",""))</f>
        <v/>
      </c>
      <c r="P1069" s="20">
        <f>IF(A1069="","",INDEX(الإعدادات!$H$7:$H$18,MONTH(A1069)))</f>
        <v/>
      </c>
      <c r="Q1069" s="20">
        <f>IF(A1069="","",INDEX(الإعدادات!$I$7:$I$18,MONTH(A1069)))</f>
        <v/>
      </c>
      <c r="R1069" s="20">
        <f>IF(A1069="","",IF(MONTH(A1069)&gt;=8,YEAR(A1069)&amp;"-"&amp;(YEAR(A1069)+1),(YEAR(A1069)-1)&amp;"-"&amp;YEAR(A1069)))</f>
        <v/>
      </c>
      <c r="S1069" s="20">
        <f>IF(OR(A1069="",B1069=""),0,IF(AND(R1069=التقارير!$C$4,OR(التقارير!$C$5="سنوي",AND(التقارير!$C$5="شهري",P1069=التقارير!$C$6),AND(التقارير!$C$5="فصلي",Q1069=التقارير!$C$7))),1,0))</f>
        <v/>
      </c>
      <c r="T1069" s="20">
        <f>IF(S1069=1,COUNTIF($S$5:S1069,1),"")</f>
        <v/>
      </c>
      <c r="U1069">
        <f>IF(AND($A1069&lt;&gt;"",$B1069&lt;&gt;"",$R1069='تقرير الفصل الأول'!$C$4,$Q1069='تقرير الفصل الأول'!$C$7),COUNT(U$4:U1068)+1,"")</f>
        <v/>
      </c>
      <c r="V1069">
        <f>IF(AND($A1069&lt;&gt;"",$B1069&lt;&gt;"",$R1069='تقرير الفصل الثاني'!$C$4,$Q1069='تقرير الفصل الثاني'!$C$7),COUNT(V$4:V1068)+1,"")</f>
        <v/>
      </c>
      <c r="W1069">
        <f>IF(AND($A1069&lt;&gt;"",$B1069&lt;&gt;"",$R1069='تقرير سبتمبر'!$C$4,$P1069='تقرير سبتمبر'!$C$6),COUNT(W$4:W1068)+1,"")</f>
        <v/>
      </c>
      <c r="X1069">
        <f>IF(AND($A1069&lt;&gt;"",$B1069&lt;&gt;"",$R1069='تقرير أكتوبر'!$C$4,$P1069='تقرير أكتوبر'!$C$6),COUNT(X$4:X1068)+1,"")</f>
        <v/>
      </c>
      <c r="Y1069">
        <f>IF(AND($A1069&lt;&gt;"",$B1069&lt;&gt;"",$R1069='تقرير نوفمبر'!$C$4,$P1069='تقرير نوفمبر'!$C$6),COUNT(Y$4:Y1068)+1,"")</f>
        <v/>
      </c>
      <c r="Z1069">
        <f>IF(AND($A1069&lt;&gt;"",$B1069&lt;&gt;"",$R1069='تقرير ديسمبر'!$C$4,$P1069='تقرير ديسمبر'!$C$6),COUNT(Z$4:Z1068)+1,"")</f>
        <v/>
      </c>
      <c r="AA1069">
        <f>IF(AND($A1069&lt;&gt;"",$B1069&lt;&gt;"",$R1069='تقرير يناير'!$C$4,$P1069='تقرير يناير'!$C$6),COUNT(AA$4:AA1068)+1,"")</f>
        <v/>
      </c>
      <c r="AB1069">
        <f>IF(AND($A1069&lt;&gt;"",$B1069&lt;&gt;"",$R1069='تقرير فبراير'!$C$4,$P1069='تقرير فبراير'!$C$6),COUNT(AB$4:AB1068)+1,"")</f>
        <v/>
      </c>
      <c r="AC1069">
        <f>IF(AND($A1069&lt;&gt;"",$B1069&lt;&gt;"",$R1069='تقرير مارس'!$C$4,$P1069='تقرير مارس'!$C$6),COUNT(AC$4:AC1068)+1,"")</f>
        <v/>
      </c>
      <c r="AD1069">
        <f>IF(AND($A1069&lt;&gt;"",$B1069&lt;&gt;"",$R1069='تقرير أبريل'!$C$4,$P1069='تقرير أبريل'!$C$6),COUNT(AD$4:AD1068)+1,"")</f>
        <v/>
      </c>
      <c r="AE1069">
        <f>IF(AND($A1069&lt;&gt;"",$B1069&lt;&gt;"",$R1069='تقرير مايو'!$C$4,$P1069='تقرير مايو'!$C$6),COUNT(AE$4:AE1068)+1,"")</f>
        <v/>
      </c>
    </row>
    <row r="1070">
      <c r="A1070" s="16" t="n"/>
      <c r="B1070" s="17" t="n"/>
      <c r="C1070" s="17" t="n"/>
      <c r="D1070" s="18" t="n"/>
      <c r="E1070" s="17" t="n"/>
      <c r="F1070" s="17" t="n"/>
      <c r="G1070" s="19" t="n"/>
      <c r="H1070" s="17" t="n"/>
      <c r="I1070" s="17" t="n"/>
      <c r="J1070" s="17" t="n"/>
      <c r="K1070" s="20">
        <f>IF($B1070="","",IFERROR(INDEX(الموظفات!$A$5:$A$304,MATCH($B1070,الموظفات!$B$5:$B$304,0))&amp;"",""))</f>
        <v/>
      </c>
      <c r="L1070" s="21">
        <f>IF($B1070="","",IFERROR(INDEX(الموظفات!$C$5:$C$304,MATCH($B1070,الموظفات!$B$5:$B$304,0))&amp;"",""))</f>
        <v/>
      </c>
      <c r="M1070" s="20">
        <f>IF($B1070="","",IFERROR(INDEX(الموظفات!$D$5:$D$304,MATCH($B1070,الموظفات!$B$5:$B$304,0))&amp;"",""))</f>
        <v/>
      </c>
      <c r="N1070" s="20">
        <f>IF($B1070="","",IFERROR(INDEX(الموظفات!$E$5:$E$304,MATCH($B1070,الموظفات!$B$5:$B$304,0))&amp;"",""))</f>
        <v/>
      </c>
      <c r="O1070" s="21">
        <f>IF(C1070="","",IFERROR(INDEX(الإعدادات!$D$7:$D$35,MATCH(C1070,الإعدادات!$A$7:$A$35,0))&amp;"",""))</f>
        <v/>
      </c>
      <c r="P1070" s="20">
        <f>IF(A1070="","",INDEX(الإعدادات!$H$7:$H$18,MONTH(A1070)))</f>
        <v/>
      </c>
      <c r="Q1070" s="20">
        <f>IF(A1070="","",INDEX(الإعدادات!$I$7:$I$18,MONTH(A1070)))</f>
        <v/>
      </c>
      <c r="R1070" s="20">
        <f>IF(A1070="","",IF(MONTH(A1070)&gt;=8,YEAR(A1070)&amp;"-"&amp;(YEAR(A1070)+1),(YEAR(A1070)-1)&amp;"-"&amp;YEAR(A1070)))</f>
        <v/>
      </c>
      <c r="S1070" s="20">
        <f>IF(OR(A1070="",B1070=""),0,IF(AND(R1070=التقارير!$C$4,OR(التقارير!$C$5="سنوي",AND(التقارير!$C$5="شهري",P1070=التقارير!$C$6),AND(التقارير!$C$5="فصلي",Q1070=التقارير!$C$7))),1,0))</f>
        <v/>
      </c>
      <c r="T1070" s="20">
        <f>IF(S1070=1,COUNTIF($S$5:S1070,1),"")</f>
        <v/>
      </c>
      <c r="U1070">
        <f>IF(AND($A1070&lt;&gt;"",$B1070&lt;&gt;"",$R1070='تقرير الفصل الأول'!$C$4,$Q1070='تقرير الفصل الأول'!$C$7),COUNT(U$4:U1069)+1,"")</f>
        <v/>
      </c>
      <c r="V1070">
        <f>IF(AND($A1070&lt;&gt;"",$B1070&lt;&gt;"",$R1070='تقرير الفصل الثاني'!$C$4,$Q1070='تقرير الفصل الثاني'!$C$7),COUNT(V$4:V1069)+1,"")</f>
        <v/>
      </c>
      <c r="W1070">
        <f>IF(AND($A1070&lt;&gt;"",$B1070&lt;&gt;"",$R1070='تقرير سبتمبر'!$C$4,$P1070='تقرير سبتمبر'!$C$6),COUNT(W$4:W1069)+1,"")</f>
        <v/>
      </c>
      <c r="X1070">
        <f>IF(AND($A1070&lt;&gt;"",$B1070&lt;&gt;"",$R1070='تقرير أكتوبر'!$C$4,$P1070='تقرير أكتوبر'!$C$6),COUNT(X$4:X1069)+1,"")</f>
        <v/>
      </c>
      <c r="Y1070">
        <f>IF(AND($A1070&lt;&gt;"",$B1070&lt;&gt;"",$R1070='تقرير نوفمبر'!$C$4,$P1070='تقرير نوفمبر'!$C$6),COUNT(Y$4:Y1069)+1,"")</f>
        <v/>
      </c>
      <c r="Z1070">
        <f>IF(AND($A1070&lt;&gt;"",$B1070&lt;&gt;"",$R1070='تقرير ديسمبر'!$C$4,$P1070='تقرير ديسمبر'!$C$6),COUNT(Z$4:Z1069)+1,"")</f>
        <v/>
      </c>
      <c r="AA1070">
        <f>IF(AND($A1070&lt;&gt;"",$B1070&lt;&gt;"",$R1070='تقرير يناير'!$C$4,$P1070='تقرير يناير'!$C$6),COUNT(AA$4:AA1069)+1,"")</f>
        <v/>
      </c>
      <c r="AB1070">
        <f>IF(AND($A1070&lt;&gt;"",$B1070&lt;&gt;"",$R1070='تقرير فبراير'!$C$4,$P1070='تقرير فبراير'!$C$6),COUNT(AB$4:AB1069)+1,"")</f>
        <v/>
      </c>
      <c r="AC1070">
        <f>IF(AND($A1070&lt;&gt;"",$B1070&lt;&gt;"",$R1070='تقرير مارس'!$C$4,$P1070='تقرير مارس'!$C$6),COUNT(AC$4:AC1069)+1,"")</f>
        <v/>
      </c>
      <c r="AD1070">
        <f>IF(AND($A1070&lt;&gt;"",$B1070&lt;&gt;"",$R1070='تقرير أبريل'!$C$4,$P1070='تقرير أبريل'!$C$6),COUNT(AD$4:AD1069)+1,"")</f>
        <v/>
      </c>
      <c r="AE1070">
        <f>IF(AND($A1070&lt;&gt;"",$B1070&lt;&gt;"",$R1070='تقرير مايو'!$C$4,$P1070='تقرير مايو'!$C$6),COUNT(AE$4:AE1069)+1,"")</f>
        <v/>
      </c>
    </row>
    <row r="1071">
      <c r="A1071" s="16" t="n"/>
      <c r="B1071" s="17" t="n"/>
      <c r="C1071" s="17" t="n"/>
      <c r="D1071" s="18" t="n"/>
      <c r="E1071" s="17" t="n"/>
      <c r="F1071" s="17" t="n"/>
      <c r="G1071" s="19" t="n"/>
      <c r="H1071" s="17" t="n"/>
      <c r="I1071" s="17" t="n"/>
      <c r="J1071" s="17" t="n"/>
      <c r="K1071" s="20">
        <f>IF($B1071="","",IFERROR(INDEX(الموظفات!$A$5:$A$304,MATCH($B1071,الموظفات!$B$5:$B$304,0))&amp;"",""))</f>
        <v/>
      </c>
      <c r="L1071" s="21">
        <f>IF($B1071="","",IFERROR(INDEX(الموظفات!$C$5:$C$304,MATCH($B1071,الموظفات!$B$5:$B$304,0))&amp;"",""))</f>
        <v/>
      </c>
      <c r="M1071" s="20">
        <f>IF($B1071="","",IFERROR(INDEX(الموظفات!$D$5:$D$304,MATCH($B1071,الموظفات!$B$5:$B$304,0))&amp;"",""))</f>
        <v/>
      </c>
      <c r="N1071" s="20">
        <f>IF($B1071="","",IFERROR(INDEX(الموظفات!$E$5:$E$304,MATCH($B1071,الموظفات!$B$5:$B$304,0))&amp;"",""))</f>
        <v/>
      </c>
      <c r="O1071" s="21">
        <f>IF(C1071="","",IFERROR(INDEX(الإعدادات!$D$7:$D$35,MATCH(C1071,الإعدادات!$A$7:$A$35,0))&amp;"",""))</f>
        <v/>
      </c>
      <c r="P1071" s="20">
        <f>IF(A1071="","",INDEX(الإعدادات!$H$7:$H$18,MONTH(A1071)))</f>
        <v/>
      </c>
      <c r="Q1071" s="20">
        <f>IF(A1071="","",INDEX(الإعدادات!$I$7:$I$18,MONTH(A1071)))</f>
        <v/>
      </c>
      <c r="R1071" s="20">
        <f>IF(A1071="","",IF(MONTH(A1071)&gt;=8,YEAR(A1071)&amp;"-"&amp;(YEAR(A1071)+1),(YEAR(A1071)-1)&amp;"-"&amp;YEAR(A1071)))</f>
        <v/>
      </c>
      <c r="S1071" s="20">
        <f>IF(OR(A1071="",B1071=""),0,IF(AND(R1071=التقارير!$C$4,OR(التقارير!$C$5="سنوي",AND(التقارير!$C$5="شهري",P1071=التقارير!$C$6),AND(التقارير!$C$5="فصلي",Q1071=التقارير!$C$7))),1,0))</f>
        <v/>
      </c>
      <c r="T1071" s="20">
        <f>IF(S1071=1,COUNTIF($S$5:S1071,1),"")</f>
        <v/>
      </c>
      <c r="U1071">
        <f>IF(AND($A1071&lt;&gt;"",$B1071&lt;&gt;"",$R1071='تقرير الفصل الأول'!$C$4,$Q1071='تقرير الفصل الأول'!$C$7),COUNT(U$4:U1070)+1,"")</f>
        <v/>
      </c>
      <c r="V1071">
        <f>IF(AND($A1071&lt;&gt;"",$B1071&lt;&gt;"",$R1071='تقرير الفصل الثاني'!$C$4,$Q1071='تقرير الفصل الثاني'!$C$7),COUNT(V$4:V1070)+1,"")</f>
        <v/>
      </c>
      <c r="W1071">
        <f>IF(AND($A1071&lt;&gt;"",$B1071&lt;&gt;"",$R1071='تقرير سبتمبر'!$C$4,$P1071='تقرير سبتمبر'!$C$6),COUNT(W$4:W1070)+1,"")</f>
        <v/>
      </c>
      <c r="X1071">
        <f>IF(AND($A1071&lt;&gt;"",$B1071&lt;&gt;"",$R1071='تقرير أكتوبر'!$C$4,$P1071='تقرير أكتوبر'!$C$6),COUNT(X$4:X1070)+1,"")</f>
        <v/>
      </c>
      <c r="Y1071">
        <f>IF(AND($A1071&lt;&gt;"",$B1071&lt;&gt;"",$R1071='تقرير نوفمبر'!$C$4,$P1071='تقرير نوفمبر'!$C$6),COUNT(Y$4:Y1070)+1,"")</f>
        <v/>
      </c>
      <c r="Z1071">
        <f>IF(AND($A1071&lt;&gt;"",$B1071&lt;&gt;"",$R1071='تقرير ديسمبر'!$C$4,$P1071='تقرير ديسمبر'!$C$6),COUNT(Z$4:Z1070)+1,"")</f>
        <v/>
      </c>
      <c r="AA1071">
        <f>IF(AND($A1071&lt;&gt;"",$B1071&lt;&gt;"",$R1071='تقرير يناير'!$C$4,$P1071='تقرير يناير'!$C$6),COUNT(AA$4:AA1070)+1,"")</f>
        <v/>
      </c>
      <c r="AB1071">
        <f>IF(AND($A1071&lt;&gt;"",$B1071&lt;&gt;"",$R1071='تقرير فبراير'!$C$4,$P1071='تقرير فبراير'!$C$6),COUNT(AB$4:AB1070)+1,"")</f>
        <v/>
      </c>
      <c r="AC1071">
        <f>IF(AND($A1071&lt;&gt;"",$B1071&lt;&gt;"",$R1071='تقرير مارس'!$C$4,$P1071='تقرير مارس'!$C$6),COUNT(AC$4:AC1070)+1,"")</f>
        <v/>
      </c>
      <c r="AD1071">
        <f>IF(AND($A1071&lt;&gt;"",$B1071&lt;&gt;"",$R1071='تقرير أبريل'!$C$4,$P1071='تقرير أبريل'!$C$6),COUNT(AD$4:AD1070)+1,"")</f>
        <v/>
      </c>
      <c r="AE1071">
        <f>IF(AND($A1071&lt;&gt;"",$B1071&lt;&gt;"",$R1071='تقرير مايو'!$C$4,$P1071='تقرير مايو'!$C$6),COUNT(AE$4:AE1070)+1,"")</f>
        <v/>
      </c>
    </row>
    <row r="1072">
      <c r="A1072" s="16" t="n"/>
      <c r="B1072" s="17" t="n"/>
      <c r="C1072" s="17" t="n"/>
      <c r="D1072" s="18" t="n"/>
      <c r="E1072" s="17" t="n"/>
      <c r="F1072" s="17" t="n"/>
      <c r="G1072" s="19" t="n"/>
      <c r="H1072" s="17" t="n"/>
      <c r="I1072" s="17" t="n"/>
      <c r="J1072" s="17" t="n"/>
      <c r="K1072" s="20">
        <f>IF($B1072="","",IFERROR(INDEX(الموظفات!$A$5:$A$304,MATCH($B1072,الموظفات!$B$5:$B$304,0))&amp;"",""))</f>
        <v/>
      </c>
      <c r="L1072" s="21">
        <f>IF($B1072="","",IFERROR(INDEX(الموظفات!$C$5:$C$304,MATCH($B1072,الموظفات!$B$5:$B$304,0))&amp;"",""))</f>
        <v/>
      </c>
      <c r="M1072" s="20">
        <f>IF($B1072="","",IFERROR(INDEX(الموظفات!$D$5:$D$304,MATCH($B1072,الموظفات!$B$5:$B$304,0))&amp;"",""))</f>
        <v/>
      </c>
      <c r="N1072" s="20">
        <f>IF($B1072="","",IFERROR(INDEX(الموظفات!$E$5:$E$304,MATCH($B1072,الموظفات!$B$5:$B$304,0))&amp;"",""))</f>
        <v/>
      </c>
      <c r="O1072" s="21">
        <f>IF(C1072="","",IFERROR(INDEX(الإعدادات!$D$7:$D$35,MATCH(C1072,الإعدادات!$A$7:$A$35,0))&amp;"",""))</f>
        <v/>
      </c>
      <c r="P1072" s="20">
        <f>IF(A1072="","",INDEX(الإعدادات!$H$7:$H$18,MONTH(A1072)))</f>
        <v/>
      </c>
      <c r="Q1072" s="20">
        <f>IF(A1072="","",INDEX(الإعدادات!$I$7:$I$18,MONTH(A1072)))</f>
        <v/>
      </c>
      <c r="R1072" s="20">
        <f>IF(A1072="","",IF(MONTH(A1072)&gt;=8,YEAR(A1072)&amp;"-"&amp;(YEAR(A1072)+1),(YEAR(A1072)-1)&amp;"-"&amp;YEAR(A1072)))</f>
        <v/>
      </c>
      <c r="S1072" s="20">
        <f>IF(OR(A1072="",B1072=""),0,IF(AND(R1072=التقارير!$C$4,OR(التقارير!$C$5="سنوي",AND(التقارير!$C$5="شهري",P1072=التقارير!$C$6),AND(التقارير!$C$5="فصلي",Q1072=التقارير!$C$7))),1,0))</f>
        <v/>
      </c>
      <c r="T1072" s="20">
        <f>IF(S1072=1,COUNTIF($S$5:S1072,1),"")</f>
        <v/>
      </c>
      <c r="U1072">
        <f>IF(AND($A1072&lt;&gt;"",$B1072&lt;&gt;"",$R1072='تقرير الفصل الأول'!$C$4,$Q1072='تقرير الفصل الأول'!$C$7),COUNT(U$4:U1071)+1,"")</f>
        <v/>
      </c>
      <c r="V1072">
        <f>IF(AND($A1072&lt;&gt;"",$B1072&lt;&gt;"",$R1072='تقرير الفصل الثاني'!$C$4,$Q1072='تقرير الفصل الثاني'!$C$7),COUNT(V$4:V1071)+1,"")</f>
        <v/>
      </c>
      <c r="W1072">
        <f>IF(AND($A1072&lt;&gt;"",$B1072&lt;&gt;"",$R1072='تقرير سبتمبر'!$C$4,$P1072='تقرير سبتمبر'!$C$6),COUNT(W$4:W1071)+1,"")</f>
        <v/>
      </c>
      <c r="X1072">
        <f>IF(AND($A1072&lt;&gt;"",$B1072&lt;&gt;"",$R1072='تقرير أكتوبر'!$C$4,$P1072='تقرير أكتوبر'!$C$6),COUNT(X$4:X1071)+1,"")</f>
        <v/>
      </c>
      <c r="Y1072">
        <f>IF(AND($A1072&lt;&gt;"",$B1072&lt;&gt;"",$R1072='تقرير نوفمبر'!$C$4,$P1072='تقرير نوفمبر'!$C$6),COUNT(Y$4:Y1071)+1,"")</f>
        <v/>
      </c>
      <c r="Z1072">
        <f>IF(AND($A1072&lt;&gt;"",$B1072&lt;&gt;"",$R1072='تقرير ديسمبر'!$C$4,$P1072='تقرير ديسمبر'!$C$6),COUNT(Z$4:Z1071)+1,"")</f>
        <v/>
      </c>
      <c r="AA1072">
        <f>IF(AND($A1072&lt;&gt;"",$B1072&lt;&gt;"",$R1072='تقرير يناير'!$C$4,$P1072='تقرير يناير'!$C$6),COUNT(AA$4:AA1071)+1,"")</f>
        <v/>
      </c>
      <c r="AB1072">
        <f>IF(AND($A1072&lt;&gt;"",$B1072&lt;&gt;"",$R1072='تقرير فبراير'!$C$4,$P1072='تقرير فبراير'!$C$6),COUNT(AB$4:AB1071)+1,"")</f>
        <v/>
      </c>
      <c r="AC1072">
        <f>IF(AND($A1072&lt;&gt;"",$B1072&lt;&gt;"",$R1072='تقرير مارس'!$C$4,$P1072='تقرير مارس'!$C$6),COUNT(AC$4:AC1071)+1,"")</f>
        <v/>
      </c>
      <c r="AD1072">
        <f>IF(AND($A1072&lt;&gt;"",$B1072&lt;&gt;"",$R1072='تقرير أبريل'!$C$4,$P1072='تقرير أبريل'!$C$6),COUNT(AD$4:AD1071)+1,"")</f>
        <v/>
      </c>
      <c r="AE1072">
        <f>IF(AND($A1072&lt;&gt;"",$B1072&lt;&gt;"",$R1072='تقرير مايو'!$C$4,$P1072='تقرير مايو'!$C$6),COUNT(AE$4:AE1071)+1,"")</f>
        <v/>
      </c>
    </row>
    <row r="1073">
      <c r="A1073" s="16" t="n"/>
      <c r="B1073" s="17" t="n"/>
      <c r="C1073" s="17" t="n"/>
      <c r="D1073" s="18" t="n"/>
      <c r="E1073" s="17" t="n"/>
      <c r="F1073" s="17" t="n"/>
      <c r="G1073" s="19" t="n"/>
      <c r="H1073" s="17" t="n"/>
      <c r="I1073" s="17" t="n"/>
      <c r="J1073" s="17" t="n"/>
      <c r="K1073" s="20">
        <f>IF($B1073="","",IFERROR(INDEX(الموظفات!$A$5:$A$304,MATCH($B1073,الموظفات!$B$5:$B$304,0))&amp;"",""))</f>
        <v/>
      </c>
      <c r="L1073" s="21">
        <f>IF($B1073="","",IFERROR(INDEX(الموظفات!$C$5:$C$304,MATCH($B1073,الموظفات!$B$5:$B$304,0))&amp;"",""))</f>
        <v/>
      </c>
      <c r="M1073" s="20">
        <f>IF($B1073="","",IFERROR(INDEX(الموظفات!$D$5:$D$304,MATCH($B1073,الموظفات!$B$5:$B$304,0))&amp;"",""))</f>
        <v/>
      </c>
      <c r="N1073" s="20">
        <f>IF($B1073="","",IFERROR(INDEX(الموظفات!$E$5:$E$304,MATCH($B1073,الموظفات!$B$5:$B$304,0))&amp;"",""))</f>
        <v/>
      </c>
      <c r="O1073" s="21">
        <f>IF(C1073="","",IFERROR(INDEX(الإعدادات!$D$7:$D$35,MATCH(C1073,الإعدادات!$A$7:$A$35,0))&amp;"",""))</f>
        <v/>
      </c>
      <c r="P1073" s="20">
        <f>IF(A1073="","",INDEX(الإعدادات!$H$7:$H$18,MONTH(A1073)))</f>
        <v/>
      </c>
      <c r="Q1073" s="20">
        <f>IF(A1073="","",INDEX(الإعدادات!$I$7:$I$18,MONTH(A1073)))</f>
        <v/>
      </c>
      <c r="R1073" s="20">
        <f>IF(A1073="","",IF(MONTH(A1073)&gt;=8,YEAR(A1073)&amp;"-"&amp;(YEAR(A1073)+1),(YEAR(A1073)-1)&amp;"-"&amp;YEAR(A1073)))</f>
        <v/>
      </c>
      <c r="S1073" s="20">
        <f>IF(OR(A1073="",B1073=""),0,IF(AND(R1073=التقارير!$C$4,OR(التقارير!$C$5="سنوي",AND(التقارير!$C$5="شهري",P1073=التقارير!$C$6),AND(التقارير!$C$5="فصلي",Q1073=التقارير!$C$7))),1,0))</f>
        <v/>
      </c>
      <c r="T1073" s="20">
        <f>IF(S1073=1,COUNTIF($S$5:S1073,1),"")</f>
        <v/>
      </c>
      <c r="U1073">
        <f>IF(AND($A1073&lt;&gt;"",$B1073&lt;&gt;"",$R1073='تقرير الفصل الأول'!$C$4,$Q1073='تقرير الفصل الأول'!$C$7),COUNT(U$4:U1072)+1,"")</f>
        <v/>
      </c>
      <c r="V1073">
        <f>IF(AND($A1073&lt;&gt;"",$B1073&lt;&gt;"",$R1073='تقرير الفصل الثاني'!$C$4,$Q1073='تقرير الفصل الثاني'!$C$7),COUNT(V$4:V1072)+1,"")</f>
        <v/>
      </c>
      <c r="W1073">
        <f>IF(AND($A1073&lt;&gt;"",$B1073&lt;&gt;"",$R1073='تقرير سبتمبر'!$C$4,$P1073='تقرير سبتمبر'!$C$6),COUNT(W$4:W1072)+1,"")</f>
        <v/>
      </c>
      <c r="X1073">
        <f>IF(AND($A1073&lt;&gt;"",$B1073&lt;&gt;"",$R1073='تقرير أكتوبر'!$C$4,$P1073='تقرير أكتوبر'!$C$6),COUNT(X$4:X1072)+1,"")</f>
        <v/>
      </c>
      <c r="Y1073">
        <f>IF(AND($A1073&lt;&gt;"",$B1073&lt;&gt;"",$R1073='تقرير نوفمبر'!$C$4,$P1073='تقرير نوفمبر'!$C$6),COUNT(Y$4:Y1072)+1,"")</f>
        <v/>
      </c>
      <c r="Z1073">
        <f>IF(AND($A1073&lt;&gt;"",$B1073&lt;&gt;"",$R1073='تقرير ديسمبر'!$C$4,$P1073='تقرير ديسمبر'!$C$6),COUNT(Z$4:Z1072)+1,"")</f>
        <v/>
      </c>
      <c r="AA1073">
        <f>IF(AND($A1073&lt;&gt;"",$B1073&lt;&gt;"",$R1073='تقرير يناير'!$C$4,$P1073='تقرير يناير'!$C$6),COUNT(AA$4:AA1072)+1,"")</f>
        <v/>
      </c>
      <c r="AB1073">
        <f>IF(AND($A1073&lt;&gt;"",$B1073&lt;&gt;"",$R1073='تقرير فبراير'!$C$4,$P1073='تقرير فبراير'!$C$6),COUNT(AB$4:AB1072)+1,"")</f>
        <v/>
      </c>
      <c r="AC1073">
        <f>IF(AND($A1073&lt;&gt;"",$B1073&lt;&gt;"",$R1073='تقرير مارس'!$C$4,$P1073='تقرير مارس'!$C$6),COUNT(AC$4:AC1072)+1,"")</f>
        <v/>
      </c>
      <c r="AD1073">
        <f>IF(AND($A1073&lt;&gt;"",$B1073&lt;&gt;"",$R1073='تقرير أبريل'!$C$4,$P1073='تقرير أبريل'!$C$6),COUNT(AD$4:AD1072)+1,"")</f>
        <v/>
      </c>
      <c r="AE1073">
        <f>IF(AND($A1073&lt;&gt;"",$B1073&lt;&gt;"",$R1073='تقرير مايو'!$C$4,$P1073='تقرير مايو'!$C$6),COUNT(AE$4:AE1072)+1,"")</f>
        <v/>
      </c>
    </row>
    <row r="1074">
      <c r="A1074" s="16" t="n"/>
      <c r="B1074" s="17" t="n"/>
      <c r="C1074" s="17" t="n"/>
      <c r="D1074" s="18" t="n"/>
      <c r="E1074" s="17" t="n"/>
      <c r="F1074" s="17" t="n"/>
      <c r="G1074" s="19" t="n"/>
      <c r="H1074" s="17" t="n"/>
      <c r="I1074" s="17" t="n"/>
      <c r="J1074" s="17" t="n"/>
      <c r="K1074" s="20">
        <f>IF($B1074="","",IFERROR(INDEX(الموظفات!$A$5:$A$304,MATCH($B1074,الموظفات!$B$5:$B$304,0))&amp;"",""))</f>
        <v/>
      </c>
      <c r="L1074" s="21">
        <f>IF($B1074="","",IFERROR(INDEX(الموظفات!$C$5:$C$304,MATCH($B1074,الموظفات!$B$5:$B$304,0))&amp;"",""))</f>
        <v/>
      </c>
      <c r="M1074" s="20">
        <f>IF($B1074="","",IFERROR(INDEX(الموظفات!$D$5:$D$304,MATCH($B1074,الموظفات!$B$5:$B$304,0))&amp;"",""))</f>
        <v/>
      </c>
      <c r="N1074" s="20">
        <f>IF($B1074="","",IFERROR(INDEX(الموظفات!$E$5:$E$304,MATCH($B1074,الموظفات!$B$5:$B$304,0))&amp;"",""))</f>
        <v/>
      </c>
      <c r="O1074" s="21">
        <f>IF(C1074="","",IFERROR(INDEX(الإعدادات!$D$7:$D$35,MATCH(C1074,الإعدادات!$A$7:$A$35,0))&amp;"",""))</f>
        <v/>
      </c>
      <c r="P1074" s="20">
        <f>IF(A1074="","",INDEX(الإعدادات!$H$7:$H$18,MONTH(A1074)))</f>
        <v/>
      </c>
      <c r="Q1074" s="20">
        <f>IF(A1074="","",INDEX(الإعدادات!$I$7:$I$18,MONTH(A1074)))</f>
        <v/>
      </c>
      <c r="R1074" s="20">
        <f>IF(A1074="","",IF(MONTH(A1074)&gt;=8,YEAR(A1074)&amp;"-"&amp;(YEAR(A1074)+1),(YEAR(A1074)-1)&amp;"-"&amp;YEAR(A1074)))</f>
        <v/>
      </c>
      <c r="S1074" s="20">
        <f>IF(OR(A1074="",B1074=""),0,IF(AND(R1074=التقارير!$C$4,OR(التقارير!$C$5="سنوي",AND(التقارير!$C$5="شهري",P1074=التقارير!$C$6),AND(التقارير!$C$5="فصلي",Q1074=التقارير!$C$7))),1,0))</f>
        <v/>
      </c>
      <c r="T1074" s="20">
        <f>IF(S1074=1,COUNTIF($S$5:S1074,1),"")</f>
        <v/>
      </c>
      <c r="U1074">
        <f>IF(AND($A1074&lt;&gt;"",$B1074&lt;&gt;"",$R1074='تقرير الفصل الأول'!$C$4,$Q1074='تقرير الفصل الأول'!$C$7),COUNT(U$4:U1073)+1,"")</f>
        <v/>
      </c>
      <c r="V1074">
        <f>IF(AND($A1074&lt;&gt;"",$B1074&lt;&gt;"",$R1074='تقرير الفصل الثاني'!$C$4,$Q1074='تقرير الفصل الثاني'!$C$7),COUNT(V$4:V1073)+1,"")</f>
        <v/>
      </c>
      <c r="W1074">
        <f>IF(AND($A1074&lt;&gt;"",$B1074&lt;&gt;"",$R1074='تقرير سبتمبر'!$C$4,$P1074='تقرير سبتمبر'!$C$6),COUNT(W$4:W1073)+1,"")</f>
        <v/>
      </c>
      <c r="X1074">
        <f>IF(AND($A1074&lt;&gt;"",$B1074&lt;&gt;"",$R1074='تقرير أكتوبر'!$C$4,$P1074='تقرير أكتوبر'!$C$6),COUNT(X$4:X1073)+1,"")</f>
        <v/>
      </c>
      <c r="Y1074">
        <f>IF(AND($A1074&lt;&gt;"",$B1074&lt;&gt;"",$R1074='تقرير نوفمبر'!$C$4,$P1074='تقرير نوفمبر'!$C$6),COUNT(Y$4:Y1073)+1,"")</f>
        <v/>
      </c>
      <c r="Z1074">
        <f>IF(AND($A1074&lt;&gt;"",$B1074&lt;&gt;"",$R1074='تقرير ديسمبر'!$C$4,$P1074='تقرير ديسمبر'!$C$6),COUNT(Z$4:Z1073)+1,"")</f>
        <v/>
      </c>
      <c r="AA1074">
        <f>IF(AND($A1074&lt;&gt;"",$B1074&lt;&gt;"",$R1074='تقرير يناير'!$C$4,$P1074='تقرير يناير'!$C$6),COUNT(AA$4:AA1073)+1,"")</f>
        <v/>
      </c>
      <c r="AB1074">
        <f>IF(AND($A1074&lt;&gt;"",$B1074&lt;&gt;"",$R1074='تقرير فبراير'!$C$4,$P1074='تقرير فبراير'!$C$6),COUNT(AB$4:AB1073)+1,"")</f>
        <v/>
      </c>
      <c r="AC1074">
        <f>IF(AND($A1074&lt;&gt;"",$B1074&lt;&gt;"",$R1074='تقرير مارس'!$C$4,$P1074='تقرير مارس'!$C$6),COUNT(AC$4:AC1073)+1,"")</f>
        <v/>
      </c>
      <c r="AD1074">
        <f>IF(AND($A1074&lt;&gt;"",$B1074&lt;&gt;"",$R1074='تقرير أبريل'!$C$4,$P1074='تقرير أبريل'!$C$6),COUNT(AD$4:AD1073)+1,"")</f>
        <v/>
      </c>
      <c r="AE1074">
        <f>IF(AND($A1074&lt;&gt;"",$B1074&lt;&gt;"",$R1074='تقرير مايو'!$C$4,$P1074='تقرير مايو'!$C$6),COUNT(AE$4:AE1073)+1,"")</f>
        <v/>
      </c>
    </row>
    <row r="1075">
      <c r="A1075" s="16" t="n"/>
      <c r="B1075" s="17" t="n"/>
      <c r="C1075" s="17" t="n"/>
      <c r="D1075" s="18" t="n"/>
      <c r="E1075" s="17" t="n"/>
      <c r="F1075" s="17" t="n"/>
      <c r="G1075" s="19" t="n"/>
      <c r="H1075" s="17" t="n"/>
      <c r="I1075" s="17" t="n"/>
      <c r="J1075" s="17" t="n"/>
      <c r="K1075" s="20">
        <f>IF($B1075="","",IFERROR(INDEX(الموظفات!$A$5:$A$304,MATCH($B1075,الموظفات!$B$5:$B$304,0))&amp;"",""))</f>
        <v/>
      </c>
      <c r="L1075" s="21">
        <f>IF($B1075="","",IFERROR(INDEX(الموظفات!$C$5:$C$304,MATCH($B1075,الموظفات!$B$5:$B$304,0))&amp;"",""))</f>
        <v/>
      </c>
      <c r="M1075" s="20">
        <f>IF($B1075="","",IFERROR(INDEX(الموظفات!$D$5:$D$304,MATCH($B1075,الموظفات!$B$5:$B$304,0))&amp;"",""))</f>
        <v/>
      </c>
      <c r="N1075" s="20">
        <f>IF($B1075="","",IFERROR(INDEX(الموظفات!$E$5:$E$304,MATCH($B1075,الموظفات!$B$5:$B$304,0))&amp;"",""))</f>
        <v/>
      </c>
      <c r="O1075" s="21">
        <f>IF(C1075="","",IFERROR(INDEX(الإعدادات!$D$7:$D$35,MATCH(C1075,الإعدادات!$A$7:$A$35,0))&amp;"",""))</f>
        <v/>
      </c>
      <c r="P1075" s="20">
        <f>IF(A1075="","",INDEX(الإعدادات!$H$7:$H$18,MONTH(A1075)))</f>
        <v/>
      </c>
      <c r="Q1075" s="20">
        <f>IF(A1075="","",INDEX(الإعدادات!$I$7:$I$18,MONTH(A1075)))</f>
        <v/>
      </c>
      <c r="R1075" s="20">
        <f>IF(A1075="","",IF(MONTH(A1075)&gt;=8,YEAR(A1075)&amp;"-"&amp;(YEAR(A1075)+1),(YEAR(A1075)-1)&amp;"-"&amp;YEAR(A1075)))</f>
        <v/>
      </c>
      <c r="S1075" s="20">
        <f>IF(OR(A1075="",B1075=""),0,IF(AND(R1075=التقارير!$C$4,OR(التقارير!$C$5="سنوي",AND(التقارير!$C$5="شهري",P1075=التقارير!$C$6),AND(التقارير!$C$5="فصلي",Q1075=التقارير!$C$7))),1,0))</f>
        <v/>
      </c>
      <c r="T1075" s="20">
        <f>IF(S1075=1,COUNTIF($S$5:S1075,1),"")</f>
        <v/>
      </c>
      <c r="U1075">
        <f>IF(AND($A1075&lt;&gt;"",$B1075&lt;&gt;"",$R1075='تقرير الفصل الأول'!$C$4,$Q1075='تقرير الفصل الأول'!$C$7),COUNT(U$4:U1074)+1,"")</f>
        <v/>
      </c>
      <c r="V1075">
        <f>IF(AND($A1075&lt;&gt;"",$B1075&lt;&gt;"",$R1075='تقرير الفصل الثاني'!$C$4,$Q1075='تقرير الفصل الثاني'!$C$7),COUNT(V$4:V1074)+1,"")</f>
        <v/>
      </c>
      <c r="W1075">
        <f>IF(AND($A1075&lt;&gt;"",$B1075&lt;&gt;"",$R1075='تقرير سبتمبر'!$C$4,$P1075='تقرير سبتمبر'!$C$6),COUNT(W$4:W1074)+1,"")</f>
        <v/>
      </c>
      <c r="X1075">
        <f>IF(AND($A1075&lt;&gt;"",$B1075&lt;&gt;"",$R1075='تقرير أكتوبر'!$C$4,$P1075='تقرير أكتوبر'!$C$6),COUNT(X$4:X1074)+1,"")</f>
        <v/>
      </c>
      <c r="Y1075">
        <f>IF(AND($A1075&lt;&gt;"",$B1075&lt;&gt;"",$R1075='تقرير نوفمبر'!$C$4,$P1075='تقرير نوفمبر'!$C$6),COUNT(Y$4:Y1074)+1,"")</f>
        <v/>
      </c>
      <c r="Z1075">
        <f>IF(AND($A1075&lt;&gt;"",$B1075&lt;&gt;"",$R1075='تقرير ديسمبر'!$C$4,$P1075='تقرير ديسمبر'!$C$6),COUNT(Z$4:Z1074)+1,"")</f>
        <v/>
      </c>
      <c r="AA1075">
        <f>IF(AND($A1075&lt;&gt;"",$B1075&lt;&gt;"",$R1075='تقرير يناير'!$C$4,$P1075='تقرير يناير'!$C$6),COUNT(AA$4:AA1074)+1,"")</f>
        <v/>
      </c>
      <c r="AB1075">
        <f>IF(AND($A1075&lt;&gt;"",$B1075&lt;&gt;"",$R1075='تقرير فبراير'!$C$4,$P1075='تقرير فبراير'!$C$6),COUNT(AB$4:AB1074)+1,"")</f>
        <v/>
      </c>
      <c r="AC1075">
        <f>IF(AND($A1075&lt;&gt;"",$B1075&lt;&gt;"",$R1075='تقرير مارس'!$C$4,$P1075='تقرير مارس'!$C$6),COUNT(AC$4:AC1074)+1,"")</f>
        <v/>
      </c>
      <c r="AD1075">
        <f>IF(AND($A1075&lt;&gt;"",$B1075&lt;&gt;"",$R1075='تقرير أبريل'!$C$4,$P1075='تقرير أبريل'!$C$6),COUNT(AD$4:AD1074)+1,"")</f>
        <v/>
      </c>
      <c r="AE1075">
        <f>IF(AND($A1075&lt;&gt;"",$B1075&lt;&gt;"",$R1075='تقرير مايو'!$C$4,$P1075='تقرير مايو'!$C$6),COUNT(AE$4:AE1074)+1,"")</f>
        <v/>
      </c>
    </row>
    <row r="1076">
      <c r="A1076" s="16" t="n"/>
      <c r="B1076" s="17" t="n"/>
      <c r="C1076" s="17" t="n"/>
      <c r="D1076" s="18" t="n"/>
      <c r="E1076" s="17" t="n"/>
      <c r="F1076" s="17" t="n"/>
      <c r="G1076" s="19" t="n"/>
      <c r="H1076" s="17" t="n"/>
      <c r="I1076" s="17" t="n"/>
      <c r="J1076" s="17" t="n"/>
      <c r="K1076" s="20">
        <f>IF($B1076="","",IFERROR(INDEX(الموظفات!$A$5:$A$304,MATCH($B1076,الموظفات!$B$5:$B$304,0))&amp;"",""))</f>
        <v/>
      </c>
      <c r="L1076" s="21">
        <f>IF($B1076="","",IFERROR(INDEX(الموظفات!$C$5:$C$304,MATCH($B1076,الموظفات!$B$5:$B$304,0))&amp;"",""))</f>
        <v/>
      </c>
      <c r="M1076" s="20">
        <f>IF($B1076="","",IFERROR(INDEX(الموظفات!$D$5:$D$304,MATCH($B1076,الموظفات!$B$5:$B$304,0))&amp;"",""))</f>
        <v/>
      </c>
      <c r="N1076" s="20">
        <f>IF($B1076="","",IFERROR(INDEX(الموظفات!$E$5:$E$304,MATCH($B1076,الموظفات!$B$5:$B$304,0))&amp;"",""))</f>
        <v/>
      </c>
      <c r="O1076" s="21">
        <f>IF(C1076="","",IFERROR(INDEX(الإعدادات!$D$7:$D$35,MATCH(C1076,الإعدادات!$A$7:$A$35,0))&amp;"",""))</f>
        <v/>
      </c>
      <c r="P1076" s="20">
        <f>IF(A1076="","",INDEX(الإعدادات!$H$7:$H$18,MONTH(A1076)))</f>
        <v/>
      </c>
      <c r="Q1076" s="20">
        <f>IF(A1076="","",INDEX(الإعدادات!$I$7:$I$18,MONTH(A1076)))</f>
        <v/>
      </c>
      <c r="R1076" s="20">
        <f>IF(A1076="","",IF(MONTH(A1076)&gt;=8,YEAR(A1076)&amp;"-"&amp;(YEAR(A1076)+1),(YEAR(A1076)-1)&amp;"-"&amp;YEAR(A1076)))</f>
        <v/>
      </c>
      <c r="S1076" s="20">
        <f>IF(OR(A1076="",B1076=""),0,IF(AND(R1076=التقارير!$C$4,OR(التقارير!$C$5="سنوي",AND(التقارير!$C$5="شهري",P1076=التقارير!$C$6),AND(التقارير!$C$5="فصلي",Q1076=التقارير!$C$7))),1,0))</f>
        <v/>
      </c>
      <c r="T1076" s="20">
        <f>IF(S1076=1,COUNTIF($S$5:S1076,1),"")</f>
        <v/>
      </c>
      <c r="U1076">
        <f>IF(AND($A1076&lt;&gt;"",$B1076&lt;&gt;"",$R1076='تقرير الفصل الأول'!$C$4,$Q1076='تقرير الفصل الأول'!$C$7),COUNT(U$4:U1075)+1,"")</f>
        <v/>
      </c>
      <c r="V1076">
        <f>IF(AND($A1076&lt;&gt;"",$B1076&lt;&gt;"",$R1076='تقرير الفصل الثاني'!$C$4,$Q1076='تقرير الفصل الثاني'!$C$7),COUNT(V$4:V1075)+1,"")</f>
        <v/>
      </c>
      <c r="W1076">
        <f>IF(AND($A1076&lt;&gt;"",$B1076&lt;&gt;"",$R1076='تقرير سبتمبر'!$C$4,$P1076='تقرير سبتمبر'!$C$6),COUNT(W$4:W1075)+1,"")</f>
        <v/>
      </c>
      <c r="X1076">
        <f>IF(AND($A1076&lt;&gt;"",$B1076&lt;&gt;"",$R1076='تقرير أكتوبر'!$C$4,$P1076='تقرير أكتوبر'!$C$6),COUNT(X$4:X1075)+1,"")</f>
        <v/>
      </c>
      <c r="Y1076">
        <f>IF(AND($A1076&lt;&gt;"",$B1076&lt;&gt;"",$R1076='تقرير نوفمبر'!$C$4,$P1076='تقرير نوفمبر'!$C$6),COUNT(Y$4:Y1075)+1,"")</f>
        <v/>
      </c>
      <c r="Z1076">
        <f>IF(AND($A1076&lt;&gt;"",$B1076&lt;&gt;"",$R1076='تقرير ديسمبر'!$C$4,$P1076='تقرير ديسمبر'!$C$6),COUNT(Z$4:Z1075)+1,"")</f>
        <v/>
      </c>
      <c r="AA1076">
        <f>IF(AND($A1076&lt;&gt;"",$B1076&lt;&gt;"",$R1076='تقرير يناير'!$C$4,$P1076='تقرير يناير'!$C$6),COUNT(AA$4:AA1075)+1,"")</f>
        <v/>
      </c>
      <c r="AB1076">
        <f>IF(AND($A1076&lt;&gt;"",$B1076&lt;&gt;"",$R1076='تقرير فبراير'!$C$4,$P1076='تقرير فبراير'!$C$6),COUNT(AB$4:AB1075)+1,"")</f>
        <v/>
      </c>
      <c r="AC1076">
        <f>IF(AND($A1076&lt;&gt;"",$B1076&lt;&gt;"",$R1076='تقرير مارس'!$C$4,$P1076='تقرير مارس'!$C$6),COUNT(AC$4:AC1075)+1,"")</f>
        <v/>
      </c>
      <c r="AD1076">
        <f>IF(AND($A1076&lt;&gt;"",$B1076&lt;&gt;"",$R1076='تقرير أبريل'!$C$4,$P1076='تقرير أبريل'!$C$6),COUNT(AD$4:AD1075)+1,"")</f>
        <v/>
      </c>
      <c r="AE1076">
        <f>IF(AND($A1076&lt;&gt;"",$B1076&lt;&gt;"",$R1076='تقرير مايو'!$C$4,$P1076='تقرير مايو'!$C$6),COUNT(AE$4:AE1075)+1,"")</f>
        <v/>
      </c>
    </row>
    <row r="1077">
      <c r="A1077" s="16" t="n"/>
      <c r="B1077" s="17" t="n"/>
      <c r="C1077" s="17" t="n"/>
      <c r="D1077" s="18" t="n"/>
      <c r="E1077" s="17" t="n"/>
      <c r="F1077" s="17" t="n"/>
      <c r="G1077" s="19" t="n"/>
      <c r="H1077" s="17" t="n"/>
      <c r="I1077" s="17" t="n"/>
      <c r="J1077" s="17" t="n"/>
      <c r="K1077" s="20">
        <f>IF($B1077="","",IFERROR(INDEX(الموظفات!$A$5:$A$304,MATCH($B1077,الموظفات!$B$5:$B$304,0))&amp;"",""))</f>
        <v/>
      </c>
      <c r="L1077" s="21">
        <f>IF($B1077="","",IFERROR(INDEX(الموظفات!$C$5:$C$304,MATCH($B1077,الموظفات!$B$5:$B$304,0))&amp;"",""))</f>
        <v/>
      </c>
      <c r="M1077" s="20">
        <f>IF($B1077="","",IFERROR(INDEX(الموظفات!$D$5:$D$304,MATCH($B1077,الموظفات!$B$5:$B$304,0))&amp;"",""))</f>
        <v/>
      </c>
      <c r="N1077" s="20">
        <f>IF($B1077="","",IFERROR(INDEX(الموظفات!$E$5:$E$304,MATCH($B1077,الموظفات!$B$5:$B$304,0))&amp;"",""))</f>
        <v/>
      </c>
      <c r="O1077" s="21">
        <f>IF(C1077="","",IFERROR(INDEX(الإعدادات!$D$7:$D$35,MATCH(C1077,الإعدادات!$A$7:$A$35,0))&amp;"",""))</f>
        <v/>
      </c>
      <c r="P1077" s="20">
        <f>IF(A1077="","",INDEX(الإعدادات!$H$7:$H$18,MONTH(A1077)))</f>
        <v/>
      </c>
      <c r="Q1077" s="20">
        <f>IF(A1077="","",INDEX(الإعدادات!$I$7:$I$18,MONTH(A1077)))</f>
        <v/>
      </c>
      <c r="R1077" s="20">
        <f>IF(A1077="","",IF(MONTH(A1077)&gt;=8,YEAR(A1077)&amp;"-"&amp;(YEAR(A1077)+1),(YEAR(A1077)-1)&amp;"-"&amp;YEAR(A1077)))</f>
        <v/>
      </c>
      <c r="S1077" s="20">
        <f>IF(OR(A1077="",B1077=""),0,IF(AND(R1077=التقارير!$C$4,OR(التقارير!$C$5="سنوي",AND(التقارير!$C$5="شهري",P1077=التقارير!$C$6),AND(التقارير!$C$5="فصلي",Q1077=التقارير!$C$7))),1,0))</f>
        <v/>
      </c>
      <c r="T1077" s="20">
        <f>IF(S1077=1,COUNTIF($S$5:S1077,1),"")</f>
        <v/>
      </c>
      <c r="U1077">
        <f>IF(AND($A1077&lt;&gt;"",$B1077&lt;&gt;"",$R1077='تقرير الفصل الأول'!$C$4,$Q1077='تقرير الفصل الأول'!$C$7),COUNT(U$4:U1076)+1,"")</f>
        <v/>
      </c>
      <c r="V1077">
        <f>IF(AND($A1077&lt;&gt;"",$B1077&lt;&gt;"",$R1077='تقرير الفصل الثاني'!$C$4,$Q1077='تقرير الفصل الثاني'!$C$7),COUNT(V$4:V1076)+1,"")</f>
        <v/>
      </c>
      <c r="W1077">
        <f>IF(AND($A1077&lt;&gt;"",$B1077&lt;&gt;"",$R1077='تقرير سبتمبر'!$C$4,$P1077='تقرير سبتمبر'!$C$6),COUNT(W$4:W1076)+1,"")</f>
        <v/>
      </c>
      <c r="X1077">
        <f>IF(AND($A1077&lt;&gt;"",$B1077&lt;&gt;"",$R1077='تقرير أكتوبر'!$C$4,$P1077='تقرير أكتوبر'!$C$6),COUNT(X$4:X1076)+1,"")</f>
        <v/>
      </c>
      <c r="Y1077">
        <f>IF(AND($A1077&lt;&gt;"",$B1077&lt;&gt;"",$R1077='تقرير نوفمبر'!$C$4,$P1077='تقرير نوفمبر'!$C$6),COUNT(Y$4:Y1076)+1,"")</f>
        <v/>
      </c>
      <c r="Z1077">
        <f>IF(AND($A1077&lt;&gt;"",$B1077&lt;&gt;"",$R1077='تقرير ديسمبر'!$C$4,$P1077='تقرير ديسمبر'!$C$6),COUNT(Z$4:Z1076)+1,"")</f>
        <v/>
      </c>
      <c r="AA1077">
        <f>IF(AND($A1077&lt;&gt;"",$B1077&lt;&gt;"",$R1077='تقرير يناير'!$C$4,$P1077='تقرير يناير'!$C$6),COUNT(AA$4:AA1076)+1,"")</f>
        <v/>
      </c>
      <c r="AB1077">
        <f>IF(AND($A1077&lt;&gt;"",$B1077&lt;&gt;"",$R1077='تقرير فبراير'!$C$4,$P1077='تقرير فبراير'!$C$6),COUNT(AB$4:AB1076)+1,"")</f>
        <v/>
      </c>
      <c r="AC1077">
        <f>IF(AND($A1077&lt;&gt;"",$B1077&lt;&gt;"",$R1077='تقرير مارس'!$C$4,$P1077='تقرير مارس'!$C$6),COUNT(AC$4:AC1076)+1,"")</f>
        <v/>
      </c>
      <c r="AD1077">
        <f>IF(AND($A1077&lt;&gt;"",$B1077&lt;&gt;"",$R1077='تقرير أبريل'!$C$4,$P1077='تقرير أبريل'!$C$6),COUNT(AD$4:AD1076)+1,"")</f>
        <v/>
      </c>
      <c r="AE1077">
        <f>IF(AND($A1077&lt;&gt;"",$B1077&lt;&gt;"",$R1077='تقرير مايو'!$C$4,$P1077='تقرير مايو'!$C$6),COUNT(AE$4:AE1076)+1,"")</f>
        <v/>
      </c>
    </row>
    <row r="1078">
      <c r="A1078" s="16" t="n"/>
      <c r="B1078" s="17" t="n"/>
      <c r="C1078" s="17" t="n"/>
      <c r="D1078" s="18" t="n"/>
      <c r="E1078" s="17" t="n"/>
      <c r="F1078" s="17" t="n"/>
      <c r="G1078" s="19" t="n"/>
      <c r="H1078" s="17" t="n"/>
      <c r="I1078" s="17" t="n"/>
      <c r="J1078" s="17" t="n"/>
      <c r="K1078" s="20">
        <f>IF($B1078="","",IFERROR(INDEX(الموظفات!$A$5:$A$304,MATCH($B1078,الموظفات!$B$5:$B$304,0))&amp;"",""))</f>
        <v/>
      </c>
      <c r="L1078" s="21">
        <f>IF($B1078="","",IFERROR(INDEX(الموظفات!$C$5:$C$304,MATCH($B1078,الموظفات!$B$5:$B$304,0))&amp;"",""))</f>
        <v/>
      </c>
      <c r="M1078" s="20">
        <f>IF($B1078="","",IFERROR(INDEX(الموظفات!$D$5:$D$304,MATCH($B1078,الموظفات!$B$5:$B$304,0))&amp;"",""))</f>
        <v/>
      </c>
      <c r="N1078" s="20">
        <f>IF($B1078="","",IFERROR(INDEX(الموظفات!$E$5:$E$304,MATCH($B1078,الموظفات!$B$5:$B$304,0))&amp;"",""))</f>
        <v/>
      </c>
      <c r="O1078" s="21">
        <f>IF(C1078="","",IFERROR(INDEX(الإعدادات!$D$7:$D$35,MATCH(C1078,الإعدادات!$A$7:$A$35,0))&amp;"",""))</f>
        <v/>
      </c>
      <c r="P1078" s="20">
        <f>IF(A1078="","",INDEX(الإعدادات!$H$7:$H$18,MONTH(A1078)))</f>
        <v/>
      </c>
      <c r="Q1078" s="20">
        <f>IF(A1078="","",INDEX(الإعدادات!$I$7:$I$18,MONTH(A1078)))</f>
        <v/>
      </c>
      <c r="R1078" s="20">
        <f>IF(A1078="","",IF(MONTH(A1078)&gt;=8,YEAR(A1078)&amp;"-"&amp;(YEAR(A1078)+1),(YEAR(A1078)-1)&amp;"-"&amp;YEAR(A1078)))</f>
        <v/>
      </c>
      <c r="S1078" s="20">
        <f>IF(OR(A1078="",B1078=""),0,IF(AND(R1078=التقارير!$C$4,OR(التقارير!$C$5="سنوي",AND(التقارير!$C$5="شهري",P1078=التقارير!$C$6),AND(التقارير!$C$5="فصلي",Q1078=التقارير!$C$7))),1,0))</f>
        <v/>
      </c>
      <c r="T1078" s="20">
        <f>IF(S1078=1,COUNTIF($S$5:S1078,1),"")</f>
        <v/>
      </c>
      <c r="U1078">
        <f>IF(AND($A1078&lt;&gt;"",$B1078&lt;&gt;"",$R1078='تقرير الفصل الأول'!$C$4,$Q1078='تقرير الفصل الأول'!$C$7),COUNT(U$4:U1077)+1,"")</f>
        <v/>
      </c>
      <c r="V1078">
        <f>IF(AND($A1078&lt;&gt;"",$B1078&lt;&gt;"",$R1078='تقرير الفصل الثاني'!$C$4,$Q1078='تقرير الفصل الثاني'!$C$7),COUNT(V$4:V1077)+1,"")</f>
        <v/>
      </c>
      <c r="W1078">
        <f>IF(AND($A1078&lt;&gt;"",$B1078&lt;&gt;"",$R1078='تقرير سبتمبر'!$C$4,$P1078='تقرير سبتمبر'!$C$6),COUNT(W$4:W1077)+1,"")</f>
        <v/>
      </c>
      <c r="X1078">
        <f>IF(AND($A1078&lt;&gt;"",$B1078&lt;&gt;"",$R1078='تقرير أكتوبر'!$C$4,$P1078='تقرير أكتوبر'!$C$6),COUNT(X$4:X1077)+1,"")</f>
        <v/>
      </c>
      <c r="Y1078">
        <f>IF(AND($A1078&lt;&gt;"",$B1078&lt;&gt;"",$R1078='تقرير نوفمبر'!$C$4,$P1078='تقرير نوفمبر'!$C$6),COUNT(Y$4:Y1077)+1,"")</f>
        <v/>
      </c>
      <c r="Z1078">
        <f>IF(AND($A1078&lt;&gt;"",$B1078&lt;&gt;"",$R1078='تقرير ديسمبر'!$C$4,$P1078='تقرير ديسمبر'!$C$6),COUNT(Z$4:Z1077)+1,"")</f>
        <v/>
      </c>
      <c r="AA1078">
        <f>IF(AND($A1078&lt;&gt;"",$B1078&lt;&gt;"",$R1078='تقرير يناير'!$C$4,$P1078='تقرير يناير'!$C$6),COUNT(AA$4:AA1077)+1,"")</f>
        <v/>
      </c>
      <c r="AB1078">
        <f>IF(AND($A1078&lt;&gt;"",$B1078&lt;&gt;"",$R1078='تقرير فبراير'!$C$4,$P1078='تقرير فبراير'!$C$6),COUNT(AB$4:AB1077)+1,"")</f>
        <v/>
      </c>
      <c r="AC1078">
        <f>IF(AND($A1078&lt;&gt;"",$B1078&lt;&gt;"",$R1078='تقرير مارس'!$C$4,$P1078='تقرير مارس'!$C$6),COUNT(AC$4:AC1077)+1,"")</f>
        <v/>
      </c>
      <c r="AD1078">
        <f>IF(AND($A1078&lt;&gt;"",$B1078&lt;&gt;"",$R1078='تقرير أبريل'!$C$4,$P1078='تقرير أبريل'!$C$6),COUNT(AD$4:AD1077)+1,"")</f>
        <v/>
      </c>
      <c r="AE1078">
        <f>IF(AND($A1078&lt;&gt;"",$B1078&lt;&gt;"",$R1078='تقرير مايو'!$C$4,$P1078='تقرير مايو'!$C$6),COUNT(AE$4:AE1077)+1,"")</f>
        <v/>
      </c>
    </row>
    <row r="1079">
      <c r="A1079" s="16" t="n"/>
      <c r="B1079" s="17" t="n"/>
      <c r="C1079" s="17" t="n"/>
      <c r="D1079" s="18" t="n"/>
      <c r="E1079" s="17" t="n"/>
      <c r="F1079" s="17" t="n"/>
      <c r="G1079" s="19" t="n"/>
      <c r="H1079" s="17" t="n"/>
      <c r="I1079" s="17" t="n"/>
      <c r="J1079" s="17" t="n"/>
      <c r="K1079" s="20">
        <f>IF($B1079="","",IFERROR(INDEX(الموظفات!$A$5:$A$304,MATCH($B1079,الموظفات!$B$5:$B$304,0))&amp;"",""))</f>
        <v/>
      </c>
      <c r="L1079" s="21">
        <f>IF($B1079="","",IFERROR(INDEX(الموظفات!$C$5:$C$304,MATCH($B1079,الموظفات!$B$5:$B$304,0))&amp;"",""))</f>
        <v/>
      </c>
      <c r="M1079" s="20">
        <f>IF($B1079="","",IFERROR(INDEX(الموظفات!$D$5:$D$304,MATCH($B1079,الموظفات!$B$5:$B$304,0))&amp;"",""))</f>
        <v/>
      </c>
      <c r="N1079" s="20">
        <f>IF($B1079="","",IFERROR(INDEX(الموظفات!$E$5:$E$304,MATCH($B1079,الموظفات!$B$5:$B$304,0))&amp;"",""))</f>
        <v/>
      </c>
      <c r="O1079" s="21">
        <f>IF(C1079="","",IFERROR(INDEX(الإعدادات!$D$7:$D$35,MATCH(C1079,الإعدادات!$A$7:$A$35,0))&amp;"",""))</f>
        <v/>
      </c>
      <c r="P1079" s="20">
        <f>IF(A1079="","",INDEX(الإعدادات!$H$7:$H$18,MONTH(A1079)))</f>
        <v/>
      </c>
      <c r="Q1079" s="20">
        <f>IF(A1079="","",INDEX(الإعدادات!$I$7:$I$18,MONTH(A1079)))</f>
        <v/>
      </c>
      <c r="R1079" s="20">
        <f>IF(A1079="","",IF(MONTH(A1079)&gt;=8,YEAR(A1079)&amp;"-"&amp;(YEAR(A1079)+1),(YEAR(A1079)-1)&amp;"-"&amp;YEAR(A1079)))</f>
        <v/>
      </c>
      <c r="S1079" s="20">
        <f>IF(OR(A1079="",B1079=""),0,IF(AND(R1079=التقارير!$C$4,OR(التقارير!$C$5="سنوي",AND(التقارير!$C$5="شهري",P1079=التقارير!$C$6),AND(التقارير!$C$5="فصلي",Q1079=التقارير!$C$7))),1,0))</f>
        <v/>
      </c>
      <c r="T1079" s="20">
        <f>IF(S1079=1,COUNTIF($S$5:S1079,1),"")</f>
        <v/>
      </c>
      <c r="U1079">
        <f>IF(AND($A1079&lt;&gt;"",$B1079&lt;&gt;"",$R1079='تقرير الفصل الأول'!$C$4,$Q1079='تقرير الفصل الأول'!$C$7),COUNT(U$4:U1078)+1,"")</f>
        <v/>
      </c>
      <c r="V1079">
        <f>IF(AND($A1079&lt;&gt;"",$B1079&lt;&gt;"",$R1079='تقرير الفصل الثاني'!$C$4,$Q1079='تقرير الفصل الثاني'!$C$7),COUNT(V$4:V1078)+1,"")</f>
        <v/>
      </c>
      <c r="W1079">
        <f>IF(AND($A1079&lt;&gt;"",$B1079&lt;&gt;"",$R1079='تقرير سبتمبر'!$C$4,$P1079='تقرير سبتمبر'!$C$6),COUNT(W$4:W1078)+1,"")</f>
        <v/>
      </c>
      <c r="X1079">
        <f>IF(AND($A1079&lt;&gt;"",$B1079&lt;&gt;"",$R1079='تقرير أكتوبر'!$C$4,$P1079='تقرير أكتوبر'!$C$6),COUNT(X$4:X1078)+1,"")</f>
        <v/>
      </c>
      <c r="Y1079">
        <f>IF(AND($A1079&lt;&gt;"",$B1079&lt;&gt;"",$R1079='تقرير نوفمبر'!$C$4,$P1079='تقرير نوفمبر'!$C$6),COUNT(Y$4:Y1078)+1,"")</f>
        <v/>
      </c>
      <c r="Z1079">
        <f>IF(AND($A1079&lt;&gt;"",$B1079&lt;&gt;"",$R1079='تقرير ديسمبر'!$C$4,$P1079='تقرير ديسمبر'!$C$6),COUNT(Z$4:Z1078)+1,"")</f>
        <v/>
      </c>
      <c r="AA1079">
        <f>IF(AND($A1079&lt;&gt;"",$B1079&lt;&gt;"",$R1079='تقرير يناير'!$C$4,$P1079='تقرير يناير'!$C$6),COUNT(AA$4:AA1078)+1,"")</f>
        <v/>
      </c>
      <c r="AB1079">
        <f>IF(AND($A1079&lt;&gt;"",$B1079&lt;&gt;"",$R1079='تقرير فبراير'!$C$4,$P1079='تقرير فبراير'!$C$6),COUNT(AB$4:AB1078)+1,"")</f>
        <v/>
      </c>
      <c r="AC1079">
        <f>IF(AND($A1079&lt;&gt;"",$B1079&lt;&gt;"",$R1079='تقرير مارس'!$C$4,$P1079='تقرير مارس'!$C$6),COUNT(AC$4:AC1078)+1,"")</f>
        <v/>
      </c>
      <c r="AD1079">
        <f>IF(AND($A1079&lt;&gt;"",$B1079&lt;&gt;"",$R1079='تقرير أبريل'!$C$4,$P1079='تقرير أبريل'!$C$6),COUNT(AD$4:AD1078)+1,"")</f>
        <v/>
      </c>
      <c r="AE1079">
        <f>IF(AND($A1079&lt;&gt;"",$B1079&lt;&gt;"",$R1079='تقرير مايو'!$C$4,$P1079='تقرير مايو'!$C$6),COUNT(AE$4:AE1078)+1,"")</f>
        <v/>
      </c>
    </row>
    <row r="1080">
      <c r="A1080" s="16" t="n"/>
      <c r="B1080" s="17" t="n"/>
      <c r="C1080" s="17" t="n"/>
      <c r="D1080" s="18" t="n"/>
      <c r="E1080" s="17" t="n"/>
      <c r="F1080" s="17" t="n"/>
      <c r="G1080" s="19" t="n"/>
      <c r="H1080" s="17" t="n"/>
      <c r="I1080" s="17" t="n"/>
      <c r="J1080" s="17" t="n"/>
      <c r="K1080" s="20">
        <f>IF($B1080="","",IFERROR(INDEX(الموظفات!$A$5:$A$304,MATCH($B1080,الموظفات!$B$5:$B$304,0))&amp;"",""))</f>
        <v/>
      </c>
      <c r="L1080" s="21">
        <f>IF($B1080="","",IFERROR(INDEX(الموظفات!$C$5:$C$304,MATCH($B1080,الموظفات!$B$5:$B$304,0))&amp;"",""))</f>
        <v/>
      </c>
      <c r="M1080" s="20">
        <f>IF($B1080="","",IFERROR(INDEX(الموظفات!$D$5:$D$304,MATCH($B1080,الموظفات!$B$5:$B$304,0))&amp;"",""))</f>
        <v/>
      </c>
      <c r="N1080" s="20">
        <f>IF($B1080="","",IFERROR(INDEX(الموظفات!$E$5:$E$304,MATCH($B1080,الموظفات!$B$5:$B$304,0))&amp;"",""))</f>
        <v/>
      </c>
      <c r="O1080" s="21">
        <f>IF(C1080="","",IFERROR(INDEX(الإعدادات!$D$7:$D$35,MATCH(C1080,الإعدادات!$A$7:$A$35,0))&amp;"",""))</f>
        <v/>
      </c>
      <c r="P1080" s="20">
        <f>IF(A1080="","",INDEX(الإعدادات!$H$7:$H$18,MONTH(A1080)))</f>
        <v/>
      </c>
      <c r="Q1080" s="20">
        <f>IF(A1080="","",INDEX(الإعدادات!$I$7:$I$18,MONTH(A1080)))</f>
        <v/>
      </c>
      <c r="R1080" s="20">
        <f>IF(A1080="","",IF(MONTH(A1080)&gt;=8,YEAR(A1080)&amp;"-"&amp;(YEAR(A1080)+1),(YEAR(A1080)-1)&amp;"-"&amp;YEAR(A1080)))</f>
        <v/>
      </c>
      <c r="S1080" s="20">
        <f>IF(OR(A1080="",B1080=""),0,IF(AND(R1080=التقارير!$C$4,OR(التقارير!$C$5="سنوي",AND(التقارير!$C$5="شهري",P1080=التقارير!$C$6),AND(التقارير!$C$5="فصلي",Q1080=التقارير!$C$7))),1,0))</f>
        <v/>
      </c>
      <c r="T1080" s="20">
        <f>IF(S1080=1,COUNTIF($S$5:S1080,1),"")</f>
        <v/>
      </c>
      <c r="U1080">
        <f>IF(AND($A1080&lt;&gt;"",$B1080&lt;&gt;"",$R1080='تقرير الفصل الأول'!$C$4,$Q1080='تقرير الفصل الأول'!$C$7),COUNT(U$4:U1079)+1,"")</f>
        <v/>
      </c>
      <c r="V1080">
        <f>IF(AND($A1080&lt;&gt;"",$B1080&lt;&gt;"",$R1080='تقرير الفصل الثاني'!$C$4,$Q1080='تقرير الفصل الثاني'!$C$7),COUNT(V$4:V1079)+1,"")</f>
        <v/>
      </c>
      <c r="W1080">
        <f>IF(AND($A1080&lt;&gt;"",$B1080&lt;&gt;"",$R1080='تقرير سبتمبر'!$C$4,$P1080='تقرير سبتمبر'!$C$6),COUNT(W$4:W1079)+1,"")</f>
        <v/>
      </c>
      <c r="X1080">
        <f>IF(AND($A1080&lt;&gt;"",$B1080&lt;&gt;"",$R1080='تقرير أكتوبر'!$C$4,$P1080='تقرير أكتوبر'!$C$6),COUNT(X$4:X1079)+1,"")</f>
        <v/>
      </c>
      <c r="Y1080">
        <f>IF(AND($A1080&lt;&gt;"",$B1080&lt;&gt;"",$R1080='تقرير نوفمبر'!$C$4,$P1080='تقرير نوفمبر'!$C$6),COUNT(Y$4:Y1079)+1,"")</f>
        <v/>
      </c>
      <c r="Z1080">
        <f>IF(AND($A1080&lt;&gt;"",$B1080&lt;&gt;"",$R1080='تقرير ديسمبر'!$C$4,$P1080='تقرير ديسمبر'!$C$6),COUNT(Z$4:Z1079)+1,"")</f>
        <v/>
      </c>
      <c r="AA1080">
        <f>IF(AND($A1080&lt;&gt;"",$B1080&lt;&gt;"",$R1080='تقرير يناير'!$C$4,$P1080='تقرير يناير'!$C$6),COUNT(AA$4:AA1079)+1,"")</f>
        <v/>
      </c>
      <c r="AB1080">
        <f>IF(AND($A1080&lt;&gt;"",$B1080&lt;&gt;"",$R1080='تقرير فبراير'!$C$4,$P1080='تقرير فبراير'!$C$6),COUNT(AB$4:AB1079)+1,"")</f>
        <v/>
      </c>
      <c r="AC1080">
        <f>IF(AND($A1080&lt;&gt;"",$B1080&lt;&gt;"",$R1080='تقرير مارس'!$C$4,$P1080='تقرير مارس'!$C$6),COUNT(AC$4:AC1079)+1,"")</f>
        <v/>
      </c>
      <c r="AD1080">
        <f>IF(AND($A1080&lt;&gt;"",$B1080&lt;&gt;"",$R1080='تقرير أبريل'!$C$4,$P1080='تقرير أبريل'!$C$6),COUNT(AD$4:AD1079)+1,"")</f>
        <v/>
      </c>
      <c r="AE1080">
        <f>IF(AND($A1080&lt;&gt;"",$B1080&lt;&gt;"",$R1080='تقرير مايو'!$C$4,$P1080='تقرير مايو'!$C$6),COUNT(AE$4:AE1079)+1,"")</f>
        <v/>
      </c>
    </row>
    <row r="1081">
      <c r="A1081" s="16" t="n"/>
      <c r="B1081" s="17" t="n"/>
      <c r="C1081" s="17" t="n"/>
      <c r="D1081" s="18" t="n"/>
      <c r="E1081" s="17" t="n"/>
      <c r="F1081" s="17" t="n"/>
      <c r="G1081" s="19" t="n"/>
      <c r="H1081" s="17" t="n"/>
      <c r="I1081" s="17" t="n"/>
      <c r="J1081" s="17" t="n"/>
      <c r="K1081" s="20">
        <f>IF($B1081="","",IFERROR(INDEX(الموظفات!$A$5:$A$304,MATCH($B1081,الموظفات!$B$5:$B$304,0))&amp;"",""))</f>
        <v/>
      </c>
      <c r="L1081" s="21">
        <f>IF($B1081="","",IFERROR(INDEX(الموظفات!$C$5:$C$304,MATCH($B1081,الموظفات!$B$5:$B$304,0))&amp;"",""))</f>
        <v/>
      </c>
      <c r="M1081" s="20">
        <f>IF($B1081="","",IFERROR(INDEX(الموظفات!$D$5:$D$304,MATCH($B1081,الموظفات!$B$5:$B$304,0))&amp;"",""))</f>
        <v/>
      </c>
      <c r="N1081" s="20">
        <f>IF($B1081="","",IFERROR(INDEX(الموظفات!$E$5:$E$304,MATCH($B1081,الموظفات!$B$5:$B$304,0))&amp;"",""))</f>
        <v/>
      </c>
      <c r="O1081" s="21">
        <f>IF(C1081="","",IFERROR(INDEX(الإعدادات!$D$7:$D$35,MATCH(C1081,الإعدادات!$A$7:$A$35,0))&amp;"",""))</f>
        <v/>
      </c>
      <c r="P1081" s="20">
        <f>IF(A1081="","",INDEX(الإعدادات!$H$7:$H$18,MONTH(A1081)))</f>
        <v/>
      </c>
      <c r="Q1081" s="20">
        <f>IF(A1081="","",INDEX(الإعدادات!$I$7:$I$18,MONTH(A1081)))</f>
        <v/>
      </c>
      <c r="R1081" s="20">
        <f>IF(A1081="","",IF(MONTH(A1081)&gt;=8,YEAR(A1081)&amp;"-"&amp;(YEAR(A1081)+1),(YEAR(A1081)-1)&amp;"-"&amp;YEAR(A1081)))</f>
        <v/>
      </c>
      <c r="S1081" s="20">
        <f>IF(OR(A1081="",B1081=""),0,IF(AND(R1081=التقارير!$C$4,OR(التقارير!$C$5="سنوي",AND(التقارير!$C$5="شهري",P1081=التقارير!$C$6),AND(التقارير!$C$5="فصلي",Q1081=التقارير!$C$7))),1,0))</f>
        <v/>
      </c>
      <c r="T1081" s="20">
        <f>IF(S1081=1,COUNTIF($S$5:S1081,1),"")</f>
        <v/>
      </c>
      <c r="U1081">
        <f>IF(AND($A1081&lt;&gt;"",$B1081&lt;&gt;"",$R1081='تقرير الفصل الأول'!$C$4,$Q1081='تقرير الفصل الأول'!$C$7),COUNT(U$4:U1080)+1,"")</f>
        <v/>
      </c>
      <c r="V1081">
        <f>IF(AND($A1081&lt;&gt;"",$B1081&lt;&gt;"",$R1081='تقرير الفصل الثاني'!$C$4,$Q1081='تقرير الفصل الثاني'!$C$7),COUNT(V$4:V1080)+1,"")</f>
        <v/>
      </c>
      <c r="W1081">
        <f>IF(AND($A1081&lt;&gt;"",$B1081&lt;&gt;"",$R1081='تقرير سبتمبر'!$C$4,$P1081='تقرير سبتمبر'!$C$6),COUNT(W$4:W1080)+1,"")</f>
        <v/>
      </c>
      <c r="X1081">
        <f>IF(AND($A1081&lt;&gt;"",$B1081&lt;&gt;"",$R1081='تقرير أكتوبر'!$C$4,$P1081='تقرير أكتوبر'!$C$6),COUNT(X$4:X1080)+1,"")</f>
        <v/>
      </c>
      <c r="Y1081">
        <f>IF(AND($A1081&lt;&gt;"",$B1081&lt;&gt;"",$R1081='تقرير نوفمبر'!$C$4,$P1081='تقرير نوفمبر'!$C$6),COUNT(Y$4:Y1080)+1,"")</f>
        <v/>
      </c>
      <c r="Z1081">
        <f>IF(AND($A1081&lt;&gt;"",$B1081&lt;&gt;"",$R1081='تقرير ديسمبر'!$C$4,$P1081='تقرير ديسمبر'!$C$6),COUNT(Z$4:Z1080)+1,"")</f>
        <v/>
      </c>
      <c r="AA1081">
        <f>IF(AND($A1081&lt;&gt;"",$B1081&lt;&gt;"",$R1081='تقرير يناير'!$C$4,$P1081='تقرير يناير'!$C$6),COUNT(AA$4:AA1080)+1,"")</f>
        <v/>
      </c>
      <c r="AB1081">
        <f>IF(AND($A1081&lt;&gt;"",$B1081&lt;&gt;"",$R1081='تقرير فبراير'!$C$4,$P1081='تقرير فبراير'!$C$6),COUNT(AB$4:AB1080)+1,"")</f>
        <v/>
      </c>
      <c r="AC1081">
        <f>IF(AND($A1081&lt;&gt;"",$B1081&lt;&gt;"",$R1081='تقرير مارس'!$C$4,$P1081='تقرير مارس'!$C$6),COUNT(AC$4:AC1080)+1,"")</f>
        <v/>
      </c>
      <c r="AD1081">
        <f>IF(AND($A1081&lt;&gt;"",$B1081&lt;&gt;"",$R1081='تقرير أبريل'!$C$4,$P1081='تقرير أبريل'!$C$6),COUNT(AD$4:AD1080)+1,"")</f>
        <v/>
      </c>
      <c r="AE1081">
        <f>IF(AND($A1081&lt;&gt;"",$B1081&lt;&gt;"",$R1081='تقرير مايو'!$C$4,$P1081='تقرير مايو'!$C$6),COUNT(AE$4:AE1080)+1,"")</f>
        <v/>
      </c>
    </row>
    <row r="1082">
      <c r="A1082" s="16" t="n"/>
      <c r="B1082" s="17" t="n"/>
      <c r="C1082" s="17" t="n"/>
      <c r="D1082" s="18" t="n"/>
      <c r="E1082" s="17" t="n"/>
      <c r="F1082" s="17" t="n"/>
      <c r="G1082" s="19" t="n"/>
      <c r="H1082" s="17" t="n"/>
      <c r="I1082" s="17" t="n"/>
      <c r="J1082" s="17" t="n"/>
      <c r="K1082" s="20">
        <f>IF($B1082="","",IFERROR(INDEX(الموظفات!$A$5:$A$304,MATCH($B1082,الموظفات!$B$5:$B$304,0))&amp;"",""))</f>
        <v/>
      </c>
      <c r="L1082" s="21">
        <f>IF($B1082="","",IFERROR(INDEX(الموظفات!$C$5:$C$304,MATCH($B1082,الموظفات!$B$5:$B$304,0))&amp;"",""))</f>
        <v/>
      </c>
      <c r="M1082" s="20">
        <f>IF($B1082="","",IFERROR(INDEX(الموظفات!$D$5:$D$304,MATCH($B1082,الموظفات!$B$5:$B$304,0))&amp;"",""))</f>
        <v/>
      </c>
      <c r="N1082" s="20">
        <f>IF($B1082="","",IFERROR(INDEX(الموظفات!$E$5:$E$304,MATCH($B1082,الموظفات!$B$5:$B$304,0))&amp;"",""))</f>
        <v/>
      </c>
      <c r="O1082" s="21">
        <f>IF(C1082="","",IFERROR(INDEX(الإعدادات!$D$7:$D$35,MATCH(C1082,الإعدادات!$A$7:$A$35,0))&amp;"",""))</f>
        <v/>
      </c>
      <c r="P1082" s="20">
        <f>IF(A1082="","",INDEX(الإعدادات!$H$7:$H$18,MONTH(A1082)))</f>
        <v/>
      </c>
      <c r="Q1082" s="20">
        <f>IF(A1082="","",INDEX(الإعدادات!$I$7:$I$18,MONTH(A1082)))</f>
        <v/>
      </c>
      <c r="R1082" s="20">
        <f>IF(A1082="","",IF(MONTH(A1082)&gt;=8,YEAR(A1082)&amp;"-"&amp;(YEAR(A1082)+1),(YEAR(A1082)-1)&amp;"-"&amp;YEAR(A1082)))</f>
        <v/>
      </c>
      <c r="S1082" s="20">
        <f>IF(OR(A1082="",B1082=""),0,IF(AND(R1082=التقارير!$C$4,OR(التقارير!$C$5="سنوي",AND(التقارير!$C$5="شهري",P1082=التقارير!$C$6),AND(التقارير!$C$5="فصلي",Q1082=التقارير!$C$7))),1,0))</f>
        <v/>
      </c>
      <c r="T1082" s="20">
        <f>IF(S1082=1,COUNTIF($S$5:S1082,1),"")</f>
        <v/>
      </c>
      <c r="U1082">
        <f>IF(AND($A1082&lt;&gt;"",$B1082&lt;&gt;"",$R1082='تقرير الفصل الأول'!$C$4,$Q1082='تقرير الفصل الأول'!$C$7),COUNT(U$4:U1081)+1,"")</f>
        <v/>
      </c>
      <c r="V1082">
        <f>IF(AND($A1082&lt;&gt;"",$B1082&lt;&gt;"",$R1082='تقرير الفصل الثاني'!$C$4,$Q1082='تقرير الفصل الثاني'!$C$7),COUNT(V$4:V1081)+1,"")</f>
        <v/>
      </c>
      <c r="W1082">
        <f>IF(AND($A1082&lt;&gt;"",$B1082&lt;&gt;"",$R1082='تقرير سبتمبر'!$C$4,$P1082='تقرير سبتمبر'!$C$6),COUNT(W$4:W1081)+1,"")</f>
        <v/>
      </c>
      <c r="X1082">
        <f>IF(AND($A1082&lt;&gt;"",$B1082&lt;&gt;"",$R1082='تقرير أكتوبر'!$C$4,$P1082='تقرير أكتوبر'!$C$6),COUNT(X$4:X1081)+1,"")</f>
        <v/>
      </c>
      <c r="Y1082">
        <f>IF(AND($A1082&lt;&gt;"",$B1082&lt;&gt;"",$R1082='تقرير نوفمبر'!$C$4,$P1082='تقرير نوفمبر'!$C$6),COUNT(Y$4:Y1081)+1,"")</f>
        <v/>
      </c>
      <c r="Z1082">
        <f>IF(AND($A1082&lt;&gt;"",$B1082&lt;&gt;"",$R1082='تقرير ديسمبر'!$C$4,$P1082='تقرير ديسمبر'!$C$6),COUNT(Z$4:Z1081)+1,"")</f>
        <v/>
      </c>
      <c r="AA1082">
        <f>IF(AND($A1082&lt;&gt;"",$B1082&lt;&gt;"",$R1082='تقرير يناير'!$C$4,$P1082='تقرير يناير'!$C$6),COUNT(AA$4:AA1081)+1,"")</f>
        <v/>
      </c>
      <c r="AB1082">
        <f>IF(AND($A1082&lt;&gt;"",$B1082&lt;&gt;"",$R1082='تقرير فبراير'!$C$4,$P1082='تقرير فبراير'!$C$6),COUNT(AB$4:AB1081)+1,"")</f>
        <v/>
      </c>
      <c r="AC1082">
        <f>IF(AND($A1082&lt;&gt;"",$B1082&lt;&gt;"",$R1082='تقرير مارس'!$C$4,$P1082='تقرير مارس'!$C$6),COUNT(AC$4:AC1081)+1,"")</f>
        <v/>
      </c>
      <c r="AD1082">
        <f>IF(AND($A1082&lt;&gt;"",$B1082&lt;&gt;"",$R1082='تقرير أبريل'!$C$4,$P1082='تقرير أبريل'!$C$6),COUNT(AD$4:AD1081)+1,"")</f>
        <v/>
      </c>
      <c r="AE1082">
        <f>IF(AND($A1082&lt;&gt;"",$B1082&lt;&gt;"",$R1082='تقرير مايو'!$C$4,$P1082='تقرير مايو'!$C$6),COUNT(AE$4:AE1081)+1,"")</f>
        <v/>
      </c>
    </row>
    <row r="1083">
      <c r="A1083" s="16" t="n"/>
      <c r="B1083" s="17" t="n"/>
      <c r="C1083" s="17" t="n"/>
      <c r="D1083" s="18" t="n"/>
      <c r="E1083" s="17" t="n"/>
      <c r="F1083" s="17" t="n"/>
      <c r="G1083" s="19" t="n"/>
      <c r="H1083" s="17" t="n"/>
      <c r="I1083" s="17" t="n"/>
      <c r="J1083" s="17" t="n"/>
      <c r="K1083" s="20">
        <f>IF($B1083="","",IFERROR(INDEX(الموظفات!$A$5:$A$304,MATCH($B1083,الموظفات!$B$5:$B$304,0))&amp;"",""))</f>
        <v/>
      </c>
      <c r="L1083" s="21">
        <f>IF($B1083="","",IFERROR(INDEX(الموظفات!$C$5:$C$304,MATCH($B1083,الموظفات!$B$5:$B$304,0))&amp;"",""))</f>
        <v/>
      </c>
      <c r="M1083" s="20">
        <f>IF($B1083="","",IFERROR(INDEX(الموظفات!$D$5:$D$304,MATCH($B1083,الموظفات!$B$5:$B$304,0))&amp;"",""))</f>
        <v/>
      </c>
      <c r="N1083" s="20">
        <f>IF($B1083="","",IFERROR(INDEX(الموظفات!$E$5:$E$304,MATCH($B1083,الموظفات!$B$5:$B$304,0))&amp;"",""))</f>
        <v/>
      </c>
      <c r="O1083" s="21">
        <f>IF(C1083="","",IFERROR(INDEX(الإعدادات!$D$7:$D$35,MATCH(C1083,الإعدادات!$A$7:$A$35,0))&amp;"",""))</f>
        <v/>
      </c>
      <c r="P1083" s="20">
        <f>IF(A1083="","",INDEX(الإعدادات!$H$7:$H$18,MONTH(A1083)))</f>
        <v/>
      </c>
      <c r="Q1083" s="20">
        <f>IF(A1083="","",INDEX(الإعدادات!$I$7:$I$18,MONTH(A1083)))</f>
        <v/>
      </c>
      <c r="R1083" s="20">
        <f>IF(A1083="","",IF(MONTH(A1083)&gt;=8,YEAR(A1083)&amp;"-"&amp;(YEAR(A1083)+1),(YEAR(A1083)-1)&amp;"-"&amp;YEAR(A1083)))</f>
        <v/>
      </c>
      <c r="S1083" s="20">
        <f>IF(OR(A1083="",B1083=""),0,IF(AND(R1083=التقارير!$C$4,OR(التقارير!$C$5="سنوي",AND(التقارير!$C$5="شهري",P1083=التقارير!$C$6),AND(التقارير!$C$5="فصلي",Q1083=التقارير!$C$7))),1,0))</f>
        <v/>
      </c>
      <c r="T1083" s="20">
        <f>IF(S1083=1,COUNTIF($S$5:S1083,1),"")</f>
        <v/>
      </c>
      <c r="U1083">
        <f>IF(AND($A1083&lt;&gt;"",$B1083&lt;&gt;"",$R1083='تقرير الفصل الأول'!$C$4,$Q1083='تقرير الفصل الأول'!$C$7),COUNT(U$4:U1082)+1,"")</f>
        <v/>
      </c>
      <c r="V1083">
        <f>IF(AND($A1083&lt;&gt;"",$B1083&lt;&gt;"",$R1083='تقرير الفصل الثاني'!$C$4,$Q1083='تقرير الفصل الثاني'!$C$7),COUNT(V$4:V1082)+1,"")</f>
        <v/>
      </c>
      <c r="W1083">
        <f>IF(AND($A1083&lt;&gt;"",$B1083&lt;&gt;"",$R1083='تقرير سبتمبر'!$C$4,$P1083='تقرير سبتمبر'!$C$6),COUNT(W$4:W1082)+1,"")</f>
        <v/>
      </c>
      <c r="X1083">
        <f>IF(AND($A1083&lt;&gt;"",$B1083&lt;&gt;"",$R1083='تقرير أكتوبر'!$C$4,$P1083='تقرير أكتوبر'!$C$6),COUNT(X$4:X1082)+1,"")</f>
        <v/>
      </c>
      <c r="Y1083">
        <f>IF(AND($A1083&lt;&gt;"",$B1083&lt;&gt;"",$R1083='تقرير نوفمبر'!$C$4,$P1083='تقرير نوفمبر'!$C$6),COUNT(Y$4:Y1082)+1,"")</f>
        <v/>
      </c>
      <c r="Z1083">
        <f>IF(AND($A1083&lt;&gt;"",$B1083&lt;&gt;"",$R1083='تقرير ديسمبر'!$C$4,$P1083='تقرير ديسمبر'!$C$6),COUNT(Z$4:Z1082)+1,"")</f>
        <v/>
      </c>
      <c r="AA1083">
        <f>IF(AND($A1083&lt;&gt;"",$B1083&lt;&gt;"",$R1083='تقرير يناير'!$C$4,$P1083='تقرير يناير'!$C$6),COUNT(AA$4:AA1082)+1,"")</f>
        <v/>
      </c>
      <c r="AB1083">
        <f>IF(AND($A1083&lt;&gt;"",$B1083&lt;&gt;"",$R1083='تقرير فبراير'!$C$4,$P1083='تقرير فبراير'!$C$6),COUNT(AB$4:AB1082)+1,"")</f>
        <v/>
      </c>
      <c r="AC1083">
        <f>IF(AND($A1083&lt;&gt;"",$B1083&lt;&gt;"",$R1083='تقرير مارس'!$C$4,$P1083='تقرير مارس'!$C$6),COUNT(AC$4:AC1082)+1,"")</f>
        <v/>
      </c>
      <c r="AD1083">
        <f>IF(AND($A1083&lt;&gt;"",$B1083&lt;&gt;"",$R1083='تقرير أبريل'!$C$4,$P1083='تقرير أبريل'!$C$6),COUNT(AD$4:AD1082)+1,"")</f>
        <v/>
      </c>
      <c r="AE1083">
        <f>IF(AND($A1083&lt;&gt;"",$B1083&lt;&gt;"",$R1083='تقرير مايو'!$C$4,$P1083='تقرير مايو'!$C$6),COUNT(AE$4:AE1082)+1,"")</f>
        <v/>
      </c>
    </row>
    <row r="1084">
      <c r="A1084" s="16" t="n"/>
      <c r="B1084" s="17" t="n"/>
      <c r="C1084" s="17" t="n"/>
      <c r="D1084" s="18" t="n"/>
      <c r="E1084" s="17" t="n"/>
      <c r="F1084" s="17" t="n"/>
      <c r="G1084" s="19" t="n"/>
      <c r="H1084" s="17" t="n"/>
      <c r="I1084" s="17" t="n"/>
      <c r="J1084" s="17" t="n"/>
      <c r="K1084" s="20">
        <f>IF($B1084="","",IFERROR(INDEX(الموظفات!$A$5:$A$304,MATCH($B1084,الموظفات!$B$5:$B$304,0))&amp;"",""))</f>
        <v/>
      </c>
      <c r="L1084" s="21">
        <f>IF($B1084="","",IFERROR(INDEX(الموظفات!$C$5:$C$304,MATCH($B1084,الموظفات!$B$5:$B$304,0))&amp;"",""))</f>
        <v/>
      </c>
      <c r="M1084" s="20">
        <f>IF($B1084="","",IFERROR(INDEX(الموظفات!$D$5:$D$304,MATCH($B1084,الموظفات!$B$5:$B$304,0))&amp;"",""))</f>
        <v/>
      </c>
      <c r="N1084" s="20">
        <f>IF($B1084="","",IFERROR(INDEX(الموظفات!$E$5:$E$304,MATCH($B1084,الموظفات!$B$5:$B$304,0))&amp;"",""))</f>
        <v/>
      </c>
      <c r="O1084" s="21">
        <f>IF(C1084="","",IFERROR(INDEX(الإعدادات!$D$7:$D$35,MATCH(C1084,الإعدادات!$A$7:$A$35,0))&amp;"",""))</f>
        <v/>
      </c>
      <c r="P1084" s="20">
        <f>IF(A1084="","",INDEX(الإعدادات!$H$7:$H$18,MONTH(A1084)))</f>
        <v/>
      </c>
      <c r="Q1084" s="20">
        <f>IF(A1084="","",INDEX(الإعدادات!$I$7:$I$18,MONTH(A1084)))</f>
        <v/>
      </c>
      <c r="R1084" s="20">
        <f>IF(A1084="","",IF(MONTH(A1084)&gt;=8,YEAR(A1084)&amp;"-"&amp;(YEAR(A1084)+1),(YEAR(A1084)-1)&amp;"-"&amp;YEAR(A1084)))</f>
        <v/>
      </c>
      <c r="S1084" s="20">
        <f>IF(OR(A1084="",B1084=""),0,IF(AND(R1084=التقارير!$C$4,OR(التقارير!$C$5="سنوي",AND(التقارير!$C$5="شهري",P1084=التقارير!$C$6),AND(التقارير!$C$5="فصلي",Q1084=التقارير!$C$7))),1,0))</f>
        <v/>
      </c>
      <c r="T1084" s="20">
        <f>IF(S1084=1,COUNTIF($S$5:S1084,1),"")</f>
        <v/>
      </c>
      <c r="U1084">
        <f>IF(AND($A1084&lt;&gt;"",$B1084&lt;&gt;"",$R1084='تقرير الفصل الأول'!$C$4,$Q1084='تقرير الفصل الأول'!$C$7),COUNT(U$4:U1083)+1,"")</f>
        <v/>
      </c>
      <c r="V1084">
        <f>IF(AND($A1084&lt;&gt;"",$B1084&lt;&gt;"",$R1084='تقرير الفصل الثاني'!$C$4,$Q1084='تقرير الفصل الثاني'!$C$7),COUNT(V$4:V1083)+1,"")</f>
        <v/>
      </c>
      <c r="W1084">
        <f>IF(AND($A1084&lt;&gt;"",$B1084&lt;&gt;"",$R1084='تقرير سبتمبر'!$C$4,$P1084='تقرير سبتمبر'!$C$6),COUNT(W$4:W1083)+1,"")</f>
        <v/>
      </c>
      <c r="X1084">
        <f>IF(AND($A1084&lt;&gt;"",$B1084&lt;&gt;"",$R1084='تقرير أكتوبر'!$C$4,$P1084='تقرير أكتوبر'!$C$6),COUNT(X$4:X1083)+1,"")</f>
        <v/>
      </c>
      <c r="Y1084">
        <f>IF(AND($A1084&lt;&gt;"",$B1084&lt;&gt;"",$R1084='تقرير نوفمبر'!$C$4,$P1084='تقرير نوفمبر'!$C$6),COUNT(Y$4:Y1083)+1,"")</f>
        <v/>
      </c>
      <c r="Z1084">
        <f>IF(AND($A1084&lt;&gt;"",$B1084&lt;&gt;"",$R1084='تقرير ديسمبر'!$C$4,$P1084='تقرير ديسمبر'!$C$6),COUNT(Z$4:Z1083)+1,"")</f>
        <v/>
      </c>
      <c r="AA1084">
        <f>IF(AND($A1084&lt;&gt;"",$B1084&lt;&gt;"",$R1084='تقرير يناير'!$C$4,$P1084='تقرير يناير'!$C$6),COUNT(AA$4:AA1083)+1,"")</f>
        <v/>
      </c>
      <c r="AB1084">
        <f>IF(AND($A1084&lt;&gt;"",$B1084&lt;&gt;"",$R1084='تقرير فبراير'!$C$4,$P1084='تقرير فبراير'!$C$6),COUNT(AB$4:AB1083)+1,"")</f>
        <v/>
      </c>
      <c r="AC1084">
        <f>IF(AND($A1084&lt;&gt;"",$B1084&lt;&gt;"",$R1084='تقرير مارس'!$C$4,$P1084='تقرير مارس'!$C$6),COUNT(AC$4:AC1083)+1,"")</f>
        <v/>
      </c>
      <c r="AD1084">
        <f>IF(AND($A1084&lt;&gt;"",$B1084&lt;&gt;"",$R1084='تقرير أبريل'!$C$4,$P1084='تقرير أبريل'!$C$6),COUNT(AD$4:AD1083)+1,"")</f>
        <v/>
      </c>
      <c r="AE1084">
        <f>IF(AND($A1084&lt;&gt;"",$B1084&lt;&gt;"",$R1084='تقرير مايو'!$C$4,$P1084='تقرير مايو'!$C$6),COUNT(AE$4:AE1083)+1,"")</f>
        <v/>
      </c>
    </row>
    <row r="1085">
      <c r="A1085" s="16" t="n"/>
      <c r="B1085" s="17" t="n"/>
      <c r="C1085" s="17" t="n"/>
      <c r="D1085" s="18" t="n"/>
      <c r="E1085" s="17" t="n"/>
      <c r="F1085" s="17" t="n"/>
      <c r="G1085" s="19" t="n"/>
      <c r="H1085" s="17" t="n"/>
      <c r="I1085" s="17" t="n"/>
      <c r="J1085" s="17" t="n"/>
      <c r="K1085" s="20">
        <f>IF($B1085="","",IFERROR(INDEX(الموظفات!$A$5:$A$304,MATCH($B1085,الموظفات!$B$5:$B$304,0))&amp;"",""))</f>
        <v/>
      </c>
      <c r="L1085" s="21">
        <f>IF($B1085="","",IFERROR(INDEX(الموظفات!$C$5:$C$304,MATCH($B1085,الموظفات!$B$5:$B$304,0))&amp;"",""))</f>
        <v/>
      </c>
      <c r="M1085" s="20">
        <f>IF($B1085="","",IFERROR(INDEX(الموظفات!$D$5:$D$304,MATCH($B1085,الموظفات!$B$5:$B$304,0))&amp;"",""))</f>
        <v/>
      </c>
      <c r="N1085" s="20">
        <f>IF($B1085="","",IFERROR(INDEX(الموظفات!$E$5:$E$304,MATCH($B1085,الموظفات!$B$5:$B$304,0))&amp;"",""))</f>
        <v/>
      </c>
      <c r="O1085" s="21">
        <f>IF(C1085="","",IFERROR(INDEX(الإعدادات!$D$7:$D$35,MATCH(C1085,الإعدادات!$A$7:$A$35,0))&amp;"",""))</f>
        <v/>
      </c>
      <c r="P1085" s="20">
        <f>IF(A1085="","",INDEX(الإعدادات!$H$7:$H$18,MONTH(A1085)))</f>
        <v/>
      </c>
      <c r="Q1085" s="20">
        <f>IF(A1085="","",INDEX(الإعدادات!$I$7:$I$18,MONTH(A1085)))</f>
        <v/>
      </c>
      <c r="R1085" s="20">
        <f>IF(A1085="","",IF(MONTH(A1085)&gt;=8,YEAR(A1085)&amp;"-"&amp;(YEAR(A1085)+1),(YEAR(A1085)-1)&amp;"-"&amp;YEAR(A1085)))</f>
        <v/>
      </c>
      <c r="S1085" s="20">
        <f>IF(OR(A1085="",B1085=""),0,IF(AND(R1085=التقارير!$C$4,OR(التقارير!$C$5="سنوي",AND(التقارير!$C$5="شهري",P1085=التقارير!$C$6),AND(التقارير!$C$5="فصلي",Q1085=التقارير!$C$7))),1,0))</f>
        <v/>
      </c>
      <c r="T1085" s="20">
        <f>IF(S1085=1,COUNTIF($S$5:S1085,1),"")</f>
        <v/>
      </c>
      <c r="U1085">
        <f>IF(AND($A1085&lt;&gt;"",$B1085&lt;&gt;"",$R1085='تقرير الفصل الأول'!$C$4,$Q1085='تقرير الفصل الأول'!$C$7),COUNT(U$4:U1084)+1,"")</f>
        <v/>
      </c>
      <c r="V1085">
        <f>IF(AND($A1085&lt;&gt;"",$B1085&lt;&gt;"",$R1085='تقرير الفصل الثاني'!$C$4,$Q1085='تقرير الفصل الثاني'!$C$7),COUNT(V$4:V1084)+1,"")</f>
        <v/>
      </c>
      <c r="W1085">
        <f>IF(AND($A1085&lt;&gt;"",$B1085&lt;&gt;"",$R1085='تقرير سبتمبر'!$C$4,$P1085='تقرير سبتمبر'!$C$6),COUNT(W$4:W1084)+1,"")</f>
        <v/>
      </c>
      <c r="X1085">
        <f>IF(AND($A1085&lt;&gt;"",$B1085&lt;&gt;"",$R1085='تقرير أكتوبر'!$C$4,$P1085='تقرير أكتوبر'!$C$6),COUNT(X$4:X1084)+1,"")</f>
        <v/>
      </c>
      <c r="Y1085">
        <f>IF(AND($A1085&lt;&gt;"",$B1085&lt;&gt;"",$R1085='تقرير نوفمبر'!$C$4,$P1085='تقرير نوفمبر'!$C$6),COUNT(Y$4:Y1084)+1,"")</f>
        <v/>
      </c>
      <c r="Z1085">
        <f>IF(AND($A1085&lt;&gt;"",$B1085&lt;&gt;"",$R1085='تقرير ديسمبر'!$C$4,$P1085='تقرير ديسمبر'!$C$6),COUNT(Z$4:Z1084)+1,"")</f>
        <v/>
      </c>
      <c r="AA1085">
        <f>IF(AND($A1085&lt;&gt;"",$B1085&lt;&gt;"",$R1085='تقرير يناير'!$C$4,$P1085='تقرير يناير'!$C$6),COUNT(AA$4:AA1084)+1,"")</f>
        <v/>
      </c>
      <c r="AB1085">
        <f>IF(AND($A1085&lt;&gt;"",$B1085&lt;&gt;"",$R1085='تقرير فبراير'!$C$4,$P1085='تقرير فبراير'!$C$6),COUNT(AB$4:AB1084)+1,"")</f>
        <v/>
      </c>
      <c r="AC1085">
        <f>IF(AND($A1085&lt;&gt;"",$B1085&lt;&gt;"",$R1085='تقرير مارس'!$C$4,$P1085='تقرير مارس'!$C$6),COUNT(AC$4:AC1084)+1,"")</f>
        <v/>
      </c>
      <c r="AD1085">
        <f>IF(AND($A1085&lt;&gt;"",$B1085&lt;&gt;"",$R1085='تقرير أبريل'!$C$4,$P1085='تقرير أبريل'!$C$6),COUNT(AD$4:AD1084)+1,"")</f>
        <v/>
      </c>
      <c r="AE1085">
        <f>IF(AND($A1085&lt;&gt;"",$B1085&lt;&gt;"",$R1085='تقرير مايو'!$C$4,$P1085='تقرير مايو'!$C$6),COUNT(AE$4:AE1084)+1,"")</f>
        <v/>
      </c>
    </row>
    <row r="1086">
      <c r="A1086" s="16" t="n"/>
      <c r="B1086" s="17" t="n"/>
      <c r="C1086" s="17" t="n"/>
      <c r="D1086" s="18" t="n"/>
      <c r="E1086" s="17" t="n"/>
      <c r="F1086" s="17" t="n"/>
      <c r="G1086" s="19" t="n"/>
      <c r="H1086" s="17" t="n"/>
      <c r="I1086" s="17" t="n"/>
      <c r="J1086" s="17" t="n"/>
      <c r="K1086" s="20">
        <f>IF($B1086="","",IFERROR(INDEX(الموظفات!$A$5:$A$304,MATCH($B1086,الموظفات!$B$5:$B$304,0))&amp;"",""))</f>
        <v/>
      </c>
      <c r="L1086" s="21">
        <f>IF($B1086="","",IFERROR(INDEX(الموظفات!$C$5:$C$304,MATCH($B1086,الموظفات!$B$5:$B$304,0))&amp;"",""))</f>
        <v/>
      </c>
      <c r="M1086" s="20">
        <f>IF($B1086="","",IFERROR(INDEX(الموظفات!$D$5:$D$304,MATCH($B1086,الموظفات!$B$5:$B$304,0))&amp;"",""))</f>
        <v/>
      </c>
      <c r="N1086" s="20">
        <f>IF($B1086="","",IFERROR(INDEX(الموظفات!$E$5:$E$304,MATCH($B1086,الموظفات!$B$5:$B$304,0))&amp;"",""))</f>
        <v/>
      </c>
      <c r="O1086" s="21">
        <f>IF(C1086="","",IFERROR(INDEX(الإعدادات!$D$7:$D$35,MATCH(C1086,الإعدادات!$A$7:$A$35,0))&amp;"",""))</f>
        <v/>
      </c>
      <c r="P1086" s="20">
        <f>IF(A1086="","",INDEX(الإعدادات!$H$7:$H$18,MONTH(A1086)))</f>
        <v/>
      </c>
      <c r="Q1086" s="20">
        <f>IF(A1086="","",INDEX(الإعدادات!$I$7:$I$18,MONTH(A1086)))</f>
        <v/>
      </c>
      <c r="R1086" s="20">
        <f>IF(A1086="","",IF(MONTH(A1086)&gt;=8,YEAR(A1086)&amp;"-"&amp;(YEAR(A1086)+1),(YEAR(A1086)-1)&amp;"-"&amp;YEAR(A1086)))</f>
        <v/>
      </c>
      <c r="S1086" s="20">
        <f>IF(OR(A1086="",B1086=""),0,IF(AND(R1086=التقارير!$C$4,OR(التقارير!$C$5="سنوي",AND(التقارير!$C$5="شهري",P1086=التقارير!$C$6),AND(التقارير!$C$5="فصلي",Q1086=التقارير!$C$7))),1,0))</f>
        <v/>
      </c>
      <c r="T1086" s="20">
        <f>IF(S1086=1,COUNTIF($S$5:S1086,1),"")</f>
        <v/>
      </c>
      <c r="U1086">
        <f>IF(AND($A1086&lt;&gt;"",$B1086&lt;&gt;"",$R1086='تقرير الفصل الأول'!$C$4,$Q1086='تقرير الفصل الأول'!$C$7),COUNT(U$4:U1085)+1,"")</f>
        <v/>
      </c>
      <c r="V1086">
        <f>IF(AND($A1086&lt;&gt;"",$B1086&lt;&gt;"",$R1086='تقرير الفصل الثاني'!$C$4,$Q1086='تقرير الفصل الثاني'!$C$7),COUNT(V$4:V1085)+1,"")</f>
        <v/>
      </c>
      <c r="W1086">
        <f>IF(AND($A1086&lt;&gt;"",$B1086&lt;&gt;"",$R1086='تقرير سبتمبر'!$C$4,$P1086='تقرير سبتمبر'!$C$6),COUNT(W$4:W1085)+1,"")</f>
        <v/>
      </c>
      <c r="X1086">
        <f>IF(AND($A1086&lt;&gt;"",$B1086&lt;&gt;"",$R1086='تقرير أكتوبر'!$C$4,$P1086='تقرير أكتوبر'!$C$6),COUNT(X$4:X1085)+1,"")</f>
        <v/>
      </c>
      <c r="Y1086">
        <f>IF(AND($A1086&lt;&gt;"",$B1086&lt;&gt;"",$R1086='تقرير نوفمبر'!$C$4,$P1086='تقرير نوفمبر'!$C$6),COUNT(Y$4:Y1085)+1,"")</f>
        <v/>
      </c>
      <c r="Z1086">
        <f>IF(AND($A1086&lt;&gt;"",$B1086&lt;&gt;"",$R1086='تقرير ديسمبر'!$C$4,$P1086='تقرير ديسمبر'!$C$6),COUNT(Z$4:Z1085)+1,"")</f>
        <v/>
      </c>
      <c r="AA1086">
        <f>IF(AND($A1086&lt;&gt;"",$B1086&lt;&gt;"",$R1086='تقرير يناير'!$C$4,$P1086='تقرير يناير'!$C$6),COUNT(AA$4:AA1085)+1,"")</f>
        <v/>
      </c>
      <c r="AB1086">
        <f>IF(AND($A1086&lt;&gt;"",$B1086&lt;&gt;"",$R1086='تقرير فبراير'!$C$4,$P1086='تقرير فبراير'!$C$6),COUNT(AB$4:AB1085)+1,"")</f>
        <v/>
      </c>
      <c r="AC1086">
        <f>IF(AND($A1086&lt;&gt;"",$B1086&lt;&gt;"",$R1086='تقرير مارس'!$C$4,$P1086='تقرير مارس'!$C$6),COUNT(AC$4:AC1085)+1,"")</f>
        <v/>
      </c>
      <c r="AD1086">
        <f>IF(AND($A1086&lt;&gt;"",$B1086&lt;&gt;"",$R1086='تقرير أبريل'!$C$4,$P1086='تقرير أبريل'!$C$6),COUNT(AD$4:AD1085)+1,"")</f>
        <v/>
      </c>
      <c r="AE1086">
        <f>IF(AND($A1086&lt;&gt;"",$B1086&lt;&gt;"",$R1086='تقرير مايو'!$C$4,$P1086='تقرير مايو'!$C$6),COUNT(AE$4:AE1085)+1,"")</f>
        <v/>
      </c>
    </row>
    <row r="1087">
      <c r="A1087" s="16" t="n"/>
      <c r="B1087" s="17" t="n"/>
      <c r="C1087" s="17" t="n"/>
      <c r="D1087" s="18" t="n"/>
      <c r="E1087" s="17" t="n"/>
      <c r="F1087" s="17" t="n"/>
      <c r="G1087" s="19" t="n"/>
      <c r="H1087" s="17" t="n"/>
      <c r="I1087" s="17" t="n"/>
      <c r="J1087" s="17" t="n"/>
      <c r="K1087" s="20">
        <f>IF($B1087="","",IFERROR(INDEX(الموظفات!$A$5:$A$304,MATCH($B1087,الموظفات!$B$5:$B$304,0))&amp;"",""))</f>
        <v/>
      </c>
      <c r="L1087" s="21">
        <f>IF($B1087="","",IFERROR(INDEX(الموظفات!$C$5:$C$304,MATCH($B1087,الموظفات!$B$5:$B$304,0))&amp;"",""))</f>
        <v/>
      </c>
      <c r="M1087" s="20">
        <f>IF($B1087="","",IFERROR(INDEX(الموظفات!$D$5:$D$304,MATCH($B1087,الموظفات!$B$5:$B$304,0))&amp;"",""))</f>
        <v/>
      </c>
      <c r="N1087" s="20">
        <f>IF($B1087="","",IFERROR(INDEX(الموظفات!$E$5:$E$304,MATCH($B1087,الموظفات!$B$5:$B$304,0))&amp;"",""))</f>
        <v/>
      </c>
      <c r="O1087" s="21">
        <f>IF(C1087="","",IFERROR(INDEX(الإعدادات!$D$7:$D$35,MATCH(C1087,الإعدادات!$A$7:$A$35,0))&amp;"",""))</f>
        <v/>
      </c>
      <c r="P1087" s="20">
        <f>IF(A1087="","",INDEX(الإعدادات!$H$7:$H$18,MONTH(A1087)))</f>
        <v/>
      </c>
      <c r="Q1087" s="20">
        <f>IF(A1087="","",INDEX(الإعدادات!$I$7:$I$18,MONTH(A1087)))</f>
        <v/>
      </c>
      <c r="R1087" s="20">
        <f>IF(A1087="","",IF(MONTH(A1087)&gt;=8,YEAR(A1087)&amp;"-"&amp;(YEAR(A1087)+1),(YEAR(A1087)-1)&amp;"-"&amp;YEAR(A1087)))</f>
        <v/>
      </c>
      <c r="S1087" s="20">
        <f>IF(OR(A1087="",B1087=""),0,IF(AND(R1087=التقارير!$C$4,OR(التقارير!$C$5="سنوي",AND(التقارير!$C$5="شهري",P1087=التقارير!$C$6),AND(التقارير!$C$5="فصلي",Q1087=التقارير!$C$7))),1,0))</f>
        <v/>
      </c>
      <c r="T1087" s="20">
        <f>IF(S1087=1,COUNTIF($S$5:S1087,1),"")</f>
        <v/>
      </c>
      <c r="U1087">
        <f>IF(AND($A1087&lt;&gt;"",$B1087&lt;&gt;"",$R1087='تقرير الفصل الأول'!$C$4,$Q1087='تقرير الفصل الأول'!$C$7),COUNT(U$4:U1086)+1,"")</f>
        <v/>
      </c>
      <c r="V1087">
        <f>IF(AND($A1087&lt;&gt;"",$B1087&lt;&gt;"",$R1087='تقرير الفصل الثاني'!$C$4,$Q1087='تقرير الفصل الثاني'!$C$7),COUNT(V$4:V1086)+1,"")</f>
        <v/>
      </c>
      <c r="W1087">
        <f>IF(AND($A1087&lt;&gt;"",$B1087&lt;&gt;"",$R1087='تقرير سبتمبر'!$C$4,$P1087='تقرير سبتمبر'!$C$6),COUNT(W$4:W1086)+1,"")</f>
        <v/>
      </c>
      <c r="X1087">
        <f>IF(AND($A1087&lt;&gt;"",$B1087&lt;&gt;"",$R1087='تقرير أكتوبر'!$C$4,$P1087='تقرير أكتوبر'!$C$6),COUNT(X$4:X1086)+1,"")</f>
        <v/>
      </c>
      <c r="Y1087">
        <f>IF(AND($A1087&lt;&gt;"",$B1087&lt;&gt;"",$R1087='تقرير نوفمبر'!$C$4,$P1087='تقرير نوفمبر'!$C$6),COUNT(Y$4:Y1086)+1,"")</f>
        <v/>
      </c>
      <c r="Z1087">
        <f>IF(AND($A1087&lt;&gt;"",$B1087&lt;&gt;"",$R1087='تقرير ديسمبر'!$C$4,$P1087='تقرير ديسمبر'!$C$6),COUNT(Z$4:Z1086)+1,"")</f>
        <v/>
      </c>
      <c r="AA1087">
        <f>IF(AND($A1087&lt;&gt;"",$B1087&lt;&gt;"",$R1087='تقرير يناير'!$C$4,$P1087='تقرير يناير'!$C$6),COUNT(AA$4:AA1086)+1,"")</f>
        <v/>
      </c>
      <c r="AB1087">
        <f>IF(AND($A1087&lt;&gt;"",$B1087&lt;&gt;"",$R1087='تقرير فبراير'!$C$4,$P1087='تقرير فبراير'!$C$6),COUNT(AB$4:AB1086)+1,"")</f>
        <v/>
      </c>
      <c r="AC1087">
        <f>IF(AND($A1087&lt;&gt;"",$B1087&lt;&gt;"",$R1087='تقرير مارس'!$C$4,$P1087='تقرير مارس'!$C$6),COUNT(AC$4:AC1086)+1,"")</f>
        <v/>
      </c>
      <c r="AD1087">
        <f>IF(AND($A1087&lt;&gt;"",$B1087&lt;&gt;"",$R1087='تقرير أبريل'!$C$4,$P1087='تقرير أبريل'!$C$6),COUNT(AD$4:AD1086)+1,"")</f>
        <v/>
      </c>
      <c r="AE1087">
        <f>IF(AND($A1087&lt;&gt;"",$B1087&lt;&gt;"",$R1087='تقرير مايو'!$C$4,$P1087='تقرير مايو'!$C$6),COUNT(AE$4:AE1086)+1,"")</f>
        <v/>
      </c>
    </row>
    <row r="1088">
      <c r="A1088" s="16" t="n"/>
      <c r="B1088" s="17" t="n"/>
      <c r="C1088" s="17" t="n"/>
      <c r="D1088" s="18" t="n"/>
      <c r="E1088" s="17" t="n"/>
      <c r="F1088" s="17" t="n"/>
      <c r="G1088" s="19" t="n"/>
      <c r="H1088" s="17" t="n"/>
      <c r="I1088" s="17" t="n"/>
      <c r="J1088" s="17" t="n"/>
      <c r="K1088" s="20">
        <f>IF($B1088="","",IFERROR(INDEX(الموظفات!$A$5:$A$304,MATCH($B1088,الموظفات!$B$5:$B$304,0))&amp;"",""))</f>
        <v/>
      </c>
      <c r="L1088" s="21">
        <f>IF($B1088="","",IFERROR(INDEX(الموظفات!$C$5:$C$304,MATCH($B1088,الموظفات!$B$5:$B$304,0))&amp;"",""))</f>
        <v/>
      </c>
      <c r="M1088" s="20">
        <f>IF($B1088="","",IFERROR(INDEX(الموظفات!$D$5:$D$304,MATCH($B1088,الموظفات!$B$5:$B$304,0))&amp;"",""))</f>
        <v/>
      </c>
      <c r="N1088" s="20">
        <f>IF($B1088="","",IFERROR(INDEX(الموظفات!$E$5:$E$304,MATCH($B1088,الموظفات!$B$5:$B$304,0))&amp;"",""))</f>
        <v/>
      </c>
      <c r="O1088" s="21">
        <f>IF(C1088="","",IFERROR(INDEX(الإعدادات!$D$7:$D$35,MATCH(C1088,الإعدادات!$A$7:$A$35,0))&amp;"",""))</f>
        <v/>
      </c>
      <c r="P1088" s="20">
        <f>IF(A1088="","",INDEX(الإعدادات!$H$7:$H$18,MONTH(A1088)))</f>
        <v/>
      </c>
      <c r="Q1088" s="20">
        <f>IF(A1088="","",INDEX(الإعدادات!$I$7:$I$18,MONTH(A1088)))</f>
        <v/>
      </c>
      <c r="R1088" s="20">
        <f>IF(A1088="","",IF(MONTH(A1088)&gt;=8,YEAR(A1088)&amp;"-"&amp;(YEAR(A1088)+1),(YEAR(A1088)-1)&amp;"-"&amp;YEAR(A1088)))</f>
        <v/>
      </c>
      <c r="S1088" s="20">
        <f>IF(OR(A1088="",B1088=""),0,IF(AND(R1088=التقارير!$C$4,OR(التقارير!$C$5="سنوي",AND(التقارير!$C$5="شهري",P1088=التقارير!$C$6),AND(التقارير!$C$5="فصلي",Q1088=التقارير!$C$7))),1,0))</f>
        <v/>
      </c>
      <c r="T1088" s="20">
        <f>IF(S1088=1,COUNTIF($S$5:S1088,1),"")</f>
        <v/>
      </c>
      <c r="U1088">
        <f>IF(AND($A1088&lt;&gt;"",$B1088&lt;&gt;"",$R1088='تقرير الفصل الأول'!$C$4,$Q1088='تقرير الفصل الأول'!$C$7),COUNT(U$4:U1087)+1,"")</f>
        <v/>
      </c>
      <c r="V1088">
        <f>IF(AND($A1088&lt;&gt;"",$B1088&lt;&gt;"",$R1088='تقرير الفصل الثاني'!$C$4,$Q1088='تقرير الفصل الثاني'!$C$7),COUNT(V$4:V1087)+1,"")</f>
        <v/>
      </c>
      <c r="W1088">
        <f>IF(AND($A1088&lt;&gt;"",$B1088&lt;&gt;"",$R1088='تقرير سبتمبر'!$C$4,$P1088='تقرير سبتمبر'!$C$6),COUNT(W$4:W1087)+1,"")</f>
        <v/>
      </c>
      <c r="X1088">
        <f>IF(AND($A1088&lt;&gt;"",$B1088&lt;&gt;"",$R1088='تقرير أكتوبر'!$C$4,$P1088='تقرير أكتوبر'!$C$6),COUNT(X$4:X1087)+1,"")</f>
        <v/>
      </c>
      <c r="Y1088">
        <f>IF(AND($A1088&lt;&gt;"",$B1088&lt;&gt;"",$R1088='تقرير نوفمبر'!$C$4,$P1088='تقرير نوفمبر'!$C$6),COUNT(Y$4:Y1087)+1,"")</f>
        <v/>
      </c>
      <c r="Z1088">
        <f>IF(AND($A1088&lt;&gt;"",$B1088&lt;&gt;"",$R1088='تقرير ديسمبر'!$C$4,$P1088='تقرير ديسمبر'!$C$6),COUNT(Z$4:Z1087)+1,"")</f>
        <v/>
      </c>
      <c r="AA1088">
        <f>IF(AND($A1088&lt;&gt;"",$B1088&lt;&gt;"",$R1088='تقرير يناير'!$C$4,$P1088='تقرير يناير'!$C$6),COUNT(AA$4:AA1087)+1,"")</f>
        <v/>
      </c>
      <c r="AB1088">
        <f>IF(AND($A1088&lt;&gt;"",$B1088&lt;&gt;"",$R1088='تقرير فبراير'!$C$4,$P1088='تقرير فبراير'!$C$6),COUNT(AB$4:AB1087)+1,"")</f>
        <v/>
      </c>
      <c r="AC1088">
        <f>IF(AND($A1088&lt;&gt;"",$B1088&lt;&gt;"",$R1088='تقرير مارس'!$C$4,$P1088='تقرير مارس'!$C$6),COUNT(AC$4:AC1087)+1,"")</f>
        <v/>
      </c>
      <c r="AD1088">
        <f>IF(AND($A1088&lt;&gt;"",$B1088&lt;&gt;"",$R1088='تقرير أبريل'!$C$4,$P1088='تقرير أبريل'!$C$6),COUNT(AD$4:AD1087)+1,"")</f>
        <v/>
      </c>
      <c r="AE1088">
        <f>IF(AND($A1088&lt;&gt;"",$B1088&lt;&gt;"",$R1088='تقرير مايو'!$C$4,$P1088='تقرير مايو'!$C$6),COUNT(AE$4:AE1087)+1,"")</f>
        <v/>
      </c>
    </row>
    <row r="1089">
      <c r="A1089" s="16" t="n"/>
      <c r="B1089" s="17" t="n"/>
      <c r="C1089" s="17" t="n"/>
      <c r="D1089" s="18" t="n"/>
      <c r="E1089" s="17" t="n"/>
      <c r="F1089" s="17" t="n"/>
      <c r="G1089" s="19" t="n"/>
      <c r="H1089" s="17" t="n"/>
      <c r="I1089" s="17" t="n"/>
      <c r="J1089" s="17" t="n"/>
      <c r="K1089" s="20">
        <f>IF($B1089="","",IFERROR(INDEX(الموظفات!$A$5:$A$304,MATCH($B1089,الموظفات!$B$5:$B$304,0))&amp;"",""))</f>
        <v/>
      </c>
      <c r="L1089" s="21">
        <f>IF($B1089="","",IFERROR(INDEX(الموظفات!$C$5:$C$304,MATCH($B1089,الموظفات!$B$5:$B$304,0))&amp;"",""))</f>
        <v/>
      </c>
      <c r="M1089" s="20">
        <f>IF($B1089="","",IFERROR(INDEX(الموظفات!$D$5:$D$304,MATCH($B1089,الموظفات!$B$5:$B$304,0))&amp;"",""))</f>
        <v/>
      </c>
      <c r="N1089" s="20">
        <f>IF($B1089="","",IFERROR(INDEX(الموظفات!$E$5:$E$304,MATCH($B1089,الموظفات!$B$5:$B$304,0))&amp;"",""))</f>
        <v/>
      </c>
      <c r="O1089" s="21">
        <f>IF(C1089="","",IFERROR(INDEX(الإعدادات!$D$7:$D$35,MATCH(C1089,الإعدادات!$A$7:$A$35,0))&amp;"",""))</f>
        <v/>
      </c>
      <c r="P1089" s="20">
        <f>IF(A1089="","",INDEX(الإعدادات!$H$7:$H$18,MONTH(A1089)))</f>
        <v/>
      </c>
      <c r="Q1089" s="20">
        <f>IF(A1089="","",INDEX(الإعدادات!$I$7:$I$18,MONTH(A1089)))</f>
        <v/>
      </c>
      <c r="R1089" s="20">
        <f>IF(A1089="","",IF(MONTH(A1089)&gt;=8,YEAR(A1089)&amp;"-"&amp;(YEAR(A1089)+1),(YEAR(A1089)-1)&amp;"-"&amp;YEAR(A1089)))</f>
        <v/>
      </c>
      <c r="S1089" s="20">
        <f>IF(OR(A1089="",B1089=""),0,IF(AND(R1089=التقارير!$C$4,OR(التقارير!$C$5="سنوي",AND(التقارير!$C$5="شهري",P1089=التقارير!$C$6),AND(التقارير!$C$5="فصلي",Q1089=التقارير!$C$7))),1,0))</f>
        <v/>
      </c>
      <c r="T1089" s="20">
        <f>IF(S1089=1,COUNTIF($S$5:S1089,1),"")</f>
        <v/>
      </c>
      <c r="U1089">
        <f>IF(AND($A1089&lt;&gt;"",$B1089&lt;&gt;"",$R1089='تقرير الفصل الأول'!$C$4,$Q1089='تقرير الفصل الأول'!$C$7),COUNT(U$4:U1088)+1,"")</f>
        <v/>
      </c>
      <c r="V1089">
        <f>IF(AND($A1089&lt;&gt;"",$B1089&lt;&gt;"",$R1089='تقرير الفصل الثاني'!$C$4,$Q1089='تقرير الفصل الثاني'!$C$7),COUNT(V$4:V1088)+1,"")</f>
        <v/>
      </c>
      <c r="W1089">
        <f>IF(AND($A1089&lt;&gt;"",$B1089&lt;&gt;"",$R1089='تقرير سبتمبر'!$C$4,$P1089='تقرير سبتمبر'!$C$6),COUNT(W$4:W1088)+1,"")</f>
        <v/>
      </c>
      <c r="X1089">
        <f>IF(AND($A1089&lt;&gt;"",$B1089&lt;&gt;"",$R1089='تقرير أكتوبر'!$C$4,$P1089='تقرير أكتوبر'!$C$6),COUNT(X$4:X1088)+1,"")</f>
        <v/>
      </c>
      <c r="Y1089">
        <f>IF(AND($A1089&lt;&gt;"",$B1089&lt;&gt;"",$R1089='تقرير نوفمبر'!$C$4,$P1089='تقرير نوفمبر'!$C$6),COUNT(Y$4:Y1088)+1,"")</f>
        <v/>
      </c>
      <c r="Z1089">
        <f>IF(AND($A1089&lt;&gt;"",$B1089&lt;&gt;"",$R1089='تقرير ديسمبر'!$C$4,$P1089='تقرير ديسمبر'!$C$6),COUNT(Z$4:Z1088)+1,"")</f>
        <v/>
      </c>
      <c r="AA1089">
        <f>IF(AND($A1089&lt;&gt;"",$B1089&lt;&gt;"",$R1089='تقرير يناير'!$C$4,$P1089='تقرير يناير'!$C$6),COUNT(AA$4:AA1088)+1,"")</f>
        <v/>
      </c>
      <c r="AB1089">
        <f>IF(AND($A1089&lt;&gt;"",$B1089&lt;&gt;"",$R1089='تقرير فبراير'!$C$4,$P1089='تقرير فبراير'!$C$6),COUNT(AB$4:AB1088)+1,"")</f>
        <v/>
      </c>
      <c r="AC1089">
        <f>IF(AND($A1089&lt;&gt;"",$B1089&lt;&gt;"",$R1089='تقرير مارس'!$C$4,$P1089='تقرير مارس'!$C$6),COUNT(AC$4:AC1088)+1,"")</f>
        <v/>
      </c>
      <c r="AD1089">
        <f>IF(AND($A1089&lt;&gt;"",$B1089&lt;&gt;"",$R1089='تقرير أبريل'!$C$4,$P1089='تقرير أبريل'!$C$6),COUNT(AD$4:AD1088)+1,"")</f>
        <v/>
      </c>
      <c r="AE1089">
        <f>IF(AND($A1089&lt;&gt;"",$B1089&lt;&gt;"",$R1089='تقرير مايو'!$C$4,$P1089='تقرير مايو'!$C$6),COUNT(AE$4:AE1088)+1,"")</f>
        <v/>
      </c>
    </row>
    <row r="1090">
      <c r="A1090" s="16" t="n"/>
      <c r="B1090" s="17" t="n"/>
      <c r="C1090" s="17" t="n"/>
      <c r="D1090" s="18" t="n"/>
      <c r="E1090" s="17" t="n"/>
      <c r="F1090" s="17" t="n"/>
      <c r="G1090" s="19" t="n"/>
      <c r="H1090" s="17" t="n"/>
      <c r="I1090" s="17" t="n"/>
      <c r="J1090" s="17" t="n"/>
      <c r="K1090" s="20">
        <f>IF($B1090="","",IFERROR(INDEX(الموظفات!$A$5:$A$304,MATCH($B1090,الموظفات!$B$5:$B$304,0))&amp;"",""))</f>
        <v/>
      </c>
      <c r="L1090" s="21">
        <f>IF($B1090="","",IFERROR(INDEX(الموظفات!$C$5:$C$304,MATCH($B1090,الموظفات!$B$5:$B$304,0))&amp;"",""))</f>
        <v/>
      </c>
      <c r="M1090" s="20">
        <f>IF($B1090="","",IFERROR(INDEX(الموظفات!$D$5:$D$304,MATCH($B1090,الموظفات!$B$5:$B$304,0))&amp;"",""))</f>
        <v/>
      </c>
      <c r="N1090" s="20">
        <f>IF($B1090="","",IFERROR(INDEX(الموظفات!$E$5:$E$304,MATCH($B1090,الموظفات!$B$5:$B$304,0))&amp;"",""))</f>
        <v/>
      </c>
      <c r="O1090" s="21">
        <f>IF(C1090="","",IFERROR(INDEX(الإعدادات!$D$7:$D$35,MATCH(C1090,الإعدادات!$A$7:$A$35,0))&amp;"",""))</f>
        <v/>
      </c>
      <c r="P1090" s="20">
        <f>IF(A1090="","",INDEX(الإعدادات!$H$7:$H$18,MONTH(A1090)))</f>
        <v/>
      </c>
      <c r="Q1090" s="20">
        <f>IF(A1090="","",INDEX(الإعدادات!$I$7:$I$18,MONTH(A1090)))</f>
        <v/>
      </c>
      <c r="R1090" s="20">
        <f>IF(A1090="","",IF(MONTH(A1090)&gt;=8,YEAR(A1090)&amp;"-"&amp;(YEAR(A1090)+1),(YEAR(A1090)-1)&amp;"-"&amp;YEAR(A1090)))</f>
        <v/>
      </c>
      <c r="S1090" s="20">
        <f>IF(OR(A1090="",B1090=""),0,IF(AND(R1090=التقارير!$C$4,OR(التقارير!$C$5="سنوي",AND(التقارير!$C$5="شهري",P1090=التقارير!$C$6),AND(التقارير!$C$5="فصلي",Q1090=التقارير!$C$7))),1,0))</f>
        <v/>
      </c>
      <c r="T1090" s="20">
        <f>IF(S1090=1,COUNTIF($S$5:S1090,1),"")</f>
        <v/>
      </c>
      <c r="U1090">
        <f>IF(AND($A1090&lt;&gt;"",$B1090&lt;&gt;"",$R1090='تقرير الفصل الأول'!$C$4,$Q1090='تقرير الفصل الأول'!$C$7),COUNT(U$4:U1089)+1,"")</f>
        <v/>
      </c>
      <c r="V1090">
        <f>IF(AND($A1090&lt;&gt;"",$B1090&lt;&gt;"",$R1090='تقرير الفصل الثاني'!$C$4,$Q1090='تقرير الفصل الثاني'!$C$7),COUNT(V$4:V1089)+1,"")</f>
        <v/>
      </c>
      <c r="W1090">
        <f>IF(AND($A1090&lt;&gt;"",$B1090&lt;&gt;"",$R1090='تقرير سبتمبر'!$C$4,$P1090='تقرير سبتمبر'!$C$6),COUNT(W$4:W1089)+1,"")</f>
        <v/>
      </c>
      <c r="X1090">
        <f>IF(AND($A1090&lt;&gt;"",$B1090&lt;&gt;"",$R1090='تقرير أكتوبر'!$C$4,$P1090='تقرير أكتوبر'!$C$6),COUNT(X$4:X1089)+1,"")</f>
        <v/>
      </c>
      <c r="Y1090">
        <f>IF(AND($A1090&lt;&gt;"",$B1090&lt;&gt;"",$R1090='تقرير نوفمبر'!$C$4,$P1090='تقرير نوفمبر'!$C$6),COUNT(Y$4:Y1089)+1,"")</f>
        <v/>
      </c>
      <c r="Z1090">
        <f>IF(AND($A1090&lt;&gt;"",$B1090&lt;&gt;"",$R1090='تقرير ديسمبر'!$C$4,$P1090='تقرير ديسمبر'!$C$6),COUNT(Z$4:Z1089)+1,"")</f>
        <v/>
      </c>
      <c r="AA1090">
        <f>IF(AND($A1090&lt;&gt;"",$B1090&lt;&gt;"",$R1090='تقرير يناير'!$C$4,$P1090='تقرير يناير'!$C$6),COUNT(AA$4:AA1089)+1,"")</f>
        <v/>
      </c>
      <c r="AB1090">
        <f>IF(AND($A1090&lt;&gt;"",$B1090&lt;&gt;"",$R1090='تقرير فبراير'!$C$4,$P1090='تقرير فبراير'!$C$6),COUNT(AB$4:AB1089)+1,"")</f>
        <v/>
      </c>
      <c r="AC1090">
        <f>IF(AND($A1090&lt;&gt;"",$B1090&lt;&gt;"",$R1090='تقرير مارس'!$C$4,$P1090='تقرير مارس'!$C$6),COUNT(AC$4:AC1089)+1,"")</f>
        <v/>
      </c>
      <c r="AD1090">
        <f>IF(AND($A1090&lt;&gt;"",$B1090&lt;&gt;"",$R1090='تقرير أبريل'!$C$4,$P1090='تقرير أبريل'!$C$6),COUNT(AD$4:AD1089)+1,"")</f>
        <v/>
      </c>
      <c r="AE1090">
        <f>IF(AND($A1090&lt;&gt;"",$B1090&lt;&gt;"",$R1090='تقرير مايو'!$C$4,$P1090='تقرير مايو'!$C$6),COUNT(AE$4:AE1089)+1,"")</f>
        <v/>
      </c>
    </row>
    <row r="1091">
      <c r="A1091" s="16" t="n"/>
      <c r="B1091" s="17" t="n"/>
      <c r="C1091" s="17" t="n"/>
      <c r="D1091" s="18" t="n"/>
      <c r="E1091" s="17" t="n"/>
      <c r="F1091" s="17" t="n"/>
      <c r="G1091" s="19" t="n"/>
      <c r="H1091" s="17" t="n"/>
      <c r="I1091" s="17" t="n"/>
      <c r="J1091" s="17" t="n"/>
      <c r="K1091" s="20">
        <f>IF($B1091="","",IFERROR(INDEX(الموظفات!$A$5:$A$304,MATCH($B1091,الموظفات!$B$5:$B$304,0))&amp;"",""))</f>
        <v/>
      </c>
      <c r="L1091" s="21">
        <f>IF($B1091="","",IFERROR(INDEX(الموظفات!$C$5:$C$304,MATCH($B1091,الموظفات!$B$5:$B$304,0))&amp;"",""))</f>
        <v/>
      </c>
      <c r="M1091" s="20">
        <f>IF($B1091="","",IFERROR(INDEX(الموظفات!$D$5:$D$304,MATCH($B1091,الموظفات!$B$5:$B$304,0))&amp;"",""))</f>
        <v/>
      </c>
      <c r="N1091" s="20">
        <f>IF($B1091="","",IFERROR(INDEX(الموظفات!$E$5:$E$304,MATCH($B1091,الموظفات!$B$5:$B$304,0))&amp;"",""))</f>
        <v/>
      </c>
      <c r="O1091" s="21">
        <f>IF(C1091="","",IFERROR(INDEX(الإعدادات!$D$7:$D$35,MATCH(C1091,الإعدادات!$A$7:$A$35,0))&amp;"",""))</f>
        <v/>
      </c>
      <c r="P1091" s="20">
        <f>IF(A1091="","",INDEX(الإعدادات!$H$7:$H$18,MONTH(A1091)))</f>
        <v/>
      </c>
      <c r="Q1091" s="20">
        <f>IF(A1091="","",INDEX(الإعدادات!$I$7:$I$18,MONTH(A1091)))</f>
        <v/>
      </c>
      <c r="R1091" s="20">
        <f>IF(A1091="","",IF(MONTH(A1091)&gt;=8,YEAR(A1091)&amp;"-"&amp;(YEAR(A1091)+1),(YEAR(A1091)-1)&amp;"-"&amp;YEAR(A1091)))</f>
        <v/>
      </c>
      <c r="S1091" s="20">
        <f>IF(OR(A1091="",B1091=""),0,IF(AND(R1091=التقارير!$C$4,OR(التقارير!$C$5="سنوي",AND(التقارير!$C$5="شهري",P1091=التقارير!$C$6),AND(التقارير!$C$5="فصلي",Q1091=التقارير!$C$7))),1,0))</f>
        <v/>
      </c>
      <c r="T1091" s="20">
        <f>IF(S1091=1,COUNTIF($S$5:S1091,1),"")</f>
        <v/>
      </c>
      <c r="U1091">
        <f>IF(AND($A1091&lt;&gt;"",$B1091&lt;&gt;"",$R1091='تقرير الفصل الأول'!$C$4,$Q1091='تقرير الفصل الأول'!$C$7),COUNT(U$4:U1090)+1,"")</f>
        <v/>
      </c>
      <c r="V1091">
        <f>IF(AND($A1091&lt;&gt;"",$B1091&lt;&gt;"",$R1091='تقرير الفصل الثاني'!$C$4,$Q1091='تقرير الفصل الثاني'!$C$7),COUNT(V$4:V1090)+1,"")</f>
        <v/>
      </c>
      <c r="W1091">
        <f>IF(AND($A1091&lt;&gt;"",$B1091&lt;&gt;"",$R1091='تقرير سبتمبر'!$C$4,$P1091='تقرير سبتمبر'!$C$6),COUNT(W$4:W1090)+1,"")</f>
        <v/>
      </c>
      <c r="X1091">
        <f>IF(AND($A1091&lt;&gt;"",$B1091&lt;&gt;"",$R1091='تقرير أكتوبر'!$C$4,$P1091='تقرير أكتوبر'!$C$6),COUNT(X$4:X1090)+1,"")</f>
        <v/>
      </c>
      <c r="Y1091">
        <f>IF(AND($A1091&lt;&gt;"",$B1091&lt;&gt;"",$R1091='تقرير نوفمبر'!$C$4,$P1091='تقرير نوفمبر'!$C$6),COUNT(Y$4:Y1090)+1,"")</f>
        <v/>
      </c>
      <c r="Z1091">
        <f>IF(AND($A1091&lt;&gt;"",$B1091&lt;&gt;"",$R1091='تقرير ديسمبر'!$C$4,$P1091='تقرير ديسمبر'!$C$6),COUNT(Z$4:Z1090)+1,"")</f>
        <v/>
      </c>
      <c r="AA1091">
        <f>IF(AND($A1091&lt;&gt;"",$B1091&lt;&gt;"",$R1091='تقرير يناير'!$C$4,$P1091='تقرير يناير'!$C$6),COUNT(AA$4:AA1090)+1,"")</f>
        <v/>
      </c>
      <c r="AB1091">
        <f>IF(AND($A1091&lt;&gt;"",$B1091&lt;&gt;"",$R1091='تقرير فبراير'!$C$4,$P1091='تقرير فبراير'!$C$6),COUNT(AB$4:AB1090)+1,"")</f>
        <v/>
      </c>
      <c r="AC1091">
        <f>IF(AND($A1091&lt;&gt;"",$B1091&lt;&gt;"",$R1091='تقرير مارس'!$C$4,$P1091='تقرير مارس'!$C$6),COUNT(AC$4:AC1090)+1,"")</f>
        <v/>
      </c>
      <c r="AD1091">
        <f>IF(AND($A1091&lt;&gt;"",$B1091&lt;&gt;"",$R1091='تقرير أبريل'!$C$4,$P1091='تقرير أبريل'!$C$6),COUNT(AD$4:AD1090)+1,"")</f>
        <v/>
      </c>
      <c r="AE1091">
        <f>IF(AND($A1091&lt;&gt;"",$B1091&lt;&gt;"",$R1091='تقرير مايو'!$C$4,$P1091='تقرير مايو'!$C$6),COUNT(AE$4:AE1090)+1,"")</f>
        <v/>
      </c>
    </row>
    <row r="1092">
      <c r="A1092" s="16" t="n"/>
      <c r="B1092" s="17" t="n"/>
      <c r="C1092" s="17" t="n"/>
      <c r="D1092" s="18" t="n"/>
      <c r="E1092" s="17" t="n"/>
      <c r="F1092" s="17" t="n"/>
      <c r="G1092" s="19" t="n"/>
      <c r="H1092" s="17" t="n"/>
      <c r="I1092" s="17" t="n"/>
      <c r="J1092" s="17" t="n"/>
      <c r="K1092" s="20">
        <f>IF($B1092="","",IFERROR(INDEX(الموظفات!$A$5:$A$304,MATCH($B1092,الموظفات!$B$5:$B$304,0))&amp;"",""))</f>
        <v/>
      </c>
      <c r="L1092" s="21">
        <f>IF($B1092="","",IFERROR(INDEX(الموظفات!$C$5:$C$304,MATCH($B1092,الموظفات!$B$5:$B$304,0))&amp;"",""))</f>
        <v/>
      </c>
      <c r="M1092" s="20">
        <f>IF($B1092="","",IFERROR(INDEX(الموظفات!$D$5:$D$304,MATCH($B1092,الموظفات!$B$5:$B$304,0))&amp;"",""))</f>
        <v/>
      </c>
      <c r="N1092" s="20">
        <f>IF($B1092="","",IFERROR(INDEX(الموظفات!$E$5:$E$304,MATCH($B1092,الموظفات!$B$5:$B$304,0))&amp;"",""))</f>
        <v/>
      </c>
      <c r="O1092" s="21">
        <f>IF(C1092="","",IFERROR(INDEX(الإعدادات!$D$7:$D$35,MATCH(C1092,الإعدادات!$A$7:$A$35,0))&amp;"",""))</f>
        <v/>
      </c>
      <c r="P1092" s="20">
        <f>IF(A1092="","",INDEX(الإعدادات!$H$7:$H$18,MONTH(A1092)))</f>
        <v/>
      </c>
      <c r="Q1092" s="20">
        <f>IF(A1092="","",INDEX(الإعدادات!$I$7:$I$18,MONTH(A1092)))</f>
        <v/>
      </c>
      <c r="R1092" s="20">
        <f>IF(A1092="","",IF(MONTH(A1092)&gt;=8,YEAR(A1092)&amp;"-"&amp;(YEAR(A1092)+1),(YEAR(A1092)-1)&amp;"-"&amp;YEAR(A1092)))</f>
        <v/>
      </c>
      <c r="S1092" s="20">
        <f>IF(OR(A1092="",B1092=""),0,IF(AND(R1092=التقارير!$C$4,OR(التقارير!$C$5="سنوي",AND(التقارير!$C$5="شهري",P1092=التقارير!$C$6),AND(التقارير!$C$5="فصلي",Q1092=التقارير!$C$7))),1,0))</f>
        <v/>
      </c>
      <c r="T1092" s="20">
        <f>IF(S1092=1,COUNTIF($S$5:S1092,1),"")</f>
        <v/>
      </c>
      <c r="U1092">
        <f>IF(AND($A1092&lt;&gt;"",$B1092&lt;&gt;"",$R1092='تقرير الفصل الأول'!$C$4,$Q1092='تقرير الفصل الأول'!$C$7),COUNT(U$4:U1091)+1,"")</f>
        <v/>
      </c>
      <c r="V1092">
        <f>IF(AND($A1092&lt;&gt;"",$B1092&lt;&gt;"",$R1092='تقرير الفصل الثاني'!$C$4,$Q1092='تقرير الفصل الثاني'!$C$7),COUNT(V$4:V1091)+1,"")</f>
        <v/>
      </c>
      <c r="W1092">
        <f>IF(AND($A1092&lt;&gt;"",$B1092&lt;&gt;"",$R1092='تقرير سبتمبر'!$C$4,$P1092='تقرير سبتمبر'!$C$6),COUNT(W$4:W1091)+1,"")</f>
        <v/>
      </c>
      <c r="X1092">
        <f>IF(AND($A1092&lt;&gt;"",$B1092&lt;&gt;"",$R1092='تقرير أكتوبر'!$C$4,$P1092='تقرير أكتوبر'!$C$6),COUNT(X$4:X1091)+1,"")</f>
        <v/>
      </c>
      <c r="Y1092">
        <f>IF(AND($A1092&lt;&gt;"",$B1092&lt;&gt;"",$R1092='تقرير نوفمبر'!$C$4,$P1092='تقرير نوفمبر'!$C$6),COUNT(Y$4:Y1091)+1,"")</f>
        <v/>
      </c>
      <c r="Z1092">
        <f>IF(AND($A1092&lt;&gt;"",$B1092&lt;&gt;"",$R1092='تقرير ديسمبر'!$C$4,$P1092='تقرير ديسمبر'!$C$6),COUNT(Z$4:Z1091)+1,"")</f>
        <v/>
      </c>
      <c r="AA1092">
        <f>IF(AND($A1092&lt;&gt;"",$B1092&lt;&gt;"",$R1092='تقرير يناير'!$C$4,$P1092='تقرير يناير'!$C$6),COUNT(AA$4:AA1091)+1,"")</f>
        <v/>
      </c>
      <c r="AB1092">
        <f>IF(AND($A1092&lt;&gt;"",$B1092&lt;&gt;"",$R1092='تقرير فبراير'!$C$4,$P1092='تقرير فبراير'!$C$6),COUNT(AB$4:AB1091)+1,"")</f>
        <v/>
      </c>
      <c r="AC1092">
        <f>IF(AND($A1092&lt;&gt;"",$B1092&lt;&gt;"",$R1092='تقرير مارس'!$C$4,$P1092='تقرير مارس'!$C$6),COUNT(AC$4:AC1091)+1,"")</f>
        <v/>
      </c>
      <c r="AD1092">
        <f>IF(AND($A1092&lt;&gt;"",$B1092&lt;&gt;"",$R1092='تقرير أبريل'!$C$4,$P1092='تقرير أبريل'!$C$6),COUNT(AD$4:AD1091)+1,"")</f>
        <v/>
      </c>
      <c r="AE1092">
        <f>IF(AND($A1092&lt;&gt;"",$B1092&lt;&gt;"",$R1092='تقرير مايو'!$C$4,$P1092='تقرير مايو'!$C$6),COUNT(AE$4:AE1091)+1,"")</f>
        <v/>
      </c>
    </row>
    <row r="1093">
      <c r="A1093" s="16" t="n"/>
      <c r="B1093" s="17" t="n"/>
      <c r="C1093" s="17" t="n"/>
      <c r="D1093" s="18" t="n"/>
      <c r="E1093" s="17" t="n"/>
      <c r="F1093" s="17" t="n"/>
      <c r="G1093" s="19" t="n"/>
      <c r="H1093" s="17" t="n"/>
      <c r="I1093" s="17" t="n"/>
      <c r="J1093" s="17" t="n"/>
      <c r="K1093" s="20">
        <f>IF($B1093="","",IFERROR(INDEX(الموظفات!$A$5:$A$304,MATCH($B1093,الموظفات!$B$5:$B$304,0))&amp;"",""))</f>
        <v/>
      </c>
      <c r="L1093" s="21">
        <f>IF($B1093="","",IFERROR(INDEX(الموظفات!$C$5:$C$304,MATCH($B1093,الموظفات!$B$5:$B$304,0))&amp;"",""))</f>
        <v/>
      </c>
      <c r="M1093" s="20">
        <f>IF($B1093="","",IFERROR(INDEX(الموظفات!$D$5:$D$304,MATCH($B1093,الموظفات!$B$5:$B$304,0))&amp;"",""))</f>
        <v/>
      </c>
      <c r="N1093" s="20">
        <f>IF($B1093="","",IFERROR(INDEX(الموظفات!$E$5:$E$304,MATCH($B1093,الموظفات!$B$5:$B$304,0))&amp;"",""))</f>
        <v/>
      </c>
      <c r="O1093" s="21">
        <f>IF(C1093="","",IFERROR(INDEX(الإعدادات!$D$7:$D$35,MATCH(C1093,الإعدادات!$A$7:$A$35,0))&amp;"",""))</f>
        <v/>
      </c>
      <c r="P1093" s="20">
        <f>IF(A1093="","",INDEX(الإعدادات!$H$7:$H$18,MONTH(A1093)))</f>
        <v/>
      </c>
      <c r="Q1093" s="20">
        <f>IF(A1093="","",INDEX(الإعدادات!$I$7:$I$18,MONTH(A1093)))</f>
        <v/>
      </c>
      <c r="R1093" s="20">
        <f>IF(A1093="","",IF(MONTH(A1093)&gt;=8,YEAR(A1093)&amp;"-"&amp;(YEAR(A1093)+1),(YEAR(A1093)-1)&amp;"-"&amp;YEAR(A1093)))</f>
        <v/>
      </c>
      <c r="S1093" s="20">
        <f>IF(OR(A1093="",B1093=""),0,IF(AND(R1093=التقارير!$C$4,OR(التقارير!$C$5="سنوي",AND(التقارير!$C$5="شهري",P1093=التقارير!$C$6),AND(التقارير!$C$5="فصلي",Q1093=التقارير!$C$7))),1,0))</f>
        <v/>
      </c>
      <c r="T1093" s="20">
        <f>IF(S1093=1,COUNTIF($S$5:S1093,1),"")</f>
        <v/>
      </c>
      <c r="U1093">
        <f>IF(AND($A1093&lt;&gt;"",$B1093&lt;&gt;"",$R1093='تقرير الفصل الأول'!$C$4,$Q1093='تقرير الفصل الأول'!$C$7),COUNT(U$4:U1092)+1,"")</f>
        <v/>
      </c>
      <c r="V1093">
        <f>IF(AND($A1093&lt;&gt;"",$B1093&lt;&gt;"",$R1093='تقرير الفصل الثاني'!$C$4,$Q1093='تقرير الفصل الثاني'!$C$7),COUNT(V$4:V1092)+1,"")</f>
        <v/>
      </c>
      <c r="W1093">
        <f>IF(AND($A1093&lt;&gt;"",$B1093&lt;&gt;"",$R1093='تقرير سبتمبر'!$C$4,$P1093='تقرير سبتمبر'!$C$6),COUNT(W$4:W1092)+1,"")</f>
        <v/>
      </c>
      <c r="X1093">
        <f>IF(AND($A1093&lt;&gt;"",$B1093&lt;&gt;"",$R1093='تقرير أكتوبر'!$C$4,$P1093='تقرير أكتوبر'!$C$6),COUNT(X$4:X1092)+1,"")</f>
        <v/>
      </c>
      <c r="Y1093">
        <f>IF(AND($A1093&lt;&gt;"",$B1093&lt;&gt;"",$R1093='تقرير نوفمبر'!$C$4,$P1093='تقرير نوفمبر'!$C$6),COUNT(Y$4:Y1092)+1,"")</f>
        <v/>
      </c>
      <c r="Z1093">
        <f>IF(AND($A1093&lt;&gt;"",$B1093&lt;&gt;"",$R1093='تقرير ديسمبر'!$C$4,$P1093='تقرير ديسمبر'!$C$6),COUNT(Z$4:Z1092)+1,"")</f>
        <v/>
      </c>
      <c r="AA1093">
        <f>IF(AND($A1093&lt;&gt;"",$B1093&lt;&gt;"",$R1093='تقرير يناير'!$C$4,$P1093='تقرير يناير'!$C$6),COUNT(AA$4:AA1092)+1,"")</f>
        <v/>
      </c>
      <c r="AB1093">
        <f>IF(AND($A1093&lt;&gt;"",$B1093&lt;&gt;"",$R1093='تقرير فبراير'!$C$4,$P1093='تقرير فبراير'!$C$6),COUNT(AB$4:AB1092)+1,"")</f>
        <v/>
      </c>
      <c r="AC1093">
        <f>IF(AND($A1093&lt;&gt;"",$B1093&lt;&gt;"",$R1093='تقرير مارس'!$C$4,$P1093='تقرير مارس'!$C$6),COUNT(AC$4:AC1092)+1,"")</f>
        <v/>
      </c>
      <c r="AD1093">
        <f>IF(AND($A1093&lt;&gt;"",$B1093&lt;&gt;"",$R1093='تقرير أبريل'!$C$4,$P1093='تقرير أبريل'!$C$6),COUNT(AD$4:AD1092)+1,"")</f>
        <v/>
      </c>
      <c r="AE1093">
        <f>IF(AND($A1093&lt;&gt;"",$B1093&lt;&gt;"",$R1093='تقرير مايو'!$C$4,$P1093='تقرير مايو'!$C$6),COUNT(AE$4:AE1092)+1,"")</f>
        <v/>
      </c>
    </row>
    <row r="1094">
      <c r="A1094" s="16" t="n"/>
      <c r="B1094" s="17" t="n"/>
      <c r="C1094" s="17" t="n"/>
      <c r="D1094" s="18" t="n"/>
      <c r="E1094" s="17" t="n"/>
      <c r="F1094" s="17" t="n"/>
      <c r="G1094" s="19" t="n"/>
      <c r="H1094" s="17" t="n"/>
      <c r="I1094" s="17" t="n"/>
      <c r="J1094" s="17" t="n"/>
      <c r="K1094" s="20">
        <f>IF($B1094="","",IFERROR(INDEX(الموظفات!$A$5:$A$304,MATCH($B1094,الموظفات!$B$5:$B$304,0))&amp;"",""))</f>
        <v/>
      </c>
      <c r="L1094" s="21">
        <f>IF($B1094="","",IFERROR(INDEX(الموظفات!$C$5:$C$304,MATCH($B1094,الموظفات!$B$5:$B$304,0))&amp;"",""))</f>
        <v/>
      </c>
      <c r="M1094" s="20">
        <f>IF($B1094="","",IFERROR(INDEX(الموظفات!$D$5:$D$304,MATCH($B1094,الموظفات!$B$5:$B$304,0))&amp;"",""))</f>
        <v/>
      </c>
      <c r="N1094" s="20">
        <f>IF($B1094="","",IFERROR(INDEX(الموظفات!$E$5:$E$304,MATCH($B1094,الموظفات!$B$5:$B$304,0))&amp;"",""))</f>
        <v/>
      </c>
      <c r="O1094" s="21">
        <f>IF(C1094="","",IFERROR(INDEX(الإعدادات!$D$7:$D$35,MATCH(C1094,الإعدادات!$A$7:$A$35,0))&amp;"",""))</f>
        <v/>
      </c>
      <c r="P1094" s="20">
        <f>IF(A1094="","",INDEX(الإعدادات!$H$7:$H$18,MONTH(A1094)))</f>
        <v/>
      </c>
      <c r="Q1094" s="20">
        <f>IF(A1094="","",INDEX(الإعدادات!$I$7:$I$18,MONTH(A1094)))</f>
        <v/>
      </c>
      <c r="R1094" s="20">
        <f>IF(A1094="","",IF(MONTH(A1094)&gt;=8,YEAR(A1094)&amp;"-"&amp;(YEAR(A1094)+1),(YEAR(A1094)-1)&amp;"-"&amp;YEAR(A1094)))</f>
        <v/>
      </c>
      <c r="S1094" s="20">
        <f>IF(OR(A1094="",B1094=""),0,IF(AND(R1094=التقارير!$C$4,OR(التقارير!$C$5="سنوي",AND(التقارير!$C$5="شهري",P1094=التقارير!$C$6),AND(التقارير!$C$5="فصلي",Q1094=التقارير!$C$7))),1,0))</f>
        <v/>
      </c>
      <c r="T1094" s="20">
        <f>IF(S1094=1,COUNTIF($S$5:S1094,1),"")</f>
        <v/>
      </c>
      <c r="U1094">
        <f>IF(AND($A1094&lt;&gt;"",$B1094&lt;&gt;"",$R1094='تقرير الفصل الأول'!$C$4,$Q1094='تقرير الفصل الأول'!$C$7),COUNT(U$4:U1093)+1,"")</f>
        <v/>
      </c>
      <c r="V1094">
        <f>IF(AND($A1094&lt;&gt;"",$B1094&lt;&gt;"",$R1094='تقرير الفصل الثاني'!$C$4,$Q1094='تقرير الفصل الثاني'!$C$7),COUNT(V$4:V1093)+1,"")</f>
        <v/>
      </c>
      <c r="W1094">
        <f>IF(AND($A1094&lt;&gt;"",$B1094&lt;&gt;"",$R1094='تقرير سبتمبر'!$C$4,$P1094='تقرير سبتمبر'!$C$6),COUNT(W$4:W1093)+1,"")</f>
        <v/>
      </c>
      <c r="X1094">
        <f>IF(AND($A1094&lt;&gt;"",$B1094&lt;&gt;"",$R1094='تقرير أكتوبر'!$C$4,$P1094='تقرير أكتوبر'!$C$6),COUNT(X$4:X1093)+1,"")</f>
        <v/>
      </c>
      <c r="Y1094">
        <f>IF(AND($A1094&lt;&gt;"",$B1094&lt;&gt;"",$R1094='تقرير نوفمبر'!$C$4,$P1094='تقرير نوفمبر'!$C$6),COUNT(Y$4:Y1093)+1,"")</f>
        <v/>
      </c>
      <c r="Z1094">
        <f>IF(AND($A1094&lt;&gt;"",$B1094&lt;&gt;"",$R1094='تقرير ديسمبر'!$C$4,$P1094='تقرير ديسمبر'!$C$6),COUNT(Z$4:Z1093)+1,"")</f>
        <v/>
      </c>
      <c r="AA1094">
        <f>IF(AND($A1094&lt;&gt;"",$B1094&lt;&gt;"",$R1094='تقرير يناير'!$C$4,$P1094='تقرير يناير'!$C$6),COUNT(AA$4:AA1093)+1,"")</f>
        <v/>
      </c>
      <c r="AB1094">
        <f>IF(AND($A1094&lt;&gt;"",$B1094&lt;&gt;"",$R1094='تقرير فبراير'!$C$4,$P1094='تقرير فبراير'!$C$6),COUNT(AB$4:AB1093)+1,"")</f>
        <v/>
      </c>
      <c r="AC1094">
        <f>IF(AND($A1094&lt;&gt;"",$B1094&lt;&gt;"",$R1094='تقرير مارس'!$C$4,$P1094='تقرير مارس'!$C$6),COUNT(AC$4:AC1093)+1,"")</f>
        <v/>
      </c>
      <c r="AD1094">
        <f>IF(AND($A1094&lt;&gt;"",$B1094&lt;&gt;"",$R1094='تقرير أبريل'!$C$4,$P1094='تقرير أبريل'!$C$6),COUNT(AD$4:AD1093)+1,"")</f>
        <v/>
      </c>
      <c r="AE1094">
        <f>IF(AND($A1094&lt;&gt;"",$B1094&lt;&gt;"",$R1094='تقرير مايو'!$C$4,$P1094='تقرير مايو'!$C$6),COUNT(AE$4:AE1093)+1,"")</f>
        <v/>
      </c>
    </row>
    <row r="1095">
      <c r="A1095" s="16" t="n"/>
      <c r="B1095" s="17" t="n"/>
      <c r="C1095" s="17" t="n"/>
      <c r="D1095" s="18" t="n"/>
      <c r="E1095" s="17" t="n"/>
      <c r="F1095" s="17" t="n"/>
      <c r="G1095" s="19" t="n"/>
      <c r="H1095" s="17" t="n"/>
      <c r="I1095" s="17" t="n"/>
      <c r="J1095" s="17" t="n"/>
      <c r="K1095" s="20">
        <f>IF($B1095="","",IFERROR(INDEX(الموظفات!$A$5:$A$304,MATCH($B1095,الموظفات!$B$5:$B$304,0))&amp;"",""))</f>
        <v/>
      </c>
      <c r="L1095" s="21">
        <f>IF($B1095="","",IFERROR(INDEX(الموظفات!$C$5:$C$304,MATCH($B1095,الموظفات!$B$5:$B$304,0))&amp;"",""))</f>
        <v/>
      </c>
      <c r="M1095" s="20">
        <f>IF($B1095="","",IFERROR(INDEX(الموظفات!$D$5:$D$304,MATCH($B1095,الموظفات!$B$5:$B$304,0))&amp;"",""))</f>
        <v/>
      </c>
      <c r="N1095" s="20">
        <f>IF($B1095="","",IFERROR(INDEX(الموظفات!$E$5:$E$304,MATCH($B1095,الموظفات!$B$5:$B$304,0))&amp;"",""))</f>
        <v/>
      </c>
      <c r="O1095" s="21">
        <f>IF(C1095="","",IFERROR(INDEX(الإعدادات!$D$7:$D$35,MATCH(C1095,الإعدادات!$A$7:$A$35,0))&amp;"",""))</f>
        <v/>
      </c>
      <c r="P1095" s="20">
        <f>IF(A1095="","",INDEX(الإعدادات!$H$7:$H$18,MONTH(A1095)))</f>
        <v/>
      </c>
      <c r="Q1095" s="20">
        <f>IF(A1095="","",INDEX(الإعدادات!$I$7:$I$18,MONTH(A1095)))</f>
        <v/>
      </c>
      <c r="R1095" s="20">
        <f>IF(A1095="","",IF(MONTH(A1095)&gt;=8,YEAR(A1095)&amp;"-"&amp;(YEAR(A1095)+1),(YEAR(A1095)-1)&amp;"-"&amp;YEAR(A1095)))</f>
        <v/>
      </c>
      <c r="S1095" s="20">
        <f>IF(OR(A1095="",B1095=""),0,IF(AND(R1095=التقارير!$C$4,OR(التقارير!$C$5="سنوي",AND(التقارير!$C$5="شهري",P1095=التقارير!$C$6),AND(التقارير!$C$5="فصلي",Q1095=التقارير!$C$7))),1,0))</f>
        <v/>
      </c>
      <c r="T1095" s="20">
        <f>IF(S1095=1,COUNTIF($S$5:S1095,1),"")</f>
        <v/>
      </c>
      <c r="U1095">
        <f>IF(AND($A1095&lt;&gt;"",$B1095&lt;&gt;"",$R1095='تقرير الفصل الأول'!$C$4,$Q1095='تقرير الفصل الأول'!$C$7),COUNT(U$4:U1094)+1,"")</f>
        <v/>
      </c>
      <c r="V1095">
        <f>IF(AND($A1095&lt;&gt;"",$B1095&lt;&gt;"",$R1095='تقرير الفصل الثاني'!$C$4,$Q1095='تقرير الفصل الثاني'!$C$7),COUNT(V$4:V1094)+1,"")</f>
        <v/>
      </c>
      <c r="W1095">
        <f>IF(AND($A1095&lt;&gt;"",$B1095&lt;&gt;"",$R1095='تقرير سبتمبر'!$C$4,$P1095='تقرير سبتمبر'!$C$6),COUNT(W$4:W1094)+1,"")</f>
        <v/>
      </c>
      <c r="X1095">
        <f>IF(AND($A1095&lt;&gt;"",$B1095&lt;&gt;"",$R1095='تقرير أكتوبر'!$C$4,$P1095='تقرير أكتوبر'!$C$6),COUNT(X$4:X1094)+1,"")</f>
        <v/>
      </c>
      <c r="Y1095">
        <f>IF(AND($A1095&lt;&gt;"",$B1095&lt;&gt;"",$R1095='تقرير نوفمبر'!$C$4,$P1095='تقرير نوفمبر'!$C$6),COUNT(Y$4:Y1094)+1,"")</f>
        <v/>
      </c>
      <c r="Z1095">
        <f>IF(AND($A1095&lt;&gt;"",$B1095&lt;&gt;"",$R1095='تقرير ديسمبر'!$C$4,$P1095='تقرير ديسمبر'!$C$6),COUNT(Z$4:Z1094)+1,"")</f>
        <v/>
      </c>
      <c r="AA1095">
        <f>IF(AND($A1095&lt;&gt;"",$B1095&lt;&gt;"",$R1095='تقرير يناير'!$C$4,$P1095='تقرير يناير'!$C$6),COUNT(AA$4:AA1094)+1,"")</f>
        <v/>
      </c>
      <c r="AB1095">
        <f>IF(AND($A1095&lt;&gt;"",$B1095&lt;&gt;"",$R1095='تقرير فبراير'!$C$4,$P1095='تقرير فبراير'!$C$6),COUNT(AB$4:AB1094)+1,"")</f>
        <v/>
      </c>
      <c r="AC1095">
        <f>IF(AND($A1095&lt;&gt;"",$B1095&lt;&gt;"",$R1095='تقرير مارس'!$C$4,$P1095='تقرير مارس'!$C$6),COUNT(AC$4:AC1094)+1,"")</f>
        <v/>
      </c>
      <c r="AD1095">
        <f>IF(AND($A1095&lt;&gt;"",$B1095&lt;&gt;"",$R1095='تقرير أبريل'!$C$4,$P1095='تقرير أبريل'!$C$6),COUNT(AD$4:AD1094)+1,"")</f>
        <v/>
      </c>
      <c r="AE1095">
        <f>IF(AND($A1095&lt;&gt;"",$B1095&lt;&gt;"",$R1095='تقرير مايو'!$C$4,$P1095='تقرير مايو'!$C$6),COUNT(AE$4:AE1094)+1,"")</f>
        <v/>
      </c>
    </row>
    <row r="1096">
      <c r="A1096" s="16" t="n"/>
      <c r="B1096" s="17" t="n"/>
      <c r="C1096" s="17" t="n"/>
      <c r="D1096" s="18" t="n"/>
      <c r="E1096" s="17" t="n"/>
      <c r="F1096" s="17" t="n"/>
      <c r="G1096" s="19" t="n"/>
      <c r="H1096" s="17" t="n"/>
      <c r="I1096" s="17" t="n"/>
      <c r="J1096" s="17" t="n"/>
      <c r="K1096" s="20">
        <f>IF($B1096="","",IFERROR(INDEX(الموظفات!$A$5:$A$304,MATCH($B1096,الموظفات!$B$5:$B$304,0))&amp;"",""))</f>
        <v/>
      </c>
      <c r="L1096" s="21">
        <f>IF($B1096="","",IFERROR(INDEX(الموظفات!$C$5:$C$304,MATCH($B1096,الموظفات!$B$5:$B$304,0))&amp;"",""))</f>
        <v/>
      </c>
      <c r="M1096" s="20">
        <f>IF($B1096="","",IFERROR(INDEX(الموظفات!$D$5:$D$304,MATCH($B1096,الموظفات!$B$5:$B$304,0))&amp;"",""))</f>
        <v/>
      </c>
      <c r="N1096" s="20">
        <f>IF($B1096="","",IFERROR(INDEX(الموظفات!$E$5:$E$304,MATCH($B1096,الموظفات!$B$5:$B$304,0))&amp;"",""))</f>
        <v/>
      </c>
      <c r="O1096" s="21">
        <f>IF(C1096="","",IFERROR(INDEX(الإعدادات!$D$7:$D$35,MATCH(C1096,الإعدادات!$A$7:$A$35,0))&amp;"",""))</f>
        <v/>
      </c>
      <c r="P1096" s="20">
        <f>IF(A1096="","",INDEX(الإعدادات!$H$7:$H$18,MONTH(A1096)))</f>
        <v/>
      </c>
      <c r="Q1096" s="20">
        <f>IF(A1096="","",INDEX(الإعدادات!$I$7:$I$18,MONTH(A1096)))</f>
        <v/>
      </c>
      <c r="R1096" s="20">
        <f>IF(A1096="","",IF(MONTH(A1096)&gt;=8,YEAR(A1096)&amp;"-"&amp;(YEAR(A1096)+1),(YEAR(A1096)-1)&amp;"-"&amp;YEAR(A1096)))</f>
        <v/>
      </c>
      <c r="S1096" s="20">
        <f>IF(OR(A1096="",B1096=""),0,IF(AND(R1096=التقارير!$C$4,OR(التقارير!$C$5="سنوي",AND(التقارير!$C$5="شهري",P1096=التقارير!$C$6),AND(التقارير!$C$5="فصلي",Q1096=التقارير!$C$7))),1,0))</f>
        <v/>
      </c>
      <c r="T1096" s="20">
        <f>IF(S1096=1,COUNTIF($S$5:S1096,1),"")</f>
        <v/>
      </c>
      <c r="U1096">
        <f>IF(AND($A1096&lt;&gt;"",$B1096&lt;&gt;"",$R1096='تقرير الفصل الأول'!$C$4,$Q1096='تقرير الفصل الأول'!$C$7),COUNT(U$4:U1095)+1,"")</f>
        <v/>
      </c>
      <c r="V1096">
        <f>IF(AND($A1096&lt;&gt;"",$B1096&lt;&gt;"",$R1096='تقرير الفصل الثاني'!$C$4,$Q1096='تقرير الفصل الثاني'!$C$7),COUNT(V$4:V1095)+1,"")</f>
        <v/>
      </c>
      <c r="W1096">
        <f>IF(AND($A1096&lt;&gt;"",$B1096&lt;&gt;"",$R1096='تقرير سبتمبر'!$C$4,$P1096='تقرير سبتمبر'!$C$6),COUNT(W$4:W1095)+1,"")</f>
        <v/>
      </c>
      <c r="X1096">
        <f>IF(AND($A1096&lt;&gt;"",$B1096&lt;&gt;"",$R1096='تقرير أكتوبر'!$C$4,$P1096='تقرير أكتوبر'!$C$6),COUNT(X$4:X1095)+1,"")</f>
        <v/>
      </c>
      <c r="Y1096">
        <f>IF(AND($A1096&lt;&gt;"",$B1096&lt;&gt;"",$R1096='تقرير نوفمبر'!$C$4,$P1096='تقرير نوفمبر'!$C$6),COUNT(Y$4:Y1095)+1,"")</f>
        <v/>
      </c>
      <c r="Z1096">
        <f>IF(AND($A1096&lt;&gt;"",$B1096&lt;&gt;"",$R1096='تقرير ديسمبر'!$C$4,$P1096='تقرير ديسمبر'!$C$6),COUNT(Z$4:Z1095)+1,"")</f>
        <v/>
      </c>
      <c r="AA1096">
        <f>IF(AND($A1096&lt;&gt;"",$B1096&lt;&gt;"",$R1096='تقرير يناير'!$C$4,$P1096='تقرير يناير'!$C$6),COUNT(AA$4:AA1095)+1,"")</f>
        <v/>
      </c>
      <c r="AB1096">
        <f>IF(AND($A1096&lt;&gt;"",$B1096&lt;&gt;"",$R1096='تقرير فبراير'!$C$4,$P1096='تقرير فبراير'!$C$6),COUNT(AB$4:AB1095)+1,"")</f>
        <v/>
      </c>
      <c r="AC1096">
        <f>IF(AND($A1096&lt;&gt;"",$B1096&lt;&gt;"",$R1096='تقرير مارس'!$C$4,$P1096='تقرير مارس'!$C$6),COUNT(AC$4:AC1095)+1,"")</f>
        <v/>
      </c>
      <c r="AD1096">
        <f>IF(AND($A1096&lt;&gt;"",$B1096&lt;&gt;"",$R1096='تقرير أبريل'!$C$4,$P1096='تقرير أبريل'!$C$6),COUNT(AD$4:AD1095)+1,"")</f>
        <v/>
      </c>
      <c r="AE1096">
        <f>IF(AND($A1096&lt;&gt;"",$B1096&lt;&gt;"",$R1096='تقرير مايو'!$C$4,$P1096='تقرير مايو'!$C$6),COUNT(AE$4:AE1095)+1,"")</f>
        <v/>
      </c>
    </row>
    <row r="1097">
      <c r="A1097" s="16" t="n"/>
      <c r="B1097" s="17" t="n"/>
      <c r="C1097" s="17" t="n"/>
      <c r="D1097" s="18" t="n"/>
      <c r="E1097" s="17" t="n"/>
      <c r="F1097" s="17" t="n"/>
      <c r="G1097" s="19" t="n"/>
      <c r="H1097" s="17" t="n"/>
      <c r="I1097" s="17" t="n"/>
      <c r="J1097" s="17" t="n"/>
      <c r="K1097" s="20">
        <f>IF($B1097="","",IFERROR(INDEX(الموظفات!$A$5:$A$304,MATCH($B1097,الموظفات!$B$5:$B$304,0))&amp;"",""))</f>
        <v/>
      </c>
      <c r="L1097" s="21">
        <f>IF($B1097="","",IFERROR(INDEX(الموظفات!$C$5:$C$304,MATCH($B1097,الموظفات!$B$5:$B$304,0))&amp;"",""))</f>
        <v/>
      </c>
      <c r="M1097" s="20">
        <f>IF($B1097="","",IFERROR(INDEX(الموظفات!$D$5:$D$304,MATCH($B1097,الموظفات!$B$5:$B$304,0))&amp;"",""))</f>
        <v/>
      </c>
      <c r="N1097" s="20">
        <f>IF($B1097="","",IFERROR(INDEX(الموظفات!$E$5:$E$304,MATCH($B1097,الموظفات!$B$5:$B$304,0))&amp;"",""))</f>
        <v/>
      </c>
      <c r="O1097" s="21">
        <f>IF(C1097="","",IFERROR(INDEX(الإعدادات!$D$7:$D$35,MATCH(C1097,الإعدادات!$A$7:$A$35,0))&amp;"",""))</f>
        <v/>
      </c>
      <c r="P1097" s="20">
        <f>IF(A1097="","",INDEX(الإعدادات!$H$7:$H$18,MONTH(A1097)))</f>
        <v/>
      </c>
      <c r="Q1097" s="20">
        <f>IF(A1097="","",INDEX(الإعدادات!$I$7:$I$18,MONTH(A1097)))</f>
        <v/>
      </c>
      <c r="R1097" s="20">
        <f>IF(A1097="","",IF(MONTH(A1097)&gt;=8,YEAR(A1097)&amp;"-"&amp;(YEAR(A1097)+1),(YEAR(A1097)-1)&amp;"-"&amp;YEAR(A1097)))</f>
        <v/>
      </c>
      <c r="S1097" s="20">
        <f>IF(OR(A1097="",B1097=""),0,IF(AND(R1097=التقارير!$C$4,OR(التقارير!$C$5="سنوي",AND(التقارير!$C$5="شهري",P1097=التقارير!$C$6),AND(التقارير!$C$5="فصلي",Q1097=التقارير!$C$7))),1,0))</f>
        <v/>
      </c>
      <c r="T1097" s="20">
        <f>IF(S1097=1,COUNTIF($S$5:S1097,1),"")</f>
        <v/>
      </c>
      <c r="U1097">
        <f>IF(AND($A1097&lt;&gt;"",$B1097&lt;&gt;"",$R1097='تقرير الفصل الأول'!$C$4,$Q1097='تقرير الفصل الأول'!$C$7),COUNT(U$4:U1096)+1,"")</f>
        <v/>
      </c>
      <c r="V1097">
        <f>IF(AND($A1097&lt;&gt;"",$B1097&lt;&gt;"",$R1097='تقرير الفصل الثاني'!$C$4,$Q1097='تقرير الفصل الثاني'!$C$7),COUNT(V$4:V1096)+1,"")</f>
        <v/>
      </c>
      <c r="W1097">
        <f>IF(AND($A1097&lt;&gt;"",$B1097&lt;&gt;"",$R1097='تقرير سبتمبر'!$C$4,$P1097='تقرير سبتمبر'!$C$6),COUNT(W$4:W1096)+1,"")</f>
        <v/>
      </c>
      <c r="X1097">
        <f>IF(AND($A1097&lt;&gt;"",$B1097&lt;&gt;"",$R1097='تقرير أكتوبر'!$C$4,$P1097='تقرير أكتوبر'!$C$6),COUNT(X$4:X1096)+1,"")</f>
        <v/>
      </c>
      <c r="Y1097">
        <f>IF(AND($A1097&lt;&gt;"",$B1097&lt;&gt;"",$R1097='تقرير نوفمبر'!$C$4,$P1097='تقرير نوفمبر'!$C$6),COUNT(Y$4:Y1096)+1,"")</f>
        <v/>
      </c>
      <c r="Z1097">
        <f>IF(AND($A1097&lt;&gt;"",$B1097&lt;&gt;"",$R1097='تقرير ديسمبر'!$C$4,$P1097='تقرير ديسمبر'!$C$6),COUNT(Z$4:Z1096)+1,"")</f>
        <v/>
      </c>
      <c r="AA1097">
        <f>IF(AND($A1097&lt;&gt;"",$B1097&lt;&gt;"",$R1097='تقرير يناير'!$C$4,$P1097='تقرير يناير'!$C$6),COUNT(AA$4:AA1096)+1,"")</f>
        <v/>
      </c>
      <c r="AB1097">
        <f>IF(AND($A1097&lt;&gt;"",$B1097&lt;&gt;"",$R1097='تقرير فبراير'!$C$4,$P1097='تقرير فبراير'!$C$6),COUNT(AB$4:AB1096)+1,"")</f>
        <v/>
      </c>
      <c r="AC1097">
        <f>IF(AND($A1097&lt;&gt;"",$B1097&lt;&gt;"",$R1097='تقرير مارس'!$C$4,$P1097='تقرير مارس'!$C$6),COUNT(AC$4:AC1096)+1,"")</f>
        <v/>
      </c>
      <c r="AD1097">
        <f>IF(AND($A1097&lt;&gt;"",$B1097&lt;&gt;"",$R1097='تقرير أبريل'!$C$4,$P1097='تقرير أبريل'!$C$6),COUNT(AD$4:AD1096)+1,"")</f>
        <v/>
      </c>
      <c r="AE1097">
        <f>IF(AND($A1097&lt;&gt;"",$B1097&lt;&gt;"",$R1097='تقرير مايو'!$C$4,$P1097='تقرير مايو'!$C$6),COUNT(AE$4:AE1096)+1,"")</f>
        <v/>
      </c>
    </row>
    <row r="1098">
      <c r="A1098" s="16" t="n"/>
      <c r="B1098" s="17" t="n"/>
      <c r="C1098" s="17" t="n"/>
      <c r="D1098" s="18" t="n"/>
      <c r="E1098" s="17" t="n"/>
      <c r="F1098" s="17" t="n"/>
      <c r="G1098" s="19" t="n"/>
      <c r="H1098" s="17" t="n"/>
      <c r="I1098" s="17" t="n"/>
      <c r="J1098" s="17" t="n"/>
      <c r="K1098" s="20">
        <f>IF($B1098="","",IFERROR(INDEX(الموظفات!$A$5:$A$304,MATCH($B1098,الموظفات!$B$5:$B$304,0))&amp;"",""))</f>
        <v/>
      </c>
      <c r="L1098" s="21">
        <f>IF($B1098="","",IFERROR(INDEX(الموظفات!$C$5:$C$304,MATCH($B1098,الموظفات!$B$5:$B$304,0))&amp;"",""))</f>
        <v/>
      </c>
      <c r="M1098" s="20">
        <f>IF($B1098="","",IFERROR(INDEX(الموظفات!$D$5:$D$304,MATCH($B1098,الموظفات!$B$5:$B$304,0))&amp;"",""))</f>
        <v/>
      </c>
      <c r="N1098" s="20">
        <f>IF($B1098="","",IFERROR(INDEX(الموظفات!$E$5:$E$304,MATCH($B1098,الموظفات!$B$5:$B$304,0))&amp;"",""))</f>
        <v/>
      </c>
      <c r="O1098" s="21">
        <f>IF(C1098="","",IFERROR(INDEX(الإعدادات!$D$7:$D$35,MATCH(C1098,الإعدادات!$A$7:$A$35,0))&amp;"",""))</f>
        <v/>
      </c>
      <c r="P1098" s="20">
        <f>IF(A1098="","",INDEX(الإعدادات!$H$7:$H$18,MONTH(A1098)))</f>
        <v/>
      </c>
      <c r="Q1098" s="20">
        <f>IF(A1098="","",INDEX(الإعدادات!$I$7:$I$18,MONTH(A1098)))</f>
        <v/>
      </c>
      <c r="R1098" s="20">
        <f>IF(A1098="","",IF(MONTH(A1098)&gt;=8,YEAR(A1098)&amp;"-"&amp;(YEAR(A1098)+1),(YEAR(A1098)-1)&amp;"-"&amp;YEAR(A1098)))</f>
        <v/>
      </c>
      <c r="S1098" s="20">
        <f>IF(OR(A1098="",B1098=""),0,IF(AND(R1098=التقارير!$C$4,OR(التقارير!$C$5="سنوي",AND(التقارير!$C$5="شهري",P1098=التقارير!$C$6),AND(التقارير!$C$5="فصلي",Q1098=التقارير!$C$7))),1,0))</f>
        <v/>
      </c>
      <c r="T1098" s="20">
        <f>IF(S1098=1,COUNTIF($S$5:S1098,1),"")</f>
        <v/>
      </c>
      <c r="U1098">
        <f>IF(AND($A1098&lt;&gt;"",$B1098&lt;&gt;"",$R1098='تقرير الفصل الأول'!$C$4,$Q1098='تقرير الفصل الأول'!$C$7),COUNT(U$4:U1097)+1,"")</f>
        <v/>
      </c>
      <c r="V1098">
        <f>IF(AND($A1098&lt;&gt;"",$B1098&lt;&gt;"",$R1098='تقرير الفصل الثاني'!$C$4,$Q1098='تقرير الفصل الثاني'!$C$7),COUNT(V$4:V1097)+1,"")</f>
        <v/>
      </c>
      <c r="W1098">
        <f>IF(AND($A1098&lt;&gt;"",$B1098&lt;&gt;"",$R1098='تقرير سبتمبر'!$C$4,$P1098='تقرير سبتمبر'!$C$6),COUNT(W$4:W1097)+1,"")</f>
        <v/>
      </c>
      <c r="X1098">
        <f>IF(AND($A1098&lt;&gt;"",$B1098&lt;&gt;"",$R1098='تقرير أكتوبر'!$C$4,$P1098='تقرير أكتوبر'!$C$6),COUNT(X$4:X1097)+1,"")</f>
        <v/>
      </c>
      <c r="Y1098">
        <f>IF(AND($A1098&lt;&gt;"",$B1098&lt;&gt;"",$R1098='تقرير نوفمبر'!$C$4,$P1098='تقرير نوفمبر'!$C$6),COUNT(Y$4:Y1097)+1,"")</f>
        <v/>
      </c>
      <c r="Z1098">
        <f>IF(AND($A1098&lt;&gt;"",$B1098&lt;&gt;"",$R1098='تقرير ديسمبر'!$C$4,$P1098='تقرير ديسمبر'!$C$6),COUNT(Z$4:Z1097)+1,"")</f>
        <v/>
      </c>
      <c r="AA1098">
        <f>IF(AND($A1098&lt;&gt;"",$B1098&lt;&gt;"",$R1098='تقرير يناير'!$C$4,$P1098='تقرير يناير'!$C$6),COUNT(AA$4:AA1097)+1,"")</f>
        <v/>
      </c>
      <c r="AB1098">
        <f>IF(AND($A1098&lt;&gt;"",$B1098&lt;&gt;"",$R1098='تقرير فبراير'!$C$4,$P1098='تقرير فبراير'!$C$6),COUNT(AB$4:AB1097)+1,"")</f>
        <v/>
      </c>
      <c r="AC1098">
        <f>IF(AND($A1098&lt;&gt;"",$B1098&lt;&gt;"",$R1098='تقرير مارس'!$C$4,$P1098='تقرير مارس'!$C$6),COUNT(AC$4:AC1097)+1,"")</f>
        <v/>
      </c>
      <c r="AD1098">
        <f>IF(AND($A1098&lt;&gt;"",$B1098&lt;&gt;"",$R1098='تقرير أبريل'!$C$4,$P1098='تقرير أبريل'!$C$6),COUNT(AD$4:AD1097)+1,"")</f>
        <v/>
      </c>
      <c r="AE1098">
        <f>IF(AND($A1098&lt;&gt;"",$B1098&lt;&gt;"",$R1098='تقرير مايو'!$C$4,$P1098='تقرير مايو'!$C$6),COUNT(AE$4:AE1097)+1,"")</f>
        <v/>
      </c>
    </row>
    <row r="1099">
      <c r="A1099" s="16" t="n"/>
      <c r="B1099" s="17" t="n"/>
      <c r="C1099" s="17" t="n"/>
      <c r="D1099" s="18" t="n"/>
      <c r="E1099" s="17" t="n"/>
      <c r="F1099" s="17" t="n"/>
      <c r="G1099" s="19" t="n"/>
      <c r="H1099" s="17" t="n"/>
      <c r="I1099" s="17" t="n"/>
      <c r="J1099" s="17" t="n"/>
      <c r="K1099" s="20">
        <f>IF($B1099="","",IFERROR(INDEX(الموظفات!$A$5:$A$304,MATCH($B1099,الموظفات!$B$5:$B$304,0))&amp;"",""))</f>
        <v/>
      </c>
      <c r="L1099" s="21">
        <f>IF($B1099="","",IFERROR(INDEX(الموظفات!$C$5:$C$304,MATCH($B1099,الموظفات!$B$5:$B$304,0))&amp;"",""))</f>
        <v/>
      </c>
      <c r="M1099" s="20">
        <f>IF($B1099="","",IFERROR(INDEX(الموظفات!$D$5:$D$304,MATCH($B1099,الموظفات!$B$5:$B$304,0))&amp;"",""))</f>
        <v/>
      </c>
      <c r="N1099" s="20">
        <f>IF($B1099="","",IFERROR(INDEX(الموظفات!$E$5:$E$304,MATCH($B1099,الموظفات!$B$5:$B$304,0))&amp;"",""))</f>
        <v/>
      </c>
      <c r="O1099" s="21">
        <f>IF(C1099="","",IFERROR(INDEX(الإعدادات!$D$7:$D$35,MATCH(C1099,الإعدادات!$A$7:$A$35,0))&amp;"",""))</f>
        <v/>
      </c>
      <c r="P1099" s="20">
        <f>IF(A1099="","",INDEX(الإعدادات!$H$7:$H$18,MONTH(A1099)))</f>
        <v/>
      </c>
      <c r="Q1099" s="20">
        <f>IF(A1099="","",INDEX(الإعدادات!$I$7:$I$18,MONTH(A1099)))</f>
        <v/>
      </c>
      <c r="R1099" s="20">
        <f>IF(A1099="","",IF(MONTH(A1099)&gt;=8,YEAR(A1099)&amp;"-"&amp;(YEAR(A1099)+1),(YEAR(A1099)-1)&amp;"-"&amp;YEAR(A1099)))</f>
        <v/>
      </c>
      <c r="S1099" s="20">
        <f>IF(OR(A1099="",B1099=""),0,IF(AND(R1099=التقارير!$C$4,OR(التقارير!$C$5="سنوي",AND(التقارير!$C$5="شهري",P1099=التقارير!$C$6),AND(التقارير!$C$5="فصلي",Q1099=التقارير!$C$7))),1,0))</f>
        <v/>
      </c>
      <c r="T1099" s="20">
        <f>IF(S1099=1,COUNTIF($S$5:S1099,1),"")</f>
        <v/>
      </c>
      <c r="U1099">
        <f>IF(AND($A1099&lt;&gt;"",$B1099&lt;&gt;"",$R1099='تقرير الفصل الأول'!$C$4,$Q1099='تقرير الفصل الأول'!$C$7),COUNT(U$4:U1098)+1,"")</f>
        <v/>
      </c>
      <c r="V1099">
        <f>IF(AND($A1099&lt;&gt;"",$B1099&lt;&gt;"",$R1099='تقرير الفصل الثاني'!$C$4,$Q1099='تقرير الفصل الثاني'!$C$7),COUNT(V$4:V1098)+1,"")</f>
        <v/>
      </c>
      <c r="W1099">
        <f>IF(AND($A1099&lt;&gt;"",$B1099&lt;&gt;"",$R1099='تقرير سبتمبر'!$C$4,$P1099='تقرير سبتمبر'!$C$6),COUNT(W$4:W1098)+1,"")</f>
        <v/>
      </c>
      <c r="X1099">
        <f>IF(AND($A1099&lt;&gt;"",$B1099&lt;&gt;"",$R1099='تقرير أكتوبر'!$C$4,$P1099='تقرير أكتوبر'!$C$6),COUNT(X$4:X1098)+1,"")</f>
        <v/>
      </c>
      <c r="Y1099">
        <f>IF(AND($A1099&lt;&gt;"",$B1099&lt;&gt;"",$R1099='تقرير نوفمبر'!$C$4,$P1099='تقرير نوفمبر'!$C$6),COUNT(Y$4:Y1098)+1,"")</f>
        <v/>
      </c>
      <c r="Z1099">
        <f>IF(AND($A1099&lt;&gt;"",$B1099&lt;&gt;"",$R1099='تقرير ديسمبر'!$C$4,$P1099='تقرير ديسمبر'!$C$6),COUNT(Z$4:Z1098)+1,"")</f>
        <v/>
      </c>
      <c r="AA1099">
        <f>IF(AND($A1099&lt;&gt;"",$B1099&lt;&gt;"",$R1099='تقرير يناير'!$C$4,$P1099='تقرير يناير'!$C$6),COUNT(AA$4:AA1098)+1,"")</f>
        <v/>
      </c>
      <c r="AB1099">
        <f>IF(AND($A1099&lt;&gt;"",$B1099&lt;&gt;"",$R1099='تقرير فبراير'!$C$4,$P1099='تقرير فبراير'!$C$6),COUNT(AB$4:AB1098)+1,"")</f>
        <v/>
      </c>
      <c r="AC1099">
        <f>IF(AND($A1099&lt;&gt;"",$B1099&lt;&gt;"",$R1099='تقرير مارس'!$C$4,$P1099='تقرير مارس'!$C$6),COUNT(AC$4:AC1098)+1,"")</f>
        <v/>
      </c>
      <c r="AD1099">
        <f>IF(AND($A1099&lt;&gt;"",$B1099&lt;&gt;"",$R1099='تقرير أبريل'!$C$4,$P1099='تقرير أبريل'!$C$6),COUNT(AD$4:AD1098)+1,"")</f>
        <v/>
      </c>
      <c r="AE1099">
        <f>IF(AND($A1099&lt;&gt;"",$B1099&lt;&gt;"",$R1099='تقرير مايو'!$C$4,$P1099='تقرير مايو'!$C$6),COUNT(AE$4:AE1098)+1,"")</f>
        <v/>
      </c>
    </row>
    <row r="1100">
      <c r="A1100" s="16" t="n"/>
      <c r="B1100" s="17" t="n"/>
      <c r="C1100" s="17" t="n"/>
      <c r="D1100" s="18" t="n"/>
      <c r="E1100" s="17" t="n"/>
      <c r="F1100" s="17" t="n"/>
      <c r="G1100" s="19" t="n"/>
      <c r="H1100" s="17" t="n"/>
      <c r="I1100" s="17" t="n"/>
      <c r="J1100" s="17" t="n"/>
      <c r="K1100" s="20">
        <f>IF($B1100="","",IFERROR(INDEX(الموظفات!$A$5:$A$304,MATCH($B1100,الموظفات!$B$5:$B$304,0))&amp;"",""))</f>
        <v/>
      </c>
      <c r="L1100" s="21">
        <f>IF($B1100="","",IFERROR(INDEX(الموظفات!$C$5:$C$304,MATCH($B1100,الموظفات!$B$5:$B$304,0))&amp;"",""))</f>
        <v/>
      </c>
      <c r="M1100" s="20">
        <f>IF($B1100="","",IFERROR(INDEX(الموظفات!$D$5:$D$304,MATCH($B1100,الموظفات!$B$5:$B$304,0))&amp;"",""))</f>
        <v/>
      </c>
      <c r="N1100" s="20">
        <f>IF($B1100="","",IFERROR(INDEX(الموظفات!$E$5:$E$304,MATCH($B1100,الموظفات!$B$5:$B$304,0))&amp;"",""))</f>
        <v/>
      </c>
      <c r="O1100" s="21">
        <f>IF(C1100="","",IFERROR(INDEX(الإعدادات!$D$7:$D$35,MATCH(C1100,الإعدادات!$A$7:$A$35,0))&amp;"",""))</f>
        <v/>
      </c>
      <c r="P1100" s="20">
        <f>IF(A1100="","",INDEX(الإعدادات!$H$7:$H$18,MONTH(A1100)))</f>
        <v/>
      </c>
      <c r="Q1100" s="20">
        <f>IF(A1100="","",INDEX(الإعدادات!$I$7:$I$18,MONTH(A1100)))</f>
        <v/>
      </c>
      <c r="R1100" s="20">
        <f>IF(A1100="","",IF(MONTH(A1100)&gt;=8,YEAR(A1100)&amp;"-"&amp;(YEAR(A1100)+1),(YEAR(A1100)-1)&amp;"-"&amp;YEAR(A1100)))</f>
        <v/>
      </c>
      <c r="S1100" s="20">
        <f>IF(OR(A1100="",B1100=""),0,IF(AND(R1100=التقارير!$C$4,OR(التقارير!$C$5="سنوي",AND(التقارير!$C$5="شهري",P1100=التقارير!$C$6),AND(التقارير!$C$5="فصلي",Q1100=التقارير!$C$7))),1,0))</f>
        <v/>
      </c>
      <c r="T1100" s="20">
        <f>IF(S1100=1,COUNTIF($S$5:S1100,1),"")</f>
        <v/>
      </c>
      <c r="U1100">
        <f>IF(AND($A1100&lt;&gt;"",$B1100&lt;&gt;"",$R1100='تقرير الفصل الأول'!$C$4,$Q1100='تقرير الفصل الأول'!$C$7),COUNT(U$4:U1099)+1,"")</f>
        <v/>
      </c>
      <c r="V1100">
        <f>IF(AND($A1100&lt;&gt;"",$B1100&lt;&gt;"",$R1100='تقرير الفصل الثاني'!$C$4,$Q1100='تقرير الفصل الثاني'!$C$7),COUNT(V$4:V1099)+1,"")</f>
        <v/>
      </c>
      <c r="W1100">
        <f>IF(AND($A1100&lt;&gt;"",$B1100&lt;&gt;"",$R1100='تقرير سبتمبر'!$C$4,$P1100='تقرير سبتمبر'!$C$6),COUNT(W$4:W1099)+1,"")</f>
        <v/>
      </c>
      <c r="X1100">
        <f>IF(AND($A1100&lt;&gt;"",$B1100&lt;&gt;"",$R1100='تقرير أكتوبر'!$C$4,$P1100='تقرير أكتوبر'!$C$6),COUNT(X$4:X1099)+1,"")</f>
        <v/>
      </c>
      <c r="Y1100">
        <f>IF(AND($A1100&lt;&gt;"",$B1100&lt;&gt;"",$R1100='تقرير نوفمبر'!$C$4,$P1100='تقرير نوفمبر'!$C$6),COUNT(Y$4:Y1099)+1,"")</f>
        <v/>
      </c>
      <c r="Z1100">
        <f>IF(AND($A1100&lt;&gt;"",$B1100&lt;&gt;"",$R1100='تقرير ديسمبر'!$C$4,$P1100='تقرير ديسمبر'!$C$6),COUNT(Z$4:Z1099)+1,"")</f>
        <v/>
      </c>
      <c r="AA1100">
        <f>IF(AND($A1100&lt;&gt;"",$B1100&lt;&gt;"",$R1100='تقرير يناير'!$C$4,$P1100='تقرير يناير'!$C$6),COUNT(AA$4:AA1099)+1,"")</f>
        <v/>
      </c>
      <c r="AB1100">
        <f>IF(AND($A1100&lt;&gt;"",$B1100&lt;&gt;"",$R1100='تقرير فبراير'!$C$4,$P1100='تقرير فبراير'!$C$6),COUNT(AB$4:AB1099)+1,"")</f>
        <v/>
      </c>
      <c r="AC1100">
        <f>IF(AND($A1100&lt;&gt;"",$B1100&lt;&gt;"",$R1100='تقرير مارس'!$C$4,$P1100='تقرير مارس'!$C$6),COUNT(AC$4:AC1099)+1,"")</f>
        <v/>
      </c>
      <c r="AD1100">
        <f>IF(AND($A1100&lt;&gt;"",$B1100&lt;&gt;"",$R1100='تقرير أبريل'!$C$4,$P1100='تقرير أبريل'!$C$6),COUNT(AD$4:AD1099)+1,"")</f>
        <v/>
      </c>
      <c r="AE1100">
        <f>IF(AND($A1100&lt;&gt;"",$B1100&lt;&gt;"",$R1100='تقرير مايو'!$C$4,$P1100='تقرير مايو'!$C$6),COUNT(AE$4:AE1099)+1,"")</f>
        <v/>
      </c>
    </row>
    <row r="1101">
      <c r="A1101" s="16" t="n"/>
      <c r="B1101" s="17" t="n"/>
      <c r="C1101" s="17" t="n"/>
      <c r="D1101" s="18" t="n"/>
      <c r="E1101" s="17" t="n"/>
      <c r="F1101" s="17" t="n"/>
      <c r="G1101" s="19" t="n"/>
      <c r="H1101" s="17" t="n"/>
      <c r="I1101" s="17" t="n"/>
      <c r="J1101" s="17" t="n"/>
      <c r="K1101" s="20">
        <f>IF($B1101="","",IFERROR(INDEX(الموظفات!$A$5:$A$304,MATCH($B1101,الموظفات!$B$5:$B$304,0))&amp;"",""))</f>
        <v/>
      </c>
      <c r="L1101" s="21">
        <f>IF($B1101="","",IFERROR(INDEX(الموظفات!$C$5:$C$304,MATCH($B1101,الموظفات!$B$5:$B$304,0))&amp;"",""))</f>
        <v/>
      </c>
      <c r="M1101" s="20">
        <f>IF($B1101="","",IFERROR(INDEX(الموظفات!$D$5:$D$304,MATCH($B1101,الموظفات!$B$5:$B$304,0))&amp;"",""))</f>
        <v/>
      </c>
      <c r="N1101" s="20">
        <f>IF($B1101="","",IFERROR(INDEX(الموظفات!$E$5:$E$304,MATCH($B1101,الموظفات!$B$5:$B$304,0))&amp;"",""))</f>
        <v/>
      </c>
      <c r="O1101" s="21">
        <f>IF(C1101="","",IFERROR(INDEX(الإعدادات!$D$7:$D$35,MATCH(C1101,الإعدادات!$A$7:$A$35,0))&amp;"",""))</f>
        <v/>
      </c>
      <c r="P1101" s="20">
        <f>IF(A1101="","",INDEX(الإعدادات!$H$7:$H$18,MONTH(A1101)))</f>
        <v/>
      </c>
      <c r="Q1101" s="20">
        <f>IF(A1101="","",INDEX(الإعدادات!$I$7:$I$18,MONTH(A1101)))</f>
        <v/>
      </c>
      <c r="R1101" s="20">
        <f>IF(A1101="","",IF(MONTH(A1101)&gt;=8,YEAR(A1101)&amp;"-"&amp;(YEAR(A1101)+1),(YEAR(A1101)-1)&amp;"-"&amp;YEAR(A1101)))</f>
        <v/>
      </c>
      <c r="S1101" s="20">
        <f>IF(OR(A1101="",B1101=""),0,IF(AND(R1101=التقارير!$C$4,OR(التقارير!$C$5="سنوي",AND(التقارير!$C$5="شهري",P1101=التقارير!$C$6),AND(التقارير!$C$5="فصلي",Q1101=التقارير!$C$7))),1,0))</f>
        <v/>
      </c>
      <c r="T1101" s="20">
        <f>IF(S1101=1,COUNTIF($S$5:S1101,1),"")</f>
        <v/>
      </c>
      <c r="U1101">
        <f>IF(AND($A1101&lt;&gt;"",$B1101&lt;&gt;"",$R1101='تقرير الفصل الأول'!$C$4,$Q1101='تقرير الفصل الأول'!$C$7),COUNT(U$4:U1100)+1,"")</f>
        <v/>
      </c>
      <c r="V1101">
        <f>IF(AND($A1101&lt;&gt;"",$B1101&lt;&gt;"",$R1101='تقرير الفصل الثاني'!$C$4,$Q1101='تقرير الفصل الثاني'!$C$7),COUNT(V$4:V1100)+1,"")</f>
        <v/>
      </c>
      <c r="W1101">
        <f>IF(AND($A1101&lt;&gt;"",$B1101&lt;&gt;"",$R1101='تقرير سبتمبر'!$C$4,$P1101='تقرير سبتمبر'!$C$6),COUNT(W$4:W1100)+1,"")</f>
        <v/>
      </c>
      <c r="X1101">
        <f>IF(AND($A1101&lt;&gt;"",$B1101&lt;&gt;"",$R1101='تقرير أكتوبر'!$C$4,$P1101='تقرير أكتوبر'!$C$6),COUNT(X$4:X1100)+1,"")</f>
        <v/>
      </c>
      <c r="Y1101">
        <f>IF(AND($A1101&lt;&gt;"",$B1101&lt;&gt;"",$R1101='تقرير نوفمبر'!$C$4,$P1101='تقرير نوفمبر'!$C$6),COUNT(Y$4:Y1100)+1,"")</f>
        <v/>
      </c>
      <c r="Z1101">
        <f>IF(AND($A1101&lt;&gt;"",$B1101&lt;&gt;"",$R1101='تقرير ديسمبر'!$C$4,$P1101='تقرير ديسمبر'!$C$6),COUNT(Z$4:Z1100)+1,"")</f>
        <v/>
      </c>
      <c r="AA1101">
        <f>IF(AND($A1101&lt;&gt;"",$B1101&lt;&gt;"",$R1101='تقرير يناير'!$C$4,$P1101='تقرير يناير'!$C$6),COUNT(AA$4:AA1100)+1,"")</f>
        <v/>
      </c>
      <c r="AB1101">
        <f>IF(AND($A1101&lt;&gt;"",$B1101&lt;&gt;"",$R1101='تقرير فبراير'!$C$4,$P1101='تقرير فبراير'!$C$6),COUNT(AB$4:AB1100)+1,"")</f>
        <v/>
      </c>
      <c r="AC1101">
        <f>IF(AND($A1101&lt;&gt;"",$B1101&lt;&gt;"",$R1101='تقرير مارس'!$C$4,$P1101='تقرير مارس'!$C$6),COUNT(AC$4:AC1100)+1,"")</f>
        <v/>
      </c>
      <c r="AD1101">
        <f>IF(AND($A1101&lt;&gt;"",$B1101&lt;&gt;"",$R1101='تقرير أبريل'!$C$4,$P1101='تقرير أبريل'!$C$6),COUNT(AD$4:AD1100)+1,"")</f>
        <v/>
      </c>
      <c r="AE1101">
        <f>IF(AND($A1101&lt;&gt;"",$B1101&lt;&gt;"",$R1101='تقرير مايو'!$C$4,$P1101='تقرير مايو'!$C$6),COUNT(AE$4:AE1100)+1,"")</f>
        <v/>
      </c>
    </row>
    <row r="1102">
      <c r="A1102" s="16" t="n"/>
      <c r="B1102" s="17" t="n"/>
      <c r="C1102" s="17" t="n"/>
      <c r="D1102" s="18" t="n"/>
      <c r="E1102" s="17" t="n"/>
      <c r="F1102" s="17" t="n"/>
      <c r="G1102" s="19" t="n"/>
      <c r="H1102" s="17" t="n"/>
      <c r="I1102" s="17" t="n"/>
      <c r="J1102" s="17" t="n"/>
      <c r="K1102" s="20">
        <f>IF($B1102="","",IFERROR(INDEX(الموظفات!$A$5:$A$304,MATCH($B1102,الموظفات!$B$5:$B$304,0))&amp;"",""))</f>
        <v/>
      </c>
      <c r="L1102" s="21">
        <f>IF($B1102="","",IFERROR(INDEX(الموظفات!$C$5:$C$304,MATCH($B1102,الموظفات!$B$5:$B$304,0))&amp;"",""))</f>
        <v/>
      </c>
      <c r="M1102" s="20">
        <f>IF($B1102="","",IFERROR(INDEX(الموظفات!$D$5:$D$304,MATCH($B1102,الموظفات!$B$5:$B$304,0))&amp;"",""))</f>
        <v/>
      </c>
      <c r="N1102" s="20">
        <f>IF($B1102="","",IFERROR(INDEX(الموظفات!$E$5:$E$304,MATCH($B1102,الموظفات!$B$5:$B$304,0))&amp;"",""))</f>
        <v/>
      </c>
      <c r="O1102" s="21">
        <f>IF(C1102="","",IFERROR(INDEX(الإعدادات!$D$7:$D$35,MATCH(C1102,الإعدادات!$A$7:$A$35,0))&amp;"",""))</f>
        <v/>
      </c>
      <c r="P1102" s="20">
        <f>IF(A1102="","",INDEX(الإعدادات!$H$7:$H$18,MONTH(A1102)))</f>
        <v/>
      </c>
      <c r="Q1102" s="20">
        <f>IF(A1102="","",INDEX(الإعدادات!$I$7:$I$18,MONTH(A1102)))</f>
        <v/>
      </c>
      <c r="R1102" s="20">
        <f>IF(A1102="","",IF(MONTH(A1102)&gt;=8,YEAR(A1102)&amp;"-"&amp;(YEAR(A1102)+1),(YEAR(A1102)-1)&amp;"-"&amp;YEAR(A1102)))</f>
        <v/>
      </c>
      <c r="S1102" s="20">
        <f>IF(OR(A1102="",B1102=""),0,IF(AND(R1102=التقارير!$C$4,OR(التقارير!$C$5="سنوي",AND(التقارير!$C$5="شهري",P1102=التقارير!$C$6),AND(التقارير!$C$5="فصلي",Q1102=التقارير!$C$7))),1,0))</f>
        <v/>
      </c>
      <c r="T1102" s="20">
        <f>IF(S1102=1,COUNTIF($S$5:S1102,1),"")</f>
        <v/>
      </c>
      <c r="U1102">
        <f>IF(AND($A1102&lt;&gt;"",$B1102&lt;&gt;"",$R1102='تقرير الفصل الأول'!$C$4,$Q1102='تقرير الفصل الأول'!$C$7),COUNT(U$4:U1101)+1,"")</f>
        <v/>
      </c>
      <c r="V1102">
        <f>IF(AND($A1102&lt;&gt;"",$B1102&lt;&gt;"",$R1102='تقرير الفصل الثاني'!$C$4,$Q1102='تقرير الفصل الثاني'!$C$7),COUNT(V$4:V1101)+1,"")</f>
        <v/>
      </c>
      <c r="W1102">
        <f>IF(AND($A1102&lt;&gt;"",$B1102&lt;&gt;"",$R1102='تقرير سبتمبر'!$C$4,$P1102='تقرير سبتمبر'!$C$6),COUNT(W$4:W1101)+1,"")</f>
        <v/>
      </c>
      <c r="X1102">
        <f>IF(AND($A1102&lt;&gt;"",$B1102&lt;&gt;"",$R1102='تقرير أكتوبر'!$C$4,$P1102='تقرير أكتوبر'!$C$6),COUNT(X$4:X1101)+1,"")</f>
        <v/>
      </c>
      <c r="Y1102">
        <f>IF(AND($A1102&lt;&gt;"",$B1102&lt;&gt;"",$R1102='تقرير نوفمبر'!$C$4,$P1102='تقرير نوفمبر'!$C$6),COUNT(Y$4:Y1101)+1,"")</f>
        <v/>
      </c>
      <c r="Z1102">
        <f>IF(AND($A1102&lt;&gt;"",$B1102&lt;&gt;"",$R1102='تقرير ديسمبر'!$C$4,$P1102='تقرير ديسمبر'!$C$6),COUNT(Z$4:Z1101)+1,"")</f>
        <v/>
      </c>
      <c r="AA1102">
        <f>IF(AND($A1102&lt;&gt;"",$B1102&lt;&gt;"",$R1102='تقرير يناير'!$C$4,$P1102='تقرير يناير'!$C$6),COUNT(AA$4:AA1101)+1,"")</f>
        <v/>
      </c>
      <c r="AB1102">
        <f>IF(AND($A1102&lt;&gt;"",$B1102&lt;&gt;"",$R1102='تقرير فبراير'!$C$4,$P1102='تقرير فبراير'!$C$6),COUNT(AB$4:AB1101)+1,"")</f>
        <v/>
      </c>
      <c r="AC1102">
        <f>IF(AND($A1102&lt;&gt;"",$B1102&lt;&gt;"",$R1102='تقرير مارس'!$C$4,$P1102='تقرير مارس'!$C$6),COUNT(AC$4:AC1101)+1,"")</f>
        <v/>
      </c>
      <c r="AD1102">
        <f>IF(AND($A1102&lt;&gt;"",$B1102&lt;&gt;"",$R1102='تقرير أبريل'!$C$4,$P1102='تقرير أبريل'!$C$6),COUNT(AD$4:AD1101)+1,"")</f>
        <v/>
      </c>
      <c r="AE1102">
        <f>IF(AND($A1102&lt;&gt;"",$B1102&lt;&gt;"",$R1102='تقرير مايو'!$C$4,$P1102='تقرير مايو'!$C$6),COUNT(AE$4:AE1101)+1,"")</f>
        <v/>
      </c>
    </row>
    <row r="1103">
      <c r="A1103" s="16" t="n"/>
      <c r="B1103" s="17" t="n"/>
      <c r="C1103" s="17" t="n"/>
      <c r="D1103" s="18" t="n"/>
      <c r="E1103" s="17" t="n"/>
      <c r="F1103" s="17" t="n"/>
      <c r="G1103" s="19" t="n"/>
      <c r="H1103" s="17" t="n"/>
      <c r="I1103" s="17" t="n"/>
      <c r="J1103" s="17" t="n"/>
      <c r="K1103" s="20">
        <f>IF($B1103="","",IFERROR(INDEX(الموظفات!$A$5:$A$304,MATCH($B1103,الموظفات!$B$5:$B$304,0))&amp;"",""))</f>
        <v/>
      </c>
      <c r="L1103" s="21">
        <f>IF($B1103="","",IFERROR(INDEX(الموظفات!$C$5:$C$304,MATCH($B1103,الموظفات!$B$5:$B$304,0))&amp;"",""))</f>
        <v/>
      </c>
      <c r="M1103" s="20">
        <f>IF($B1103="","",IFERROR(INDEX(الموظفات!$D$5:$D$304,MATCH($B1103,الموظفات!$B$5:$B$304,0))&amp;"",""))</f>
        <v/>
      </c>
      <c r="N1103" s="20">
        <f>IF($B1103="","",IFERROR(INDEX(الموظفات!$E$5:$E$304,MATCH($B1103,الموظفات!$B$5:$B$304,0))&amp;"",""))</f>
        <v/>
      </c>
      <c r="O1103" s="21">
        <f>IF(C1103="","",IFERROR(INDEX(الإعدادات!$D$7:$D$35,MATCH(C1103,الإعدادات!$A$7:$A$35,0))&amp;"",""))</f>
        <v/>
      </c>
      <c r="P1103" s="20">
        <f>IF(A1103="","",INDEX(الإعدادات!$H$7:$H$18,MONTH(A1103)))</f>
        <v/>
      </c>
      <c r="Q1103" s="20">
        <f>IF(A1103="","",INDEX(الإعدادات!$I$7:$I$18,MONTH(A1103)))</f>
        <v/>
      </c>
      <c r="R1103" s="20">
        <f>IF(A1103="","",IF(MONTH(A1103)&gt;=8,YEAR(A1103)&amp;"-"&amp;(YEAR(A1103)+1),(YEAR(A1103)-1)&amp;"-"&amp;YEAR(A1103)))</f>
        <v/>
      </c>
      <c r="S1103" s="20">
        <f>IF(OR(A1103="",B1103=""),0,IF(AND(R1103=التقارير!$C$4,OR(التقارير!$C$5="سنوي",AND(التقارير!$C$5="شهري",P1103=التقارير!$C$6),AND(التقارير!$C$5="فصلي",Q1103=التقارير!$C$7))),1,0))</f>
        <v/>
      </c>
      <c r="T1103" s="20">
        <f>IF(S1103=1,COUNTIF($S$5:S1103,1),"")</f>
        <v/>
      </c>
      <c r="U1103">
        <f>IF(AND($A1103&lt;&gt;"",$B1103&lt;&gt;"",$R1103='تقرير الفصل الأول'!$C$4,$Q1103='تقرير الفصل الأول'!$C$7),COUNT(U$4:U1102)+1,"")</f>
        <v/>
      </c>
      <c r="V1103">
        <f>IF(AND($A1103&lt;&gt;"",$B1103&lt;&gt;"",$R1103='تقرير الفصل الثاني'!$C$4,$Q1103='تقرير الفصل الثاني'!$C$7),COUNT(V$4:V1102)+1,"")</f>
        <v/>
      </c>
      <c r="W1103">
        <f>IF(AND($A1103&lt;&gt;"",$B1103&lt;&gt;"",$R1103='تقرير سبتمبر'!$C$4,$P1103='تقرير سبتمبر'!$C$6),COUNT(W$4:W1102)+1,"")</f>
        <v/>
      </c>
      <c r="X1103">
        <f>IF(AND($A1103&lt;&gt;"",$B1103&lt;&gt;"",$R1103='تقرير أكتوبر'!$C$4,$P1103='تقرير أكتوبر'!$C$6),COUNT(X$4:X1102)+1,"")</f>
        <v/>
      </c>
      <c r="Y1103">
        <f>IF(AND($A1103&lt;&gt;"",$B1103&lt;&gt;"",$R1103='تقرير نوفمبر'!$C$4,$P1103='تقرير نوفمبر'!$C$6),COUNT(Y$4:Y1102)+1,"")</f>
        <v/>
      </c>
      <c r="Z1103">
        <f>IF(AND($A1103&lt;&gt;"",$B1103&lt;&gt;"",$R1103='تقرير ديسمبر'!$C$4,$P1103='تقرير ديسمبر'!$C$6),COUNT(Z$4:Z1102)+1,"")</f>
        <v/>
      </c>
      <c r="AA1103">
        <f>IF(AND($A1103&lt;&gt;"",$B1103&lt;&gt;"",$R1103='تقرير يناير'!$C$4,$P1103='تقرير يناير'!$C$6),COUNT(AA$4:AA1102)+1,"")</f>
        <v/>
      </c>
      <c r="AB1103">
        <f>IF(AND($A1103&lt;&gt;"",$B1103&lt;&gt;"",$R1103='تقرير فبراير'!$C$4,$P1103='تقرير فبراير'!$C$6),COUNT(AB$4:AB1102)+1,"")</f>
        <v/>
      </c>
      <c r="AC1103">
        <f>IF(AND($A1103&lt;&gt;"",$B1103&lt;&gt;"",$R1103='تقرير مارس'!$C$4,$P1103='تقرير مارس'!$C$6),COUNT(AC$4:AC1102)+1,"")</f>
        <v/>
      </c>
      <c r="AD1103">
        <f>IF(AND($A1103&lt;&gt;"",$B1103&lt;&gt;"",$R1103='تقرير أبريل'!$C$4,$P1103='تقرير أبريل'!$C$6),COUNT(AD$4:AD1102)+1,"")</f>
        <v/>
      </c>
      <c r="AE1103">
        <f>IF(AND($A1103&lt;&gt;"",$B1103&lt;&gt;"",$R1103='تقرير مايو'!$C$4,$P1103='تقرير مايو'!$C$6),COUNT(AE$4:AE1102)+1,"")</f>
        <v/>
      </c>
    </row>
    <row r="1104">
      <c r="A1104" s="16" t="n"/>
      <c r="B1104" s="17" t="n"/>
      <c r="C1104" s="17" t="n"/>
      <c r="D1104" s="18" t="n"/>
      <c r="E1104" s="17" t="n"/>
      <c r="F1104" s="17" t="n"/>
      <c r="G1104" s="19" t="n"/>
      <c r="H1104" s="17" t="n"/>
      <c r="I1104" s="17" t="n"/>
      <c r="J1104" s="17" t="n"/>
      <c r="K1104" s="20">
        <f>IF($B1104="","",IFERROR(INDEX(الموظفات!$A$5:$A$304,MATCH($B1104,الموظفات!$B$5:$B$304,0))&amp;"",""))</f>
        <v/>
      </c>
      <c r="L1104" s="21">
        <f>IF($B1104="","",IFERROR(INDEX(الموظفات!$C$5:$C$304,MATCH($B1104,الموظفات!$B$5:$B$304,0))&amp;"",""))</f>
        <v/>
      </c>
      <c r="M1104" s="20">
        <f>IF($B1104="","",IFERROR(INDEX(الموظفات!$D$5:$D$304,MATCH($B1104,الموظفات!$B$5:$B$304,0))&amp;"",""))</f>
        <v/>
      </c>
      <c r="N1104" s="20">
        <f>IF($B1104="","",IFERROR(INDEX(الموظفات!$E$5:$E$304,MATCH($B1104,الموظفات!$B$5:$B$304,0))&amp;"",""))</f>
        <v/>
      </c>
      <c r="O1104" s="21">
        <f>IF(C1104="","",IFERROR(INDEX(الإعدادات!$D$7:$D$35,MATCH(C1104,الإعدادات!$A$7:$A$35,0))&amp;"",""))</f>
        <v/>
      </c>
      <c r="P1104" s="20">
        <f>IF(A1104="","",INDEX(الإعدادات!$H$7:$H$18,MONTH(A1104)))</f>
        <v/>
      </c>
      <c r="Q1104" s="20">
        <f>IF(A1104="","",INDEX(الإعدادات!$I$7:$I$18,MONTH(A1104)))</f>
        <v/>
      </c>
      <c r="R1104" s="20">
        <f>IF(A1104="","",IF(MONTH(A1104)&gt;=8,YEAR(A1104)&amp;"-"&amp;(YEAR(A1104)+1),(YEAR(A1104)-1)&amp;"-"&amp;YEAR(A1104)))</f>
        <v/>
      </c>
      <c r="S1104" s="20">
        <f>IF(OR(A1104="",B1104=""),0,IF(AND(R1104=التقارير!$C$4,OR(التقارير!$C$5="سنوي",AND(التقارير!$C$5="شهري",P1104=التقارير!$C$6),AND(التقارير!$C$5="فصلي",Q1104=التقارير!$C$7))),1,0))</f>
        <v/>
      </c>
      <c r="T1104" s="20">
        <f>IF(S1104=1,COUNTIF($S$5:S1104,1),"")</f>
        <v/>
      </c>
      <c r="U1104">
        <f>IF(AND($A1104&lt;&gt;"",$B1104&lt;&gt;"",$R1104='تقرير الفصل الأول'!$C$4,$Q1104='تقرير الفصل الأول'!$C$7),COUNT(U$4:U1103)+1,"")</f>
        <v/>
      </c>
      <c r="V1104">
        <f>IF(AND($A1104&lt;&gt;"",$B1104&lt;&gt;"",$R1104='تقرير الفصل الثاني'!$C$4,$Q1104='تقرير الفصل الثاني'!$C$7),COUNT(V$4:V1103)+1,"")</f>
        <v/>
      </c>
      <c r="W1104">
        <f>IF(AND($A1104&lt;&gt;"",$B1104&lt;&gt;"",$R1104='تقرير سبتمبر'!$C$4,$P1104='تقرير سبتمبر'!$C$6),COUNT(W$4:W1103)+1,"")</f>
        <v/>
      </c>
      <c r="X1104">
        <f>IF(AND($A1104&lt;&gt;"",$B1104&lt;&gt;"",$R1104='تقرير أكتوبر'!$C$4,$P1104='تقرير أكتوبر'!$C$6),COUNT(X$4:X1103)+1,"")</f>
        <v/>
      </c>
      <c r="Y1104">
        <f>IF(AND($A1104&lt;&gt;"",$B1104&lt;&gt;"",$R1104='تقرير نوفمبر'!$C$4,$P1104='تقرير نوفمبر'!$C$6),COUNT(Y$4:Y1103)+1,"")</f>
        <v/>
      </c>
      <c r="Z1104">
        <f>IF(AND($A1104&lt;&gt;"",$B1104&lt;&gt;"",$R1104='تقرير ديسمبر'!$C$4,$P1104='تقرير ديسمبر'!$C$6),COUNT(Z$4:Z1103)+1,"")</f>
        <v/>
      </c>
      <c r="AA1104">
        <f>IF(AND($A1104&lt;&gt;"",$B1104&lt;&gt;"",$R1104='تقرير يناير'!$C$4,$P1104='تقرير يناير'!$C$6),COUNT(AA$4:AA1103)+1,"")</f>
        <v/>
      </c>
      <c r="AB1104">
        <f>IF(AND($A1104&lt;&gt;"",$B1104&lt;&gt;"",$R1104='تقرير فبراير'!$C$4,$P1104='تقرير فبراير'!$C$6),COUNT(AB$4:AB1103)+1,"")</f>
        <v/>
      </c>
      <c r="AC1104">
        <f>IF(AND($A1104&lt;&gt;"",$B1104&lt;&gt;"",$R1104='تقرير مارس'!$C$4,$P1104='تقرير مارس'!$C$6),COUNT(AC$4:AC1103)+1,"")</f>
        <v/>
      </c>
      <c r="AD1104">
        <f>IF(AND($A1104&lt;&gt;"",$B1104&lt;&gt;"",$R1104='تقرير أبريل'!$C$4,$P1104='تقرير أبريل'!$C$6),COUNT(AD$4:AD1103)+1,"")</f>
        <v/>
      </c>
      <c r="AE1104">
        <f>IF(AND($A1104&lt;&gt;"",$B1104&lt;&gt;"",$R1104='تقرير مايو'!$C$4,$P1104='تقرير مايو'!$C$6),COUNT(AE$4:AE1103)+1,"")</f>
        <v/>
      </c>
    </row>
    <row r="1105">
      <c r="A1105" s="16" t="n"/>
      <c r="B1105" s="17" t="n"/>
      <c r="C1105" s="17" t="n"/>
      <c r="D1105" s="18" t="n"/>
      <c r="E1105" s="17" t="n"/>
      <c r="F1105" s="17" t="n"/>
      <c r="G1105" s="19" t="n"/>
      <c r="H1105" s="17" t="n"/>
      <c r="I1105" s="17" t="n"/>
      <c r="J1105" s="17" t="n"/>
      <c r="K1105" s="20">
        <f>IF($B1105="","",IFERROR(INDEX(الموظفات!$A$5:$A$304,MATCH($B1105,الموظفات!$B$5:$B$304,0))&amp;"",""))</f>
        <v/>
      </c>
      <c r="L1105" s="21">
        <f>IF($B1105="","",IFERROR(INDEX(الموظفات!$C$5:$C$304,MATCH($B1105,الموظفات!$B$5:$B$304,0))&amp;"",""))</f>
        <v/>
      </c>
      <c r="M1105" s="20">
        <f>IF($B1105="","",IFERROR(INDEX(الموظفات!$D$5:$D$304,MATCH($B1105,الموظفات!$B$5:$B$304,0))&amp;"",""))</f>
        <v/>
      </c>
      <c r="N1105" s="20">
        <f>IF($B1105="","",IFERROR(INDEX(الموظفات!$E$5:$E$304,MATCH($B1105,الموظفات!$B$5:$B$304,0))&amp;"",""))</f>
        <v/>
      </c>
      <c r="O1105" s="21">
        <f>IF(C1105="","",IFERROR(INDEX(الإعدادات!$D$7:$D$35,MATCH(C1105,الإعدادات!$A$7:$A$35,0))&amp;"",""))</f>
        <v/>
      </c>
      <c r="P1105" s="20">
        <f>IF(A1105="","",INDEX(الإعدادات!$H$7:$H$18,MONTH(A1105)))</f>
        <v/>
      </c>
      <c r="Q1105" s="20">
        <f>IF(A1105="","",INDEX(الإعدادات!$I$7:$I$18,MONTH(A1105)))</f>
        <v/>
      </c>
      <c r="R1105" s="20">
        <f>IF(A1105="","",IF(MONTH(A1105)&gt;=8,YEAR(A1105)&amp;"-"&amp;(YEAR(A1105)+1),(YEAR(A1105)-1)&amp;"-"&amp;YEAR(A1105)))</f>
        <v/>
      </c>
      <c r="S1105" s="20">
        <f>IF(OR(A1105="",B1105=""),0,IF(AND(R1105=التقارير!$C$4,OR(التقارير!$C$5="سنوي",AND(التقارير!$C$5="شهري",P1105=التقارير!$C$6),AND(التقارير!$C$5="فصلي",Q1105=التقارير!$C$7))),1,0))</f>
        <v/>
      </c>
      <c r="T1105" s="20">
        <f>IF(S1105=1,COUNTIF($S$5:S1105,1),"")</f>
        <v/>
      </c>
      <c r="U1105">
        <f>IF(AND($A1105&lt;&gt;"",$B1105&lt;&gt;"",$R1105='تقرير الفصل الأول'!$C$4,$Q1105='تقرير الفصل الأول'!$C$7),COUNT(U$4:U1104)+1,"")</f>
        <v/>
      </c>
      <c r="V1105">
        <f>IF(AND($A1105&lt;&gt;"",$B1105&lt;&gt;"",$R1105='تقرير الفصل الثاني'!$C$4,$Q1105='تقرير الفصل الثاني'!$C$7),COUNT(V$4:V1104)+1,"")</f>
        <v/>
      </c>
      <c r="W1105">
        <f>IF(AND($A1105&lt;&gt;"",$B1105&lt;&gt;"",$R1105='تقرير سبتمبر'!$C$4,$P1105='تقرير سبتمبر'!$C$6),COUNT(W$4:W1104)+1,"")</f>
        <v/>
      </c>
      <c r="X1105">
        <f>IF(AND($A1105&lt;&gt;"",$B1105&lt;&gt;"",$R1105='تقرير أكتوبر'!$C$4,$P1105='تقرير أكتوبر'!$C$6),COUNT(X$4:X1104)+1,"")</f>
        <v/>
      </c>
      <c r="Y1105">
        <f>IF(AND($A1105&lt;&gt;"",$B1105&lt;&gt;"",$R1105='تقرير نوفمبر'!$C$4,$P1105='تقرير نوفمبر'!$C$6),COUNT(Y$4:Y1104)+1,"")</f>
        <v/>
      </c>
      <c r="Z1105">
        <f>IF(AND($A1105&lt;&gt;"",$B1105&lt;&gt;"",$R1105='تقرير ديسمبر'!$C$4,$P1105='تقرير ديسمبر'!$C$6),COUNT(Z$4:Z1104)+1,"")</f>
        <v/>
      </c>
      <c r="AA1105">
        <f>IF(AND($A1105&lt;&gt;"",$B1105&lt;&gt;"",$R1105='تقرير يناير'!$C$4,$P1105='تقرير يناير'!$C$6),COUNT(AA$4:AA1104)+1,"")</f>
        <v/>
      </c>
      <c r="AB1105">
        <f>IF(AND($A1105&lt;&gt;"",$B1105&lt;&gt;"",$R1105='تقرير فبراير'!$C$4,$P1105='تقرير فبراير'!$C$6),COUNT(AB$4:AB1104)+1,"")</f>
        <v/>
      </c>
      <c r="AC1105">
        <f>IF(AND($A1105&lt;&gt;"",$B1105&lt;&gt;"",$R1105='تقرير مارس'!$C$4,$P1105='تقرير مارس'!$C$6),COUNT(AC$4:AC1104)+1,"")</f>
        <v/>
      </c>
      <c r="AD1105">
        <f>IF(AND($A1105&lt;&gt;"",$B1105&lt;&gt;"",$R1105='تقرير أبريل'!$C$4,$P1105='تقرير أبريل'!$C$6),COUNT(AD$4:AD1104)+1,"")</f>
        <v/>
      </c>
      <c r="AE1105">
        <f>IF(AND($A1105&lt;&gt;"",$B1105&lt;&gt;"",$R1105='تقرير مايو'!$C$4,$P1105='تقرير مايو'!$C$6),COUNT(AE$4:AE1104)+1,"")</f>
        <v/>
      </c>
    </row>
    <row r="1106">
      <c r="A1106" s="16" t="n"/>
      <c r="B1106" s="17" t="n"/>
      <c r="C1106" s="17" t="n"/>
      <c r="D1106" s="18" t="n"/>
      <c r="E1106" s="17" t="n"/>
      <c r="F1106" s="17" t="n"/>
      <c r="G1106" s="19" t="n"/>
      <c r="H1106" s="17" t="n"/>
      <c r="I1106" s="17" t="n"/>
      <c r="J1106" s="17" t="n"/>
      <c r="K1106" s="20">
        <f>IF($B1106="","",IFERROR(INDEX(الموظفات!$A$5:$A$304,MATCH($B1106,الموظفات!$B$5:$B$304,0))&amp;"",""))</f>
        <v/>
      </c>
      <c r="L1106" s="21">
        <f>IF($B1106="","",IFERROR(INDEX(الموظفات!$C$5:$C$304,MATCH($B1106,الموظفات!$B$5:$B$304,0))&amp;"",""))</f>
        <v/>
      </c>
      <c r="M1106" s="20">
        <f>IF($B1106="","",IFERROR(INDEX(الموظفات!$D$5:$D$304,MATCH($B1106,الموظفات!$B$5:$B$304,0))&amp;"",""))</f>
        <v/>
      </c>
      <c r="N1106" s="20">
        <f>IF($B1106="","",IFERROR(INDEX(الموظفات!$E$5:$E$304,MATCH($B1106,الموظفات!$B$5:$B$304,0))&amp;"",""))</f>
        <v/>
      </c>
      <c r="O1106" s="21">
        <f>IF(C1106="","",IFERROR(INDEX(الإعدادات!$D$7:$D$35,MATCH(C1106,الإعدادات!$A$7:$A$35,0))&amp;"",""))</f>
        <v/>
      </c>
      <c r="P1106" s="20">
        <f>IF(A1106="","",INDEX(الإعدادات!$H$7:$H$18,MONTH(A1106)))</f>
        <v/>
      </c>
      <c r="Q1106" s="20">
        <f>IF(A1106="","",INDEX(الإعدادات!$I$7:$I$18,MONTH(A1106)))</f>
        <v/>
      </c>
      <c r="R1106" s="20">
        <f>IF(A1106="","",IF(MONTH(A1106)&gt;=8,YEAR(A1106)&amp;"-"&amp;(YEAR(A1106)+1),(YEAR(A1106)-1)&amp;"-"&amp;YEAR(A1106)))</f>
        <v/>
      </c>
      <c r="S1106" s="20">
        <f>IF(OR(A1106="",B1106=""),0,IF(AND(R1106=التقارير!$C$4,OR(التقارير!$C$5="سنوي",AND(التقارير!$C$5="شهري",P1106=التقارير!$C$6),AND(التقارير!$C$5="فصلي",Q1106=التقارير!$C$7))),1,0))</f>
        <v/>
      </c>
      <c r="T1106" s="20">
        <f>IF(S1106=1,COUNTIF($S$5:S1106,1),"")</f>
        <v/>
      </c>
      <c r="U1106">
        <f>IF(AND($A1106&lt;&gt;"",$B1106&lt;&gt;"",$R1106='تقرير الفصل الأول'!$C$4,$Q1106='تقرير الفصل الأول'!$C$7),COUNT(U$4:U1105)+1,"")</f>
        <v/>
      </c>
      <c r="V1106">
        <f>IF(AND($A1106&lt;&gt;"",$B1106&lt;&gt;"",$R1106='تقرير الفصل الثاني'!$C$4,$Q1106='تقرير الفصل الثاني'!$C$7),COUNT(V$4:V1105)+1,"")</f>
        <v/>
      </c>
      <c r="W1106">
        <f>IF(AND($A1106&lt;&gt;"",$B1106&lt;&gt;"",$R1106='تقرير سبتمبر'!$C$4,$P1106='تقرير سبتمبر'!$C$6),COUNT(W$4:W1105)+1,"")</f>
        <v/>
      </c>
      <c r="X1106">
        <f>IF(AND($A1106&lt;&gt;"",$B1106&lt;&gt;"",$R1106='تقرير أكتوبر'!$C$4,$P1106='تقرير أكتوبر'!$C$6),COUNT(X$4:X1105)+1,"")</f>
        <v/>
      </c>
      <c r="Y1106">
        <f>IF(AND($A1106&lt;&gt;"",$B1106&lt;&gt;"",$R1106='تقرير نوفمبر'!$C$4,$P1106='تقرير نوفمبر'!$C$6),COUNT(Y$4:Y1105)+1,"")</f>
        <v/>
      </c>
      <c r="Z1106">
        <f>IF(AND($A1106&lt;&gt;"",$B1106&lt;&gt;"",$R1106='تقرير ديسمبر'!$C$4,$P1106='تقرير ديسمبر'!$C$6),COUNT(Z$4:Z1105)+1,"")</f>
        <v/>
      </c>
      <c r="AA1106">
        <f>IF(AND($A1106&lt;&gt;"",$B1106&lt;&gt;"",$R1106='تقرير يناير'!$C$4,$P1106='تقرير يناير'!$C$6),COUNT(AA$4:AA1105)+1,"")</f>
        <v/>
      </c>
      <c r="AB1106">
        <f>IF(AND($A1106&lt;&gt;"",$B1106&lt;&gt;"",$R1106='تقرير فبراير'!$C$4,$P1106='تقرير فبراير'!$C$6),COUNT(AB$4:AB1105)+1,"")</f>
        <v/>
      </c>
      <c r="AC1106">
        <f>IF(AND($A1106&lt;&gt;"",$B1106&lt;&gt;"",$R1106='تقرير مارس'!$C$4,$P1106='تقرير مارس'!$C$6),COUNT(AC$4:AC1105)+1,"")</f>
        <v/>
      </c>
      <c r="AD1106">
        <f>IF(AND($A1106&lt;&gt;"",$B1106&lt;&gt;"",$R1106='تقرير أبريل'!$C$4,$P1106='تقرير أبريل'!$C$6),COUNT(AD$4:AD1105)+1,"")</f>
        <v/>
      </c>
      <c r="AE1106">
        <f>IF(AND($A1106&lt;&gt;"",$B1106&lt;&gt;"",$R1106='تقرير مايو'!$C$4,$P1106='تقرير مايو'!$C$6),COUNT(AE$4:AE1105)+1,"")</f>
        <v/>
      </c>
    </row>
    <row r="1107">
      <c r="A1107" s="16" t="n"/>
      <c r="B1107" s="17" t="n"/>
      <c r="C1107" s="17" t="n"/>
      <c r="D1107" s="18" t="n"/>
      <c r="E1107" s="17" t="n"/>
      <c r="F1107" s="17" t="n"/>
      <c r="G1107" s="19" t="n"/>
      <c r="H1107" s="17" t="n"/>
      <c r="I1107" s="17" t="n"/>
      <c r="J1107" s="17" t="n"/>
      <c r="K1107" s="20">
        <f>IF($B1107="","",IFERROR(INDEX(الموظفات!$A$5:$A$304,MATCH($B1107,الموظفات!$B$5:$B$304,0))&amp;"",""))</f>
        <v/>
      </c>
      <c r="L1107" s="21">
        <f>IF($B1107="","",IFERROR(INDEX(الموظفات!$C$5:$C$304,MATCH($B1107,الموظفات!$B$5:$B$304,0))&amp;"",""))</f>
        <v/>
      </c>
      <c r="M1107" s="20">
        <f>IF($B1107="","",IFERROR(INDEX(الموظفات!$D$5:$D$304,MATCH($B1107,الموظفات!$B$5:$B$304,0))&amp;"",""))</f>
        <v/>
      </c>
      <c r="N1107" s="20">
        <f>IF($B1107="","",IFERROR(INDEX(الموظفات!$E$5:$E$304,MATCH($B1107,الموظفات!$B$5:$B$304,0))&amp;"",""))</f>
        <v/>
      </c>
      <c r="O1107" s="21">
        <f>IF(C1107="","",IFERROR(INDEX(الإعدادات!$D$7:$D$35,MATCH(C1107,الإعدادات!$A$7:$A$35,0))&amp;"",""))</f>
        <v/>
      </c>
      <c r="P1107" s="20">
        <f>IF(A1107="","",INDEX(الإعدادات!$H$7:$H$18,MONTH(A1107)))</f>
        <v/>
      </c>
      <c r="Q1107" s="20">
        <f>IF(A1107="","",INDEX(الإعدادات!$I$7:$I$18,MONTH(A1107)))</f>
        <v/>
      </c>
      <c r="R1107" s="20">
        <f>IF(A1107="","",IF(MONTH(A1107)&gt;=8,YEAR(A1107)&amp;"-"&amp;(YEAR(A1107)+1),(YEAR(A1107)-1)&amp;"-"&amp;YEAR(A1107)))</f>
        <v/>
      </c>
      <c r="S1107" s="20">
        <f>IF(OR(A1107="",B1107=""),0,IF(AND(R1107=التقارير!$C$4,OR(التقارير!$C$5="سنوي",AND(التقارير!$C$5="شهري",P1107=التقارير!$C$6),AND(التقارير!$C$5="فصلي",Q1107=التقارير!$C$7))),1,0))</f>
        <v/>
      </c>
      <c r="T1107" s="20">
        <f>IF(S1107=1,COUNTIF($S$5:S1107,1),"")</f>
        <v/>
      </c>
      <c r="U1107">
        <f>IF(AND($A1107&lt;&gt;"",$B1107&lt;&gt;"",$R1107='تقرير الفصل الأول'!$C$4,$Q1107='تقرير الفصل الأول'!$C$7),COUNT(U$4:U1106)+1,"")</f>
        <v/>
      </c>
      <c r="V1107">
        <f>IF(AND($A1107&lt;&gt;"",$B1107&lt;&gt;"",$R1107='تقرير الفصل الثاني'!$C$4,$Q1107='تقرير الفصل الثاني'!$C$7),COUNT(V$4:V1106)+1,"")</f>
        <v/>
      </c>
      <c r="W1107">
        <f>IF(AND($A1107&lt;&gt;"",$B1107&lt;&gt;"",$R1107='تقرير سبتمبر'!$C$4,$P1107='تقرير سبتمبر'!$C$6),COUNT(W$4:W1106)+1,"")</f>
        <v/>
      </c>
      <c r="X1107">
        <f>IF(AND($A1107&lt;&gt;"",$B1107&lt;&gt;"",$R1107='تقرير أكتوبر'!$C$4,$P1107='تقرير أكتوبر'!$C$6),COUNT(X$4:X1106)+1,"")</f>
        <v/>
      </c>
      <c r="Y1107">
        <f>IF(AND($A1107&lt;&gt;"",$B1107&lt;&gt;"",$R1107='تقرير نوفمبر'!$C$4,$P1107='تقرير نوفمبر'!$C$6),COUNT(Y$4:Y1106)+1,"")</f>
        <v/>
      </c>
      <c r="Z1107">
        <f>IF(AND($A1107&lt;&gt;"",$B1107&lt;&gt;"",$R1107='تقرير ديسمبر'!$C$4,$P1107='تقرير ديسمبر'!$C$6),COUNT(Z$4:Z1106)+1,"")</f>
        <v/>
      </c>
      <c r="AA1107">
        <f>IF(AND($A1107&lt;&gt;"",$B1107&lt;&gt;"",$R1107='تقرير يناير'!$C$4,$P1107='تقرير يناير'!$C$6),COUNT(AA$4:AA1106)+1,"")</f>
        <v/>
      </c>
      <c r="AB1107">
        <f>IF(AND($A1107&lt;&gt;"",$B1107&lt;&gt;"",$R1107='تقرير فبراير'!$C$4,$P1107='تقرير فبراير'!$C$6),COUNT(AB$4:AB1106)+1,"")</f>
        <v/>
      </c>
      <c r="AC1107">
        <f>IF(AND($A1107&lt;&gt;"",$B1107&lt;&gt;"",$R1107='تقرير مارس'!$C$4,$P1107='تقرير مارس'!$C$6),COUNT(AC$4:AC1106)+1,"")</f>
        <v/>
      </c>
      <c r="AD1107">
        <f>IF(AND($A1107&lt;&gt;"",$B1107&lt;&gt;"",$R1107='تقرير أبريل'!$C$4,$P1107='تقرير أبريل'!$C$6),COUNT(AD$4:AD1106)+1,"")</f>
        <v/>
      </c>
      <c r="AE1107">
        <f>IF(AND($A1107&lt;&gt;"",$B1107&lt;&gt;"",$R1107='تقرير مايو'!$C$4,$P1107='تقرير مايو'!$C$6),COUNT(AE$4:AE1106)+1,"")</f>
        <v/>
      </c>
    </row>
    <row r="1108">
      <c r="A1108" s="16" t="n"/>
      <c r="B1108" s="17" t="n"/>
      <c r="C1108" s="17" t="n"/>
      <c r="D1108" s="18" t="n"/>
      <c r="E1108" s="17" t="n"/>
      <c r="F1108" s="17" t="n"/>
      <c r="G1108" s="19" t="n"/>
      <c r="H1108" s="17" t="n"/>
      <c r="I1108" s="17" t="n"/>
      <c r="J1108" s="17" t="n"/>
      <c r="K1108" s="20">
        <f>IF($B1108="","",IFERROR(INDEX(الموظفات!$A$5:$A$304,MATCH($B1108,الموظفات!$B$5:$B$304,0))&amp;"",""))</f>
        <v/>
      </c>
      <c r="L1108" s="21">
        <f>IF($B1108="","",IFERROR(INDEX(الموظفات!$C$5:$C$304,MATCH($B1108,الموظفات!$B$5:$B$304,0))&amp;"",""))</f>
        <v/>
      </c>
      <c r="M1108" s="20">
        <f>IF($B1108="","",IFERROR(INDEX(الموظفات!$D$5:$D$304,MATCH($B1108,الموظفات!$B$5:$B$304,0))&amp;"",""))</f>
        <v/>
      </c>
      <c r="N1108" s="20">
        <f>IF($B1108="","",IFERROR(INDEX(الموظفات!$E$5:$E$304,MATCH($B1108,الموظفات!$B$5:$B$304,0))&amp;"",""))</f>
        <v/>
      </c>
      <c r="O1108" s="21">
        <f>IF(C1108="","",IFERROR(INDEX(الإعدادات!$D$7:$D$35,MATCH(C1108,الإعدادات!$A$7:$A$35,0))&amp;"",""))</f>
        <v/>
      </c>
      <c r="P1108" s="20">
        <f>IF(A1108="","",INDEX(الإعدادات!$H$7:$H$18,MONTH(A1108)))</f>
        <v/>
      </c>
      <c r="Q1108" s="20">
        <f>IF(A1108="","",INDEX(الإعدادات!$I$7:$I$18,MONTH(A1108)))</f>
        <v/>
      </c>
      <c r="R1108" s="20">
        <f>IF(A1108="","",IF(MONTH(A1108)&gt;=8,YEAR(A1108)&amp;"-"&amp;(YEAR(A1108)+1),(YEAR(A1108)-1)&amp;"-"&amp;YEAR(A1108)))</f>
        <v/>
      </c>
      <c r="S1108" s="20">
        <f>IF(OR(A1108="",B1108=""),0,IF(AND(R1108=التقارير!$C$4,OR(التقارير!$C$5="سنوي",AND(التقارير!$C$5="شهري",P1108=التقارير!$C$6),AND(التقارير!$C$5="فصلي",Q1108=التقارير!$C$7))),1,0))</f>
        <v/>
      </c>
      <c r="T1108" s="20">
        <f>IF(S1108=1,COUNTIF($S$5:S1108,1),"")</f>
        <v/>
      </c>
      <c r="U1108">
        <f>IF(AND($A1108&lt;&gt;"",$B1108&lt;&gt;"",$R1108='تقرير الفصل الأول'!$C$4,$Q1108='تقرير الفصل الأول'!$C$7),COUNT(U$4:U1107)+1,"")</f>
        <v/>
      </c>
      <c r="V1108">
        <f>IF(AND($A1108&lt;&gt;"",$B1108&lt;&gt;"",$R1108='تقرير الفصل الثاني'!$C$4,$Q1108='تقرير الفصل الثاني'!$C$7),COUNT(V$4:V1107)+1,"")</f>
        <v/>
      </c>
      <c r="W1108">
        <f>IF(AND($A1108&lt;&gt;"",$B1108&lt;&gt;"",$R1108='تقرير سبتمبر'!$C$4,$P1108='تقرير سبتمبر'!$C$6),COUNT(W$4:W1107)+1,"")</f>
        <v/>
      </c>
      <c r="X1108">
        <f>IF(AND($A1108&lt;&gt;"",$B1108&lt;&gt;"",$R1108='تقرير أكتوبر'!$C$4,$P1108='تقرير أكتوبر'!$C$6),COUNT(X$4:X1107)+1,"")</f>
        <v/>
      </c>
      <c r="Y1108">
        <f>IF(AND($A1108&lt;&gt;"",$B1108&lt;&gt;"",$R1108='تقرير نوفمبر'!$C$4,$P1108='تقرير نوفمبر'!$C$6),COUNT(Y$4:Y1107)+1,"")</f>
        <v/>
      </c>
      <c r="Z1108">
        <f>IF(AND($A1108&lt;&gt;"",$B1108&lt;&gt;"",$R1108='تقرير ديسمبر'!$C$4,$P1108='تقرير ديسمبر'!$C$6),COUNT(Z$4:Z1107)+1,"")</f>
        <v/>
      </c>
      <c r="AA1108">
        <f>IF(AND($A1108&lt;&gt;"",$B1108&lt;&gt;"",$R1108='تقرير يناير'!$C$4,$P1108='تقرير يناير'!$C$6),COUNT(AA$4:AA1107)+1,"")</f>
        <v/>
      </c>
      <c r="AB1108">
        <f>IF(AND($A1108&lt;&gt;"",$B1108&lt;&gt;"",$R1108='تقرير فبراير'!$C$4,$P1108='تقرير فبراير'!$C$6),COUNT(AB$4:AB1107)+1,"")</f>
        <v/>
      </c>
      <c r="AC1108">
        <f>IF(AND($A1108&lt;&gt;"",$B1108&lt;&gt;"",$R1108='تقرير مارس'!$C$4,$P1108='تقرير مارس'!$C$6),COUNT(AC$4:AC1107)+1,"")</f>
        <v/>
      </c>
      <c r="AD1108">
        <f>IF(AND($A1108&lt;&gt;"",$B1108&lt;&gt;"",$R1108='تقرير أبريل'!$C$4,$P1108='تقرير أبريل'!$C$6),COUNT(AD$4:AD1107)+1,"")</f>
        <v/>
      </c>
      <c r="AE1108">
        <f>IF(AND($A1108&lt;&gt;"",$B1108&lt;&gt;"",$R1108='تقرير مايو'!$C$4,$P1108='تقرير مايو'!$C$6),COUNT(AE$4:AE1107)+1,"")</f>
        <v/>
      </c>
    </row>
    <row r="1109">
      <c r="A1109" s="16" t="n"/>
      <c r="B1109" s="17" t="n"/>
      <c r="C1109" s="17" t="n"/>
      <c r="D1109" s="18" t="n"/>
      <c r="E1109" s="17" t="n"/>
      <c r="F1109" s="17" t="n"/>
      <c r="G1109" s="19" t="n"/>
      <c r="H1109" s="17" t="n"/>
      <c r="I1109" s="17" t="n"/>
      <c r="J1109" s="17" t="n"/>
      <c r="K1109" s="20">
        <f>IF($B1109="","",IFERROR(INDEX(الموظفات!$A$5:$A$304,MATCH($B1109,الموظفات!$B$5:$B$304,0))&amp;"",""))</f>
        <v/>
      </c>
      <c r="L1109" s="21">
        <f>IF($B1109="","",IFERROR(INDEX(الموظفات!$C$5:$C$304,MATCH($B1109,الموظفات!$B$5:$B$304,0))&amp;"",""))</f>
        <v/>
      </c>
      <c r="M1109" s="20">
        <f>IF($B1109="","",IFERROR(INDEX(الموظفات!$D$5:$D$304,MATCH($B1109,الموظفات!$B$5:$B$304,0))&amp;"",""))</f>
        <v/>
      </c>
      <c r="N1109" s="20">
        <f>IF($B1109="","",IFERROR(INDEX(الموظفات!$E$5:$E$304,MATCH($B1109,الموظفات!$B$5:$B$304,0))&amp;"",""))</f>
        <v/>
      </c>
      <c r="O1109" s="21">
        <f>IF(C1109="","",IFERROR(INDEX(الإعدادات!$D$7:$D$35,MATCH(C1109,الإعدادات!$A$7:$A$35,0))&amp;"",""))</f>
        <v/>
      </c>
      <c r="P1109" s="20">
        <f>IF(A1109="","",INDEX(الإعدادات!$H$7:$H$18,MONTH(A1109)))</f>
        <v/>
      </c>
      <c r="Q1109" s="20">
        <f>IF(A1109="","",INDEX(الإعدادات!$I$7:$I$18,MONTH(A1109)))</f>
        <v/>
      </c>
      <c r="R1109" s="20">
        <f>IF(A1109="","",IF(MONTH(A1109)&gt;=8,YEAR(A1109)&amp;"-"&amp;(YEAR(A1109)+1),(YEAR(A1109)-1)&amp;"-"&amp;YEAR(A1109)))</f>
        <v/>
      </c>
      <c r="S1109" s="20">
        <f>IF(OR(A1109="",B1109=""),0,IF(AND(R1109=التقارير!$C$4,OR(التقارير!$C$5="سنوي",AND(التقارير!$C$5="شهري",P1109=التقارير!$C$6),AND(التقارير!$C$5="فصلي",Q1109=التقارير!$C$7))),1,0))</f>
        <v/>
      </c>
      <c r="T1109" s="20">
        <f>IF(S1109=1,COUNTIF($S$5:S1109,1),"")</f>
        <v/>
      </c>
      <c r="U1109">
        <f>IF(AND($A1109&lt;&gt;"",$B1109&lt;&gt;"",$R1109='تقرير الفصل الأول'!$C$4,$Q1109='تقرير الفصل الأول'!$C$7),COUNT(U$4:U1108)+1,"")</f>
        <v/>
      </c>
      <c r="V1109">
        <f>IF(AND($A1109&lt;&gt;"",$B1109&lt;&gt;"",$R1109='تقرير الفصل الثاني'!$C$4,$Q1109='تقرير الفصل الثاني'!$C$7),COUNT(V$4:V1108)+1,"")</f>
        <v/>
      </c>
      <c r="W1109">
        <f>IF(AND($A1109&lt;&gt;"",$B1109&lt;&gt;"",$R1109='تقرير سبتمبر'!$C$4,$P1109='تقرير سبتمبر'!$C$6),COUNT(W$4:W1108)+1,"")</f>
        <v/>
      </c>
      <c r="X1109">
        <f>IF(AND($A1109&lt;&gt;"",$B1109&lt;&gt;"",$R1109='تقرير أكتوبر'!$C$4,$P1109='تقرير أكتوبر'!$C$6),COUNT(X$4:X1108)+1,"")</f>
        <v/>
      </c>
      <c r="Y1109">
        <f>IF(AND($A1109&lt;&gt;"",$B1109&lt;&gt;"",$R1109='تقرير نوفمبر'!$C$4,$P1109='تقرير نوفمبر'!$C$6),COUNT(Y$4:Y1108)+1,"")</f>
        <v/>
      </c>
      <c r="Z1109">
        <f>IF(AND($A1109&lt;&gt;"",$B1109&lt;&gt;"",$R1109='تقرير ديسمبر'!$C$4,$P1109='تقرير ديسمبر'!$C$6),COUNT(Z$4:Z1108)+1,"")</f>
        <v/>
      </c>
      <c r="AA1109">
        <f>IF(AND($A1109&lt;&gt;"",$B1109&lt;&gt;"",$R1109='تقرير يناير'!$C$4,$P1109='تقرير يناير'!$C$6),COUNT(AA$4:AA1108)+1,"")</f>
        <v/>
      </c>
      <c r="AB1109">
        <f>IF(AND($A1109&lt;&gt;"",$B1109&lt;&gt;"",$R1109='تقرير فبراير'!$C$4,$P1109='تقرير فبراير'!$C$6),COUNT(AB$4:AB1108)+1,"")</f>
        <v/>
      </c>
      <c r="AC1109">
        <f>IF(AND($A1109&lt;&gt;"",$B1109&lt;&gt;"",$R1109='تقرير مارس'!$C$4,$P1109='تقرير مارس'!$C$6),COUNT(AC$4:AC1108)+1,"")</f>
        <v/>
      </c>
      <c r="AD1109">
        <f>IF(AND($A1109&lt;&gt;"",$B1109&lt;&gt;"",$R1109='تقرير أبريل'!$C$4,$P1109='تقرير أبريل'!$C$6),COUNT(AD$4:AD1108)+1,"")</f>
        <v/>
      </c>
      <c r="AE1109">
        <f>IF(AND($A1109&lt;&gt;"",$B1109&lt;&gt;"",$R1109='تقرير مايو'!$C$4,$P1109='تقرير مايو'!$C$6),COUNT(AE$4:AE1108)+1,"")</f>
        <v/>
      </c>
    </row>
    <row r="1110">
      <c r="A1110" s="16" t="n"/>
      <c r="B1110" s="17" t="n"/>
      <c r="C1110" s="17" t="n"/>
      <c r="D1110" s="18" t="n"/>
      <c r="E1110" s="17" t="n"/>
      <c r="F1110" s="17" t="n"/>
      <c r="G1110" s="19" t="n"/>
      <c r="H1110" s="17" t="n"/>
      <c r="I1110" s="17" t="n"/>
      <c r="J1110" s="17" t="n"/>
      <c r="K1110" s="20">
        <f>IF($B1110="","",IFERROR(INDEX(الموظفات!$A$5:$A$304,MATCH($B1110,الموظفات!$B$5:$B$304,0))&amp;"",""))</f>
        <v/>
      </c>
      <c r="L1110" s="21">
        <f>IF($B1110="","",IFERROR(INDEX(الموظفات!$C$5:$C$304,MATCH($B1110,الموظفات!$B$5:$B$304,0))&amp;"",""))</f>
        <v/>
      </c>
      <c r="M1110" s="20">
        <f>IF($B1110="","",IFERROR(INDEX(الموظفات!$D$5:$D$304,MATCH($B1110,الموظفات!$B$5:$B$304,0))&amp;"",""))</f>
        <v/>
      </c>
      <c r="N1110" s="20">
        <f>IF($B1110="","",IFERROR(INDEX(الموظفات!$E$5:$E$304,MATCH($B1110,الموظفات!$B$5:$B$304,0))&amp;"",""))</f>
        <v/>
      </c>
      <c r="O1110" s="21">
        <f>IF(C1110="","",IFERROR(INDEX(الإعدادات!$D$7:$D$35,MATCH(C1110,الإعدادات!$A$7:$A$35,0))&amp;"",""))</f>
        <v/>
      </c>
      <c r="P1110" s="20">
        <f>IF(A1110="","",INDEX(الإعدادات!$H$7:$H$18,MONTH(A1110)))</f>
        <v/>
      </c>
      <c r="Q1110" s="20">
        <f>IF(A1110="","",INDEX(الإعدادات!$I$7:$I$18,MONTH(A1110)))</f>
        <v/>
      </c>
      <c r="R1110" s="20">
        <f>IF(A1110="","",IF(MONTH(A1110)&gt;=8,YEAR(A1110)&amp;"-"&amp;(YEAR(A1110)+1),(YEAR(A1110)-1)&amp;"-"&amp;YEAR(A1110)))</f>
        <v/>
      </c>
      <c r="S1110" s="20">
        <f>IF(OR(A1110="",B1110=""),0,IF(AND(R1110=التقارير!$C$4,OR(التقارير!$C$5="سنوي",AND(التقارير!$C$5="شهري",P1110=التقارير!$C$6),AND(التقارير!$C$5="فصلي",Q1110=التقارير!$C$7))),1,0))</f>
        <v/>
      </c>
      <c r="T1110" s="20">
        <f>IF(S1110=1,COUNTIF($S$5:S1110,1),"")</f>
        <v/>
      </c>
      <c r="U1110">
        <f>IF(AND($A1110&lt;&gt;"",$B1110&lt;&gt;"",$R1110='تقرير الفصل الأول'!$C$4,$Q1110='تقرير الفصل الأول'!$C$7),COUNT(U$4:U1109)+1,"")</f>
        <v/>
      </c>
      <c r="V1110">
        <f>IF(AND($A1110&lt;&gt;"",$B1110&lt;&gt;"",$R1110='تقرير الفصل الثاني'!$C$4,$Q1110='تقرير الفصل الثاني'!$C$7),COUNT(V$4:V1109)+1,"")</f>
        <v/>
      </c>
      <c r="W1110">
        <f>IF(AND($A1110&lt;&gt;"",$B1110&lt;&gt;"",$R1110='تقرير سبتمبر'!$C$4,$P1110='تقرير سبتمبر'!$C$6),COUNT(W$4:W1109)+1,"")</f>
        <v/>
      </c>
      <c r="X1110">
        <f>IF(AND($A1110&lt;&gt;"",$B1110&lt;&gt;"",$R1110='تقرير أكتوبر'!$C$4,$P1110='تقرير أكتوبر'!$C$6),COUNT(X$4:X1109)+1,"")</f>
        <v/>
      </c>
      <c r="Y1110">
        <f>IF(AND($A1110&lt;&gt;"",$B1110&lt;&gt;"",$R1110='تقرير نوفمبر'!$C$4,$P1110='تقرير نوفمبر'!$C$6),COUNT(Y$4:Y1109)+1,"")</f>
        <v/>
      </c>
      <c r="Z1110">
        <f>IF(AND($A1110&lt;&gt;"",$B1110&lt;&gt;"",$R1110='تقرير ديسمبر'!$C$4,$P1110='تقرير ديسمبر'!$C$6),COUNT(Z$4:Z1109)+1,"")</f>
        <v/>
      </c>
      <c r="AA1110">
        <f>IF(AND($A1110&lt;&gt;"",$B1110&lt;&gt;"",$R1110='تقرير يناير'!$C$4,$P1110='تقرير يناير'!$C$6),COUNT(AA$4:AA1109)+1,"")</f>
        <v/>
      </c>
      <c r="AB1110">
        <f>IF(AND($A1110&lt;&gt;"",$B1110&lt;&gt;"",$R1110='تقرير فبراير'!$C$4,$P1110='تقرير فبراير'!$C$6),COUNT(AB$4:AB1109)+1,"")</f>
        <v/>
      </c>
      <c r="AC1110">
        <f>IF(AND($A1110&lt;&gt;"",$B1110&lt;&gt;"",$R1110='تقرير مارس'!$C$4,$P1110='تقرير مارس'!$C$6),COUNT(AC$4:AC1109)+1,"")</f>
        <v/>
      </c>
      <c r="AD1110">
        <f>IF(AND($A1110&lt;&gt;"",$B1110&lt;&gt;"",$R1110='تقرير أبريل'!$C$4,$P1110='تقرير أبريل'!$C$6),COUNT(AD$4:AD1109)+1,"")</f>
        <v/>
      </c>
      <c r="AE1110">
        <f>IF(AND($A1110&lt;&gt;"",$B1110&lt;&gt;"",$R1110='تقرير مايو'!$C$4,$P1110='تقرير مايو'!$C$6),COUNT(AE$4:AE1109)+1,"")</f>
        <v/>
      </c>
    </row>
    <row r="1111">
      <c r="A1111" s="16" t="n"/>
      <c r="B1111" s="17" t="n"/>
      <c r="C1111" s="17" t="n"/>
      <c r="D1111" s="18" t="n"/>
      <c r="E1111" s="17" t="n"/>
      <c r="F1111" s="17" t="n"/>
      <c r="G1111" s="19" t="n"/>
      <c r="H1111" s="17" t="n"/>
      <c r="I1111" s="17" t="n"/>
      <c r="J1111" s="17" t="n"/>
      <c r="K1111" s="20">
        <f>IF($B1111="","",IFERROR(INDEX(الموظفات!$A$5:$A$304,MATCH($B1111,الموظفات!$B$5:$B$304,0))&amp;"",""))</f>
        <v/>
      </c>
      <c r="L1111" s="21">
        <f>IF($B1111="","",IFERROR(INDEX(الموظفات!$C$5:$C$304,MATCH($B1111,الموظفات!$B$5:$B$304,0))&amp;"",""))</f>
        <v/>
      </c>
      <c r="M1111" s="20">
        <f>IF($B1111="","",IFERROR(INDEX(الموظفات!$D$5:$D$304,MATCH($B1111,الموظفات!$B$5:$B$304,0))&amp;"",""))</f>
        <v/>
      </c>
      <c r="N1111" s="20">
        <f>IF($B1111="","",IFERROR(INDEX(الموظفات!$E$5:$E$304,MATCH($B1111,الموظفات!$B$5:$B$304,0))&amp;"",""))</f>
        <v/>
      </c>
      <c r="O1111" s="21">
        <f>IF(C1111="","",IFERROR(INDEX(الإعدادات!$D$7:$D$35,MATCH(C1111,الإعدادات!$A$7:$A$35,0))&amp;"",""))</f>
        <v/>
      </c>
      <c r="P1111" s="20">
        <f>IF(A1111="","",INDEX(الإعدادات!$H$7:$H$18,MONTH(A1111)))</f>
        <v/>
      </c>
      <c r="Q1111" s="20">
        <f>IF(A1111="","",INDEX(الإعدادات!$I$7:$I$18,MONTH(A1111)))</f>
        <v/>
      </c>
      <c r="R1111" s="20">
        <f>IF(A1111="","",IF(MONTH(A1111)&gt;=8,YEAR(A1111)&amp;"-"&amp;(YEAR(A1111)+1),(YEAR(A1111)-1)&amp;"-"&amp;YEAR(A1111)))</f>
        <v/>
      </c>
      <c r="S1111" s="20">
        <f>IF(OR(A1111="",B1111=""),0,IF(AND(R1111=التقارير!$C$4,OR(التقارير!$C$5="سنوي",AND(التقارير!$C$5="شهري",P1111=التقارير!$C$6),AND(التقارير!$C$5="فصلي",Q1111=التقارير!$C$7))),1,0))</f>
        <v/>
      </c>
      <c r="T1111" s="20">
        <f>IF(S1111=1,COUNTIF($S$5:S1111,1),"")</f>
        <v/>
      </c>
      <c r="U1111">
        <f>IF(AND($A1111&lt;&gt;"",$B1111&lt;&gt;"",$R1111='تقرير الفصل الأول'!$C$4,$Q1111='تقرير الفصل الأول'!$C$7),COUNT(U$4:U1110)+1,"")</f>
        <v/>
      </c>
      <c r="V1111">
        <f>IF(AND($A1111&lt;&gt;"",$B1111&lt;&gt;"",$R1111='تقرير الفصل الثاني'!$C$4,$Q1111='تقرير الفصل الثاني'!$C$7),COUNT(V$4:V1110)+1,"")</f>
        <v/>
      </c>
      <c r="W1111">
        <f>IF(AND($A1111&lt;&gt;"",$B1111&lt;&gt;"",$R1111='تقرير سبتمبر'!$C$4,$P1111='تقرير سبتمبر'!$C$6),COUNT(W$4:W1110)+1,"")</f>
        <v/>
      </c>
      <c r="X1111">
        <f>IF(AND($A1111&lt;&gt;"",$B1111&lt;&gt;"",$R1111='تقرير أكتوبر'!$C$4,$P1111='تقرير أكتوبر'!$C$6),COUNT(X$4:X1110)+1,"")</f>
        <v/>
      </c>
      <c r="Y1111">
        <f>IF(AND($A1111&lt;&gt;"",$B1111&lt;&gt;"",$R1111='تقرير نوفمبر'!$C$4,$P1111='تقرير نوفمبر'!$C$6),COUNT(Y$4:Y1110)+1,"")</f>
        <v/>
      </c>
      <c r="Z1111">
        <f>IF(AND($A1111&lt;&gt;"",$B1111&lt;&gt;"",$R1111='تقرير ديسمبر'!$C$4,$P1111='تقرير ديسمبر'!$C$6),COUNT(Z$4:Z1110)+1,"")</f>
        <v/>
      </c>
      <c r="AA1111">
        <f>IF(AND($A1111&lt;&gt;"",$B1111&lt;&gt;"",$R1111='تقرير يناير'!$C$4,$P1111='تقرير يناير'!$C$6),COUNT(AA$4:AA1110)+1,"")</f>
        <v/>
      </c>
      <c r="AB1111">
        <f>IF(AND($A1111&lt;&gt;"",$B1111&lt;&gt;"",$R1111='تقرير فبراير'!$C$4,$P1111='تقرير فبراير'!$C$6),COUNT(AB$4:AB1110)+1,"")</f>
        <v/>
      </c>
      <c r="AC1111">
        <f>IF(AND($A1111&lt;&gt;"",$B1111&lt;&gt;"",$R1111='تقرير مارس'!$C$4,$P1111='تقرير مارس'!$C$6),COUNT(AC$4:AC1110)+1,"")</f>
        <v/>
      </c>
      <c r="AD1111">
        <f>IF(AND($A1111&lt;&gt;"",$B1111&lt;&gt;"",$R1111='تقرير أبريل'!$C$4,$P1111='تقرير أبريل'!$C$6),COUNT(AD$4:AD1110)+1,"")</f>
        <v/>
      </c>
      <c r="AE1111">
        <f>IF(AND($A1111&lt;&gt;"",$B1111&lt;&gt;"",$R1111='تقرير مايو'!$C$4,$P1111='تقرير مايو'!$C$6),COUNT(AE$4:AE1110)+1,"")</f>
        <v/>
      </c>
    </row>
    <row r="1112">
      <c r="A1112" s="16" t="n"/>
      <c r="B1112" s="17" t="n"/>
      <c r="C1112" s="17" t="n"/>
      <c r="D1112" s="18" t="n"/>
      <c r="E1112" s="17" t="n"/>
      <c r="F1112" s="17" t="n"/>
      <c r="G1112" s="19" t="n"/>
      <c r="H1112" s="17" t="n"/>
      <c r="I1112" s="17" t="n"/>
      <c r="J1112" s="17" t="n"/>
      <c r="K1112" s="20">
        <f>IF($B1112="","",IFERROR(INDEX(الموظفات!$A$5:$A$304,MATCH($B1112,الموظفات!$B$5:$B$304,0))&amp;"",""))</f>
        <v/>
      </c>
      <c r="L1112" s="21">
        <f>IF($B1112="","",IFERROR(INDEX(الموظفات!$C$5:$C$304,MATCH($B1112,الموظفات!$B$5:$B$304,0))&amp;"",""))</f>
        <v/>
      </c>
      <c r="M1112" s="20">
        <f>IF($B1112="","",IFERROR(INDEX(الموظفات!$D$5:$D$304,MATCH($B1112,الموظفات!$B$5:$B$304,0))&amp;"",""))</f>
        <v/>
      </c>
      <c r="N1112" s="20">
        <f>IF($B1112="","",IFERROR(INDEX(الموظفات!$E$5:$E$304,MATCH($B1112,الموظفات!$B$5:$B$304,0))&amp;"",""))</f>
        <v/>
      </c>
      <c r="O1112" s="21">
        <f>IF(C1112="","",IFERROR(INDEX(الإعدادات!$D$7:$D$35,MATCH(C1112,الإعدادات!$A$7:$A$35,0))&amp;"",""))</f>
        <v/>
      </c>
      <c r="P1112" s="20">
        <f>IF(A1112="","",INDEX(الإعدادات!$H$7:$H$18,MONTH(A1112)))</f>
        <v/>
      </c>
      <c r="Q1112" s="20">
        <f>IF(A1112="","",INDEX(الإعدادات!$I$7:$I$18,MONTH(A1112)))</f>
        <v/>
      </c>
      <c r="R1112" s="20">
        <f>IF(A1112="","",IF(MONTH(A1112)&gt;=8,YEAR(A1112)&amp;"-"&amp;(YEAR(A1112)+1),(YEAR(A1112)-1)&amp;"-"&amp;YEAR(A1112)))</f>
        <v/>
      </c>
      <c r="S1112" s="20">
        <f>IF(OR(A1112="",B1112=""),0,IF(AND(R1112=التقارير!$C$4,OR(التقارير!$C$5="سنوي",AND(التقارير!$C$5="شهري",P1112=التقارير!$C$6),AND(التقارير!$C$5="فصلي",Q1112=التقارير!$C$7))),1,0))</f>
        <v/>
      </c>
      <c r="T1112" s="20">
        <f>IF(S1112=1,COUNTIF($S$5:S1112,1),"")</f>
        <v/>
      </c>
      <c r="U1112">
        <f>IF(AND($A1112&lt;&gt;"",$B1112&lt;&gt;"",$R1112='تقرير الفصل الأول'!$C$4,$Q1112='تقرير الفصل الأول'!$C$7),COUNT(U$4:U1111)+1,"")</f>
        <v/>
      </c>
      <c r="V1112">
        <f>IF(AND($A1112&lt;&gt;"",$B1112&lt;&gt;"",$R1112='تقرير الفصل الثاني'!$C$4,$Q1112='تقرير الفصل الثاني'!$C$7),COUNT(V$4:V1111)+1,"")</f>
        <v/>
      </c>
      <c r="W1112">
        <f>IF(AND($A1112&lt;&gt;"",$B1112&lt;&gt;"",$R1112='تقرير سبتمبر'!$C$4,$P1112='تقرير سبتمبر'!$C$6),COUNT(W$4:W1111)+1,"")</f>
        <v/>
      </c>
      <c r="X1112">
        <f>IF(AND($A1112&lt;&gt;"",$B1112&lt;&gt;"",$R1112='تقرير أكتوبر'!$C$4,$P1112='تقرير أكتوبر'!$C$6),COUNT(X$4:X1111)+1,"")</f>
        <v/>
      </c>
      <c r="Y1112">
        <f>IF(AND($A1112&lt;&gt;"",$B1112&lt;&gt;"",$R1112='تقرير نوفمبر'!$C$4,$P1112='تقرير نوفمبر'!$C$6),COUNT(Y$4:Y1111)+1,"")</f>
        <v/>
      </c>
      <c r="Z1112">
        <f>IF(AND($A1112&lt;&gt;"",$B1112&lt;&gt;"",$R1112='تقرير ديسمبر'!$C$4,$P1112='تقرير ديسمبر'!$C$6),COUNT(Z$4:Z1111)+1,"")</f>
        <v/>
      </c>
      <c r="AA1112">
        <f>IF(AND($A1112&lt;&gt;"",$B1112&lt;&gt;"",$R1112='تقرير يناير'!$C$4,$P1112='تقرير يناير'!$C$6),COUNT(AA$4:AA1111)+1,"")</f>
        <v/>
      </c>
      <c r="AB1112">
        <f>IF(AND($A1112&lt;&gt;"",$B1112&lt;&gt;"",$R1112='تقرير فبراير'!$C$4,$P1112='تقرير فبراير'!$C$6),COUNT(AB$4:AB1111)+1,"")</f>
        <v/>
      </c>
      <c r="AC1112">
        <f>IF(AND($A1112&lt;&gt;"",$B1112&lt;&gt;"",$R1112='تقرير مارس'!$C$4,$P1112='تقرير مارس'!$C$6),COUNT(AC$4:AC1111)+1,"")</f>
        <v/>
      </c>
      <c r="AD1112">
        <f>IF(AND($A1112&lt;&gt;"",$B1112&lt;&gt;"",$R1112='تقرير أبريل'!$C$4,$P1112='تقرير أبريل'!$C$6),COUNT(AD$4:AD1111)+1,"")</f>
        <v/>
      </c>
      <c r="AE1112">
        <f>IF(AND($A1112&lt;&gt;"",$B1112&lt;&gt;"",$R1112='تقرير مايو'!$C$4,$P1112='تقرير مايو'!$C$6),COUNT(AE$4:AE1111)+1,"")</f>
        <v/>
      </c>
    </row>
    <row r="1113">
      <c r="A1113" s="16" t="n"/>
      <c r="B1113" s="17" t="n"/>
      <c r="C1113" s="17" t="n"/>
      <c r="D1113" s="18" t="n"/>
      <c r="E1113" s="17" t="n"/>
      <c r="F1113" s="17" t="n"/>
      <c r="G1113" s="19" t="n"/>
      <c r="H1113" s="17" t="n"/>
      <c r="I1113" s="17" t="n"/>
      <c r="J1113" s="17" t="n"/>
      <c r="K1113" s="20">
        <f>IF($B1113="","",IFERROR(INDEX(الموظفات!$A$5:$A$304,MATCH($B1113,الموظفات!$B$5:$B$304,0))&amp;"",""))</f>
        <v/>
      </c>
      <c r="L1113" s="21">
        <f>IF($B1113="","",IFERROR(INDEX(الموظفات!$C$5:$C$304,MATCH($B1113,الموظفات!$B$5:$B$304,0))&amp;"",""))</f>
        <v/>
      </c>
      <c r="M1113" s="20">
        <f>IF($B1113="","",IFERROR(INDEX(الموظفات!$D$5:$D$304,MATCH($B1113,الموظفات!$B$5:$B$304,0))&amp;"",""))</f>
        <v/>
      </c>
      <c r="N1113" s="20">
        <f>IF($B1113="","",IFERROR(INDEX(الموظفات!$E$5:$E$304,MATCH($B1113,الموظفات!$B$5:$B$304,0))&amp;"",""))</f>
        <v/>
      </c>
      <c r="O1113" s="21">
        <f>IF(C1113="","",IFERROR(INDEX(الإعدادات!$D$7:$D$35,MATCH(C1113,الإعدادات!$A$7:$A$35,0))&amp;"",""))</f>
        <v/>
      </c>
      <c r="P1113" s="20">
        <f>IF(A1113="","",INDEX(الإعدادات!$H$7:$H$18,MONTH(A1113)))</f>
        <v/>
      </c>
      <c r="Q1113" s="20">
        <f>IF(A1113="","",INDEX(الإعدادات!$I$7:$I$18,MONTH(A1113)))</f>
        <v/>
      </c>
      <c r="R1113" s="20">
        <f>IF(A1113="","",IF(MONTH(A1113)&gt;=8,YEAR(A1113)&amp;"-"&amp;(YEAR(A1113)+1),(YEAR(A1113)-1)&amp;"-"&amp;YEAR(A1113)))</f>
        <v/>
      </c>
      <c r="S1113" s="20">
        <f>IF(OR(A1113="",B1113=""),0,IF(AND(R1113=التقارير!$C$4,OR(التقارير!$C$5="سنوي",AND(التقارير!$C$5="شهري",P1113=التقارير!$C$6),AND(التقارير!$C$5="فصلي",Q1113=التقارير!$C$7))),1,0))</f>
        <v/>
      </c>
      <c r="T1113" s="20">
        <f>IF(S1113=1,COUNTIF($S$5:S1113,1),"")</f>
        <v/>
      </c>
      <c r="U1113">
        <f>IF(AND($A1113&lt;&gt;"",$B1113&lt;&gt;"",$R1113='تقرير الفصل الأول'!$C$4,$Q1113='تقرير الفصل الأول'!$C$7),COUNT(U$4:U1112)+1,"")</f>
        <v/>
      </c>
      <c r="V1113">
        <f>IF(AND($A1113&lt;&gt;"",$B1113&lt;&gt;"",$R1113='تقرير الفصل الثاني'!$C$4,$Q1113='تقرير الفصل الثاني'!$C$7),COUNT(V$4:V1112)+1,"")</f>
        <v/>
      </c>
      <c r="W1113">
        <f>IF(AND($A1113&lt;&gt;"",$B1113&lt;&gt;"",$R1113='تقرير سبتمبر'!$C$4,$P1113='تقرير سبتمبر'!$C$6),COUNT(W$4:W1112)+1,"")</f>
        <v/>
      </c>
      <c r="X1113">
        <f>IF(AND($A1113&lt;&gt;"",$B1113&lt;&gt;"",$R1113='تقرير أكتوبر'!$C$4,$P1113='تقرير أكتوبر'!$C$6),COUNT(X$4:X1112)+1,"")</f>
        <v/>
      </c>
      <c r="Y1113">
        <f>IF(AND($A1113&lt;&gt;"",$B1113&lt;&gt;"",$R1113='تقرير نوفمبر'!$C$4,$P1113='تقرير نوفمبر'!$C$6),COUNT(Y$4:Y1112)+1,"")</f>
        <v/>
      </c>
      <c r="Z1113">
        <f>IF(AND($A1113&lt;&gt;"",$B1113&lt;&gt;"",$R1113='تقرير ديسمبر'!$C$4,$P1113='تقرير ديسمبر'!$C$6),COUNT(Z$4:Z1112)+1,"")</f>
        <v/>
      </c>
      <c r="AA1113">
        <f>IF(AND($A1113&lt;&gt;"",$B1113&lt;&gt;"",$R1113='تقرير يناير'!$C$4,$P1113='تقرير يناير'!$C$6),COUNT(AA$4:AA1112)+1,"")</f>
        <v/>
      </c>
      <c r="AB1113">
        <f>IF(AND($A1113&lt;&gt;"",$B1113&lt;&gt;"",$R1113='تقرير فبراير'!$C$4,$P1113='تقرير فبراير'!$C$6),COUNT(AB$4:AB1112)+1,"")</f>
        <v/>
      </c>
      <c r="AC1113">
        <f>IF(AND($A1113&lt;&gt;"",$B1113&lt;&gt;"",$R1113='تقرير مارس'!$C$4,$P1113='تقرير مارس'!$C$6),COUNT(AC$4:AC1112)+1,"")</f>
        <v/>
      </c>
      <c r="AD1113">
        <f>IF(AND($A1113&lt;&gt;"",$B1113&lt;&gt;"",$R1113='تقرير أبريل'!$C$4,$P1113='تقرير أبريل'!$C$6),COUNT(AD$4:AD1112)+1,"")</f>
        <v/>
      </c>
      <c r="AE1113">
        <f>IF(AND($A1113&lt;&gt;"",$B1113&lt;&gt;"",$R1113='تقرير مايو'!$C$4,$P1113='تقرير مايو'!$C$6),COUNT(AE$4:AE1112)+1,"")</f>
        <v/>
      </c>
    </row>
    <row r="1114">
      <c r="A1114" s="16" t="n"/>
      <c r="B1114" s="17" t="n"/>
      <c r="C1114" s="17" t="n"/>
      <c r="D1114" s="18" t="n"/>
      <c r="E1114" s="17" t="n"/>
      <c r="F1114" s="17" t="n"/>
      <c r="G1114" s="19" t="n"/>
      <c r="H1114" s="17" t="n"/>
      <c r="I1114" s="17" t="n"/>
      <c r="J1114" s="17" t="n"/>
      <c r="K1114" s="20">
        <f>IF($B1114="","",IFERROR(INDEX(الموظفات!$A$5:$A$304,MATCH($B1114,الموظفات!$B$5:$B$304,0))&amp;"",""))</f>
        <v/>
      </c>
      <c r="L1114" s="21">
        <f>IF($B1114="","",IFERROR(INDEX(الموظفات!$C$5:$C$304,MATCH($B1114,الموظفات!$B$5:$B$304,0))&amp;"",""))</f>
        <v/>
      </c>
      <c r="M1114" s="20">
        <f>IF($B1114="","",IFERROR(INDEX(الموظفات!$D$5:$D$304,MATCH($B1114,الموظفات!$B$5:$B$304,0))&amp;"",""))</f>
        <v/>
      </c>
      <c r="N1114" s="20">
        <f>IF($B1114="","",IFERROR(INDEX(الموظفات!$E$5:$E$304,MATCH($B1114,الموظفات!$B$5:$B$304,0))&amp;"",""))</f>
        <v/>
      </c>
      <c r="O1114" s="21">
        <f>IF(C1114="","",IFERROR(INDEX(الإعدادات!$D$7:$D$35,MATCH(C1114,الإعدادات!$A$7:$A$35,0))&amp;"",""))</f>
        <v/>
      </c>
      <c r="P1114" s="20">
        <f>IF(A1114="","",INDEX(الإعدادات!$H$7:$H$18,MONTH(A1114)))</f>
        <v/>
      </c>
      <c r="Q1114" s="20">
        <f>IF(A1114="","",INDEX(الإعدادات!$I$7:$I$18,MONTH(A1114)))</f>
        <v/>
      </c>
      <c r="R1114" s="20">
        <f>IF(A1114="","",IF(MONTH(A1114)&gt;=8,YEAR(A1114)&amp;"-"&amp;(YEAR(A1114)+1),(YEAR(A1114)-1)&amp;"-"&amp;YEAR(A1114)))</f>
        <v/>
      </c>
      <c r="S1114" s="20">
        <f>IF(OR(A1114="",B1114=""),0,IF(AND(R1114=التقارير!$C$4,OR(التقارير!$C$5="سنوي",AND(التقارير!$C$5="شهري",P1114=التقارير!$C$6),AND(التقارير!$C$5="فصلي",Q1114=التقارير!$C$7))),1,0))</f>
        <v/>
      </c>
      <c r="T1114" s="20">
        <f>IF(S1114=1,COUNTIF($S$5:S1114,1),"")</f>
        <v/>
      </c>
      <c r="U1114">
        <f>IF(AND($A1114&lt;&gt;"",$B1114&lt;&gt;"",$R1114='تقرير الفصل الأول'!$C$4,$Q1114='تقرير الفصل الأول'!$C$7),COUNT(U$4:U1113)+1,"")</f>
        <v/>
      </c>
      <c r="V1114">
        <f>IF(AND($A1114&lt;&gt;"",$B1114&lt;&gt;"",$R1114='تقرير الفصل الثاني'!$C$4,$Q1114='تقرير الفصل الثاني'!$C$7),COUNT(V$4:V1113)+1,"")</f>
        <v/>
      </c>
      <c r="W1114">
        <f>IF(AND($A1114&lt;&gt;"",$B1114&lt;&gt;"",$R1114='تقرير سبتمبر'!$C$4,$P1114='تقرير سبتمبر'!$C$6),COUNT(W$4:W1113)+1,"")</f>
        <v/>
      </c>
      <c r="X1114">
        <f>IF(AND($A1114&lt;&gt;"",$B1114&lt;&gt;"",$R1114='تقرير أكتوبر'!$C$4,$P1114='تقرير أكتوبر'!$C$6),COUNT(X$4:X1113)+1,"")</f>
        <v/>
      </c>
      <c r="Y1114">
        <f>IF(AND($A1114&lt;&gt;"",$B1114&lt;&gt;"",$R1114='تقرير نوفمبر'!$C$4,$P1114='تقرير نوفمبر'!$C$6),COUNT(Y$4:Y1113)+1,"")</f>
        <v/>
      </c>
      <c r="Z1114">
        <f>IF(AND($A1114&lt;&gt;"",$B1114&lt;&gt;"",$R1114='تقرير ديسمبر'!$C$4,$P1114='تقرير ديسمبر'!$C$6),COUNT(Z$4:Z1113)+1,"")</f>
        <v/>
      </c>
      <c r="AA1114">
        <f>IF(AND($A1114&lt;&gt;"",$B1114&lt;&gt;"",$R1114='تقرير يناير'!$C$4,$P1114='تقرير يناير'!$C$6),COUNT(AA$4:AA1113)+1,"")</f>
        <v/>
      </c>
      <c r="AB1114">
        <f>IF(AND($A1114&lt;&gt;"",$B1114&lt;&gt;"",$R1114='تقرير فبراير'!$C$4,$P1114='تقرير فبراير'!$C$6),COUNT(AB$4:AB1113)+1,"")</f>
        <v/>
      </c>
      <c r="AC1114">
        <f>IF(AND($A1114&lt;&gt;"",$B1114&lt;&gt;"",$R1114='تقرير مارس'!$C$4,$P1114='تقرير مارس'!$C$6),COUNT(AC$4:AC1113)+1,"")</f>
        <v/>
      </c>
      <c r="AD1114">
        <f>IF(AND($A1114&lt;&gt;"",$B1114&lt;&gt;"",$R1114='تقرير أبريل'!$C$4,$P1114='تقرير أبريل'!$C$6),COUNT(AD$4:AD1113)+1,"")</f>
        <v/>
      </c>
      <c r="AE1114">
        <f>IF(AND($A1114&lt;&gt;"",$B1114&lt;&gt;"",$R1114='تقرير مايو'!$C$4,$P1114='تقرير مايو'!$C$6),COUNT(AE$4:AE1113)+1,"")</f>
        <v/>
      </c>
    </row>
    <row r="1115">
      <c r="A1115" s="16" t="n"/>
      <c r="B1115" s="17" t="n"/>
      <c r="C1115" s="17" t="n"/>
      <c r="D1115" s="18" t="n"/>
      <c r="E1115" s="17" t="n"/>
      <c r="F1115" s="17" t="n"/>
      <c r="G1115" s="19" t="n"/>
      <c r="H1115" s="17" t="n"/>
      <c r="I1115" s="17" t="n"/>
      <c r="J1115" s="17" t="n"/>
      <c r="K1115" s="20">
        <f>IF($B1115="","",IFERROR(INDEX(الموظفات!$A$5:$A$304,MATCH($B1115,الموظفات!$B$5:$B$304,0))&amp;"",""))</f>
        <v/>
      </c>
      <c r="L1115" s="21">
        <f>IF($B1115="","",IFERROR(INDEX(الموظفات!$C$5:$C$304,MATCH($B1115,الموظفات!$B$5:$B$304,0))&amp;"",""))</f>
        <v/>
      </c>
      <c r="M1115" s="20">
        <f>IF($B1115="","",IFERROR(INDEX(الموظفات!$D$5:$D$304,MATCH($B1115,الموظفات!$B$5:$B$304,0))&amp;"",""))</f>
        <v/>
      </c>
      <c r="N1115" s="20">
        <f>IF($B1115="","",IFERROR(INDEX(الموظفات!$E$5:$E$304,MATCH($B1115,الموظفات!$B$5:$B$304,0))&amp;"",""))</f>
        <v/>
      </c>
      <c r="O1115" s="21">
        <f>IF(C1115="","",IFERROR(INDEX(الإعدادات!$D$7:$D$35,MATCH(C1115,الإعدادات!$A$7:$A$35,0))&amp;"",""))</f>
        <v/>
      </c>
      <c r="P1115" s="20">
        <f>IF(A1115="","",INDEX(الإعدادات!$H$7:$H$18,MONTH(A1115)))</f>
        <v/>
      </c>
      <c r="Q1115" s="20">
        <f>IF(A1115="","",INDEX(الإعدادات!$I$7:$I$18,MONTH(A1115)))</f>
        <v/>
      </c>
      <c r="R1115" s="20">
        <f>IF(A1115="","",IF(MONTH(A1115)&gt;=8,YEAR(A1115)&amp;"-"&amp;(YEAR(A1115)+1),(YEAR(A1115)-1)&amp;"-"&amp;YEAR(A1115)))</f>
        <v/>
      </c>
      <c r="S1115" s="20">
        <f>IF(OR(A1115="",B1115=""),0,IF(AND(R1115=التقارير!$C$4,OR(التقارير!$C$5="سنوي",AND(التقارير!$C$5="شهري",P1115=التقارير!$C$6),AND(التقارير!$C$5="فصلي",Q1115=التقارير!$C$7))),1,0))</f>
        <v/>
      </c>
      <c r="T1115" s="20">
        <f>IF(S1115=1,COUNTIF($S$5:S1115,1),"")</f>
        <v/>
      </c>
      <c r="U1115">
        <f>IF(AND($A1115&lt;&gt;"",$B1115&lt;&gt;"",$R1115='تقرير الفصل الأول'!$C$4,$Q1115='تقرير الفصل الأول'!$C$7),COUNT(U$4:U1114)+1,"")</f>
        <v/>
      </c>
      <c r="V1115">
        <f>IF(AND($A1115&lt;&gt;"",$B1115&lt;&gt;"",$R1115='تقرير الفصل الثاني'!$C$4,$Q1115='تقرير الفصل الثاني'!$C$7),COUNT(V$4:V1114)+1,"")</f>
        <v/>
      </c>
      <c r="W1115">
        <f>IF(AND($A1115&lt;&gt;"",$B1115&lt;&gt;"",$R1115='تقرير سبتمبر'!$C$4,$P1115='تقرير سبتمبر'!$C$6),COUNT(W$4:W1114)+1,"")</f>
        <v/>
      </c>
      <c r="X1115">
        <f>IF(AND($A1115&lt;&gt;"",$B1115&lt;&gt;"",$R1115='تقرير أكتوبر'!$C$4,$P1115='تقرير أكتوبر'!$C$6),COUNT(X$4:X1114)+1,"")</f>
        <v/>
      </c>
      <c r="Y1115">
        <f>IF(AND($A1115&lt;&gt;"",$B1115&lt;&gt;"",$R1115='تقرير نوفمبر'!$C$4,$P1115='تقرير نوفمبر'!$C$6),COUNT(Y$4:Y1114)+1,"")</f>
        <v/>
      </c>
      <c r="Z1115">
        <f>IF(AND($A1115&lt;&gt;"",$B1115&lt;&gt;"",$R1115='تقرير ديسمبر'!$C$4,$P1115='تقرير ديسمبر'!$C$6),COUNT(Z$4:Z1114)+1,"")</f>
        <v/>
      </c>
      <c r="AA1115">
        <f>IF(AND($A1115&lt;&gt;"",$B1115&lt;&gt;"",$R1115='تقرير يناير'!$C$4,$P1115='تقرير يناير'!$C$6),COUNT(AA$4:AA1114)+1,"")</f>
        <v/>
      </c>
      <c r="AB1115">
        <f>IF(AND($A1115&lt;&gt;"",$B1115&lt;&gt;"",$R1115='تقرير فبراير'!$C$4,$P1115='تقرير فبراير'!$C$6),COUNT(AB$4:AB1114)+1,"")</f>
        <v/>
      </c>
      <c r="AC1115">
        <f>IF(AND($A1115&lt;&gt;"",$B1115&lt;&gt;"",$R1115='تقرير مارس'!$C$4,$P1115='تقرير مارس'!$C$6),COUNT(AC$4:AC1114)+1,"")</f>
        <v/>
      </c>
      <c r="AD1115">
        <f>IF(AND($A1115&lt;&gt;"",$B1115&lt;&gt;"",$R1115='تقرير أبريل'!$C$4,$P1115='تقرير أبريل'!$C$6),COUNT(AD$4:AD1114)+1,"")</f>
        <v/>
      </c>
      <c r="AE1115">
        <f>IF(AND($A1115&lt;&gt;"",$B1115&lt;&gt;"",$R1115='تقرير مايو'!$C$4,$P1115='تقرير مايو'!$C$6),COUNT(AE$4:AE1114)+1,"")</f>
        <v/>
      </c>
    </row>
    <row r="1116">
      <c r="A1116" s="16" t="n"/>
      <c r="B1116" s="17" t="n"/>
      <c r="C1116" s="17" t="n"/>
      <c r="D1116" s="18" t="n"/>
      <c r="E1116" s="17" t="n"/>
      <c r="F1116" s="17" t="n"/>
      <c r="G1116" s="19" t="n"/>
      <c r="H1116" s="17" t="n"/>
      <c r="I1116" s="17" t="n"/>
      <c r="J1116" s="17" t="n"/>
      <c r="K1116" s="20">
        <f>IF($B1116="","",IFERROR(INDEX(الموظفات!$A$5:$A$304,MATCH($B1116,الموظفات!$B$5:$B$304,0))&amp;"",""))</f>
        <v/>
      </c>
      <c r="L1116" s="21">
        <f>IF($B1116="","",IFERROR(INDEX(الموظفات!$C$5:$C$304,MATCH($B1116,الموظفات!$B$5:$B$304,0))&amp;"",""))</f>
        <v/>
      </c>
      <c r="M1116" s="20">
        <f>IF($B1116="","",IFERROR(INDEX(الموظفات!$D$5:$D$304,MATCH($B1116,الموظفات!$B$5:$B$304,0))&amp;"",""))</f>
        <v/>
      </c>
      <c r="N1116" s="20">
        <f>IF($B1116="","",IFERROR(INDEX(الموظفات!$E$5:$E$304,MATCH($B1116,الموظفات!$B$5:$B$304,0))&amp;"",""))</f>
        <v/>
      </c>
      <c r="O1116" s="21">
        <f>IF(C1116="","",IFERROR(INDEX(الإعدادات!$D$7:$D$35,MATCH(C1116,الإعدادات!$A$7:$A$35,0))&amp;"",""))</f>
        <v/>
      </c>
      <c r="P1116" s="20">
        <f>IF(A1116="","",INDEX(الإعدادات!$H$7:$H$18,MONTH(A1116)))</f>
        <v/>
      </c>
      <c r="Q1116" s="20">
        <f>IF(A1116="","",INDEX(الإعدادات!$I$7:$I$18,MONTH(A1116)))</f>
        <v/>
      </c>
      <c r="R1116" s="20">
        <f>IF(A1116="","",IF(MONTH(A1116)&gt;=8,YEAR(A1116)&amp;"-"&amp;(YEAR(A1116)+1),(YEAR(A1116)-1)&amp;"-"&amp;YEAR(A1116)))</f>
        <v/>
      </c>
      <c r="S1116" s="20">
        <f>IF(OR(A1116="",B1116=""),0,IF(AND(R1116=التقارير!$C$4,OR(التقارير!$C$5="سنوي",AND(التقارير!$C$5="شهري",P1116=التقارير!$C$6),AND(التقارير!$C$5="فصلي",Q1116=التقارير!$C$7))),1,0))</f>
        <v/>
      </c>
      <c r="T1116" s="20">
        <f>IF(S1116=1,COUNTIF($S$5:S1116,1),"")</f>
        <v/>
      </c>
      <c r="U1116">
        <f>IF(AND($A1116&lt;&gt;"",$B1116&lt;&gt;"",$R1116='تقرير الفصل الأول'!$C$4,$Q1116='تقرير الفصل الأول'!$C$7),COUNT(U$4:U1115)+1,"")</f>
        <v/>
      </c>
      <c r="V1116">
        <f>IF(AND($A1116&lt;&gt;"",$B1116&lt;&gt;"",$R1116='تقرير الفصل الثاني'!$C$4,$Q1116='تقرير الفصل الثاني'!$C$7),COUNT(V$4:V1115)+1,"")</f>
        <v/>
      </c>
      <c r="W1116">
        <f>IF(AND($A1116&lt;&gt;"",$B1116&lt;&gt;"",$R1116='تقرير سبتمبر'!$C$4,$P1116='تقرير سبتمبر'!$C$6),COUNT(W$4:W1115)+1,"")</f>
        <v/>
      </c>
      <c r="X1116">
        <f>IF(AND($A1116&lt;&gt;"",$B1116&lt;&gt;"",$R1116='تقرير أكتوبر'!$C$4,$P1116='تقرير أكتوبر'!$C$6),COUNT(X$4:X1115)+1,"")</f>
        <v/>
      </c>
      <c r="Y1116">
        <f>IF(AND($A1116&lt;&gt;"",$B1116&lt;&gt;"",$R1116='تقرير نوفمبر'!$C$4,$P1116='تقرير نوفمبر'!$C$6),COUNT(Y$4:Y1115)+1,"")</f>
        <v/>
      </c>
      <c r="Z1116">
        <f>IF(AND($A1116&lt;&gt;"",$B1116&lt;&gt;"",$R1116='تقرير ديسمبر'!$C$4,$P1116='تقرير ديسمبر'!$C$6),COUNT(Z$4:Z1115)+1,"")</f>
        <v/>
      </c>
      <c r="AA1116">
        <f>IF(AND($A1116&lt;&gt;"",$B1116&lt;&gt;"",$R1116='تقرير يناير'!$C$4,$P1116='تقرير يناير'!$C$6),COUNT(AA$4:AA1115)+1,"")</f>
        <v/>
      </c>
      <c r="AB1116">
        <f>IF(AND($A1116&lt;&gt;"",$B1116&lt;&gt;"",$R1116='تقرير فبراير'!$C$4,$P1116='تقرير فبراير'!$C$6),COUNT(AB$4:AB1115)+1,"")</f>
        <v/>
      </c>
      <c r="AC1116">
        <f>IF(AND($A1116&lt;&gt;"",$B1116&lt;&gt;"",$R1116='تقرير مارس'!$C$4,$P1116='تقرير مارس'!$C$6),COUNT(AC$4:AC1115)+1,"")</f>
        <v/>
      </c>
      <c r="AD1116">
        <f>IF(AND($A1116&lt;&gt;"",$B1116&lt;&gt;"",$R1116='تقرير أبريل'!$C$4,$P1116='تقرير أبريل'!$C$6),COUNT(AD$4:AD1115)+1,"")</f>
        <v/>
      </c>
      <c r="AE1116">
        <f>IF(AND($A1116&lt;&gt;"",$B1116&lt;&gt;"",$R1116='تقرير مايو'!$C$4,$P1116='تقرير مايو'!$C$6),COUNT(AE$4:AE1115)+1,"")</f>
        <v/>
      </c>
    </row>
    <row r="1117">
      <c r="A1117" s="16" t="n"/>
      <c r="B1117" s="17" t="n"/>
      <c r="C1117" s="17" t="n"/>
      <c r="D1117" s="18" t="n"/>
      <c r="E1117" s="17" t="n"/>
      <c r="F1117" s="17" t="n"/>
      <c r="G1117" s="19" t="n"/>
      <c r="H1117" s="17" t="n"/>
      <c r="I1117" s="17" t="n"/>
      <c r="J1117" s="17" t="n"/>
      <c r="K1117" s="20">
        <f>IF($B1117="","",IFERROR(INDEX(الموظفات!$A$5:$A$304,MATCH($B1117,الموظفات!$B$5:$B$304,0))&amp;"",""))</f>
        <v/>
      </c>
      <c r="L1117" s="21">
        <f>IF($B1117="","",IFERROR(INDEX(الموظفات!$C$5:$C$304,MATCH($B1117,الموظفات!$B$5:$B$304,0))&amp;"",""))</f>
        <v/>
      </c>
      <c r="M1117" s="20">
        <f>IF($B1117="","",IFERROR(INDEX(الموظفات!$D$5:$D$304,MATCH($B1117,الموظفات!$B$5:$B$304,0))&amp;"",""))</f>
        <v/>
      </c>
      <c r="N1117" s="20">
        <f>IF($B1117="","",IFERROR(INDEX(الموظفات!$E$5:$E$304,MATCH($B1117,الموظفات!$B$5:$B$304,0))&amp;"",""))</f>
        <v/>
      </c>
      <c r="O1117" s="21">
        <f>IF(C1117="","",IFERROR(INDEX(الإعدادات!$D$7:$D$35,MATCH(C1117,الإعدادات!$A$7:$A$35,0))&amp;"",""))</f>
        <v/>
      </c>
      <c r="P1117" s="20">
        <f>IF(A1117="","",INDEX(الإعدادات!$H$7:$H$18,MONTH(A1117)))</f>
        <v/>
      </c>
      <c r="Q1117" s="20">
        <f>IF(A1117="","",INDEX(الإعدادات!$I$7:$I$18,MONTH(A1117)))</f>
        <v/>
      </c>
      <c r="R1117" s="20">
        <f>IF(A1117="","",IF(MONTH(A1117)&gt;=8,YEAR(A1117)&amp;"-"&amp;(YEAR(A1117)+1),(YEAR(A1117)-1)&amp;"-"&amp;YEAR(A1117)))</f>
        <v/>
      </c>
      <c r="S1117" s="20">
        <f>IF(OR(A1117="",B1117=""),0,IF(AND(R1117=التقارير!$C$4,OR(التقارير!$C$5="سنوي",AND(التقارير!$C$5="شهري",P1117=التقارير!$C$6),AND(التقارير!$C$5="فصلي",Q1117=التقارير!$C$7))),1,0))</f>
        <v/>
      </c>
      <c r="T1117" s="20">
        <f>IF(S1117=1,COUNTIF($S$5:S1117,1),"")</f>
        <v/>
      </c>
      <c r="U1117">
        <f>IF(AND($A1117&lt;&gt;"",$B1117&lt;&gt;"",$R1117='تقرير الفصل الأول'!$C$4,$Q1117='تقرير الفصل الأول'!$C$7),COUNT(U$4:U1116)+1,"")</f>
        <v/>
      </c>
      <c r="V1117">
        <f>IF(AND($A1117&lt;&gt;"",$B1117&lt;&gt;"",$R1117='تقرير الفصل الثاني'!$C$4,$Q1117='تقرير الفصل الثاني'!$C$7),COUNT(V$4:V1116)+1,"")</f>
        <v/>
      </c>
      <c r="W1117">
        <f>IF(AND($A1117&lt;&gt;"",$B1117&lt;&gt;"",$R1117='تقرير سبتمبر'!$C$4,$P1117='تقرير سبتمبر'!$C$6),COUNT(W$4:W1116)+1,"")</f>
        <v/>
      </c>
      <c r="X1117">
        <f>IF(AND($A1117&lt;&gt;"",$B1117&lt;&gt;"",$R1117='تقرير أكتوبر'!$C$4,$P1117='تقرير أكتوبر'!$C$6),COUNT(X$4:X1116)+1,"")</f>
        <v/>
      </c>
      <c r="Y1117">
        <f>IF(AND($A1117&lt;&gt;"",$B1117&lt;&gt;"",$R1117='تقرير نوفمبر'!$C$4,$P1117='تقرير نوفمبر'!$C$6),COUNT(Y$4:Y1116)+1,"")</f>
        <v/>
      </c>
      <c r="Z1117">
        <f>IF(AND($A1117&lt;&gt;"",$B1117&lt;&gt;"",$R1117='تقرير ديسمبر'!$C$4,$P1117='تقرير ديسمبر'!$C$6),COUNT(Z$4:Z1116)+1,"")</f>
        <v/>
      </c>
      <c r="AA1117">
        <f>IF(AND($A1117&lt;&gt;"",$B1117&lt;&gt;"",$R1117='تقرير يناير'!$C$4,$P1117='تقرير يناير'!$C$6),COUNT(AA$4:AA1116)+1,"")</f>
        <v/>
      </c>
      <c r="AB1117">
        <f>IF(AND($A1117&lt;&gt;"",$B1117&lt;&gt;"",$R1117='تقرير فبراير'!$C$4,$P1117='تقرير فبراير'!$C$6),COUNT(AB$4:AB1116)+1,"")</f>
        <v/>
      </c>
      <c r="AC1117">
        <f>IF(AND($A1117&lt;&gt;"",$B1117&lt;&gt;"",$R1117='تقرير مارس'!$C$4,$P1117='تقرير مارس'!$C$6),COUNT(AC$4:AC1116)+1,"")</f>
        <v/>
      </c>
      <c r="AD1117">
        <f>IF(AND($A1117&lt;&gt;"",$B1117&lt;&gt;"",$R1117='تقرير أبريل'!$C$4,$P1117='تقرير أبريل'!$C$6),COUNT(AD$4:AD1116)+1,"")</f>
        <v/>
      </c>
      <c r="AE1117">
        <f>IF(AND($A1117&lt;&gt;"",$B1117&lt;&gt;"",$R1117='تقرير مايو'!$C$4,$P1117='تقرير مايو'!$C$6),COUNT(AE$4:AE1116)+1,"")</f>
        <v/>
      </c>
    </row>
    <row r="1118">
      <c r="A1118" s="16" t="n"/>
      <c r="B1118" s="17" t="n"/>
      <c r="C1118" s="17" t="n"/>
      <c r="D1118" s="18" t="n"/>
      <c r="E1118" s="17" t="n"/>
      <c r="F1118" s="17" t="n"/>
      <c r="G1118" s="19" t="n"/>
      <c r="H1118" s="17" t="n"/>
      <c r="I1118" s="17" t="n"/>
      <c r="J1118" s="17" t="n"/>
      <c r="K1118" s="20">
        <f>IF($B1118="","",IFERROR(INDEX(الموظفات!$A$5:$A$304,MATCH($B1118,الموظفات!$B$5:$B$304,0))&amp;"",""))</f>
        <v/>
      </c>
      <c r="L1118" s="21">
        <f>IF($B1118="","",IFERROR(INDEX(الموظفات!$C$5:$C$304,MATCH($B1118,الموظفات!$B$5:$B$304,0))&amp;"",""))</f>
        <v/>
      </c>
      <c r="M1118" s="20">
        <f>IF($B1118="","",IFERROR(INDEX(الموظفات!$D$5:$D$304,MATCH($B1118,الموظفات!$B$5:$B$304,0))&amp;"",""))</f>
        <v/>
      </c>
      <c r="N1118" s="20">
        <f>IF($B1118="","",IFERROR(INDEX(الموظفات!$E$5:$E$304,MATCH($B1118,الموظفات!$B$5:$B$304,0))&amp;"",""))</f>
        <v/>
      </c>
      <c r="O1118" s="21">
        <f>IF(C1118="","",IFERROR(INDEX(الإعدادات!$D$7:$D$35,MATCH(C1118,الإعدادات!$A$7:$A$35,0))&amp;"",""))</f>
        <v/>
      </c>
      <c r="P1118" s="20">
        <f>IF(A1118="","",INDEX(الإعدادات!$H$7:$H$18,MONTH(A1118)))</f>
        <v/>
      </c>
      <c r="Q1118" s="20">
        <f>IF(A1118="","",INDEX(الإعدادات!$I$7:$I$18,MONTH(A1118)))</f>
        <v/>
      </c>
      <c r="R1118" s="20">
        <f>IF(A1118="","",IF(MONTH(A1118)&gt;=8,YEAR(A1118)&amp;"-"&amp;(YEAR(A1118)+1),(YEAR(A1118)-1)&amp;"-"&amp;YEAR(A1118)))</f>
        <v/>
      </c>
      <c r="S1118" s="20">
        <f>IF(OR(A1118="",B1118=""),0,IF(AND(R1118=التقارير!$C$4,OR(التقارير!$C$5="سنوي",AND(التقارير!$C$5="شهري",P1118=التقارير!$C$6),AND(التقارير!$C$5="فصلي",Q1118=التقارير!$C$7))),1,0))</f>
        <v/>
      </c>
      <c r="T1118" s="20">
        <f>IF(S1118=1,COUNTIF($S$5:S1118,1),"")</f>
        <v/>
      </c>
      <c r="U1118">
        <f>IF(AND($A1118&lt;&gt;"",$B1118&lt;&gt;"",$R1118='تقرير الفصل الأول'!$C$4,$Q1118='تقرير الفصل الأول'!$C$7),COUNT(U$4:U1117)+1,"")</f>
        <v/>
      </c>
      <c r="V1118">
        <f>IF(AND($A1118&lt;&gt;"",$B1118&lt;&gt;"",$R1118='تقرير الفصل الثاني'!$C$4,$Q1118='تقرير الفصل الثاني'!$C$7),COUNT(V$4:V1117)+1,"")</f>
        <v/>
      </c>
      <c r="W1118">
        <f>IF(AND($A1118&lt;&gt;"",$B1118&lt;&gt;"",$R1118='تقرير سبتمبر'!$C$4,$P1118='تقرير سبتمبر'!$C$6),COUNT(W$4:W1117)+1,"")</f>
        <v/>
      </c>
      <c r="X1118">
        <f>IF(AND($A1118&lt;&gt;"",$B1118&lt;&gt;"",$R1118='تقرير أكتوبر'!$C$4,$P1118='تقرير أكتوبر'!$C$6),COUNT(X$4:X1117)+1,"")</f>
        <v/>
      </c>
      <c r="Y1118">
        <f>IF(AND($A1118&lt;&gt;"",$B1118&lt;&gt;"",$R1118='تقرير نوفمبر'!$C$4,$P1118='تقرير نوفمبر'!$C$6),COUNT(Y$4:Y1117)+1,"")</f>
        <v/>
      </c>
      <c r="Z1118">
        <f>IF(AND($A1118&lt;&gt;"",$B1118&lt;&gt;"",$R1118='تقرير ديسمبر'!$C$4,$P1118='تقرير ديسمبر'!$C$6),COUNT(Z$4:Z1117)+1,"")</f>
        <v/>
      </c>
      <c r="AA1118">
        <f>IF(AND($A1118&lt;&gt;"",$B1118&lt;&gt;"",$R1118='تقرير يناير'!$C$4,$P1118='تقرير يناير'!$C$6),COUNT(AA$4:AA1117)+1,"")</f>
        <v/>
      </c>
      <c r="AB1118">
        <f>IF(AND($A1118&lt;&gt;"",$B1118&lt;&gt;"",$R1118='تقرير فبراير'!$C$4,$P1118='تقرير فبراير'!$C$6),COUNT(AB$4:AB1117)+1,"")</f>
        <v/>
      </c>
      <c r="AC1118">
        <f>IF(AND($A1118&lt;&gt;"",$B1118&lt;&gt;"",$R1118='تقرير مارس'!$C$4,$P1118='تقرير مارس'!$C$6),COUNT(AC$4:AC1117)+1,"")</f>
        <v/>
      </c>
      <c r="AD1118">
        <f>IF(AND($A1118&lt;&gt;"",$B1118&lt;&gt;"",$R1118='تقرير أبريل'!$C$4,$P1118='تقرير أبريل'!$C$6),COUNT(AD$4:AD1117)+1,"")</f>
        <v/>
      </c>
      <c r="AE1118">
        <f>IF(AND($A1118&lt;&gt;"",$B1118&lt;&gt;"",$R1118='تقرير مايو'!$C$4,$P1118='تقرير مايو'!$C$6),COUNT(AE$4:AE1117)+1,"")</f>
        <v/>
      </c>
    </row>
    <row r="1119">
      <c r="A1119" s="16" t="n"/>
      <c r="B1119" s="17" t="n"/>
      <c r="C1119" s="17" t="n"/>
      <c r="D1119" s="18" t="n"/>
      <c r="E1119" s="17" t="n"/>
      <c r="F1119" s="17" t="n"/>
      <c r="G1119" s="19" t="n"/>
      <c r="H1119" s="17" t="n"/>
      <c r="I1119" s="17" t="n"/>
      <c r="J1119" s="17" t="n"/>
      <c r="K1119" s="20">
        <f>IF($B1119="","",IFERROR(INDEX(الموظفات!$A$5:$A$304,MATCH($B1119,الموظفات!$B$5:$B$304,0))&amp;"",""))</f>
        <v/>
      </c>
      <c r="L1119" s="21">
        <f>IF($B1119="","",IFERROR(INDEX(الموظفات!$C$5:$C$304,MATCH($B1119,الموظفات!$B$5:$B$304,0))&amp;"",""))</f>
        <v/>
      </c>
      <c r="M1119" s="20">
        <f>IF($B1119="","",IFERROR(INDEX(الموظفات!$D$5:$D$304,MATCH($B1119,الموظفات!$B$5:$B$304,0))&amp;"",""))</f>
        <v/>
      </c>
      <c r="N1119" s="20">
        <f>IF($B1119="","",IFERROR(INDEX(الموظفات!$E$5:$E$304,MATCH($B1119,الموظفات!$B$5:$B$304,0))&amp;"",""))</f>
        <v/>
      </c>
      <c r="O1119" s="21">
        <f>IF(C1119="","",IFERROR(INDEX(الإعدادات!$D$7:$D$35,MATCH(C1119,الإعدادات!$A$7:$A$35,0))&amp;"",""))</f>
        <v/>
      </c>
      <c r="P1119" s="20">
        <f>IF(A1119="","",INDEX(الإعدادات!$H$7:$H$18,MONTH(A1119)))</f>
        <v/>
      </c>
      <c r="Q1119" s="20">
        <f>IF(A1119="","",INDEX(الإعدادات!$I$7:$I$18,MONTH(A1119)))</f>
        <v/>
      </c>
      <c r="R1119" s="20">
        <f>IF(A1119="","",IF(MONTH(A1119)&gt;=8,YEAR(A1119)&amp;"-"&amp;(YEAR(A1119)+1),(YEAR(A1119)-1)&amp;"-"&amp;YEAR(A1119)))</f>
        <v/>
      </c>
      <c r="S1119" s="20">
        <f>IF(OR(A1119="",B1119=""),0,IF(AND(R1119=التقارير!$C$4,OR(التقارير!$C$5="سنوي",AND(التقارير!$C$5="شهري",P1119=التقارير!$C$6),AND(التقارير!$C$5="فصلي",Q1119=التقارير!$C$7))),1,0))</f>
        <v/>
      </c>
      <c r="T1119" s="20">
        <f>IF(S1119=1,COUNTIF($S$5:S1119,1),"")</f>
        <v/>
      </c>
      <c r="U1119">
        <f>IF(AND($A1119&lt;&gt;"",$B1119&lt;&gt;"",$R1119='تقرير الفصل الأول'!$C$4,$Q1119='تقرير الفصل الأول'!$C$7),COUNT(U$4:U1118)+1,"")</f>
        <v/>
      </c>
      <c r="V1119">
        <f>IF(AND($A1119&lt;&gt;"",$B1119&lt;&gt;"",$R1119='تقرير الفصل الثاني'!$C$4,$Q1119='تقرير الفصل الثاني'!$C$7),COUNT(V$4:V1118)+1,"")</f>
        <v/>
      </c>
      <c r="W1119">
        <f>IF(AND($A1119&lt;&gt;"",$B1119&lt;&gt;"",$R1119='تقرير سبتمبر'!$C$4,$P1119='تقرير سبتمبر'!$C$6),COUNT(W$4:W1118)+1,"")</f>
        <v/>
      </c>
      <c r="X1119">
        <f>IF(AND($A1119&lt;&gt;"",$B1119&lt;&gt;"",$R1119='تقرير أكتوبر'!$C$4,$P1119='تقرير أكتوبر'!$C$6),COUNT(X$4:X1118)+1,"")</f>
        <v/>
      </c>
      <c r="Y1119">
        <f>IF(AND($A1119&lt;&gt;"",$B1119&lt;&gt;"",$R1119='تقرير نوفمبر'!$C$4,$P1119='تقرير نوفمبر'!$C$6),COUNT(Y$4:Y1118)+1,"")</f>
        <v/>
      </c>
      <c r="Z1119">
        <f>IF(AND($A1119&lt;&gt;"",$B1119&lt;&gt;"",$R1119='تقرير ديسمبر'!$C$4,$P1119='تقرير ديسمبر'!$C$6),COUNT(Z$4:Z1118)+1,"")</f>
        <v/>
      </c>
      <c r="AA1119">
        <f>IF(AND($A1119&lt;&gt;"",$B1119&lt;&gt;"",$R1119='تقرير يناير'!$C$4,$P1119='تقرير يناير'!$C$6),COUNT(AA$4:AA1118)+1,"")</f>
        <v/>
      </c>
      <c r="AB1119">
        <f>IF(AND($A1119&lt;&gt;"",$B1119&lt;&gt;"",$R1119='تقرير فبراير'!$C$4,$P1119='تقرير فبراير'!$C$6),COUNT(AB$4:AB1118)+1,"")</f>
        <v/>
      </c>
      <c r="AC1119">
        <f>IF(AND($A1119&lt;&gt;"",$B1119&lt;&gt;"",$R1119='تقرير مارس'!$C$4,$P1119='تقرير مارس'!$C$6),COUNT(AC$4:AC1118)+1,"")</f>
        <v/>
      </c>
      <c r="AD1119">
        <f>IF(AND($A1119&lt;&gt;"",$B1119&lt;&gt;"",$R1119='تقرير أبريل'!$C$4,$P1119='تقرير أبريل'!$C$6),COUNT(AD$4:AD1118)+1,"")</f>
        <v/>
      </c>
      <c r="AE1119">
        <f>IF(AND($A1119&lt;&gt;"",$B1119&lt;&gt;"",$R1119='تقرير مايو'!$C$4,$P1119='تقرير مايو'!$C$6),COUNT(AE$4:AE1118)+1,"")</f>
        <v/>
      </c>
    </row>
    <row r="1120">
      <c r="A1120" s="16" t="n"/>
      <c r="B1120" s="17" t="n"/>
      <c r="C1120" s="17" t="n"/>
      <c r="D1120" s="18" t="n"/>
      <c r="E1120" s="17" t="n"/>
      <c r="F1120" s="17" t="n"/>
      <c r="G1120" s="19" t="n"/>
      <c r="H1120" s="17" t="n"/>
      <c r="I1120" s="17" t="n"/>
      <c r="J1120" s="17" t="n"/>
      <c r="K1120" s="20">
        <f>IF($B1120="","",IFERROR(INDEX(الموظفات!$A$5:$A$304,MATCH($B1120,الموظفات!$B$5:$B$304,0))&amp;"",""))</f>
        <v/>
      </c>
      <c r="L1120" s="21">
        <f>IF($B1120="","",IFERROR(INDEX(الموظفات!$C$5:$C$304,MATCH($B1120,الموظفات!$B$5:$B$304,0))&amp;"",""))</f>
        <v/>
      </c>
      <c r="M1120" s="20">
        <f>IF($B1120="","",IFERROR(INDEX(الموظفات!$D$5:$D$304,MATCH($B1120,الموظفات!$B$5:$B$304,0))&amp;"",""))</f>
        <v/>
      </c>
      <c r="N1120" s="20">
        <f>IF($B1120="","",IFERROR(INDEX(الموظفات!$E$5:$E$304,MATCH($B1120,الموظفات!$B$5:$B$304,0))&amp;"",""))</f>
        <v/>
      </c>
      <c r="O1120" s="21">
        <f>IF(C1120="","",IFERROR(INDEX(الإعدادات!$D$7:$D$35,MATCH(C1120,الإعدادات!$A$7:$A$35,0))&amp;"",""))</f>
        <v/>
      </c>
      <c r="P1120" s="20">
        <f>IF(A1120="","",INDEX(الإعدادات!$H$7:$H$18,MONTH(A1120)))</f>
        <v/>
      </c>
      <c r="Q1120" s="20">
        <f>IF(A1120="","",INDEX(الإعدادات!$I$7:$I$18,MONTH(A1120)))</f>
        <v/>
      </c>
      <c r="R1120" s="20">
        <f>IF(A1120="","",IF(MONTH(A1120)&gt;=8,YEAR(A1120)&amp;"-"&amp;(YEAR(A1120)+1),(YEAR(A1120)-1)&amp;"-"&amp;YEAR(A1120)))</f>
        <v/>
      </c>
      <c r="S1120" s="20">
        <f>IF(OR(A1120="",B1120=""),0,IF(AND(R1120=التقارير!$C$4,OR(التقارير!$C$5="سنوي",AND(التقارير!$C$5="شهري",P1120=التقارير!$C$6),AND(التقارير!$C$5="فصلي",Q1120=التقارير!$C$7))),1,0))</f>
        <v/>
      </c>
      <c r="T1120" s="20">
        <f>IF(S1120=1,COUNTIF($S$5:S1120,1),"")</f>
        <v/>
      </c>
      <c r="U1120">
        <f>IF(AND($A1120&lt;&gt;"",$B1120&lt;&gt;"",$R1120='تقرير الفصل الأول'!$C$4,$Q1120='تقرير الفصل الأول'!$C$7),COUNT(U$4:U1119)+1,"")</f>
        <v/>
      </c>
      <c r="V1120">
        <f>IF(AND($A1120&lt;&gt;"",$B1120&lt;&gt;"",$R1120='تقرير الفصل الثاني'!$C$4,$Q1120='تقرير الفصل الثاني'!$C$7),COUNT(V$4:V1119)+1,"")</f>
        <v/>
      </c>
      <c r="W1120">
        <f>IF(AND($A1120&lt;&gt;"",$B1120&lt;&gt;"",$R1120='تقرير سبتمبر'!$C$4,$P1120='تقرير سبتمبر'!$C$6),COUNT(W$4:W1119)+1,"")</f>
        <v/>
      </c>
      <c r="X1120">
        <f>IF(AND($A1120&lt;&gt;"",$B1120&lt;&gt;"",$R1120='تقرير أكتوبر'!$C$4,$P1120='تقرير أكتوبر'!$C$6),COUNT(X$4:X1119)+1,"")</f>
        <v/>
      </c>
      <c r="Y1120">
        <f>IF(AND($A1120&lt;&gt;"",$B1120&lt;&gt;"",$R1120='تقرير نوفمبر'!$C$4,$P1120='تقرير نوفمبر'!$C$6),COUNT(Y$4:Y1119)+1,"")</f>
        <v/>
      </c>
      <c r="Z1120">
        <f>IF(AND($A1120&lt;&gt;"",$B1120&lt;&gt;"",$R1120='تقرير ديسمبر'!$C$4,$P1120='تقرير ديسمبر'!$C$6),COUNT(Z$4:Z1119)+1,"")</f>
        <v/>
      </c>
      <c r="AA1120">
        <f>IF(AND($A1120&lt;&gt;"",$B1120&lt;&gt;"",$R1120='تقرير يناير'!$C$4,$P1120='تقرير يناير'!$C$6),COUNT(AA$4:AA1119)+1,"")</f>
        <v/>
      </c>
      <c r="AB1120">
        <f>IF(AND($A1120&lt;&gt;"",$B1120&lt;&gt;"",$R1120='تقرير فبراير'!$C$4,$P1120='تقرير فبراير'!$C$6),COUNT(AB$4:AB1119)+1,"")</f>
        <v/>
      </c>
      <c r="AC1120">
        <f>IF(AND($A1120&lt;&gt;"",$B1120&lt;&gt;"",$R1120='تقرير مارس'!$C$4,$P1120='تقرير مارس'!$C$6),COUNT(AC$4:AC1119)+1,"")</f>
        <v/>
      </c>
      <c r="AD1120">
        <f>IF(AND($A1120&lt;&gt;"",$B1120&lt;&gt;"",$R1120='تقرير أبريل'!$C$4,$P1120='تقرير أبريل'!$C$6),COUNT(AD$4:AD1119)+1,"")</f>
        <v/>
      </c>
      <c r="AE1120">
        <f>IF(AND($A1120&lt;&gt;"",$B1120&lt;&gt;"",$R1120='تقرير مايو'!$C$4,$P1120='تقرير مايو'!$C$6),COUNT(AE$4:AE1119)+1,"")</f>
        <v/>
      </c>
    </row>
    <row r="1121">
      <c r="A1121" s="16" t="n"/>
      <c r="B1121" s="17" t="n"/>
      <c r="C1121" s="17" t="n"/>
      <c r="D1121" s="18" t="n"/>
      <c r="E1121" s="17" t="n"/>
      <c r="F1121" s="17" t="n"/>
      <c r="G1121" s="19" t="n"/>
      <c r="H1121" s="17" t="n"/>
      <c r="I1121" s="17" t="n"/>
      <c r="J1121" s="17" t="n"/>
      <c r="K1121" s="20">
        <f>IF($B1121="","",IFERROR(INDEX(الموظفات!$A$5:$A$304,MATCH($B1121,الموظفات!$B$5:$B$304,0))&amp;"",""))</f>
        <v/>
      </c>
      <c r="L1121" s="21">
        <f>IF($B1121="","",IFERROR(INDEX(الموظفات!$C$5:$C$304,MATCH($B1121,الموظفات!$B$5:$B$304,0))&amp;"",""))</f>
        <v/>
      </c>
      <c r="M1121" s="20">
        <f>IF($B1121="","",IFERROR(INDEX(الموظفات!$D$5:$D$304,MATCH($B1121,الموظفات!$B$5:$B$304,0))&amp;"",""))</f>
        <v/>
      </c>
      <c r="N1121" s="20">
        <f>IF($B1121="","",IFERROR(INDEX(الموظفات!$E$5:$E$304,MATCH($B1121,الموظفات!$B$5:$B$304,0))&amp;"",""))</f>
        <v/>
      </c>
      <c r="O1121" s="21">
        <f>IF(C1121="","",IFERROR(INDEX(الإعدادات!$D$7:$D$35,MATCH(C1121,الإعدادات!$A$7:$A$35,0))&amp;"",""))</f>
        <v/>
      </c>
      <c r="P1121" s="20">
        <f>IF(A1121="","",INDEX(الإعدادات!$H$7:$H$18,MONTH(A1121)))</f>
        <v/>
      </c>
      <c r="Q1121" s="20">
        <f>IF(A1121="","",INDEX(الإعدادات!$I$7:$I$18,MONTH(A1121)))</f>
        <v/>
      </c>
      <c r="R1121" s="20">
        <f>IF(A1121="","",IF(MONTH(A1121)&gt;=8,YEAR(A1121)&amp;"-"&amp;(YEAR(A1121)+1),(YEAR(A1121)-1)&amp;"-"&amp;YEAR(A1121)))</f>
        <v/>
      </c>
      <c r="S1121" s="20">
        <f>IF(OR(A1121="",B1121=""),0,IF(AND(R1121=التقارير!$C$4,OR(التقارير!$C$5="سنوي",AND(التقارير!$C$5="شهري",P1121=التقارير!$C$6),AND(التقارير!$C$5="فصلي",Q1121=التقارير!$C$7))),1,0))</f>
        <v/>
      </c>
      <c r="T1121" s="20">
        <f>IF(S1121=1,COUNTIF($S$5:S1121,1),"")</f>
        <v/>
      </c>
      <c r="U1121">
        <f>IF(AND($A1121&lt;&gt;"",$B1121&lt;&gt;"",$R1121='تقرير الفصل الأول'!$C$4,$Q1121='تقرير الفصل الأول'!$C$7),COUNT(U$4:U1120)+1,"")</f>
        <v/>
      </c>
      <c r="V1121">
        <f>IF(AND($A1121&lt;&gt;"",$B1121&lt;&gt;"",$R1121='تقرير الفصل الثاني'!$C$4,$Q1121='تقرير الفصل الثاني'!$C$7),COUNT(V$4:V1120)+1,"")</f>
        <v/>
      </c>
      <c r="W1121">
        <f>IF(AND($A1121&lt;&gt;"",$B1121&lt;&gt;"",$R1121='تقرير سبتمبر'!$C$4,$P1121='تقرير سبتمبر'!$C$6),COUNT(W$4:W1120)+1,"")</f>
        <v/>
      </c>
      <c r="X1121">
        <f>IF(AND($A1121&lt;&gt;"",$B1121&lt;&gt;"",$R1121='تقرير أكتوبر'!$C$4,$P1121='تقرير أكتوبر'!$C$6),COUNT(X$4:X1120)+1,"")</f>
        <v/>
      </c>
      <c r="Y1121">
        <f>IF(AND($A1121&lt;&gt;"",$B1121&lt;&gt;"",$R1121='تقرير نوفمبر'!$C$4,$P1121='تقرير نوفمبر'!$C$6),COUNT(Y$4:Y1120)+1,"")</f>
        <v/>
      </c>
      <c r="Z1121">
        <f>IF(AND($A1121&lt;&gt;"",$B1121&lt;&gt;"",$R1121='تقرير ديسمبر'!$C$4,$P1121='تقرير ديسمبر'!$C$6),COUNT(Z$4:Z1120)+1,"")</f>
        <v/>
      </c>
      <c r="AA1121">
        <f>IF(AND($A1121&lt;&gt;"",$B1121&lt;&gt;"",$R1121='تقرير يناير'!$C$4,$P1121='تقرير يناير'!$C$6),COUNT(AA$4:AA1120)+1,"")</f>
        <v/>
      </c>
      <c r="AB1121">
        <f>IF(AND($A1121&lt;&gt;"",$B1121&lt;&gt;"",$R1121='تقرير فبراير'!$C$4,$P1121='تقرير فبراير'!$C$6),COUNT(AB$4:AB1120)+1,"")</f>
        <v/>
      </c>
      <c r="AC1121">
        <f>IF(AND($A1121&lt;&gt;"",$B1121&lt;&gt;"",$R1121='تقرير مارس'!$C$4,$P1121='تقرير مارس'!$C$6),COUNT(AC$4:AC1120)+1,"")</f>
        <v/>
      </c>
      <c r="AD1121">
        <f>IF(AND($A1121&lt;&gt;"",$B1121&lt;&gt;"",$R1121='تقرير أبريل'!$C$4,$P1121='تقرير أبريل'!$C$6),COUNT(AD$4:AD1120)+1,"")</f>
        <v/>
      </c>
      <c r="AE1121">
        <f>IF(AND($A1121&lt;&gt;"",$B1121&lt;&gt;"",$R1121='تقرير مايو'!$C$4,$P1121='تقرير مايو'!$C$6),COUNT(AE$4:AE1120)+1,"")</f>
        <v/>
      </c>
    </row>
    <row r="1122">
      <c r="A1122" s="16" t="n"/>
      <c r="B1122" s="17" t="n"/>
      <c r="C1122" s="17" t="n"/>
      <c r="D1122" s="18" t="n"/>
      <c r="E1122" s="17" t="n"/>
      <c r="F1122" s="17" t="n"/>
      <c r="G1122" s="19" t="n"/>
      <c r="H1122" s="17" t="n"/>
      <c r="I1122" s="17" t="n"/>
      <c r="J1122" s="17" t="n"/>
      <c r="K1122" s="20">
        <f>IF($B1122="","",IFERROR(INDEX(الموظفات!$A$5:$A$304,MATCH($B1122,الموظفات!$B$5:$B$304,0))&amp;"",""))</f>
        <v/>
      </c>
      <c r="L1122" s="21">
        <f>IF($B1122="","",IFERROR(INDEX(الموظفات!$C$5:$C$304,MATCH($B1122,الموظفات!$B$5:$B$304,0))&amp;"",""))</f>
        <v/>
      </c>
      <c r="M1122" s="20">
        <f>IF($B1122="","",IFERROR(INDEX(الموظفات!$D$5:$D$304,MATCH($B1122,الموظفات!$B$5:$B$304,0))&amp;"",""))</f>
        <v/>
      </c>
      <c r="N1122" s="20">
        <f>IF($B1122="","",IFERROR(INDEX(الموظفات!$E$5:$E$304,MATCH($B1122,الموظفات!$B$5:$B$304,0))&amp;"",""))</f>
        <v/>
      </c>
      <c r="O1122" s="21">
        <f>IF(C1122="","",IFERROR(INDEX(الإعدادات!$D$7:$D$35,MATCH(C1122,الإعدادات!$A$7:$A$35,0))&amp;"",""))</f>
        <v/>
      </c>
      <c r="P1122" s="20">
        <f>IF(A1122="","",INDEX(الإعدادات!$H$7:$H$18,MONTH(A1122)))</f>
        <v/>
      </c>
      <c r="Q1122" s="20">
        <f>IF(A1122="","",INDEX(الإعدادات!$I$7:$I$18,MONTH(A1122)))</f>
        <v/>
      </c>
      <c r="R1122" s="20">
        <f>IF(A1122="","",IF(MONTH(A1122)&gt;=8,YEAR(A1122)&amp;"-"&amp;(YEAR(A1122)+1),(YEAR(A1122)-1)&amp;"-"&amp;YEAR(A1122)))</f>
        <v/>
      </c>
      <c r="S1122" s="20">
        <f>IF(OR(A1122="",B1122=""),0,IF(AND(R1122=التقارير!$C$4,OR(التقارير!$C$5="سنوي",AND(التقارير!$C$5="شهري",P1122=التقارير!$C$6),AND(التقارير!$C$5="فصلي",Q1122=التقارير!$C$7))),1,0))</f>
        <v/>
      </c>
      <c r="T1122" s="20">
        <f>IF(S1122=1,COUNTIF($S$5:S1122,1),"")</f>
        <v/>
      </c>
      <c r="U1122">
        <f>IF(AND($A1122&lt;&gt;"",$B1122&lt;&gt;"",$R1122='تقرير الفصل الأول'!$C$4,$Q1122='تقرير الفصل الأول'!$C$7),COUNT(U$4:U1121)+1,"")</f>
        <v/>
      </c>
      <c r="V1122">
        <f>IF(AND($A1122&lt;&gt;"",$B1122&lt;&gt;"",$R1122='تقرير الفصل الثاني'!$C$4,$Q1122='تقرير الفصل الثاني'!$C$7),COUNT(V$4:V1121)+1,"")</f>
        <v/>
      </c>
      <c r="W1122">
        <f>IF(AND($A1122&lt;&gt;"",$B1122&lt;&gt;"",$R1122='تقرير سبتمبر'!$C$4,$P1122='تقرير سبتمبر'!$C$6),COUNT(W$4:W1121)+1,"")</f>
        <v/>
      </c>
      <c r="X1122">
        <f>IF(AND($A1122&lt;&gt;"",$B1122&lt;&gt;"",$R1122='تقرير أكتوبر'!$C$4,$P1122='تقرير أكتوبر'!$C$6),COUNT(X$4:X1121)+1,"")</f>
        <v/>
      </c>
      <c r="Y1122">
        <f>IF(AND($A1122&lt;&gt;"",$B1122&lt;&gt;"",$R1122='تقرير نوفمبر'!$C$4,$P1122='تقرير نوفمبر'!$C$6),COUNT(Y$4:Y1121)+1,"")</f>
        <v/>
      </c>
      <c r="Z1122">
        <f>IF(AND($A1122&lt;&gt;"",$B1122&lt;&gt;"",$R1122='تقرير ديسمبر'!$C$4,$P1122='تقرير ديسمبر'!$C$6),COUNT(Z$4:Z1121)+1,"")</f>
        <v/>
      </c>
      <c r="AA1122">
        <f>IF(AND($A1122&lt;&gt;"",$B1122&lt;&gt;"",$R1122='تقرير يناير'!$C$4,$P1122='تقرير يناير'!$C$6),COUNT(AA$4:AA1121)+1,"")</f>
        <v/>
      </c>
      <c r="AB1122">
        <f>IF(AND($A1122&lt;&gt;"",$B1122&lt;&gt;"",$R1122='تقرير فبراير'!$C$4,$P1122='تقرير فبراير'!$C$6),COUNT(AB$4:AB1121)+1,"")</f>
        <v/>
      </c>
      <c r="AC1122">
        <f>IF(AND($A1122&lt;&gt;"",$B1122&lt;&gt;"",$R1122='تقرير مارس'!$C$4,$P1122='تقرير مارس'!$C$6),COUNT(AC$4:AC1121)+1,"")</f>
        <v/>
      </c>
      <c r="AD1122">
        <f>IF(AND($A1122&lt;&gt;"",$B1122&lt;&gt;"",$R1122='تقرير أبريل'!$C$4,$P1122='تقرير أبريل'!$C$6),COUNT(AD$4:AD1121)+1,"")</f>
        <v/>
      </c>
      <c r="AE1122">
        <f>IF(AND($A1122&lt;&gt;"",$B1122&lt;&gt;"",$R1122='تقرير مايو'!$C$4,$P1122='تقرير مايو'!$C$6),COUNT(AE$4:AE1121)+1,"")</f>
        <v/>
      </c>
    </row>
    <row r="1123">
      <c r="A1123" s="16" t="n"/>
      <c r="B1123" s="17" t="n"/>
      <c r="C1123" s="17" t="n"/>
      <c r="D1123" s="18" t="n"/>
      <c r="E1123" s="17" t="n"/>
      <c r="F1123" s="17" t="n"/>
      <c r="G1123" s="19" t="n"/>
      <c r="H1123" s="17" t="n"/>
      <c r="I1123" s="17" t="n"/>
      <c r="J1123" s="17" t="n"/>
      <c r="K1123" s="20">
        <f>IF($B1123="","",IFERROR(INDEX(الموظفات!$A$5:$A$304,MATCH($B1123,الموظفات!$B$5:$B$304,0))&amp;"",""))</f>
        <v/>
      </c>
      <c r="L1123" s="21">
        <f>IF($B1123="","",IFERROR(INDEX(الموظفات!$C$5:$C$304,MATCH($B1123,الموظفات!$B$5:$B$304,0))&amp;"",""))</f>
        <v/>
      </c>
      <c r="M1123" s="20">
        <f>IF($B1123="","",IFERROR(INDEX(الموظفات!$D$5:$D$304,MATCH($B1123,الموظفات!$B$5:$B$304,0))&amp;"",""))</f>
        <v/>
      </c>
      <c r="N1123" s="20">
        <f>IF($B1123="","",IFERROR(INDEX(الموظفات!$E$5:$E$304,MATCH($B1123,الموظفات!$B$5:$B$304,0))&amp;"",""))</f>
        <v/>
      </c>
      <c r="O1123" s="21">
        <f>IF(C1123="","",IFERROR(INDEX(الإعدادات!$D$7:$D$35,MATCH(C1123,الإعدادات!$A$7:$A$35,0))&amp;"",""))</f>
        <v/>
      </c>
      <c r="P1123" s="20">
        <f>IF(A1123="","",INDEX(الإعدادات!$H$7:$H$18,MONTH(A1123)))</f>
        <v/>
      </c>
      <c r="Q1123" s="20">
        <f>IF(A1123="","",INDEX(الإعدادات!$I$7:$I$18,MONTH(A1123)))</f>
        <v/>
      </c>
      <c r="R1123" s="20">
        <f>IF(A1123="","",IF(MONTH(A1123)&gt;=8,YEAR(A1123)&amp;"-"&amp;(YEAR(A1123)+1),(YEAR(A1123)-1)&amp;"-"&amp;YEAR(A1123)))</f>
        <v/>
      </c>
      <c r="S1123" s="20">
        <f>IF(OR(A1123="",B1123=""),0,IF(AND(R1123=التقارير!$C$4,OR(التقارير!$C$5="سنوي",AND(التقارير!$C$5="شهري",P1123=التقارير!$C$6),AND(التقارير!$C$5="فصلي",Q1123=التقارير!$C$7))),1,0))</f>
        <v/>
      </c>
      <c r="T1123" s="20">
        <f>IF(S1123=1,COUNTIF($S$5:S1123,1),"")</f>
        <v/>
      </c>
      <c r="U1123">
        <f>IF(AND($A1123&lt;&gt;"",$B1123&lt;&gt;"",$R1123='تقرير الفصل الأول'!$C$4,$Q1123='تقرير الفصل الأول'!$C$7),COUNT(U$4:U1122)+1,"")</f>
        <v/>
      </c>
      <c r="V1123">
        <f>IF(AND($A1123&lt;&gt;"",$B1123&lt;&gt;"",$R1123='تقرير الفصل الثاني'!$C$4,$Q1123='تقرير الفصل الثاني'!$C$7),COUNT(V$4:V1122)+1,"")</f>
        <v/>
      </c>
      <c r="W1123">
        <f>IF(AND($A1123&lt;&gt;"",$B1123&lt;&gt;"",$R1123='تقرير سبتمبر'!$C$4,$P1123='تقرير سبتمبر'!$C$6),COUNT(W$4:W1122)+1,"")</f>
        <v/>
      </c>
      <c r="X1123">
        <f>IF(AND($A1123&lt;&gt;"",$B1123&lt;&gt;"",$R1123='تقرير أكتوبر'!$C$4,$P1123='تقرير أكتوبر'!$C$6),COUNT(X$4:X1122)+1,"")</f>
        <v/>
      </c>
      <c r="Y1123">
        <f>IF(AND($A1123&lt;&gt;"",$B1123&lt;&gt;"",$R1123='تقرير نوفمبر'!$C$4,$P1123='تقرير نوفمبر'!$C$6),COUNT(Y$4:Y1122)+1,"")</f>
        <v/>
      </c>
      <c r="Z1123">
        <f>IF(AND($A1123&lt;&gt;"",$B1123&lt;&gt;"",$R1123='تقرير ديسمبر'!$C$4,$P1123='تقرير ديسمبر'!$C$6),COUNT(Z$4:Z1122)+1,"")</f>
        <v/>
      </c>
      <c r="AA1123">
        <f>IF(AND($A1123&lt;&gt;"",$B1123&lt;&gt;"",$R1123='تقرير يناير'!$C$4,$P1123='تقرير يناير'!$C$6),COUNT(AA$4:AA1122)+1,"")</f>
        <v/>
      </c>
      <c r="AB1123">
        <f>IF(AND($A1123&lt;&gt;"",$B1123&lt;&gt;"",$R1123='تقرير فبراير'!$C$4,$P1123='تقرير فبراير'!$C$6),COUNT(AB$4:AB1122)+1,"")</f>
        <v/>
      </c>
      <c r="AC1123">
        <f>IF(AND($A1123&lt;&gt;"",$B1123&lt;&gt;"",$R1123='تقرير مارس'!$C$4,$P1123='تقرير مارس'!$C$6),COUNT(AC$4:AC1122)+1,"")</f>
        <v/>
      </c>
      <c r="AD1123">
        <f>IF(AND($A1123&lt;&gt;"",$B1123&lt;&gt;"",$R1123='تقرير أبريل'!$C$4,$P1123='تقرير أبريل'!$C$6),COUNT(AD$4:AD1122)+1,"")</f>
        <v/>
      </c>
      <c r="AE1123">
        <f>IF(AND($A1123&lt;&gt;"",$B1123&lt;&gt;"",$R1123='تقرير مايو'!$C$4,$P1123='تقرير مايو'!$C$6),COUNT(AE$4:AE1122)+1,"")</f>
        <v/>
      </c>
    </row>
    <row r="1124">
      <c r="A1124" s="16" t="n"/>
      <c r="B1124" s="17" t="n"/>
      <c r="C1124" s="17" t="n"/>
      <c r="D1124" s="18" t="n"/>
      <c r="E1124" s="17" t="n"/>
      <c r="F1124" s="17" t="n"/>
      <c r="G1124" s="19" t="n"/>
      <c r="H1124" s="17" t="n"/>
      <c r="I1124" s="17" t="n"/>
      <c r="J1124" s="17" t="n"/>
      <c r="K1124" s="20">
        <f>IF($B1124="","",IFERROR(INDEX(الموظفات!$A$5:$A$304,MATCH($B1124,الموظفات!$B$5:$B$304,0))&amp;"",""))</f>
        <v/>
      </c>
      <c r="L1124" s="21">
        <f>IF($B1124="","",IFERROR(INDEX(الموظفات!$C$5:$C$304,MATCH($B1124,الموظفات!$B$5:$B$304,0))&amp;"",""))</f>
        <v/>
      </c>
      <c r="M1124" s="20">
        <f>IF($B1124="","",IFERROR(INDEX(الموظفات!$D$5:$D$304,MATCH($B1124,الموظفات!$B$5:$B$304,0))&amp;"",""))</f>
        <v/>
      </c>
      <c r="N1124" s="20">
        <f>IF($B1124="","",IFERROR(INDEX(الموظفات!$E$5:$E$304,MATCH($B1124,الموظفات!$B$5:$B$304,0))&amp;"",""))</f>
        <v/>
      </c>
      <c r="O1124" s="21">
        <f>IF(C1124="","",IFERROR(INDEX(الإعدادات!$D$7:$D$35,MATCH(C1124,الإعدادات!$A$7:$A$35,0))&amp;"",""))</f>
        <v/>
      </c>
      <c r="P1124" s="20">
        <f>IF(A1124="","",INDEX(الإعدادات!$H$7:$H$18,MONTH(A1124)))</f>
        <v/>
      </c>
      <c r="Q1124" s="20">
        <f>IF(A1124="","",INDEX(الإعدادات!$I$7:$I$18,MONTH(A1124)))</f>
        <v/>
      </c>
      <c r="R1124" s="20">
        <f>IF(A1124="","",IF(MONTH(A1124)&gt;=8,YEAR(A1124)&amp;"-"&amp;(YEAR(A1124)+1),(YEAR(A1124)-1)&amp;"-"&amp;YEAR(A1124)))</f>
        <v/>
      </c>
      <c r="S1124" s="20">
        <f>IF(OR(A1124="",B1124=""),0,IF(AND(R1124=التقارير!$C$4,OR(التقارير!$C$5="سنوي",AND(التقارير!$C$5="شهري",P1124=التقارير!$C$6),AND(التقارير!$C$5="فصلي",Q1124=التقارير!$C$7))),1,0))</f>
        <v/>
      </c>
      <c r="T1124" s="20">
        <f>IF(S1124=1,COUNTIF($S$5:S1124,1),"")</f>
        <v/>
      </c>
      <c r="U1124">
        <f>IF(AND($A1124&lt;&gt;"",$B1124&lt;&gt;"",$R1124='تقرير الفصل الأول'!$C$4,$Q1124='تقرير الفصل الأول'!$C$7),COUNT(U$4:U1123)+1,"")</f>
        <v/>
      </c>
      <c r="V1124">
        <f>IF(AND($A1124&lt;&gt;"",$B1124&lt;&gt;"",$R1124='تقرير الفصل الثاني'!$C$4,$Q1124='تقرير الفصل الثاني'!$C$7),COUNT(V$4:V1123)+1,"")</f>
        <v/>
      </c>
      <c r="W1124">
        <f>IF(AND($A1124&lt;&gt;"",$B1124&lt;&gt;"",$R1124='تقرير سبتمبر'!$C$4,$P1124='تقرير سبتمبر'!$C$6),COUNT(W$4:W1123)+1,"")</f>
        <v/>
      </c>
      <c r="X1124">
        <f>IF(AND($A1124&lt;&gt;"",$B1124&lt;&gt;"",$R1124='تقرير أكتوبر'!$C$4,$P1124='تقرير أكتوبر'!$C$6),COUNT(X$4:X1123)+1,"")</f>
        <v/>
      </c>
      <c r="Y1124">
        <f>IF(AND($A1124&lt;&gt;"",$B1124&lt;&gt;"",$R1124='تقرير نوفمبر'!$C$4,$P1124='تقرير نوفمبر'!$C$6),COUNT(Y$4:Y1123)+1,"")</f>
        <v/>
      </c>
      <c r="Z1124">
        <f>IF(AND($A1124&lt;&gt;"",$B1124&lt;&gt;"",$R1124='تقرير ديسمبر'!$C$4,$P1124='تقرير ديسمبر'!$C$6),COUNT(Z$4:Z1123)+1,"")</f>
        <v/>
      </c>
      <c r="AA1124">
        <f>IF(AND($A1124&lt;&gt;"",$B1124&lt;&gt;"",$R1124='تقرير يناير'!$C$4,$P1124='تقرير يناير'!$C$6),COUNT(AA$4:AA1123)+1,"")</f>
        <v/>
      </c>
      <c r="AB1124">
        <f>IF(AND($A1124&lt;&gt;"",$B1124&lt;&gt;"",$R1124='تقرير فبراير'!$C$4,$P1124='تقرير فبراير'!$C$6),COUNT(AB$4:AB1123)+1,"")</f>
        <v/>
      </c>
      <c r="AC1124">
        <f>IF(AND($A1124&lt;&gt;"",$B1124&lt;&gt;"",$R1124='تقرير مارس'!$C$4,$P1124='تقرير مارس'!$C$6),COUNT(AC$4:AC1123)+1,"")</f>
        <v/>
      </c>
      <c r="AD1124">
        <f>IF(AND($A1124&lt;&gt;"",$B1124&lt;&gt;"",$R1124='تقرير أبريل'!$C$4,$P1124='تقرير أبريل'!$C$6),COUNT(AD$4:AD1123)+1,"")</f>
        <v/>
      </c>
      <c r="AE1124">
        <f>IF(AND($A1124&lt;&gt;"",$B1124&lt;&gt;"",$R1124='تقرير مايو'!$C$4,$P1124='تقرير مايو'!$C$6),COUNT(AE$4:AE1123)+1,"")</f>
        <v/>
      </c>
    </row>
    <row r="1125">
      <c r="A1125" s="16" t="n"/>
      <c r="B1125" s="17" t="n"/>
      <c r="C1125" s="17" t="n"/>
      <c r="D1125" s="18" t="n"/>
      <c r="E1125" s="17" t="n"/>
      <c r="F1125" s="17" t="n"/>
      <c r="G1125" s="19" t="n"/>
      <c r="H1125" s="17" t="n"/>
      <c r="I1125" s="17" t="n"/>
      <c r="J1125" s="17" t="n"/>
      <c r="K1125" s="20">
        <f>IF($B1125="","",IFERROR(INDEX(الموظفات!$A$5:$A$304,MATCH($B1125,الموظفات!$B$5:$B$304,0))&amp;"",""))</f>
        <v/>
      </c>
      <c r="L1125" s="21">
        <f>IF($B1125="","",IFERROR(INDEX(الموظفات!$C$5:$C$304,MATCH($B1125,الموظفات!$B$5:$B$304,0))&amp;"",""))</f>
        <v/>
      </c>
      <c r="M1125" s="20">
        <f>IF($B1125="","",IFERROR(INDEX(الموظفات!$D$5:$D$304,MATCH($B1125,الموظفات!$B$5:$B$304,0))&amp;"",""))</f>
        <v/>
      </c>
      <c r="N1125" s="20">
        <f>IF($B1125="","",IFERROR(INDEX(الموظفات!$E$5:$E$304,MATCH($B1125,الموظفات!$B$5:$B$304,0))&amp;"",""))</f>
        <v/>
      </c>
      <c r="O1125" s="21">
        <f>IF(C1125="","",IFERROR(INDEX(الإعدادات!$D$7:$D$35,MATCH(C1125,الإعدادات!$A$7:$A$35,0))&amp;"",""))</f>
        <v/>
      </c>
      <c r="P1125" s="20">
        <f>IF(A1125="","",INDEX(الإعدادات!$H$7:$H$18,MONTH(A1125)))</f>
        <v/>
      </c>
      <c r="Q1125" s="20">
        <f>IF(A1125="","",INDEX(الإعدادات!$I$7:$I$18,MONTH(A1125)))</f>
        <v/>
      </c>
      <c r="R1125" s="20">
        <f>IF(A1125="","",IF(MONTH(A1125)&gt;=8,YEAR(A1125)&amp;"-"&amp;(YEAR(A1125)+1),(YEAR(A1125)-1)&amp;"-"&amp;YEAR(A1125)))</f>
        <v/>
      </c>
      <c r="S1125" s="20">
        <f>IF(OR(A1125="",B1125=""),0,IF(AND(R1125=التقارير!$C$4,OR(التقارير!$C$5="سنوي",AND(التقارير!$C$5="شهري",P1125=التقارير!$C$6),AND(التقارير!$C$5="فصلي",Q1125=التقارير!$C$7))),1,0))</f>
        <v/>
      </c>
      <c r="T1125" s="20">
        <f>IF(S1125=1,COUNTIF($S$5:S1125,1),"")</f>
        <v/>
      </c>
      <c r="U1125">
        <f>IF(AND($A1125&lt;&gt;"",$B1125&lt;&gt;"",$R1125='تقرير الفصل الأول'!$C$4,$Q1125='تقرير الفصل الأول'!$C$7),COUNT(U$4:U1124)+1,"")</f>
        <v/>
      </c>
      <c r="V1125">
        <f>IF(AND($A1125&lt;&gt;"",$B1125&lt;&gt;"",$R1125='تقرير الفصل الثاني'!$C$4,$Q1125='تقرير الفصل الثاني'!$C$7),COUNT(V$4:V1124)+1,"")</f>
        <v/>
      </c>
      <c r="W1125">
        <f>IF(AND($A1125&lt;&gt;"",$B1125&lt;&gt;"",$R1125='تقرير سبتمبر'!$C$4,$P1125='تقرير سبتمبر'!$C$6),COUNT(W$4:W1124)+1,"")</f>
        <v/>
      </c>
      <c r="X1125">
        <f>IF(AND($A1125&lt;&gt;"",$B1125&lt;&gt;"",$R1125='تقرير أكتوبر'!$C$4,$P1125='تقرير أكتوبر'!$C$6),COUNT(X$4:X1124)+1,"")</f>
        <v/>
      </c>
      <c r="Y1125">
        <f>IF(AND($A1125&lt;&gt;"",$B1125&lt;&gt;"",$R1125='تقرير نوفمبر'!$C$4,$P1125='تقرير نوفمبر'!$C$6),COUNT(Y$4:Y1124)+1,"")</f>
        <v/>
      </c>
      <c r="Z1125">
        <f>IF(AND($A1125&lt;&gt;"",$B1125&lt;&gt;"",$R1125='تقرير ديسمبر'!$C$4,$P1125='تقرير ديسمبر'!$C$6),COUNT(Z$4:Z1124)+1,"")</f>
        <v/>
      </c>
      <c r="AA1125">
        <f>IF(AND($A1125&lt;&gt;"",$B1125&lt;&gt;"",$R1125='تقرير يناير'!$C$4,$P1125='تقرير يناير'!$C$6),COUNT(AA$4:AA1124)+1,"")</f>
        <v/>
      </c>
      <c r="AB1125">
        <f>IF(AND($A1125&lt;&gt;"",$B1125&lt;&gt;"",$R1125='تقرير فبراير'!$C$4,$P1125='تقرير فبراير'!$C$6),COUNT(AB$4:AB1124)+1,"")</f>
        <v/>
      </c>
      <c r="AC1125">
        <f>IF(AND($A1125&lt;&gt;"",$B1125&lt;&gt;"",$R1125='تقرير مارس'!$C$4,$P1125='تقرير مارس'!$C$6),COUNT(AC$4:AC1124)+1,"")</f>
        <v/>
      </c>
      <c r="AD1125">
        <f>IF(AND($A1125&lt;&gt;"",$B1125&lt;&gt;"",$R1125='تقرير أبريل'!$C$4,$P1125='تقرير أبريل'!$C$6),COUNT(AD$4:AD1124)+1,"")</f>
        <v/>
      </c>
      <c r="AE1125">
        <f>IF(AND($A1125&lt;&gt;"",$B1125&lt;&gt;"",$R1125='تقرير مايو'!$C$4,$P1125='تقرير مايو'!$C$6),COUNT(AE$4:AE1124)+1,"")</f>
        <v/>
      </c>
    </row>
    <row r="1126">
      <c r="A1126" s="16" t="n"/>
      <c r="B1126" s="17" t="n"/>
      <c r="C1126" s="17" t="n"/>
      <c r="D1126" s="18" t="n"/>
      <c r="E1126" s="17" t="n"/>
      <c r="F1126" s="17" t="n"/>
      <c r="G1126" s="19" t="n"/>
      <c r="H1126" s="17" t="n"/>
      <c r="I1126" s="17" t="n"/>
      <c r="J1126" s="17" t="n"/>
      <c r="K1126" s="20">
        <f>IF($B1126="","",IFERROR(INDEX(الموظفات!$A$5:$A$304,MATCH($B1126,الموظفات!$B$5:$B$304,0))&amp;"",""))</f>
        <v/>
      </c>
      <c r="L1126" s="21">
        <f>IF($B1126="","",IFERROR(INDEX(الموظفات!$C$5:$C$304,MATCH($B1126,الموظفات!$B$5:$B$304,0))&amp;"",""))</f>
        <v/>
      </c>
      <c r="M1126" s="20">
        <f>IF($B1126="","",IFERROR(INDEX(الموظفات!$D$5:$D$304,MATCH($B1126,الموظفات!$B$5:$B$304,0))&amp;"",""))</f>
        <v/>
      </c>
      <c r="N1126" s="20">
        <f>IF($B1126="","",IFERROR(INDEX(الموظفات!$E$5:$E$304,MATCH($B1126,الموظفات!$B$5:$B$304,0))&amp;"",""))</f>
        <v/>
      </c>
      <c r="O1126" s="21">
        <f>IF(C1126="","",IFERROR(INDEX(الإعدادات!$D$7:$D$35,MATCH(C1126,الإعدادات!$A$7:$A$35,0))&amp;"",""))</f>
        <v/>
      </c>
      <c r="P1126" s="20">
        <f>IF(A1126="","",INDEX(الإعدادات!$H$7:$H$18,MONTH(A1126)))</f>
        <v/>
      </c>
      <c r="Q1126" s="20">
        <f>IF(A1126="","",INDEX(الإعدادات!$I$7:$I$18,MONTH(A1126)))</f>
        <v/>
      </c>
      <c r="R1126" s="20">
        <f>IF(A1126="","",IF(MONTH(A1126)&gt;=8,YEAR(A1126)&amp;"-"&amp;(YEAR(A1126)+1),(YEAR(A1126)-1)&amp;"-"&amp;YEAR(A1126)))</f>
        <v/>
      </c>
      <c r="S1126" s="20">
        <f>IF(OR(A1126="",B1126=""),0,IF(AND(R1126=التقارير!$C$4,OR(التقارير!$C$5="سنوي",AND(التقارير!$C$5="شهري",P1126=التقارير!$C$6),AND(التقارير!$C$5="فصلي",Q1126=التقارير!$C$7))),1,0))</f>
        <v/>
      </c>
      <c r="T1126" s="20">
        <f>IF(S1126=1,COUNTIF($S$5:S1126,1),"")</f>
        <v/>
      </c>
      <c r="U1126">
        <f>IF(AND($A1126&lt;&gt;"",$B1126&lt;&gt;"",$R1126='تقرير الفصل الأول'!$C$4,$Q1126='تقرير الفصل الأول'!$C$7),COUNT(U$4:U1125)+1,"")</f>
        <v/>
      </c>
      <c r="V1126">
        <f>IF(AND($A1126&lt;&gt;"",$B1126&lt;&gt;"",$R1126='تقرير الفصل الثاني'!$C$4,$Q1126='تقرير الفصل الثاني'!$C$7),COUNT(V$4:V1125)+1,"")</f>
        <v/>
      </c>
      <c r="W1126">
        <f>IF(AND($A1126&lt;&gt;"",$B1126&lt;&gt;"",$R1126='تقرير سبتمبر'!$C$4,$P1126='تقرير سبتمبر'!$C$6),COUNT(W$4:W1125)+1,"")</f>
        <v/>
      </c>
      <c r="X1126">
        <f>IF(AND($A1126&lt;&gt;"",$B1126&lt;&gt;"",$R1126='تقرير أكتوبر'!$C$4,$P1126='تقرير أكتوبر'!$C$6),COUNT(X$4:X1125)+1,"")</f>
        <v/>
      </c>
      <c r="Y1126">
        <f>IF(AND($A1126&lt;&gt;"",$B1126&lt;&gt;"",$R1126='تقرير نوفمبر'!$C$4,$P1126='تقرير نوفمبر'!$C$6),COUNT(Y$4:Y1125)+1,"")</f>
        <v/>
      </c>
      <c r="Z1126">
        <f>IF(AND($A1126&lt;&gt;"",$B1126&lt;&gt;"",$R1126='تقرير ديسمبر'!$C$4,$P1126='تقرير ديسمبر'!$C$6),COUNT(Z$4:Z1125)+1,"")</f>
        <v/>
      </c>
      <c r="AA1126">
        <f>IF(AND($A1126&lt;&gt;"",$B1126&lt;&gt;"",$R1126='تقرير يناير'!$C$4,$P1126='تقرير يناير'!$C$6),COUNT(AA$4:AA1125)+1,"")</f>
        <v/>
      </c>
      <c r="AB1126">
        <f>IF(AND($A1126&lt;&gt;"",$B1126&lt;&gt;"",$R1126='تقرير فبراير'!$C$4,$P1126='تقرير فبراير'!$C$6),COUNT(AB$4:AB1125)+1,"")</f>
        <v/>
      </c>
      <c r="AC1126">
        <f>IF(AND($A1126&lt;&gt;"",$B1126&lt;&gt;"",$R1126='تقرير مارس'!$C$4,$P1126='تقرير مارس'!$C$6),COUNT(AC$4:AC1125)+1,"")</f>
        <v/>
      </c>
      <c r="AD1126">
        <f>IF(AND($A1126&lt;&gt;"",$B1126&lt;&gt;"",$R1126='تقرير أبريل'!$C$4,$P1126='تقرير أبريل'!$C$6),COUNT(AD$4:AD1125)+1,"")</f>
        <v/>
      </c>
      <c r="AE1126">
        <f>IF(AND($A1126&lt;&gt;"",$B1126&lt;&gt;"",$R1126='تقرير مايو'!$C$4,$P1126='تقرير مايو'!$C$6),COUNT(AE$4:AE1125)+1,"")</f>
        <v/>
      </c>
    </row>
    <row r="1127">
      <c r="A1127" s="16" t="n"/>
      <c r="B1127" s="17" t="n"/>
      <c r="C1127" s="17" t="n"/>
      <c r="D1127" s="18" t="n"/>
      <c r="E1127" s="17" t="n"/>
      <c r="F1127" s="17" t="n"/>
      <c r="G1127" s="19" t="n"/>
      <c r="H1127" s="17" t="n"/>
      <c r="I1127" s="17" t="n"/>
      <c r="J1127" s="17" t="n"/>
      <c r="K1127" s="20">
        <f>IF($B1127="","",IFERROR(INDEX(الموظفات!$A$5:$A$304,MATCH($B1127,الموظفات!$B$5:$B$304,0))&amp;"",""))</f>
        <v/>
      </c>
      <c r="L1127" s="21">
        <f>IF($B1127="","",IFERROR(INDEX(الموظفات!$C$5:$C$304,MATCH($B1127,الموظفات!$B$5:$B$304,0))&amp;"",""))</f>
        <v/>
      </c>
      <c r="M1127" s="20">
        <f>IF($B1127="","",IFERROR(INDEX(الموظفات!$D$5:$D$304,MATCH($B1127,الموظفات!$B$5:$B$304,0))&amp;"",""))</f>
        <v/>
      </c>
      <c r="N1127" s="20">
        <f>IF($B1127="","",IFERROR(INDEX(الموظفات!$E$5:$E$304,MATCH($B1127,الموظفات!$B$5:$B$304,0))&amp;"",""))</f>
        <v/>
      </c>
      <c r="O1127" s="21">
        <f>IF(C1127="","",IFERROR(INDEX(الإعدادات!$D$7:$D$35,MATCH(C1127,الإعدادات!$A$7:$A$35,0))&amp;"",""))</f>
        <v/>
      </c>
      <c r="P1127" s="20">
        <f>IF(A1127="","",INDEX(الإعدادات!$H$7:$H$18,MONTH(A1127)))</f>
        <v/>
      </c>
      <c r="Q1127" s="20">
        <f>IF(A1127="","",INDEX(الإعدادات!$I$7:$I$18,MONTH(A1127)))</f>
        <v/>
      </c>
      <c r="R1127" s="20">
        <f>IF(A1127="","",IF(MONTH(A1127)&gt;=8,YEAR(A1127)&amp;"-"&amp;(YEAR(A1127)+1),(YEAR(A1127)-1)&amp;"-"&amp;YEAR(A1127)))</f>
        <v/>
      </c>
      <c r="S1127" s="20">
        <f>IF(OR(A1127="",B1127=""),0,IF(AND(R1127=التقارير!$C$4,OR(التقارير!$C$5="سنوي",AND(التقارير!$C$5="شهري",P1127=التقارير!$C$6),AND(التقارير!$C$5="فصلي",Q1127=التقارير!$C$7))),1,0))</f>
        <v/>
      </c>
      <c r="T1127" s="20">
        <f>IF(S1127=1,COUNTIF($S$5:S1127,1),"")</f>
        <v/>
      </c>
      <c r="U1127">
        <f>IF(AND($A1127&lt;&gt;"",$B1127&lt;&gt;"",$R1127='تقرير الفصل الأول'!$C$4,$Q1127='تقرير الفصل الأول'!$C$7),COUNT(U$4:U1126)+1,"")</f>
        <v/>
      </c>
      <c r="V1127">
        <f>IF(AND($A1127&lt;&gt;"",$B1127&lt;&gt;"",$R1127='تقرير الفصل الثاني'!$C$4,$Q1127='تقرير الفصل الثاني'!$C$7),COUNT(V$4:V1126)+1,"")</f>
        <v/>
      </c>
      <c r="W1127">
        <f>IF(AND($A1127&lt;&gt;"",$B1127&lt;&gt;"",$R1127='تقرير سبتمبر'!$C$4,$P1127='تقرير سبتمبر'!$C$6),COUNT(W$4:W1126)+1,"")</f>
        <v/>
      </c>
      <c r="X1127">
        <f>IF(AND($A1127&lt;&gt;"",$B1127&lt;&gt;"",$R1127='تقرير أكتوبر'!$C$4,$P1127='تقرير أكتوبر'!$C$6),COUNT(X$4:X1126)+1,"")</f>
        <v/>
      </c>
      <c r="Y1127">
        <f>IF(AND($A1127&lt;&gt;"",$B1127&lt;&gt;"",$R1127='تقرير نوفمبر'!$C$4,$P1127='تقرير نوفمبر'!$C$6),COUNT(Y$4:Y1126)+1,"")</f>
        <v/>
      </c>
      <c r="Z1127">
        <f>IF(AND($A1127&lt;&gt;"",$B1127&lt;&gt;"",$R1127='تقرير ديسمبر'!$C$4,$P1127='تقرير ديسمبر'!$C$6),COUNT(Z$4:Z1126)+1,"")</f>
        <v/>
      </c>
      <c r="AA1127">
        <f>IF(AND($A1127&lt;&gt;"",$B1127&lt;&gt;"",$R1127='تقرير يناير'!$C$4,$P1127='تقرير يناير'!$C$6),COUNT(AA$4:AA1126)+1,"")</f>
        <v/>
      </c>
      <c r="AB1127">
        <f>IF(AND($A1127&lt;&gt;"",$B1127&lt;&gt;"",$R1127='تقرير فبراير'!$C$4,$P1127='تقرير فبراير'!$C$6),COUNT(AB$4:AB1126)+1,"")</f>
        <v/>
      </c>
      <c r="AC1127">
        <f>IF(AND($A1127&lt;&gt;"",$B1127&lt;&gt;"",$R1127='تقرير مارس'!$C$4,$P1127='تقرير مارس'!$C$6),COUNT(AC$4:AC1126)+1,"")</f>
        <v/>
      </c>
      <c r="AD1127">
        <f>IF(AND($A1127&lt;&gt;"",$B1127&lt;&gt;"",$R1127='تقرير أبريل'!$C$4,$P1127='تقرير أبريل'!$C$6),COUNT(AD$4:AD1126)+1,"")</f>
        <v/>
      </c>
      <c r="AE1127">
        <f>IF(AND($A1127&lt;&gt;"",$B1127&lt;&gt;"",$R1127='تقرير مايو'!$C$4,$P1127='تقرير مايو'!$C$6),COUNT(AE$4:AE1126)+1,"")</f>
        <v/>
      </c>
    </row>
    <row r="1128">
      <c r="A1128" s="16" t="n"/>
      <c r="B1128" s="17" t="n"/>
      <c r="C1128" s="17" t="n"/>
      <c r="D1128" s="18" t="n"/>
      <c r="E1128" s="17" t="n"/>
      <c r="F1128" s="17" t="n"/>
      <c r="G1128" s="19" t="n"/>
      <c r="H1128" s="17" t="n"/>
      <c r="I1128" s="17" t="n"/>
      <c r="J1128" s="17" t="n"/>
      <c r="K1128" s="20">
        <f>IF($B1128="","",IFERROR(INDEX(الموظفات!$A$5:$A$304,MATCH($B1128,الموظفات!$B$5:$B$304,0))&amp;"",""))</f>
        <v/>
      </c>
      <c r="L1128" s="21">
        <f>IF($B1128="","",IFERROR(INDEX(الموظفات!$C$5:$C$304,MATCH($B1128,الموظفات!$B$5:$B$304,0))&amp;"",""))</f>
        <v/>
      </c>
      <c r="M1128" s="20">
        <f>IF($B1128="","",IFERROR(INDEX(الموظفات!$D$5:$D$304,MATCH($B1128,الموظفات!$B$5:$B$304,0))&amp;"",""))</f>
        <v/>
      </c>
      <c r="N1128" s="20">
        <f>IF($B1128="","",IFERROR(INDEX(الموظفات!$E$5:$E$304,MATCH($B1128,الموظفات!$B$5:$B$304,0))&amp;"",""))</f>
        <v/>
      </c>
      <c r="O1128" s="21">
        <f>IF(C1128="","",IFERROR(INDEX(الإعدادات!$D$7:$D$35,MATCH(C1128,الإعدادات!$A$7:$A$35,0))&amp;"",""))</f>
        <v/>
      </c>
      <c r="P1128" s="20">
        <f>IF(A1128="","",INDEX(الإعدادات!$H$7:$H$18,MONTH(A1128)))</f>
        <v/>
      </c>
      <c r="Q1128" s="20">
        <f>IF(A1128="","",INDEX(الإعدادات!$I$7:$I$18,MONTH(A1128)))</f>
        <v/>
      </c>
      <c r="R1128" s="20">
        <f>IF(A1128="","",IF(MONTH(A1128)&gt;=8,YEAR(A1128)&amp;"-"&amp;(YEAR(A1128)+1),(YEAR(A1128)-1)&amp;"-"&amp;YEAR(A1128)))</f>
        <v/>
      </c>
      <c r="S1128" s="20">
        <f>IF(OR(A1128="",B1128=""),0,IF(AND(R1128=التقارير!$C$4,OR(التقارير!$C$5="سنوي",AND(التقارير!$C$5="شهري",P1128=التقارير!$C$6),AND(التقارير!$C$5="فصلي",Q1128=التقارير!$C$7))),1,0))</f>
        <v/>
      </c>
      <c r="T1128" s="20">
        <f>IF(S1128=1,COUNTIF($S$5:S1128,1),"")</f>
        <v/>
      </c>
      <c r="U1128">
        <f>IF(AND($A1128&lt;&gt;"",$B1128&lt;&gt;"",$R1128='تقرير الفصل الأول'!$C$4,$Q1128='تقرير الفصل الأول'!$C$7),COUNT(U$4:U1127)+1,"")</f>
        <v/>
      </c>
      <c r="V1128">
        <f>IF(AND($A1128&lt;&gt;"",$B1128&lt;&gt;"",$R1128='تقرير الفصل الثاني'!$C$4,$Q1128='تقرير الفصل الثاني'!$C$7),COUNT(V$4:V1127)+1,"")</f>
        <v/>
      </c>
      <c r="W1128">
        <f>IF(AND($A1128&lt;&gt;"",$B1128&lt;&gt;"",$R1128='تقرير سبتمبر'!$C$4,$P1128='تقرير سبتمبر'!$C$6),COUNT(W$4:W1127)+1,"")</f>
        <v/>
      </c>
      <c r="X1128">
        <f>IF(AND($A1128&lt;&gt;"",$B1128&lt;&gt;"",$R1128='تقرير أكتوبر'!$C$4,$P1128='تقرير أكتوبر'!$C$6),COUNT(X$4:X1127)+1,"")</f>
        <v/>
      </c>
      <c r="Y1128">
        <f>IF(AND($A1128&lt;&gt;"",$B1128&lt;&gt;"",$R1128='تقرير نوفمبر'!$C$4,$P1128='تقرير نوفمبر'!$C$6),COUNT(Y$4:Y1127)+1,"")</f>
        <v/>
      </c>
      <c r="Z1128">
        <f>IF(AND($A1128&lt;&gt;"",$B1128&lt;&gt;"",$R1128='تقرير ديسمبر'!$C$4,$P1128='تقرير ديسمبر'!$C$6),COUNT(Z$4:Z1127)+1,"")</f>
        <v/>
      </c>
      <c r="AA1128">
        <f>IF(AND($A1128&lt;&gt;"",$B1128&lt;&gt;"",$R1128='تقرير يناير'!$C$4,$P1128='تقرير يناير'!$C$6),COUNT(AA$4:AA1127)+1,"")</f>
        <v/>
      </c>
      <c r="AB1128">
        <f>IF(AND($A1128&lt;&gt;"",$B1128&lt;&gt;"",$R1128='تقرير فبراير'!$C$4,$P1128='تقرير فبراير'!$C$6),COUNT(AB$4:AB1127)+1,"")</f>
        <v/>
      </c>
      <c r="AC1128">
        <f>IF(AND($A1128&lt;&gt;"",$B1128&lt;&gt;"",$R1128='تقرير مارس'!$C$4,$P1128='تقرير مارس'!$C$6),COUNT(AC$4:AC1127)+1,"")</f>
        <v/>
      </c>
      <c r="AD1128">
        <f>IF(AND($A1128&lt;&gt;"",$B1128&lt;&gt;"",$R1128='تقرير أبريل'!$C$4,$P1128='تقرير أبريل'!$C$6),COUNT(AD$4:AD1127)+1,"")</f>
        <v/>
      </c>
      <c r="AE1128">
        <f>IF(AND($A1128&lt;&gt;"",$B1128&lt;&gt;"",$R1128='تقرير مايو'!$C$4,$P1128='تقرير مايو'!$C$6),COUNT(AE$4:AE1127)+1,"")</f>
        <v/>
      </c>
    </row>
    <row r="1129">
      <c r="A1129" s="16" t="n"/>
      <c r="B1129" s="17" t="n"/>
      <c r="C1129" s="17" t="n"/>
      <c r="D1129" s="18" t="n"/>
      <c r="E1129" s="17" t="n"/>
      <c r="F1129" s="17" t="n"/>
      <c r="G1129" s="19" t="n"/>
      <c r="H1129" s="17" t="n"/>
      <c r="I1129" s="17" t="n"/>
      <c r="J1129" s="17" t="n"/>
      <c r="K1129" s="20">
        <f>IF($B1129="","",IFERROR(INDEX(الموظفات!$A$5:$A$304,MATCH($B1129,الموظفات!$B$5:$B$304,0))&amp;"",""))</f>
        <v/>
      </c>
      <c r="L1129" s="21">
        <f>IF($B1129="","",IFERROR(INDEX(الموظفات!$C$5:$C$304,MATCH($B1129,الموظفات!$B$5:$B$304,0))&amp;"",""))</f>
        <v/>
      </c>
      <c r="M1129" s="20">
        <f>IF($B1129="","",IFERROR(INDEX(الموظفات!$D$5:$D$304,MATCH($B1129,الموظفات!$B$5:$B$304,0))&amp;"",""))</f>
        <v/>
      </c>
      <c r="N1129" s="20">
        <f>IF($B1129="","",IFERROR(INDEX(الموظفات!$E$5:$E$304,MATCH($B1129,الموظفات!$B$5:$B$304,0))&amp;"",""))</f>
        <v/>
      </c>
      <c r="O1129" s="21">
        <f>IF(C1129="","",IFERROR(INDEX(الإعدادات!$D$7:$D$35,MATCH(C1129,الإعدادات!$A$7:$A$35,0))&amp;"",""))</f>
        <v/>
      </c>
      <c r="P1129" s="20">
        <f>IF(A1129="","",INDEX(الإعدادات!$H$7:$H$18,MONTH(A1129)))</f>
        <v/>
      </c>
      <c r="Q1129" s="20">
        <f>IF(A1129="","",INDEX(الإعدادات!$I$7:$I$18,MONTH(A1129)))</f>
        <v/>
      </c>
      <c r="R1129" s="20">
        <f>IF(A1129="","",IF(MONTH(A1129)&gt;=8,YEAR(A1129)&amp;"-"&amp;(YEAR(A1129)+1),(YEAR(A1129)-1)&amp;"-"&amp;YEAR(A1129)))</f>
        <v/>
      </c>
      <c r="S1129" s="20">
        <f>IF(OR(A1129="",B1129=""),0,IF(AND(R1129=التقارير!$C$4,OR(التقارير!$C$5="سنوي",AND(التقارير!$C$5="شهري",P1129=التقارير!$C$6),AND(التقارير!$C$5="فصلي",Q1129=التقارير!$C$7))),1,0))</f>
        <v/>
      </c>
      <c r="T1129" s="20">
        <f>IF(S1129=1,COUNTIF($S$5:S1129,1),"")</f>
        <v/>
      </c>
      <c r="U1129">
        <f>IF(AND($A1129&lt;&gt;"",$B1129&lt;&gt;"",$R1129='تقرير الفصل الأول'!$C$4,$Q1129='تقرير الفصل الأول'!$C$7),COUNT(U$4:U1128)+1,"")</f>
        <v/>
      </c>
      <c r="V1129">
        <f>IF(AND($A1129&lt;&gt;"",$B1129&lt;&gt;"",$R1129='تقرير الفصل الثاني'!$C$4,$Q1129='تقرير الفصل الثاني'!$C$7),COUNT(V$4:V1128)+1,"")</f>
        <v/>
      </c>
      <c r="W1129">
        <f>IF(AND($A1129&lt;&gt;"",$B1129&lt;&gt;"",$R1129='تقرير سبتمبر'!$C$4,$P1129='تقرير سبتمبر'!$C$6),COUNT(W$4:W1128)+1,"")</f>
        <v/>
      </c>
      <c r="X1129">
        <f>IF(AND($A1129&lt;&gt;"",$B1129&lt;&gt;"",$R1129='تقرير أكتوبر'!$C$4,$P1129='تقرير أكتوبر'!$C$6),COUNT(X$4:X1128)+1,"")</f>
        <v/>
      </c>
      <c r="Y1129">
        <f>IF(AND($A1129&lt;&gt;"",$B1129&lt;&gt;"",$R1129='تقرير نوفمبر'!$C$4,$P1129='تقرير نوفمبر'!$C$6),COUNT(Y$4:Y1128)+1,"")</f>
        <v/>
      </c>
      <c r="Z1129">
        <f>IF(AND($A1129&lt;&gt;"",$B1129&lt;&gt;"",$R1129='تقرير ديسمبر'!$C$4,$P1129='تقرير ديسمبر'!$C$6),COUNT(Z$4:Z1128)+1,"")</f>
        <v/>
      </c>
      <c r="AA1129">
        <f>IF(AND($A1129&lt;&gt;"",$B1129&lt;&gt;"",$R1129='تقرير يناير'!$C$4,$P1129='تقرير يناير'!$C$6),COUNT(AA$4:AA1128)+1,"")</f>
        <v/>
      </c>
      <c r="AB1129">
        <f>IF(AND($A1129&lt;&gt;"",$B1129&lt;&gt;"",$R1129='تقرير فبراير'!$C$4,$P1129='تقرير فبراير'!$C$6),COUNT(AB$4:AB1128)+1,"")</f>
        <v/>
      </c>
      <c r="AC1129">
        <f>IF(AND($A1129&lt;&gt;"",$B1129&lt;&gt;"",$R1129='تقرير مارس'!$C$4,$P1129='تقرير مارس'!$C$6),COUNT(AC$4:AC1128)+1,"")</f>
        <v/>
      </c>
      <c r="AD1129">
        <f>IF(AND($A1129&lt;&gt;"",$B1129&lt;&gt;"",$R1129='تقرير أبريل'!$C$4,$P1129='تقرير أبريل'!$C$6),COUNT(AD$4:AD1128)+1,"")</f>
        <v/>
      </c>
      <c r="AE1129">
        <f>IF(AND($A1129&lt;&gt;"",$B1129&lt;&gt;"",$R1129='تقرير مايو'!$C$4,$P1129='تقرير مايو'!$C$6),COUNT(AE$4:AE1128)+1,"")</f>
        <v/>
      </c>
    </row>
    <row r="1130">
      <c r="A1130" s="16" t="n"/>
      <c r="B1130" s="17" t="n"/>
      <c r="C1130" s="17" t="n"/>
      <c r="D1130" s="18" t="n"/>
      <c r="E1130" s="17" t="n"/>
      <c r="F1130" s="17" t="n"/>
      <c r="G1130" s="19" t="n"/>
      <c r="H1130" s="17" t="n"/>
      <c r="I1130" s="17" t="n"/>
      <c r="J1130" s="17" t="n"/>
      <c r="K1130" s="20">
        <f>IF($B1130="","",IFERROR(INDEX(الموظفات!$A$5:$A$304,MATCH($B1130,الموظفات!$B$5:$B$304,0))&amp;"",""))</f>
        <v/>
      </c>
      <c r="L1130" s="21">
        <f>IF($B1130="","",IFERROR(INDEX(الموظفات!$C$5:$C$304,MATCH($B1130,الموظفات!$B$5:$B$304,0))&amp;"",""))</f>
        <v/>
      </c>
      <c r="M1130" s="20">
        <f>IF($B1130="","",IFERROR(INDEX(الموظفات!$D$5:$D$304,MATCH($B1130,الموظفات!$B$5:$B$304,0))&amp;"",""))</f>
        <v/>
      </c>
      <c r="N1130" s="20">
        <f>IF($B1130="","",IFERROR(INDEX(الموظفات!$E$5:$E$304,MATCH($B1130,الموظفات!$B$5:$B$304,0))&amp;"",""))</f>
        <v/>
      </c>
      <c r="O1130" s="21">
        <f>IF(C1130="","",IFERROR(INDEX(الإعدادات!$D$7:$D$35,MATCH(C1130,الإعدادات!$A$7:$A$35,0))&amp;"",""))</f>
        <v/>
      </c>
      <c r="P1130" s="20">
        <f>IF(A1130="","",INDEX(الإعدادات!$H$7:$H$18,MONTH(A1130)))</f>
        <v/>
      </c>
      <c r="Q1130" s="20">
        <f>IF(A1130="","",INDEX(الإعدادات!$I$7:$I$18,MONTH(A1130)))</f>
        <v/>
      </c>
      <c r="R1130" s="20">
        <f>IF(A1130="","",IF(MONTH(A1130)&gt;=8,YEAR(A1130)&amp;"-"&amp;(YEAR(A1130)+1),(YEAR(A1130)-1)&amp;"-"&amp;YEAR(A1130)))</f>
        <v/>
      </c>
      <c r="S1130" s="20">
        <f>IF(OR(A1130="",B1130=""),0,IF(AND(R1130=التقارير!$C$4,OR(التقارير!$C$5="سنوي",AND(التقارير!$C$5="شهري",P1130=التقارير!$C$6),AND(التقارير!$C$5="فصلي",Q1130=التقارير!$C$7))),1,0))</f>
        <v/>
      </c>
      <c r="T1130" s="20">
        <f>IF(S1130=1,COUNTIF($S$5:S1130,1),"")</f>
        <v/>
      </c>
      <c r="U1130">
        <f>IF(AND($A1130&lt;&gt;"",$B1130&lt;&gt;"",$R1130='تقرير الفصل الأول'!$C$4,$Q1130='تقرير الفصل الأول'!$C$7),COUNT(U$4:U1129)+1,"")</f>
        <v/>
      </c>
      <c r="V1130">
        <f>IF(AND($A1130&lt;&gt;"",$B1130&lt;&gt;"",$R1130='تقرير الفصل الثاني'!$C$4,$Q1130='تقرير الفصل الثاني'!$C$7),COUNT(V$4:V1129)+1,"")</f>
        <v/>
      </c>
      <c r="W1130">
        <f>IF(AND($A1130&lt;&gt;"",$B1130&lt;&gt;"",$R1130='تقرير سبتمبر'!$C$4,$P1130='تقرير سبتمبر'!$C$6),COUNT(W$4:W1129)+1,"")</f>
        <v/>
      </c>
      <c r="X1130">
        <f>IF(AND($A1130&lt;&gt;"",$B1130&lt;&gt;"",$R1130='تقرير أكتوبر'!$C$4,$P1130='تقرير أكتوبر'!$C$6),COUNT(X$4:X1129)+1,"")</f>
        <v/>
      </c>
      <c r="Y1130">
        <f>IF(AND($A1130&lt;&gt;"",$B1130&lt;&gt;"",$R1130='تقرير نوفمبر'!$C$4,$P1130='تقرير نوفمبر'!$C$6),COUNT(Y$4:Y1129)+1,"")</f>
        <v/>
      </c>
      <c r="Z1130">
        <f>IF(AND($A1130&lt;&gt;"",$B1130&lt;&gt;"",$R1130='تقرير ديسمبر'!$C$4,$P1130='تقرير ديسمبر'!$C$6),COUNT(Z$4:Z1129)+1,"")</f>
        <v/>
      </c>
      <c r="AA1130">
        <f>IF(AND($A1130&lt;&gt;"",$B1130&lt;&gt;"",$R1130='تقرير يناير'!$C$4,$P1130='تقرير يناير'!$C$6),COUNT(AA$4:AA1129)+1,"")</f>
        <v/>
      </c>
      <c r="AB1130">
        <f>IF(AND($A1130&lt;&gt;"",$B1130&lt;&gt;"",$R1130='تقرير فبراير'!$C$4,$P1130='تقرير فبراير'!$C$6),COUNT(AB$4:AB1129)+1,"")</f>
        <v/>
      </c>
      <c r="AC1130">
        <f>IF(AND($A1130&lt;&gt;"",$B1130&lt;&gt;"",$R1130='تقرير مارس'!$C$4,$P1130='تقرير مارس'!$C$6),COUNT(AC$4:AC1129)+1,"")</f>
        <v/>
      </c>
      <c r="AD1130">
        <f>IF(AND($A1130&lt;&gt;"",$B1130&lt;&gt;"",$R1130='تقرير أبريل'!$C$4,$P1130='تقرير أبريل'!$C$6),COUNT(AD$4:AD1129)+1,"")</f>
        <v/>
      </c>
      <c r="AE1130">
        <f>IF(AND($A1130&lt;&gt;"",$B1130&lt;&gt;"",$R1130='تقرير مايو'!$C$4,$P1130='تقرير مايو'!$C$6),COUNT(AE$4:AE1129)+1,"")</f>
        <v/>
      </c>
    </row>
    <row r="1131">
      <c r="A1131" s="16" t="n"/>
      <c r="B1131" s="17" t="n"/>
      <c r="C1131" s="17" t="n"/>
      <c r="D1131" s="18" t="n"/>
      <c r="E1131" s="17" t="n"/>
      <c r="F1131" s="17" t="n"/>
      <c r="G1131" s="19" t="n"/>
      <c r="H1131" s="17" t="n"/>
      <c r="I1131" s="17" t="n"/>
      <c r="J1131" s="17" t="n"/>
      <c r="K1131" s="20">
        <f>IF($B1131="","",IFERROR(INDEX(الموظفات!$A$5:$A$304,MATCH($B1131,الموظفات!$B$5:$B$304,0))&amp;"",""))</f>
        <v/>
      </c>
      <c r="L1131" s="21">
        <f>IF($B1131="","",IFERROR(INDEX(الموظفات!$C$5:$C$304,MATCH($B1131,الموظفات!$B$5:$B$304,0))&amp;"",""))</f>
        <v/>
      </c>
      <c r="M1131" s="20">
        <f>IF($B1131="","",IFERROR(INDEX(الموظفات!$D$5:$D$304,MATCH($B1131,الموظفات!$B$5:$B$304,0))&amp;"",""))</f>
        <v/>
      </c>
      <c r="N1131" s="20">
        <f>IF($B1131="","",IFERROR(INDEX(الموظفات!$E$5:$E$304,MATCH($B1131,الموظفات!$B$5:$B$304,0))&amp;"",""))</f>
        <v/>
      </c>
      <c r="O1131" s="21">
        <f>IF(C1131="","",IFERROR(INDEX(الإعدادات!$D$7:$D$35,MATCH(C1131,الإعدادات!$A$7:$A$35,0))&amp;"",""))</f>
        <v/>
      </c>
      <c r="P1131" s="20">
        <f>IF(A1131="","",INDEX(الإعدادات!$H$7:$H$18,MONTH(A1131)))</f>
        <v/>
      </c>
      <c r="Q1131" s="20">
        <f>IF(A1131="","",INDEX(الإعدادات!$I$7:$I$18,MONTH(A1131)))</f>
        <v/>
      </c>
      <c r="R1131" s="20">
        <f>IF(A1131="","",IF(MONTH(A1131)&gt;=8,YEAR(A1131)&amp;"-"&amp;(YEAR(A1131)+1),(YEAR(A1131)-1)&amp;"-"&amp;YEAR(A1131)))</f>
        <v/>
      </c>
      <c r="S1131" s="20">
        <f>IF(OR(A1131="",B1131=""),0,IF(AND(R1131=التقارير!$C$4,OR(التقارير!$C$5="سنوي",AND(التقارير!$C$5="شهري",P1131=التقارير!$C$6),AND(التقارير!$C$5="فصلي",Q1131=التقارير!$C$7))),1,0))</f>
        <v/>
      </c>
      <c r="T1131" s="20">
        <f>IF(S1131=1,COUNTIF($S$5:S1131,1),"")</f>
        <v/>
      </c>
      <c r="U1131">
        <f>IF(AND($A1131&lt;&gt;"",$B1131&lt;&gt;"",$R1131='تقرير الفصل الأول'!$C$4,$Q1131='تقرير الفصل الأول'!$C$7),COUNT(U$4:U1130)+1,"")</f>
        <v/>
      </c>
      <c r="V1131">
        <f>IF(AND($A1131&lt;&gt;"",$B1131&lt;&gt;"",$R1131='تقرير الفصل الثاني'!$C$4,$Q1131='تقرير الفصل الثاني'!$C$7),COUNT(V$4:V1130)+1,"")</f>
        <v/>
      </c>
      <c r="W1131">
        <f>IF(AND($A1131&lt;&gt;"",$B1131&lt;&gt;"",$R1131='تقرير سبتمبر'!$C$4,$P1131='تقرير سبتمبر'!$C$6),COUNT(W$4:W1130)+1,"")</f>
        <v/>
      </c>
      <c r="X1131">
        <f>IF(AND($A1131&lt;&gt;"",$B1131&lt;&gt;"",$R1131='تقرير أكتوبر'!$C$4,$P1131='تقرير أكتوبر'!$C$6),COUNT(X$4:X1130)+1,"")</f>
        <v/>
      </c>
      <c r="Y1131">
        <f>IF(AND($A1131&lt;&gt;"",$B1131&lt;&gt;"",$R1131='تقرير نوفمبر'!$C$4,$P1131='تقرير نوفمبر'!$C$6),COUNT(Y$4:Y1130)+1,"")</f>
        <v/>
      </c>
      <c r="Z1131">
        <f>IF(AND($A1131&lt;&gt;"",$B1131&lt;&gt;"",$R1131='تقرير ديسمبر'!$C$4,$P1131='تقرير ديسمبر'!$C$6),COUNT(Z$4:Z1130)+1,"")</f>
        <v/>
      </c>
      <c r="AA1131">
        <f>IF(AND($A1131&lt;&gt;"",$B1131&lt;&gt;"",$R1131='تقرير يناير'!$C$4,$P1131='تقرير يناير'!$C$6),COUNT(AA$4:AA1130)+1,"")</f>
        <v/>
      </c>
      <c r="AB1131">
        <f>IF(AND($A1131&lt;&gt;"",$B1131&lt;&gt;"",$R1131='تقرير فبراير'!$C$4,$P1131='تقرير فبراير'!$C$6),COUNT(AB$4:AB1130)+1,"")</f>
        <v/>
      </c>
      <c r="AC1131">
        <f>IF(AND($A1131&lt;&gt;"",$B1131&lt;&gt;"",$R1131='تقرير مارس'!$C$4,$P1131='تقرير مارس'!$C$6),COUNT(AC$4:AC1130)+1,"")</f>
        <v/>
      </c>
      <c r="AD1131">
        <f>IF(AND($A1131&lt;&gt;"",$B1131&lt;&gt;"",$R1131='تقرير أبريل'!$C$4,$P1131='تقرير أبريل'!$C$6),COUNT(AD$4:AD1130)+1,"")</f>
        <v/>
      </c>
      <c r="AE1131">
        <f>IF(AND($A1131&lt;&gt;"",$B1131&lt;&gt;"",$R1131='تقرير مايو'!$C$4,$P1131='تقرير مايو'!$C$6),COUNT(AE$4:AE1130)+1,"")</f>
        <v/>
      </c>
    </row>
    <row r="1132">
      <c r="A1132" s="16" t="n"/>
      <c r="B1132" s="17" t="n"/>
      <c r="C1132" s="17" t="n"/>
      <c r="D1132" s="18" t="n"/>
      <c r="E1132" s="17" t="n"/>
      <c r="F1132" s="17" t="n"/>
      <c r="G1132" s="19" t="n"/>
      <c r="H1132" s="17" t="n"/>
      <c r="I1132" s="17" t="n"/>
      <c r="J1132" s="17" t="n"/>
      <c r="K1132" s="20">
        <f>IF($B1132="","",IFERROR(INDEX(الموظفات!$A$5:$A$304,MATCH($B1132,الموظفات!$B$5:$B$304,0))&amp;"",""))</f>
        <v/>
      </c>
      <c r="L1132" s="21">
        <f>IF($B1132="","",IFERROR(INDEX(الموظفات!$C$5:$C$304,MATCH($B1132,الموظفات!$B$5:$B$304,0))&amp;"",""))</f>
        <v/>
      </c>
      <c r="M1132" s="20">
        <f>IF($B1132="","",IFERROR(INDEX(الموظفات!$D$5:$D$304,MATCH($B1132,الموظفات!$B$5:$B$304,0))&amp;"",""))</f>
        <v/>
      </c>
      <c r="N1132" s="20">
        <f>IF($B1132="","",IFERROR(INDEX(الموظفات!$E$5:$E$304,MATCH($B1132,الموظفات!$B$5:$B$304,0))&amp;"",""))</f>
        <v/>
      </c>
      <c r="O1132" s="21">
        <f>IF(C1132="","",IFERROR(INDEX(الإعدادات!$D$7:$D$35,MATCH(C1132,الإعدادات!$A$7:$A$35,0))&amp;"",""))</f>
        <v/>
      </c>
      <c r="P1132" s="20">
        <f>IF(A1132="","",INDEX(الإعدادات!$H$7:$H$18,MONTH(A1132)))</f>
        <v/>
      </c>
      <c r="Q1132" s="20">
        <f>IF(A1132="","",INDEX(الإعدادات!$I$7:$I$18,MONTH(A1132)))</f>
        <v/>
      </c>
      <c r="R1132" s="20">
        <f>IF(A1132="","",IF(MONTH(A1132)&gt;=8,YEAR(A1132)&amp;"-"&amp;(YEAR(A1132)+1),(YEAR(A1132)-1)&amp;"-"&amp;YEAR(A1132)))</f>
        <v/>
      </c>
      <c r="S1132" s="20">
        <f>IF(OR(A1132="",B1132=""),0,IF(AND(R1132=التقارير!$C$4,OR(التقارير!$C$5="سنوي",AND(التقارير!$C$5="شهري",P1132=التقارير!$C$6),AND(التقارير!$C$5="فصلي",Q1132=التقارير!$C$7))),1,0))</f>
        <v/>
      </c>
      <c r="T1132" s="20">
        <f>IF(S1132=1,COUNTIF($S$5:S1132,1),"")</f>
        <v/>
      </c>
      <c r="U1132">
        <f>IF(AND($A1132&lt;&gt;"",$B1132&lt;&gt;"",$R1132='تقرير الفصل الأول'!$C$4,$Q1132='تقرير الفصل الأول'!$C$7),COUNT(U$4:U1131)+1,"")</f>
        <v/>
      </c>
      <c r="V1132">
        <f>IF(AND($A1132&lt;&gt;"",$B1132&lt;&gt;"",$R1132='تقرير الفصل الثاني'!$C$4,$Q1132='تقرير الفصل الثاني'!$C$7),COUNT(V$4:V1131)+1,"")</f>
        <v/>
      </c>
      <c r="W1132">
        <f>IF(AND($A1132&lt;&gt;"",$B1132&lt;&gt;"",$R1132='تقرير سبتمبر'!$C$4,$P1132='تقرير سبتمبر'!$C$6),COUNT(W$4:W1131)+1,"")</f>
        <v/>
      </c>
      <c r="X1132">
        <f>IF(AND($A1132&lt;&gt;"",$B1132&lt;&gt;"",$R1132='تقرير أكتوبر'!$C$4,$P1132='تقرير أكتوبر'!$C$6),COUNT(X$4:X1131)+1,"")</f>
        <v/>
      </c>
      <c r="Y1132">
        <f>IF(AND($A1132&lt;&gt;"",$B1132&lt;&gt;"",$R1132='تقرير نوفمبر'!$C$4,$P1132='تقرير نوفمبر'!$C$6),COUNT(Y$4:Y1131)+1,"")</f>
        <v/>
      </c>
      <c r="Z1132">
        <f>IF(AND($A1132&lt;&gt;"",$B1132&lt;&gt;"",$R1132='تقرير ديسمبر'!$C$4,$P1132='تقرير ديسمبر'!$C$6),COUNT(Z$4:Z1131)+1,"")</f>
        <v/>
      </c>
      <c r="AA1132">
        <f>IF(AND($A1132&lt;&gt;"",$B1132&lt;&gt;"",$R1132='تقرير يناير'!$C$4,$P1132='تقرير يناير'!$C$6),COUNT(AA$4:AA1131)+1,"")</f>
        <v/>
      </c>
      <c r="AB1132">
        <f>IF(AND($A1132&lt;&gt;"",$B1132&lt;&gt;"",$R1132='تقرير فبراير'!$C$4,$P1132='تقرير فبراير'!$C$6),COUNT(AB$4:AB1131)+1,"")</f>
        <v/>
      </c>
      <c r="AC1132">
        <f>IF(AND($A1132&lt;&gt;"",$B1132&lt;&gt;"",$R1132='تقرير مارس'!$C$4,$P1132='تقرير مارس'!$C$6),COUNT(AC$4:AC1131)+1,"")</f>
        <v/>
      </c>
      <c r="AD1132">
        <f>IF(AND($A1132&lt;&gt;"",$B1132&lt;&gt;"",$R1132='تقرير أبريل'!$C$4,$P1132='تقرير أبريل'!$C$6),COUNT(AD$4:AD1131)+1,"")</f>
        <v/>
      </c>
      <c r="AE1132">
        <f>IF(AND($A1132&lt;&gt;"",$B1132&lt;&gt;"",$R1132='تقرير مايو'!$C$4,$P1132='تقرير مايو'!$C$6),COUNT(AE$4:AE1131)+1,"")</f>
        <v/>
      </c>
    </row>
    <row r="1133">
      <c r="A1133" s="16" t="n"/>
      <c r="B1133" s="17" t="n"/>
      <c r="C1133" s="17" t="n"/>
      <c r="D1133" s="18" t="n"/>
      <c r="E1133" s="17" t="n"/>
      <c r="F1133" s="17" t="n"/>
      <c r="G1133" s="19" t="n"/>
      <c r="H1133" s="17" t="n"/>
      <c r="I1133" s="17" t="n"/>
      <c r="J1133" s="17" t="n"/>
      <c r="K1133" s="20">
        <f>IF($B1133="","",IFERROR(INDEX(الموظفات!$A$5:$A$304,MATCH($B1133,الموظفات!$B$5:$B$304,0))&amp;"",""))</f>
        <v/>
      </c>
      <c r="L1133" s="21">
        <f>IF($B1133="","",IFERROR(INDEX(الموظفات!$C$5:$C$304,MATCH($B1133,الموظفات!$B$5:$B$304,0))&amp;"",""))</f>
        <v/>
      </c>
      <c r="M1133" s="20">
        <f>IF($B1133="","",IFERROR(INDEX(الموظفات!$D$5:$D$304,MATCH($B1133,الموظفات!$B$5:$B$304,0))&amp;"",""))</f>
        <v/>
      </c>
      <c r="N1133" s="20">
        <f>IF($B1133="","",IFERROR(INDEX(الموظفات!$E$5:$E$304,MATCH($B1133,الموظفات!$B$5:$B$304,0))&amp;"",""))</f>
        <v/>
      </c>
      <c r="O1133" s="21">
        <f>IF(C1133="","",IFERROR(INDEX(الإعدادات!$D$7:$D$35,MATCH(C1133,الإعدادات!$A$7:$A$35,0))&amp;"",""))</f>
        <v/>
      </c>
      <c r="P1133" s="20">
        <f>IF(A1133="","",INDEX(الإعدادات!$H$7:$H$18,MONTH(A1133)))</f>
        <v/>
      </c>
      <c r="Q1133" s="20">
        <f>IF(A1133="","",INDEX(الإعدادات!$I$7:$I$18,MONTH(A1133)))</f>
        <v/>
      </c>
      <c r="R1133" s="20">
        <f>IF(A1133="","",IF(MONTH(A1133)&gt;=8,YEAR(A1133)&amp;"-"&amp;(YEAR(A1133)+1),(YEAR(A1133)-1)&amp;"-"&amp;YEAR(A1133)))</f>
        <v/>
      </c>
      <c r="S1133" s="20">
        <f>IF(OR(A1133="",B1133=""),0,IF(AND(R1133=التقارير!$C$4,OR(التقارير!$C$5="سنوي",AND(التقارير!$C$5="شهري",P1133=التقارير!$C$6),AND(التقارير!$C$5="فصلي",Q1133=التقارير!$C$7))),1,0))</f>
        <v/>
      </c>
      <c r="T1133" s="20">
        <f>IF(S1133=1,COUNTIF($S$5:S1133,1),"")</f>
        <v/>
      </c>
      <c r="U1133">
        <f>IF(AND($A1133&lt;&gt;"",$B1133&lt;&gt;"",$R1133='تقرير الفصل الأول'!$C$4,$Q1133='تقرير الفصل الأول'!$C$7),COUNT(U$4:U1132)+1,"")</f>
        <v/>
      </c>
      <c r="V1133">
        <f>IF(AND($A1133&lt;&gt;"",$B1133&lt;&gt;"",$R1133='تقرير الفصل الثاني'!$C$4,$Q1133='تقرير الفصل الثاني'!$C$7),COUNT(V$4:V1132)+1,"")</f>
        <v/>
      </c>
      <c r="W1133">
        <f>IF(AND($A1133&lt;&gt;"",$B1133&lt;&gt;"",$R1133='تقرير سبتمبر'!$C$4,$P1133='تقرير سبتمبر'!$C$6),COUNT(W$4:W1132)+1,"")</f>
        <v/>
      </c>
      <c r="X1133">
        <f>IF(AND($A1133&lt;&gt;"",$B1133&lt;&gt;"",$R1133='تقرير أكتوبر'!$C$4,$P1133='تقرير أكتوبر'!$C$6),COUNT(X$4:X1132)+1,"")</f>
        <v/>
      </c>
      <c r="Y1133">
        <f>IF(AND($A1133&lt;&gt;"",$B1133&lt;&gt;"",$R1133='تقرير نوفمبر'!$C$4,$P1133='تقرير نوفمبر'!$C$6),COUNT(Y$4:Y1132)+1,"")</f>
        <v/>
      </c>
      <c r="Z1133">
        <f>IF(AND($A1133&lt;&gt;"",$B1133&lt;&gt;"",$R1133='تقرير ديسمبر'!$C$4,$P1133='تقرير ديسمبر'!$C$6),COUNT(Z$4:Z1132)+1,"")</f>
        <v/>
      </c>
      <c r="AA1133">
        <f>IF(AND($A1133&lt;&gt;"",$B1133&lt;&gt;"",$R1133='تقرير يناير'!$C$4,$P1133='تقرير يناير'!$C$6),COUNT(AA$4:AA1132)+1,"")</f>
        <v/>
      </c>
      <c r="AB1133">
        <f>IF(AND($A1133&lt;&gt;"",$B1133&lt;&gt;"",$R1133='تقرير فبراير'!$C$4,$P1133='تقرير فبراير'!$C$6),COUNT(AB$4:AB1132)+1,"")</f>
        <v/>
      </c>
      <c r="AC1133">
        <f>IF(AND($A1133&lt;&gt;"",$B1133&lt;&gt;"",$R1133='تقرير مارس'!$C$4,$P1133='تقرير مارس'!$C$6),COUNT(AC$4:AC1132)+1,"")</f>
        <v/>
      </c>
      <c r="AD1133">
        <f>IF(AND($A1133&lt;&gt;"",$B1133&lt;&gt;"",$R1133='تقرير أبريل'!$C$4,$P1133='تقرير أبريل'!$C$6),COUNT(AD$4:AD1132)+1,"")</f>
        <v/>
      </c>
      <c r="AE1133">
        <f>IF(AND($A1133&lt;&gt;"",$B1133&lt;&gt;"",$R1133='تقرير مايو'!$C$4,$P1133='تقرير مايو'!$C$6),COUNT(AE$4:AE1132)+1,"")</f>
        <v/>
      </c>
    </row>
    <row r="1134">
      <c r="A1134" s="16" t="n"/>
      <c r="B1134" s="17" t="n"/>
      <c r="C1134" s="17" t="n"/>
      <c r="D1134" s="18" t="n"/>
      <c r="E1134" s="17" t="n"/>
      <c r="F1134" s="17" t="n"/>
      <c r="G1134" s="19" t="n"/>
      <c r="H1134" s="17" t="n"/>
      <c r="I1134" s="17" t="n"/>
      <c r="J1134" s="17" t="n"/>
      <c r="K1134" s="20">
        <f>IF($B1134="","",IFERROR(INDEX(الموظفات!$A$5:$A$304,MATCH($B1134,الموظفات!$B$5:$B$304,0))&amp;"",""))</f>
        <v/>
      </c>
      <c r="L1134" s="21">
        <f>IF($B1134="","",IFERROR(INDEX(الموظفات!$C$5:$C$304,MATCH($B1134,الموظفات!$B$5:$B$304,0))&amp;"",""))</f>
        <v/>
      </c>
      <c r="M1134" s="20">
        <f>IF($B1134="","",IFERROR(INDEX(الموظفات!$D$5:$D$304,MATCH($B1134,الموظفات!$B$5:$B$304,0))&amp;"",""))</f>
        <v/>
      </c>
      <c r="N1134" s="20">
        <f>IF($B1134="","",IFERROR(INDEX(الموظفات!$E$5:$E$304,MATCH($B1134,الموظفات!$B$5:$B$304,0))&amp;"",""))</f>
        <v/>
      </c>
      <c r="O1134" s="21">
        <f>IF(C1134="","",IFERROR(INDEX(الإعدادات!$D$7:$D$35,MATCH(C1134,الإعدادات!$A$7:$A$35,0))&amp;"",""))</f>
        <v/>
      </c>
      <c r="P1134" s="20">
        <f>IF(A1134="","",INDEX(الإعدادات!$H$7:$H$18,MONTH(A1134)))</f>
        <v/>
      </c>
      <c r="Q1134" s="20">
        <f>IF(A1134="","",INDEX(الإعدادات!$I$7:$I$18,MONTH(A1134)))</f>
        <v/>
      </c>
      <c r="R1134" s="20">
        <f>IF(A1134="","",IF(MONTH(A1134)&gt;=8,YEAR(A1134)&amp;"-"&amp;(YEAR(A1134)+1),(YEAR(A1134)-1)&amp;"-"&amp;YEAR(A1134)))</f>
        <v/>
      </c>
      <c r="S1134" s="20">
        <f>IF(OR(A1134="",B1134=""),0,IF(AND(R1134=التقارير!$C$4,OR(التقارير!$C$5="سنوي",AND(التقارير!$C$5="شهري",P1134=التقارير!$C$6),AND(التقارير!$C$5="فصلي",Q1134=التقارير!$C$7))),1,0))</f>
        <v/>
      </c>
      <c r="T1134" s="20">
        <f>IF(S1134=1,COUNTIF($S$5:S1134,1),"")</f>
        <v/>
      </c>
      <c r="U1134">
        <f>IF(AND($A1134&lt;&gt;"",$B1134&lt;&gt;"",$R1134='تقرير الفصل الأول'!$C$4,$Q1134='تقرير الفصل الأول'!$C$7),COUNT(U$4:U1133)+1,"")</f>
        <v/>
      </c>
      <c r="V1134">
        <f>IF(AND($A1134&lt;&gt;"",$B1134&lt;&gt;"",$R1134='تقرير الفصل الثاني'!$C$4,$Q1134='تقرير الفصل الثاني'!$C$7),COUNT(V$4:V1133)+1,"")</f>
        <v/>
      </c>
      <c r="W1134">
        <f>IF(AND($A1134&lt;&gt;"",$B1134&lt;&gt;"",$R1134='تقرير سبتمبر'!$C$4,$P1134='تقرير سبتمبر'!$C$6),COUNT(W$4:W1133)+1,"")</f>
        <v/>
      </c>
      <c r="X1134">
        <f>IF(AND($A1134&lt;&gt;"",$B1134&lt;&gt;"",$R1134='تقرير أكتوبر'!$C$4,$P1134='تقرير أكتوبر'!$C$6),COUNT(X$4:X1133)+1,"")</f>
        <v/>
      </c>
      <c r="Y1134">
        <f>IF(AND($A1134&lt;&gt;"",$B1134&lt;&gt;"",$R1134='تقرير نوفمبر'!$C$4,$P1134='تقرير نوفمبر'!$C$6),COUNT(Y$4:Y1133)+1,"")</f>
        <v/>
      </c>
      <c r="Z1134">
        <f>IF(AND($A1134&lt;&gt;"",$B1134&lt;&gt;"",$R1134='تقرير ديسمبر'!$C$4,$P1134='تقرير ديسمبر'!$C$6),COUNT(Z$4:Z1133)+1,"")</f>
        <v/>
      </c>
      <c r="AA1134">
        <f>IF(AND($A1134&lt;&gt;"",$B1134&lt;&gt;"",$R1134='تقرير يناير'!$C$4,$P1134='تقرير يناير'!$C$6),COUNT(AA$4:AA1133)+1,"")</f>
        <v/>
      </c>
      <c r="AB1134">
        <f>IF(AND($A1134&lt;&gt;"",$B1134&lt;&gt;"",$R1134='تقرير فبراير'!$C$4,$P1134='تقرير فبراير'!$C$6),COUNT(AB$4:AB1133)+1,"")</f>
        <v/>
      </c>
      <c r="AC1134">
        <f>IF(AND($A1134&lt;&gt;"",$B1134&lt;&gt;"",$R1134='تقرير مارس'!$C$4,$P1134='تقرير مارس'!$C$6),COUNT(AC$4:AC1133)+1,"")</f>
        <v/>
      </c>
      <c r="AD1134">
        <f>IF(AND($A1134&lt;&gt;"",$B1134&lt;&gt;"",$R1134='تقرير أبريل'!$C$4,$P1134='تقرير أبريل'!$C$6),COUNT(AD$4:AD1133)+1,"")</f>
        <v/>
      </c>
      <c r="AE1134">
        <f>IF(AND($A1134&lt;&gt;"",$B1134&lt;&gt;"",$R1134='تقرير مايو'!$C$4,$P1134='تقرير مايو'!$C$6),COUNT(AE$4:AE1133)+1,"")</f>
        <v/>
      </c>
    </row>
    <row r="1135">
      <c r="A1135" s="16" t="n"/>
      <c r="B1135" s="17" t="n"/>
      <c r="C1135" s="17" t="n"/>
      <c r="D1135" s="18" t="n"/>
      <c r="E1135" s="17" t="n"/>
      <c r="F1135" s="17" t="n"/>
      <c r="G1135" s="19" t="n"/>
      <c r="H1135" s="17" t="n"/>
      <c r="I1135" s="17" t="n"/>
      <c r="J1135" s="17" t="n"/>
      <c r="K1135" s="20">
        <f>IF($B1135="","",IFERROR(INDEX(الموظفات!$A$5:$A$304,MATCH($B1135,الموظفات!$B$5:$B$304,0))&amp;"",""))</f>
        <v/>
      </c>
      <c r="L1135" s="21">
        <f>IF($B1135="","",IFERROR(INDEX(الموظفات!$C$5:$C$304,MATCH($B1135,الموظفات!$B$5:$B$304,0))&amp;"",""))</f>
        <v/>
      </c>
      <c r="M1135" s="20">
        <f>IF($B1135="","",IFERROR(INDEX(الموظفات!$D$5:$D$304,MATCH($B1135,الموظفات!$B$5:$B$304,0))&amp;"",""))</f>
        <v/>
      </c>
      <c r="N1135" s="20">
        <f>IF($B1135="","",IFERROR(INDEX(الموظفات!$E$5:$E$304,MATCH($B1135,الموظفات!$B$5:$B$304,0))&amp;"",""))</f>
        <v/>
      </c>
      <c r="O1135" s="21">
        <f>IF(C1135="","",IFERROR(INDEX(الإعدادات!$D$7:$D$35,MATCH(C1135,الإعدادات!$A$7:$A$35,0))&amp;"",""))</f>
        <v/>
      </c>
      <c r="P1135" s="20">
        <f>IF(A1135="","",INDEX(الإعدادات!$H$7:$H$18,MONTH(A1135)))</f>
        <v/>
      </c>
      <c r="Q1135" s="20">
        <f>IF(A1135="","",INDEX(الإعدادات!$I$7:$I$18,MONTH(A1135)))</f>
        <v/>
      </c>
      <c r="R1135" s="20">
        <f>IF(A1135="","",IF(MONTH(A1135)&gt;=8,YEAR(A1135)&amp;"-"&amp;(YEAR(A1135)+1),(YEAR(A1135)-1)&amp;"-"&amp;YEAR(A1135)))</f>
        <v/>
      </c>
      <c r="S1135" s="20">
        <f>IF(OR(A1135="",B1135=""),0,IF(AND(R1135=التقارير!$C$4,OR(التقارير!$C$5="سنوي",AND(التقارير!$C$5="شهري",P1135=التقارير!$C$6),AND(التقارير!$C$5="فصلي",Q1135=التقارير!$C$7))),1,0))</f>
        <v/>
      </c>
      <c r="T1135" s="20">
        <f>IF(S1135=1,COUNTIF($S$5:S1135,1),"")</f>
        <v/>
      </c>
      <c r="U1135">
        <f>IF(AND($A1135&lt;&gt;"",$B1135&lt;&gt;"",$R1135='تقرير الفصل الأول'!$C$4,$Q1135='تقرير الفصل الأول'!$C$7),COUNT(U$4:U1134)+1,"")</f>
        <v/>
      </c>
      <c r="V1135">
        <f>IF(AND($A1135&lt;&gt;"",$B1135&lt;&gt;"",$R1135='تقرير الفصل الثاني'!$C$4,$Q1135='تقرير الفصل الثاني'!$C$7),COUNT(V$4:V1134)+1,"")</f>
        <v/>
      </c>
      <c r="W1135">
        <f>IF(AND($A1135&lt;&gt;"",$B1135&lt;&gt;"",$R1135='تقرير سبتمبر'!$C$4,$P1135='تقرير سبتمبر'!$C$6),COUNT(W$4:W1134)+1,"")</f>
        <v/>
      </c>
      <c r="X1135">
        <f>IF(AND($A1135&lt;&gt;"",$B1135&lt;&gt;"",$R1135='تقرير أكتوبر'!$C$4,$P1135='تقرير أكتوبر'!$C$6),COUNT(X$4:X1134)+1,"")</f>
        <v/>
      </c>
      <c r="Y1135">
        <f>IF(AND($A1135&lt;&gt;"",$B1135&lt;&gt;"",$R1135='تقرير نوفمبر'!$C$4,$P1135='تقرير نوفمبر'!$C$6),COUNT(Y$4:Y1134)+1,"")</f>
        <v/>
      </c>
      <c r="Z1135">
        <f>IF(AND($A1135&lt;&gt;"",$B1135&lt;&gt;"",$R1135='تقرير ديسمبر'!$C$4,$P1135='تقرير ديسمبر'!$C$6),COUNT(Z$4:Z1134)+1,"")</f>
        <v/>
      </c>
      <c r="AA1135">
        <f>IF(AND($A1135&lt;&gt;"",$B1135&lt;&gt;"",$R1135='تقرير يناير'!$C$4,$P1135='تقرير يناير'!$C$6),COUNT(AA$4:AA1134)+1,"")</f>
        <v/>
      </c>
      <c r="AB1135">
        <f>IF(AND($A1135&lt;&gt;"",$B1135&lt;&gt;"",$R1135='تقرير فبراير'!$C$4,$P1135='تقرير فبراير'!$C$6),COUNT(AB$4:AB1134)+1,"")</f>
        <v/>
      </c>
      <c r="AC1135">
        <f>IF(AND($A1135&lt;&gt;"",$B1135&lt;&gt;"",$R1135='تقرير مارس'!$C$4,$P1135='تقرير مارس'!$C$6),COUNT(AC$4:AC1134)+1,"")</f>
        <v/>
      </c>
      <c r="AD1135">
        <f>IF(AND($A1135&lt;&gt;"",$B1135&lt;&gt;"",$R1135='تقرير أبريل'!$C$4,$P1135='تقرير أبريل'!$C$6),COUNT(AD$4:AD1134)+1,"")</f>
        <v/>
      </c>
      <c r="AE1135">
        <f>IF(AND($A1135&lt;&gt;"",$B1135&lt;&gt;"",$R1135='تقرير مايو'!$C$4,$P1135='تقرير مايو'!$C$6),COUNT(AE$4:AE1134)+1,"")</f>
        <v/>
      </c>
    </row>
    <row r="1136">
      <c r="A1136" s="16" t="n"/>
      <c r="B1136" s="17" t="n"/>
      <c r="C1136" s="17" t="n"/>
      <c r="D1136" s="18" t="n"/>
      <c r="E1136" s="17" t="n"/>
      <c r="F1136" s="17" t="n"/>
      <c r="G1136" s="19" t="n"/>
      <c r="H1136" s="17" t="n"/>
      <c r="I1136" s="17" t="n"/>
      <c r="J1136" s="17" t="n"/>
      <c r="K1136" s="20">
        <f>IF($B1136="","",IFERROR(INDEX(الموظفات!$A$5:$A$304,MATCH($B1136,الموظفات!$B$5:$B$304,0))&amp;"",""))</f>
        <v/>
      </c>
      <c r="L1136" s="21">
        <f>IF($B1136="","",IFERROR(INDEX(الموظفات!$C$5:$C$304,MATCH($B1136,الموظفات!$B$5:$B$304,0))&amp;"",""))</f>
        <v/>
      </c>
      <c r="M1136" s="20">
        <f>IF($B1136="","",IFERROR(INDEX(الموظفات!$D$5:$D$304,MATCH($B1136,الموظفات!$B$5:$B$304,0))&amp;"",""))</f>
        <v/>
      </c>
      <c r="N1136" s="20">
        <f>IF($B1136="","",IFERROR(INDEX(الموظفات!$E$5:$E$304,MATCH($B1136,الموظفات!$B$5:$B$304,0))&amp;"",""))</f>
        <v/>
      </c>
      <c r="O1136" s="21">
        <f>IF(C1136="","",IFERROR(INDEX(الإعدادات!$D$7:$D$35,MATCH(C1136,الإعدادات!$A$7:$A$35,0))&amp;"",""))</f>
        <v/>
      </c>
      <c r="P1136" s="20">
        <f>IF(A1136="","",INDEX(الإعدادات!$H$7:$H$18,MONTH(A1136)))</f>
        <v/>
      </c>
      <c r="Q1136" s="20">
        <f>IF(A1136="","",INDEX(الإعدادات!$I$7:$I$18,MONTH(A1136)))</f>
        <v/>
      </c>
      <c r="R1136" s="20">
        <f>IF(A1136="","",IF(MONTH(A1136)&gt;=8,YEAR(A1136)&amp;"-"&amp;(YEAR(A1136)+1),(YEAR(A1136)-1)&amp;"-"&amp;YEAR(A1136)))</f>
        <v/>
      </c>
      <c r="S1136" s="20">
        <f>IF(OR(A1136="",B1136=""),0,IF(AND(R1136=التقارير!$C$4,OR(التقارير!$C$5="سنوي",AND(التقارير!$C$5="شهري",P1136=التقارير!$C$6),AND(التقارير!$C$5="فصلي",Q1136=التقارير!$C$7))),1,0))</f>
        <v/>
      </c>
      <c r="T1136" s="20">
        <f>IF(S1136=1,COUNTIF($S$5:S1136,1),"")</f>
        <v/>
      </c>
      <c r="U1136">
        <f>IF(AND($A1136&lt;&gt;"",$B1136&lt;&gt;"",$R1136='تقرير الفصل الأول'!$C$4,$Q1136='تقرير الفصل الأول'!$C$7),COUNT(U$4:U1135)+1,"")</f>
        <v/>
      </c>
      <c r="V1136">
        <f>IF(AND($A1136&lt;&gt;"",$B1136&lt;&gt;"",$R1136='تقرير الفصل الثاني'!$C$4,$Q1136='تقرير الفصل الثاني'!$C$7),COUNT(V$4:V1135)+1,"")</f>
        <v/>
      </c>
      <c r="W1136">
        <f>IF(AND($A1136&lt;&gt;"",$B1136&lt;&gt;"",$R1136='تقرير سبتمبر'!$C$4,$P1136='تقرير سبتمبر'!$C$6),COUNT(W$4:W1135)+1,"")</f>
        <v/>
      </c>
      <c r="X1136">
        <f>IF(AND($A1136&lt;&gt;"",$B1136&lt;&gt;"",$R1136='تقرير أكتوبر'!$C$4,$P1136='تقرير أكتوبر'!$C$6),COUNT(X$4:X1135)+1,"")</f>
        <v/>
      </c>
      <c r="Y1136">
        <f>IF(AND($A1136&lt;&gt;"",$B1136&lt;&gt;"",$R1136='تقرير نوفمبر'!$C$4,$P1136='تقرير نوفمبر'!$C$6),COUNT(Y$4:Y1135)+1,"")</f>
        <v/>
      </c>
      <c r="Z1136">
        <f>IF(AND($A1136&lt;&gt;"",$B1136&lt;&gt;"",$R1136='تقرير ديسمبر'!$C$4,$P1136='تقرير ديسمبر'!$C$6),COUNT(Z$4:Z1135)+1,"")</f>
        <v/>
      </c>
      <c r="AA1136">
        <f>IF(AND($A1136&lt;&gt;"",$B1136&lt;&gt;"",$R1136='تقرير يناير'!$C$4,$P1136='تقرير يناير'!$C$6),COUNT(AA$4:AA1135)+1,"")</f>
        <v/>
      </c>
      <c r="AB1136">
        <f>IF(AND($A1136&lt;&gt;"",$B1136&lt;&gt;"",$R1136='تقرير فبراير'!$C$4,$P1136='تقرير فبراير'!$C$6),COUNT(AB$4:AB1135)+1,"")</f>
        <v/>
      </c>
      <c r="AC1136">
        <f>IF(AND($A1136&lt;&gt;"",$B1136&lt;&gt;"",$R1136='تقرير مارس'!$C$4,$P1136='تقرير مارس'!$C$6),COUNT(AC$4:AC1135)+1,"")</f>
        <v/>
      </c>
      <c r="AD1136">
        <f>IF(AND($A1136&lt;&gt;"",$B1136&lt;&gt;"",$R1136='تقرير أبريل'!$C$4,$P1136='تقرير أبريل'!$C$6),COUNT(AD$4:AD1135)+1,"")</f>
        <v/>
      </c>
      <c r="AE1136">
        <f>IF(AND($A1136&lt;&gt;"",$B1136&lt;&gt;"",$R1136='تقرير مايو'!$C$4,$P1136='تقرير مايو'!$C$6),COUNT(AE$4:AE1135)+1,"")</f>
        <v/>
      </c>
    </row>
    <row r="1137">
      <c r="A1137" s="16" t="n"/>
      <c r="B1137" s="17" t="n"/>
      <c r="C1137" s="17" t="n"/>
      <c r="D1137" s="18" t="n"/>
      <c r="E1137" s="17" t="n"/>
      <c r="F1137" s="17" t="n"/>
      <c r="G1137" s="19" t="n"/>
      <c r="H1137" s="17" t="n"/>
      <c r="I1137" s="17" t="n"/>
      <c r="J1137" s="17" t="n"/>
      <c r="K1137" s="20">
        <f>IF($B1137="","",IFERROR(INDEX(الموظفات!$A$5:$A$304,MATCH($B1137,الموظفات!$B$5:$B$304,0))&amp;"",""))</f>
        <v/>
      </c>
      <c r="L1137" s="21">
        <f>IF($B1137="","",IFERROR(INDEX(الموظفات!$C$5:$C$304,MATCH($B1137,الموظفات!$B$5:$B$304,0))&amp;"",""))</f>
        <v/>
      </c>
      <c r="M1137" s="20">
        <f>IF($B1137="","",IFERROR(INDEX(الموظفات!$D$5:$D$304,MATCH($B1137,الموظفات!$B$5:$B$304,0))&amp;"",""))</f>
        <v/>
      </c>
      <c r="N1137" s="20">
        <f>IF($B1137="","",IFERROR(INDEX(الموظفات!$E$5:$E$304,MATCH($B1137,الموظفات!$B$5:$B$304,0))&amp;"",""))</f>
        <v/>
      </c>
      <c r="O1137" s="21">
        <f>IF(C1137="","",IFERROR(INDEX(الإعدادات!$D$7:$D$35,MATCH(C1137,الإعدادات!$A$7:$A$35,0))&amp;"",""))</f>
        <v/>
      </c>
      <c r="P1137" s="20">
        <f>IF(A1137="","",INDEX(الإعدادات!$H$7:$H$18,MONTH(A1137)))</f>
        <v/>
      </c>
      <c r="Q1137" s="20">
        <f>IF(A1137="","",INDEX(الإعدادات!$I$7:$I$18,MONTH(A1137)))</f>
        <v/>
      </c>
      <c r="R1137" s="20">
        <f>IF(A1137="","",IF(MONTH(A1137)&gt;=8,YEAR(A1137)&amp;"-"&amp;(YEAR(A1137)+1),(YEAR(A1137)-1)&amp;"-"&amp;YEAR(A1137)))</f>
        <v/>
      </c>
      <c r="S1137" s="20">
        <f>IF(OR(A1137="",B1137=""),0,IF(AND(R1137=التقارير!$C$4,OR(التقارير!$C$5="سنوي",AND(التقارير!$C$5="شهري",P1137=التقارير!$C$6),AND(التقارير!$C$5="فصلي",Q1137=التقارير!$C$7))),1,0))</f>
        <v/>
      </c>
      <c r="T1137" s="20">
        <f>IF(S1137=1,COUNTIF($S$5:S1137,1),"")</f>
        <v/>
      </c>
      <c r="U1137">
        <f>IF(AND($A1137&lt;&gt;"",$B1137&lt;&gt;"",$R1137='تقرير الفصل الأول'!$C$4,$Q1137='تقرير الفصل الأول'!$C$7),COUNT(U$4:U1136)+1,"")</f>
        <v/>
      </c>
      <c r="V1137">
        <f>IF(AND($A1137&lt;&gt;"",$B1137&lt;&gt;"",$R1137='تقرير الفصل الثاني'!$C$4,$Q1137='تقرير الفصل الثاني'!$C$7),COUNT(V$4:V1136)+1,"")</f>
        <v/>
      </c>
      <c r="W1137">
        <f>IF(AND($A1137&lt;&gt;"",$B1137&lt;&gt;"",$R1137='تقرير سبتمبر'!$C$4,$P1137='تقرير سبتمبر'!$C$6),COUNT(W$4:W1136)+1,"")</f>
        <v/>
      </c>
      <c r="X1137">
        <f>IF(AND($A1137&lt;&gt;"",$B1137&lt;&gt;"",$R1137='تقرير أكتوبر'!$C$4,$P1137='تقرير أكتوبر'!$C$6),COUNT(X$4:X1136)+1,"")</f>
        <v/>
      </c>
      <c r="Y1137">
        <f>IF(AND($A1137&lt;&gt;"",$B1137&lt;&gt;"",$R1137='تقرير نوفمبر'!$C$4,$P1137='تقرير نوفمبر'!$C$6),COUNT(Y$4:Y1136)+1,"")</f>
        <v/>
      </c>
      <c r="Z1137">
        <f>IF(AND($A1137&lt;&gt;"",$B1137&lt;&gt;"",$R1137='تقرير ديسمبر'!$C$4,$P1137='تقرير ديسمبر'!$C$6),COUNT(Z$4:Z1136)+1,"")</f>
        <v/>
      </c>
      <c r="AA1137">
        <f>IF(AND($A1137&lt;&gt;"",$B1137&lt;&gt;"",$R1137='تقرير يناير'!$C$4,$P1137='تقرير يناير'!$C$6),COUNT(AA$4:AA1136)+1,"")</f>
        <v/>
      </c>
      <c r="AB1137">
        <f>IF(AND($A1137&lt;&gt;"",$B1137&lt;&gt;"",$R1137='تقرير فبراير'!$C$4,$P1137='تقرير فبراير'!$C$6),COUNT(AB$4:AB1136)+1,"")</f>
        <v/>
      </c>
      <c r="AC1137">
        <f>IF(AND($A1137&lt;&gt;"",$B1137&lt;&gt;"",$R1137='تقرير مارس'!$C$4,$P1137='تقرير مارس'!$C$6),COUNT(AC$4:AC1136)+1,"")</f>
        <v/>
      </c>
      <c r="AD1137">
        <f>IF(AND($A1137&lt;&gt;"",$B1137&lt;&gt;"",$R1137='تقرير أبريل'!$C$4,$P1137='تقرير أبريل'!$C$6),COUNT(AD$4:AD1136)+1,"")</f>
        <v/>
      </c>
      <c r="AE1137">
        <f>IF(AND($A1137&lt;&gt;"",$B1137&lt;&gt;"",$R1137='تقرير مايو'!$C$4,$P1137='تقرير مايو'!$C$6),COUNT(AE$4:AE1136)+1,"")</f>
        <v/>
      </c>
    </row>
    <row r="1138">
      <c r="A1138" s="16" t="n"/>
      <c r="B1138" s="17" t="n"/>
      <c r="C1138" s="17" t="n"/>
      <c r="D1138" s="18" t="n"/>
      <c r="E1138" s="17" t="n"/>
      <c r="F1138" s="17" t="n"/>
      <c r="G1138" s="19" t="n"/>
      <c r="H1138" s="17" t="n"/>
      <c r="I1138" s="17" t="n"/>
      <c r="J1138" s="17" t="n"/>
      <c r="K1138" s="20">
        <f>IF($B1138="","",IFERROR(INDEX(الموظفات!$A$5:$A$304,MATCH($B1138,الموظفات!$B$5:$B$304,0))&amp;"",""))</f>
        <v/>
      </c>
      <c r="L1138" s="21">
        <f>IF($B1138="","",IFERROR(INDEX(الموظفات!$C$5:$C$304,MATCH($B1138,الموظفات!$B$5:$B$304,0))&amp;"",""))</f>
        <v/>
      </c>
      <c r="M1138" s="20">
        <f>IF($B1138="","",IFERROR(INDEX(الموظفات!$D$5:$D$304,MATCH($B1138,الموظفات!$B$5:$B$304,0))&amp;"",""))</f>
        <v/>
      </c>
      <c r="N1138" s="20">
        <f>IF($B1138="","",IFERROR(INDEX(الموظفات!$E$5:$E$304,MATCH($B1138,الموظفات!$B$5:$B$304,0))&amp;"",""))</f>
        <v/>
      </c>
      <c r="O1138" s="21">
        <f>IF(C1138="","",IFERROR(INDEX(الإعدادات!$D$7:$D$35,MATCH(C1138,الإعدادات!$A$7:$A$35,0))&amp;"",""))</f>
        <v/>
      </c>
      <c r="P1138" s="20">
        <f>IF(A1138="","",INDEX(الإعدادات!$H$7:$H$18,MONTH(A1138)))</f>
        <v/>
      </c>
      <c r="Q1138" s="20">
        <f>IF(A1138="","",INDEX(الإعدادات!$I$7:$I$18,MONTH(A1138)))</f>
        <v/>
      </c>
      <c r="R1138" s="20">
        <f>IF(A1138="","",IF(MONTH(A1138)&gt;=8,YEAR(A1138)&amp;"-"&amp;(YEAR(A1138)+1),(YEAR(A1138)-1)&amp;"-"&amp;YEAR(A1138)))</f>
        <v/>
      </c>
      <c r="S1138" s="20">
        <f>IF(OR(A1138="",B1138=""),0,IF(AND(R1138=التقارير!$C$4,OR(التقارير!$C$5="سنوي",AND(التقارير!$C$5="شهري",P1138=التقارير!$C$6),AND(التقارير!$C$5="فصلي",Q1138=التقارير!$C$7))),1,0))</f>
        <v/>
      </c>
      <c r="T1138" s="20">
        <f>IF(S1138=1,COUNTIF($S$5:S1138,1),"")</f>
        <v/>
      </c>
      <c r="U1138">
        <f>IF(AND($A1138&lt;&gt;"",$B1138&lt;&gt;"",$R1138='تقرير الفصل الأول'!$C$4,$Q1138='تقرير الفصل الأول'!$C$7),COUNT(U$4:U1137)+1,"")</f>
        <v/>
      </c>
      <c r="V1138">
        <f>IF(AND($A1138&lt;&gt;"",$B1138&lt;&gt;"",$R1138='تقرير الفصل الثاني'!$C$4,$Q1138='تقرير الفصل الثاني'!$C$7),COUNT(V$4:V1137)+1,"")</f>
        <v/>
      </c>
      <c r="W1138">
        <f>IF(AND($A1138&lt;&gt;"",$B1138&lt;&gt;"",$R1138='تقرير سبتمبر'!$C$4,$P1138='تقرير سبتمبر'!$C$6),COUNT(W$4:W1137)+1,"")</f>
        <v/>
      </c>
      <c r="X1138">
        <f>IF(AND($A1138&lt;&gt;"",$B1138&lt;&gt;"",$R1138='تقرير أكتوبر'!$C$4,$P1138='تقرير أكتوبر'!$C$6),COUNT(X$4:X1137)+1,"")</f>
        <v/>
      </c>
      <c r="Y1138">
        <f>IF(AND($A1138&lt;&gt;"",$B1138&lt;&gt;"",$R1138='تقرير نوفمبر'!$C$4,$P1138='تقرير نوفمبر'!$C$6),COUNT(Y$4:Y1137)+1,"")</f>
        <v/>
      </c>
      <c r="Z1138">
        <f>IF(AND($A1138&lt;&gt;"",$B1138&lt;&gt;"",$R1138='تقرير ديسمبر'!$C$4,$P1138='تقرير ديسمبر'!$C$6),COUNT(Z$4:Z1137)+1,"")</f>
        <v/>
      </c>
      <c r="AA1138">
        <f>IF(AND($A1138&lt;&gt;"",$B1138&lt;&gt;"",$R1138='تقرير يناير'!$C$4,$P1138='تقرير يناير'!$C$6),COUNT(AA$4:AA1137)+1,"")</f>
        <v/>
      </c>
      <c r="AB1138">
        <f>IF(AND($A1138&lt;&gt;"",$B1138&lt;&gt;"",$R1138='تقرير فبراير'!$C$4,$P1138='تقرير فبراير'!$C$6),COUNT(AB$4:AB1137)+1,"")</f>
        <v/>
      </c>
      <c r="AC1138">
        <f>IF(AND($A1138&lt;&gt;"",$B1138&lt;&gt;"",$R1138='تقرير مارس'!$C$4,$P1138='تقرير مارس'!$C$6),COUNT(AC$4:AC1137)+1,"")</f>
        <v/>
      </c>
      <c r="AD1138">
        <f>IF(AND($A1138&lt;&gt;"",$B1138&lt;&gt;"",$R1138='تقرير أبريل'!$C$4,$P1138='تقرير أبريل'!$C$6),COUNT(AD$4:AD1137)+1,"")</f>
        <v/>
      </c>
      <c r="AE1138">
        <f>IF(AND($A1138&lt;&gt;"",$B1138&lt;&gt;"",$R1138='تقرير مايو'!$C$4,$P1138='تقرير مايو'!$C$6),COUNT(AE$4:AE1137)+1,"")</f>
        <v/>
      </c>
    </row>
    <row r="1139">
      <c r="A1139" s="16" t="n"/>
      <c r="B1139" s="17" t="n"/>
      <c r="C1139" s="17" t="n"/>
      <c r="D1139" s="18" t="n"/>
      <c r="E1139" s="17" t="n"/>
      <c r="F1139" s="17" t="n"/>
      <c r="G1139" s="19" t="n"/>
      <c r="H1139" s="17" t="n"/>
      <c r="I1139" s="17" t="n"/>
      <c r="J1139" s="17" t="n"/>
      <c r="K1139" s="20">
        <f>IF($B1139="","",IFERROR(INDEX(الموظفات!$A$5:$A$304,MATCH($B1139,الموظفات!$B$5:$B$304,0))&amp;"",""))</f>
        <v/>
      </c>
      <c r="L1139" s="21">
        <f>IF($B1139="","",IFERROR(INDEX(الموظفات!$C$5:$C$304,MATCH($B1139,الموظفات!$B$5:$B$304,0))&amp;"",""))</f>
        <v/>
      </c>
      <c r="M1139" s="20">
        <f>IF($B1139="","",IFERROR(INDEX(الموظفات!$D$5:$D$304,MATCH($B1139,الموظفات!$B$5:$B$304,0))&amp;"",""))</f>
        <v/>
      </c>
      <c r="N1139" s="20">
        <f>IF($B1139="","",IFERROR(INDEX(الموظفات!$E$5:$E$304,MATCH($B1139,الموظفات!$B$5:$B$304,0))&amp;"",""))</f>
        <v/>
      </c>
      <c r="O1139" s="21">
        <f>IF(C1139="","",IFERROR(INDEX(الإعدادات!$D$7:$D$35,MATCH(C1139,الإعدادات!$A$7:$A$35,0))&amp;"",""))</f>
        <v/>
      </c>
      <c r="P1139" s="20">
        <f>IF(A1139="","",INDEX(الإعدادات!$H$7:$H$18,MONTH(A1139)))</f>
        <v/>
      </c>
      <c r="Q1139" s="20">
        <f>IF(A1139="","",INDEX(الإعدادات!$I$7:$I$18,MONTH(A1139)))</f>
        <v/>
      </c>
      <c r="R1139" s="20">
        <f>IF(A1139="","",IF(MONTH(A1139)&gt;=8,YEAR(A1139)&amp;"-"&amp;(YEAR(A1139)+1),(YEAR(A1139)-1)&amp;"-"&amp;YEAR(A1139)))</f>
        <v/>
      </c>
      <c r="S1139" s="20">
        <f>IF(OR(A1139="",B1139=""),0,IF(AND(R1139=التقارير!$C$4,OR(التقارير!$C$5="سنوي",AND(التقارير!$C$5="شهري",P1139=التقارير!$C$6),AND(التقارير!$C$5="فصلي",Q1139=التقارير!$C$7))),1,0))</f>
        <v/>
      </c>
      <c r="T1139" s="20">
        <f>IF(S1139=1,COUNTIF($S$5:S1139,1),"")</f>
        <v/>
      </c>
      <c r="U1139">
        <f>IF(AND($A1139&lt;&gt;"",$B1139&lt;&gt;"",$R1139='تقرير الفصل الأول'!$C$4,$Q1139='تقرير الفصل الأول'!$C$7),COUNT(U$4:U1138)+1,"")</f>
        <v/>
      </c>
      <c r="V1139">
        <f>IF(AND($A1139&lt;&gt;"",$B1139&lt;&gt;"",$R1139='تقرير الفصل الثاني'!$C$4,$Q1139='تقرير الفصل الثاني'!$C$7),COUNT(V$4:V1138)+1,"")</f>
        <v/>
      </c>
      <c r="W1139">
        <f>IF(AND($A1139&lt;&gt;"",$B1139&lt;&gt;"",$R1139='تقرير سبتمبر'!$C$4,$P1139='تقرير سبتمبر'!$C$6),COUNT(W$4:W1138)+1,"")</f>
        <v/>
      </c>
      <c r="X1139">
        <f>IF(AND($A1139&lt;&gt;"",$B1139&lt;&gt;"",$R1139='تقرير أكتوبر'!$C$4,$P1139='تقرير أكتوبر'!$C$6),COUNT(X$4:X1138)+1,"")</f>
        <v/>
      </c>
      <c r="Y1139">
        <f>IF(AND($A1139&lt;&gt;"",$B1139&lt;&gt;"",$R1139='تقرير نوفمبر'!$C$4,$P1139='تقرير نوفمبر'!$C$6),COUNT(Y$4:Y1138)+1,"")</f>
        <v/>
      </c>
      <c r="Z1139">
        <f>IF(AND($A1139&lt;&gt;"",$B1139&lt;&gt;"",$R1139='تقرير ديسمبر'!$C$4,$P1139='تقرير ديسمبر'!$C$6),COUNT(Z$4:Z1138)+1,"")</f>
        <v/>
      </c>
      <c r="AA1139">
        <f>IF(AND($A1139&lt;&gt;"",$B1139&lt;&gt;"",$R1139='تقرير يناير'!$C$4,$P1139='تقرير يناير'!$C$6),COUNT(AA$4:AA1138)+1,"")</f>
        <v/>
      </c>
      <c r="AB1139">
        <f>IF(AND($A1139&lt;&gt;"",$B1139&lt;&gt;"",$R1139='تقرير فبراير'!$C$4,$P1139='تقرير فبراير'!$C$6),COUNT(AB$4:AB1138)+1,"")</f>
        <v/>
      </c>
      <c r="AC1139">
        <f>IF(AND($A1139&lt;&gt;"",$B1139&lt;&gt;"",$R1139='تقرير مارس'!$C$4,$P1139='تقرير مارس'!$C$6),COUNT(AC$4:AC1138)+1,"")</f>
        <v/>
      </c>
      <c r="AD1139">
        <f>IF(AND($A1139&lt;&gt;"",$B1139&lt;&gt;"",$R1139='تقرير أبريل'!$C$4,$P1139='تقرير أبريل'!$C$6),COUNT(AD$4:AD1138)+1,"")</f>
        <v/>
      </c>
      <c r="AE1139">
        <f>IF(AND($A1139&lt;&gt;"",$B1139&lt;&gt;"",$R1139='تقرير مايو'!$C$4,$P1139='تقرير مايو'!$C$6),COUNT(AE$4:AE1138)+1,"")</f>
        <v/>
      </c>
    </row>
    <row r="1140">
      <c r="A1140" s="16" t="n"/>
      <c r="B1140" s="17" t="n"/>
      <c r="C1140" s="17" t="n"/>
      <c r="D1140" s="18" t="n"/>
      <c r="E1140" s="17" t="n"/>
      <c r="F1140" s="17" t="n"/>
      <c r="G1140" s="19" t="n"/>
      <c r="H1140" s="17" t="n"/>
      <c r="I1140" s="17" t="n"/>
      <c r="J1140" s="17" t="n"/>
      <c r="K1140" s="20">
        <f>IF($B1140="","",IFERROR(INDEX(الموظفات!$A$5:$A$304,MATCH($B1140,الموظفات!$B$5:$B$304,0))&amp;"",""))</f>
        <v/>
      </c>
      <c r="L1140" s="21">
        <f>IF($B1140="","",IFERROR(INDEX(الموظفات!$C$5:$C$304,MATCH($B1140,الموظفات!$B$5:$B$304,0))&amp;"",""))</f>
        <v/>
      </c>
      <c r="M1140" s="20">
        <f>IF($B1140="","",IFERROR(INDEX(الموظفات!$D$5:$D$304,MATCH($B1140,الموظفات!$B$5:$B$304,0))&amp;"",""))</f>
        <v/>
      </c>
      <c r="N1140" s="20">
        <f>IF($B1140="","",IFERROR(INDEX(الموظفات!$E$5:$E$304,MATCH($B1140,الموظفات!$B$5:$B$304,0))&amp;"",""))</f>
        <v/>
      </c>
      <c r="O1140" s="21">
        <f>IF(C1140="","",IFERROR(INDEX(الإعدادات!$D$7:$D$35,MATCH(C1140,الإعدادات!$A$7:$A$35,0))&amp;"",""))</f>
        <v/>
      </c>
      <c r="P1140" s="20">
        <f>IF(A1140="","",INDEX(الإعدادات!$H$7:$H$18,MONTH(A1140)))</f>
        <v/>
      </c>
      <c r="Q1140" s="20">
        <f>IF(A1140="","",INDEX(الإعدادات!$I$7:$I$18,MONTH(A1140)))</f>
        <v/>
      </c>
      <c r="R1140" s="20">
        <f>IF(A1140="","",IF(MONTH(A1140)&gt;=8,YEAR(A1140)&amp;"-"&amp;(YEAR(A1140)+1),(YEAR(A1140)-1)&amp;"-"&amp;YEAR(A1140)))</f>
        <v/>
      </c>
      <c r="S1140" s="20">
        <f>IF(OR(A1140="",B1140=""),0,IF(AND(R1140=التقارير!$C$4,OR(التقارير!$C$5="سنوي",AND(التقارير!$C$5="شهري",P1140=التقارير!$C$6),AND(التقارير!$C$5="فصلي",Q1140=التقارير!$C$7))),1,0))</f>
        <v/>
      </c>
      <c r="T1140" s="20">
        <f>IF(S1140=1,COUNTIF($S$5:S1140,1),"")</f>
        <v/>
      </c>
      <c r="U1140">
        <f>IF(AND($A1140&lt;&gt;"",$B1140&lt;&gt;"",$R1140='تقرير الفصل الأول'!$C$4,$Q1140='تقرير الفصل الأول'!$C$7),COUNT(U$4:U1139)+1,"")</f>
        <v/>
      </c>
      <c r="V1140">
        <f>IF(AND($A1140&lt;&gt;"",$B1140&lt;&gt;"",$R1140='تقرير الفصل الثاني'!$C$4,$Q1140='تقرير الفصل الثاني'!$C$7),COUNT(V$4:V1139)+1,"")</f>
        <v/>
      </c>
      <c r="W1140">
        <f>IF(AND($A1140&lt;&gt;"",$B1140&lt;&gt;"",$R1140='تقرير سبتمبر'!$C$4,$P1140='تقرير سبتمبر'!$C$6),COUNT(W$4:W1139)+1,"")</f>
        <v/>
      </c>
      <c r="X1140">
        <f>IF(AND($A1140&lt;&gt;"",$B1140&lt;&gt;"",$R1140='تقرير أكتوبر'!$C$4,$P1140='تقرير أكتوبر'!$C$6),COUNT(X$4:X1139)+1,"")</f>
        <v/>
      </c>
      <c r="Y1140">
        <f>IF(AND($A1140&lt;&gt;"",$B1140&lt;&gt;"",$R1140='تقرير نوفمبر'!$C$4,$P1140='تقرير نوفمبر'!$C$6),COUNT(Y$4:Y1139)+1,"")</f>
        <v/>
      </c>
      <c r="Z1140">
        <f>IF(AND($A1140&lt;&gt;"",$B1140&lt;&gt;"",$R1140='تقرير ديسمبر'!$C$4,$P1140='تقرير ديسمبر'!$C$6),COUNT(Z$4:Z1139)+1,"")</f>
        <v/>
      </c>
      <c r="AA1140">
        <f>IF(AND($A1140&lt;&gt;"",$B1140&lt;&gt;"",$R1140='تقرير يناير'!$C$4,$P1140='تقرير يناير'!$C$6),COUNT(AA$4:AA1139)+1,"")</f>
        <v/>
      </c>
      <c r="AB1140">
        <f>IF(AND($A1140&lt;&gt;"",$B1140&lt;&gt;"",$R1140='تقرير فبراير'!$C$4,$P1140='تقرير فبراير'!$C$6),COUNT(AB$4:AB1139)+1,"")</f>
        <v/>
      </c>
      <c r="AC1140">
        <f>IF(AND($A1140&lt;&gt;"",$B1140&lt;&gt;"",$R1140='تقرير مارس'!$C$4,$P1140='تقرير مارس'!$C$6),COUNT(AC$4:AC1139)+1,"")</f>
        <v/>
      </c>
      <c r="AD1140">
        <f>IF(AND($A1140&lt;&gt;"",$B1140&lt;&gt;"",$R1140='تقرير أبريل'!$C$4,$P1140='تقرير أبريل'!$C$6),COUNT(AD$4:AD1139)+1,"")</f>
        <v/>
      </c>
      <c r="AE1140">
        <f>IF(AND($A1140&lt;&gt;"",$B1140&lt;&gt;"",$R1140='تقرير مايو'!$C$4,$P1140='تقرير مايو'!$C$6),COUNT(AE$4:AE1139)+1,"")</f>
        <v/>
      </c>
    </row>
    <row r="1141">
      <c r="A1141" s="16" t="n"/>
      <c r="B1141" s="17" t="n"/>
      <c r="C1141" s="17" t="n"/>
      <c r="D1141" s="18" t="n"/>
      <c r="E1141" s="17" t="n"/>
      <c r="F1141" s="17" t="n"/>
      <c r="G1141" s="19" t="n"/>
      <c r="H1141" s="17" t="n"/>
      <c r="I1141" s="17" t="n"/>
      <c r="J1141" s="17" t="n"/>
      <c r="K1141" s="20">
        <f>IF($B1141="","",IFERROR(INDEX(الموظفات!$A$5:$A$304,MATCH($B1141,الموظفات!$B$5:$B$304,0))&amp;"",""))</f>
        <v/>
      </c>
      <c r="L1141" s="21">
        <f>IF($B1141="","",IFERROR(INDEX(الموظفات!$C$5:$C$304,MATCH($B1141,الموظفات!$B$5:$B$304,0))&amp;"",""))</f>
        <v/>
      </c>
      <c r="M1141" s="20">
        <f>IF($B1141="","",IFERROR(INDEX(الموظفات!$D$5:$D$304,MATCH($B1141,الموظفات!$B$5:$B$304,0))&amp;"",""))</f>
        <v/>
      </c>
      <c r="N1141" s="20">
        <f>IF($B1141="","",IFERROR(INDEX(الموظفات!$E$5:$E$304,MATCH($B1141,الموظفات!$B$5:$B$304,0))&amp;"",""))</f>
        <v/>
      </c>
      <c r="O1141" s="21">
        <f>IF(C1141="","",IFERROR(INDEX(الإعدادات!$D$7:$D$35,MATCH(C1141,الإعدادات!$A$7:$A$35,0))&amp;"",""))</f>
        <v/>
      </c>
      <c r="P1141" s="20">
        <f>IF(A1141="","",INDEX(الإعدادات!$H$7:$H$18,MONTH(A1141)))</f>
        <v/>
      </c>
      <c r="Q1141" s="20">
        <f>IF(A1141="","",INDEX(الإعدادات!$I$7:$I$18,MONTH(A1141)))</f>
        <v/>
      </c>
      <c r="R1141" s="20">
        <f>IF(A1141="","",IF(MONTH(A1141)&gt;=8,YEAR(A1141)&amp;"-"&amp;(YEAR(A1141)+1),(YEAR(A1141)-1)&amp;"-"&amp;YEAR(A1141)))</f>
        <v/>
      </c>
      <c r="S1141" s="20">
        <f>IF(OR(A1141="",B1141=""),0,IF(AND(R1141=التقارير!$C$4,OR(التقارير!$C$5="سنوي",AND(التقارير!$C$5="شهري",P1141=التقارير!$C$6),AND(التقارير!$C$5="فصلي",Q1141=التقارير!$C$7))),1,0))</f>
        <v/>
      </c>
      <c r="T1141" s="20">
        <f>IF(S1141=1,COUNTIF($S$5:S1141,1),"")</f>
        <v/>
      </c>
      <c r="U1141">
        <f>IF(AND($A1141&lt;&gt;"",$B1141&lt;&gt;"",$R1141='تقرير الفصل الأول'!$C$4,$Q1141='تقرير الفصل الأول'!$C$7),COUNT(U$4:U1140)+1,"")</f>
        <v/>
      </c>
      <c r="V1141">
        <f>IF(AND($A1141&lt;&gt;"",$B1141&lt;&gt;"",$R1141='تقرير الفصل الثاني'!$C$4,$Q1141='تقرير الفصل الثاني'!$C$7),COUNT(V$4:V1140)+1,"")</f>
        <v/>
      </c>
      <c r="W1141">
        <f>IF(AND($A1141&lt;&gt;"",$B1141&lt;&gt;"",$R1141='تقرير سبتمبر'!$C$4,$P1141='تقرير سبتمبر'!$C$6),COUNT(W$4:W1140)+1,"")</f>
        <v/>
      </c>
      <c r="X1141">
        <f>IF(AND($A1141&lt;&gt;"",$B1141&lt;&gt;"",$R1141='تقرير أكتوبر'!$C$4,$P1141='تقرير أكتوبر'!$C$6),COUNT(X$4:X1140)+1,"")</f>
        <v/>
      </c>
      <c r="Y1141">
        <f>IF(AND($A1141&lt;&gt;"",$B1141&lt;&gt;"",$R1141='تقرير نوفمبر'!$C$4,$P1141='تقرير نوفمبر'!$C$6),COUNT(Y$4:Y1140)+1,"")</f>
        <v/>
      </c>
      <c r="Z1141">
        <f>IF(AND($A1141&lt;&gt;"",$B1141&lt;&gt;"",$R1141='تقرير ديسمبر'!$C$4,$P1141='تقرير ديسمبر'!$C$6),COUNT(Z$4:Z1140)+1,"")</f>
        <v/>
      </c>
      <c r="AA1141">
        <f>IF(AND($A1141&lt;&gt;"",$B1141&lt;&gt;"",$R1141='تقرير يناير'!$C$4,$P1141='تقرير يناير'!$C$6),COUNT(AA$4:AA1140)+1,"")</f>
        <v/>
      </c>
      <c r="AB1141">
        <f>IF(AND($A1141&lt;&gt;"",$B1141&lt;&gt;"",$R1141='تقرير فبراير'!$C$4,$P1141='تقرير فبراير'!$C$6),COUNT(AB$4:AB1140)+1,"")</f>
        <v/>
      </c>
      <c r="AC1141">
        <f>IF(AND($A1141&lt;&gt;"",$B1141&lt;&gt;"",$R1141='تقرير مارس'!$C$4,$P1141='تقرير مارس'!$C$6),COUNT(AC$4:AC1140)+1,"")</f>
        <v/>
      </c>
      <c r="AD1141">
        <f>IF(AND($A1141&lt;&gt;"",$B1141&lt;&gt;"",$R1141='تقرير أبريل'!$C$4,$P1141='تقرير أبريل'!$C$6),COUNT(AD$4:AD1140)+1,"")</f>
        <v/>
      </c>
      <c r="AE1141">
        <f>IF(AND($A1141&lt;&gt;"",$B1141&lt;&gt;"",$R1141='تقرير مايو'!$C$4,$P1141='تقرير مايو'!$C$6),COUNT(AE$4:AE1140)+1,"")</f>
        <v/>
      </c>
    </row>
    <row r="1142">
      <c r="A1142" s="16" t="n"/>
      <c r="B1142" s="17" t="n"/>
      <c r="C1142" s="17" t="n"/>
      <c r="D1142" s="18" t="n"/>
      <c r="E1142" s="17" t="n"/>
      <c r="F1142" s="17" t="n"/>
      <c r="G1142" s="19" t="n"/>
      <c r="H1142" s="17" t="n"/>
      <c r="I1142" s="17" t="n"/>
      <c r="J1142" s="17" t="n"/>
      <c r="K1142" s="20">
        <f>IF($B1142="","",IFERROR(INDEX(الموظفات!$A$5:$A$304,MATCH($B1142,الموظفات!$B$5:$B$304,0))&amp;"",""))</f>
        <v/>
      </c>
      <c r="L1142" s="21">
        <f>IF($B1142="","",IFERROR(INDEX(الموظفات!$C$5:$C$304,MATCH($B1142,الموظفات!$B$5:$B$304,0))&amp;"",""))</f>
        <v/>
      </c>
      <c r="M1142" s="20">
        <f>IF($B1142="","",IFERROR(INDEX(الموظفات!$D$5:$D$304,MATCH($B1142,الموظفات!$B$5:$B$304,0))&amp;"",""))</f>
        <v/>
      </c>
      <c r="N1142" s="20">
        <f>IF($B1142="","",IFERROR(INDEX(الموظفات!$E$5:$E$304,MATCH($B1142,الموظفات!$B$5:$B$304,0))&amp;"",""))</f>
        <v/>
      </c>
      <c r="O1142" s="21">
        <f>IF(C1142="","",IFERROR(INDEX(الإعدادات!$D$7:$D$35,MATCH(C1142,الإعدادات!$A$7:$A$35,0))&amp;"",""))</f>
        <v/>
      </c>
      <c r="P1142" s="20">
        <f>IF(A1142="","",INDEX(الإعدادات!$H$7:$H$18,MONTH(A1142)))</f>
        <v/>
      </c>
      <c r="Q1142" s="20">
        <f>IF(A1142="","",INDEX(الإعدادات!$I$7:$I$18,MONTH(A1142)))</f>
        <v/>
      </c>
      <c r="R1142" s="20">
        <f>IF(A1142="","",IF(MONTH(A1142)&gt;=8,YEAR(A1142)&amp;"-"&amp;(YEAR(A1142)+1),(YEAR(A1142)-1)&amp;"-"&amp;YEAR(A1142)))</f>
        <v/>
      </c>
      <c r="S1142" s="20">
        <f>IF(OR(A1142="",B1142=""),0,IF(AND(R1142=التقارير!$C$4,OR(التقارير!$C$5="سنوي",AND(التقارير!$C$5="شهري",P1142=التقارير!$C$6),AND(التقارير!$C$5="فصلي",Q1142=التقارير!$C$7))),1,0))</f>
        <v/>
      </c>
      <c r="T1142" s="20">
        <f>IF(S1142=1,COUNTIF($S$5:S1142,1),"")</f>
        <v/>
      </c>
      <c r="U1142">
        <f>IF(AND($A1142&lt;&gt;"",$B1142&lt;&gt;"",$R1142='تقرير الفصل الأول'!$C$4,$Q1142='تقرير الفصل الأول'!$C$7),COUNT(U$4:U1141)+1,"")</f>
        <v/>
      </c>
      <c r="V1142">
        <f>IF(AND($A1142&lt;&gt;"",$B1142&lt;&gt;"",$R1142='تقرير الفصل الثاني'!$C$4,$Q1142='تقرير الفصل الثاني'!$C$7),COUNT(V$4:V1141)+1,"")</f>
        <v/>
      </c>
      <c r="W1142">
        <f>IF(AND($A1142&lt;&gt;"",$B1142&lt;&gt;"",$R1142='تقرير سبتمبر'!$C$4,$P1142='تقرير سبتمبر'!$C$6),COUNT(W$4:W1141)+1,"")</f>
        <v/>
      </c>
      <c r="X1142">
        <f>IF(AND($A1142&lt;&gt;"",$B1142&lt;&gt;"",$R1142='تقرير أكتوبر'!$C$4,$P1142='تقرير أكتوبر'!$C$6),COUNT(X$4:X1141)+1,"")</f>
        <v/>
      </c>
      <c r="Y1142">
        <f>IF(AND($A1142&lt;&gt;"",$B1142&lt;&gt;"",$R1142='تقرير نوفمبر'!$C$4,$P1142='تقرير نوفمبر'!$C$6),COUNT(Y$4:Y1141)+1,"")</f>
        <v/>
      </c>
      <c r="Z1142">
        <f>IF(AND($A1142&lt;&gt;"",$B1142&lt;&gt;"",$R1142='تقرير ديسمبر'!$C$4,$P1142='تقرير ديسمبر'!$C$6),COUNT(Z$4:Z1141)+1,"")</f>
        <v/>
      </c>
      <c r="AA1142">
        <f>IF(AND($A1142&lt;&gt;"",$B1142&lt;&gt;"",$R1142='تقرير يناير'!$C$4,$P1142='تقرير يناير'!$C$6),COUNT(AA$4:AA1141)+1,"")</f>
        <v/>
      </c>
      <c r="AB1142">
        <f>IF(AND($A1142&lt;&gt;"",$B1142&lt;&gt;"",$R1142='تقرير فبراير'!$C$4,$P1142='تقرير فبراير'!$C$6),COUNT(AB$4:AB1141)+1,"")</f>
        <v/>
      </c>
      <c r="AC1142">
        <f>IF(AND($A1142&lt;&gt;"",$B1142&lt;&gt;"",$R1142='تقرير مارس'!$C$4,$P1142='تقرير مارس'!$C$6),COUNT(AC$4:AC1141)+1,"")</f>
        <v/>
      </c>
      <c r="AD1142">
        <f>IF(AND($A1142&lt;&gt;"",$B1142&lt;&gt;"",$R1142='تقرير أبريل'!$C$4,$P1142='تقرير أبريل'!$C$6),COUNT(AD$4:AD1141)+1,"")</f>
        <v/>
      </c>
      <c r="AE1142">
        <f>IF(AND($A1142&lt;&gt;"",$B1142&lt;&gt;"",$R1142='تقرير مايو'!$C$4,$P1142='تقرير مايو'!$C$6),COUNT(AE$4:AE1141)+1,"")</f>
        <v/>
      </c>
    </row>
    <row r="1143">
      <c r="A1143" s="16" t="n"/>
      <c r="B1143" s="17" t="n"/>
      <c r="C1143" s="17" t="n"/>
      <c r="D1143" s="18" t="n"/>
      <c r="E1143" s="17" t="n"/>
      <c r="F1143" s="17" t="n"/>
      <c r="G1143" s="19" t="n"/>
      <c r="H1143" s="17" t="n"/>
      <c r="I1143" s="17" t="n"/>
      <c r="J1143" s="17" t="n"/>
      <c r="K1143" s="20">
        <f>IF($B1143="","",IFERROR(INDEX(الموظفات!$A$5:$A$304,MATCH($B1143,الموظفات!$B$5:$B$304,0))&amp;"",""))</f>
        <v/>
      </c>
      <c r="L1143" s="21">
        <f>IF($B1143="","",IFERROR(INDEX(الموظفات!$C$5:$C$304,MATCH($B1143,الموظفات!$B$5:$B$304,0))&amp;"",""))</f>
        <v/>
      </c>
      <c r="M1143" s="20">
        <f>IF($B1143="","",IFERROR(INDEX(الموظفات!$D$5:$D$304,MATCH($B1143,الموظفات!$B$5:$B$304,0))&amp;"",""))</f>
        <v/>
      </c>
      <c r="N1143" s="20">
        <f>IF($B1143="","",IFERROR(INDEX(الموظفات!$E$5:$E$304,MATCH($B1143,الموظفات!$B$5:$B$304,0))&amp;"",""))</f>
        <v/>
      </c>
      <c r="O1143" s="21">
        <f>IF(C1143="","",IFERROR(INDEX(الإعدادات!$D$7:$D$35,MATCH(C1143,الإعدادات!$A$7:$A$35,0))&amp;"",""))</f>
        <v/>
      </c>
      <c r="P1143" s="20">
        <f>IF(A1143="","",INDEX(الإعدادات!$H$7:$H$18,MONTH(A1143)))</f>
        <v/>
      </c>
      <c r="Q1143" s="20">
        <f>IF(A1143="","",INDEX(الإعدادات!$I$7:$I$18,MONTH(A1143)))</f>
        <v/>
      </c>
      <c r="R1143" s="20">
        <f>IF(A1143="","",IF(MONTH(A1143)&gt;=8,YEAR(A1143)&amp;"-"&amp;(YEAR(A1143)+1),(YEAR(A1143)-1)&amp;"-"&amp;YEAR(A1143)))</f>
        <v/>
      </c>
      <c r="S1143" s="20">
        <f>IF(OR(A1143="",B1143=""),0,IF(AND(R1143=التقارير!$C$4,OR(التقارير!$C$5="سنوي",AND(التقارير!$C$5="شهري",P1143=التقارير!$C$6),AND(التقارير!$C$5="فصلي",Q1143=التقارير!$C$7))),1,0))</f>
        <v/>
      </c>
      <c r="T1143" s="20">
        <f>IF(S1143=1,COUNTIF($S$5:S1143,1),"")</f>
        <v/>
      </c>
      <c r="U1143">
        <f>IF(AND($A1143&lt;&gt;"",$B1143&lt;&gt;"",$R1143='تقرير الفصل الأول'!$C$4,$Q1143='تقرير الفصل الأول'!$C$7),COUNT(U$4:U1142)+1,"")</f>
        <v/>
      </c>
      <c r="V1143">
        <f>IF(AND($A1143&lt;&gt;"",$B1143&lt;&gt;"",$R1143='تقرير الفصل الثاني'!$C$4,$Q1143='تقرير الفصل الثاني'!$C$7),COUNT(V$4:V1142)+1,"")</f>
        <v/>
      </c>
      <c r="W1143">
        <f>IF(AND($A1143&lt;&gt;"",$B1143&lt;&gt;"",$R1143='تقرير سبتمبر'!$C$4,$P1143='تقرير سبتمبر'!$C$6),COUNT(W$4:W1142)+1,"")</f>
        <v/>
      </c>
      <c r="X1143">
        <f>IF(AND($A1143&lt;&gt;"",$B1143&lt;&gt;"",$R1143='تقرير أكتوبر'!$C$4,$P1143='تقرير أكتوبر'!$C$6),COUNT(X$4:X1142)+1,"")</f>
        <v/>
      </c>
      <c r="Y1143">
        <f>IF(AND($A1143&lt;&gt;"",$B1143&lt;&gt;"",$R1143='تقرير نوفمبر'!$C$4,$P1143='تقرير نوفمبر'!$C$6),COUNT(Y$4:Y1142)+1,"")</f>
        <v/>
      </c>
      <c r="Z1143">
        <f>IF(AND($A1143&lt;&gt;"",$B1143&lt;&gt;"",$R1143='تقرير ديسمبر'!$C$4,$P1143='تقرير ديسمبر'!$C$6),COUNT(Z$4:Z1142)+1,"")</f>
        <v/>
      </c>
      <c r="AA1143">
        <f>IF(AND($A1143&lt;&gt;"",$B1143&lt;&gt;"",$R1143='تقرير يناير'!$C$4,$P1143='تقرير يناير'!$C$6),COUNT(AA$4:AA1142)+1,"")</f>
        <v/>
      </c>
      <c r="AB1143">
        <f>IF(AND($A1143&lt;&gt;"",$B1143&lt;&gt;"",$R1143='تقرير فبراير'!$C$4,$P1143='تقرير فبراير'!$C$6),COUNT(AB$4:AB1142)+1,"")</f>
        <v/>
      </c>
      <c r="AC1143">
        <f>IF(AND($A1143&lt;&gt;"",$B1143&lt;&gt;"",$R1143='تقرير مارس'!$C$4,$P1143='تقرير مارس'!$C$6),COUNT(AC$4:AC1142)+1,"")</f>
        <v/>
      </c>
      <c r="AD1143">
        <f>IF(AND($A1143&lt;&gt;"",$B1143&lt;&gt;"",$R1143='تقرير أبريل'!$C$4,$P1143='تقرير أبريل'!$C$6),COUNT(AD$4:AD1142)+1,"")</f>
        <v/>
      </c>
      <c r="AE1143">
        <f>IF(AND($A1143&lt;&gt;"",$B1143&lt;&gt;"",$R1143='تقرير مايو'!$C$4,$P1143='تقرير مايو'!$C$6),COUNT(AE$4:AE1142)+1,"")</f>
        <v/>
      </c>
    </row>
    <row r="1144">
      <c r="A1144" s="16" t="n"/>
      <c r="B1144" s="17" t="n"/>
      <c r="C1144" s="17" t="n"/>
      <c r="D1144" s="18" t="n"/>
      <c r="E1144" s="17" t="n"/>
      <c r="F1144" s="17" t="n"/>
      <c r="G1144" s="19" t="n"/>
      <c r="H1144" s="17" t="n"/>
      <c r="I1144" s="17" t="n"/>
      <c r="J1144" s="17" t="n"/>
      <c r="K1144" s="20">
        <f>IF($B1144="","",IFERROR(INDEX(الموظفات!$A$5:$A$304,MATCH($B1144,الموظفات!$B$5:$B$304,0))&amp;"",""))</f>
        <v/>
      </c>
      <c r="L1144" s="21">
        <f>IF($B1144="","",IFERROR(INDEX(الموظفات!$C$5:$C$304,MATCH($B1144,الموظفات!$B$5:$B$304,0))&amp;"",""))</f>
        <v/>
      </c>
      <c r="M1144" s="20">
        <f>IF($B1144="","",IFERROR(INDEX(الموظفات!$D$5:$D$304,MATCH($B1144,الموظفات!$B$5:$B$304,0))&amp;"",""))</f>
        <v/>
      </c>
      <c r="N1144" s="20">
        <f>IF($B1144="","",IFERROR(INDEX(الموظفات!$E$5:$E$304,MATCH($B1144,الموظفات!$B$5:$B$304,0))&amp;"",""))</f>
        <v/>
      </c>
      <c r="O1144" s="21">
        <f>IF(C1144="","",IFERROR(INDEX(الإعدادات!$D$7:$D$35,MATCH(C1144,الإعدادات!$A$7:$A$35,0))&amp;"",""))</f>
        <v/>
      </c>
      <c r="P1144" s="20">
        <f>IF(A1144="","",INDEX(الإعدادات!$H$7:$H$18,MONTH(A1144)))</f>
        <v/>
      </c>
      <c r="Q1144" s="20">
        <f>IF(A1144="","",INDEX(الإعدادات!$I$7:$I$18,MONTH(A1144)))</f>
        <v/>
      </c>
      <c r="R1144" s="20">
        <f>IF(A1144="","",IF(MONTH(A1144)&gt;=8,YEAR(A1144)&amp;"-"&amp;(YEAR(A1144)+1),(YEAR(A1144)-1)&amp;"-"&amp;YEAR(A1144)))</f>
        <v/>
      </c>
      <c r="S1144" s="20">
        <f>IF(OR(A1144="",B1144=""),0,IF(AND(R1144=التقارير!$C$4,OR(التقارير!$C$5="سنوي",AND(التقارير!$C$5="شهري",P1144=التقارير!$C$6),AND(التقارير!$C$5="فصلي",Q1144=التقارير!$C$7))),1,0))</f>
        <v/>
      </c>
      <c r="T1144" s="20">
        <f>IF(S1144=1,COUNTIF($S$5:S1144,1),"")</f>
        <v/>
      </c>
      <c r="U1144">
        <f>IF(AND($A1144&lt;&gt;"",$B1144&lt;&gt;"",$R1144='تقرير الفصل الأول'!$C$4,$Q1144='تقرير الفصل الأول'!$C$7),COUNT(U$4:U1143)+1,"")</f>
        <v/>
      </c>
      <c r="V1144">
        <f>IF(AND($A1144&lt;&gt;"",$B1144&lt;&gt;"",$R1144='تقرير الفصل الثاني'!$C$4,$Q1144='تقرير الفصل الثاني'!$C$7),COUNT(V$4:V1143)+1,"")</f>
        <v/>
      </c>
      <c r="W1144">
        <f>IF(AND($A1144&lt;&gt;"",$B1144&lt;&gt;"",$R1144='تقرير سبتمبر'!$C$4,$P1144='تقرير سبتمبر'!$C$6),COUNT(W$4:W1143)+1,"")</f>
        <v/>
      </c>
      <c r="X1144">
        <f>IF(AND($A1144&lt;&gt;"",$B1144&lt;&gt;"",$R1144='تقرير أكتوبر'!$C$4,$P1144='تقرير أكتوبر'!$C$6),COUNT(X$4:X1143)+1,"")</f>
        <v/>
      </c>
      <c r="Y1144">
        <f>IF(AND($A1144&lt;&gt;"",$B1144&lt;&gt;"",$R1144='تقرير نوفمبر'!$C$4,$P1144='تقرير نوفمبر'!$C$6),COUNT(Y$4:Y1143)+1,"")</f>
        <v/>
      </c>
      <c r="Z1144">
        <f>IF(AND($A1144&lt;&gt;"",$B1144&lt;&gt;"",$R1144='تقرير ديسمبر'!$C$4,$P1144='تقرير ديسمبر'!$C$6),COUNT(Z$4:Z1143)+1,"")</f>
        <v/>
      </c>
      <c r="AA1144">
        <f>IF(AND($A1144&lt;&gt;"",$B1144&lt;&gt;"",$R1144='تقرير يناير'!$C$4,$P1144='تقرير يناير'!$C$6),COUNT(AA$4:AA1143)+1,"")</f>
        <v/>
      </c>
      <c r="AB1144">
        <f>IF(AND($A1144&lt;&gt;"",$B1144&lt;&gt;"",$R1144='تقرير فبراير'!$C$4,$P1144='تقرير فبراير'!$C$6),COUNT(AB$4:AB1143)+1,"")</f>
        <v/>
      </c>
      <c r="AC1144">
        <f>IF(AND($A1144&lt;&gt;"",$B1144&lt;&gt;"",$R1144='تقرير مارس'!$C$4,$P1144='تقرير مارس'!$C$6),COUNT(AC$4:AC1143)+1,"")</f>
        <v/>
      </c>
      <c r="AD1144">
        <f>IF(AND($A1144&lt;&gt;"",$B1144&lt;&gt;"",$R1144='تقرير أبريل'!$C$4,$P1144='تقرير أبريل'!$C$6),COUNT(AD$4:AD1143)+1,"")</f>
        <v/>
      </c>
      <c r="AE1144">
        <f>IF(AND($A1144&lt;&gt;"",$B1144&lt;&gt;"",$R1144='تقرير مايو'!$C$4,$P1144='تقرير مايو'!$C$6),COUNT(AE$4:AE1143)+1,"")</f>
        <v/>
      </c>
    </row>
    <row r="1145">
      <c r="A1145" s="16" t="n"/>
      <c r="B1145" s="17" t="n"/>
      <c r="C1145" s="17" t="n"/>
      <c r="D1145" s="18" t="n"/>
      <c r="E1145" s="17" t="n"/>
      <c r="F1145" s="17" t="n"/>
      <c r="G1145" s="19" t="n"/>
      <c r="H1145" s="17" t="n"/>
      <c r="I1145" s="17" t="n"/>
      <c r="J1145" s="17" t="n"/>
      <c r="K1145" s="20">
        <f>IF($B1145="","",IFERROR(INDEX(الموظفات!$A$5:$A$304,MATCH($B1145,الموظفات!$B$5:$B$304,0))&amp;"",""))</f>
        <v/>
      </c>
      <c r="L1145" s="21">
        <f>IF($B1145="","",IFERROR(INDEX(الموظفات!$C$5:$C$304,MATCH($B1145,الموظفات!$B$5:$B$304,0))&amp;"",""))</f>
        <v/>
      </c>
      <c r="M1145" s="20">
        <f>IF($B1145="","",IFERROR(INDEX(الموظفات!$D$5:$D$304,MATCH($B1145,الموظفات!$B$5:$B$304,0))&amp;"",""))</f>
        <v/>
      </c>
      <c r="N1145" s="20">
        <f>IF($B1145="","",IFERROR(INDEX(الموظفات!$E$5:$E$304,MATCH($B1145,الموظفات!$B$5:$B$304,0))&amp;"",""))</f>
        <v/>
      </c>
      <c r="O1145" s="21">
        <f>IF(C1145="","",IFERROR(INDEX(الإعدادات!$D$7:$D$35,MATCH(C1145,الإعدادات!$A$7:$A$35,0))&amp;"",""))</f>
        <v/>
      </c>
      <c r="P1145" s="20">
        <f>IF(A1145="","",INDEX(الإعدادات!$H$7:$H$18,MONTH(A1145)))</f>
        <v/>
      </c>
      <c r="Q1145" s="20">
        <f>IF(A1145="","",INDEX(الإعدادات!$I$7:$I$18,MONTH(A1145)))</f>
        <v/>
      </c>
      <c r="R1145" s="20">
        <f>IF(A1145="","",IF(MONTH(A1145)&gt;=8,YEAR(A1145)&amp;"-"&amp;(YEAR(A1145)+1),(YEAR(A1145)-1)&amp;"-"&amp;YEAR(A1145)))</f>
        <v/>
      </c>
      <c r="S1145" s="20">
        <f>IF(OR(A1145="",B1145=""),0,IF(AND(R1145=التقارير!$C$4,OR(التقارير!$C$5="سنوي",AND(التقارير!$C$5="شهري",P1145=التقارير!$C$6),AND(التقارير!$C$5="فصلي",Q1145=التقارير!$C$7))),1,0))</f>
        <v/>
      </c>
      <c r="T1145" s="20">
        <f>IF(S1145=1,COUNTIF($S$5:S1145,1),"")</f>
        <v/>
      </c>
      <c r="U1145">
        <f>IF(AND($A1145&lt;&gt;"",$B1145&lt;&gt;"",$R1145='تقرير الفصل الأول'!$C$4,$Q1145='تقرير الفصل الأول'!$C$7),COUNT(U$4:U1144)+1,"")</f>
        <v/>
      </c>
      <c r="V1145">
        <f>IF(AND($A1145&lt;&gt;"",$B1145&lt;&gt;"",$R1145='تقرير الفصل الثاني'!$C$4,$Q1145='تقرير الفصل الثاني'!$C$7),COUNT(V$4:V1144)+1,"")</f>
        <v/>
      </c>
      <c r="W1145">
        <f>IF(AND($A1145&lt;&gt;"",$B1145&lt;&gt;"",$R1145='تقرير سبتمبر'!$C$4,$P1145='تقرير سبتمبر'!$C$6),COUNT(W$4:W1144)+1,"")</f>
        <v/>
      </c>
      <c r="X1145">
        <f>IF(AND($A1145&lt;&gt;"",$B1145&lt;&gt;"",$R1145='تقرير أكتوبر'!$C$4,$P1145='تقرير أكتوبر'!$C$6),COUNT(X$4:X1144)+1,"")</f>
        <v/>
      </c>
      <c r="Y1145">
        <f>IF(AND($A1145&lt;&gt;"",$B1145&lt;&gt;"",$R1145='تقرير نوفمبر'!$C$4,$P1145='تقرير نوفمبر'!$C$6),COUNT(Y$4:Y1144)+1,"")</f>
        <v/>
      </c>
      <c r="Z1145">
        <f>IF(AND($A1145&lt;&gt;"",$B1145&lt;&gt;"",$R1145='تقرير ديسمبر'!$C$4,$P1145='تقرير ديسمبر'!$C$6),COUNT(Z$4:Z1144)+1,"")</f>
        <v/>
      </c>
      <c r="AA1145">
        <f>IF(AND($A1145&lt;&gt;"",$B1145&lt;&gt;"",$R1145='تقرير يناير'!$C$4,$P1145='تقرير يناير'!$C$6),COUNT(AA$4:AA1144)+1,"")</f>
        <v/>
      </c>
      <c r="AB1145">
        <f>IF(AND($A1145&lt;&gt;"",$B1145&lt;&gt;"",$R1145='تقرير فبراير'!$C$4,$P1145='تقرير فبراير'!$C$6),COUNT(AB$4:AB1144)+1,"")</f>
        <v/>
      </c>
      <c r="AC1145">
        <f>IF(AND($A1145&lt;&gt;"",$B1145&lt;&gt;"",$R1145='تقرير مارس'!$C$4,$P1145='تقرير مارس'!$C$6),COUNT(AC$4:AC1144)+1,"")</f>
        <v/>
      </c>
      <c r="AD1145">
        <f>IF(AND($A1145&lt;&gt;"",$B1145&lt;&gt;"",$R1145='تقرير أبريل'!$C$4,$P1145='تقرير أبريل'!$C$6),COUNT(AD$4:AD1144)+1,"")</f>
        <v/>
      </c>
      <c r="AE1145">
        <f>IF(AND($A1145&lt;&gt;"",$B1145&lt;&gt;"",$R1145='تقرير مايو'!$C$4,$P1145='تقرير مايو'!$C$6),COUNT(AE$4:AE1144)+1,"")</f>
        <v/>
      </c>
    </row>
    <row r="1146">
      <c r="A1146" s="16" t="n"/>
      <c r="B1146" s="17" t="n"/>
      <c r="C1146" s="17" t="n"/>
      <c r="D1146" s="18" t="n"/>
      <c r="E1146" s="17" t="n"/>
      <c r="F1146" s="17" t="n"/>
      <c r="G1146" s="19" t="n"/>
      <c r="H1146" s="17" t="n"/>
      <c r="I1146" s="17" t="n"/>
      <c r="J1146" s="17" t="n"/>
      <c r="K1146" s="20">
        <f>IF($B1146="","",IFERROR(INDEX(الموظفات!$A$5:$A$304,MATCH($B1146,الموظفات!$B$5:$B$304,0))&amp;"",""))</f>
        <v/>
      </c>
      <c r="L1146" s="21">
        <f>IF($B1146="","",IFERROR(INDEX(الموظفات!$C$5:$C$304,MATCH($B1146,الموظفات!$B$5:$B$304,0))&amp;"",""))</f>
        <v/>
      </c>
      <c r="M1146" s="20">
        <f>IF($B1146="","",IFERROR(INDEX(الموظفات!$D$5:$D$304,MATCH($B1146,الموظفات!$B$5:$B$304,0))&amp;"",""))</f>
        <v/>
      </c>
      <c r="N1146" s="20">
        <f>IF($B1146="","",IFERROR(INDEX(الموظفات!$E$5:$E$304,MATCH($B1146,الموظفات!$B$5:$B$304,0))&amp;"",""))</f>
        <v/>
      </c>
      <c r="O1146" s="21">
        <f>IF(C1146="","",IFERROR(INDEX(الإعدادات!$D$7:$D$35,MATCH(C1146,الإعدادات!$A$7:$A$35,0))&amp;"",""))</f>
        <v/>
      </c>
      <c r="P1146" s="20">
        <f>IF(A1146="","",INDEX(الإعدادات!$H$7:$H$18,MONTH(A1146)))</f>
        <v/>
      </c>
      <c r="Q1146" s="20">
        <f>IF(A1146="","",INDEX(الإعدادات!$I$7:$I$18,MONTH(A1146)))</f>
        <v/>
      </c>
      <c r="R1146" s="20">
        <f>IF(A1146="","",IF(MONTH(A1146)&gt;=8,YEAR(A1146)&amp;"-"&amp;(YEAR(A1146)+1),(YEAR(A1146)-1)&amp;"-"&amp;YEAR(A1146)))</f>
        <v/>
      </c>
      <c r="S1146" s="20">
        <f>IF(OR(A1146="",B1146=""),0,IF(AND(R1146=التقارير!$C$4,OR(التقارير!$C$5="سنوي",AND(التقارير!$C$5="شهري",P1146=التقارير!$C$6),AND(التقارير!$C$5="فصلي",Q1146=التقارير!$C$7))),1,0))</f>
        <v/>
      </c>
      <c r="T1146" s="20">
        <f>IF(S1146=1,COUNTIF($S$5:S1146,1),"")</f>
        <v/>
      </c>
      <c r="U1146">
        <f>IF(AND($A1146&lt;&gt;"",$B1146&lt;&gt;"",$R1146='تقرير الفصل الأول'!$C$4,$Q1146='تقرير الفصل الأول'!$C$7),COUNT(U$4:U1145)+1,"")</f>
        <v/>
      </c>
      <c r="V1146">
        <f>IF(AND($A1146&lt;&gt;"",$B1146&lt;&gt;"",$R1146='تقرير الفصل الثاني'!$C$4,$Q1146='تقرير الفصل الثاني'!$C$7),COUNT(V$4:V1145)+1,"")</f>
        <v/>
      </c>
      <c r="W1146">
        <f>IF(AND($A1146&lt;&gt;"",$B1146&lt;&gt;"",$R1146='تقرير سبتمبر'!$C$4,$P1146='تقرير سبتمبر'!$C$6),COUNT(W$4:W1145)+1,"")</f>
        <v/>
      </c>
      <c r="X1146">
        <f>IF(AND($A1146&lt;&gt;"",$B1146&lt;&gt;"",$R1146='تقرير أكتوبر'!$C$4,$P1146='تقرير أكتوبر'!$C$6),COUNT(X$4:X1145)+1,"")</f>
        <v/>
      </c>
      <c r="Y1146">
        <f>IF(AND($A1146&lt;&gt;"",$B1146&lt;&gt;"",$R1146='تقرير نوفمبر'!$C$4,$P1146='تقرير نوفمبر'!$C$6),COUNT(Y$4:Y1145)+1,"")</f>
        <v/>
      </c>
      <c r="Z1146">
        <f>IF(AND($A1146&lt;&gt;"",$B1146&lt;&gt;"",$R1146='تقرير ديسمبر'!$C$4,$P1146='تقرير ديسمبر'!$C$6),COUNT(Z$4:Z1145)+1,"")</f>
        <v/>
      </c>
      <c r="AA1146">
        <f>IF(AND($A1146&lt;&gt;"",$B1146&lt;&gt;"",$R1146='تقرير يناير'!$C$4,$P1146='تقرير يناير'!$C$6),COUNT(AA$4:AA1145)+1,"")</f>
        <v/>
      </c>
      <c r="AB1146">
        <f>IF(AND($A1146&lt;&gt;"",$B1146&lt;&gt;"",$R1146='تقرير فبراير'!$C$4,$P1146='تقرير فبراير'!$C$6),COUNT(AB$4:AB1145)+1,"")</f>
        <v/>
      </c>
      <c r="AC1146">
        <f>IF(AND($A1146&lt;&gt;"",$B1146&lt;&gt;"",$R1146='تقرير مارس'!$C$4,$P1146='تقرير مارس'!$C$6),COUNT(AC$4:AC1145)+1,"")</f>
        <v/>
      </c>
      <c r="AD1146">
        <f>IF(AND($A1146&lt;&gt;"",$B1146&lt;&gt;"",$R1146='تقرير أبريل'!$C$4,$P1146='تقرير أبريل'!$C$6),COUNT(AD$4:AD1145)+1,"")</f>
        <v/>
      </c>
      <c r="AE1146">
        <f>IF(AND($A1146&lt;&gt;"",$B1146&lt;&gt;"",$R1146='تقرير مايو'!$C$4,$P1146='تقرير مايو'!$C$6),COUNT(AE$4:AE1145)+1,"")</f>
        <v/>
      </c>
    </row>
    <row r="1147">
      <c r="A1147" s="16" t="n"/>
      <c r="B1147" s="17" t="n"/>
      <c r="C1147" s="17" t="n"/>
      <c r="D1147" s="18" t="n"/>
      <c r="E1147" s="17" t="n"/>
      <c r="F1147" s="17" t="n"/>
      <c r="G1147" s="19" t="n"/>
      <c r="H1147" s="17" t="n"/>
      <c r="I1147" s="17" t="n"/>
      <c r="J1147" s="17" t="n"/>
      <c r="K1147" s="20">
        <f>IF($B1147="","",IFERROR(INDEX(الموظفات!$A$5:$A$304,MATCH($B1147,الموظفات!$B$5:$B$304,0))&amp;"",""))</f>
        <v/>
      </c>
      <c r="L1147" s="21">
        <f>IF($B1147="","",IFERROR(INDEX(الموظفات!$C$5:$C$304,MATCH($B1147,الموظفات!$B$5:$B$304,0))&amp;"",""))</f>
        <v/>
      </c>
      <c r="M1147" s="20">
        <f>IF($B1147="","",IFERROR(INDEX(الموظفات!$D$5:$D$304,MATCH($B1147,الموظفات!$B$5:$B$304,0))&amp;"",""))</f>
        <v/>
      </c>
      <c r="N1147" s="20">
        <f>IF($B1147="","",IFERROR(INDEX(الموظفات!$E$5:$E$304,MATCH($B1147,الموظفات!$B$5:$B$304,0))&amp;"",""))</f>
        <v/>
      </c>
      <c r="O1147" s="21">
        <f>IF(C1147="","",IFERROR(INDEX(الإعدادات!$D$7:$D$35,MATCH(C1147,الإعدادات!$A$7:$A$35,0))&amp;"",""))</f>
        <v/>
      </c>
      <c r="P1147" s="20">
        <f>IF(A1147="","",INDEX(الإعدادات!$H$7:$H$18,MONTH(A1147)))</f>
        <v/>
      </c>
      <c r="Q1147" s="20">
        <f>IF(A1147="","",INDEX(الإعدادات!$I$7:$I$18,MONTH(A1147)))</f>
        <v/>
      </c>
      <c r="R1147" s="20">
        <f>IF(A1147="","",IF(MONTH(A1147)&gt;=8,YEAR(A1147)&amp;"-"&amp;(YEAR(A1147)+1),(YEAR(A1147)-1)&amp;"-"&amp;YEAR(A1147)))</f>
        <v/>
      </c>
      <c r="S1147" s="20">
        <f>IF(OR(A1147="",B1147=""),0,IF(AND(R1147=التقارير!$C$4,OR(التقارير!$C$5="سنوي",AND(التقارير!$C$5="شهري",P1147=التقارير!$C$6),AND(التقارير!$C$5="فصلي",Q1147=التقارير!$C$7))),1,0))</f>
        <v/>
      </c>
      <c r="T1147" s="20">
        <f>IF(S1147=1,COUNTIF($S$5:S1147,1),"")</f>
        <v/>
      </c>
      <c r="U1147">
        <f>IF(AND($A1147&lt;&gt;"",$B1147&lt;&gt;"",$R1147='تقرير الفصل الأول'!$C$4,$Q1147='تقرير الفصل الأول'!$C$7),COUNT(U$4:U1146)+1,"")</f>
        <v/>
      </c>
      <c r="V1147">
        <f>IF(AND($A1147&lt;&gt;"",$B1147&lt;&gt;"",$R1147='تقرير الفصل الثاني'!$C$4,$Q1147='تقرير الفصل الثاني'!$C$7),COUNT(V$4:V1146)+1,"")</f>
        <v/>
      </c>
      <c r="W1147">
        <f>IF(AND($A1147&lt;&gt;"",$B1147&lt;&gt;"",$R1147='تقرير سبتمبر'!$C$4,$P1147='تقرير سبتمبر'!$C$6),COUNT(W$4:W1146)+1,"")</f>
        <v/>
      </c>
      <c r="X1147">
        <f>IF(AND($A1147&lt;&gt;"",$B1147&lt;&gt;"",$R1147='تقرير أكتوبر'!$C$4,$P1147='تقرير أكتوبر'!$C$6),COUNT(X$4:X1146)+1,"")</f>
        <v/>
      </c>
      <c r="Y1147">
        <f>IF(AND($A1147&lt;&gt;"",$B1147&lt;&gt;"",$R1147='تقرير نوفمبر'!$C$4,$P1147='تقرير نوفمبر'!$C$6),COUNT(Y$4:Y1146)+1,"")</f>
        <v/>
      </c>
      <c r="Z1147">
        <f>IF(AND($A1147&lt;&gt;"",$B1147&lt;&gt;"",$R1147='تقرير ديسمبر'!$C$4,$P1147='تقرير ديسمبر'!$C$6),COUNT(Z$4:Z1146)+1,"")</f>
        <v/>
      </c>
      <c r="AA1147">
        <f>IF(AND($A1147&lt;&gt;"",$B1147&lt;&gt;"",$R1147='تقرير يناير'!$C$4,$P1147='تقرير يناير'!$C$6),COUNT(AA$4:AA1146)+1,"")</f>
        <v/>
      </c>
      <c r="AB1147">
        <f>IF(AND($A1147&lt;&gt;"",$B1147&lt;&gt;"",$R1147='تقرير فبراير'!$C$4,$P1147='تقرير فبراير'!$C$6),COUNT(AB$4:AB1146)+1,"")</f>
        <v/>
      </c>
      <c r="AC1147">
        <f>IF(AND($A1147&lt;&gt;"",$B1147&lt;&gt;"",$R1147='تقرير مارس'!$C$4,$P1147='تقرير مارس'!$C$6),COUNT(AC$4:AC1146)+1,"")</f>
        <v/>
      </c>
      <c r="AD1147">
        <f>IF(AND($A1147&lt;&gt;"",$B1147&lt;&gt;"",$R1147='تقرير أبريل'!$C$4,$P1147='تقرير أبريل'!$C$6),COUNT(AD$4:AD1146)+1,"")</f>
        <v/>
      </c>
      <c r="AE1147">
        <f>IF(AND($A1147&lt;&gt;"",$B1147&lt;&gt;"",$R1147='تقرير مايو'!$C$4,$P1147='تقرير مايو'!$C$6),COUNT(AE$4:AE1146)+1,"")</f>
        <v/>
      </c>
    </row>
    <row r="1148">
      <c r="A1148" s="16" t="n"/>
      <c r="B1148" s="17" t="n"/>
      <c r="C1148" s="17" t="n"/>
      <c r="D1148" s="18" t="n"/>
      <c r="E1148" s="17" t="n"/>
      <c r="F1148" s="17" t="n"/>
      <c r="G1148" s="19" t="n"/>
      <c r="H1148" s="17" t="n"/>
      <c r="I1148" s="17" t="n"/>
      <c r="J1148" s="17" t="n"/>
      <c r="K1148" s="20">
        <f>IF($B1148="","",IFERROR(INDEX(الموظفات!$A$5:$A$304,MATCH($B1148,الموظفات!$B$5:$B$304,0))&amp;"",""))</f>
        <v/>
      </c>
      <c r="L1148" s="21">
        <f>IF($B1148="","",IFERROR(INDEX(الموظفات!$C$5:$C$304,MATCH($B1148,الموظفات!$B$5:$B$304,0))&amp;"",""))</f>
        <v/>
      </c>
      <c r="M1148" s="20">
        <f>IF($B1148="","",IFERROR(INDEX(الموظفات!$D$5:$D$304,MATCH($B1148,الموظفات!$B$5:$B$304,0))&amp;"",""))</f>
        <v/>
      </c>
      <c r="N1148" s="20">
        <f>IF($B1148="","",IFERROR(INDEX(الموظفات!$E$5:$E$304,MATCH($B1148,الموظفات!$B$5:$B$304,0))&amp;"",""))</f>
        <v/>
      </c>
      <c r="O1148" s="21">
        <f>IF(C1148="","",IFERROR(INDEX(الإعدادات!$D$7:$D$35,MATCH(C1148,الإعدادات!$A$7:$A$35,0))&amp;"",""))</f>
        <v/>
      </c>
      <c r="P1148" s="20">
        <f>IF(A1148="","",INDEX(الإعدادات!$H$7:$H$18,MONTH(A1148)))</f>
        <v/>
      </c>
      <c r="Q1148" s="20">
        <f>IF(A1148="","",INDEX(الإعدادات!$I$7:$I$18,MONTH(A1148)))</f>
        <v/>
      </c>
      <c r="R1148" s="20">
        <f>IF(A1148="","",IF(MONTH(A1148)&gt;=8,YEAR(A1148)&amp;"-"&amp;(YEAR(A1148)+1),(YEAR(A1148)-1)&amp;"-"&amp;YEAR(A1148)))</f>
        <v/>
      </c>
      <c r="S1148" s="20">
        <f>IF(OR(A1148="",B1148=""),0,IF(AND(R1148=التقارير!$C$4,OR(التقارير!$C$5="سنوي",AND(التقارير!$C$5="شهري",P1148=التقارير!$C$6),AND(التقارير!$C$5="فصلي",Q1148=التقارير!$C$7))),1,0))</f>
        <v/>
      </c>
      <c r="T1148" s="20">
        <f>IF(S1148=1,COUNTIF($S$5:S1148,1),"")</f>
        <v/>
      </c>
      <c r="U1148">
        <f>IF(AND($A1148&lt;&gt;"",$B1148&lt;&gt;"",$R1148='تقرير الفصل الأول'!$C$4,$Q1148='تقرير الفصل الأول'!$C$7),COUNT(U$4:U1147)+1,"")</f>
        <v/>
      </c>
      <c r="V1148">
        <f>IF(AND($A1148&lt;&gt;"",$B1148&lt;&gt;"",$R1148='تقرير الفصل الثاني'!$C$4,$Q1148='تقرير الفصل الثاني'!$C$7),COUNT(V$4:V1147)+1,"")</f>
        <v/>
      </c>
      <c r="W1148">
        <f>IF(AND($A1148&lt;&gt;"",$B1148&lt;&gt;"",$R1148='تقرير سبتمبر'!$C$4,$P1148='تقرير سبتمبر'!$C$6),COUNT(W$4:W1147)+1,"")</f>
        <v/>
      </c>
      <c r="X1148">
        <f>IF(AND($A1148&lt;&gt;"",$B1148&lt;&gt;"",$R1148='تقرير أكتوبر'!$C$4,$P1148='تقرير أكتوبر'!$C$6),COUNT(X$4:X1147)+1,"")</f>
        <v/>
      </c>
      <c r="Y1148">
        <f>IF(AND($A1148&lt;&gt;"",$B1148&lt;&gt;"",$R1148='تقرير نوفمبر'!$C$4,$P1148='تقرير نوفمبر'!$C$6),COUNT(Y$4:Y1147)+1,"")</f>
        <v/>
      </c>
      <c r="Z1148">
        <f>IF(AND($A1148&lt;&gt;"",$B1148&lt;&gt;"",$R1148='تقرير ديسمبر'!$C$4,$P1148='تقرير ديسمبر'!$C$6),COUNT(Z$4:Z1147)+1,"")</f>
        <v/>
      </c>
      <c r="AA1148">
        <f>IF(AND($A1148&lt;&gt;"",$B1148&lt;&gt;"",$R1148='تقرير يناير'!$C$4,$P1148='تقرير يناير'!$C$6),COUNT(AA$4:AA1147)+1,"")</f>
        <v/>
      </c>
      <c r="AB1148">
        <f>IF(AND($A1148&lt;&gt;"",$B1148&lt;&gt;"",$R1148='تقرير فبراير'!$C$4,$P1148='تقرير فبراير'!$C$6),COUNT(AB$4:AB1147)+1,"")</f>
        <v/>
      </c>
      <c r="AC1148">
        <f>IF(AND($A1148&lt;&gt;"",$B1148&lt;&gt;"",$R1148='تقرير مارس'!$C$4,$P1148='تقرير مارس'!$C$6),COUNT(AC$4:AC1147)+1,"")</f>
        <v/>
      </c>
      <c r="AD1148">
        <f>IF(AND($A1148&lt;&gt;"",$B1148&lt;&gt;"",$R1148='تقرير أبريل'!$C$4,$P1148='تقرير أبريل'!$C$6),COUNT(AD$4:AD1147)+1,"")</f>
        <v/>
      </c>
      <c r="AE1148">
        <f>IF(AND($A1148&lt;&gt;"",$B1148&lt;&gt;"",$R1148='تقرير مايو'!$C$4,$P1148='تقرير مايو'!$C$6),COUNT(AE$4:AE1147)+1,"")</f>
        <v/>
      </c>
    </row>
    <row r="1149">
      <c r="A1149" s="16" t="n"/>
      <c r="B1149" s="17" t="n"/>
      <c r="C1149" s="17" t="n"/>
      <c r="D1149" s="18" t="n"/>
      <c r="E1149" s="17" t="n"/>
      <c r="F1149" s="17" t="n"/>
      <c r="G1149" s="19" t="n"/>
      <c r="H1149" s="17" t="n"/>
      <c r="I1149" s="17" t="n"/>
      <c r="J1149" s="17" t="n"/>
      <c r="K1149" s="20">
        <f>IF($B1149="","",IFERROR(INDEX(الموظفات!$A$5:$A$304,MATCH($B1149,الموظفات!$B$5:$B$304,0))&amp;"",""))</f>
        <v/>
      </c>
      <c r="L1149" s="21">
        <f>IF($B1149="","",IFERROR(INDEX(الموظفات!$C$5:$C$304,MATCH($B1149,الموظفات!$B$5:$B$304,0))&amp;"",""))</f>
        <v/>
      </c>
      <c r="M1149" s="20">
        <f>IF($B1149="","",IFERROR(INDEX(الموظفات!$D$5:$D$304,MATCH($B1149,الموظفات!$B$5:$B$304,0))&amp;"",""))</f>
        <v/>
      </c>
      <c r="N1149" s="20">
        <f>IF($B1149="","",IFERROR(INDEX(الموظفات!$E$5:$E$304,MATCH($B1149,الموظفات!$B$5:$B$304,0))&amp;"",""))</f>
        <v/>
      </c>
      <c r="O1149" s="21">
        <f>IF(C1149="","",IFERROR(INDEX(الإعدادات!$D$7:$D$35,MATCH(C1149,الإعدادات!$A$7:$A$35,0))&amp;"",""))</f>
        <v/>
      </c>
      <c r="P1149" s="20">
        <f>IF(A1149="","",INDEX(الإعدادات!$H$7:$H$18,MONTH(A1149)))</f>
        <v/>
      </c>
      <c r="Q1149" s="20">
        <f>IF(A1149="","",INDEX(الإعدادات!$I$7:$I$18,MONTH(A1149)))</f>
        <v/>
      </c>
      <c r="R1149" s="20">
        <f>IF(A1149="","",IF(MONTH(A1149)&gt;=8,YEAR(A1149)&amp;"-"&amp;(YEAR(A1149)+1),(YEAR(A1149)-1)&amp;"-"&amp;YEAR(A1149)))</f>
        <v/>
      </c>
      <c r="S1149" s="20">
        <f>IF(OR(A1149="",B1149=""),0,IF(AND(R1149=التقارير!$C$4,OR(التقارير!$C$5="سنوي",AND(التقارير!$C$5="شهري",P1149=التقارير!$C$6),AND(التقارير!$C$5="فصلي",Q1149=التقارير!$C$7))),1,0))</f>
        <v/>
      </c>
      <c r="T1149" s="20">
        <f>IF(S1149=1,COUNTIF($S$5:S1149,1),"")</f>
        <v/>
      </c>
      <c r="U1149">
        <f>IF(AND($A1149&lt;&gt;"",$B1149&lt;&gt;"",$R1149='تقرير الفصل الأول'!$C$4,$Q1149='تقرير الفصل الأول'!$C$7),COUNT(U$4:U1148)+1,"")</f>
        <v/>
      </c>
      <c r="V1149">
        <f>IF(AND($A1149&lt;&gt;"",$B1149&lt;&gt;"",$R1149='تقرير الفصل الثاني'!$C$4,$Q1149='تقرير الفصل الثاني'!$C$7),COUNT(V$4:V1148)+1,"")</f>
        <v/>
      </c>
      <c r="W1149">
        <f>IF(AND($A1149&lt;&gt;"",$B1149&lt;&gt;"",$R1149='تقرير سبتمبر'!$C$4,$P1149='تقرير سبتمبر'!$C$6),COUNT(W$4:W1148)+1,"")</f>
        <v/>
      </c>
      <c r="X1149">
        <f>IF(AND($A1149&lt;&gt;"",$B1149&lt;&gt;"",$R1149='تقرير أكتوبر'!$C$4,$P1149='تقرير أكتوبر'!$C$6),COUNT(X$4:X1148)+1,"")</f>
        <v/>
      </c>
      <c r="Y1149">
        <f>IF(AND($A1149&lt;&gt;"",$B1149&lt;&gt;"",$R1149='تقرير نوفمبر'!$C$4,$P1149='تقرير نوفمبر'!$C$6),COUNT(Y$4:Y1148)+1,"")</f>
        <v/>
      </c>
      <c r="Z1149">
        <f>IF(AND($A1149&lt;&gt;"",$B1149&lt;&gt;"",$R1149='تقرير ديسمبر'!$C$4,$P1149='تقرير ديسمبر'!$C$6),COUNT(Z$4:Z1148)+1,"")</f>
        <v/>
      </c>
      <c r="AA1149">
        <f>IF(AND($A1149&lt;&gt;"",$B1149&lt;&gt;"",$R1149='تقرير يناير'!$C$4,$P1149='تقرير يناير'!$C$6),COUNT(AA$4:AA1148)+1,"")</f>
        <v/>
      </c>
      <c r="AB1149">
        <f>IF(AND($A1149&lt;&gt;"",$B1149&lt;&gt;"",$R1149='تقرير فبراير'!$C$4,$P1149='تقرير فبراير'!$C$6),COUNT(AB$4:AB1148)+1,"")</f>
        <v/>
      </c>
      <c r="AC1149">
        <f>IF(AND($A1149&lt;&gt;"",$B1149&lt;&gt;"",$R1149='تقرير مارس'!$C$4,$P1149='تقرير مارس'!$C$6),COUNT(AC$4:AC1148)+1,"")</f>
        <v/>
      </c>
      <c r="AD1149">
        <f>IF(AND($A1149&lt;&gt;"",$B1149&lt;&gt;"",$R1149='تقرير أبريل'!$C$4,$P1149='تقرير أبريل'!$C$6),COUNT(AD$4:AD1148)+1,"")</f>
        <v/>
      </c>
      <c r="AE1149">
        <f>IF(AND($A1149&lt;&gt;"",$B1149&lt;&gt;"",$R1149='تقرير مايو'!$C$4,$P1149='تقرير مايو'!$C$6),COUNT(AE$4:AE1148)+1,"")</f>
        <v/>
      </c>
    </row>
    <row r="1150">
      <c r="A1150" s="16" t="n"/>
      <c r="B1150" s="17" t="n"/>
      <c r="C1150" s="17" t="n"/>
      <c r="D1150" s="18" t="n"/>
      <c r="E1150" s="17" t="n"/>
      <c r="F1150" s="17" t="n"/>
      <c r="G1150" s="19" t="n"/>
      <c r="H1150" s="17" t="n"/>
      <c r="I1150" s="17" t="n"/>
      <c r="J1150" s="17" t="n"/>
      <c r="K1150" s="20">
        <f>IF($B1150="","",IFERROR(INDEX(الموظفات!$A$5:$A$304,MATCH($B1150,الموظفات!$B$5:$B$304,0))&amp;"",""))</f>
        <v/>
      </c>
      <c r="L1150" s="21">
        <f>IF($B1150="","",IFERROR(INDEX(الموظفات!$C$5:$C$304,MATCH($B1150,الموظفات!$B$5:$B$304,0))&amp;"",""))</f>
        <v/>
      </c>
      <c r="M1150" s="20">
        <f>IF($B1150="","",IFERROR(INDEX(الموظفات!$D$5:$D$304,MATCH($B1150,الموظفات!$B$5:$B$304,0))&amp;"",""))</f>
        <v/>
      </c>
      <c r="N1150" s="20">
        <f>IF($B1150="","",IFERROR(INDEX(الموظفات!$E$5:$E$304,MATCH($B1150,الموظفات!$B$5:$B$304,0))&amp;"",""))</f>
        <v/>
      </c>
      <c r="O1150" s="21">
        <f>IF(C1150="","",IFERROR(INDEX(الإعدادات!$D$7:$D$35,MATCH(C1150,الإعدادات!$A$7:$A$35,0))&amp;"",""))</f>
        <v/>
      </c>
      <c r="P1150" s="20">
        <f>IF(A1150="","",INDEX(الإعدادات!$H$7:$H$18,MONTH(A1150)))</f>
        <v/>
      </c>
      <c r="Q1150" s="20">
        <f>IF(A1150="","",INDEX(الإعدادات!$I$7:$I$18,MONTH(A1150)))</f>
        <v/>
      </c>
      <c r="R1150" s="20">
        <f>IF(A1150="","",IF(MONTH(A1150)&gt;=8,YEAR(A1150)&amp;"-"&amp;(YEAR(A1150)+1),(YEAR(A1150)-1)&amp;"-"&amp;YEAR(A1150)))</f>
        <v/>
      </c>
      <c r="S1150" s="20">
        <f>IF(OR(A1150="",B1150=""),0,IF(AND(R1150=التقارير!$C$4,OR(التقارير!$C$5="سنوي",AND(التقارير!$C$5="شهري",P1150=التقارير!$C$6),AND(التقارير!$C$5="فصلي",Q1150=التقارير!$C$7))),1,0))</f>
        <v/>
      </c>
      <c r="T1150" s="20">
        <f>IF(S1150=1,COUNTIF($S$5:S1150,1),"")</f>
        <v/>
      </c>
      <c r="U1150">
        <f>IF(AND($A1150&lt;&gt;"",$B1150&lt;&gt;"",$R1150='تقرير الفصل الأول'!$C$4,$Q1150='تقرير الفصل الأول'!$C$7),COUNT(U$4:U1149)+1,"")</f>
        <v/>
      </c>
      <c r="V1150">
        <f>IF(AND($A1150&lt;&gt;"",$B1150&lt;&gt;"",$R1150='تقرير الفصل الثاني'!$C$4,$Q1150='تقرير الفصل الثاني'!$C$7),COUNT(V$4:V1149)+1,"")</f>
        <v/>
      </c>
      <c r="W1150">
        <f>IF(AND($A1150&lt;&gt;"",$B1150&lt;&gt;"",$R1150='تقرير سبتمبر'!$C$4,$P1150='تقرير سبتمبر'!$C$6),COUNT(W$4:W1149)+1,"")</f>
        <v/>
      </c>
      <c r="X1150">
        <f>IF(AND($A1150&lt;&gt;"",$B1150&lt;&gt;"",$R1150='تقرير أكتوبر'!$C$4,$P1150='تقرير أكتوبر'!$C$6),COUNT(X$4:X1149)+1,"")</f>
        <v/>
      </c>
      <c r="Y1150">
        <f>IF(AND($A1150&lt;&gt;"",$B1150&lt;&gt;"",$R1150='تقرير نوفمبر'!$C$4,$P1150='تقرير نوفمبر'!$C$6),COUNT(Y$4:Y1149)+1,"")</f>
        <v/>
      </c>
      <c r="Z1150">
        <f>IF(AND($A1150&lt;&gt;"",$B1150&lt;&gt;"",$R1150='تقرير ديسمبر'!$C$4,$P1150='تقرير ديسمبر'!$C$6),COUNT(Z$4:Z1149)+1,"")</f>
        <v/>
      </c>
      <c r="AA1150">
        <f>IF(AND($A1150&lt;&gt;"",$B1150&lt;&gt;"",$R1150='تقرير يناير'!$C$4,$P1150='تقرير يناير'!$C$6),COUNT(AA$4:AA1149)+1,"")</f>
        <v/>
      </c>
      <c r="AB1150">
        <f>IF(AND($A1150&lt;&gt;"",$B1150&lt;&gt;"",$R1150='تقرير فبراير'!$C$4,$P1150='تقرير فبراير'!$C$6),COUNT(AB$4:AB1149)+1,"")</f>
        <v/>
      </c>
      <c r="AC1150">
        <f>IF(AND($A1150&lt;&gt;"",$B1150&lt;&gt;"",$R1150='تقرير مارس'!$C$4,$P1150='تقرير مارس'!$C$6),COUNT(AC$4:AC1149)+1,"")</f>
        <v/>
      </c>
      <c r="AD1150">
        <f>IF(AND($A1150&lt;&gt;"",$B1150&lt;&gt;"",$R1150='تقرير أبريل'!$C$4,$P1150='تقرير أبريل'!$C$6),COUNT(AD$4:AD1149)+1,"")</f>
        <v/>
      </c>
      <c r="AE1150">
        <f>IF(AND($A1150&lt;&gt;"",$B1150&lt;&gt;"",$R1150='تقرير مايو'!$C$4,$P1150='تقرير مايو'!$C$6),COUNT(AE$4:AE1149)+1,"")</f>
        <v/>
      </c>
    </row>
    <row r="1151">
      <c r="A1151" s="16" t="n"/>
      <c r="B1151" s="17" t="n"/>
      <c r="C1151" s="17" t="n"/>
      <c r="D1151" s="18" t="n"/>
      <c r="E1151" s="17" t="n"/>
      <c r="F1151" s="17" t="n"/>
      <c r="G1151" s="19" t="n"/>
      <c r="H1151" s="17" t="n"/>
      <c r="I1151" s="17" t="n"/>
      <c r="J1151" s="17" t="n"/>
      <c r="K1151" s="20">
        <f>IF($B1151="","",IFERROR(INDEX(الموظفات!$A$5:$A$304,MATCH($B1151,الموظفات!$B$5:$B$304,0))&amp;"",""))</f>
        <v/>
      </c>
      <c r="L1151" s="21">
        <f>IF($B1151="","",IFERROR(INDEX(الموظفات!$C$5:$C$304,MATCH($B1151,الموظفات!$B$5:$B$304,0))&amp;"",""))</f>
        <v/>
      </c>
      <c r="M1151" s="20">
        <f>IF($B1151="","",IFERROR(INDEX(الموظفات!$D$5:$D$304,MATCH($B1151,الموظفات!$B$5:$B$304,0))&amp;"",""))</f>
        <v/>
      </c>
      <c r="N1151" s="20">
        <f>IF($B1151="","",IFERROR(INDEX(الموظفات!$E$5:$E$304,MATCH($B1151,الموظفات!$B$5:$B$304,0))&amp;"",""))</f>
        <v/>
      </c>
      <c r="O1151" s="21">
        <f>IF(C1151="","",IFERROR(INDEX(الإعدادات!$D$7:$D$35,MATCH(C1151,الإعدادات!$A$7:$A$35,0))&amp;"",""))</f>
        <v/>
      </c>
      <c r="P1151" s="20">
        <f>IF(A1151="","",INDEX(الإعدادات!$H$7:$H$18,MONTH(A1151)))</f>
        <v/>
      </c>
      <c r="Q1151" s="20">
        <f>IF(A1151="","",INDEX(الإعدادات!$I$7:$I$18,MONTH(A1151)))</f>
        <v/>
      </c>
      <c r="R1151" s="20">
        <f>IF(A1151="","",IF(MONTH(A1151)&gt;=8,YEAR(A1151)&amp;"-"&amp;(YEAR(A1151)+1),(YEAR(A1151)-1)&amp;"-"&amp;YEAR(A1151)))</f>
        <v/>
      </c>
      <c r="S1151" s="20">
        <f>IF(OR(A1151="",B1151=""),0,IF(AND(R1151=التقارير!$C$4,OR(التقارير!$C$5="سنوي",AND(التقارير!$C$5="شهري",P1151=التقارير!$C$6),AND(التقارير!$C$5="فصلي",Q1151=التقارير!$C$7))),1,0))</f>
        <v/>
      </c>
      <c r="T1151" s="20">
        <f>IF(S1151=1,COUNTIF($S$5:S1151,1),"")</f>
        <v/>
      </c>
      <c r="U1151">
        <f>IF(AND($A1151&lt;&gt;"",$B1151&lt;&gt;"",$R1151='تقرير الفصل الأول'!$C$4,$Q1151='تقرير الفصل الأول'!$C$7),COUNT(U$4:U1150)+1,"")</f>
        <v/>
      </c>
      <c r="V1151">
        <f>IF(AND($A1151&lt;&gt;"",$B1151&lt;&gt;"",$R1151='تقرير الفصل الثاني'!$C$4,$Q1151='تقرير الفصل الثاني'!$C$7),COUNT(V$4:V1150)+1,"")</f>
        <v/>
      </c>
      <c r="W1151">
        <f>IF(AND($A1151&lt;&gt;"",$B1151&lt;&gt;"",$R1151='تقرير سبتمبر'!$C$4,$P1151='تقرير سبتمبر'!$C$6),COUNT(W$4:W1150)+1,"")</f>
        <v/>
      </c>
      <c r="X1151">
        <f>IF(AND($A1151&lt;&gt;"",$B1151&lt;&gt;"",$R1151='تقرير أكتوبر'!$C$4,$P1151='تقرير أكتوبر'!$C$6),COUNT(X$4:X1150)+1,"")</f>
        <v/>
      </c>
      <c r="Y1151">
        <f>IF(AND($A1151&lt;&gt;"",$B1151&lt;&gt;"",$R1151='تقرير نوفمبر'!$C$4,$P1151='تقرير نوفمبر'!$C$6),COUNT(Y$4:Y1150)+1,"")</f>
        <v/>
      </c>
      <c r="Z1151">
        <f>IF(AND($A1151&lt;&gt;"",$B1151&lt;&gt;"",$R1151='تقرير ديسمبر'!$C$4,$P1151='تقرير ديسمبر'!$C$6),COUNT(Z$4:Z1150)+1,"")</f>
        <v/>
      </c>
      <c r="AA1151">
        <f>IF(AND($A1151&lt;&gt;"",$B1151&lt;&gt;"",$R1151='تقرير يناير'!$C$4,$P1151='تقرير يناير'!$C$6),COUNT(AA$4:AA1150)+1,"")</f>
        <v/>
      </c>
      <c r="AB1151">
        <f>IF(AND($A1151&lt;&gt;"",$B1151&lt;&gt;"",$R1151='تقرير فبراير'!$C$4,$P1151='تقرير فبراير'!$C$6),COUNT(AB$4:AB1150)+1,"")</f>
        <v/>
      </c>
      <c r="AC1151">
        <f>IF(AND($A1151&lt;&gt;"",$B1151&lt;&gt;"",$R1151='تقرير مارس'!$C$4,$P1151='تقرير مارس'!$C$6),COUNT(AC$4:AC1150)+1,"")</f>
        <v/>
      </c>
      <c r="AD1151">
        <f>IF(AND($A1151&lt;&gt;"",$B1151&lt;&gt;"",$R1151='تقرير أبريل'!$C$4,$P1151='تقرير أبريل'!$C$6),COUNT(AD$4:AD1150)+1,"")</f>
        <v/>
      </c>
      <c r="AE1151">
        <f>IF(AND($A1151&lt;&gt;"",$B1151&lt;&gt;"",$R1151='تقرير مايو'!$C$4,$P1151='تقرير مايو'!$C$6),COUNT(AE$4:AE1150)+1,"")</f>
        <v/>
      </c>
    </row>
    <row r="1152">
      <c r="A1152" s="16" t="n"/>
      <c r="B1152" s="17" t="n"/>
      <c r="C1152" s="17" t="n"/>
      <c r="D1152" s="18" t="n"/>
      <c r="E1152" s="17" t="n"/>
      <c r="F1152" s="17" t="n"/>
      <c r="G1152" s="19" t="n"/>
      <c r="H1152" s="17" t="n"/>
      <c r="I1152" s="17" t="n"/>
      <c r="J1152" s="17" t="n"/>
      <c r="K1152" s="20">
        <f>IF($B1152="","",IFERROR(INDEX(الموظفات!$A$5:$A$304,MATCH($B1152,الموظفات!$B$5:$B$304,0))&amp;"",""))</f>
        <v/>
      </c>
      <c r="L1152" s="21">
        <f>IF($B1152="","",IFERROR(INDEX(الموظفات!$C$5:$C$304,MATCH($B1152,الموظفات!$B$5:$B$304,0))&amp;"",""))</f>
        <v/>
      </c>
      <c r="M1152" s="20">
        <f>IF($B1152="","",IFERROR(INDEX(الموظفات!$D$5:$D$304,MATCH($B1152,الموظفات!$B$5:$B$304,0))&amp;"",""))</f>
        <v/>
      </c>
      <c r="N1152" s="20">
        <f>IF($B1152="","",IFERROR(INDEX(الموظفات!$E$5:$E$304,MATCH($B1152,الموظفات!$B$5:$B$304,0))&amp;"",""))</f>
        <v/>
      </c>
      <c r="O1152" s="21">
        <f>IF(C1152="","",IFERROR(INDEX(الإعدادات!$D$7:$D$35,MATCH(C1152,الإعدادات!$A$7:$A$35,0))&amp;"",""))</f>
        <v/>
      </c>
      <c r="P1152" s="20">
        <f>IF(A1152="","",INDEX(الإعدادات!$H$7:$H$18,MONTH(A1152)))</f>
        <v/>
      </c>
      <c r="Q1152" s="20">
        <f>IF(A1152="","",INDEX(الإعدادات!$I$7:$I$18,MONTH(A1152)))</f>
        <v/>
      </c>
      <c r="R1152" s="20">
        <f>IF(A1152="","",IF(MONTH(A1152)&gt;=8,YEAR(A1152)&amp;"-"&amp;(YEAR(A1152)+1),(YEAR(A1152)-1)&amp;"-"&amp;YEAR(A1152)))</f>
        <v/>
      </c>
      <c r="S1152" s="20">
        <f>IF(OR(A1152="",B1152=""),0,IF(AND(R1152=التقارير!$C$4,OR(التقارير!$C$5="سنوي",AND(التقارير!$C$5="شهري",P1152=التقارير!$C$6),AND(التقارير!$C$5="فصلي",Q1152=التقارير!$C$7))),1,0))</f>
        <v/>
      </c>
      <c r="T1152" s="20">
        <f>IF(S1152=1,COUNTIF($S$5:S1152,1),"")</f>
        <v/>
      </c>
      <c r="U1152">
        <f>IF(AND($A1152&lt;&gt;"",$B1152&lt;&gt;"",$R1152='تقرير الفصل الأول'!$C$4,$Q1152='تقرير الفصل الأول'!$C$7),COUNT(U$4:U1151)+1,"")</f>
        <v/>
      </c>
      <c r="V1152">
        <f>IF(AND($A1152&lt;&gt;"",$B1152&lt;&gt;"",$R1152='تقرير الفصل الثاني'!$C$4,$Q1152='تقرير الفصل الثاني'!$C$7),COUNT(V$4:V1151)+1,"")</f>
        <v/>
      </c>
      <c r="W1152">
        <f>IF(AND($A1152&lt;&gt;"",$B1152&lt;&gt;"",$R1152='تقرير سبتمبر'!$C$4,$P1152='تقرير سبتمبر'!$C$6),COUNT(W$4:W1151)+1,"")</f>
        <v/>
      </c>
      <c r="X1152">
        <f>IF(AND($A1152&lt;&gt;"",$B1152&lt;&gt;"",$R1152='تقرير أكتوبر'!$C$4,$P1152='تقرير أكتوبر'!$C$6),COUNT(X$4:X1151)+1,"")</f>
        <v/>
      </c>
      <c r="Y1152">
        <f>IF(AND($A1152&lt;&gt;"",$B1152&lt;&gt;"",$R1152='تقرير نوفمبر'!$C$4,$P1152='تقرير نوفمبر'!$C$6),COUNT(Y$4:Y1151)+1,"")</f>
        <v/>
      </c>
      <c r="Z1152">
        <f>IF(AND($A1152&lt;&gt;"",$B1152&lt;&gt;"",$R1152='تقرير ديسمبر'!$C$4,$P1152='تقرير ديسمبر'!$C$6),COUNT(Z$4:Z1151)+1,"")</f>
        <v/>
      </c>
      <c r="AA1152">
        <f>IF(AND($A1152&lt;&gt;"",$B1152&lt;&gt;"",$R1152='تقرير يناير'!$C$4,$P1152='تقرير يناير'!$C$6),COUNT(AA$4:AA1151)+1,"")</f>
        <v/>
      </c>
      <c r="AB1152">
        <f>IF(AND($A1152&lt;&gt;"",$B1152&lt;&gt;"",$R1152='تقرير فبراير'!$C$4,$P1152='تقرير فبراير'!$C$6),COUNT(AB$4:AB1151)+1,"")</f>
        <v/>
      </c>
      <c r="AC1152">
        <f>IF(AND($A1152&lt;&gt;"",$B1152&lt;&gt;"",$R1152='تقرير مارس'!$C$4,$P1152='تقرير مارس'!$C$6),COUNT(AC$4:AC1151)+1,"")</f>
        <v/>
      </c>
      <c r="AD1152">
        <f>IF(AND($A1152&lt;&gt;"",$B1152&lt;&gt;"",$R1152='تقرير أبريل'!$C$4,$P1152='تقرير أبريل'!$C$6),COUNT(AD$4:AD1151)+1,"")</f>
        <v/>
      </c>
      <c r="AE1152">
        <f>IF(AND($A1152&lt;&gt;"",$B1152&lt;&gt;"",$R1152='تقرير مايو'!$C$4,$P1152='تقرير مايو'!$C$6),COUNT(AE$4:AE1151)+1,"")</f>
        <v/>
      </c>
    </row>
    <row r="1153">
      <c r="A1153" s="16" t="n"/>
      <c r="B1153" s="17" t="n"/>
      <c r="C1153" s="17" t="n"/>
      <c r="D1153" s="18" t="n"/>
      <c r="E1153" s="17" t="n"/>
      <c r="F1153" s="17" t="n"/>
      <c r="G1153" s="19" t="n"/>
      <c r="H1153" s="17" t="n"/>
      <c r="I1153" s="17" t="n"/>
      <c r="J1153" s="17" t="n"/>
      <c r="K1153" s="20">
        <f>IF($B1153="","",IFERROR(INDEX(الموظفات!$A$5:$A$304,MATCH($B1153,الموظفات!$B$5:$B$304,0))&amp;"",""))</f>
        <v/>
      </c>
      <c r="L1153" s="21">
        <f>IF($B1153="","",IFERROR(INDEX(الموظفات!$C$5:$C$304,MATCH($B1153,الموظفات!$B$5:$B$304,0))&amp;"",""))</f>
        <v/>
      </c>
      <c r="M1153" s="20">
        <f>IF($B1153="","",IFERROR(INDEX(الموظفات!$D$5:$D$304,MATCH($B1153,الموظفات!$B$5:$B$304,0))&amp;"",""))</f>
        <v/>
      </c>
      <c r="N1153" s="20">
        <f>IF($B1153="","",IFERROR(INDEX(الموظفات!$E$5:$E$304,MATCH($B1153,الموظفات!$B$5:$B$304,0))&amp;"",""))</f>
        <v/>
      </c>
      <c r="O1153" s="21">
        <f>IF(C1153="","",IFERROR(INDEX(الإعدادات!$D$7:$D$35,MATCH(C1153,الإعدادات!$A$7:$A$35,0))&amp;"",""))</f>
        <v/>
      </c>
      <c r="P1153" s="20">
        <f>IF(A1153="","",INDEX(الإعدادات!$H$7:$H$18,MONTH(A1153)))</f>
        <v/>
      </c>
      <c r="Q1153" s="20">
        <f>IF(A1153="","",INDEX(الإعدادات!$I$7:$I$18,MONTH(A1153)))</f>
        <v/>
      </c>
      <c r="R1153" s="20">
        <f>IF(A1153="","",IF(MONTH(A1153)&gt;=8,YEAR(A1153)&amp;"-"&amp;(YEAR(A1153)+1),(YEAR(A1153)-1)&amp;"-"&amp;YEAR(A1153)))</f>
        <v/>
      </c>
      <c r="S1153" s="20">
        <f>IF(OR(A1153="",B1153=""),0,IF(AND(R1153=التقارير!$C$4,OR(التقارير!$C$5="سنوي",AND(التقارير!$C$5="شهري",P1153=التقارير!$C$6),AND(التقارير!$C$5="فصلي",Q1153=التقارير!$C$7))),1,0))</f>
        <v/>
      </c>
      <c r="T1153" s="20">
        <f>IF(S1153=1,COUNTIF($S$5:S1153,1),"")</f>
        <v/>
      </c>
      <c r="U1153">
        <f>IF(AND($A1153&lt;&gt;"",$B1153&lt;&gt;"",$R1153='تقرير الفصل الأول'!$C$4,$Q1153='تقرير الفصل الأول'!$C$7),COUNT(U$4:U1152)+1,"")</f>
        <v/>
      </c>
      <c r="V1153">
        <f>IF(AND($A1153&lt;&gt;"",$B1153&lt;&gt;"",$R1153='تقرير الفصل الثاني'!$C$4,$Q1153='تقرير الفصل الثاني'!$C$7),COUNT(V$4:V1152)+1,"")</f>
        <v/>
      </c>
      <c r="W1153">
        <f>IF(AND($A1153&lt;&gt;"",$B1153&lt;&gt;"",$R1153='تقرير سبتمبر'!$C$4,$P1153='تقرير سبتمبر'!$C$6),COUNT(W$4:W1152)+1,"")</f>
        <v/>
      </c>
      <c r="X1153">
        <f>IF(AND($A1153&lt;&gt;"",$B1153&lt;&gt;"",$R1153='تقرير أكتوبر'!$C$4,$P1153='تقرير أكتوبر'!$C$6),COUNT(X$4:X1152)+1,"")</f>
        <v/>
      </c>
      <c r="Y1153">
        <f>IF(AND($A1153&lt;&gt;"",$B1153&lt;&gt;"",$R1153='تقرير نوفمبر'!$C$4,$P1153='تقرير نوفمبر'!$C$6),COUNT(Y$4:Y1152)+1,"")</f>
        <v/>
      </c>
      <c r="Z1153">
        <f>IF(AND($A1153&lt;&gt;"",$B1153&lt;&gt;"",$R1153='تقرير ديسمبر'!$C$4,$P1153='تقرير ديسمبر'!$C$6),COUNT(Z$4:Z1152)+1,"")</f>
        <v/>
      </c>
      <c r="AA1153">
        <f>IF(AND($A1153&lt;&gt;"",$B1153&lt;&gt;"",$R1153='تقرير يناير'!$C$4,$P1153='تقرير يناير'!$C$6),COUNT(AA$4:AA1152)+1,"")</f>
        <v/>
      </c>
      <c r="AB1153">
        <f>IF(AND($A1153&lt;&gt;"",$B1153&lt;&gt;"",$R1153='تقرير فبراير'!$C$4,$P1153='تقرير فبراير'!$C$6),COUNT(AB$4:AB1152)+1,"")</f>
        <v/>
      </c>
      <c r="AC1153">
        <f>IF(AND($A1153&lt;&gt;"",$B1153&lt;&gt;"",$R1153='تقرير مارس'!$C$4,$P1153='تقرير مارس'!$C$6),COUNT(AC$4:AC1152)+1,"")</f>
        <v/>
      </c>
      <c r="AD1153">
        <f>IF(AND($A1153&lt;&gt;"",$B1153&lt;&gt;"",$R1153='تقرير أبريل'!$C$4,$P1153='تقرير أبريل'!$C$6),COUNT(AD$4:AD1152)+1,"")</f>
        <v/>
      </c>
      <c r="AE1153">
        <f>IF(AND($A1153&lt;&gt;"",$B1153&lt;&gt;"",$R1153='تقرير مايو'!$C$4,$P1153='تقرير مايو'!$C$6),COUNT(AE$4:AE1152)+1,"")</f>
        <v/>
      </c>
    </row>
    <row r="1154">
      <c r="A1154" s="16" t="n"/>
      <c r="B1154" s="17" t="n"/>
      <c r="C1154" s="17" t="n"/>
      <c r="D1154" s="18" t="n"/>
      <c r="E1154" s="17" t="n"/>
      <c r="F1154" s="17" t="n"/>
      <c r="G1154" s="19" t="n"/>
      <c r="H1154" s="17" t="n"/>
      <c r="I1154" s="17" t="n"/>
      <c r="J1154" s="17" t="n"/>
      <c r="K1154" s="20">
        <f>IF($B1154="","",IFERROR(INDEX(الموظفات!$A$5:$A$304,MATCH($B1154,الموظفات!$B$5:$B$304,0))&amp;"",""))</f>
        <v/>
      </c>
      <c r="L1154" s="21">
        <f>IF($B1154="","",IFERROR(INDEX(الموظفات!$C$5:$C$304,MATCH($B1154,الموظفات!$B$5:$B$304,0))&amp;"",""))</f>
        <v/>
      </c>
      <c r="M1154" s="20">
        <f>IF($B1154="","",IFERROR(INDEX(الموظفات!$D$5:$D$304,MATCH($B1154,الموظفات!$B$5:$B$304,0))&amp;"",""))</f>
        <v/>
      </c>
      <c r="N1154" s="20">
        <f>IF($B1154="","",IFERROR(INDEX(الموظفات!$E$5:$E$304,MATCH($B1154,الموظفات!$B$5:$B$304,0))&amp;"",""))</f>
        <v/>
      </c>
      <c r="O1154" s="21">
        <f>IF(C1154="","",IFERROR(INDEX(الإعدادات!$D$7:$D$35,MATCH(C1154,الإعدادات!$A$7:$A$35,0))&amp;"",""))</f>
        <v/>
      </c>
      <c r="P1154" s="20">
        <f>IF(A1154="","",INDEX(الإعدادات!$H$7:$H$18,MONTH(A1154)))</f>
        <v/>
      </c>
      <c r="Q1154" s="20">
        <f>IF(A1154="","",INDEX(الإعدادات!$I$7:$I$18,MONTH(A1154)))</f>
        <v/>
      </c>
      <c r="R1154" s="20">
        <f>IF(A1154="","",IF(MONTH(A1154)&gt;=8,YEAR(A1154)&amp;"-"&amp;(YEAR(A1154)+1),(YEAR(A1154)-1)&amp;"-"&amp;YEAR(A1154)))</f>
        <v/>
      </c>
      <c r="S1154" s="20">
        <f>IF(OR(A1154="",B1154=""),0,IF(AND(R1154=التقارير!$C$4,OR(التقارير!$C$5="سنوي",AND(التقارير!$C$5="شهري",P1154=التقارير!$C$6),AND(التقارير!$C$5="فصلي",Q1154=التقارير!$C$7))),1,0))</f>
        <v/>
      </c>
      <c r="T1154" s="20">
        <f>IF(S1154=1,COUNTIF($S$5:S1154,1),"")</f>
        <v/>
      </c>
      <c r="U1154">
        <f>IF(AND($A1154&lt;&gt;"",$B1154&lt;&gt;"",$R1154='تقرير الفصل الأول'!$C$4,$Q1154='تقرير الفصل الأول'!$C$7),COUNT(U$4:U1153)+1,"")</f>
        <v/>
      </c>
      <c r="V1154">
        <f>IF(AND($A1154&lt;&gt;"",$B1154&lt;&gt;"",$R1154='تقرير الفصل الثاني'!$C$4,$Q1154='تقرير الفصل الثاني'!$C$7),COUNT(V$4:V1153)+1,"")</f>
        <v/>
      </c>
      <c r="W1154">
        <f>IF(AND($A1154&lt;&gt;"",$B1154&lt;&gt;"",$R1154='تقرير سبتمبر'!$C$4,$P1154='تقرير سبتمبر'!$C$6),COUNT(W$4:W1153)+1,"")</f>
        <v/>
      </c>
      <c r="X1154">
        <f>IF(AND($A1154&lt;&gt;"",$B1154&lt;&gt;"",$R1154='تقرير أكتوبر'!$C$4,$P1154='تقرير أكتوبر'!$C$6),COUNT(X$4:X1153)+1,"")</f>
        <v/>
      </c>
      <c r="Y1154">
        <f>IF(AND($A1154&lt;&gt;"",$B1154&lt;&gt;"",$R1154='تقرير نوفمبر'!$C$4,$P1154='تقرير نوفمبر'!$C$6),COUNT(Y$4:Y1153)+1,"")</f>
        <v/>
      </c>
      <c r="Z1154">
        <f>IF(AND($A1154&lt;&gt;"",$B1154&lt;&gt;"",$R1154='تقرير ديسمبر'!$C$4,$P1154='تقرير ديسمبر'!$C$6),COUNT(Z$4:Z1153)+1,"")</f>
        <v/>
      </c>
      <c r="AA1154">
        <f>IF(AND($A1154&lt;&gt;"",$B1154&lt;&gt;"",$R1154='تقرير يناير'!$C$4,$P1154='تقرير يناير'!$C$6),COUNT(AA$4:AA1153)+1,"")</f>
        <v/>
      </c>
      <c r="AB1154">
        <f>IF(AND($A1154&lt;&gt;"",$B1154&lt;&gt;"",$R1154='تقرير فبراير'!$C$4,$P1154='تقرير فبراير'!$C$6),COUNT(AB$4:AB1153)+1,"")</f>
        <v/>
      </c>
      <c r="AC1154">
        <f>IF(AND($A1154&lt;&gt;"",$B1154&lt;&gt;"",$R1154='تقرير مارس'!$C$4,$P1154='تقرير مارس'!$C$6),COUNT(AC$4:AC1153)+1,"")</f>
        <v/>
      </c>
      <c r="AD1154">
        <f>IF(AND($A1154&lt;&gt;"",$B1154&lt;&gt;"",$R1154='تقرير أبريل'!$C$4,$P1154='تقرير أبريل'!$C$6),COUNT(AD$4:AD1153)+1,"")</f>
        <v/>
      </c>
      <c r="AE1154">
        <f>IF(AND($A1154&lt;&gt;"",$B1154&lt;&gt;"",$R1154='تقرير مايو'!$C$4,$P1154='تقرير مايو'!$C$6),COUNT(AE$4:AE1153)+1,"")</f>
        <v/>
      </c>
    </row>
    <row r="1155">
      <c r="A1155" s="16" t="n"/>
      <c r="B1155" s="17" t="n"/>
      <c r="C1155" s="17" t="n"/>
      <c r="D1155" s="18" t="n"/>
      <c r="E1155" s="17" t="n"/>
      <c r="F1155" s="17" t="n"/>
      <c r="G1155" s="19" t="n"/>
      <c r="H1155" s="17" t="n"/>
      <c r="I1155" s="17" t="n"/>
      <c r="J1155" s="17" t="n"/>
      <c r="K1155" s="20">
        <f>IF($B1155="","",IFERROR(INDEX(الموظفات!$A$5:$A$304,MATCH($B1155,الموظفات!$B$5:$B$304,0))&amp;"",""))</f>
        <v/>
      </c>
      <c r="L1155" s="21">
        <f>IF($B1155="","",IFERROR(INDEX(الموظفات!$C$5:$C$304,MATCH($B1155,الموظفات!$B$5:$B$304,0))&amp;"",""))</f>
        <v/>
      </c>
      <c r="M1155" s="20">
        <f>IF($B1155="","",IFERROR(INDEX(الموظفات!$D$5:$D$304,MATCH($B1155,الموظفات!$B$5:$B$304,0))&amp;"",""))</f>
        <v/>
      </c>
      <c r="N1155" s="20">
        <f>IF($B1155="","",IFERROR(INDEX(الموظفات!$E$5:$E$304,MATCH($B1155,الموظفات!$B$5:$B$304,0))&amp;"",""))</f>
        <v/>
      </c>
      <c r="O1155" s="21">
        <f>IF(C1155="","",IFERROR(INDEX(الإعدادات!$D$7:$D$35,MATCH(C1155,الإعدادات!$A$7:$A$35,0))&amp;"",""))</f>
        <v/>
      </c>
      <c r="P1155" s="20">
        <f>IF(A1155="","",INDEX(الإعدادات!$H$7:$H$18,MONTH(A1155)))</f>
        <v/>
      </c>
      <c r="Q1155" s="20">
        <f>IF(A1155="","",INDEX(الإعدادات!$I$7:$I$18,MONTH(A1155)))</f>
        <v/>
      </c>
      <c r="R1155" s="20">
        <f>IF(A1155="","",IF(MONTH(A1155)&gt;=8,YEAR(A1155)&amp;"-"&amp;(YEAR(A1155)+1),(YEAR(A1155)-1)&amp;"-"&amp;YEAR(A1155)))</f>
        <v/>
      </c>
      <c r="S1155" s="20">
        <f>IF(OR(A1155="",B1155=""),0,IF(AND(R1155=التقارير!$C$4,OR(التقارير!$C$5="سنوي",AND(التقارير!$C$5="شهري",P1155=التقارير!$C$6),AND(التقارير!$C$5="فصلي",Q1155=التقارير!$C$7))),1,0))</f>
        <v/>
      </c>
      <c r="T1155" s="20">
        <f>IF(S1155=1,COUNTIF($S$5:S1155,1),"")</f>
        <v/>
      </c>
      <c r="U1155">
        <f>IF(AND($A1155&lt;&gt;"",$B1155&lt;&gt;"",$R1155='تقرير الفصل الأول'!$C$4,$Q1155='تقرير الفصل الأول'!$C$7),COUNT(U$4:U1154)+1,"")</f>
        <v/>
      </c>
      <c r="V1155">
        <f>IF(AND($A1155&lt;&gt;"",$B1155&lt;&gt;"",$R1155='تقرير الفصل الثاني'!$C$4,$Q1155='تقرير الفصل الثاني'!$C$7),COUNT(V$4:V1154)+1,"")</f>
        <v/>
      </c>
      <c r="W1155">
        <f>IF(AND($A1155&lt;&gt;"",$B1155&lt;&gt;"",$R1155='تقرير سبتمبر'!$C$4,$P1155='تقرير سبتمبر'!$C$6),COUNT(W$4:W1154)+1,"")</f>
        <v/>
      </c>
      <c r="X1155">
        <f>IF(AND($A1155&lt;&gt;"",$B1155&lt;&gt;"",$R1155='تقرير أكتوبر'!$C$4,$P1155='تقرير أكتوبر'!$C$6),COUNT(X$4:X1154)+1,"")</f>
        <v/>
      </c>
      <c r="Y1155">
        <f>IF(AND($A1155&lt;&gt;"",$B1155&lt;&gt;"",$R1155='تقرير نوفمبر'!$C$4,$P1155='تقرير نوفمبر'!$C$6),COUNT(Y$4:Y1154)+1,"")</f>
        <v/>
      </c>
      <c r="Z1155">
        <f>IF(AND($A1155&lt;&gt;"",$B1155&lt;&gt;"",$R1155='تقرير ديسمبر'!$C$4,$P1155='تقرير ديسمبر'!$C$6),COUNT(Z$4:Z1154)+1,"")</f>
        <v/>
      </c>
      <c r="AA1155">
        <f>IF(AND($A1155&lt;&gt;"",$B1155&lt;&gt;"",$R1155='تقرير يناير'!$C$4,$P1155='تقرير يناير'!$C$6),COUNT(AA$4:AA1154)+1,"")</f>
        <v/>
      </c>
      <c r="AB1155">
        <f>IF(AND($A1155&lt;&gt;"",$B1155&lt;&gt;"",$R1155='تقرير فبراير'!$C$4,$P1155='تقرير فبراير'!$C$6),COUNT(AB$4:AB1154)+1,"")</f>
        <v/>
      </c>
      <c r="AC1155">
        <f>IF(AND($A1155&lt;&gt;"",$B1155&lt;&gt;"",$R1155='تقرير مارس'!$C$4,$P1155='تقرير مارس'!$C$6),COUNT(AC$4:AC1154)+1,"")</f>
        <v/>
      </c>
      <c r="AD1155">
        <f>IF(AND($A1155&lt;&gt;"",$B1155&lt;&gt;"",$R1155='تقرير أبريل'!$C$4,$P1155='تقرير أبريل'!$C$6),COUNT(AD$4:AD1154)+1,"")</f>
        <v/>
      </c>
      <c r="AE1155">
        <f>IF(AND($A1155&lt;&gt;"",$B1155&lt;&gt;"",$R1155='تقرير مايو'!$C$4,$P1155='تقرير مايو'!$C$6),COUNT(AE$4:AE1154)+1,"")</f>
        <v/>
      </c>
    </row>
    <row r="1156">
      <c r="A1156" s="16" t="n"/>
      <c r="B1156" s="17" t="n"/>
      <c r="C1156" s="17" t="n"/>
      <c r="D1156" s="18" t="n"/>
      <c r="E1156" s="17" t="n"/>
      <c r="F1156" s="17" t="n"/>
      <c r="G1156" s="19" t="n"/>
      <c r="H1156" s="17" t="n"/>
      <c r="I1156" s="17" t="n"/>
      <c r="J1156" s="17" t="n"/>
      <c r="K1156" s="20">
        <f>IF($B1156="","",IFERROR(INDEX(الموظفات!$A$5:$A$304,MATCH($B1156,الموظفات!$B$5:$B$304,0))&amp;"",""))</f>
        <v/>
      </c>
      <c r="L1156" s="21">
        <f>IF($B1156="","",IFERROR(INDEX(الموظفات!$C$5:$C$304,MATCH($B1156,الموظفات!$B$5:$B$304,0))&amp;"",""))</f>
        <v/>
      </c>
      <c r="M1156" s="20">
        <f>IF($B1156="","",IFERROR(INDEX(الموظفات!$D$5:$D$304,MATCH($B1156,الموظفات!$B$5:$B$304,0))&amp;"",""))</f>
        <v/>
      </c>
      <c r="N1156" s="20">
        <f>IF($B1156="","",IFERROR(INDEX(الموظفات!$E$5:$E$304,MATCH($B1156,الموظفات!$B$5:$B$304,0))&amp;"",""))</f>
        <v/>
      </c>
      <c r="O1156" s="21">
        <f>IF(C1156="","",IFERROR(INDEX(الإعدادات!$D$7:$D$35,MATCH(C1156,الإعدادات!$A$7:$A$35,0))&amp;"",""))</f>
        <v/>
      </c>
      <c r="P1156" s="20">
        <f>IF(A1156="","",INDEX(الإعدادات!$H$7:$H$18,MONTH(A1156)))</f>
        <v/>
      </c>
      <c r="Q1156" s="20">
        <f>IF(A1156="","",INDEX(الإعدادات!$I$7:$I$18,MONTH(A1156)))</f>
        <v/>
      </c>
      <c r="R1156" s="20">
        <f>IF(A1156="","",IF(MONTH(A1156)&gt;=8,YEAR(A1156)&amp;"-"&amp;(YEAR(A1156)+1),(YEAR(A1156)-1)&amp;"-"&amp;YEAR(A1156)))</f>
        <v/>
      </c>
      <c r="S1156" s="20">
        <f>IF(OR(A1156="",B1156=""),0,IF(AND(R1156=التقارير!$C$4,OR(التقارير!$C$5="سنوي",AND(التقارير!$C$5="شهري",P1156=التقارير!$C$6),AND(التقارير!$C$5="فصلي",Q1156=التقارير!$C$7))),1,0))</f>
        <v/>
      </c>
      <c r="T1156" s="20">
        <f>IF(S1156=1,COUNTIF($S$5:S1156,1),"")</f>
        <v/>
      </c>
      <c r="U1156">
        <f>IF(AND($A1156&lt;&gt;"",$B1156&lt;&gt;"",$R1156='تقرير الفصل الأول'!$C$4,$Q1156='تقرير الفصل الأول'!$C$7),COUNT(U$4:U1155)+1,"")</f>
        <v/>
      </c>
      <c r="V1156">
        <f>IF(AND($A1156&lt;&gt;"",$B1156&lt;&gt;"",$R1156='تقرير الفصل الثاني'!$C$4,$Q1156='تقرير الفصل الثاني'!$C$7),COUNT(V$4:V1155)+1,"")</f>
        <v/>
      </c>
      <c r="W1156">
        <f>IF(AND($A1156&lt;&gt;"",$B1156&lt;&gt;"",$R1156='تقرير سبتمبر'!$C$4,$P1156='تقرير سبتمبر'!$C$6),COUNT(W$4:W1155)+1,"")</f>
        <v/>
      </c>
      <c r="X1156">
        <f>IF(AND($A1156&lt;&gt;"",$B1156&lt;&gt;"",$R1156='تقرير أكتوبر'!$C$4,$P1156='تقرير أكتوبر'!$C$6),COUNT(X$4:X1155)+1,"")</f>
        <v/>
      </c>
      <c r="Y1156">
        <f>IF(AND($A1156&lt;&gt;"",$B1156&lt;&gt;"",$R1156='تقرير نوفمبر'!$C$4,$P1156='تقرير نوفمبر'!$C$6),COUNT(Y$4:Y1155)+1,"")</f>
        <v/>
      </c>
      <c r="Z1156">
        <f>IF(AND($A1156&lt;&gt;"",$B1156&lt;&gt;"",$R1156='تقرير ديسمبر'!$C$4,$P1156='تقرير ديسمبر'!$C$6),COUNT(Z$4:Z1155)+1,"")</f>
        <v/>
      </c>
      <c r="AA1156">
        <f>IF(AND($A1156&lt;&gt;"",$B1156&lt;&gt;"",$R1156='تقرير يناير'!$C$4,$P1156='تقرير يناير'!$C$6),COUNT(AA$4:AA1155)+1,"")</f>
        <v/>
      </c>
      <c r="AB1156">
        <f>IF(AND($A1156&lt;&gt;"",$B1156&lt;&gt;"",$R1156='تقرير فبراير'!$C$4,$P1156='تقرير فبراير'!$C$6),COUNT(AB$4:AB1155)+1,"")</f>
        <v/>
      </c>
      <c r="AC1156">
        <f>IF(AND($A1156&lt;&gt;"",$B1156&lt;&gt;"",$R1156='تقرير مارس'!$C$4,$P1156='تقرير مارس'!$C$6),COUNT(AC$4:AC1155)+1,"")</f>
        <v/>
      </c>
      <c r="AD1156">
        <f>IF(AND($A1156&lt;&gt;"",$B1156&lt;&gt;"",$R1156='تقرير أبريل'!$C$4,$P1156='تقرير أبريل'!$C$6),COUNT(AD$4:AD1155)+1,"")</f>
        <v/>
      </c>
      <c r="AE1156">
        <f>IF(AND($A1156&lt;&gt;"",$B1156&lt;&gt;"",$R1156='تقرير مايو'!$C$4,$P1156='تقرير مايو'!$C$6),COUNT(AE$4:AE1155)+1,"")</f>
        <v/>
      </c>
    </row>
    <row r="1157">
      <c r="A1157" s="16" t="n"/>
      <c r="B1157" s="17" t="n"/>
      <c r="C1157" s="17" t="n"/>
      <c r="D1157" s="18" t="n"/>
      <c r="E1157" s="17" t="n"/>
      <c r="F1157" s="17" t="n"/>
      <c r="G1157" s="19" t="n"/>
      <c r="H1157" s="17" t="n"/>
      <c r="I1157" s="17" t="n"/>
      <c r="J1157" s="17" t="n"/>
      <c r="K1157" s="20">
        <f>IF($B1157="","",IFERROR(INDEX(الموظفات!$A$5:$A$304,MATCH($B1157,الموظفات!$B$5:$B$304,0))&amp;"",""))</f>
        <v/>
      </c>
      <c r="L1157" s="21">
        <f>IF($B1157="","",IFERROR(INDEX(الموظفات!$C$5:$C$304,MATCH($B1157,الموظفات!$B$5:$B$304,0))&amp;"",""))</f>
        <v/>
      </c>
      <c r="M1157" s="20">
        <f>IF($B1157="","",IFERROR(INDEX(الموظفات!$D$5:$D$304,MATCH($B1157,الموظفات!$B$5:$B$304,0))&amp;"",""))</f>
        <v/>
      </c>
      <c r="N1157" s="20">
        <f>IF($B1157="","",IFERROR(INDEX(الموظفات!$E$5:$E$304,MATCH($B1157,الموظفات!$B$5:$B$304,0))&amp;"",""))</f>
        <v/>
      </c>
      <c r="O1157" s="21">
        <f>IF(C1157="","",IFERROR(INDEX(الإعدادات!$D$7:$D$35,MATCH(C1157,الإعدادات!$A$7:$A$35,0))&amp;"",""))</f>
        <v/>
      </c>
      <c r="P1157" s="20">
        <f>IF(A1157="","",INDEX(الإعدادات!$H$7:$H$18,MONTH(A1157)))</f>
        <v/>
      </c>
      <c r="Q1157" s="20">
        <f>IF(A1157="","",INDEX(الإعدادات!$I$7:$I$18,MONTH(A1157)))</f>
        <v/>
      </c>
      <c r="R1157" s="20">
        <f>IF(A1157="","",IF(MONTH(A1157)&gt;=8,YEAR(A1157)&amp;"-"&amp;(YEAR(A1157)+1),(YEAR(A1157)-1)&amp;"-"&amp;YEAR(A1157)))</f>
        <v/>
      </c>
      <c r="S1157" s="20">
        <f>IF(OR(A1157="",B1157=""),0,IF(AND(R1157=التقارير!$C$4,OR(التقارير!$C$5="سنوي",AND(التقارير!$C$5="شهري",P1157=التقارير!$C$6),AND(التقارير!$C$5="فصلي",Q1157=التقارير!$C$7))),1,0))</f>
        <v/>
      </c>
      <c r="T1157" s="20">
        <f>IF(S1157=1,COUNTIF($S$5:S1157,1),"")</f>
        <v/>
      </c>
      <c r="U1157">
        <f>IF(AND($A1157&lt;&gt;"",$B1157&lt;&gt;"",$R1157='تقرير الفصل الأول'!$C$4,$Q1157='تقرير الفصل الأول'!$C$7),COUNT(U$4:U1156)+1,"")</f>
        <v/>
      </c>
      <c r="V1157">
        <f>IF(AND($A1157&lt;&gt;"",$B1157&lt;&gt;"",$R1157='تقرير الفصل الثاني'!$C$4,$Q1157='تقرير الفصل الثاني'!$C$7),COUNT(V$4:V1156)+1,"")</f>
        <v/>
      </c>
      <c r="W1157">
        <f>IF(AND($A1157&lt;&gt;"",$B1157&lt;&gt;"",$R1157='تقرير سبتمبر'!$C$4,$P1157='تقرير سبتمبر'!$C$6),COUNT(W$4:W1156)+1,"")</f>
        <v/>
      </c>
      <c r="X1157">
        <f>IF(AND($A1157&lt;&gt;"",$B1157&lt;&gt;"",$R1157='تقرير أكتوبر'!$C$4,$P1157='تقرير أكتوبر'!$C$6),COUNT(X$4:X1156)+1,"")</f>
        <v/>
      </c>
      <c r="Y1157">
        <f>IF(AND($A1157&lt;&gt;"",$B1157&lt;&gt;"",$R1157='تقرير نوفمبر'!$C$4,$P1157='تقرير نوفمبر'!$C$6),COUNT(Y$4:Y1156)+1,"")</f>
        <v/>
      </c>
      <c r="Z1157">
        <f>IF(AND($A1157&lt;&gt;"",$B1157&lt;&gt;"",$R1157='تقرير ديسمبر'!$C$4,$P1157='تقرير ديسمبر'!$C$6),COUNT(Z$4:Z1156)+1,"")</f>
        <v/>
      </c>
      <c r="AA1157">
        <f>IF(AND($A1157&lt;&gt;"",$B1157&lt;&gt;"",$R1157='تقرير يناير'!$C$4,$P1157='تقرير يناير'!$C$6),COUNT(AA$4:AA1156)+1,"")</f>
        <v/>
      </c>
      <c r="AB1157">
        <f>IF(AND($A1157&lt;&gt;"",$B1157&lt;&gt;"",$R1157='تقرير فبراير'!$C$4,$P1157='تقرير فبراير'!$C$6),COUNT(AB$4:AB1156)+1,"")</f>
        <v/>
      </c>
      <c r="AC1157">
        <f>IF(AND($A1157&lt;&gt;"",$B1157&lt;&gt;"",$R1157='تقرير مارس'!$C$4,$P1157='تقرير مارس'!$C$6),COUNT(AC$4:AC1156)+1,"")</f>
        <v/>
      </c>
      <c r="AD1157">
        <f>IF(AND($A1157&lt;&gt;"",$B1157&lt;&gt;"",$R1157='تقرير أبريل'!$C$4,$P1157='تقرير أبريل'!$C$6),COUNT(AD$4:AD1156)+1,"")</f>
        <v/>
      </c>
      <c r="AE1157">
        <f>IF(AND($A1157&lt;&gt;"",$B1157&lt;&gt;"",$R1157='تقرير مايو'!$C$4,$P1157='تقرير مايو'!$C$6),COUNT(AE$4:AE1156)+1,"")</f>
        <v/>
      </c>
    </row>
    <row r="1158">
      <c r="A1158" s="16" t="n"/>
      <c r="B1158" s="17" t="n"/>
      <c r="C1158" s="17" t="n"/>
      <c r="D1158" s="18" t="n"/>
      <c r="E1158" s="17" t="n"/>
      <c r="F1158" s="17" t="n"/>
      <c r="G1158" s="19" t="n"/>
      <c r="H1158" s="17" t="n"/>
      <c r="I1158" s="17" t="n"/>
      <c r="J1158" s="17" t="n"/>
      <c r="K1158" s="20">
        <f>IF($B1158="","",IFERROR(INDEX(الموظفات!$A$5:$A$304,MATCH($B1158,الموظفات!$B$5:$B$304,0))&amp;"",""))</f>
        <v/>
      </c>
      <c r="L1158" s="21">
        <f>IF($B1158="","",IFERROR(INDEX(الموظفات!$C$5:$C$304,MATCH($B1158,الموظفات!$B$5:$B$304,0))&amp;"",""))</f>
        <v/>
      </c>
      <c r="M1158" s="20">
        <f>IF($B1158="","",IFERROR(INDEX(الموظفات!$D$5:$D$304,MATCH($B1158,الموظفات!$B$5:$B$304,0))&amp;"",""))</f>
        <v/>
      </c>
      <c r="N1158" s="20">
        <f>IF($B1158="","",IFERROR(INDEX(الموظفات!$E$5:$E$304,MATCH($B1158,الموظفات!$B$5:$B$304,0))&amp;"",""))</f>
        <v/>
      </c>
      <c r="O1158" s="21">
        <f>IF(C1158="","",IFERROR(INDEX(الإعدادات!$D$7:$D$35,MATCH(C1158,الإعدادات!$A$7:$A$35,0))&amp;"",""))</f>
        <v/>
      </c>
      <c r="P1158" s="20">
        <f>IF(A1158="","",INDEX(الإعدادات!$H$7:$H$18,MONTH(A1158)))</f>
        <v/>
      </c>
      <c r="Q1158" s="20">
        <f>IF(A1158="","",INDEX(الإعدادات!$I$7:$I$18,MONTH(A1158)))</f>
        <v/>
      </c>
      <c r="R1158" s="20">
        <f>IF(A1158="","",IF(MONTH(A1158)&gt;=8,YEAR(A1158)&amp;"-"&amp;(YEAR(A1158)+1),(YEAR(A1158)-1)&amp;"-"&amp;YEAR(A1158)))</f>
        <v/>
      </c>
      <c r="S1158" s="20">
        <f>IF(OR(A1158="",B1158=""),0,IF(AND(R1158=التقارير!$C$4,OR(التقارير!$C$5="سنوي",AND(التقارير!$C$5="شهري",P1158=التقارير!$C$6),AND(التقارير!$C$5="فصلي",Q1158=التقارير!$C$7))),1,0))</f>
        <v/>
      </c>
      <c r="T1158" s="20">
        <f>IF(S1158=1,COUNTIF($S$5:S1158,1),"")</f>
        <v/>
      </c>
      <c r="U1158">
        <f>IF(AND($A1158&lt;&gt;"",$B1158&lt;&gt;"",$R1158='تقرير الفصل الأول'!$C$4,$Q1158='تقرير الفصل الأول'!$C$7),COUNT(U$4:U1157)+1,"")</f>
        <v/>
      </c>
      <c r="V1158">
        <f>IF(AND($A1158&lt;&gt;"",$B1158&lt;&gt;"",$R1158='تقرير الفصل الثاني'!$C$4,$Q1158='تقرير الفصل الثاني'!$C$7),COUNT(V$4:V1157)+1,"")</f>
        <v/>
      </c>
      <c r="W1158">
        <f>IF(AND($A1158&lt;&gt;"",$B1158&lt;&gt;"",$R1158='تقرير سبتمبر'!$C$4,$P1158='تقرير سبتمبر'!$C$6),COUNT(W$4:W1157)+1,"")</f>
        <v/>
      </c>
      <c r="X1158">
        <f>IF(AND($A1158&lt;&gt;"",$B1158&lt;&gt;"",$R1158='تقرير أكتوبر'!$C$4,$P1158='تقرير أكتوبر'!$C$6),COUNT(X$4:X1157)+1,"")</f>
        <v/>
      </c>
      <c r="Y1158">
        <f>IF(AND($A1158&lt;&gt;"",$B1158&lt;&gt;"",$R1158='تقرير نوفمبر'!$C$4,$P1158='تقرير نوفمبر'!$C$6),COUNT(Y$4:Y1157)+1,"")</f>
        <v/>
      </c>
      <c r="Z1158">
        <f>IF(AND($A1158&lt;&gt;"",$B1158&lt;&gt;"",$R1158='تقرير ديسمبر'!$C$4,$P1158='تقرير ديسمبر'!$C$6),COUNT(Z$4:Z1157)+1,"")</f>
        <v/>
      </c>
      <c r="AA1158">
        <f>IF(AND($A1158&lt;&gt;"",$B1158&lt;&gt;"",$R1158='تقرير يناير'!$C$4,$P1158='تقرير يناير'!$C$6),COUNT(AA$4:AA1157)+1,"")</f>
        <v/>
      </c>
      <c r="AB1158">
        <f>IF(AND($A1158&lt;&gt;"",$B1158&lt;&gt;"",$R1158='تقرير فبراير'!$C$4,$P1158='تقرير فبراير'!$C$6),COUNT(AB$4:AB1157)+1,"")</f>
        <v/>
      </c>
      <c r="AC1158">
        <f>IF(AND($A1158&lt;&gt;"",$B1158&lt;&gt;"",$R1158='تقرير مارس'!$C$4,$P1158='تقرير مارس'!$C$6),COUNT(AC$4:AC1157)+1,"")</f>
        <v/>
      </c>
      <c r="AD1158">
        <f>IF(AND($A1158&lt;&gt;"",$B1158&lt;&gt;"",$R1158='تقرير أبريل'!$C$4,$P1158='تقرير أبريل'!$C$6),COUNT(AD$4:AD1157)+1,"")</f>
        <v/>
      </c>
      <c r="AE1158">
        <f>IF(AND($A1158&lt;&gt;"",$B1158&lt;&gt;"",$R1158='تقرير مايو'!$C$4,$P1158='تقرير مايو'!$C$6),COUNT(AE$4:AE1157)+1,"")</f>
        <v/>
      </c>
    </row>
    <row r="1159">
      <c r="A1159" s="16" t="n"/>
      <c r="B1159" s="17" t="n"/>
      <c r="C1159" s="17" t="n"/>
      <c r="D1159" s="18" t="n"/>
      <c r="E1159" s="17" t="n"/>
      <c r="F1159" s="17" t="n"/>
      <c r="G1159" s="19" t="n"/>
      <c r="H1159" s="17" t="n"/>
      <c r="I1159" s="17" t="n"/>
      <c r="J1159" s="17" t="n"/>
      <c r="K1159" s="20">
        <f>IF($B1159="","",IFERROR(INDEX(الموظفات!$A$5:$A$304,MATCH($B1159,الموظفات!$B$5:$B$304,0))&amp;"",""))</f>
        <v/>
      </c>
      <c r="L1159" s="21">
        <f>IF($B1159="","",IFERROR(INDEX(الموظفات!$C$5:$C$304,MATCH($B1159,الموظفات!$B$5:$B$304,0))&amp;"",""))</f>
        <v/>
      </c>
      <c r="M1159" s="20">
        <f>IF($B1159="","",IFERROR(INDEX(الموظفات!$D$5:$D$304,MATCH($B1159,الموظفات!$B$5:$B$304,0))&amp;"",""))</f>
        <v/>
      </c>
      <c r="N1159" s="20">
        <f>IF($B1159="","",IFERROR(INDEX(الموظفات!$E$5:$E$304,MATCH($B1159,الموظفات!$B$5:$B$304,0))&amp;"",""))</f>
        <v/>
      </c>
      <c r="O1159" s="21">
        <f>IF(C1159="","",IFERROR(INDEX(الإعدادات!$D$7:$D$35,MATCH(C1159,الإعدادات!$A$7:$A$35,0))&amp;"",""))</f>
        <v/>
      </c>
      <c r="P1159" s="20">
        <f>IF(A1159="","",INDEX(الإعدادات!$H$7:$H$18,MONTH(A1159)))</f>
        <v/>
      </c>
      <c r="Q1159" s="20">
        <f>IF(A1159="","",INDEX(الإعدادات!$I$7:$I$18,MONTH(A1159)))</f>
        <v/>
      </c>
      <c r="R1159" s="20">
        <f>IF(A1159="","",IF(MONTH(A1159)&gt;=8,YEAR(A1159)&amp;"-"&amp;(YEAR(A1159)+1),(YEAR(A1159)-1)&amp;"-"&amp;YEAR(A1159)))</f>
        <v/>
      </c>
      <c r="S1159" s="20">
        <f>IF(OR(A1159="",B1159=""),0,IF(AND(R1159=التقارير!$C$4,OR(التقارير!$C$5="سنوي",AND(التقارير!$C$5="شهري",P1159=التقارير!$C$6),AND(التقارير!$C$5="فصلي",Q1159=التقارير!$C$7))),1,0))</f>
        <v/>
      </c>
      <c r="T1159" s="20">
        <f>IF(S1159=1,COUNTIF($S$5:S1159,1),"")</f>
        <v/>
      </c>
      <c r="U1159">
        <f>IF(AND($A1159&lt;&gt;"",$B1159&lt;&gt;"",$R1159='تقرير الفصل الأول'!$C$4,$Q1159='تقرير الفصل الأول'!$C$7),COUNT(U$4:U1158)+1,"")</f>
        <v/>
      </c>
      <c r="V1159">
        <f>IF(AND($A1159&lt;&gt;"",$B1159&lt;&gt;"",$R1159='تقرير الفصل الثاني'!$C$4,$Q1159='تقرير الفصل الثاني'!$C$7),COUNT(V$4:V1158)+1,"")</f>
        <v/>
      </c>
      <c r="W1159">
        <f>IF(AND($A1159&lt;&gt;"",$B1159&lt;&gt;"",$R1159='تقرير سبتمبر'!$C$4,$P1159='تقرير سبتمبر'!$C$6),COUNT(W$4:W1158)+1,"")</f>
        <v/>
      </c>
      <c r="X1159">
        <f>IF(AND($A1159&lt;&gt;"",$B1159&lt;&gt;"",$R1159='تقرير أكتوبر'!$C$4,$P1159='تقرير أكتوبر'!$C$6),COUNT(X$4:X1158)+1,"")</f>
        <v/>
      </c>
      <c r="Y1159">
        <f>IF(AND($A1159&lt;&gt;"",$B1159&lt;&gt;"",$R1159='تقرير نوفمبر'!$C$4,$P1159='تقرير نوفمبر'!$C$6),COUNT(Y$4:Y1158)+1,"")</f>
        <v/>
      </c>
      <c r="Z1159">
        <f>IF(AND($A1159&lt;&gt;"",$B1159&lt;&gt;"",$R1159='تقرير ديسمبر'!$C$4,$P1159='تقرير ديسمبر'!$C$6),COUNT(Z$4:Z1158)+1,"")</f>
        <v/>
      </c>
      <c r="AA1159">
        <f>IF(AND($A1159&lt;&gt;"",$B1159&lt;&gt;"",$R1159='تقرير يناير'!$C$4,$P1159='تقرير يناير'!$C$6),COUNT(AA$4:AA1158)+1,"")</f>
        <v/>
      </c>
      <c r="AB1159">
        <f>IF(AND($A1159&lt;&gt;"",$B1159&lt;&gt;"",$R1159='تقرير فبراير'!$C$4,$P1159='تقرير فبراير'!$C$6),COUNT(AB$4:AB1158)+1,"")</f>
        <v/>
      </c>
      <c r="AC1159">
        <f>IF(AND($A1159&lt;&gt;"",$B1159&lt;&gt;"",$R1159='تقرير مارس'!$C$4,$P1159='تقرير مارس'!$C$6),COUNT(AC$4:AC1158)+1,"")</f>
        <v/>
      </c>
      <c r="AD1159">
        <f>IF(AND($A1159&lt;&gt;"",$B1159&lt;&gt;"",$R1159='تقرير أبريل'!$C$4,$P1159='تقرير أبريل'!$C$6),COUNT(AD$4:AD1158)+1,"")</f>
        <v/>
      </c>
      <c r="AE1159">
        <f>IF(AND($A1159&lt;&gt;"",$B1159&lt;&gt;"",$R1159='تقرير مايو'!$C$4,$P1159='تقرير مايو'!$C$6),COUNT(AE$4:AE1158)+1,"")</f>
        <v/>
      </c>
    </row>
    <row r="1160">
      <c r="A1160" s="16" t="n"/>
      <c r="B1160" s="17" t="n"/>
      <c r="C1160" s="17" t="n"/>
      <c r="D1160" s="18" t="n"/>
      <c r="E1160" s="17" t="n"/>
      <c r="F1160" s="17" t="n"/>
      <c r="G1160" s="19" t="n"/>
      <c r="H1160" s="17" t="n"/>
      <c r="I1160" s="17" t="n"/>
      <c r="J1160" s="17" t="n"/>
      <c r="K1160" s="20">
        <f>IF($B1160="","",IFERROR(INDEX(الموظفات!$A$5:$A$304,MATCH($B1160,الموظفات!$B$5:$B$304,0))&amp;"",""))</f>
        <v/>
      </c>
      <c r="L1160" s="21">
        <f>IF($B1160="","",IFERROR(INDEX(الموظفات!$C$5:$C$304,MATCH($B1160,الموظفات!$B$5:$B$304,0))&amp;"",""))</f>
        <v/>
      </c>
      <c r="M1160" s="20">
        <f>IF($B1160="","",IFERROR(INDEX(الموظفات!$D$5:$D$304,MATCH($B1160,الموظفات!$B$5:$B$304,0))&amp;"",""))</f>
        <v/>
      </c>
      <c r="N1160" s="20">
        <f>IF($B1160="","",IFERROR(INDEX(الموظفات!$E$5:$E$304,MATCH($B1160,الموظفات!$B$5:$B$304,0))&amp;"",""))</f>
        <v/>
      </c>
      <c r="O1160" s="21">
        <f>IF(C1160="","",IFERROR(INDEX(الإعدادات!$D$7:$D$35,MATCH(C1160,الإعدادات!$A$7:$A$35,0))&amp;"",""))</f>
        <v/>
      </c>
      <c r="P1160" s="20">
        <f>IF(A1160="","",INDEX(الإعدادات!$H$7:$H$18,MONTH(A1160)))</f>
        <v/>
      </c>
      <c r="Q1160" s="20">
        <f>IF(A1160="","",INDEX(الإعدادات!$I$7:$I$18,MONTH(A1160)))</f>
        <v/>
      </c>
      <c r="R1160" s="20">
        <f>IF(A1160="","",IF(MONTH(A1160)&gt;=8,YEAR(A1160)&amp;"-"&amp;(YEAR(A1160)+1),(YEAR(A1160)-1)&amp;"-"&amp;YEAR(A1160)))</f>
        <v/>
      </c>
      <c r="S1160" s="20">
        <f>IF(OR(A1160="",B1160=""),0,IF(AND(R1160=التقارير!$C$4,OR(التقارير!$C$5="سنوي",AND(التقارير!$C$5="شهري",P1160=التقارير!$C$6),AND(التقارير!$C$5="فصلي",Q1160=التقارير!$C$7))),1,0))</f>
        <v/>
      </c>
      <c r="T1160" s="20">
        <f>IF(S1160=1,COUNTIF($S$5:S1160,1),"")</f>
        <v/>
      </c>
      <c r="U1160">
        <f>IF(AND($A1160&lt;&gt;"",$B1160&lt;&gt;"",$R1160='تقرير الفصل الأول'!$C$4,$Q1160='تقرير الفصل الأول'!$C$7),COUNT(U$4:U1159)+1,"")</f>
        <v/>
      </c>
      <c r="V1160">
        <f>IF(AND($A1160&lt;&gt;"",$B1160&lt;&gt;"",$R1160='تقرير الفصل الثاني'!$C$4,$Q1160='تقرير الفصل الثاني'!$C$7),COUNT(V$4:V1159)+1,"")</f>
        <v/>
      </c>
      <c r="W1160">
        <f>IF(AND($A1160&lt;&gt;"",$B1160&lt;&gt;"",$R1160='تقرير سبتمبر'!$C$4,$P1160='تقرير سبتمبر'!$C$6),COUNT(W$4:W1159)+1,"")</f>
        <v/>
      </c>
      <c r="X1160">
        <f>IF(AND($A1160&lt;&gt;"",$B1160&lt;&gt;"",$R1160='تقرير أكتوبر'!$C$4,$P1160='تقرير أكتوبر'!$C$6),COUNT(X$4:X1159)+1,"")</f>
        <v/>
      </c>
      <c r="Y1160">
        <f>IF(AND($A1160&lt;&gt;"",$B1160&lt;&gt;"",$R1160='تقرير نوفمبر'!$C$4,$P1160='تقرير نوفمبر'!$C$6),COUNT(Y$4:Y1159)+1,"")</f>
        <v/>
      </c>
      <c r="Z1160">
        <f>IF(AND($A1160&lt;&gt;"",$B1160&lt;&gt;"",$R1160='تقرير ديسمبر'!$C$4,$P1160='تقرير ديسمبر'!$C$6),COUNT(Z$4:Z1159)+1,"")</f>
        <v/>
      </c>
      <c r="AA1160">
        <f>IF(AND($A1160&lt;&gt;"",$B1160&lt;&gt;"",$R1160='تقرير يناير'!$C$4,$P1160='تقرير يناير'!$C$6),COUNT(AA$4:AA1159)+1,"")</f>
        <v/>
      </c>
      <c r="AB1160">
        <f>IF(AND($A1160&lt;&gt;"",$B1160&lt;&gt;"",$R1160='تقرير فبراير'!$C$4,$P1160='تقرير فبراير'!$C$6),COUNT(AB$4:AB1159)+1,"")</f>
        <v/>
      </c>
      <c r="AC1160">
        <f>IF(AND($A1160&lt;&gt;"",$B1160&lt;&gt;"",$R1160='تقرير مارس'!$C$4,$P1160='تقرير مارس'!$C$6),COUNT(AC$4:AC1159)+1,"")</f>
        <v/>
      </c>
      <c r="AD1160">
        <f>IF(AND($A1160&lt;&gt;"",$B1160&lt;&gt;"",$R1160='تقرير أبريل'!$C$4,$P1160='تقرير أبريل'!$C$6),COUNT(AD$4:AD1159)+1,"")</f>
        <v/>
      </c>
      <c r="AE1160">
        <f>IF(AND($A1160&lt;&gt;"",$B1160&lt;&gt;"",$R1160='تقرير مايو'!$C$4,$P1160='تقرير مايو'!$C$6),COUNT(AE$4:AE1159)+1,"")</f>
        <v/>
      </c>
    </row>
    <row r="1161">
      <c r="A1161" s="16" t="n"/>
      <c r="B1161" s="17" t="n"/>
      <c r="C1161" s="17" t="n"/>
      <c r="D1161" s="18" t="n"/>
      <c r="E1161" s="17" t="n"/>
      <c r="F1161" s="17" t="n"/>
      <c r="G1161" s="19" t="n"/>
      <c r="H1161" s="17" t="n"/>
      <c r="I1161" s="17" t="n"/>
      <c r="J1161" s="17" t="n"/>
      <c r="K1161" s="20">
        <f>IF($B1161="","",IFERROR(INDEX(الموظفات!$A$5:$A$304,MATCH($B1161,الموظفات!$B$5:$B$304,0))&amp;"",""))</f>
        <v/>
      </c>
      <c r="L1161" s="21">
        <f>IF($B1161="","",IFERROR(INDEX(الموظفات!$C$5:$C$304,MATCH($B1161,الموظفات!$B$5:$B$304,0))&amp;"",""))</f>
        <v/>
      </c>
      <c r="M1161" s="20">
        <f>IF($B1161="","",IFERROR(INDEX(الموظفات!$D$5:$D$304,MATCH($B1161,الموظفات!$B$5:$B$304,0))&amp;"",""))</f>
        <v/>
      </c>
      <c r="N1161" s="20">
        <f>IF($B1161="","",IFERROR(INDEX(الموظفات!$E$5:$E$304,MATCH($B1161,الموظفات!$B$5:$B$304,0))&amp;"",""))</f>
        <v/>
      </c>
      <c r="O1161" s="21">
        <f>IF(C1161="","",IFERROR(INDEX(الإعدادات!$D$7:$D$35,MATCH(C1161,الإعدادات!$A$7:$A$35,0))&amp;"",""))</f>
        <v/>
      </c>
      <c r="P1161" s="20">
        <f>IF(A1161="","",INDEX(الإعدادات!$H$7:$H$18,MONTH(A1161)))</f>
        <v/>
      </c>
      <c r="Q1161" s="20">
        <f>IF(A1161="","",INDEX(الإعدادات!$I$7:$I$18,MONTH(A1161)))</f>
        <v/>
      </c>
      <c r="R1161" s="20">
        <f>IF(A1161="","",IF(MONTH(A1161)&gt;=8,YEAR(A1161)&amp;"-"&amp;(YEAR(A1161)+1),(YEAR(A1161)-1)&amp;"-"&amp;YEAR(A1161)))</f>
        <v/>
      </c>
      <c r="S1161" s="20">
        <f>IF(OR(A1161="",B1161=""),0,IF(AND(R1161=التقارير!$C$4,OR(التقارير!$C$5="سنوي",AND(التقارير!$C$5="شهري",P1161=التقارير!$C$6),AND(التقارير!$C$5="فصلي",Q1161=التقارير!$C$7))),1,0))</f>
        <v/>
      </c>
      <c r="T1161" s="20">
        <f>IF(S1161=1,COUNTIF($S$5:S1161,1),"")</f>
        <v/>
      </c>
      <c r="U1161">
        <f>IF(AND($A1161&lt;&gt;"",$B1161&lt;&gt;"",$R1161='تقرير الفصل الأول'!$C$4,$Q1161='تقرير الفصل الأول'!$C$7),COUNT(U$4:U1160)+1,"")</f>
        <v/>
      </c>
      <c r="V1161">
        <f>IF(AND($A1161&lt;&gt;"",$B1161&lt;&gt;"",$R1161='تقرير الفصل الثاني'!$C$4,$Q1161='تقرير الفصل الثاني'!$C$7),COUNT(V$4:V1160)+1,"")</f>
        <v/>
      </c>
      <c r="W1161">
        <f>IF(AND($A1161&lt;&gt;"",$B1161&lt;&gt;"",$R1161='تقرير سبتمبر'!$C$4,$P1161='تقرير سبتمبر'!$C$6),COUNT(W$4:W1160)+1,"")</f>
        <v/>
      </c>
      <c r="X1161">
        <f>IF(AND($A1161&lt;&gt;"",$B1161&lt;&gt;"",$R1161='تقرير أكتوبر'!$C$4,$P1161='تقرير أكتوبر'!$C$6),COUNT(X$4:X1160)+1,"")</f>
        <v/>
      </c>
      <c r="Y1161">
        <f>IF(AND($A1161&lt;&gt;"",$B1161&lt;&gt;"",$R1161='تقرير نوفمبر'!$C$4,$P1161='تقرير نوفمبر'!$C$6),COUNT(Y$4:Y1160)+1,"")</f>
        <v/>
      </c>
      <c r="Z1161">
        <f>IF(AND($A1161&lt;&gt;"",$B1161&lt;&gt;"",$R1161='تقرير ديسمبر'!$C$4,$P1161='تقرير ديسمبر'!$C$6),COUNT(Z$4:Z1160)+1,"")</f>
        <v/>
      </c>
      <c r="AA1161">
        <f>IF(AND($A1161&lt;&gt;"",$B1161&lt;&gt;"",$R1161='تقرير يناير'!$C$4,$P1161='تقرير يناير'!$C$6),COUNT(AA$4:AA1160)+1,"")</f>
        <v/>
      </c>
      <c r="AB1161">
        <f>IF(AND($A1161&lt;&gt;"",$B1161&lt;&gt;"",$R1161='تقرير فبراير'!$C$4,$P1161='تقرير فبراير'!$C$6),COUNT(AB$4:AB1160)+1,"")</f>
        <v/>
      </c>
      <c r="AC1161">
        <f>IF(AND($A1161&lt;&gt;"",$B1161&lt;&gt;"",$R1161='تقرير مارس'!$C$4,$P1161='تقرير مارس'!$C$6),COUNT(AC$4:AC1160)+1,"")</f>
        <v/>
      </c>
      <c r="AD1161">
        <f>IF(AND($A1161&lt;&gt;"",$B1161&lt;&gt;"",$R1161='تقرير أبريل'!$C$4,$P1161='تقرير أبريل'!$C$6),COUNT(AD$4:AD1160)+1,"")</f>
        <v/>
      </c>
      <c r="AE1161">
        <f>IF(AND($A1161&lt;&gt;"",$B1161&lt;&gt;"",$R1161='تقرير مايو'!$C$4,$P1161='تقرير مايو'!$C$6),COUNT(AE$4:AE1160)+1,"")</f>
        <v/>
      </c>
    </row>
    <row r="1162">
      <c r="A1162" s="16" t="n"/>
      <c r="B1162" s="17" t="n"/>
      <c r="C1162" s="17" t="n"/>
      <c r="D1162" s="18" t="n"/>
      <c r="E1162" s="17" t="n"/>
      <c r="F1162" s="17" t="n"/>
      <c r="G1162" s="19" t="n"/>
      <c r="H1162" s="17" t="n"/>
      <c r="I1162" s="17" t="n"/>
      <c r="J1162" s="17" t="n"/>
      <c r="K1162" s="20">
        <f>IF($B1162="","",IFERROR(INDEX(الموظفات!$A$5:$A$304,MATCH($B1162,الموظفات!$B$5:$B$304,0))&amp;"",""))</f>
        <v/>
      </c>
      <c r="L1162" s="21">
        <f>IF($B1162="","",IFERROR(INDEX(الموظفات!$C$5:$C$304,MATCH($B1162,الموظفات!$B$5:$B$304,0))&amp;"",""))</f>
        <v/>
      </c>
      <c r="M1162" s="20">
        <f>IF($B1162="","",IFERROR(INDEX(الموظفات!$D$5:$D$304,MATCH($B1162,الموظفات!$B$5:$B$304,0))&amp;"",""))</f>
        <v/>
      </c>
      <c r="N1162" s="20">
        <f>IF($B1162="","",IFERROR(INDEX(الموظفات!$E$5:$E$304,MATCH($B1162,الموظفات!$B$5:$B$304,0))&amp;"",""))</f>
        <v/>
      </c>
      <c r="O1162" s="21">
        <f>IF(C1162="","",IFERROR(INDEX(الإعدادات!$D$7:$D$35,MATCH(C1162,الإعدادات!$A$7:$A$35,0))&amp;"",""))</f>
        <v/>
      </c>
      <c r="P1162" s="20">
        <f>IF(A1162="","",INDEX(الإعدادات!$H$7:$H$18,MONTH(A1162)))</f>
        <v/>
      </c>
      <c r="Q1162" s="20">
        <f>IF(A1162="","",INDEX(الإعدادات!$I$7:$I$18,MONTH(A1162)))</f>
        <v/>
      </c>
      <c r="R1162" s="20">
        <f>IF(A1162="","",IF(MONTH(A1162)&gt;=8,YEAR(A1162)&amp;"-"&amp;(YEAR(A1162)+1),(YEAR(A1162)-1)&amp;"-"&amp;YEAR(A1162)))</f>
        <v/>
      </c>
      <c r="S1162" s="20">
        <f>IF(OR(A1162="",B1162=""),0,IF(AND(R1162=التقارير!$C$4,OR(التقارير!$C$5="سنوي",AND(التقارير!$C$5="شهري",P1162=التقارير!$C$6),AND(التقارير!$C$5="فصلي",Q1162=التقارير!$C$7))),1,0))</f>
        <v/>
      </c>
      <c r="T1162" s="20">
        <f>IF(S1162=1,COUNTIF($S$5:S1162,1),"")</f>
        <v/>
      </c>
      <c r="U1162">
        <f>IF(AND($A1162&lt;&gt;"",$B1162&lt;&gt;"",$R1162='تقرير الفصل الأول'!$C$4,$Q1162='تقرير الفصل الأول'!$C$7),COUNT(U$4:U1161)+1,"")</f>
        <v/>
      </c>
      <c r="V1162">
        <f>IF(AND($A1162&lt;&gt;"",$B1162&lt;&gt;"",$R1162='تقرير الفصل الثاني'!$C$4,$Q1162='تقرير الفصل الثاني'!$C$7),COUNT(V$4:V1161)+1,"")</f>
        <v/>
      </c>
      <c r="W1162">
        <f>IF(AND($A1162&lt;&gt;"",$B1162&lt;&gt;"",$R1162='تقرير سبتمبر'!$C$4,$P1162='تقرير سبتمبر'!$C$6),COUNT(W$4:W1161)+1,"")</f>
        <v/>
      </c>
      <c r="X1162">
        <f>IF(AND($A1162&lt;&gt;"",$B1162&lt;&gt;"",$R1162='تقرير أكتوبر'!$C$4,$P1162='تقرير أكتوبر'!$C$6),COUNT(X$4:X1161)+1,"")</f>
        <v/>
      </c>
      <c r="Y1162">
        <f>IF(AND($A1162&lt;&gt;"",$B1162&lt;&gt;"",$R1162='تقرير نوفمبر'!$C$4,$P1162='تقرير نوفمبر'!$C$6),COUNT(Y$4:Y1161)+1,"")</f>
        <v/>
      </c>
      <c r="Z1162">
        <f>IF(AND($A1162&lt;&gt;"",$B1162&lt;&gt;"",$R1162='تقرير ديسمبر'!$C$4,$P1162='تقرير ديسمبر'!$C$6),COUNT(Z$4:Z1161)+1,"")</f>
        <v/>
      </c>
      <c r="AA1162">
        <f>IF(AND($A1162&lt;&gt;"",$B1162&lt;&gt;"",$R1162='تقرير يناير'!$C$4,$P1162='تقرير يناير'!$C$6),COUNT(AA$4:AA1161)+1,"")</f>
        <v/>
      </c>
      <c r="AB1162">
        <f>IF(AND($A1162&lt;&gt;"",$B1162&lt;&gt;"",$R1162='تقرير فبراير'!$C$4,$P1162='تقرير فبراير'!$C$6),COUNT(AB$4:AB1161)+1,"")</f>
        <v/>
      </c>
      <c r="AC1162">
        <f>IF(AND($A1162&lt;&gt;"",$B1162&lt;&gt;"",$R1162='تقرير مارس'!$C$4,$P1162='تقرير مارس'!$C$6),COUNT(AC$4:AC1161)+1,"")</f>
        <v/>
      </c>
      <c r="AD1162">
        <f>IF(AND($A1162&lt;&gt;"",$B1162&lt;&gt;"",$R1162='تقرير أبريل'!$C$4,$P1162='تقرير أبريل'!$C$6),COUNT(AD$4:AD1161)+1,"")</f>
        <v/>
      </c>
      <c r="AE1162">
        <f>IF(AND($A1162&lt;&gt;"",$B1162&lt;&gt;"",$R1162='تقرير مايو'!$C$4,$P1162='تقرير مايو'!$C$6),COUNT(AE$4:AE1161)+1,"")</f>
        <v/>
      </c>
    </row>
    <row r="1163">
      <c r="A1163" s="16" t="n"/>
      <c r="B1163" s="17" t="n"/>
      <c r="C1163" s="17" t="n"/>
      <c r="D1163" s="18" t="n"/>
      <c r="E1163" s="17" t="n"/>
      <c r="F1163" s="17" t="n"/>
      <c r="G1163" s="19" t="n"/>
      <c r="H1163" s="17" t="n"/>
      <c r="I1163" s="17" t="n"/>
      <c r="J1163" s="17" t="n"/>
      <c r="K1163" s="20">
        <f>IF($B1163="","",IFERROR(INDEX(الموظفات!$A$5:$A$304,MATCH($B1163,الموظفات!$B$5:$B$304,0))&amp;"",""))</f>
        <v/>
      </c>
      <c r="L1163" s="21">
        <f>IF($B1163="","",IFERROR(INDEX(الموظفات!$C$5:$C$304,MATCH($B1163,الموظفات!$B$5:$B$304,0))&amp;"",""))</f>
        <v/>
      </c>
      <c r="M1163" s="20">
        <f>IF($B1163="","",IFERROR(INDEX(الموظفات!$D$5:$D$304,MATCH($B1163,الموظفات!$B$5:$B$304,0))&amp;"",""))</f>
        <v/>
      </c>
      <c r="N1163" s="20">
        <f>IF($B1163="","",IFERROR(INDEX(الموظفات!$E$5:$E$304,MATCH($B1163,الموظفات!$B$5:$B$304,0))&amp;"",""))</f>
        <v/>
      </c>
      <c r="O1163" s="21">
        <f>IF(C1163="","",IFERROR(INDEX(الإعدادات!$D$7:$D$35,MATCH(C1163,الإعدادات!$A$7:$A$35,0))&amp;"",""))</f>
        <v/>
      </c>
      <c r="P1163" s="20">
        <f>IF(A1163="","",INDEX(الإعدادات!$H$7:$H$18,MONTH(A1163)))</f>
        <v/>
      </c>
      <c r="Q1163" s="20">
        <f>IF(A1163="","",INDEX(الإعدادات!$I$7:$I$18,MONTH(A1163)))</f>
        <v/>
      </c>
      <c r="R1163" s="20">
        <f>IF(A1163="","",IF(MONTH(A1163)&gt;=8,YEAR(A1163)&amp;"-"&amp;(YEAR(A1163)+1),(YEAR(A1163)-1)&amp;"-"&amp;YEAR(A1163)))</f>
        <v/>
      </c>
      <c r="S1163" s="20">
        <f>IF(OR(A1163="",B1163=""),0,IF(AND(R1163=التقارير!$C$4,OR(التقارير!$C$5="سنوي",AND(التقارير!$C$5="شهري",P1163=التقارير!$C$6),AND(التقارير!$C$5="فصلي",Q1163=التقارير!$C$7))),1,0))</f>
        <v/>
      </c>
      <c r="T1163" s="20">
        <f>IF(S1163=1,COUNTIF($S$5:S1163,1),"")</f>
        <v/>
      </c>
      <c r="U1163">
        <f>IF(AND($A1163&lt;&gt;"",$B1163&lt;&gt;"",$R1163='تقرير الفصل الأول'!$C$4,$Q1163='تقرير الفصل الأول'!$C$7),COUNT(U$4:U1162)+1,"")</f>
        <v/>
      </c>
      <c r="V1163">
        <f>IF(AND($A1163&lt;&gt;"",$B1163&lt;&gt;"",$R1163='تقرير الفصل الثاني'!$C$4,$Q1163='تقرير الفصل الثاني'!$C$7),COUNT(V$4:V1162)+1,"")</f>
        <v/>
      </c>
      <c r="W1163">
        <f>IF(AND($A1163&lt;&gt;"",$B1163&lt;&gt;"",$R1163='تقرير سبتمبر'!$C$4,$P1163='تقرير سبتمبر'!$C$6),COUNT(W$4:W1162)+1,"")</f>
        <v/>
      </c>
      <c r="X1163">
        <f>IF(AND($A1163&lt;&gt;"",$B1163&lt;&gt;"",$R1163='تقرير أكتوبر'!$C$4,$P1163='تقرير أكتوبر'!$C$6),COUNT(X$4:X1162)+1,"")</f>
        <v/>
      </c>
      <c r="Y1163">
        <f>IF(AND($A1163&lt;&gt;"",$B1163&lt;&gt;"",$R1163='تقرير نوفمبر'!$C$4,$P1163='تقرير نوفمبر'!$C$6),COUNT(Y$4:Y1162)+1,"")</f>
        <v/>
      </c>
      <c r="Z1163">
        <f>IF(AND($A1163&lt;&gt;"",$B1163&lt;&gt;"",$R1163='تقرير ديسمبر'!$C$4,$P1163='تقرير ديسمبر'!$C$6),COUNT(Z$4:Z1162)+1,"")</f>
        <v/>
      </c>
      <c r="AA1163">
        <f>IF(AND($A1163&lt;&gt;"",$B1163&lt;&gt;"",$R1163='تقرير يناير'!$C$4,$P1163='تقرير يناير'!$C$6),COUNT(AA$4:AA1162)+1,"")</f>
        <v/>
      </c>
      <c r="AB1163">
        <f>IF(AND($A1163&lt;&gt;"",$B1163&lt;&gt;"",$R1163='تقرير فبراير'!$C$4,$P1163='تقرير فبراير'!$C$6),COUNT(AB$4:AB1162)+1,"")</f>
        <v/>
      </c>
      <c r="AC1163">
        <f>IF(AND($A1163&lt;&gt;"",$B1163&lt;&gt;"",$R1163='تقرير مارس'!$C$4,$P1163='تقرير مارس'!$C$6),COUNT(AC$4:AC1162)+1,"")</f>
        <v/>
      </c>
      <c r="AD1163">
        <f>IF(AND($A1163&lt;&gt;"",$B1163&lt;&gt;"",$R1163='تقرير أبريل'!$C$4,$P1163='تقرير أبريل'!$C$6),COUNT(AD$4:AD1162)+1,"")</f>
        <v/>
      </c>
      <c r="AE1163">
        <f>IF(AND($A1163&lt;&gt;"",$B1163&lt;&gt;"",$R1163='تقرير مايو'!$C$4,$P1163='تقرير مايو'!$C$6),COUNT(AE$4:AE1162)+1,"")</f>
        <v/>
      </c>
    </row>
    <row r="1164">
      <c r="A1164" s="16" t="n"/>
      <c r="B1164" s="17" t="n"/>
      <c r="C1164" s="17" t="n"/>
      <c r="D1164" s="18" t="n"/>
      <c r="E1164" s="17" t="n"/>
      <c r="F1164" s="17" t="n"/>
      <c r="G1164" s="19" t="n"/>
      <c r="H1164" s="17" t="n"/>
      <c r="I1164" s="17" t="n"/>
      <c r="J1164" s="17" t="n"/>
      <c r="K1164" s="20">
        <f>IF($B1164="","",IFERROR(INDEX(الموظفات!$A$5:$A$304,MATCH($B1164,الموظفات!$B$5:$B$304,0))&amp;"",""))</f>
        <v/>
      </c>
      <c r="L1164" s="21">
        <f>IF($B1164="","",IFERROR(INDEX(الموظفات!$C$5:$C$304,MATCH($B1164,الموظفات!$B$5:$B$304,0))&amp;"",""))</f>
        <v/>
      </c>
      <c r="M1164" s="20">
        <f>IF($B1164="","",IFERROR(INDEX(الموظفات!$D$5:$D$304,MATCH($B1164,الموظفات!$B$5:$B$304,0))&amp;"",""))</f>
        <v/>
      </c>
      <c r="N1164" s="20">
        <f>IF($B1164="","",IFERROR(INDEX(الموظفات!$E$5:$E$304,MATCH($B1164,الموظفات!$B$5:$B$304,0))&amp;"",""))</f>
        <v/>
      </c>
      <c r="O1164" s="21">
        <f>IF(C1164="","",IFERROR(INDEX(الإعدادات!$D$7:$D$35,MATCH(C1164,الإعدادات!$A$7:$A$35,0))&amp;"",""))</f>
        <v/>
      </c>
      <c r="P1164" s="20">
        <f>IF(A1164="","",INDEX(الإعدادات!$H$7:$H$18,MONTH(A1164)))</f>
        <v/>
      </c>
      <c r="Q1164" s="20">
        <f>IF(A1164="","",INDEX(الإعدادات!$I$7:$I$18,MONTH(A1164)))</f>
        <v/>
      </c>
      <c r="R1164" s="20">
        <f>IF(A1164="","",IF(MONTH(A1164)&gt;=8,YEAR(A1164)&amp;"-"&amp;(YEAR(A1164)+1),(YEAR(A1164)-1)&amp;"-"&amp;YEAR(A1164)))</f>
        <v/>
      </c>
      <c r="S1164" s="20">
        <f>IF(OR(A1164="",B1164=""),0,IF(AND(R1164=التقارير!$C$4,OR(التقارير!$C$5="سنوي",AND(التقارير!$C$5="شهري",P1164=التقارير!$C$6),AND(التقارير!$C$5="فصلي",Q1164=التقارير!$C$7))),1,0))</f>
        <v/>
      </c>
      <c r="T1164" s="20">
        <f>IF(S1164=1,COUNTIF($S$5:S1164,1),"")</f>
        <v/>
      </c>
      <c r="U1164">
        <f>IF(AND($A1164&lt;&gt;"",$B1164&lt;&gt;"",$R1164='تقرير الفصل الأول'!$C$4,$Q1164='تقرير الفصل الأول'!$C$7),COUNT(U$4:U1163)+1,"")</f>
        <v/>
      </c>
      <c r="V1164">
        <f>IF(AND($A1164&lt;&gt;"",$B1164&lt;&gt;"",$R1164='تقرير الفصل الثاني'!$C$4,$Q1164='تقرير الفصل الثاني'!$C$7),COUNT(V$4:V1163)+1,"")</f>
        <v/>
      </c>
      <c r="W1164">
        <f>IF(AND($A1164&lt;&gt;"",$B1164&lt;&gt;"",$R1164='تقرير سبتمبر'!$C$4,$P1164='تقرير سبتمبر'!$C$6),COUNT(W$4:W1163)+1,"")</f>
        <v/>
      </c>
      <c r="X1164">
        <f>IF(AND($A1164&lt;&gt;"",$B1164&lt;&gt;"",$R1164='تقرير أكتوبر'!$C$4,$P1164='تقرير أكتوبر'!$C$6),COUNT(X$4:X1163)+1,"")</f>
        <v/>
      </c>
      <c r="Y1164">
        <f>IF(AND($A1164&lt;&gt;"",$B1164&lt;&gt;"",$R1164='تقرير نوفمبر'!$C$4,$P1164='تقرير نوفمبر'!$C$6),COUNT(Y$4:Y1163)+1,"")</f>
        <v/>
      </c>
      <c r="Z1164">
        <f>IF(AND($A1164&lt;&gt;"",$B1164&lt;&gt;"",$R1164='تقرير ديسمبر'!$C$4,$P1164='تقرير ديسمبر'!$C$6),COUNT(Z$4:Z1163)+1,"")</f>
        <v/>
      </c>
      <c r="AA1164">
        <f>IF(AND($A1164&lt;&gt;"",$B1164&lt;&gt;"",$R1164='تقرير يناير'!$C$4,$P1164='تقرير يناير'!$C$6),COUNT(AA$4:AA1163)+1,"")</f>
        <v/>
      </c>
      <c r="AB1164">
        <f>IF(AND($A1164&lt;&gt;"",$B1164&lt;&gt;"",$R1164='تقرير فبراير'!$C$4,$P1164='تقرير فبراير'!$C$6),COUNT(AB$4:AB1163)+1,"")</f>
        <v/>
      </c>
      <c r="AC1164">
        <f>IF(AND($A1164&lt;&gt;"",$B1164&lt;&gt;"",$R1164='تقرير مارس'!$C$4,$P1164='تقرير مارس'!$C$6),COUNT(AC$4:AC1163)+1,"")</f>
        <v/>
      </c>
      <c r="AD1164">
        <f>IF(AND($A1164&lt;&gt;"",$B1164&lt;&gt;"",$R1164='تقرير أبريل'!$C$4,$P1164='تقرير أبريل'!$C$6),COUNT(AD$4:AD1163)+1,"")</f>
        <v/>
      </c>
      <c r="AE1164">
        <f>IF(AND($A1164&lt;&gt;"",$B1164&lt;&gt;"",$R1164='تقرير مايو'!$C$4,$P1164='تقرير مايو'!$C$6),COUNT(AE$4:AE1163)+1,"")</f>
        <v/>
      </c>
    </row>
    <row r="1165">
      <c r="A1165" s="16" t="n"/>
      <c r="B1165" s="17" t="n"/>
      <c r="C1165" s="17" t="n"/>
      <c r="D1165" s="18" t="n"/>
      <c r="E1165" s="17" t="n"/>
      <c r="F1165" s="17" t="n"/>
      <c r="G1165" s="19" t="n"/>
      <c r="H1165" s="17" t="n"/>
      <c r="I1165" s="17" t="n"/>
      <c r="J1165" s="17" t="n"/>
      <c r="K1165" s="20">
        <f>IF($B1165="","",IFERROR(INDEX(الموظفات!$A$5:$A$304,MATCH($B1165,الموظفات!$B$5:$B$304,0))&amp;"",""))</f>
        <v/>
      </c>
      <c r="L1165" s="21">
        <f>IF($B1165="","",IFERROR(INDEX(الموظفات!$C$5:$C$304,MATCH($B1165,الموظفات!$B$5:$B$304,0))&amp;"",""))</f>
        <v/>
      </c>
      <c r="M1165" s="20">
        <f>IF($B1165="","",IFERROR(INDEX(الموظفات!$D$5:$D$304,MATCH($B1165,الموظفات!$B$5:$B$304,0))&amp;"",""))</f>
        <v/>
      </c>
      <c r="N1165" s="20">
        <f>IF($B1165="","",IFERROR(INDEX(الموظفات!$E$5:$E$304,MATCH($B1165,الموظفات!$B$5:$B$304,0))&amp;"",""))</f>
        <v/>
      </c>
      <c r="O1165" s="21">
        <f>IF(C1165="","",IFERROR(INDEX(الإعدادات!$D$7:$D$35,MATCH(C1165,الإعدادات!$A$7:$A$35,0))&amp;"",""))</f>
        <v/>
      </c>
      <c r="P1165" s="20">
        <f>IF(A1165="","",INDEX(الإعدادات!$H$7:$H$18,MONTH(A1165)))</f>
        <v/>
      </c>
      <c r="Q1165" s="20">
        <f>IF(A1165="","",INDEX(الإعدادات!$I$7:$I$18,MONTH(A1165)))</f>
        <v/>
      </c>
      <c r="R1165" s="20">
        <f>IF(A1165="","",IF(MONTH(A1165)&gt;=8,YEAR(A1165)&amp;"-"&amp;(YEAR(A1165)+1),(YEAR(A1165)-1)&amp;"-"&amp;YEAR(A1165)))</f>
        <v/>
      </c>
      <c r="S1165" s="20">
        <f>IF(OR(A1165="",B1165=""),0,IF(AND(R1165=التقارير!$C$4,OR(التقارير!$C$5="سنوي",AND(التقارير!$C$5="شهري",P1165=التقارير!$C$6),AND(التقارير!$C$5="فصلي",Q1165=التقارير!$C$7))),1,0))</f>
        <v/>
      </c>
      <c r="T1165" s="20">
        <f>IF(S1165=1,COUNTIF($S$5:S1165,1),"")</f>
        <v/>
      </c>
      <c r="U1165">
        <f>IF(AND($A1165&lt;&gt;"",$B1165&lt;&gt;"",$R1165='تقرير الفصل الأول'!$C$4,$Q1165='تقرير الفصل الأول'!$C$7),COUNT(U$4:U1164)+1,"")</f>
        <v/>
      </c>
      <c r="V1165">
        <f>IF(AND($A1165&lt;&gt;"",$B1165&lt;&gt;"",$R1165='تقرير الفصل الثاني'!$C$4,$Q1165='تقرير الفصل الثاني'!$C$7),COUNT(V$4:V1164)+1,"")</f>
        <v/>
      </c>
      <c r="W1165">
        <f>IF(AND($A1165&lt;&gt;"",$B1165&lt;&gt;"",$R1165='تقرير سبتمبر'!$C$4,$P1165='تقرير سبتمبر'!$C$6),COUNT(W$4:W1164)+1,"")</f>
        <v/>
      </c>
      <c r="X1165">
        <f>IF(AND($A1165&lt;&gt;"",$B1165&lt;&gt;"",$R1165='تقرير أكتوبر'!$C$4,$P1165='تقرير أكتوبر'!$C$6),COUNT(X$4:X1164)+1,"")</f>
        <v/>
      </c>
      <c r="Y1165">
        <f>IF(AND($A1165&lt;&gt;"",$B1165&lt;&gt;"",$R1165='تقرير نوفمبر'!$C$4,$P1165='تقرير نوفمبر'!$C$6),COUNT(Y$4:Y1164)+1,"")</f>
        <v/>
      </c>
      <c r="Z1165">
        <f>IF(AND($A1165&lt;&gt;"",$B1165&lt;&gt;"",$R1165='تقرير ديسمبر'!$C$4,$P1165='تقرير ديسمبر'!$C$6),COUNT(Z$4:Z1164)+1,"")</f>
        <v/>
      </c>
      <c r="AA1165">
        <f>IF(AND($A1165&lt;&gt;"",$B1165&lt;&gt;"",$R1165='تقرير يناير'!$C$4,$P1165='تقرير يناير'!$C$6),COUNT(AA$4:AA1164)+1,"")</f>
        <v/>
      </c>
      <c r="AB1165">
        <f>IF(AND($A1165&lt;&gt;"",$B1165&lt;&gt;"",$R1165='تقرير فبراير'!$C$4,$P1165='تقرير فبراير'!$C$6),COUNT(AB$4:AB1164)+1,"")</f>
        <v/>
      </c>
      <c r="AC1165">
        <f>IF(AND($A1165&lt;&gt;"",$B1165&lt;&gt;"",$R1165='تقرير مارس'!$C$4,$P1165='تقرير مارس'!$C$6),COUNT(AC$4:AC1164)+1,"")</f>
        <v/>
      </c>
      <c r="AD1165">
        <f>IF(AND($A1165&lt;&gt;"",$B1165&lt;&gt;"",$R1165='تقرير أبريل'!$C$4,$P1165='تقرير أبريل'!$C$6),COUNT(AD$4:AD1164)+1,"")</f>
        <v/>
      </c>
      <c r="AE1165">
        <f>IF(AND($A1165&lt;&gt;"",$B1165&lt;&gt;"",$R1165='تقرير مايو'!$C$4,$P1165='تقرير مايو'!$C$6),COUNT(AE$4:AE1164)+1,"")</f>
        <v/>
      </c>
    </row>
    <row r="1166">
      <c r="A1166" s="16" t="n"/>
      <c r="B1166" s="17" t="n"/>
      <c r="C1166" s="17" t="n"/>
      <c r="D1166" s="18" t="n"/>
      <c r="E1166" s="17" t="n"/>
      <c r="F1166" s="17" t="n"/>
      <c r="G1166" s="19" t="n"/>
      <c r="H1166" s="17" t="n"/>
      <c r="I1166" s="17" t="n"/>
      <c r="J1166" s="17" t="n"/>
      <c r="K1166" s="20">
        <f>IF($B1166="","",IFERROR(INDEX(الموظفات!$A$5:$A$304,MATCH($B1166,الموظفات!$B$5:$B$304,0))&amp;"",""))</f>
        <v/>
      </c>
      <c r="L1166" s="21">
        <f>IF($B1166="","",IFERROR(INDEX(الموظفات!$C$5:$C$304,MATCH($B1166,الموظفات!$B$5:$B$304,0))&amp;"",""))</f>
        <v/>
      </c>
      <c r="M1166" s="20">
        <f>IF($B1166="","",IFERROR(INDEX(الموظفات!$D$5:$D$304,MATCH($B1166,الموظفات!$B$5:$B$304,0))&amp;"",""))</f>
        <v/>
      </c>
      <c r="N1166" s="20">
        <f>IF($B1166="","",IFERROR(INDEX(الموظفات!$E$5:$E$304,MATCH($B1166,الموظفات!$B$5:$B$304,0))&amp;"",""))</f>
        <v/>
      </c>
      <c r="O1166" s="21">
        <f>IF(C1166="","",IFERROR(INDEX(الإعدادات!$D$7:$D$35,MATCH(C1166,الإعدادات!$A$7:$A$35,0))&amp;"",""))</f>
        <v/>
      </c>
      <c r="P1166" s="20">
        <f>IF(A1166="","",INDEX(الإعدادات!$H$7:$H$18,MONTH(A1166)))</f>
        <v/>
      </c>
      <c r="Q1166" s="20">
        <f>IF(A1166="","",INDEX(الإعدادات!$I$7:$I$18,MONTH(A1166)))</f>
        <v/>
      </c>
      <c r="R1166" s="20">
        <f>IF(A1166="","",IF(MONTH(A1166)&gt;=8,YEAR(A1166)&amp;"-"&amp;(YEAR(A1166)+1),(YEAR(A1166)-1)&amp;"-"&amp;YEAR(A1166)))</f>
        <v/>
      </c>
      <c r="S1166" s="20">
        <f>IF(OR(A1166="",B1166=""),0,IF(AND(R1166=التقارير!$C$4,OR(التقارير!$C$5="سنوي",AND(التقارير!$C$5="شهري",P1166=التقارير!$C$6),AND(التقارير!$C$5="فصلي",Q1166=التقارير!$C$7))),1,0))</f>
        <v/>
      </c>
      <c r="T1166" s="20">
        <f>IF(S1166=1,COUNTIF($S$5:S1166,1),"")</f>
        <v/>
      </c>
      <c r="U1166">
        <f>IF(AND($A1166&lt;&gt;"",$B1166&lt;&gt;"",$R1166='تقرير الفصل الأول'!$C$4,$Q1166='تقرير الفصل الأول'!$C$7),COUNT(U$4:U1165)+1,"")</f>
        <v/>
      </c>
      <c r="V1166">
        <f>IF(AND($A1166&lt;&gt;"",$B1166&lt;&gt;"",$R1166='تقرير الفصل الثاني'!$C$4,$Q1166='تقرير الفصل الثاني'!$C$7),COUNT(V$4:V1165)+1,"")</f>
        <v/>
      </c>
      <c r="W1166">
        <f>IF(AND($A1166&lt;&gt;"",$B1166&lt;&gt;"",$R1166='تقرير سبتمبر'!$C$4,$P1166='تقرير سبتمبر'!$C$6),COUNT(W$4:W1165)+1,"")</f>
        <v/>
      </c>
      <c r="X1166">
        <f>IF(AND($A1166&lt;&gt;"",$B1166&lt;&gt;"",$R1166='تقرير أكتوبر'!$C$4,$P1166='تقرير أكتوبر'!$C$6),COUNT(X$4:X1165)+1,"")</f>
        <v/>
      </c>
      <c r="Y1166">
        <f>IF(AND($A1166&lt;&gt;"",$B1166&lt;&gt;"",$R1166='تقرير نوفمبر'!$C$4,$P1166='تقرير نوفمبر'!$C$6),COUNT(Y$4:Y1165)+1,"")</f>
        <v/>
      </c>
      <c r="Z1166">
        <f>IF(AND($A1166&lt;&gt;"",$B1166&lt;&gt;"",$R1166='تقرير ديسمبر'!$C$4,$P1166='تقرير ديسمبر'!$C$6),COUNT(Z$4:Z1165)+1,"")</f>
        <v/>
      </c>
      <c r="AA1166">
        <f>IF(AND($A1166&lt;&gt;"",$B1166&lt;&gt;"",$R1166='تقرير يناير'!$C$4,$P1166='تقرير يناير'!$C$6),COUNT(AA$4:AA1165)+1,"")</f>
        <v/>
      </c>
      <c r="AB1166">
        <f>IF(AND($A1166&lt;&gt;"",$B1166&lt;&gt;"",$R1166='تقرير فبراير'!$C$4,$P1166='تقرير فبراير'!$C$6),COUNT(AB$4:AB1165)+1,"")</f>
        <v/>
      </c>
      <c r="AC1166">
        <f>IF(AND($A1166&lt;&gt;"",$B1166&lt;&gt;"",$R1166='تقرير مارس'!$C$4,$P1166='تقرير مارس'!$C$6),COUNT(AC$4:AC1165)+1,"")</f>
        <v/>
      </c>
      <c r="AD1166">
        <f>IF(AND($A1166&lt;&gt;"",$B1166&lt;&gt;"",$R1166='تقرير أبريل'!$C$4,$P1166='تقرير أبريل'!$C$6),COUNT(AD$4:AD1165)+1,"")</f>
        <v/>
      </c>
      <c r="AE1166">
        <f>IF(AND($A1166&lt;&gt;"",$B1166&lt;&gt;"",$R1166='تقرير مايو'!$C$4,$P1166='تقرير مايو'!$C$6),COUNT(AE$4:AE1165)+1,"")</f>
        <v/>
      </c>
    </row>
    <row r="1167">
      <c r="A1167" s="16" t="n"/>
      <c r="B1167" s="17" t="n"/>
      <c r="C1167" s="17" t="n"/>
      <c r="D1167" s="18" t="n"/>
      <c r="E1167" s="17" t="n"/>
      <c r="F1167" s="17" t="n"/>
      <c r="G1167" s="19" t="n"/>
      <c r="H1167" s="17" t="n"/>
      <c r="I1167" s="17" t="n"/>
      <c r="J1167" s="17" t="n"/>
      <c r="K1167" s="20">
        <f>IF($B1167="","",IFERROR(INDEX(الموظفات!$A$5:$A$304,MATCH($B1167,الموظفات!$B$5:$B$304,0))&amp;"",""))</f>
        <v/>
      </c>
      <c r="L1167" s="21">
        <f>IF($B1167="","",IFERROR(INDEX(الموظفات!$C$5:$C$304,MATCH($B1167,الموظفات!$B$5:$B$304,0))&amp;"",""))</f>
        <v/>
      </c>
      <c r="M1167" s="20">
        <f>IF($B1167="","",IFERROR(INDEX(الموظفات!$D$5:$D$304,MATCH($B1167,الموظفات!$B$5:$B$304,0))&amp;"",""))</f>
        <v/>
      </c>
      <c r="N1167" s="20">
        <f>IF($B1167="","",IFERROR(INDEX(الموظفات!$E$5:$E$304,MATCH($B1167,الموظفات!$B$5:$B$304,0))&amp;"",""))</f>
        <v/>
      </c>
      <c r="O1167" s="21">
        <f>IF(C1167="","",IFERROR(INDEX(الإعدادات!$D$7:$D$35,MATCH(C1167,الإعدادات!$A$7:$A$35,0))&amp;"",""))</f>
        <v/>
      </c>
      <c r="P1167" s="20">
        <f>IF(A1167="","",INDEX(الإعدادات!$H$7:$H$18,MONTH(A1167)))</f>
        <v/>
      </c>
      <c r="Q1167" s="20">
        <f>IF(A1167="","",INDEX(الإعدادات!$I$7:$I$18,MONTH(A1167)))</f>
        <v/>
      </c>
      <c r="R1167" s="20">
        <f>IF(A1167="","",IF(MONTH(A1167)&gt;=8,YEAR(A1167)&amp;"-"&amp;(YEAR(A1167)+1),(YEAR(A1167)-1)&amp;"-"&amp;YEAR(A1167)))</f>
        <v/>
      </c>
      <c r="S1167" s="20">
        <f>IF(OR(A1167="",B1167=""),0,IF(AND(R1167=التقارير!$C$4,OR(التقارير!$C$5="سنوي",AND(التقارير!$C$5="شهري",P1167=التقارير!$C$6),AND(التقارير!$C$5="فصلي",Q1167=التقارير!$C$7))),1,0))</f>
        <v/>
      </c>
      <c r="T1167" s="20">
        <f>IF(S1167=1,COUNTIF($S$5:S1167,1),"")</f>
        <v/>
      </c>
      <c r="U1167">
        <f>IF(AND($A1167&lt;&gt;"",$B1167&lt;&gt;"",$R1167='تقرير الفصل الأول'!$C$4,$Q1167='تقرير الفصل الأول'!$C$7),COUNT(U$4:U1166)+1,"")</f>
        <v/>
      </c>
      <c r="V1167">
        <f>IF(AND($A1167&lt;&gt;"",$B1167&lt;&gt;"",$R1167='تقرير الفصل الثاني'!$C$4,$Q1167='تقرير الفصل الثاني'!$C$7),COUNT(V$4:V1166)+1,"")</f>
        <v/>
      </c>
      <c r="W1167">
        <f>IF(AND($A1167&lt;&gt;"",$B1167&lt;&gt;"",$R1167='تقرير سبتمبر'!$C$4,$P1167='تقرير سبتمبر'!$C$6),COUNT(W$4:W1166)+1,"")</f>
        <v/>
      </c>
      <c r="X1167">
        <f>IF(AND($A1167&lt;&gt;"",$B1167&lt;&gt;"",$R1167='تقرير أكتوبر'!$C$4,$P1167='تقرير أكتوبر'!$C$6),COUNT(X$4:X1166)+1,"")</f>
        <v/>
      </c>
      <c r="Y1167">
        <f>IF(AND($A1167&lt;&gt;"",$B1167&lt;&gt;"",$R1167='تقرير نوفمبر'!$C$4,$P1167='تقرير نوفمبر'!$C$6),COUNT(Y$4:Y1166)+1,"")</f>
        <v/>
      </c>
      <c r="Z1167">
        <f>IF(AND($A1167&lt;&gt;"",$B1167&lt;&gt;"",$R1167='تقرير ديسمبر'!$C$4,$P1167='تقرير ديسمبر'!$C$6),COUNT(Z$4:Z1166)+1,"")</f>
        <v/>
      </c>
      <c r="AA1167">
        <f>IF(AND($A1167&lt;&gt;"",$B1167&lt;&gt;"",$R1167='تقرير يناير'!$C$4,$P1167='تقرير يناير'!$C$6),COUNT(AA$4:AA1166)+1,"")</f>
        <v/>
      </c>
      <c r="AB1167">
        <f>IF(AND($A1167&lt;&gt;"",$B1167&lt;&gt;"",$R1167='تقرير فبراير'!$C$4,$P1167='تقرير فبراير'!$C$6),COUNT(AB$4:AB1166)+1,"")</f>
        <v/>
      </c>
      <c r="AC1167">
        <f>IF(AND($A1167&lt;&gt;"",$B1167&lt;&gt;"",$R1167='تقرير مارس'!$C$4,$P1167='تقرير مارس'!$C$6),COUNT(AC$4:AC1166)+1,"")</f>
        <v/>
      </c>
      <c r="AD1167">
        <f>IF(AND($A1167&lt;&gt;"",$B1167&lt;&gt;"",$R1167='تقرير أبريل'!$C$4,$P1167='تقرير أبريل'!$C$6),COUNT(AD$4:AD1166)+1,"")</f>
        <v/>
      </c>
      <c r="AE1167">
        <f>IF(AND($A1167&lt;&gt;"",$B1167&lt;&gt;"",$R1167='تقرير مايو'!$C$4,$P1167='تقرير مايو'!$C$6),COUNT(AE$4:AE1166)+1,"")</f>
        <v/>
      </c>
    </row>
    <row r="1168">
      <c r="A1168" s="16" t="n"/>
      <c r="B1168" s="17" t="n"/>
      <c r="C1168" s="17" t="n"/>
      <c r="D1168" s="18" t="n"/>
      <c r="E1168" s="17" t="n"/>
      <c r="F1168" s="17" t="n"/>
      <c r="G1168" s="19" t="n"/>
      <c r="H1168" s="17" t="n"/>
      <c r="I1168" s="17" t="n"/>
      <c r="J1168" s="17" t="n"/>
      <c r="K1168" s="20">
        <f>IF($B1168="","",IFERROR(INDEX(الموظفات!$A$5:$A$304,MATCH($B1168,الموظفات!$B$5:$B$304,0))&amp;"",""))</f>
        <v/>
      </c>
      <c r="L1168" s="21">
        <f>IF($B1168="","",IFERROR(INDEX(الموظفات!$C$5:$C$304,MATCH($B1168,الموظفات!$B$5:$B$304,0))&amp;"",""))</f>
        <v/>
      </c>
      <c r="M1168" s="20">
        <f>IF($B1168="","",IFERROR(INDEX(الموظفات!$D$5:$D$304,MATCH($B1168,الموظفات!$B$5:$B$304,0))&amp;"",""))</f>
        <v/>
      </c>
      <c r="N1168" s="20">
        <f>IF($B1168="","",IFERROR(INDEX(الموظفات!$E$5:$E$304,MATCH($B1168,الموظفات!$B$5:$B$304,0))&amp;"",""))</f>
        <v/>
      </c>
      <c r="O1168" s="21">
        <f>IF(C1168="","",IFERROR(INDEX(الإعدادات!$D$7:$D$35,MATCH(C1168,الإعدادات!$A$7:$A$35,0))&amp;"",""))</f>
        <v/>
      </c>
      <c r="P1168" s="20">
        <f>IF(A1168="","",INDEX(الإعدادات!$H$7:$H$18,MONTH(A1168)))</f>
        <v/>
      </c>
      <c r="Q1168" s="20">
        <f>IF(A1168="","",INDEX(الإعدادات!$I$7:$I$18,MONTH(A1168)))</f>
        <v/>
      </c>
      <c r="R1168" s="20">
        <f>IF(A1168="","",IF(MONTH(A1168)&gt;=8,YEAR(A1168)&amp;"-"&amp;(YEAR(A1168)+1),(YEAR(A1168)-1)&amp;"-"&amp;YEAR(A1168)))</f>
        <v/>
      </c>
      <c r="S1168" s="20">
        <f>IF(OR(A1168="",B1168=""),0,IF(AND(R1168=التقارير!$C$4,OR(التقارير!$C$5="سنوي",AND(التقارير!$C$5="شهري",P1168=التقارير!$C$6),AND(التقارير!$C$5="فصلي",Q1168=التقارير!$C$7))),1,0))</f>
        <v/>
      </c>
      <c r="T1168" s="20">
        <f>IF(S1168=1,COUNTIF($S$5:S1168,1),"")</f>
        <v/>
      </c>
      <c r="U1168">
        <f>IF(AND($A1168&lt;&gt;"",$B1168&lt;&gt;"",$R1168='تقرير الفصل الأول'!$C$4,$Q1168='تقرير الفصل الأول'!$C$7),COUNT(U$4:U1167)+1,"")</f>
        <v/>
      </c>
      <c r="V1168">
        <f>IF(AND($A1168&lt;&gt;"",$B1168&lt;&gt;"",$R1168='تقرير الفصل الثاني'!$C$4,$Q1168='تقرير الفصل الثاني'!$C$7),COUNT(V$4:V1167)+1,"")</f>
        <v/>
      </c>
      <c r="W1168">
        <f>IF(AND($A1168&lt;&gt;"",$B1168&lt;&gt;"",$R1168='تقرير سبتمبر'!$C$4,$P1168='تقرير سبتمبر'!$C$6),COUNT(W$4:W1167)+1,"")</f>
        <v/>
      </c>
      <c r="X1168">
        <f>IF(AND($A1168&lt;&gt;"",$B1168&lt;&gt;"",$R1168='تقرير أكتوبر'!$C$4,$P1168='تقرير أكتوبر'!$C$6),COUNT(X$4:X1167)+1,"")</f>
        <v/>
      </c>
      <c r="Y1168">
        <f>IF(AND($A1168&lt;&gt;"",$B1168&lt;&gt;"",$R1168='تقرير نوفمبر'!$C$4,$P1168='تقرير نوفمبر'!$C$6),COUNT(Y$4:Y1167)+1,"")</f>
        <v/>
      </c>
      <c r="Z1168">
        <f>IF(AND($A1168&lt;&gt;"",$B1168&lt;&gt;"",$R1168='تقرير ديسمبر'!$C$4,$P1168='تقرير ديسمبر'!$C$6),COUNT(Z$4:Z1167)+1,"")</f>
        <v/>
      </c>
      <c r="AA1168">
        <f>IF(AND($A1168&lt;&gt;"",$B1168&lt;&gt;"",$R1168='تقرير يناير'!$C$4,$P1168='تقرير يناير'!$C$6),COUNT(AA$4:AA1167)+1,"")</f>
        <v/>
      </c>
      <c r="AB1168">
        <f>IF(AND($A1168&lt;&gt;"",$B1168&lt;&gt;"",$R1168='تقرير فبراير'!$C$4,$P1168='تقرير فبراير'!$C$6),COUNT(AB$4:AB1167)+1,"")</f>
        <v/>
      </c>
      <c r="AC1168">
        <f>IF(AND($A1168&lt;&gt;"",$B1168&lt;&gt;"",$R1168='تقرير مارس'!$C$4,$P1168='تقرير مارس'!$C$6),COUNT(AC$4:AC1167)+1,"")</f>
        <v/>
      </c>
      <c r="AD1168">
        <f>IF(AND($A1168&lt;&gt;"",$B1168&lt;&gt;"",$R1168='تقرير أبريل'!$C$4,$P1168='تقرير أبريل'!$C$6),COUNT(AD$4:AD1167)+1,"")</f>
        <v/>
      </c>
      <c r="AE1168">
        <f>IF(AND($A1168&lt;&gt;"",$B1168&lt;&gt;"",$R1168='تقرير مايو'!$C$4,$P1168='تقرير مايو'!$C$6),COUNT(AE$4:AE1167)+1,"")</f>
        <v/>
      </c>
    </row>
    <row r="1169">
      <c r="A1169" s="16" t="n"/>
      <c r="B1169" s="17" t="n"/>
      <c r="C1169" s="17" t="n"/>
      <c r="D1169" s="18" t="n"/>
      <c r="E1169" s="17" t="n"/>
      <c r="F1169" s="17" t="n"/>
      <c r="G1169" s="19" t="n"/>
      <c r="H1169" s="17" t="n"/>
      <c r="I1169" s="17" t="n"/>
      <c r="J1169" s="17" t="n"/>
      <c r="K1169" s="20">
        <f>IF($B1169="","",IFERROR(INDEX(الموظفات!$A$5:$A$304,MATCH($B1169,الموظفات!$B$5:$B$304,0))&amp;"",""))</f>
        <v/>
      </c>
      <c r="L1169" s="21">
        <f>IF($B1169="","",IFERROR(INDEX(الموظفات!$C$5:$C$304,MATCH($B1169,الموظفات!$B$5:$B$304,0))&amp;"",""))</f>
        <v/>
      </c>
      <c r="M1169" s="20">
        <f>IF($B1169="","",IFERROR(INDEX(الموظفات!$D$5:$D$304,MATCH($B1169,الموظفات!$B$5:$B$304,0))&amp;"",""))</f>
        <v/>
      </c>
      <c r="N1169" s="20">
        <f>IF($B1169="","",IFERROR(INDEX(الموظفات!$E$5:$E$304,MATCH($B1169,الموظفات!$B$5:$B$304,0))&amp;"",""))</f>
        <v/>
      </c>
      <c r="O1169" s="21">
        <f>IF(C1169="","",IFERROR(INDEX(الإعدادات!$D$7:$D$35,MATCH(C1169,الإعدادات!$A$7:$A$35,0))&amp;"",""))</f>
        <v/>
      </c>
      <c r="P1169" s="20">
        <f>IF(A1169="","",INDEX(الإعدادات!$H$7:$H$18,MONTH(A1169)))</f>
        <v/>
      </c>
      <c r="Q1169" s="20">
        <f>IF(A1169="","",INDEX(الإعدادات!$I$7:$I$18,MONTH(A1169)))</f>
        <v/>
      </c>
      <c r="R1169" s="20">
        <f>IF(A1169="","",IF(MONTH(A1169)&gt;=8,YEAR(A1169)&amp;"-"&amp;(YEAR(A1169)+1),(YEAR(A1169)-1)&amp;"-"&amp;YEAR(A1169)))</f>
        <v/>
      </c>
      <c r="S1169" s="20">
        <f>IF(OR(A1169="",B1169=""),0,IF(AND(R1169=التقارير!$C$4,OR(التقارير!$C$5="سنوي",AND(التقارير!$C$5="شهري",P1169=التقارير!$C$6),AND(التقارير!$C$5="فصلي",Q1169=التقارير!$C$7))),1,0))</f>
        <v/>
      </c>
      <c r="T1169" s="20">
        <f>IF(S1169=1,COUNTIF($S$5:S1169,1),"")</f>
        <v/>
      </c>
      <c r="U1169">
        <f>IF(AND($A1169&lt;&gt;"",$B1169&lt;&gt;"",$R1169='تقرير الفصل الأول'!$C$4,$Q1169='تقرير الفصل الأول'!$C$7),COUNT(U$4:U1168)+1,"")</f>
        <v/>
      </c>
      <c r="V1169">
        <f>IF(AND($A1169&lt;&gt;"",$B1169&lt;&gt;"",$R1169='تقرير الفصل الثاني'!$C$4,$Q1169='تقرير الفصل الثاني'!$C$7),COUNT(V$4:V1168)+1,"")</f>
        <v/>
      </c>
      <c r="W1169">
        <f>IF(AND($A1169&lt;&gt;"",$B1169&lt;&gt;"",$R1169='تقرير سبتمبر'!$C$4,$P1169='تقرير سبتمبر'!$C$6),COUNT(W$4:W1168)+1,"")</f>
        <v/>
      </c>
      <c r="X1169">
        <f>IF(AND($A1169&lt;&gt;"",$B1169&lt;&gt;"",$R1169='تقرير أكتوبر'!$C$4,$P1169='تقرير أكتوبر'!$C$6),COUNT(X$4:X1168)+1,"")</f>
        <v/>
      </c>
      <c r="Y1169">
        <f>IF(AND($A1169&lt;&gt;"",$B1169&lt;&gt;"",$R1169='تقرير نوفمبر'!$C$4,$P1169='تقرير نوفمبر'!$C$6),COUNT(Y$4:Y1168)+1,"")</f>
        <v/>
      </c>
      <c r="Z1169">
        <f>IF(AND($A1169&lt;&gt;"",$B1169&lt;&gt;"",$R1169='تقرير ديسمبر'!$C$4,$P1169='تقرير ديسمبر'!$C$6),COUNT(Z$4:Z1168)+1,"")</f>
        <v/>
      </c>
      <c r="AA1169">
        <f>IF(AND($A1169&lt;&gt;"",$B1169&lt;&gt;"",$R1169='تقرير يناير'!$C$4,$P1169='تقرير يناير'!$C$6),COUNT(AA$4:AA1168)+1,"")</f>
        <v/>
      </c>
      <c r="AB1169">
        <f>IF(AND($A1169&lt;&gt;"",$B1169&lt;&gt;"",$R1169='تقرير فبراير'!$C$4,$P1169='تقرير فبراير'!$C$6),COUNT(AB$4:AB1168)+1,"")</f>
        <v/>
      </c>
      <c r="AC1169">
        <f>IF(AND($A1169&lt;&gt;"",$B1169&lt;&gt;"",$R1169='تقرير مارس'!$C$4,$P1169='تقرير مارس'!$C$6),COUNT(AC$4:AC1168)+1,"")</f>
        <v/>
      </c>
      <c r="AD1169">
        <f>IF(AND($A1169&lt;&gt;"",$B1169&lt;&gt;"",$R1169='تقرير أبريل'!$C$4,$P1169='تقرير أبريل'!$C$6),COUNT(AD$4:AD1168)+1,"")</f>
        <v/>
      </c>
      <c r="AE1169">
        <f>IF(AND($A1169&lt;&gt;"",$B1169&lt;&gt;"",$R1169='تقرير مايو'!$C$4,$P1169='تقرير مايو'!$C$6),COUNT(AE$4:AE1168)+1,"")</f>
        <v/>
      </c>
    </row>
    <row r="1170">
      <c r="A1170" s="16" t="n"/>
      <c r="B1170" s="17" t="n"/>
      <c r="C1170" s="17" t="n"/>
      <c r="D1170" s="18" t="n"/>
      <c r="E1170" s="17" t="n"/>
      <c r="F1170" s="17" t="n"/>
      <c r="G1170" s="19" t="n"/>
      <c r="H1170" s="17" t="n"/>
      <c r="I1170" s="17" t="n"/>
      <c r="J1170" s="17" t="n"/>
      <c r="K1170" s="20">
        <f>IF($B1170="","",IFERROR(INDEX(الموظفات!$A$5:$A$304,MATCH($B1170,الموظفات!$B$5:$B$304,0))&amp;"",""))</f>
        <v/>
      </c>
      <c r="L1170" s="21">
        <f>IF($B1170="","",IFERROR(INDEX(الموظفات!$C$5:$C$304,MATCH($B1170,الموظفات!$B$5:$B$304,0))&amp;"",""))</f>
        <v/>
      </c>
      <c r="M1170" s="20">
        <f>IF($B1170="","",IFERROR(INDEX(الموظفات!$D$5:$D$304,MATCH($B1170,الموظفات!$B$5:$B$304,0))&amp;"",""))</f>
        <v/>
      </c>
      <c r="N1170" s="20">
        <f>IF($B1170="","",IFERROR(INDEX(الموظفات!$E$5:$E$304,MATCH($B1170,الموظفات!$B$5:$B$304,0))&amp;"",""))</f>
        <v/>
      </c>
      <c r="O1170" s="21">
        <f>IF(C1170="","",IFERROR(INDEX(الإعدادات!$D$7:$D$35,MATCH(C1170,الإعدادات!$A$7:$A$35,0))&amp;"",""))</f>
        <v/>
      </c>
      <c r="P1170" s="20">
        <f>IF(A1170="","",INDEX(الإعدادات!$H$7:$H$18,MONTH(A1170)))</f>
        <v/>
      </c>
      <c r="Q1170" s="20">
        <f>IF(A1170="","",INDEX(الإعدادات!$I$7:$I$18,MONTH(A1170)))</f>
        <v/>
      </c>
      <c r="R1170" s="20">
        <f>IF(A1170="","",IF(MONTH(A1170)&gt;=8,YEAR(A1170)&amp;"-"&amp;(YEAR(A1170)+1),(YEAR(A1170)-1)&amp;"-"&amp;YEAR(A1170)))</f>
        <v/>
      </c>
      <c r="S1170" s="20">
        <f>IF(OR(A1170="",B1170=""),0,IF(AND(R1170=التقارير!$C$4,OR(التقارير!$C$5="سنوي",AND(التقارير!$C$5="شهري",P1170=التقارير!$C$6),AND(التقارير!$C$5="فصلي",Q1170=التقارير!$C$7))),1,0))</f>
        <v/>
      </c>
      <c r="T1170" s="20">
        <f>IF(S1170=1,COUNTIF($S$5:S1170,1),"")</f>
        <v/>
      </c>
      <c r="U1170">
        <f>IF(AND($A1170&lt;&gt;"",$B1170&lt;&gt;"",$R1170='تقرير الفصل الأول'!$C$4,$Q1170='تقرير الفصل الأول'!$C$7),COUNT(U$4:U1169)+1,"")</f>
        <v/>
      </c>
      <c r="V1170">
        <f>IF(AND($A1170&lt;&gt;"",$B1170&lt;&gt;"",$R1170='تقرير الفصل الثاني'!$C$4,$Q1170='تقرير الفصل الثاني'!$C$7),COUNT(V$4:V1169)+1,"")</f>
        <v/>
      </c>
      <c r="W1170">
        <f>IF(AND($A1170&lt;&gt;"",$B1170&lt;&gt;"",$R1170='تقرير سبتمبر'!$C$4,$P1170='تقرير سبتمبر'!$C$6),COUNT(W$4:W1169)+1,"")</f>
        <v/>
      </c>
      <c r="X1170">
        <f>IF(AND($A1170&lt;&gt;"",$B1170&lt;&gt;"",$R1170='تقرير أكتوبر'!$C$4,$P1170='تقرير أكتوبر'!$C$6),COUNT(X$4:X1169)+1,"")</f>
        <v/>
      </c>
      <c r="Y1170">
        <f>IF(AND($A1170&lt;&gt;"",$B1170&lt;&gt;"",$R1170='تقرير نوفمبر'!$C$4,$P1170='تقرير نوفمبر'!$C$6),COUNT(Y$4:Y1169)+1,"")</f>
        <v/>
      </c>
      <c r="Z1170">
        <f>IF(AND($A1170&lt;&gt;"",$B1170&lt;&gt;"",$R1170='تقرير ديسمبر'!$C$4,$P1170='تقرير ديسمبر'!$C$6),COUNT(Z$4:Z1169)+1,"")</f>
        <v/>
      </c>
      <c r="AA1170">
        <f>IF(AND($A1170&lt;&gt;"",$B1170&lt;&gt;"",$R1170='تقرير يناير'!$C$4,$P1170='تقرير يناير'!$C$6),COUNT(AA$4:AA1169)+1,"")</f>
        <v/>
      </c>
      <c r="AB1170">
        <f>IF(AND($A1170&lt;&gt;"",$B1170&lt;&gt;"",$R1170='تقرير فبراير'!$C$4,$P1170='تقرير فبراير'!$C$6),COUNT(AB$4:AB1169)+1,"")</f>
        <v/>
      </c>
      <c r="AC1170">
        <f>IF(AND($A1170&lt;&gt;"",$B1170&lt;&gt;"",$R1170='تقرير مارس'!$C$4,$P1170='تقرير مارس'!$C$6),COUNT(AC$4:AC1169)+1,"")</f>
        <v/>
      </c>
      <c r="AD1170">
        <f>IF(AND($A1170&lt;&gt;"",$B1170&lt;&gt;"",$R1170='تقرير أبريل'!$C$4,$P1170='تقرير أبريل'!$C$6),COUNT(AD$4:AD1169)+1,"")</f>
        <v/>
      </c>
      <c r="AE1170">
        <f>IF(AND($A1170&lt;&gt;"",$B1170&lt;&gt;"",$R1170='تقرير مايو'!$C$4,$P1170='تقرير مايو'!$C$6),COUNT(AE$4:AE1169)+1,"")</f>
        <v/>
      </c>
    </row>
    <row r="1171">
      <c r="A1171" s="16" t="n"/>
      <c r="B1171" s="17" t="n"/>
      <c r="C1171" s="17" t="n"/>
      <c r="D1171" s="18" t="n"/>
      <c r="E1171" s="17" t="n"/>
      <c r="F1171" s="17" t="n"/>
      <c r="G1171" s="19" t="n"/>
      <c r="H1171" s="17" t="n"/>
      <c r="I1171" s="17" t="n"/>
      <c r="J1171" s="17" t="n"/>
      <c r="K1171" s="20">
        <f>IF($B1171="","",IFERROR(INDEX(الموظفات!$A$5:$A$304,MATCH($B1171,الموظفات!$B$5:$B$304,0))&amp;"",""))</f>
        <v/>
      </c>
      <c r="L1171" s="21">
        <f>IF($B1171="","",IFERROR(INDEX(الموظفات!$C$5:$C$304,MATCH($B1171,الموظفات!$B$5:$B$304,0))&amp;"",""))</f>
        <v/>
      </c>
      <c r="M1171" s="20">
        <f>IF($B1171="","",IFERROR(INDEX(الموظفات!$D$5:$D$304,MATCH($B1171,الموظفات!$B$5:$B$304,0))&amp;"",""))</f>
        <v/>
      </c>
      <c r="N1171" s="20">
        <f>IF($B1171="","",IFERROR(INDEX(الموظفات!$E$5:$E$304,MATCH($B1171,الموظفات!$B$5:$B$304,0))&amp;"",""))</f>
        <v/>
      </c>
      <c r="O1171" s="21">
        <f>IF(C1171="","",IFERROR(INDEX(الإعدادات!$D$7:$D$35,MATCH(C1171,الإعدادات!$A$7:$A$35,0))&amp;"",""))</f>
        <v/>
      </c>
      <c r="P1171" s="20">
        <f>IF(A1171="","",INDEX(الإعدادات!$H$7:$H$18,MONTH(A1171)))</f>
        <v/>
      </c>
      <c r="Q1171" s="20">
        <f>IF(A1171="","",INDEX(الإعدادات!$I$7:$I$18,MONTH(A1171)))</f>
        <v/>
      </c>
      <c r="R1171" s="20">
        <f>IF(A1171="","",IF(MONTH(A1171)&gt;=8,YEAR(A1171)&amp;"-"&amp;(YEAR(A1171)+1),(YEAR(A1171)-1)&amp;"-"&amp;YEAR(A1171)))</f>
        <v/>
      </c>
      <c r="S1171" s="20">
        <f>IF(OR(A1171="",B1171=""),0,IF(AND(R1171=التقارير!$C$4,OR(التقارير!$C$5="سنوي",AND(التقارير!$C$5="شهري",P1171=التقارير!$C$6),AND(التقارير!$C$5="فصلي",Q1171=التقارير!$C$7))),1,0))</f>
        <v/>
      </c>
      <c r="T1171" s="20">
        <f>IF(S1171=1,COUNTIF($S$5:S1171,1),"")</f>
        <v/>
      </c>
      <c r="U1171">
        <f>IF(AND($A1171&lt;&gt;"",$B1171&lt;&gt;"",$R1171='تقرير الفصل الأول'!$C$4,$Q1171='تقرير الفصل الأول'!$C$7),COUNT(U$4:U1170)+1,"")</f>
        <v/>
      </c>
      <c r="V1171">
        <f>IF(AND($A1171&lt;&gt;"",$B1171&lt;&gt;"",$R1171='تقرير الفصل الثاني'!$C$4,$Q1171='تقرير الفصل الثاني'!$C$7),COUNT(V$4:V1170)+1,"")</f>
        <v/>
      </c>
      <c r="W1171">
        <f>IF(AND($A1171&lt;&gt;"",$B1171&lt;&gt;"",$R1171='تقرير سبتمبر'!$C$4,$P1171='تقرير سبتمبر'!$C$6),COUNT(W$4:W1170)+1,"")</f>
        <v/>
      </c>
      <c r="X1171">
        <f>IF(AND($A1171&lt;&gt;"",$B1171&lt;&gt;"",$R1171='تقرير أكتوبر'!$C$4,$P1171='تقرير أكتوبر'!$C$6),COUNT(X$4:X1170)+1,"")</f>
        <v/>
      </c>
      <c r="Y1171">
        <f>IF(AND($A1171&lt;&gt;"",$B1171&lt;&gt;"",$R1171='تقرير نوفمبر'!$C$4,$P1171='تقرير نوفمبر'!$C$6),COUNT(Y$4:Y1170)+1,"")</f>
        <v/>
      </c>
      <c r="Z1171">
        <f>IF(AND($A1171&lt;&gt;"",$B1171&lt;&gt;"",$R1171='تقرير ديسمبر'!$C$4,$P1171='تقرير ديسمبر'!$C$6),COUNT(Z$4:Z1170)+1,"")</f>
        <v/>
      </c>
      <c r="AA1171">
        <f>IF(AND($A1171&lt;&gt;"",$B1171&lt;&gt;"",$R1171='تقرير يناير'!$C$4,$P1171='تقرير يناير'!$C$6),COUNT(AA$4:AA1170)+1,"")</f>
        <v/>
      </c>
      <c r="AB1171">
        <f>IF(AND($A1171&lt;&gt;"",$B1171&lt;&gt;"",$R1171='تقرير فبراير'!$C$4,$P1171='تقرير فبراير'!$C$6),COUNT(AB$4:AB1170)+1,"")</f>
        <v/>
      </c>
      <c r="AC1171">
        <f>IF(AND($A1171&lt;&gt;"",$B1171&lt;&gt;"",$R1171='تقرير مارس'!$C$4,$P1171='تقرير مارس'!$C$6),COUNT(AC$4:AC1170)+1,"")</f>
        <v/>
      </c>
      <c r="AD1171">
        <f>IF(AND($A1171&lt;&gt;"",$B1171&lt;&gt;"",$R1171='تقرير أبريل'!$C$4,$P1171='تقرير أبريل'!$C$6),COUNT(AD$4:AD1170)+1,"")</f>
        <v/>
      </c>
      <c r="AE1171">
        <f>IF(AND($A1171&lt;&gt;"",$B1171&lt;&gt;"",$R1171='تقرير مايو'!$C$4,$P1171='تقرير مايو'!$C$6),COUNT(AE$4:AE1170)+1,"")</f>
        <v/>
      </c>
    </row>
    <row r="1172">
      <c r="A1172" s="16" t="n"/>
      <c r="B1172" s="17" t="n"/>
      <c r="C1172" s="17" t="n"/>
      <c r="D1172" s="18" t="n"/>
      <c r="E1172" s="17" t="n"/>
      <c r="F1172" s="17" t="n"/>
      <c r="G1172" s="19" t="n"/>
      <c r="H1172" s="17" t="n"/>
      <c r="I1172" s="17" t="n"/>
      <c r="J1172" s="17" t="n"/>
      <c r="K1172" s="20">
        <f>IF($B1172="","",IFERROR(INDEX(الموظفات!$A$5:$A$304,MATCH($B1172,الموظفات!$B$5:$B$304,0))&amp;"",""))</f>
        <v/>
      </c>
      <c r="L1172" s="21">
        <f>IF($B1172="","",IFERROR(INDEX(الموظفات!$C$5:$C$304,MATCH($B1172,الموظفات!$B$5:$B$304,0))&amp;"",""))</f>
        <v/>
      </c>
      <c r="M1172" s="20">
        <f>IF($B1172="","",IFERROR(INDEX(الموظفات!$D$5:$D$304,MATCH($B1172,الموظفات!$B$5:$B$304,0))&amp;"",""))</f>
        <v/>
      </c>
      <c r="N1172" s="20">
        <f>IF($B1172="","",IFERROR(INDEX(الموظفات!$E$5:$E$304,MATCH($B1172,الموظفات!$B$5:$B$304,0))&amp;"",""))</f>
        <v/>
      </c>
      <c r="O1172" s="21">
        <f>IF(C1172="","",IFERROR(INDEX(الإعدادات!$D$7:$D$35,MATCH(C1172,الإعدادات!$A$7:$A$35,0))&amp;"",""))</f>
        <v/>
      </c>
      <c r="P1172" s="20">
        <f>IF(A1172="","",INDEX(الإعدادات!$H$7:$H$18,MONTH(A1172)))</f>
        <v/>
      </c>
      <c r="Q1172" s="20">
        <f>IF(A1172="","",INDEX(الإعدادات!$I$7:$I$18,MONTH(A1172)))</f>
        <v/>
      </c>
      <c r="R1172" s="20">
        <f>IF(A1172="","",IF(MONTH(A1172)&gt;=8,YEAR(A1172)&amp;"-"&amp;(YEAR(A1172)+1),(YEAR(A1172)-1)&amp;"-"&amp;YEAR(A1172)))</f>
        <v/>
      </c>
      <c r="S1172" s="20">
        <f>IF(OR(A1172="",B1172=""),0,IF(AND(R1172=التقارير!$C$4,OR(التقارير!$C$5="سنوي",AND(التقارير!$C$5="شهري",P1172=التقارير!$C$6),AND(التقارير!$C$5="فصلي",Q1172=التقارير!$C$7))),1,0))</f>
        <v/>
      </c>
      <c r="T1172" s="20">
        <f>IF(S1172=1,COUNTIF($S$5:S1172,1),"")</f>
        <v/>
      </c>
      <c r="U1172">
        <f>IF(AND($A1172&lt;&gt;"",$B1172&lt;&gt;"",$R1172='تقرير الفصل الأول'!$C$4,$Q1172='تقرير الفصل الأول'!$C$7),COUNT(U$4:U1171)+1,"")</f>
        <v/>
      </c>
      <c r="V1172">
        <f>IF(AND($A1172&lt;&gt;"",$B1172&lt;&gt;"",$R1172='تقرير الفصل الثاني'!$C$4,$Q1172='تقرير الفصل الثاني'!$C$7),COUNT(V$4:V1171)+1,"")</f>
        <v/>
      </c>
      <c r="W1172">
        <f>IF(AND($A1172&lt;&gt;"",$B1172&lt;&gt;"",$R1172='تقرير سبتمبر'!$C$4,$P1172='تقرير سبتمبر'!$C$6),COUNT(W$4:W1171)+1,"")</f>
        <v/>
      </c>
      <c r="X1172">
        <f>IF(AND($A1172&lt;&gt;"",$B1172&lt;&gt;"",$R1172='تقرير أكتوبر'!$C$4,$P1172='تقرير أكتوبر'!$C$6),COUNT(X$4:X1171)+1,"")</f>
        <v/>
      </c>
      <c r="Y1172">
        <f>IF(AND($A1172&lt;&gt;"",$B1172&lt;&gt;"",$R1172='تقرير نوفمبر'!$C$4,$P1172='تقرير نوفمبر'!$C$6),COUNT(Y$4:Y1171)+1,"")</f>
        <v/>
      </c>
      <c r="Z1172">
        <f>IF(AND($A1172&lt;&gt;"",$B1172&lt;&gt;"",$R1172='تقرير ديسمبر'!$C$4,$P1172='تقرير ديسمبر'!$C$6),COUNT(Z$4:Z1171)+1,"")</f>
        <v/>
      </c>
      <c r="AA1172">
        <f>IF(AND($A1172&lt;&gt;"",$B1172&lt;&gt;"",$R1172='تقرير يناير'!$C$4,$P1172='تقرير يناير'!$C$6),COUNT(AA$4:AA1171)+1,"")</f>
        <v/>
      </c>
      <c r="AB1172">
        <f>IF(AND($A1172&lt;&gt;"",$B1172&lt;&gt;"",$R1172='تقرير فبراير'!$C$4,$P1172='تقرير فبراير'!$C$6),COUNT(AB$4:AB1171)+1,"")</f>
        <v/>
      </c>
      <c r="AC1172">
        <f>IF(AND($A1172&lt;&gt;"",$B1172&lt;&gt;"",$R1172='تقرير مارس'!$C$4,$P1172='تقرير مارس'!$C$6),COUNT(AC$4:AC1171)+1,"")</f>
        <v/>
      </c>
      <c r="AD1172">
        <f>IF(AND($A1172&lt;&gt;"",$B1172&lt;&gt;"",$R1172='تقرير أبريل'!$C$4,$P1172='تقرير أبريل'!$C$6),COUNT(AD$4:AD1171)+1,"")</f>
        <v/>
      </c>
      <c r="AE1172">
        <f>IF(AND($A1172&lt;&gt;"",$B1172&lt;&gt;"",$R1172='تقرير مايو'!$C$4,$P1172='تقرير مايو'!$C$6),COUNT(AE$4:AE1171)+1,"")</f>
        <v/>
      </c>
    </row>
    <row r="1173">
      <c r="A1173" s="16" t="n"/>
      <c r="B1173" s="17" t="n"/>
      <c r="C1173" s="17" t="n"/>
      <c r="D1173" s="18" t="n"/>
      <c r="E1173" s="17" t="n"/>
      <c r="F1173" s="17" t="n"/>
      <c r="G1173" s="19" t="n"/>
      <c r="H1173" s="17" t="n"/>
      <c r="I1173" s="17" t="n"/>
      <c r="J1173" s="17" t="n"/>
      <c r="K1173" s="20">
        <f>IF($B1173="","",IFERROR(INDEX(الموظفات!$A$5:$A$304,MATCH($B1173,الموظفات!$B$5:$B$304,0))&amp;"",""))</f>
        <v/>
      </c>
      <c r="L1173" s="21">
        <f>IF($B1173="","",IFERROR(INDEX(الموظفات!$C$5:$C$304,MATCH($B1173,الموظفات!$B$5:$B$304,0))&amp;"",""))</f>
        <v/>
      </c>
      <c r="M1173" s="20">
        <f>IF($B1173="","",IFERROR(INDEX(الموظفات!$D$5:$D$304,MATCH($B1173,الموظفات!$B$5:$B$304,0))&amp;"",""))</f>
        <v/>
      </c>
      <c r="N1173" s="20">
        <f>IF($B1173="","",IFERROR(INDEX(الموظفات!$E$5:$E$304,MATCH($B1173,الموظفات!$B$5:$B$304,0))&amp;"",""))</f>
        <v/>
      </c>
      <c r="O1173" s="21">
        <f>IF(C1173="","",IFERROR(INDEX(الإعدادات!$D$7:$D$35,MATCH(C1173,الإعدادات!$A$7:$A$35,0))&amp;"",""))</f>
        <v/>
      </c>
      <c r="P1173" s="20">
        <f>IF(A1173="","",INDEX(الإعدادات!$H$7:$H$18,MONTH(A1173)))</f>
        <v/>
      </c>
      <c r="Q1173" s="20">
        <f>IF(A1173="","",INDEX(الإعدادات!$I$7:$I$18,MONTH(A1173)))</f>
        <v/>
      </c>
      <c r="R1173" s="20">
        <f>IF(A1173="","",IF(MONTH(A1173)&gt;=8,YEAR(A1173)&amp;"-"&amp;(YEAR(A1173)+1),(YEAR(A1173)-1)&amp;"-"&amp;YEAR(A1173)))</f>
        <v/>
      </c>
      <c r="S1173" s="20">
        <f>IF(OR(A1173="",B1173=""),0,IF(AND(R1173=التقارير!$C$4,OR(التقارير!$C$5="سنوي",AND(التقارير!$C$5="شهري",P1173=التقارير!$C$6),AND(التقارير!$C$5="فصلي",Q1173=التقارير!$C$7))),1,0))</f>
        <v/>
      </c>
      <c r="T1173" s="20">
        <f>IF(S1173=1,COUNTIF($S$5:S1173,1),"")</f>
        <v/>
      </c>
      <c r="U1173">
        <f>IF(AND($A1173&lt;&gt;"",$B1173&lt;&gt;"",$R1173='تقرير الفصل الأول'!$C$4,$Q1173='تقرير الفصل الأول'!$C$7),COUNT(U$4:U1172)+1,"")</f>
        <v/>
      </c>
      <c r="V1173">
        <f>IF(AND($A1173&lt;&gt;"",$B1173&lt;&gt;"",$R1173='تقرير الفصل الثاني'!$C$4,$Q1173='تقرير الفصل الثاني'!$C$7),COUNT(V$4:V1172)+1,"")</f>
        <v/>
      </c>
      <c r="W1173">
        <f>IF(AND($A1173&lt;&gt;"",$B1173&lt;&gt;"",$R1173='تقرير سبتمبر'!$C$4,$P1173='تقرير سبتمبر'!$C$6),COUNT(W$4:W1172)+1,"")</f>
        <v/>
      </c>
      <c r="X1173">
        <f>IF(AND($A1173&lt;&gt;"",$B1173&lt;&gt;"",$R1173='تقرير أكتوبر'!$C$4,$P1173='تقرير أكتوبر'!$C$6),COUNT(X$4:X1172)+1,"")</f>
        <v/>
      </c>
      <c r="Y1173">
        <f>IF(AND($A1173&lt;&gt;"",$B1173&lt;&gt;"",$R1173='تقرير نوفمبر'!$C$4,$P1173='تقرير نوفمبر'!$C$6),COUNT(Y$4:Y1172)+1,"")</f>
        <v/>
      </c>
      <c r="Z1173">
        <f>IF(AND($A1173&lt;&gt;"",$B1173&lt;&gt;"",$R1173='تقرير ديسمبر'!$C$4,$P1173='تقرير ديسمبر'!$C$6),COUNT(Z$4:Z1172)+1,"")</f>
        <v/>
      </c>
      <c r="AA1173">
        <f>IF(AND($A1173&lt;&gt;"",$B1173&lt;&gt;"",$R1173='تقرير يناير'!$C$4,$P1173='تقرير يناير'!$C$6),COUNT(AA$4:AA1172)+1,"")</f>
        <v/>
      </c>
      <c r="AB1173">
        <f>IF(AND($A1173&lt;&gt;"",$B1173&lt;&gt;"",$R1173='تقرير فبراير'!$C$4,$P1173='تقرير فبراير'!$C$6),COUNT(AB$4:AB1172)+1,"")</f>
        <v/>
      </c>
      <c r="AC1173">
        <f>IF(AND($A1173&lt;&gt;"",$B1173&lt;&gt;"",$R1173='تقرير مارس'!$C$4,$P1173='تقرير مارس'!$C$6),COUNT(AC$4:AC1172)+1,"")</f>
        <v/>
      </c>
      <c r="AD1173">
        <f>IF(AND($A1173&lt;&gt;"",$B1173&lt;&gt;"",$R1173='تقرير أبريل'!$C$4,$P1173='تقرير أبريل'!$C$6),COUNT(AD$4:AD1172)+1,"")</f>
        <v/>
      </c>
      <c r="AE1173">
        <f>IF(AND($A1173&lt;&gt;"",$B1173&lt;&gt;"",$R1173='تقرير مايو'!$C$4,$P1173='تقرير مايو'!$C$6),COUNT(AE$4:AE1172)+1,"")</f>
        <v/>
      </c>
    </row>
    <row r="1174">
      <c r="A1174" s="16" t="n"/>
      <c r="B1174" s="17" t="n"/>
      <c r="C1174" s="17" t="n"/>
      <c r="D1174" s="18" t="n"/>
      <c r="E1174" s="17" t="n"/>
      <c r="F1174" s="17" t="n"/>
      <c r="G1174" s="19" t="n"/>
      <c r="H1174" s="17" t="n"/>
      <c r="I1174" s="17" t="n"/>
      <c r="J1174" s="17" t="n"/>
      <c r="K1174" s="20">
        <f>IF($B1174="","",IFERROR(INDEX(الموظفات!$A$5:$A$304,MATCH($B1174,الموظفات!$B$5:$B$304,0))&amp;"",""))</f>
        <v/>
      </c>
      <c r="L1174" s="21">
        <f>IF($B1174="","",IFERROR(INDEX(الموظفات!$C$5:$C$304,MATCH($B1174,الموظفات!$B$5:$B$304,0))&amp;"",""))</f>
        <v/>
      </c>
      <c r="M1174" s="20">
        <f>IF($B1174="","",IFERROR(INDEX(الموظفات!$D$5:$D$304,MATCH($B1174,الموظفات!$B$5:$B$304,0))&amp;"",""))</f>
        <v/>
      </c>
      <c r="N1174" s="20">
        <f>IF($B1174="","",IFERROR(INDEX(الموظفات!$E$5:$E$304,MATCH($B1174,الموظفات!$B$5:$B$304,0))&amp;"",""))</f>
        <v/>
      </c>
      <c r="O1174" s="21">
        <f>IF(C1174="","",IFERROR(INDEX(الإعدادات!$D$7:$D$35,MATCH(C1174,الإعدادات!$A$7:$A$35,0))&amp;"",""))</f>
        <v/>
      </c>
      <c r="P1174" s="20">
        <f>IF(A1174="","",INDEX(الإعدادات!$H$7:$H$18,MONTH(A1174)))</f>
        <v/>
      </c>
      <c r="Q1174" s="20">
        <f>IF(A1174="","",INDEX(الإعدادات!$I$7:$I$18,MONTH(A1174)))</f>
        <v/>
      </c>
      <c r="R1174" s="20">
        <f>IF(A1174="","",IF(MONTH(A1174)&gt;=8,YEAR(A1174)&amp;"-"&amp;(YEAR(A1174)+1),(YEAR(A1174)-1)&amp;"-"&amp;YEAR(A1174)))</f>
        <v/>
      </c>
      <c r="S1174" s="20">
        <f>IF(OR(A1174="",B1174=""),0,IF(AND(R1174=التقارير!$C$4,OR(التقارير!$C$5="سنوي",AND(التقارير!$C$5="شهري",P1174=التقارير!$C$6),AND(التقارير!$C$5="فصلي",Q1174=التقارير!$C$7))),1,0))</f>
        <v/>
      </c>
      <c r="T1174" s="20">
        <f>IF(S1174=1,COUNTIF($S$5:S1174,1),"")</f>
        <v/>
      </c>
      <c r="U1174">
        <f>IF(AND($A1174&lt;&gt;"",$B1174&lt;&gt;"",$R1174='تقرير الفصل الأول'!$C$4,$Q1174='تقرير الفصل الأول'!$C$7),COUNT(U$4:U1173)+1,"")</f>
        <v/>
      </c>
      <c r="V1174">
        <f>IF(AND($A1174&lt;&gt;"",$B1174&lt;&gt;"",$R1174='تقرير الفصل الثاني'!$C$4,$Q1174='تقرير الفصل الثاني'!$C$7),COUNT(V$4:V1173)+1,"")</f>
        <v/>
      </c>
      <c r="W1174">
        <f>IF(AND($A1174&lt;&gt;"",$B1174&lt;&gt;"",$R1174='تقرير سبتمبر'!$C$4,$P1174='تقرير سبتمبر'!$C$6),COUNT(W$4:W1173)+1,"")</f>
        <v/>
      </c>
      <c r="X1174">
        <f>IF(AND($A1174&lt;&gt;"",$B1174&lt;&gt;"",$R1174='تقرير أكتوبر'!$C$4,$P1174='تقرير أكتوبر'!$C$6),COUNT(X$4:X1173)+1,"")</f>
        <v/>
      </c>
      <c r="Y1174">
        <f>IF(AND($A1174&lt;&gt;"",$B1174&lt;&gt;"",$R1174='تقرير نوفمبر'!$C$4,$P1174='تقرير نوفمبر'!$C$6),COUNT(Y$4:Y1173)+1,"")</f>
        <v/>
      </c>
      <c r="Z1174">
        <f>IF(AND($A1174&lt;&gt;"",$B1174&lt;&gt;"",$R1174='تقرير ديسمبر'!$C$4,$P1174='تقرير ديسمبر'!$C$6),COUNT(Z$4:Z1173)+1,"")</f>
        <v/>
      </c>
      <c r="AA1174">
        <f>IF(AND($A1174&lt;&gt;"",$B1174&lt;&gt;"",$R1174='تقرير يناير'!$C$4,$P1174='تقرير يناير'!$C$6),COUNT(AA$4:AA1173)+1,"")</f>
        <v/>
      </c>
      <c r="AB1174">
        <f>IF(AND($A1174&lt;&gt;"",$B1174&lt;&gt;"",$R1174='تقرير فبراير'!$C$4,$P1174='تقرير فبراير'!$C$6),COUNT(AB$4:AB1173)+1,"")</f>
        <v/>
      </c>
      <c r="AC1174">
        <f>IF(AND($A1174&lt;&gt;"",$B1174&lt;&gt;"",$R1174='تقرير مارس'!$C$4,$P1174='تقرير مارس'!$C$6),COUNT(AC$4:AC1173)+1,"")</f>
        <v/>
      </c>
      <c r="AD1174">
        <f>IF(AND($A1174&lt;&gt;"",$B1174&lt;&gt;"",$R1174='تقرير أبريل'!$C$4,$P1174='تقرير أبريل'!$C$6),COUNT(AD$4:AD1173)+1,"")</f>
        <v/>
      </c>
      <c r="AE1174">
        <f>IF(AND($A1174&lt;&gt;"",$B1174&lt;&gt;"",$R1174='تقرير مايو'!$C$4,$P1174='تقرير مايو'!$C$6),COUNT(AE$4:AE1173)+1,"")</f>
        <v/>
      </c>
    </row>
    <row r="1175">
      <c r="A1175" s="16" t="n"/>
      <c r="B1175" s="17" t="n"/>
      <c r="C1175" s="17" t="n"/>
      <c r="D1175" s="18" t="n"/>
      <c r="E1175" s="17" t="n"/>
      <c r="F1175" s="17" t="n"/>
      <c r="G1175" s="19" t="n"/>
      <c r="H1175" s="17" t="n"/>
      <c r="I1175" s="17" t="n"/>
      <c r="J1175" s="17" t="n"/>
      <c r="K1175" s="20">
        <f>IF($B1175="","",IFERROR(INDEX(الموظفات!$A$5:$A$304,MATCH($B1175,الموظفات!$B$5:$B$304,0))&amp;"",""))</f>
        <v/>
      </c>
      <c r="L1175" s="21">
        <f>IF($B1175="","",IFERROR(INDEX(الموظفات!$C$5:$C$304,MATCH($B1175,الموظفات!$B$5:$B$304,0))&amp;"",""))</f>
        <v/>
      </c>
      <c r="M1175" s="20">
        <f>IF($B1175="","",IFERROR(INDEX(الموظفات!$D$5:$D$304,MATCH($B1175,الموظفات!$B$5:$B$304,0))&amp;"",""))</f>
        <v/>
      </c>
      <c r="N1175" s="20">
        <f>IF($B1175="","",IFERROR(INDEX(الموظفات!$E$5:$E$304,MATCH($B1175,الموظفات!$B$5:$B$304,0))&amp;"",""))</f>
        <v/>
      </c>
      <c r="O1175" s="21">
        <f>IF(C1175="","",IFERROR(INDEX(الإعدادات!$D$7:$D$35,MATCH(C1175,الإعدادات!$A$7:$A$35,0))&amp;"",""))</f>
        <v/>
      </c>
      <c r="P1175" s="20">
        <f>IF(A1175="","",INDEX(الإعدادات!$H$7:$H$18,MONTH(A1175)))</f>
        <v/>
      </c>
      <c r="Q1175" s="20">
        <f>IF(A1175="","",INDEX(الإعدادات!$I$7:$I$18,MONTH(A1175)))</f>
        <v/>
      </c>
      <c r="R1175" s="20">
        <f>IF(A1175="","",IF(MONTH(A1175)&gt;=8,YEAR(A1175)&amp;"-"&amp;(YEAR(A1175)+1),(YEAR(A1175)-1)&amp;"-"&amp;YEAR(A1175)))</f>
        <v/>
      </c>
      <c r="S1175" s="20">
        <f>IF(OR(A1175="",B1175=""),0,IF(AND(R1175=التقارير!$C$4,OR(التقارير!$C$5="سنوي",AND(التقارير!$C$5="شهري",P1175=التقارير!$C$6),AND(التقارير!$C$5="فصلي",Q1175=التقارير!$C$7))),1,0))</f>
        <v/>
      </c>
      <c r="T1175" s="20">
        <f>IF(S1175=1,COUNTIF($S$5:S1175,1),"")</f>
        <v/>
      </c>
      <c r="U1175">
        <f>IF(AND($A1175&lt;&gt;"",$B1175&lt;&gt;"",$R1175='تقرير الفصل الأول'!$C$4,$Q1175='تقرير الفصل الأول'!$C$7),COUNT(U$4:U1174)+1,"")</f>
        <v/>
      </c>
      <c r="V1175">
        <f>IF(AND($A1175&lt;&gt;"",$B1175&lt;&gt;"",$R1175='تقرير الفصل الثاني'!$C$4,$Q1175='تقرير الفصل الثاني'!$C$7),COUNT(V$4:V1174)+1,"")</f>
        <v/>
      </c>
      <c r="W1175">
        <f>IF(AND($A1175&lt;&gt;"",$B1175&lt;&gt;"",$R1175='تقرير سبتمبر'!$C$4,$P1175='تقرير سبتمبر'!$C$6),COUNT(W$4:W1174)+1,"")</f>
        <v/>
      </c>
      <c r="X1175">
        <f>IF(AND($A1175&lt;&gt;"",$B1175&lt;&gt;"",$R1175='تقرير أكتوبر'!$C$4,$P1175='تقرير أكتوبر'!$C$6),COUNT(X$4:X1174)+1,"")</f>
        <v/>
      </c>
      <c r="Y1175">
        <f>IF(AND($A1175&lt;&gt;"",$B1175&lt;&gt;"",$R1175='تقرير نوفمبر'!$C$4,$P1175='تقرير نوفمبر'!$C$6),COUNT(Y$4:Y1174)+1,"")</f>
        <v/>
      </c>
      <c r="Z1175">
        <f>IF(AND($A1175&lt;&gt;"",$B1175&lt;&gt;"",$R1175='تقرير ديسمبر'!$C$4,$P1175='تقرير ديسمبر'!$C$6),COUNT(Z$4:Z1174)+1,"")</f>
        <v/>
      </c>
      <c r="AA1175">
        <f>IF(AND($A1175&lt;&gt;"",$B1175&lt;&gt;"",$R1175='تقرير يناير'!$C$4,$P1175='تقرير يناير'!$C$6),COUNT(AA$4:AA1174)+1,"")</f>
        <v/>
      </c>
      <c r="AB1175">
        <f>IF(AND($A1175&lt;&gt;"",$B1175&lt;&gt;"",$R1175='تقرير فبراير'!$C$4,$P1175='تقرير فبراير'!$C$6),COUNT(AB$4:AB1174)+1,"")</f>
        <v/>
      </c>
      <c r="AC1175">
        <f>IF(AND($A1175&lt;&gt;"",$B1175&lt;&gt;"",$R1175='تقرير مارس'!$C$4,$P1175='تقرير مارس'!$C$6),COUNT(AC$4:AC1174)+1,"")</f>
        <v/>
      </c>
      <c r="AD1175">
        <f>IF(AND($A1175&lt;&gt;"",$B1175&lt;&gt;"",$R1175='تقرير أبريل'!$C$4,$P1175='تقرير أبريل'!$C$6),COUNT(AD$4:AD1174)+1,"")</f>
        <v/>
      </c>
      <c r="AE1175">
        <f>IF(AND($A1175&lt;&gt;"",$B1175&lt;&gt;"",$R1175='تقرير مايو'!$C$4,$P1175='تقرير مايو'!$C$6),COUNT(AE$4:AE1174)+1,"")</f>
        <v/>
      </c>
    </row>
    <row r="1176">
      <c r="A1176" s="16" t="n"/>
      <c r="B1176" s="17" t="n"/>
      <c r="C1176" s="17" t="n"/>
      <c r="D1176" s="18" t="n"/>
      <c r="E1176" s="17" t="n"/>
      <c r="F1176" s="17" t="n"/>
      <c r="G1176" s="19" t="n"/>
      <c r="H1176" s="17" t="n"/>
      <c r="I1176" s="17" t="n"/>
      <c r="J1176" s="17" t="n"/>
      <c r="K1176" s="20">
        <f>IF($B1176="","",IFERROR(INDEX(الموظفات!$A$5:$A$304,MATCH($B1176,الموظفات!$B$5:$B$304,0))&amp;"",""))</f>
        <v/>
      </c>
      <c r="L1176" s="21">
        <f>IF($B1176="","",IFERROR(INDEX(الموظفات!$C$5:$C$304,MATCH($B1176,الموظفات!$B$5:$B$304,0))&amp;"",""))</f>
        <v/>
      </c>
      <c r="M1176" s="20">
        <f>IF($B1176="","",IFERROR(INDEX(الموظفات!$D$5:$D$304,MATCH($B1176,الموظفات!$B$5:$B$304,0))&amp;"",""))</f>
        <v/>
      </c>
      <c r="N1176" s="20">
        <f>IF($B1176="","",IFERROR(INDEX(الموظفات!$E$5:$E$304,MATCH($B1176,الموظفات!$B$5:$B$304,0))&amp;"",""))</f>
        <v/>
      </c>
      <c r="O1176" s="21">
        <f>IF(C1176="","",IFERROR(INDEX(الإعدادات!$D$7:$D$35,MATCH(C1176,الإعدادات!$A$7:$A$35,0))&amp;"",""))</f>
        <v/>
      </c>
      <c r="P1176" s="20">
        <f>IF(A1176="","",INDEX(الإعدادات!$H$7:$H$18,MONTH(A1176)))</f>
        <v/>
      </c>
      <c r="Q1176" s="20">
        <f>IF(A1176="","",INDEX(الإعدادات!$I$7:$I$18,MONTH(A1176)))</f>
        <v/>
      </c>
      <c r="R1176" s="20">
        <f>IF(A1176="","",IF(MONTH(A1176)&gt;=8,YEAR(A1176)&amp;"-"&amp;(YEAR(A1176)+1),(YEAR(A1176)-1)&amp;"-"&amp;YEAR(A1176)))</f>
        <v/>
      </c>
      <c r="S1176" s="20">
        <f>IF(OR(A1176="",B1176=""),0,IF(AND(R1176=التقارير!$C$4,OR(التقارير!$C$5="سنوي",AND(التقارير!$C$5="شهري",P1176=التقارير!$C$6),AND(التقارير!$C$5="فصلي",Q1176=التقارير!$C$7))),1,0))</f>
        <v/>
      </c>
      <c r="T1176" s="20">
        <f>IF(S1176=1,COUNTIF($S$5:S1176,1),"")</f>
        <v/>
      </c>
      <c r="U1176">
        <f>IF(AND($A1176&lt;&gt;"",$B1176&lt;&gt;"",$R1176='تقرير الفصل الأول'!$C$4,$Q1176='تقرير الفصل الأول'!$C$7),COUNT(U$4:U1175)+1,"")</f>
        <v/>
      </c>
      <c r="V1176">
        <f>IF(AND($A1176&lt;&gt;"",$B1176&lt;&gt;"",$R1176='تقرير الفصل الثاني'!$C$4,$Q1176='تقرير الفصل الثاني'!$C$7),COUNT(V$4:V1175)+1,"")</f>
        <v/>
      </c>
      <c r="W1176">
        <f>IF(AND($A1176&lt;&gt;"",$B1176&lt;&gt;"",$R1176='تقرير سبتمبر'!$C$4,$P1176='تقرير سبتمبر'!$C$6),COUNT(W$4:W1175)+1,"")</f>
        <v/>
      </c>
      <c r="X1176">
        <f>IF(AND($A1176&lt;&gt;"",$B1176&lt;&gt;"",$R1176='تقرير أكتوبر'!$C$4,$P1176='تقرير أكتوبر'!$C$6),COUNT(X$4:X1175)+1,"")</f>
        <v/>
      </c>
      <c r="Y1176">
        <f>IF(AND($A1176&lt;&gt;"",$B1176&lt;&gt;"",$R1176='تقرير نوفمبر'!$C$4,$P1176='تقرير نوفمبر'!$C$6),COUNT(Y$4:Y1175)+1,"")</f>
        <v/>
      </c>
      <c r="Z1176">
        <f>IF(AND($A1176&lt;&gt;"",$B1176&lt;&gt;"",$R1176='تقرير ديسمبر'!$C$4,$P1176='تقرير ديسمبر'!$C$6),COUNT(Z$4:Z1175)+1,"")</f>
        <v/>
      </c>
      <c r="AA1176">
        <f>IF(AND($A1176&lt;&gt;"",$B1176&lt;&gt;"",$R1176='تقرير يناير'!$C$4,$P1176='تقرير يناير'!$C$6),COUNT(AA$4:AA1175)+1,"")</f>
        <v/>
      </c>
      <c r="AB1176">
        <f>IF(AND($A1176&lt;&gt;"",$B1176&lt;&gt;"",$R1176='تقرير فبراير'!$C$4,$P1176='تقرير فبراير'!$C$6),COUNT(AB$4:AB1175)+1,"")</f>
        <v/>
      </c>
      <c r="AC1176">
        <f>IF(AND($A1176&lt;&gt;"",$B1176&lt;&gt;"",$R1176='تقرير مارس'!$C$4,$P1176='تقرير مارس'!$C$6),COUNT(AC$4:AC1175)+1,"")</f>
        <v/>
      </c>
      <c r="AD1176">
        <f>IF(AND($A1176&lt;&gt;"",$B1176&lt;&gt;"",$R1176='تقرير أبريل'!$C$4,$P1176='تقرير أبريل'!$C$6),COUNT(AD$4:AD1175)+1,"")</f>
        <v/>
      </c>
      <c r="AE1176">
        <f>IF(AND($A1176&lt;&gt;"",$B1176&lt;&gt;"",$R1176='تقرير مايو'!$C$4,$P1176='تقرير مايو'!$C$6),COUNT(AE$4:AE1175)+1,"")</f>
        <v/>
      </c>
    </row>
    <row r="1177">
      <c r="A1177" s="16" t="n"/>
      <c r="B1177" s="17" t="n"/>
      <c r="C1177" s="17" t="n"/>
      <c r="D1177" s="18" t="n"/>
      <c r="E1177" s="17" t="n"/>
      <c r="F1177" s="17" t="n"/>
      <c r="G1177" s="19" t="n"/>
      <c r="H1177" s="17" t="n"/>
      <c r="I1177" s="17" t="n"/>
      <c r="J1177" s="17" t="n"/>
      <c r="K1177" s="20">
        <f>IF($B1177="","",IFERROR(INDEX(الموظفات!$A$5:$A$304,MATCH($B1177,الموظفات!$B$5:$B$304,0))&amp;"",""))</f>
        <v/>
      </c>
      <c r="L1177" s="21">
        <f>IF($B1177="","",IFERROR(INDEX(الموظفات!$C$5:$C$304,MATCH($B1177,الموظفات!$B$5:$B$304,0))&amp;"",""))</f>
        <v/>
      </c>
      <c r="M1177" s="20">
        <f>IF($B1177="","",IFERROR(INDEX(الموظفات!$D$5:$D$304,MATCH($B1177,الموظفات!$B$5:$B$304,0))&amp;"",""))</f>
        <v/>
      </c>
      <c r="N1177" s="20">
        <f>IF($B1177="","",IFERROR(INDEX(الموظفات!$E$5:$E$304,MATCH($B1177,الموظفات!$B$5:$B$304,0))&amp;"",""))</f>
        <v/>
      </c>
      <c r="O1177" s="21">
        <f>IF(C1177="","",IFERROR(INDEX(الإعدادات!$D$7:$D$35,MATCH(C1177,الإعدادات!$A$7:$A$35,0))&amp;"",""))</f>
        <v/>
      </c>
      <c r="P1177" s="20">
        <f>IF(A1177="","",INDEX(الإعدادات!$H$7:$H$18,MONTH(A1177)))</f>
        <v/>
      </c>
      <c r="Q1177" s="20">
        <f>IF(A1177="","",INDEX(الإعدادات!$I$7:$I$18,MONTH(A1177)))</f>
        <v/>
      </c>
      <c r="R1177" s="20">
        <f>IF(A1177="","",IF(MONTH(A1177)&gt;=8,YEAR(A1177)&amp;"-"&amp;(YEAR(A1177)+1),(YEAR(A1177)-1)&amp;"-"&amp;YEAR(A1177)))</f>
        <v/>
      </c>
      <c r="S1177" s="20">
        <f>IF(OR(A1177="",B1177=""),0,IF(AND(R1177=التقارير!$C$4,OR(التقارير!$C$5="سنوي",AND(التقارير!$C$5="شهري",P1177=التقارير!$C$6),AND(التقارير!$C$5="فصلي",Q1177=التقارير!$C$7))),1,0))</f>
        <v/>
      </c>
      <c r="T1177" s="20">
        <f>IF(S1177=1,COUNTIF($S$5:S1177,1),"")</f>
        <v/>
      </c>
      <c r="U1177">
        <f>IF(AND($A1177&lt;&gt;"",$B1177&lt;&gt;"",$R1177='تقرير الفصل الأول'!$C$4,$Q1177='تقرير الفصل الأول'!$C$7),COUNT(U$4:U1176)+1,"")</f>
        <v/>
      </c>
      <c r="V1177">
        <f>IF(AND($A1177&lt;&gt;"",$B1177&lt;&gt;"",$R1177='تقرير الفصل الثاني'!$C$4,$Q1177='تقرير الفصل الثاني'!$C$7),COUNT(V$4:V1176)+1,"")</f>
        <v/>
      </c>
      <c r="W1177">
        <f>IF(AND($A1177&lt;&gt;"",$B1177&lt;&gt;"",$R1177='تقرير سبتمبر'!$C$4,$P1177='تقرير سبتمبر'!$C$6),COUNT(W$4:W1176)+1,"")</f>
        <v/>
      </c>
      <c r="X1177">
        <f>IF(AND($A1177&lt;&gt;"",$B1177&lt;&gt;"",$R1177='تقرير أكتوبر'!$C$4,$P1177='تقرير أكتوبر'!$C$6),COUNT(X$4:X1176)+1,"")</f>
        <v/>
      </c>
      <c r="Y1177">
        <f>IF(AND($A1177&lt;&gt;"",$B1177&lt;&gt;"",$R1177='تقرير نوفمبر'!$C$4,$P1177='تقرير نوفمبر'!$C$6),COUNT(Y$4:Y1176)+1,"")</f>
        <v/>
      </c>
      <c r="Z1177">
        <f>IF(AND($A1177&lt;&gt;"",$B1177&lt;&gt;"",$R1177='تقرير ديسمبر'!$C$4,$P1177='تقرير ديسمبر'!$C$6),COUNT(Z$4:Z1176)+1,"")</f>
        <v/>
      </c>
      <c r="AA1177">
        <f>IF(AND($A1177&lt;&gt;"",$B1177&lt;&gt;"",$R1177='تقرير يناير'!$C$4,$P1177='تقرير يناير'!$C$6),COUNT(AA$4:AA1176)+1,"")</f>
        <v/>
      </c>
      <c r="AB1177">
        <f>IF(AND($A1177&lt;&gt;"",$B1177&lt;&gt;"",$R1177='تقرير فبراير'!$C$4,$P1177='تقرير فبراير'!$C$6),COUNT(AB$4:AB1176)+1,"")</f>
        <v/>
      </c>
      <c r="AC1177">
        <f>IF(AND($A1177&lt;&gt;"",$B1177&lt;&gt;"",$R1177='تقرير مارس'!$C$4,$P1177='تقرير مارس'!$C$6),COUNT(AC$4:AC1176)+1,"")</f>
        <v/>
      </c>
      <c r="AD1177">
        <f>IF(AND($A1177&lt;&gt;"",$B1177&lt;&gt;"",$R1177='تقرير أبريل'!$C$4,$P1177='تقرير أبريل'!$C$6),COUNT(AD$4:AD1176)+1,"")</f>
        <v/>
      </c>
      <c r="AE1177">
        <f>IF(AND($A1177&lt;&gt;"",$B1177&lt;&gt;"",$R1177='تقرير مايو'!$C$4,$P1177='تقرير مايو'!$C$6),COUNT(AE$4:AE1176)+1,"")</f>
        <v/>
      </c>
    </row>
    <row r="1178">
      <c r="A1178" s="16" t="n"/>
      <c r="B1178" s="17" t="n"/>
      <c r="C1178" s="17" t="n"/>
      <c r="D1178" s="18" t="n"/>
      <c r="E1178" s="17" t="n"/>
      <c r="F1178" s="17" t="n"/>
      <c r="G1178" s="19" t="n"/>
      <c r="H1178" s="17" t="n"/>
      <c r="I1178" s="17" t="n"/>
      <c r="J1178" s="17" t="n"/>
      <c r="K1178" s="20">
        <f>IF($B1178="","",IFERROR(INDEX(الموظفات!$A$5:$A$304,MATCH($B1178,الموظفات!$B$5:$B$304,0))&amp;"",""))</f>
        <v/>
      </c>
      <c r="L1178" s="21">
        <f>IF($B1178="","",IFERROR(INDEX(الموظفات!$C$5:$C$304,MATCH($B1178,الموظفات!$B$5:$B$304,0))&amp;"",""))</f>
        <v/>
      </c>
      <c r="M1178" s="20">
        <f>IF($B1178="","",IFERROR(INDEX(الموظفات!$D$5:$D$304,MATCH($B1178,الموظفات!$B$5:$B$304,0))&amp;"",""))</f>
        <v/>
      </c>
      <c r="N1178" s="20">
        <f>IF($B1178="","",IFERROR(INDEX(الموظفات!$E$5:$E$304,MATCH($B1178,الموظفات!$B$5:$B$304,0))&amp;"",""))</f>
        <v/>
      </c>
      <c r="O1178" s="21">
        <f>IF(C1178="","",IFERROR(INDEX(الإعدادات!$D$7:$D$35,MATCH(C1178,الإعدادات!$A$7:$A$35,0))&amp;"",""))</f>
        <v/>
      </c>
      <c r="P1178" s="20">
        <f>IF(A1178="","",INDEX(الإعدادات!$H$7:$H$18,MONTH(A1178)))</f>
        <v/>
      </c>
      <c r="Q1178" s="20">
        <f>IF(A1178="","",INDEX(الإعدادات!$I$7:$I$18,MONTH(A1178)))</f>
        <v/>
      </c>
      <c r="R1178" s="20">
        <f>IF(A1178="","",IF(MONTH(A1178)&gt;=8,YEAR(A1178)&amp;"-"&amp;(YEAR(A1178)+1),(YEAR(A1178)-1)&amp;"-"&amp;YEAR(A1178)))</f>
        <v/>
      </c>
      <c r="S1178" s="20">
        <f>IF(OR(A1178="",B1178=""),0,IF(AND(R1178=التقارير!$C$4,OR(التقارير!$C$5="سنوي",AND(التقارير!$C$5="شهري",P1178=التقارير!$C$6),AND(التقارير!$C$5="فصلي",Q1178=التقارير!$C$7))),1,0))</f>
        <v/>
      </c>
      <c r="T1178" s="20">
        <f>IF(S1178=1,COUNTIF($S$5:S1178,1),"")</f>
        <v/>
      </c>
      <c r="U1178">
        <f>IF(AND($A1178&lt;&gt;"",$B1178&lt;&gt;"",$R1178='تقرير الفصل الأول'!$C$4,$Q1178='تقرير الفصل الأول'!$C$7),COUNT(U$4:U1177)+1,"")</f>
        <v/>
      </c>
      <c r="V1178">
        <f>IF(AND($A1178&lt;&gt;"",$B1178&lt;&gt;"",$R1178='تقرير الفصل الثاني'!$C$4,$Q1178='تقرير الفصل الثاني'!$C$7),COUNT(V$4:V1177)+1,"")</f>
        <v/>
      </c>
      <c r="W1178">
        <f>IF(AND($A1178&lt;&gt;"",$B1178&lt;&gt;"",$R1178='تقرير سبتمبر'!$C$4,$P1178='تقرير سبتمبر'!$C$6),COUNT(W$4:W1177)+1,"")</f>
        <v/>
      </c>
      <c r="X1178">
        <f>IF(AND($A1178&lt;&gt;"",$B1178&lt;&gt;"",$R1178='تقرير أكتوبر'!$C$4,$P1178='تقرير أكتوبر'!$C$6),COUNT(X$4:X1177)+1,"")</f>
        <v/>
      </c>
      <c r="Y1178">
        <f>IF(AND($A1178&lt;&gt;"",$B1178&lt;&gt;"",$R1178='تقرير نوفمبر'!$C$4,$P1178='تقرير نوفمبر'!$C$6),COUNT(Y$4:Y1177)+1,"")</f>
        <v/>
      </c>
      <c r="Z1178">
        <f>IF(AND($A1178&lt;&gt;"",$B1178&lt;&gt;"",$R1178='تقرير ديسمبر'!$C$4,$P1178='تقرير ديسمبر'!$C$6),COUNT(Z$4:Z1177)+1,"")</f>
        <v/>
      </c>
      <c r="AA1178">
        <f>IF(AND($A1178&lt;&gt;"",$B1178&lt;&gt;"",$R1178='تقرير يناير'!$C$4,$P1178='تقرير يناير'!$C$6),COUNT(AA$4:AA1177)+1,"")</f>
        <v/>
      </c>
      <c r="AB1178">
        <f>IF(AND($A1178&lt;&gt;"",$B1178&lt;&gt;"",$R1178='تقرير فبراير'!$C$4,$P1178='تقرير فبراير'!$C$6),COUNT(AB$4:AB1177)+1,"")</f>
        <v/>
      </c>
      <c r="AC1178">
        <f>IF(AND($A1178&lt;&gt;"",$B1178&lt;&gt;"",$R1178='تقرير مارس'!$C$4,$P1178='تقرير مارس'!$C$6),COUNT(AC$4:AC1177)+1,"")</f>
        <v/>
      </c>
      <c r="AD1178">
        <f>IF(AND($A1178&lt;&gt;"",$B1178&lt;&gt;"",$R1178='تقرير أبريل'!$C$4,$P1178='تقرير أبريل'!$C$6),COUNT(AD$4:AD1177)+1,"")</f>
        <v/>
      </c>
      <c r="AE1178">
        <f>IF(AND($A1178&lt;&gt;"",$B1178&lt;&gt;"",$R1178='تقرير مايو'!$C$4,$P1178='تقرير مايو'!$C$6),COUNT(AE$4:AE1177)+1,"")</f>
        <v/>
      </c>
    </row>
    <row r="1179">
      <c r="A1179" s="16" t="n"/>
      <c r="B1179" s="17" t="n"/>
      <c r="C1179" s="17" t="n"/>
      <c r="D1179" s="18" t="n"/>
      <c r="E1179" s="17" t="n"/>
      <c r="F1179" s="17" t="n"/>
      <c r="G1179" s="19" t="n"/>
      <c r="H1179" s="17" t="n"/>
      <c r="I1179" s="17" t="n"/>
      <c r="J1179" s="17" t="n"/>
      <c r="K1179" s="20">
        <f>IF($B1179="","",IFERROR(INDEX(الموظفات!$A$5:$A$304,MATCH($B1179,الموظفات!$B$5:$B$304,0))&amp;"",""))</f>
        <v/>
      </c>
      <c r="L1179" s="21">
        <f>IF($B1179="","",IFERROR(INDEX(الموظفات!$C$5:$C$304,MATCH($B1179,الموظفات!$B$5:$B$304,0))&amp;"",""))</f>
        <v/>
      </c>
      <c r="M1179" s="20">
        <f>IF($B1179="","",IFERROR(INDEX(الموظفات!$D$5:$D$304,MATCH($B1179,الموظفات!$B$5:$B$304,0))&amp;"",""))</f>
        <v/>
      </c>
      <c r="N1179" s="20">
        <f>IF($B1179="","",IFERROR(INDEX(الموظفات!$E$5:$E$304,MATCH($B1179,الموظفات!$B$5:$B$304,0))&amp;"",""))</f>
        <v/>
      </c>
      <c r="O1179" s="21">
        <f>IF(C1179="","",IFERROR(INDEX(الإعدادات!$D$7:$D$35,MATCH(C1179,الإعدادات!$A$7:$A$35,0))&amp;"",""))</f>
        <v/>
      </c>
      <c r="P1179" s="20">
        <f>IF(A1179="","",INDEX(الإعدادات!$H$7:$H$18,MONTH(A1179)))</f>
        <v/>
      </c>
      <c r="Q1179" s="20">
        <f>IF(A1179="","",INDEX(الإعدادات!$I$7:$I$18,MONTH(A1179)))</f>
        <v/>
      </c>
      <c r="R1179" s="20">
        <f>IF(A1179="","",IF(MONTH(A1179)&gt;=8,YEAR(A1179)&amp;"-"&amp;(YEAR(A1179)+1),(YEAR(A1179)-1)&amp;"-"&amp;YEAR(A1179)))</f>
        <v/>
      </c>
      <c r="S1179" s="20">
        <f>IF(OR(A1179="",B1179=""),0,IF(AND(R1179=التقارير!$C$4,OR(التقارير!$C$5="سنوي",AND(التقارير!$C$5="شهري",P1179=التقارير!$C$6),AND(التقارير!$C$5="فصلي",Q1179=التقارير!$C$7))),1,0))</f>
        <v/>
      </c>
      <c r="T1179" s="20">
        <f>IF(S1179=1,COUNTIF($S$5:S1179,1),"")</f>
        <v/>
      </c>
      <c r="U1179">
        <f>IF(AND($A1179&lt;&gt;"",$B1179&lt;&gt;"",$R1179='تقرير الفصل الأول'!$C$4,$Q1179='تقرير الفصل الأول'!$C$7),COUNT(U$4:U1178)+1,"")</f>
        <v/>
      </c>
      <c r="V1179">
        <f>IF(AND($A1179&lt;&gt;"",$B1179&lt;&gt;"",$R1179='تقرير الفصل الثاني'!$C$4,$Q1179='تقرير الفصل الثاني'!$C$7),COUNT(V$4:V1178)+1,"")</f>
        <v/>
      </c>
      <c r="W1179">
        <f>IF(AND($A1179&lt;&gt;"",$B1179&lt;&gt;"",$R1179='تقرير سبتمبر'!$C$4,$P1179='تقرير سبتمبر'!$C$6),COUNT(W$4:W1178)+1,"")</f>
        <v/>
      </c>
      <c r="X1179">
        <f>IF(AND($A1179&lt;&gt;"",$B1179&lt;&gt;"",$R1179='تقرير أكتوبر'!$C$4,$P1179='تقرير أكتوبر'!$C$6),COUNT(X$4:X1178)+1,"")</f>
        <v/>
      </c>
      <c r="Y1179">
        <f>IF(AND($A1179&lt;&gt;"",$B1179&lt;&gt;"",$R1179='تقرير نوفمبر'!$C$4,$P1179='تقرير نوفمبر'!$C$6),COUNT(Y$4:Y1178)+1,"")</f>
        <v/>
      </c>
      <c r="Z1179">
        <f>IF(AND($A1179&lt;&gt;"",$B1179&lt;&gt;"",$R1179='تقرير ديسمبر'!$C$4,$P1179='تقرير ديسمبر'!$C$6),COUNT(Z$4:Z1178)+1,"")</f>
        <v/>
      </c>
      <c r="AA1179">
        <f>IF(AND($A1179&lt;&gt;"",$B1179&lt;&gt;"",$R1179='تقرير يناير'!$C$4,$P1179='تقرير يناير'!$C$6),COUNT(AA$4:AA1178)+1,"")</f>
        <v/>
      </c>
      <c r="AB1179">
        <f>IF(AND($A1179&lt;&gt;"",$B1179&lt;&gt;"",$R1179='تقرير فبراير'!$C$4,$P1179='تقرير فبراير'!$C$6),COUNT(AB$4:AB1178)+1,"")</f>
        <v/>
      </c>
      <c r="AC1179">
        <f>IF(AND($A1179&lt;&gt;"",$B1179&lt;&gt;"",$R1179='تقرير مارس'!$C$4,$P1179='تقرير مارس'!$C$6),COUNT(AC$4:AC1178)+1,"")</f>
        <v/>
      </c>
      <c r="AD1179">
        <f>IF(AND($A1179&lt;&gt;"",$B1179&lt;&gt;"",$R1179='تقرير أبريل'!$C$4,$P1179='تقرير أبريل'!$C$6),COUNT(AD$4:AD1178)+1,"")</f>
        <v/>
      </c>
      <c r="AE1179">
        <f>IF(AND($A1179&lt;&gt;"",$B1179&lt;&gt;"",$R1179='تقرير مايو'!$C$4,$P1179='تقرير مايو'!$C$6),COUNT(AE$4:AE1178)+1,"")</f>
        <v/>
      </c>
    </row>
    <row r="1180">
      <c r="A1180" s="16" t="n"/>
      <c r="B1180" s="17" t="n"/>
      <c r="C1180" s="17" t="n"/>
      <c r="D1180" s="18" t="n"/>
      <c r="E1180" s="17" t="n"/>
      <c r="F1180" s="17" t="n"/>
      <c r="G1180" s="19" t="n"/>
      <c r="H1180" s="17" t="n"/>
      <c r="I1180" s="17" t="n"/>
      <c r="J1180" s="17" t="n"/>
      <c r="K1180" s="20">
        <f>IF($B1180="","",IFERROR(INDEX(الموظفات!$A$5:$A$304,MATCH($B1180,الموظفات!$B$5:$B$304,0))&amp;"",""))</f>
        <v/>
      </c>
      <c r="L1180" s="21">
        <f>IF($B1180="","",IFERROR(INDEX(الموظفات!$C$5:$C$304,MATCH($B1180,الموظفات!$B$5:$B$304,0))&amp;"",""))</f>
        <v/>
      </c>
      <c r="M1180" s="20">
        <f>IF($B1180="","",IFERROR(INDEX(الموظفات!$D$5:$D$304,MATCH($B1180,الموظفات!$B$5:$B$304,0))&amp;"",""))</f>
        <v/>
      </c>
      <c r="N1180" s="20">
        <f>IF($B1180="","",IFERROR(INDEX(الموظفات!$E$5:$E$304,MATCH($B1180,الموظفات!$B$5:$B$304,0))&amp;"",""))</f>
        <v/>
      </c>
      <c r="O1180" s="21">
        <f>IF(C1180="","",IFERROR(INDEX(الإعدادات!$D$7:$D$35,MATCH(C1180,الإعدادات!$A$7:$A$35,0))&amp;"",""))</f>
        <v/>
      </c>
      <c r="P1180" s="20">
        <f>IF(A1180="","",INDEX(الإعدادات!$H$7:$H$18,MONTH(A1180)))</f>
        <v/>
      </c>
      <c r="Q1180" s="20">
        <f>IF(A1180="","",INDEX(الإعدادات!$I$7:$I$18,MONTH(A1180)))</f>
        <v/>
      </c>
      <c r="R1180" s="20">
        <f>IF(A1180="","",IF(MONTH(A1180)&gt;=8,YEAR(A1180)&amp;"-"&amp;(YEAR(A1180)+1),(YEAR(A1180)-1)&amp;"-"&amp;YEAR(A1180)))</f>
        <v/>
      </c>
      <c r="S1180" s="20">
        <f>IF(OR(A1180="",B1180=""),0,IF(AND(R1180=التقارير!$C$4,OR(التقارير!$C$5="سنوي",AND(التقارير!$C$5="شهري",P1180=التقارير!$C$6),AND(التقارير!$C$5="فصلي",Q1180=التقارير!$C$7))),1,0))</f>
        <v/>
      </c>
      <c r="T1180" s="20">
        <f>IF(S1180=1,COUNTIF($S$5:S1180,1),"")</f>
        <v/>
      </c>
      <c r="U1180">
        <f>IF(AND($A1180&lt;&gt;"",$B1180&lt;&gt;"",$R1180='تقرير الفصل الأول'!$C$4,$Q1180='تقرير الفصل الأول'!$C$7),COUNT(U$4:U1179)+1,"")</f>
        <v/>
      </c>
      <c r="V1180">
        <f>IF(AND($A1180&lt;&gt;"",$B1180&lt;&gt;"",$R1180='تقرير الفصل الثاني'!$C$4,$Q1180='تقرير الفصل الثاني'!$C$7),COUNT(V$4:V1179)+1,"")</f>
        <v/>
      </c>
      <c r="W1180">
        <f>IF(AND($A1180&lt;&gt;"",$B1180&lt;&gt;"",$R1180='تقرير سبتمبر'!$C$4,$P1180='تقرير سبتمبر'!$C$6),COUNT(W$4:W1179)+1,"")</f>
        <v/>
      </c>
      <c r="X1180">
        <f>IF(AND($A1180&lt;&gt;"",$B1180&lt;&gt;"",$R1180='تقرير أكتوبر'!$C$4,$P1180='تقرير أكتوبر'!$C$6),COUNT(X$4:X1179)+1,"")</f>
        <v/>
      </c>
      <c r="Y1180">
        <f>IF(AND($A1180&lt;&gt;"",$B1180&lt;&gt;"",$R1180='تقرير نوفمبر'!$C$4,$P1180='تقرير نوفمبر'!$C$6),COUNT(Y$4:Y1179)+1,"")</f>
        <v/>
      </c>
      <c r="Z1180">
        <f>IF(AND($A1180&lt;&gt;"",$B1180&lt;&gt;"",$R1180='تقرير ديسمبر'!$C$4,$P1180='تقرير ديسمبر'!$C$6),COUNT(Z$4:Z1179)+1,"")</f>
        <v/>
      </c>
      <c r="AA1180">
        <f>IF(AND($A1180&lt;&gt;"",$B1180&lt;&gt;"",$R1180='تقرير يناير'!$C$4,$P1180='تقرير يناير'!$C$6),COUNT(AA$4:AA1179)+1,"")</f>
        <v/>
      </c>
      <c r="AB1180">
        <f>IF(AND($A1180&lt;&gt;"",$B1180&lt;&gt;"",$R1180='تقرير فبراير'!$C$4,$P1180='تقرير فبراير'!$C$6),COUNT(AB$4:AB1179)+1,"")</f>
        <v/>
      </c>
      <c r="AC1180">
        <f>IF(AND($A1180&lt;&gt;"",$B1180&lt;&gt;"",$R1180='تقرير مارس'!$C$4,$P1180='تقرير مارس'!$C$6),COUNT(AC$4:AC1179)+1,"")</f>
        <v/>
      </c>
      <c r="AD1180">
        <f>IF(AND($A1180&lt;&gt;"",$B1180&lt;&gt;"",$R1180='تقرير أبريل'!$C$4,$P1180='تقرير أبريل'!$C$6),COUNT(AD$4:AD1179)+1,"")</f>
        <v/>
      </c>
      <c r="AE1180">
        <f>IF(AND($A1180&lt;&gt;"",$B1180&lt;&gt;"",$R1180='تقرير مايو'!$C$4,$P1180='تقرير مايو'!$C$6),COUNT(AE$4:AE1179)+1,"")</f>
        <v/>
      </c>
    </row>
    <row r="1181">
      <c r="A1181" s="16" t="n"/>
      <c r="B1181" s="17" t="n"/>
      <c r="C1181" s="17" t="n"/>
      <c r="D1181" s="18" t="n"/>
      <c r="E1181" s="17" t="n"/>
      <c r="F1181" s="17" t="n"/>
      <c r="G1181" s="19" t="n"/>
      <c r="H1181" s="17" t="n"/>
      <c r="I1181" s="17" t="n"/>
      <c r="J1181" s="17" t="n"/>
      <c r="K1181" s="20">
        <f>IF($B1181="","",IFERROR(INDEX(الموظفات!$A$5:$A$304,MATCH($B1181,الموظفات!$B$5:$B$304,0))&amp;"",""))</f>
        <v/>
      </c>
      <c r="L1181" s="21">
        <f>IF($B1181="","",IFERROR(INDEX(الموظفات!$C$5:$C$304,MATCH($B1181,الموظفات!$B$5:$B$304,0))&amp;"",""))</f>
        <v/>
      </c>
      <c r="M1181" s="20">
        <f>IF($B1181="","",IFERROR(INDEX(الموظفات!$D$5:$D$304,MATCH($B1181,الموظفات!$B$5:$B$304,0))&amp;"",""))</f>
        <v/>
      </c>
      <c r="N1181" s="20">
        <f>IF($B1181="","",IFERROR(INDEX(الموظفات!$E$5:$E$304,MATCH($B1181,الموظفات!$B$5:$B$304,0))&amp;"",""))</f>
        <v/>
      </c>
      <c r="O1181" s="21">
        <f>IF(C1181="","",IFERROR(INDEX(الإعدادات!$D$7:$D$35,MATCH(C1181,الإعدادات!$A$7:$A$35,0))&amp;"",""))</f>
        <v/>
      </c>
      <c r="P1181" s="20">
        <f>IF(A1181="","",INDEX(الإعدادات!$H$7:$H$18,MONTH(A1181)))</f>
        <v/>
      </c>
      <c r="Q1181" s="20">
        <f>IF(A1181="","",INDEX(الإعدادات!$I$7:$I$18,MONTH(A1181)))</f>
        <v/>
      </c>
      <c r="R1181" s="20">
        <f>IF(A1181="","",IF(MONTH(A1181)&gt;=8,YEAR(A1181)&amp;"-"&amp;(YEAR(A1181)+1),(YEAR(A1181)-1)&amp;"-"&amp;YEAR(A1181)))</f>
        <v/>
      </c>
      <c r="S1181" s="20">
        <f>IF(OR(A1181="",B1181=""),0,IF(AND(R1181=التقارير!$C$4,OR(التقارير!$C$5="سنوي",AND(التقارير!$C$5="شهري",P1181=التقارير!$C$6),AND(التقارير!$C$5="فصلي",Q1181=التقارير!$C$7))),1,0))</f>
        <v/>
      </c>
      <c r="T1181" s="20">
        <f>IF(S1181=1,COUNTIF($S$5:S1181,1),"")</f>
        <v/>
      </c>
      <c r="U1181">
        <f>IF(AND($A1181&lt;&gt;"",$B1181&lt;&gt;"",$R1181='تقرير الفصل الأول'!$C$4,$Q1181='تقرير الفصل الأول'!$C$7),COUNT(U$4:U1180)+1,"")</f>
        <v/>
      </c>
      <c r="V1181">
        <f>IF(AND($A1181&lt;&gt;"",$B1181&lt;&gt;"",$R1181='تقرير الفصل الثاني'!$C$4,$Q1181='تقرير الفصل الثاني'!$C$7),COUNT(V$4:V1180)+1,"")</f>
        <v/>
      </c>
      <c r="W1181">
        <f>IF(AND($A1181&lt;&gt;"",$B1181&lt;&gt;"",$R1181='تقرير سبتمبر'!$C$4,$P1181='تقرير سبتمبر'!$C$6),COUNT(W$4:W1180)+1,"")</f>
        <v/>
      </c>
      <c r="X1181">
        <f>IF(AND($A1181&lt;&gt;"",$B1181&lt;&gt;"",$R1181='تقرير أكتوبر'!$C$4,$P1181='تقرير أكتوبر'!$C$6),COUNT(X$4:X1180)+1,"")</f>
        <v/>
      </c>
      <c r="Y1181">
        <f>IF(AND($A1181&lt;&gt;"",$B1181&lt;&gt;"",$R1181='تقرير نوفمبر'!$C$4,$P1181='تقرير نوفمبر'!$C$6),COUNT(Y$4:Y1180)+1,"")</f>
        <v/>
      </c>
      <c r="Z1181">
        <f>IF(AND($A1181&lt;&gt;"",$B1181&lt;&gt;"",$R1181='تقرير ديسمبر'!$C$4,$P1181='تقرير ديسمبر'!$C$6),COUNT(Z$4:Z1180)+1,"")</f>
        <v/>
      </c>
      <c r="AA1181">
        <f>IF(AND($A1181&lt;&gt;"",$B1181&lt;&gt;"",$R1181='تقرير يناير'!$C$4,$P1181='تقرير يناير'!$C$6),COUNT(AA$4:AA1180)+1,"")</f>
        <v/>
      </c>
      <c r="AB1181">
        <f>IF(AND($A1181&lt;&gt;"",$B1181&lt;&gt;"",$R1181='تقرير فبراير'!$C$4,$P1181='تقرير فبراير'!$C$6),COUNT(AB$4:AB1180)+1,"")</f>
        <v/>
      </c>
      <c r="AC1181">
        <f>IF(AND($A1181&lt;&gt;"",$B1181&lt;&gt;"",$R1181='تقرير مارس'!$C$4,$P1181='تقرير مارس'!$C$6),COUNT(AC$4:AC1180)+1,"")</f>
        <v/>
      </c>
      <c r="AD1181">
        <f>IF(AND($A1181&lt;&gt;"",$B1181&lt;&gt;"",$R1181='تقرير أبريل'!$C$4,$P1181='تقرير أبريل'!$C$6),COUNT(AD$4:AD1180)+1,"")</f>
        <v/>
      </c>
      <c r="AE1181">
        <f>IF(AND($A1181&lt;&gt;"",$B1181&lt;&gt;"",$R1181='تقرير مايو'!$C$4,$P1181='تقرير مايو'!$C$6),COUNT(AE$4:AE1180)+1,"")</f>
        <v/>
      </c>
    </row>
    <row r="1182">
      <c r="A1182" s="16" t="n"/>
      <c r="B1182" s="17" t="n"/>
      <c r="C1182" s="17" t="n"/>
      <c r="D1182" s="18" t="n"/>
      <c r="E1182" s="17" t="n"/>
      <c r="F1182" s="17" t="n"/>
      <c r="G1182" s="19" t="n"/>
      <c r="H1182" s="17" t="n"/>
      <c r="I1182" s="17" t="n"/>
      <c r="J1182" s="17" t="n"/>
      <c r="K1182" s="20">
        <f>IF($B1182="","",IFERROR(INDEX(الموظفات!$A$5:$A$304,MATCH($B1182,الموظفات!$B$5:$B$304,0))&amp;"",""))</f>
        <v/>
      </c>
      <c r="L1182" s="21">
        <f>IF($B1182="","",IFERROR(INDEX(الموظفات!$C$5:$C$304,MATCH($B1182,الموظفات!$B$5:$B$304,0))&amp;"",""))</f>
        <v/>
      </c>
      <c r="M1182" s="20">
        <f>IF($B1182="","",IFERROR(INDEX(الموظفات!$D$5:$D$304,MATCH($B1182,الموظفات!$B$5:$B$304,0))&amp;"",""))</f>
        <v/>
      </c>
      <c r="N1182" s="20">
        <f>IF($B1182="","",IFERROR(INDEX(الموظفات!$E$5:$E$304,MATCH($B1182,الموظفات!$B$5:$B$304,0))&amp;"",""))</f>
        <v/>
      </c>
      <c r="O1182" s="21">
        <f>IF(C1182="","",IFERROR(INDEX(الإعدادات!$D$7:$D$35,MATCH(C1182,الإعدادات!$A$7:$A$35,0))&amp;"",""))</f>
        <v/>
      </c>
      <c r="P1182" s="20">
        <f>IF(A1182="","",INDEX(الإعدادات!$H$7:$H$18,MONTH(A1182)))</f>
        <v/>
      </c>
      <c r="Q1182" s="20">
        <f>IF(A1182="","",INDEX(الإعدادات!$I$7:$I$18,MONTH(A1182)))</f>
        <v/>
      </c>
      <c r="R1182" s="20">
        <f>IF(A1182="","",IF(MONTH(A1182)&gt;=8,YEAR(A1182)&amp;"-"&amp;(YEAR(A1182)+1),(YEAR(A1182)-1)&amp;"-"&amp;YEAR(A1182)))</f>
        <v/>
      </c>
      <c r="S1182" s="20">
        <f>IF(OR(A1182="",B1182=""),0,IF(AND(R1182=التقارير!$C$4,OR(التقارير!$C$5="سنوي",AND(التقارير!$C$5="شهري",P1182=التقارير!$C$6),AND(التقارير!$C$5="فصلي",Q1182=التقارير!$C$7))),1,0))</f>
        <v/>
      </c>
      <c r="T1182" s="20">
        <f>IF(S1182=1,COUNTIF($S$5:S1182,1),"")</f>
        <v/>
      </c>
      <c r="U1182">
        <f>IF(AND($A1182&lt;&gt;"",$B1182&lt;&gt;"",$R1182='تقرير الفصل الأول'!$C$4,$Q1182='تقرير الفصل الأول'!$C$7),COUNT(U$4:U1181)+1,"")</f>
        <v/>
      </c>
      <c r="V1182">
        <f>IF(AND($A1182&lt;&gt;"",$B1182&lt;&gt;"",$R1182='تقرير الفصل الثاني'!$C$4,$Q1182='تقرير الفصل الثاني'!$C$7),COUNT(V$4:V1181)+1,"")</f>
        <v/>
      </c>
      <c r="W1182">
        <f>IF(AND($A1182&lt;&gt;"",$B1182&lt;&gt;"",$R1182='تقرير سبتمبر'!$C$4,$P1182='تقرير سبتمبر'!$C$6),COUNT(W$4:W1181)+1,"")</f>
        <v/>
      </c>
      <c r="X1182">
        <f>IF(AND($A1182&lt;&gt;"",$B1182&lt;&gt;"",$R1182='تقرير أكتوبر'!$C$4,$P1182='تقرير أكتوبر'!$C$6),COUNT(X$4:X1181)+1,"")</f>
        <v/>
      </c>
      <c r="Y1182">
        <f>IF(AND($A1182&lt;&gt;"",$B1182&lt;&gt;"",$R1182='تقرير نوفمبر'!$C$4,$P1182='تقرير نوفمبر'!$C$6),COUNT(Y$4:Y1181)+1,"")</f>
        <v/>
      </c>
      <c r="Z1182">
        <f>IF(AND($A1182&lt;&gt;"",$B1182&lt;&gt;"",$R1182='تقرير ديسمبر'!$C$4,$P1182='تقرير ديسمبر'!$C$6),COUNT(Z$4:Z1181)+1,"")</f>
        <v/>
      </c>
      <c r="AA1182">
        <f>IF(AND($A1182&lt;&gt;"",$B1182&lt;&gt;"",$R1182='تقرير يناير'!$C$4,$P1182='تقرير يناير'!$C$6),COUNT(AA$4:AA1181)+1,"")</f>
        <v/>
      </c>
      <c r="AB1182">
        <f>IF(AND($A1182&lt;&gt;"",$B1182&lt;&gt;"",$R1182='تقرير فبراير'!$C$4,$P1182='تقرير فبراير'!$C$6),COUNT(AB$4:AB1181)+1,"")</f>
        <v/>
      </c>
      <c r="AC1182">
        <f>IF(AND($A1182&lt;&gt;"",$B1182&lt;&gt;"",$R1182='تقرير مارس'!$C$4,$P1182='تقرير مارس'!$C$6),COUNT(AC$4:AC1181)+1,"")</f>
        <v/>
      </c>
      <c r="AD1182">
        <f>IF(AND($A1182&lt;&gt;"",$B1182&lt;&gt;"",$R1182='تقرير أبريل'!$C$4,$P1182='تقرير أبريل'!$C$6),COUNT(AD$4:AD1181)+1,"")</f>
        <v/>
      </c>
      <c r="AE1182">
        <f>IF(AND($A1182&lt;&gt;"",$B1182&lt;&gt;"",$R1182='تقرير مايو'!$C$4,$P1182='تقرير مايو'!$C$6),COUNT(AE$4:AE1181)+1,"")</f>
        <v/>
      </c>
    </row>
    <row r="1183">
      <c r="A1183" s="16" t="n"/>
      <c r="B1183" s="17" t="n"/>
      <c r="C1183" s="17" t="n"/>
      <c r="D1183" s="18" t="n"/>
      <c r="E1183" s="17" t="n"/>
      <c r="F1183" s="17" t="n"/>
      <c r="G1183" s="19" t="n"/>
      <c r="H1183" s="17" t="n"/>
      <c r="I1183" s="17" t="n"/>
      <c r="J1183" s="17" t="n"/>
      <c r="K1183" s="20">
        <f>IF($B1183="","",IFERROR(INDEX(الموظفات!$A$5:$A$304,MATCH($B1183,الموظفات!$B$5:$B$304,0))&amp;"",""))</f>
        <v/>
      </c>
      <c r="L1183" s="21">
        <f>IF($B1183="","",IFERROR(INDEX(الموظفات!$C$5:$C$304,MATCH($B1183,الموظفات!$B$5:$B$304,0))&amp;"",""))</f>
        <v/>
      </c>
      <c r="M1183" s="20">
        <f>IF($B1183="","",IFERROR(INDEX(الموظفات!$D$5:$D$304,MATCH($B1183,الموظفات!$B$5:$B$304,0))&amp;"",""))</f>
        <v/>
      </c>
      <c r="N1183" s="20">
        <f>IF($B1183="","",IFERROR(INDEX(الموظفات!$E$5:$E$304,MATCH($B1183,الموظفات!$B$5:$B$304,0))&amp;"",""))</f>
        <v/>
      </c>
      <c r="O1183" s="21">
        <f>IF(C1183="","",IFERROR(INDEX(الإعدادات!$D$7:$D$35,MATCH(C1183,الإعدادات!$A$7:$A$35,0))&amp;"",""))</f>
        <v/>
      </c>
      <c r="P1183" s="20">
        <f>IF(A1183="","",INDEX(الإعدادات!$H$7:$H$18,MONTH(A1183)))</f>
        <v/>
      </c>
      <c r="Q1183" s="20">
        <f>IF(A1183="","",INDEX(الإعدادات!$I$7:$I$18,MONTH(A1183)))</f>
        <v/>
      </c>
      <c r="R1183" s="20">
        <f>IF(A1183="","",IF(MONTH(A1183)&gt;=8,YEAR(A1183)&amp;"-"&amp;(YEAR(A1183)+1),(YEAR(A1183)-1)&amp;"-"&amp;YEAR(A1183)))</f>
        <v/>
      </c>
      <c r="S1183" s="20">
        <f>IF(OR(A1183="",B1183=""),0,IF(AND(R1183=التقارير!$C$4,OR(التقارير!$C$5="سنوي",AND(التقارير!$C$5="شهري",P1183=التقارير!$C$6),AND(التقارير!$C$5="فصلي",Q1183=التقارير!$C$7))),1,0))</f>
        <v/>
      </c>
      <c r="T1183" s="20">
        <f>IF(S1183=1,COUNTIF($S$5:S1183,1),"")</f>
        <v/>
      </c>
      <c r="U1183">
        <f>IF(AND($A1183&lt;&gt;"",$B1183&lt;&gt;"",$R1183='تقرير الفصل الأول'!$C$4,$Q1183='تقرير الفصل الأول'!$C$7),COUNT(U$4:U1182)+1,"")</f>
        <v/>
      </c>
      <c r="V1183">
        <f>IF(AND($A1183&lt;&gt;"",$B1183&lt;&gt;"",$R1183='تقرير الفصل الثاني'!$C$4,$Q1183='تقرير الفصل الثاني'!$C$7),COUNT(V$4:V1182)+1,"")</f>
        <v/>
      </c>
      <c r="W1183">
        <f>IF(AND($A1183&lt;&gt;"",$B1183&lt;&gt;"",$R1183='تقرير سبتمبر'!$C$4,$P1183='تقرير سبتمبر'!$C$6),COUNT(W$4:W1182)+1,"")</f>
        <v/>
      </c>
      <c r="X1183">
        <f>IF(AND($A1183&lt;&gt;"",$B1183&lt;&gt;"",$R1183='تقرير أكتوبر'!$C$4,$P1183='تقرير أكتوبر'!$C$6),COUNT(X$4:X1182)+1,"")</f>
        <v/>
      </c>
      <c r="Y1183">
        <f>IF(AND($A1183&lt;&gt;"",$B1183&lt;&gt;"",$R1183='تقرير نوفمبر'!$C$4,$P1183='تقرير نوفمبر'!$C$6),COUNT(Y$4:Y1182)+1,"")</f>
        <v/>
      </c>
      <c r="Z1183">
        <f>IF(AND($A1183&lt;&gt;"",$B1183&lt;&gt;"",$R1183='تقرير ديسمبر'!$C$4,$P1183='تقرير ديسمبر'!$C$6),COUNT(Z$4:Z1182)+1,"")</f>
        <v/>
      </c>
      <c r="AA1183">
        <f>IF(AND($A1183&lt;&gt;"",$B1183&lt;&gt;"",$R1183='تقرير يناير'!$C$4,$P1183='تقرير يناير'!$C$6),COUNT(AA$4:AA1182)+1,"")</f>
        <v/>
      </c>
      <c r="AB1183">
        <f>IF(AND($A1183&lt;&gt;"",$B1183&lt;&gt;"",$R1183='تقرير فبراير'!$C$4,$P1183='تقرير فبراير'!$C$6),COUNT(AB$4:AB1182)+1,"")</f>
        <v/>
      </c>
      <c r="AC1183">
        <f>IF(AND($A1183&lt;&gt;"",$B1183&lt;&gt;"",$R1183='تقرير مارس'!$C$4,$P1183='تقرير مارس'!$C$6),COUNT(AC$4:AC1182)+1,"")</f>
        <v/>
      </c>
      <c r="AD1183">
        <f>IF(AND($A1183&lt;&gt;"",$B1183&lt;&gt;"",$R1183='تقرير أبريل'!$C$4,$P1183='تقرير أبريل'!$C$6),COUNT(AD$4:AD1182)+1,"")</f>
        <v/>
      </c>
      <c r="AE1183">
        <f>IF(AND($A1183&lt;&gt;"",$B1183&lt;&gt;"",$R1183='تقرير مايو'!$C$4,$P1183='تقرير مايو'!$C$6),COUNT(AE$4:AE1182)+1,"")</f>
        <v/>
      </c>
    </row>
    <row r="1184">
      <c r="A1184" s="16" t="n"/>
      <c r="B1184" s="17" t="n"/>
      <c r="C1184" s="17" t="n"/>
      <c r="D1184" s="18" t="n"/>
      <c r="E1184" s="17" t="n"/>
      <c r="F1184" s="17" t="n"/>
      <c r="G1184" s="19" t="n"/>
      <c r="H1184" s="17" t="n"/>
      <c r="I1184" s="17" t="n"/>
      <c r="J1184" s="17" t="n"/>
      <c r="K1184" s="20">
        <f>IF($B1184="","",IFERROR(INDEX(الموظفات!$A$5:$A$304,MATCH($B1184,الموظفات!$B$5:$B$304,0))&amp;"",""))</f>
        <v/>
      </c>
      <c r="L1184" s="21">
        <f>IF($B1184="","",IFERROR(INDEX(الموظفات!$C$5:$C$304,MATCH($B1184,الموظفات!$B$5:$B$304,0))&amp;"",""))</f>
        <v/>
      </c>
      <c r="M1184" s="20">
        <f>IF($B1184="","",IFERROR(INDEX(الموظفات!$D$5:$D$304,MATCH($B1184,الموظفات!$B$5:$B$304,0))&amp;"",""))</f>
        <v/>
      </c>
      <c r="N1184" s="20">
        <f>IF($B1184="","",IFERROR(INDEX(الموظفات!$E$5:$E$304,MATCH($B1184,الموظفات!$B$5:$B$304,0))&amp;"",""))</f>
        <v/>
      </c>
      <c r="O1184" s="21">
        <f>IF(C1184="","",IFERROR(INDEX(الإعدادات!$D$7:$D$35,MATCH(C1184,الإعدادات!$A$7:$A$35,0))&amp;"",""))</f>
        <v/>
      </c>
      <c r="P1184" s="20">
        <f>IF(A1184="","",INDEX(الإعدادات!$H$7:$H$18,MONTH(A1184)))</f>
        <v/>
      </c>
      <c r="Q1184" s="20">
        <f>IF(A1184="","",INDEX(الإعدادات!$I$7:$I$18,MONTH(A1184)))</f>
        <v/>
      </c>
      <c r="R1184" s="20">
        <f>IF(A1184="","",IF(MONTH(A1184)&gt;=8,YEAR(A1184)&amp;"-"&amp;(YEAR(A1184)+1),(YEAR(A1184)-1)&amp;"-"&amp;YEAR(A1184)))</f>
        <v/>
      </c>
      <c r="S1184" s="20">
        <f>IF(OR(A1184="",B1184=""),0,IF(AND(R1184=التقارير!$C$4,OR(التقارير!$C$5="سنوي",AND(التقارير!$C$5="شهري",P1184=التقارير!$C$6),AND(التقارير!$C$5="فصلي",Q1184=التقارير!$C$7))),1,0))</f>
        <v/>
      </c>
      <c r="T1184" s="20">
        <f>IF(S1184=1,COUNTIF($S$5:S1184,1),"")</f>
        <v/>
      </c>
      <c r="U1184">
        <f>IF(AND($A1184&lt;&gt;"",$B1184&lt;&gt;"",$R1184='تقرير الفصل الأول'!$C$4,$Q1184='تقرير الفصل الأول'!$C$7),COUNT(U$4:U1183)+1,"")</f>
        <v/>
      </c>
      <c r="V1184">
        <f>IF(AND($A1184&lt;&gt;"",$B1184&lt;&gt;"",$R1184='تقرير الفصل الثاني'!$C$4,$Q1184='تقرير الفصل الثاني'!$C$7),COUNT(V$4:V1183)+1,"")</f>
        <v/>
      </c>
      <c r="W1184">
        <f>IF(AND($A1184&lt;&gt;"",$B1184&lt;&gt;"",$R1184='تقرير سبتمبر'!$C$4,$P1184='تقرير سبتمبر'!$C$6),COUNT(W$4:W1183)+1,"")</f>
        <v/>
      </c>
      <c r="X1184">
        <f>IF(AND($A1184&lt;&gt;"",$B1184&lt;&gt;"",$R1184='تقرير أكتوبر'!$C$4,$P1184='تقرير أكتوبر'!$C$6),COUNT(X$4:X1183)+1,"")</f>
        <v/>
      </c>
      <c r="Y1184">
        <f>IF(AND($A1184&lt;&gt;"",$B1184&lt;&gt;"",$R1184='تقرير نوفمبر'!$C$4,$P1184='تقرير نوفمبر'!$C$6),COUNT(Y$4:Y1183)+1,"")</f>
        <v/>
      </c>
      <c r="Z1184">
        <f>IF(AND($A1184&lt;&gt;"",$B1184&lt;&gt;"",$R1184='تقرير ديسمبر'!$C$4,$P1184='تقرير ديسمبر'!$C$6),COUNT(Z$4:Z1183)+1,"")</f>
        <v/>
      </c>
      <c r="AA1184">
        <f>IF(AND($A1184&lt;&gt;"",$B1184&lt;&gt;"",$R1184='تقرير يناير'!$C$4,$P1184='تقرير يناير'!$C$6),COUNT(AA$4:AA1183)+1,"")</f>
        <v/>
      </c>
      <c r="AB1184">
        <f>IF(AND($A1184&lt;&gt;"",$B1184&lt;&gt;"",$R1184='تقرير فبراير'!$C$4,$P1184='تقرير فبراير'!$C$6),COUNT(AB$4:AB1183)+1,"")</f>
        <v/>
      </c>
      <c r="AC1184">
        <f>IF(AND($A1184&lt;&gt;"",$B1184&lt;&gt;"",$R1184='تقرير مارس'!$C$4,$P1184='تقرير مارس'!$C$6),COUNT(AC$4:AC1183)+1,"")</f>
        <v/>
      </c>
      <c r="AD1184">
        <f>IF(AND($A1184&lt;&gt;"",$B1184&lt;&gt;"",$R1184='تقرير أبريل'!$C$4,$P1184='تقرير أبريل'!$C$6),COUNT(AD$4:AD1183)+1,"")</f>
        <v/>
      </c>
      <c r="AE1184">
        <f>IF(AND($A1184&lt;&gt;"",$B1184&lt;&gt;"",$R1184='تقرير مايو'!$C$4,$P1184='تقرير مايو'!$C$6),COUNT(AE$4:AE1183)+1,"")</f>
        <v/>
      </c>
    </row>
    <row r="1185">
      <c r="A1185" s="16" t="n"/>
      <c r="B1185" s="17" t="n"/>
      <c r="C1185" s="17" t="n"/>
      <c r="D1185" s="18" t="n"/>
      <c r="E1185" s="17" t="n"/>
      <c r="F1185" s="17" t="n"/>
      <c r="G1185" s="19" t="n"/>
      <c r="H1185" s="17" t="n"/>
      <c r="I1185" s="17" t="n"/>
      <c r="J1185" s="17" t="n"/>
      <c r="K1185" s="20">
        <f>IF($B1185="","",IFERROR(INDEX(الموظفات!$A$5:$A$304,MATCH($B1185,الموظفات!$B$5:$B$304,0))&amp;"",""))</f>
        <v/>
      </c>
      <c r="L1185" s="21">
        <f>IF($B1185="","",IFERROR(INDEX(الموظفات!$C$5:$C$304,MATCH($B1185,الموظفات!$B$5:$B$304,0))&amp;"",""))</f>
        <v/>
      </c>
      <c r="M1185" s="20">
        <f>IF($B1185="","",IFERROR(INDEX(الموظفات!$D$5:$D$304,MATCH($B1185,الموظفات!$B$5:$B$304,0))&amp;"",""))</f>
        <v/>
      </c>
      <c r="N1185" s="20">
        <f>IF($B1185="","",IFERROR(INDEX(الموظفات!$E$5:$E$304,MATCH($B1185,الموظفات!$B$5:$B$304,0))&amp;"",""))</f>
        <v/>
      </c>
      <c r="O1185" s="21">
        <f>IF(C1185="","",IFERROR(INDEX(الإعدادات!$D$7:$D$35,MATCH(C1185,الإعدادات!$A$7:$A$35,0))&amp;"",""))</f>
        <v/>
      </c>
      <c r="P1185" s="20">
        <f>IF(A1185="","",INDEX(الإعدادات!$H$7:$H$18,MONTH(A1185)))</f>
        <v/>
      </c>
      <c r="Q1185" s="20">
        <f>IF(A1185="","",INDEX(الإعدادات!$I$7:$I$18,MONTH(A1185)))</f>
        <v/>
      </c>
      <c r="R1185" s="20">
        <f>IF(A1185="","",IF(MONTH(A1185)&gt;=8,YEAR(A1185)&amp;"-"&amp;(YEAR(A1185)+1),(YEAR(A1185)-1)&amp;"-"&amp;YEAR(A1185)))</f>
        <v/>
      </c>
      <c r="S1185" s="20">
        <f>IF(OR(A1185="",B1185=""),0,IF(AND(R1185=التقارير!$C$4,OR(التقارير!$C$5="سنوي",AND(التقارير!$C$5="شهري",P1185=التقارير!$C$6),AND(التقارير!$C$5="فصلي",Q1185=التقارير!$C$7))),1,0))</f>
        <v/>
      </c>
      <c r="T1185" s="20">
        <f>IF(S1185=1,COUNTIF($S$5:S1185,1),"")</f>
        <v/>
      </c>
      <c r="U1185">
        <f>IF(AND($A1185&lt;&gt;"",$B1185&lt;&gt;"",$R1185='تقرير الفصل الأول'!$C$4,$Q1185='تقرير الفصل الأول'!$C$7),COUNT(U$4:U1184)+1,"")</f>
        <v/>
      </c>
      <c r="V1185">
        <f>IF(AND($A1185&lt;&gt;"",$B1185&lt;&gt;"",$R1185='تقرير الفصل الثاني'!$C$4,$Q1185='تقرير الفصل الثاني'!$C$7),COUNT(V$4:V1184)+1,"")</f>
        <v/>
      </c>
      <c r="W1185">
        <f>IF(AND($A1185&lt;&gt;"",$B1185&lt;&gt;"",$R1185='تقرير سبتمبر'!$C$4,$P1185='تقرير سبتمبر'!$C$6),COUNT(W$4:W1184)+1,"")</f>
        <v/>
      </c>
      <c r="X1185">
        <f>IF(AND($A1185&lt;&gt;"",$B1185&lt;&gt;"",$R1185='تقرير أكتوبر'!$C$4,$P1185='تقرير أكتوبر'!$C$6),COUNT(X$4:X1184)+1,"")</f>
        <v/>
      </c>
      <c r="Y1185">
        <f>IF(AND($A1185&lt;&gt;"",$B1185&lt;&gt;"",$R1185='تقرير نوفمبر'!$C$4,$P1185='تقرير نوفمبر'!$C$6),COUNT(Y$4:Y1184)+1,"")</f>
        <v/>
      </c>
      <c r="Z1185">
        <f>IF(AND($A1185&lt;&gt;"",$B1185&lt;&gt;"",$R1185='تقرير ديسمبر'!$C$4,$P1185='تقرير ديسمبر'!$C$6),COUNT(Z$4:Z1184)+1,"")</f>
        <v/>
      </c>
      <c r="AA1185">
        <f>IF(AND($A1185&lt;&gt;"",$B1185&lt;&gt;"",$R1185='تقرير يناير'!$C$4,$P1185='تقرير يناير'!$C$6),COUNT(AA$4:AA1184)+1,"")</f>
        <v/>
      </c>
      <c r="AB1185">
        <f>IF(AND($A1185&lt;&gt;"",$B1185&lt;&gt;"",$R1185='تقرير فبراير'!$C$4,$P1185='تقرير فبراير'!$C$6),COUNT(AB$4:AB1184)+1,"")</f>
        <v/>
      </c>
      <c r="AC1185">
        <f>IF(AND($A1185&lt;&gt;"",$B1185&lt;&gt;"",$R1185='تقرير مارس'!$C$4,$P1185='تقرير مارس'!$C$6),COUNT(AC$4:AC1184)+1,"")</f>
        <v/>
      </c>
      <c r="AD1185">
        <f>IF(AND($A1185&lt;&gt;"",$B1185&lt;&gt;"",$R1185='تقرير أبريل'!$C$4,$P1185='تقرير أبريل'!$C$6),COUNT(AD$4:AD1184)+1,"")</f>
        <v/>
      </c>
      <c r="AE1185">
        <f>IF(AND($A1185&lt;&gt;"",$B1185&lt;&gt;"",$R1185='تقرير مايو'!$C$4,$P1185='تقرير مايو'!$C$6),COUNT(AE$4:AE1184)+1,"")</f>
        <v/>
      </c>
    </row>
    <row r="1186">
      <c r="A1186" s="16" t="n"/>
      <c r="B1186" s="17" t="n"/>
      <c r="C1186" s="17" t="n"/>
      <c r="D1186" s="18" t="n"/>
      <c r="E1186" s="17" t="n"/>
      <c r="F1186" s="17" t="n"/>
      <c r="G1186" s="19" t="n"/>
      <c r="H1186" s="17" t="n"/>
      <c r="I1186" s="17" t="n"/>
      <c r="J1186" s="17" t="n"/>
      <c r="K1186" s="20">
        <f>IF($B1186="","",IFERROR(INDEX(الموظفات!$A$5:$A$304,MATCH($B1186,الموظفات!$B$5:$B$304,0))&amp;"",""))</f>
        <v/>
      </c>
      <c r="L1186" s="21">
        <f>IF($B1186="","",IFERROR(INDEX(الموظفات!$C$5:$C$304,MATCH($B1186,الموظفات!$B$5:$B$304,0))&amp;"",""))</f>
        <v/>
      </c>
      <c r="M1186" s="20">
        <f>IF($B1186="","",IFERROR(INDEX(الموظفات!$D$5:$D$304,MATCH($B1186,الموظفات!$B$5:$B$304,0))&amp;"",""))</f>
        <v/>
      </c>
      <c r="N1186" s="20">
        <f>IF($B1186="","",IFERROR(INDEX(الموظفات!$E$5:$E$304,MATCH($B1186,الموظفات!$B$5:$B$304,0))&amp;"",""))</f>
        <v/>
      </c>
      <c r="O1186" s="21">
        <f>IF(C1186="","",IFERROR(INDEX(الإعدادات!$D$7:$D$35,MATCH(C1186,الإعدادات!$A$7:$A$35,0))&amp;"",""))</f>
        <v/>
      </c>
      <c r="P1186" s="20">
        <f>IF(A1186="","",INDEX(الإعدادات!$H$7:$H$18,MONTH(A1186)))</f>
        <v/>
      </c>
      <c r="Q1186" s="20">
        <f>IF(A1186="","",INDEX(الإعدادات!$I$7:$I$18,MONTH(A1186)))</f>
        <v/>
      </c>
      <c r="R1186" s="20">
        <f>IF(A1186="","",IF(MONTH(A1186)&gt;=8,YEAR(A1186)&amp;"-"&amp;(YEAR(A1186)+1),(YEAR(A1186)-1)&amp;"-"&amp;YEAR(A1186)))</f>
        <v/>
      </c>
      <c r="S1186" s="20">
        <f>IF(OR(A1186="",B1186=""),0,IF(AND(R1186=التقارير!$C$4,OR(التقارير!$C$5="سنوي",AND(التقارير!$C$5="شهري",P1186=التقارير!$C$6),AND(التقارير!$C$5="فصلي",Q1186=التقارير!$C$7))),1,0))</f>
        <v/>
      </c>
      <c r="T1186" s="20">
        <f>IF(S1186=1,COUNTIF($S$5:S1186,1),"")</f>
        <v/>
      </c>
      <c r="U1186">
        <f>IF(AND($A1186&lt;&gt;"",$B1186&lt;&gt;"",$R1186='تقرير الفصل الأول'!$C$4,$Q1186='تقرير الفصل الأول'!$C$7),COUNT(U$4:U1185)+1,"")</f>
        <v/>
      </c>
      <c r="V1186">
        <f>IF(AND($A1186&lt;&gt;"",$B1186&lt;&gt;"",$R1186='تقرير الفصل الثاني'!$C$4,$Q1186='تقرير الفصل الثاني'!$C$7),COUNT(V$4:V1185)+1,"")</f>
        <v/>
      </c>
      <c r="W1186">
        <f>IF(AND($A1186&lt;&gt;"",$B1186&lt;&gt;"",$R1186='تقرير سبتمبر'!$C$4,$P1186='تقرير سبتمبر'!$C$6),COUNT(W$4:W1185)+1,"")</f>
        <v/>
      </c>
      <c r="X1186">
        <f>IF(AND($A1186&lt;&gt;"",$B1186&lt;&gt;"",$R1186='تقرير أكتوبر'!$C$4,$P1186='تقرير أكتوبر'!$C$6),COUNT(X$4:X1185)+1,"")</f>
        <v/>
      </c>
      <c r="Y1186">
        <f>IF(AND($A1186&lt;&gt;"",$B1186&lt;&gt;"",$R1186='تقرير نوفمبر'!$C$4,$P1186='تقرير نوفمبر'!$C$6),COUNT(Y$4:Y1185)+1,"")</f>
        <v/>
      </c>
      <c r="Z1186">
        <f>IF(AND($A1186&lt;&gt;"",$B1186&lt;&gt;"",$R1186='تقرير ديسمبر'!$C$4,$P1186='تقرير ديسمبر'!$C$6),COUNT(Z$4:Z1185)+1,"")</f>
        <v/>
      </c>
      <c r="AA1186">
        <f>IF(AND($A1186&lt;&gt;"",$B1186&lt;&gt;"",$R1186='تقرير يناير'!$C$4,$P1186='تقرير يناير'!$C$6),COUNT(AA$4:AA1185)+1,"")</f>
        <v/>
      </c>
      <c r="AB1186">
        <f>IF(AND($A1186&lt;&gt;"",$B1186&lt;&gt;"",$R1186='تقرير فبراير'!$C$4,$P1186='تقرير فبراير'!$C$6),COUNT(AB$4:AB1185)+1,"")</f>
        <v/>
      </c>
      <c r="AC1186">
        <f>IF(AND($A1186&lt;&gt;"",$B1186&lt;&gt;"",$R1186='تقرير مارس'!$C$4,$P1186='تقرير مارس'!$C$6),COUNT(AC$4:AC1185)+1,"")</f>
        <v/>
      </c>
      <c r="AD1186">
        <f>IF(AND($A1186&lt;&gt;"",$B1186&lt;&gt;"",$R1186='تقرير أبريل'!$C$4,$P1186='تقرير أبريل'!$C$6),COUNT(AD$4:AD1185)+1,"")</f>
        <v/>
      </c>
      <c r="AE1186">
        <f>IF(AND($A1186&lt;&gt;"",$B1186&lt;&gt;"",$R1186='تقرير مايو'!$C$4,$P1186='تقرير مايو'!$C$6),COUNT(AE$4:AE1185)+1,"")</f>
        <v/>
      </c>
    </row>
    <row r="1187">
      <c r="A1187" s="16" t="n"/>
      <c r="B1187" s="17" t="n"/>
      <c r="C1187" s="17" t="n"/>
      <c r="D1187" s="18" t="n"/>
      <c r="E1187" s="17" t="n"/>
      <c r="F1187" s="17" t="n"/>
      <c r="G1187" s="19" t="n"/>
      <c r="H1187" s="17" t="n"/>
      <c r="I1187" s="17" t="n"/>
      <c r="J1187" s="17" t="n"/>
      <c r="K1187" s="20">
        <f>IF($B1187="","",IFERROR(INDEX(الموظفات!$A$5:$A$304,MATCH($B1187,الموظفات!$B$5:$B$304,0))&amp;"",""))</f>
        <v/>
      </c>
      <c r="L1187" s="21">
        <f>IF($B1187="","",IFERROR(INDEX(الموظفات!$C$5:$C$304,MATCH($B1187,الموظفات!$B$5:$B$304,0))&amp;"",""))</f>
        <v/>
      </c>
      <c r="M1187" s="20">
        <f>IF($B1187="","",IFERROR(INDEX(الموظفات!$D$5:$D$304,MATCH($B1187,الموظفات!$B$5:$B$304,0))&amp;"",""))</f>
        <v/>
      </c>
      <c r="N1187" s="20">
        <f>IF($B1187="","",IFERROR(INDEX(الموظفات!$E$5:$E$304,MATCH($B1187,الموظفات!$B$5:$B$304,0))&amp;"",""))</f>
        <v/>
      </c>
      <c r="O1187" s="21">
        <f>IF(C1187="","",IFERROR(INDEX(الإعدادات!$D$7:$D$35,MATCH(C1187,الإعدادات!$A$7:$A$35,0))&amp;"",""))</f>
        <v/>
      </c>
      <c r="P1187" s="20">
        <f>IF(A1187="","",INDEX(الإعدادات!$H$7:$H$18,MONTH(A1187)))</f>
        <v/>
      </c>
      <c r="Q1187" s="20">
        <f>IF(A1187="","",INDEX(الإعدادات!$I$7:$I$18,MONTH(A1187)))</f>
        <v/>
      </c>
      <c r="R1187" s="20">
        <f>IF(A1187="","",IF(MONTH(A1187)&gt;=8,YEAR(A1187)&amp;"-"&amp;(YEAR(A1187)+1),(YEAR(A1187)-1)&amp;"-"&amp;YEAR(A1187)))</f>
        <v/>
      </c>
      <c r="S1187" s="20">
        <f>IF(OR(A1187="",B1187=""),0,IF(AND(R1187=التقارير!$C$4,OR(التقارير!$C$5="سنوي",AND(التقارير!$C$5="شهري",P1187=التقارير!$C$6),AND(التقارير!$C$5="فصلي",Q1187=التقارير!$C$7))),1,0))</f>
        <v/>
      </c>
      <c r="T1187" s="20">
        <f>IF(S1187=1,COUNTIF($S$5:S1187,1),"")</f>
        <v/>
      </c>
      <c r="U1187">
        <f>IF(AND($A1187&lt;&gt;"",$B1187&lt;&gt;"",$R1187='تقرير الفصل الأول'!$C$4,$Q1187='تقرير الفصل الأول'!$C$7),COUNT(U$4:U1186)+1,"")</f>
        <v/>
      </c>
      <c r="V1187">
        <f>IF(AND($A1187&lt;&gt;"",$B1187&lt;&gt;"",$R1187='تقرير الفصل الثاني'!$C$4,$Q1187='تقرير الفصل الثاني'!$C$7),COUNT(V$4:V1186)+1,"")</f>
        <v/>
      </c>
      <c r="W1187">
        <f>IF(AND($A1187&lt;&gt;"",$B1187&lt;&gt;"",$R1187='تقرير سبتمبر'!$C$4,$P1187='تقرير سبتمبر'!$C$6),COUNT(W$4:W1186)+1,"")</f>
        <v/>
      </c>
      <c r="X1187">
        <f>IF(AND($A1187&lt;&gt;"",$B1187&lt;&gt;"",$R1187='تقرير أكتوبر'!$C$4,$P1187='تقرير أكتوبر'!$C$6),COUNT(X$4:X1186)+1,"")</f>
        <v/>
      </c>
      <c r="Y1187">
        <f>IF(AND($A1187&lt;&gt;"",$B1187&lt;&gt;"",$R1187='تقرير نوفمبر'!$C$4,$P1187='تقرير نوفمبر'!$C$6),COUNT(Y$4:Y1186)+1,"")</f>
        <v/>
      </c>
      <c r="Z1187">
        <f>IF(AND($A1187&lt;&gt;"",$B1187&lt;&gt;"",$R1187='تقرير ديسمبر'!$C$4,$P1187='تقرير ديسمبر'!$C$6),COUNT(Z$4:Z1186)+1,"")</f>
        <v/>
      </c>
      <c r="AA1187">
        <f>IF(AND($A1187&lt;&gt;"",$B1187&lt;&gt;"",$R1187='تقرير يناير'!$C$4,$P1187='تقرير يناير'!$C$6),COUNT(AA$4:AA1186)+1,"")</f>
        <v/>
      </c>
      <c r="AB1187">
        <f>IF(AND($A1187&lt;&gt;"",$B1187&lt;&gt;"",$R1187='تقرير فبراير'!$C$4,$P1187='تقرير فبراير'!$C$6),COUNT(AB$4:AB1186)+1,"")</f>
        <v/>
      </c>
      <c r="AC1187">
        <f>IF(AND($A1187&lt;&gt;"",$B1187&lt;&gt;"",$R1187='تقرير مارس'!$C$4,$P1187='تقرير مارس'!$C$6),COUNT(AC$4:AC1186)+1,"")</f>
        <v/>
      </c>
      <c r="AD1187">
        <f>IF(AND($A1187&lt;&gt;"",$B1187&lt;&gt;"",$R1187='تقرير أبريل'!$C$4,$P1187='تقرير أبريل'!$C$6),COUNT(AD$4:AD1186)+1,"")</f>
        <v/>
      </c>
      <c r="AE1187">
        <f>IF(AND($A1187&lt;&gt;"",$B1187&lt;&gt;"",$R1187='تقرير مايو'!$C$4,$P1187='تقرير مايو'!$C$6),COUNT(AE$4:AE1186)+1,"")</f>
        <v/>
      </c>
    </row>
    <row r="1188">
      <c r="A1188" s="16" t="n"/>
      <c r="B1188" s="17" t="n"/>
      <c r="C1188" s="17" t="n"/>
      <c r="D1188" s="18" t="n"/>
      <c r="E1188" s="17" t="n"/>
      <c r="F1188" s="17" t="n"/>
      <c r="G1188" s="19" t="n"/>
      <c r="H1188" s="17" t="n"/>
      <c r="I1188" s="17" t="n"/>
      <c r="J1188" s="17" t="n"/>
      <c r="K1188" s="20">
        <f>IF($B1188="","",IFERROR(INDEX(الموظفات!$A$5:$A$304,MATCH($B1188,الموظفات!$B$5:$B$304,0))&amp;"",""))</f>
        <v/>
      </c>
      <c r="L1188" s="21">
        <f>IF($B1188="","",IFERROR(INDEX(الموظفات!$C$5:$C$304,MATCH($B1188,الموظفات!$B$5:$B$304,0))&amp;"",""))</f>
        <v/>
      </c>
      <c r="M1188" s="20">
        <f>IF($B1188="","",IFERROR(INDEX(الموظفات!$D$5:$D$304,MATCH($B1188,الموظفات!$B$5:$B$304,0))&amp;"",""))</f>
        <v/>
      </c>
      <c r="N1188" s="20">
        <f>IF($B1188="","",IFERROR(INDEX(الموظفات!$E$5:$E$304,MATCH($B1188,الموظفات!$B$5:$B$304,0))&amp;"",""))</f>
        <v/>
      </c>
      <c r="O1188" s="21">
        <f>IF(C1188="","",IFERROR(INDEX(الإعدادات!$D$7:$D$35,MATCH(C1188,الإعدادات!$A$7:$A$35,0))&amp;"",""))</f>
        <v/>
      </c>
      <c r="P1188" s="20">
        <f>IF(A1188="","",INDEX(الإعدادات!$H$7:$H$18,MONTH(A1188)))</f>
        <v/>
      </c>
      <c r="Q1188" s="20">
        <f>IF(A1188="","",INDEX(الإعدادات!$I$7:$I$18,MONTH(A1188)))</f>
        <v/>
      </c>
      <c r="R1188" s="20">
        <f>IF(A1188="","",IF(MONTH(A1188)&gt;=8,YEAR(A1188)&amp;"-"&amp;(YEAR(A1188)+1),(YEAR(A1188)-1)&amp;"-"&amp;YEAR(A1188)))</f>
        <v/>
      </c>
      <c r="S1188" s="20">
        <f>IF(OR(A1188="",B1188=""),0,IF(AND(R1188=التقارير!$C$4,OR(التقارير!$C$5="سنوي",AND(التقارير!$C$5="شهري",P1188=التقارير!$C$6),AND(التقارير!$C$5="فصلي",Q1188=التقارير!$C$7))),1,0))</f>
        <v/>
      </c>
      <c r="T1188" s="20">
        <f>IF(S1188=1,COUNTIF($S$5:S1188,1),"")</f>
        <v/>
      </c>
      <c r="U1188">
        <f>IF(AND($A1188&lt;&gt;"",$B1188&lt;&gt;"",$R1188='تقرير الفصل الأول'!$C$4,$Q1188='تقرير الفصل الأول'!$C$7),COUNT(U$4:U1187)+1,"")</f>
        <v/>
      </c>
      <c r="V1188">
        <f>IF(AND($A1188&lt;&gt;"",$B1188&lt;&gt;"",$R1188='تقرير الفصل الثاني'!$C$4,$Q1188='تقرير الفصل الثاني'!$C$7),COUNT(V$4:V1187)+1,"")</f>
        <v/>
      </c>
      <c r="W1188">
        <f>IF(AND($A1188&lt;&gt;"",$B1188&lt;&gt;"",$R1188='تقرير سبتمبر'!$C$4,$P1188='تقرير سبتمبر'!$C$6),COUNT(W$4:W1187)+1,"")</f>
        <v/>
      </c>
      <c r="X1188">
        <f>IF(AND($A1188&lt;&gt;"",$B1188&lt;&gt;"",$R1188='تقرير أكتوبر'!$C$4,$P1188='تقرير أكتوبر'!$C$6),COUNT(X$4:X1187)+1,"")</f>
        <v/>
      </c>
      <c r="Y1188">
        <f>IF(AND($A1188&lt;&gt;"",$B1188&lt;&gt;"",$R1188='تقرير نوفمبر'!$C$4,$P1188='تقرير نوفمبر'!$C$6),COUNT(Y$4:Y1187)+1,"")</f>
        <v/>
      </c>
      <c r="Z1188">
        <f>IF(AND($A1188&lt;&gt;"",$B1188&lt;&gt;"",$R1188='تقرير ديسمبر'!$C$4,$P1188='تقرير ديسمبر'!$C$6),COUNT(Z$4:Z1187)+1,"")</f>
        <v/>
      </c>
      <c r="AA1188">
        <f>IF(AND($A1188&lt;&gt;"",$B1188&lt;&gt;"",$R1188='تقرير يناير'!$C$4,$P1188='تقرير يناير'!$C$6),COUNT(AA$4:AA1187)+1,"")</f>
        <v/>
      </c>
      <c r="AB1188">
        <f>IF(AND($A1188&lt;&gt;"",$B1188&lt;&gt;"",$R1188='تقرير فبراير'!$C$4,$P1188='تقرير فبراير'!$C$6),COUNT(AB$4:AB1187)+1,"")</f>
        <v/>
      </c>
      <c r="AC1188">
        <f>IF(AND($A1188&lt;&gt;"",$B1188&lt;&gt;"",$R1188='تقرير مارس'!$C$4,$P1188='تقرير مارس'!$C$6),COUNT(AC$4:AC1187)+1,"")</f>
        <v/>
      </c>
      <c r="AD1188">
        <f>IF(AND($A1188&lt;&gt;"",$B1188&lt;&gt;"",$R1188='تقرير أبريل'!$C$4,$P1188='تقرير أبريل'!$C$6),COUNT(AD$4:AD1187)+1,"")</f>
        <v/>
      </c>
      <c r="AE1188">
        <f>IF(AND($A1188&lt;&gt;"",$B1188&lt;&gt;"",$R1188='تقرير مايو'!$C$4,$P1188='تقرير مايو'!$C$6),COUNT(AE$4:AE1187)+1,"")</f>
        <v/>
      </c>
    </row>
    <row r="1189">
      <c r="A1189" s="16" t="n"/>
      <c r="B1189" s="17" t="n"/>
      <c r="C1189" s="17" t="n"/>
      <c r="D1189" s="18" t="n"/>
      <c r="E1189" s="17" t="n"/>
      <c r="F1189" s="17" t="n"/>
      <c r="G1189" s="19" t="n"/>
      <c r="H1189" s="17" t="n"/>
      <c r="I1189" s="17" t="n"/>
      <c r="J1189" s="17" t="n"/>
      <c r="K1189" s="20">
        <f>IF($B1189="","",IFERROR(INDEX(الموظفات!$A$5:$A$304,MATCH($B1189,الموظفات!$B$5:$B$304,0))&amp;"",""))</f>
        <v/>
      </c>
      <c r="L1189" s="21">
        <f>IF($B1189="","",IFERROR(INDEX(الموظفات!$C$5:$C$304,MATCH($B1189,الموظفات!$B$5:$B$304,0))&amp;"",""))</f>
        <v/>
      </c>
      <c r="M1189" s="20">
        <f>IF($B1189="","",IFERROR(INDEX(الموظفات!$D$5:$D$304,MATCH($B1189,الموظفات!$B$5:$B$304,0))&amp;"",""))</f>
        <v/>
      </c>
      <c r="N1189" s="20">
        <f>IF($B1189="","",IFERROR(INDEX(الموظفات!$E$5:$E$304,MATCH($B1189,الموظفات!$B$5:$B$304,0))&amp;"",""))</f>
        <v/>
      </c>
      <c r="O1189" s="21">
        <f>IF(C1189="","",IFERROR(INDEX(الإعدادات!$D$7:$D$35,MATCH(C1189,الإعدادات!$A$7:$A$35,0))&amp;"",""))</f>
        <v/>
      </c>
      <c r="P1189" s="20">
        <f>IF(A1189="","",INDEX(الإعدادات!$H$7:$H$18,MONTH(A1189)))</f>
        <v/>
      </c>
      <c r="Q1189" s="20">
        <f>IF(A1189="","",INDEX(الإعدادات!$I$7:$I$18,MONTH(A1189)))</f>
        <v/>
      </c>
      <c r="R1189" s="20">
        <f>IF(A1189="","",IF(MONTH(A1189)&gt;=8,YEAR(A1189)&amp;"-"&amp;(YEAR(A1189)+1),(YEAR(A1189)-1)&amp;"-"&amp;YEAR(A1189)))</f>
        <v/>
      </c>
      <c r="S1189" s="20">
        <f>IF(OR(A1189="",B1189=""),0,IF(AND(R1189=التقارير!$C$4,OR(التقارير!$C$5="سنوي",AND(التقارير!$C$5="شهري",P1189=التقارير!$C$6),AND(التقارير!$C$5="فصلي",Q1189=التقارير!$C$7))),1,0))</f>
        <v/>
      </c>
      <c r="T1189" s="20">
        <f>IF(S1189=1,COUNTIF($S$5:S1189,1),"")</f>
        <v/>
      </c>
      <c r="U1189">
        <f>IF(AND($A1189&lt;&gt;"",$B1189&lt;&gt;"",$R1189='تقرير الفصل الأول'!$C$4,$Q1189='تقرير الفصل الأول'!$C$7),COUNT(U$4:U1188)+1,"")</f>
        <v/>
      </c>
      <c r="V1189">
        <f>IF(AND($A1189&lt;&gt;"",$B1189&lt;&gt;"",$R1189='تقرير الفصل الثاني'!$C$4,$Q1189='تقرير الفصل الثاني'!$C$7),COUNT(V$4:V1188)+1,"")</f>
        <v/>
      </c>
      <c r="W1189">
        <f>IF(AND($A1189&lt;&gt;"",$B1189&lt;&gt;"",$R1189='تقرير سبتمبر'!$C$4,$P1189='تقرير سبتمبر'!$C$6),COUNT(W$4:W1188)+1,"")</f>
        <v/>
      </c>
      <c r="X1189">
        <f>IF(AND($A1189&lt;&gt;"",$B1189&lt;&gt;"",$R1189='تقرير أكتوبر'!$C$4,$P1189='تقرير أكتوبر'!$C$6),COUNT(X$4:X1188)+1,"")</f>
        <v/>
      </c>
      <c r="Y1189">
        <f>IF(AND($A1189&lt;&gt;"",$B1189&lt;&gt;"",$R1189='تقرير نوفمبر'!$C$4,$P1189='تقرير نوفمبر'!$C$6),COUNT(Y$4:Y1188)+1,"")</f>
        <v/>
      </c>
      <c r="Z1189">
        <f>IF(AND($A1189&lt;&gt;"",$B1189&lt;&gt;"",$R1189='تقرير ديسمبر'!$C$4,$P1189='تقرير ديسمبر'!$C$6),COUNT(Z$4:Z1188)+1,"")</f>
        <v/>
      </c>
      <c r="AA1189">
        <f>IF(AND($A1189&lt;&gt;"",$B1189&lt;&gt;"",$R1189='تقرير يناير'!$C$4,$P1189='تقرير يناير'!$C$6),COUNT(AA$4:AA1188)+1,"")</f>
        <v/>
      </c>
      <c r="AB1189">
        <f>IF(AND($A1189&lt;&gt;"",$B1189&lt;&gt;"",$R1189='تقرير فبراير'!$C$4,$P1189='تقرير فبراير'!$C$6),COUNT(AB$4:AB1188)+1,"")</f>
        <v/>
      </c>
      <c r="AC1189">
        <f>IF(AND($A1189&lt;&gt;"",$B1189&lt;&gt;"",$R1189='تقرير مارس'!$C$4,$P1189='تقرير مارس'!$C$6),COUNT(AC$4:AC1188)+1,"")</f>
        <v/>
      </c>
      <c r="AD1189">
        <f>IF(AND($A1189&lt;&gt;"",$B1189&lt;&gt;"",$R1189='تقرير أبريل'!$C$4,$P1189='تقرير أبريل'!$C$6),COUNT(AD$4:AD1188)+1,"")</f>
        <v/>
      </c>
      <c r="AE1189">
        <f>IF(AND($A1189&lt;&gt;"",$B1189&lt;&gt;"",$R1189='تقرير مايو'!$C$4,$P1189='تقرير مايو'!$C$6),COUNT(AE$4:AE1188)+1,"")</f>
        <v/>
      </c>
    </row>
    <row r="1190">
      <c r="A1190" s="16" t="n"/>
      <c r="B1190" s="17" t="n"/>
      <c r="C1190" s="17" t="n"/>
      <c r="D1190" s="18" t="n"/>
      <c r="E1190" s="17" t="n"/>
      <c r="F1190" s="17" t="n"/>
      <c r="G1190" s="19" t="n"/>
      <c r="H1190" s="17" t="n"/>
      <c r="I1190" s="17" t="n"/>
      <c r="J1190" s="17" t="n"/>
      <c r="K1190" s="20">
        <f>IF($B1190="","",IFERROR(INDEX(الموظفات!$A$5:$A$304,MATCH($B1190,الموظفات!$B$5:$B$304,0))&amp;"",""))</f>
        <v/>
      </c>
      <c r="L1190" s="21">
        <f>IF($B1190="","",IFERROR(INDEX(الموظفات!$C$5:$C$304,MATCH($B1190,الموظفات!$B$5:$B$304,0))&amp;"",""))</f>
        <v/>
      </c>
      <c r="M1190" s="20">
        <f>IF($B1190="","",IFERROR(INDEX(الموظفات!$D$5:$D$304,MATCH($B1190,الموظفات!$B$5:$B$304,0))&amp;"",""))</f>
        <v/>
      </c>
      <c r="N1190" s="20">
        <f>IF($B1190="","",IFERROR(INDEX(الموظفات!$E$5:$E$304,MATCH($B1190,الموظفات!$B$5:$B$304,0))&amp;"",""))</f>
        <v/>
      </c>
      <c r="O1190" s="21">
        <f>IF(C1190="","",IFERROR(INDEX(الإعدادات!$D$7:$D$35,MATCH(C1190,الإعدادات!$A$7:$A$35,0))&amp;"",""))</f>
        <v/>
      </c>
      <c r="P1190" s="20">
        <f>IF(A1190="","",INDEX(الإعدادات!$H$7:$H$18,MONTH(A1190)))</f>
        <v/>
      </c>
      <c r="Q1190" s="20">
        <f>IF(A1190="","",INDEX(الإعدادات!$I$7:$I$18,MONTH(A1190)))</f>
        <v/>
      </c>
      <c r="R1190" s="20">
        <f>IF(A1190="","",IF(MONTH(A1190)&gt;=8,YEAR(A1190)&amp;"-"&amp;(YEAR(A1190)+1),(YEAR(A1190)-1)&amp;"-"&amp;YEAR(A1190)))</f>
        <v/>
      </c>
      <c r="S1190" s="20">
        <f>IF(OR(A1190="",B1190=""),0,IF(AND(R1190=التقارير!$C$4,OR(التقارير!$C$5="سنوي",AND(التقارير!$C$5="شهري",P1190=التقارير!$C$6),AND(التقارير!$C$5="فصلي",Q1190=التقارير!$C$7))),1,0))</f>
        <v/>
      </c>
      <c r="T1190" s="20">
        <f>IF(S1190=1,COUNTIF($S$5:S1190,1),"")</f>
        <v/>
      </c>
      <c r="U1190">
        <f>IF(AND($A1190&lt;&gt;"",$B1190&lt;&gt;"",$R1190='تقرير الفصل الأول'!$C$4,$Q1190='تقرير الفصل الأول'!$C$7),COUNT(U$4:U1189)+1,"")</f>
        <v/>
      </c>
      <c r="V1190">
        <f>IF(AND($A1190&lt;&gt;"",$B1190&lt;&gt;"",$R1190='تقرير الفصل الثاني'!$C$4,$Q1190='تقرير الفصل الثاني'!$C$7),COUNT(V$4:V1189)+1,"")</f>
        <v/>
      </c>
      <c r="W1190">
        <f>IF(AND($A1190&lt;&gt;"",$B1190&lt;&gt;"",$R1190='تقرير سبتمبر'!$C$4,$P1190='تقرير سبتمبر'!$C$6),COUNT(W$4:W1189)+1,"")</f>
        <v/>
      </c>
      <c r="X1190">
        <f>IF(AND($A1190&lt;&gt;"",$B1190&lt;&gt;"",$R1190='تقرير أكتوبر'!$C$4,$P1190='تقرير أكتوبر'!$C$6),COUNT(X$4:X1189)+1,"")</f>
        <v/>
      </c>
      <c r="Y1190">
        <f>IF(AND($A1190&lt;&gt;"",$B1190&lt;&gt;"",$R1190='تقرير نوفمبر'!$C$4,$P1190='تقرير نوفمبر'!$C$6),COUNT(Y$4:Y1189)+1,"")</f>
        <v/>
      </c>
      <c r="Z1190">
        <f>IF(AND($A1190&lt;&gt;"",$B1190&lt;&gt;"",$R1190='تقرير ديسمبر'!$C$4,$P1190='تقرير ديسمبر'!$C$6),COUNT(Z$4:Z1189)+1,"")</f>
        <v/>
      </c>
      <c r="AA1190">
        <f>IF(AND($A1190&lt;&gt;"",$B1190&lt;&gt;"",$R1190='تقرير يناير'!$C$4,$P1190='تقرير يناير'!$C$6),COUNT(AA$4:AA1189)+1,"")</f>
        <v/>
      </c>
      <c r="AB1190">
        <f>IF(AND($A1190&lt;&gt;"",$B1190&lt;&gt;"",$R1190='تقرير فبراير'!$C$4,$P1190='تقرير فبراير'!$C$6),COUNT(AB$4:AB1189)+1,"")</f>
        <v/>
      </c>
      <c r="AC1190">
        <f>IF(AND($A1190&lt;&gt;"",$B1190&lt;&gt;"",$R1190='تقرير مارس'!$C$4,$P1190='تقرير مارس'!$C$6),COUNT(AC$4:AC1189)+1,"")</f>
        <v/>
      </c>
      <c r="AD1190">
        <f>IF(AND($A1190&lt;&gt;"",$B1190&lt;&gt;"",$R1190='تقرير أبريل'!$C$4,$P1190='تقرير أبريل'!$C$6),COUNT(AD$4:AD1189)+1,"")</f>
        <v/>
      </c>
      <c r="AE1190">
        <f>IF(AND($A1190&lt;&gt;"",$B1190&lt;&gt;"",$R1190='تقرير مايو'!$C$4,$P1190='تقرير مايو'!$C$6),COUNT(AE$4:AE1189)+1,"")</f>
        <v/>
      </c>
    </row>
    <row r="1191">
      <c r="A1191" s="16" t="n"/>
      <c r="B1191" s="17" t="n"/>
      <c r="C1191" s="17" t="n"/>
      <c r="D1191" s="18" t="n"/>
      <c r="E1191" s="17" t="n"/>
      <c r="F1191" s="17" t="n"/>
      <c r="G1191" s="19" t="n"/>
      <c r="H1191" s="17" t="n"/>
      <c r="I1191" s="17" t="n"/>
      <c r="J1191" s="17" t="n"/>
      <c r="K1191" s="20">
        <f>IF($B1191="","",IFERROR(INDEX(الموظفات!$A$5:$A$304,MATCH($B1191,الموظفات!$B$5:$B$304,0))&amp;"",""))</f>
        <v/>
      </c>
      <c r="L1191" s="21">
        <f>IF($B1191="","",IFERROR(INDEX(الموظفات!$C$5:$C$304,MATCH($B1191,الموظفات!$B$5:$B$304,0))&amp;"",""))</f>
        <v/>
      </c>
      <c r="M1191" s="20">
        <f>IF($B1191="","",IFERROR(INDEX(الموظفات!$D$5:$D$304,MATCH($B1191,الموظفات!$B$5:$B$304,0))&amp;"",""))</f>
        <v/>
      </c>
      <c r="N1191" s="20">
        <f>IF($B1191="","",IFERROR(INDEX(الموظفات!$E$5:$E$304,MATCH($B1191,الموظفات!$B$5:$B$304,0))&amp;"",""))</f>
        <v/>
      </c>
      <c r="O1191" s="21">
        <f>IF(C1191="","",IFERROR(INDEX(الإعدادات!$D$7:$D$35,MATCH(C1191,الإعدادات!$A$7:$A$35,0))&amp;"",""))</f>
        <v/>
      </c>
      <c r="P1191" s="20">
        <f>IF(A1191="","",INDEX(الإعدادات!$H$7:$H$18,MONTH(A1191)))</f>
        <v/>
      </c>
      <c r="Q1191" s="20">
        <f>IF(A1191="","",INDEX(الإعدادات!$I$7:$I$18,MONTH(A1191)))</f>
        <v/>
      </c>
      <c r="R1191" s="20">
        <f>IF(A1191="","",IF(MONTH(A1191)&gt;=8,YEAR(A1191)&amp;"-"&amp;(YEAR(A1191)+1),(YEAR(A1191)-1)&amp;"-"&amp;YEAR(A1191)))</f>
        <v/>
      </c>
      <c r="S1191" s="20">
        <f>IF(OR(A1191="",B1191=""),0,IF(AND(R1191=التقارير!$C$4,OR(التقارير!$C$5="سنوي",AND(التقارير!$C$5="شهري",P1191=التقارير!$C$6),AND(التقارير!$C$5="فصلي",Q1191=التقارير!$C$7))),1,0))</f>
        <v/>
      </c>
      <c r="T1191" s="20">
        <f>IF(S1191=1,COUNTIF($S$5:S1191,1),"")</f>
        <v/>
      </c>
      <c r="U1191">
        <f>IF(AND($A1191&lt;&gt;"",$B1191&lt;&gt;"",$R1191='تقرير الفصل الأول'!$C$4,$Q1191='تقرير الفصل الأول'!$C$7),COUNT(U$4:U1190)+1,"")</f>
        <v/>
      </c>
      <c r="V1191">
        <f>IF(AND($A1191&lt;&gt;"",$B1191&lt;&gt;"",$R1191='تقرير الفصل الثاني'!$C$4,$Q1191='تقرير الفصل الثاني'!$C$7),COUNT(V$4:V1190)+1,"")</f>
        <v/>
      </c>
      <c r="W1191">
        <f>IF(AND($A1191&lt;&gt;"",$B1191&lt;&gt;"",$R1191='تقرير سبتمبر'!$C$4,$P1191='تقرير سبتمبر'!$C$6),COUNT(W$4:W1190)+1,"")</f>
        <v/>
      </c>
      <c r="X1191">
        <f>IF(AND($A1191&lt;&gt;"",$B1191&lt;&gt;"",$R1191='تقرير أكتوبر'!$C$4,$P1191='تقرير أكتوبر'!$C$6),COUNT(X$4:X1190)+1,"")</f>
        <v/>
      </c>
      <c r="Y1191">
        <f>IF(AND($A1191&lt;&gt;"",$B1191&lt;&gt;"",$R1191='تقرير نوفمبر'!$C$4,$P1191='تقرير نوفمبر'!$C$6),COUNT(Y$4:Y1190)+1,"")</f>
        <v/>
      </c>
      <c r="Z1191">
        <f>IF(AND($A1191&lt;&gt;"",$B1191&lt;&gt;"",$R1191='تقرير ديسمبر'!$C$4,$P1191='تقرير ديسمبر'!$C$6),COUNT(Z$4:Z1190)+1,"")</f>
        <v/>
      </c>
      <c r="AA1191">
        <f>IF(AND($A1191&lt;&gt;"",$B1191&lt;&gt;"",$R1191='تقرير يناير'!$C$4,$P1191='تقرير يناير'!$C$6),COUNT(AA$4:AA1190)+1,"")</f>
        <v/>
      </c>
      <c r="AB1191">
        <f>IF(AND($A1191&lt;&gt;"",$B1191&lt;&gt;"",$R1191='تقرير فبراير'!$C$4,$P1191='تقرير فبراير'!$C$6),COUNT(AB$4:AB1190)+1,"")</f>
        <v/>
      </c>
      <c r="AC1191">
        <f>IF(AND($A1191&lt;&gt;"",$B1191&lt;&gt;"",$R1191='تقرير مارس'!$C$4,$P1191='تقرير مارس'!$C$6),COUNT(AC$4:AC1190)+1,"")</f>
        <v/>
      </c>
      <c r="AD1191">
        <f>IF(AND($A1191&lt;&gt;"",$B1191&lt;&gt;"",$R1191='تقرير أبريل'!$C$4,$P1191='تقرير أبريل'!$C$6),COUNT(AD$4:AD1190)+1,"")</f>
        <v/>
      </c>
      <c r="AE1191">
        <f>IF(AND($A1191&lt;&gt;"",$B1191&lt;&gt;"",$R1191='تقرير مايو'!$C$4,$P1191='تقرير مايو'!$C$6),COUNT(AE$4:AE1190)+1,"")</f>
        <v/>
      </c>
    </row>
    <row r="1192">
      <c r="A1192" s="16" t="n"/>
      <c r="B1192" s="17" t="n"/>
      <c r="C1192" s="17" t="n"/>
      <c r="D1192" s="18" t="n"/>
      <c r="E1192" s="17" t="n"/>
      <c r="F1192" s="17" t="n"/>
      <c r="G1192" s="19" t="n"/>
      <c r="H1192" s="17" t="n"/>
      <c r="I1192" s="17" t="n"/>
      <c r="J1192" s="17" t="n"/>
      <c r="K1192" s="20">
        <f>IF($B1192="","",IFERROR(INDEX(الموظفات!$A$5:$A$304,MATCH($B1192,الموظفات!$B$5:$B$304,0))&amp;"",""))</f>
        <v/>
      </c>
      <c r="L1192" s="21">
        <f>IF($B1192="","",IFERROR(INDEX(الموظفات!$C$5:$C$304,MATCH($B1192,الموظفات!$B$5:$B$304,0))&amp;"",""))</f>
        <v/>
      </c>
      <c r="M1192" s="20">
        <f>IF($B1192="","",IFERROR(INDEX(الموظفات!$D$5:$D$304,MATCH($B1192,الموظفات!$B$5:$B$304,0))&amp;"",""))</f>
        <v/>
      </c>
      <c r="N1192" s="20">
        <f>IF($B1192="","",IFERROR(INDEX(الموظفات!$E$5:$E$304,MATCH($B1192,الموظفات!$B$5:$B$304,0))&amp;"",""))</f>
        <v/>
      </c>
      <c r="O1192" s="21">
        <f>IF(C1192="","",IFERROR(INDEX(الإعدادات!$D$7:$D$35,MATCH(C1192,الإعدادات!$A$7:$A$35,0))&amp;"",""))</f>
        <v/>
      </c>
      <c r="P1192" s="20">
        <f>IF(A1192="","",INDEX(الإعدادات!$H$7:$H$18,MONTH(A1192)))</f>
        <v/>
      </c>
      <c r="Q1192" s="20">
        <f>IF(A1192="","",INDEX(الإعدادات!$I$7:$I$18,MONTH(A1192)))</f>
        <v/>
      </c>
      <c r="R1192" s="20">
        <f>IF(A1192="","",IF(MONTH(A1192)&gt;=8,YEAR(A1192)&amp;"-"&amp;(YEAR(A1192)+1),(YEAR(A1192)-1)&amp;"-"&amp;YEAR(A1192)))</f>
        <v/>
      </c>
      <c r="S1192" s="20">
        <f>IF(OR(A1192="",B1192=""),0,IF(AND(R1192=التقارير!$C$4,OR(التقارير!$C$5="سنوي",AND(التقارير!$C$5="شهري",P1192=التقارير!$C$6),AND(التقارير!$C$5="فصلي",Q1192=التقارير!$C$7))),1,0))</f>
        <v/>
      </c>
      <c r="T1192" s="20">
        <f>IF(S1192=1,COUNTIF($S$5:S1192,1),"")</f>
        <v/>
      </c>
      <c r="U1192">
        <f>IF(AND($A1192&lt;&gt;"",$B1192&lt;&gt;"",$R1192='تقرير الفصل الأول'!$C$4,$Q1192='تقرير الفصل الأول'!$C$7),COUNT(U$4:U1191)+1,"")</f>
        <v/>
      </c>
      <c r="V1192">
        <f>IF(AND($A1192&lt;&gt;"",$B1192&lt;&gt;"",$R1192='تقرير الفصل الثاني'!$C$4,$Q1192='تقرير الفصل الثاني'!$C$7),COUNT(V$4:V1191)+1,"")</f>
        <v/>
      </c>
      <c r="W1192">
        <f>IF(AND($A1192&lt;&gt;"",$B1192&lt;&gt;"",$R1192='تقرير سبتمبر'!$C$4,$P1192='تقرير سبتمبر'!$C$6),COUNT(W$4:W1191)+1,"")</f>
        <v/>
      </c>
      <c r="X1192">
        <f>IF(AND($A1192&lt;&gt;"",$B1192&lt;&gt;"",$R1192='تقرير أكتوبر'!$C$4,$P1192='تقرير أكتوبر'!$C$6),COUNT(X$4:X1191)+1,"")</f>
        <v/>
      </c>
      <c r="Y1192">
        <f>IF(AND($A1192&lt;&gt;"",$B1192&lt;&gt;"",$R1192='تقرير نوفمبر'!$C$4,$P1192='تقرير نوفمبر'!$C$6),COUNT(Y$4:Y1191)+1,"")</f>
        <v/>
      </c>
      <c r="Z1192">
        <f>IF(AND($A1192&lt;&gt;"",$B1192&lt;&gt;"",$R1192='تقرير ديسمبر'!$C$4,$P1192='تقرير ديسمبر'!$C$6),COUNT(Z$4:Z1191)+1,"")</f>
        <v/>
      </c>
      <c r="AA1192">
        <f>IF(AND($A1192&lt;&gt;"",$B1192&lt;&gt;"",$R1192='تقرير يناير'!$C$4,$P1192='تقرير يناير'!$C$6),COUNT(AA$4:AA1191)+1,"")</f>
        <v/>
      </c>
      <c r="AB1192">
        <f>IF(AND($A1192&lt;&gt;"",$B1192&lt;&gt;"",$R1192='تقرير فبراير'!$C$4,$P1192='تقرير فبراير'!$C$6),COUNT(AB$4:AB1191)+1,"")</f>
        <v/>
      </c>
      <c r="AC1192">
        <f>IF(AND($A1192&lt;&gt;"",$B1192&lt;&gt;"",$R1192='تقرير مارس'!$C$4,$P1192='تقرير مارس'!$C$6),COUNT(AC$4:AC1191)+1,"")</f>
        <v/>
      </c>
      <c r="AD1192">
        <f>IF(AND($A1192&lt;&gt;"",$B1192&lt;&gt;"",$R1192='تقرير أبريل'!$C$4,$P1192='تقرير أبريل'!$C$6),COUNT(AD$4:AD1191)+1,"")</f>
        <v/>
      </c>
      <c r="AE1192">
        <f>IF(AND($A1192&lt;&gt;"",$B1192&lt;&gt;"",$R1192='تقرير مايو'!$C$4,$P1192='تقرير مايو'!$C$6),COUNT(AE$4:AE1191)+1,"")</f>
        <v/>
      </c>
    </row>
    <row r="1193">
      <c r="A1193" s="16" t="n"/>
      <c r="B1193" s="17" t="n"/>
      <c r="C1193" s="17" t="n"/>
      <c r="D1193" s="18" t="n"/>
      <c r="E1193" s="17" t="n"/>
      <c r="F1193" s="17" t="n"/>
      <c r="G1193" s="19" t="n"/>
      <c r="H1193" s="17" t="n"/>
      <c r="I1193" s="17" t="n"/>
      <c r="J1193" s="17" t="n"/>
      <c r="K1193" s="20">
        <f>IF($B1193="","",IFERROR(INDEX(الموظفات!$A$5:$A$304,MATCH($B1193,الموظفات!$B$5:$B$304,0))&amp;"",""))</f>
        <v/>
      </c>
      <c r="L1193" s="21">
        <f>IF($B1193="","",IFERROR(INDEX(الموظفات!$C$5:$C$304,MATCH($B1193,الموظفات!$B$5:$B$304,0))&amp;"",""))</f>
        <v/>
      </c>
      <c r="M1193" s="20">
        <f>IF($B1193="","",IFERROR(INDEX(الموظفات!$D$5:$D$304,MATCH($B1193,الموظفات!$B$5:$B$304,0))&amp;"",""))</f>
        <v/>
      </c>
      <c r="N1193" s="20">
        <f>IF($B1193="","",IFERROR(INDEX(الموظفات!$E$5:$E$304,MATCH($B1193,الموظفات!$B$5:$B$304,0))&amp;"",""))</f>
        <v/>
      </c>
      <c r="O1193" s="21">
        <f>IF(C1193="","",IFERROR(INDEX(الإعدادات!$D$7:$D$35,MATCH(C1193,الإعدادات!$A$7:$A$35,0))&amp;"",""))</f>
        <v/>
      </c>
      <c r="P1193" s="20">
        <f>IF(A1193="","",INDEX(الإعدادات!$H$7:$H$18,MONTH(A1193)))</f>
        <v/>
      </c>
      <c r="Q1193" s="20">
        <f>IF(A1193="","",INDEX(الإعدادات!$I$7:$I$18,MONTH(A1193)))</f>
        <v/>
      </c>
      <c r="R1193" s="20">
        <f>IF(A1193="","",IF(MONTH(A1193)&gt;=8,YEAR(A1193)&amp;"-"&amp;(YEAR(A1193)+1),(YEAR(A1193)-1)&amp;"-"&amp;YEAR(A1193)))</f>
        <v/>
      </c>
      <c r="S1193" s="20">
        <f>IF(OR(A1193="",B1193=""),0,IF(AND(R1193=التقارير!$C$4,OR(التقارير!$C$5="سنوي",AND(التقارير!$C$5="شهري",P1193=التقارير!$C$6),AND(التقارير!$C$5="فصلي",Q1193=التقارير!$C$7))),1,0))</f>
        <v/>
      </c>
      <c r="T1193" s="20">
        <f>IF(S1193=1,COUNTIF($S$5:S1193,1),"")</f>
        <v/>
      </c>
      <c r="U1193">
        <f>IF(AND($A1193&lt;&gt;"",$B1193&lt;&gt;"",$R1193='تقرير الفصل الأول'!$C$4,$Q1193='تقرير الفصل الأول'!$C$7),COUNT(U$4:U1192)+1,"")</f>
        <v/>
      </c>
      <c r="V1193">
        <f>IF(AND($A1193&lt;&gt;"",$B1193&lt;&gt;"",$R1193='تقرير الفصل الثاني'!$C$4,$Q1193='تقرير الفصل الثاني'!$C$7),COUNT(V$4:V1192)+1,"")</f>
        <v/>
      </c>
      <c r="W1193">
        <f>IF(AND($A1193&lt;&gt;"",$B1193&lt;&gt;"",$R1193='تقرير سبتمبر'!$C$4,$P1193='تقرير سبتمبر'!$C$6),COUNT(W$4:W1192)+1,"")</f>
        <v/>
      </c>
      <c r="X1193">
        <f>IF(AND($A1193&lt;&gt;"",$B1193&lt;&gt;"",$R1193='تقرير أكتوبر'!$C$4,$P1193='تقرير أكتوبر'!$C$6),COUNT(X$4:X1192)+1,"")</f>
        <v/>
      </c>
      <c r="Y1193">
        <f>IF(AND($A1193&lt;&gt;"",$B1193&lt;&gt;"",$R1193='تقرير نوفمبر'!$C$4,$P1193='تقرير نوفمبر'!$C$6),COUNT(Y$4:Y1192)+1,"")</f>
        <v/>
      </c>
      <c r="Z1193">
        <f>IF(AND($A1193&lt;&gt;"",$B1193&lt;&gt;"",$R1193='تقرير ديسمبر'!$C$4,$P1193='تقرير ديسمبر'!$C$6),COUNT(Z$4:Z1192)+1,"")</f>
        <v/>
      </c>
      <c r="AA1193">
        <f>IF(AND($A1193&lt;&gt;"",$B1193&lt;&gt;"",$R1193='تقرير يناير'!$C$4,$P1193='تقرير يناير'!$C$6),COUNT(AA$4:AA1192)+1,"")</f>
        <v/>
      </c>
      <c r="AB1193">
        <f>IF(AND($A1193&lt;&gt;"",$B1193&lt;&gt;"",$R1193='تقرير فبراير'!$C$4,$P1193='تقرير فبراير'!$C$6),COUNT(AB$4:AB1192)+1,"")</f>
        <v/>
      </c>
      <c r="AC1193">
        <f>IF(AND($A1193&lt;&gt;"",$B1193&lt;&gt;"",$R1193='تقرير مارس'!$C$4,$P1193='تقرير مارس'!$C$6),COUNT(AC$4:AC1192)+1,"")</f>
        <v/>
      </c>
      <c r="AD1193">
        <f>IF(AND($A1193&lt;&gt;"",$B1193&lt;&gt;"",$R1193='تقرير أبريل'!$C$4,$P1193='تقرير أبريل'!$C$6),COUNT(AD$4:AD1192)+1,"")</f>
        <v/>
      </c>
      <c r="AE1193">
        <f>IF(AND($A1193&lt;&gt;"",$B1193&lt;&gt;"",$R1193='تقرير مايو'!$C$4,$P1193='تقرير مايو'!$C$6),COUNT(AE$4:AE1192)+1,"")</f>
        <v/>
      </c>
    </row>
    <row r="1194">
      <c r="A1194" s="16" t="n"/>
      <c r="B1194" s="17" t="n"/>
      <c r="C1194" s="17" t="n"/>
      <c r="D1194" s="18" t="n"/>
      <c r="E1194" s="17" t="n"/>
      <c r="F1194" s="17" t="n"/>
      <c r="G1194" s="19" t="n"/>
      <c r="H1194" s="17" t="n"/>
      <c r="I1194" s="17" t="n"/>
      <c r="J1194" s="17" t="n"/>
      <c r="K1194" s="20">
        <f>IF($B1194="","",IFERROR(INDEX(الموظفات!$A$5:$A$304,MATCH($B1194,الموظفات!$B$5:$B$304,0))&amp;"",""))</f>
        <v/>
      </c>
      <c r="L1194" s="21">
        <f>IF($B1194="","",IFERROR(INDEX(الموظفات!$C$5:$C$304,MATCH($B1194,الموظفات!$B$5:$B$304,0))&amp;"",""))</f>
        <v/>
      </c>
      <c r="M1194" s="20">
        <f>IF($B1194="","",IFERROR(INDEX(الموظفات!$D$5:$D$304,MATCH($B1194,الموظفات!$B$5:$B$304,0))&amp;"",""))</f>
        <v/>
      </c>
      <c r="N1194" s="20">
        <f>IF($B1194="","",IFERROR(INDEX(الموظفات!$E$5:$E$304,MATCH($B1194,الموظفات!$B$5:$B$304,0))&amp;"",""))</f>
        <v/>
      </c>
      <c r="O1194" s="21">
        <f>IF(C1194="","",IFERROR(INDEX(الإعدادات!$D$7:$D$35,MATCH(C1194,الإعدادات!$A$7:$A$35,0))&amp;"",""))</f>
        <v/>
      </c>
      <c r="P1194" s="20">
        <f>IF(A1194="","",INDEX(الإعدادات!$H$7:$H$18,MONTH(A1194)))</f>
        <v/>
      </c>
      <c r="Q1194" s="20">
        <f>IF(A1194="","",INDEX(الإعدادات!$I$7:$I$18,MONTH(A1194)))</f>
        <v/>
      </c>
      <c r="R1194" s="20">
        <f>IF(A1194="","",IF(MONTH(A1194)&gt;=8,YEAR(A1194)&amp;"-"&amp;(YEAR(A1194)+1),(YEAR(A1194)-1)&amp;"-"&amp;YEAR(A1194)))</f>
        <v/>
      </c>
      <c r="S1194" s="20">
        <f>IF(OR(A1194="",B1194=""),0,IF(AND(R1194=التقارير!$C$4,OR(التقارير!$C$5="سنوي",AND(التقارير!$C$5="شهري",P1194=التقارير!$C$6),AND(التقارير!$C$5="فصلي",Q1194=التقارير!$C$7))),1,0))</f>
        <v/>
      </c>
      <c r="T1194" s="20">
        <f>IF(S1194=1,COUNTIF($S$5:S1194,1),"")</f>
        <v/>
      </c>
      <c r="U1194">
        <f>IF(AND($A1194&lt;&gt;"",$B1194&lt;&gt;"",$R1194='تقرير الفصل الأول'!$C$4,$Q1194='تقرير الفصل الأول'!$C$7),COUNT(U$4:U1193)+1,"")</f>
        <v/>
      </c>
      <c r="V1194">
        <f>IF(AND($A1194&lt;&gt;"",$B1194&lt;&gt;"",$R1194='تقرير الفصل الثاني'!$C$4,$Q1194='تقرير الفصل الثاني'!$C$7),COUNT(V$4:V1193)+1,"")</f>
        <v/>
      </c>
      <c r="W1194">
        <f>IF(AND($A1194&lt;&gt;"",$B1194&lt;&gt;"",$R1194='تقرير سبتمبر'!$C$4,$P1194='تقرير سبتمبر'!$C$6),COUNT(W$4:W1193)+1,"")</f>
        <v/>
      </c>
      <c r="X1194">
        <f>IF(AND($A1194&lt;&gt;"",$B1194&lt;&gt;"",$R1194='تقرير أكتوبر'!$C$4,$P1194='تقرير أكتوبر'!$C$6),COUNT(X$4:X1193)+1,"")</f>
        <v/>
      </c>
      <c r="Y1194">
        <f>IF(AND($A1194&lt;&gt;"",$B1194&lt;&gt;"",$R1194='تقرير نوفمبر'!$C$4,$P1194='تقرير نوفمبر'!$C$6),COUNT(Y$4:Y1193)+1,"")</f>
        <v/>
      </c>
      <c r="Z1194">
        <f>IF(AND($A1194&lt;&gt;"",$B1194&lt;&gt;"",$R1194='تقرير ديسمبر'!$C$4,$P1194='تقرير ديسمبر'!$C$6),COUNT(Z$4:Z1193)+1,"")</f>
        <v/>
      </c>
      <c r="AA1194">
        <f>IF(AND($A1194&lt;&gt;"",$B1194&lt;&gt;"",$R1194='تقرير يناير'!$C$4,$P1194='تقرير يناير'!$C$6),COUNT(AA$4:AA1193)+1,"")</f>
        <v/>
      </c>
      <c r="AB1194">
        <f>IF(AND($A1194&lt;&gt;"",$B1194&lt;&gt;"",$R1194='تقرير فبراير'!$C$4,$P1194='تقرير فبراير'!$C$6),COUNT(AB$4:AB1193)+1,"")</f>
        <v/>
      </c>
      <c r="AC1194">
        <f>IF(AND($A1194&lt;&gt;"",$B1194&lt;&gt;"",$R1194='تقرير مارس'!$C$4,$P1194='تقرير مارس'!$C$6),COUNT(AC$4:AC1193)+1,"")</f>
        <v/>
      </c>
      <c r="AD1194">
        <f>IF(AND($A1194&lt;&gt;"",$B1194&lt;&gt;"",$R1194='تقرير أبريل'!$C$4,$P1194='تقرير أبريل'!$C$6),COUNT(AD$4:AD1193)+1,"")</f>
        <v/>
      </c>
      <c r="AE1194">
        <f>IF(AND($A1194&lt;&gt;"",$B1194&lt;&gt;"",$R1194='تقرير مايو'!$C$4,$P1194='تقرير مايو'!$C$6),COUNT(AE$4:AE1193)+1,"")</f>
        <v/>
      </c>
    </row>
    <row r="1195">
      <c r="A1195" s="16" t="n"/>
      <c r="B1195" s="17" t="n"/>
      <c r="C1195" s="17" t="n"/>
      <c r="D1195" s="18" t="n"/>
      <c r="E1195" s="17" t="n"/>
      <c r="F1195" s="17" t="n"/>
      <c r="G1195" s="19" t="n"/>
      <c r="H1195" s="17" t="n"/>
      <c r="I1195" s="17" t="n"/>
      <c r="J1195" s="17" t="n"/>
      <c r="K1195" s="20">
        <f>IF($B1195="","",IFERROR(INDEX(الموظفات!$A$5:$A$304,MATCH($B1195,الموظفات!$B$5:$B$304,0))&amp;"",""))</f>
        <v/>
      </c>
      <c r="L1195" s="21">
        <f>IF($B1195="","",IFERROR(INDEX(الموظفات!$C$5:$C$304,MATCH($B1195,الموظفات!$B$5:$B$304,0))&amp;"",""))</f>
        <v/>
      </c>
      <c r="M1195" s="20">
        <f>IF($B1195="","",IFERROR(INDEX(الموظفات!$D$5:$D$304,MATCH($B1195,الموظفات!$B$5:$B$304,0))&amp;"",""))</f>
        <v/>
      </c>
      <c r="N1195" s="20">
        <f>IF($B1195="","",IFERROR(INDEX(الموظفات!$E$5:$E$304,MATCH($B1195,الموظفات!$B$5:$B$304,0))&amp;"",""))</f>
        <v/>
      </c>
      <c r="O1195" s="21">
        <f>IF(C1195="","",IFERROR(INDEX(الإعدادات!$D$7:$D$35,MATCH(C1195,الإعدادات!$A$7:$A$35,0))&amp;"",""))</f>
        <v/>
      </c>
      <c r="P1195" s="20">
        <f>IF(A1195="","",INDEX(الإعدادات!$H$7:$H$18,MONTH(A1195)))</f>
        <v/>
      </c>
      <c r="Q1195" s="20">
        <f>IF(A1195="","",INDEX(الإعدادات!$I$7:$I$18,MONTH(A1195)))</f>
        <v/>
      </c>
      <c r="R1195" s="20">
        <f>IF(A1195="","",IF(MONTH(A1195)&gt;=8,YEAR(A1195)&amp;"-"&amp;(YEAR(A1195)+1),(YEAR(A1195)-1)&amp;"-"&amp;YEAR(A1195)))</f>
        <v/>
      </c>
      <c r="S1195" s="20">
        <f>IF(OR(A1195="",B1195=""),0,IF(AND(R1195=التقارير!$C$4,OR(التقارير!$C$5="سنوي",AND(التقارير!$C$5="شهري",P1195=التقارير!$C$6),AND(التقارير!$C$5="فصلي",Q1195=التقارير!$C$7))),1,0))</f>
        <v/>
      </c>
      <c r="T1195" s="20">
        <f>IF(S1195=1,COUNTIF($S$5:S1195,1),"")</f>
        <v/>
      </c>
      <c r="U1195">
        <f>IF(AND($A1195&lt;&gt;"",$B1195&lt;&gt;"",$R1195='تقرير الفصل الأول'!$C$4,$Q1195='تقرير الفصل الأول'!$C$7),COUNT(U$4:U1194)+1,"")</f>
        <v/>
      </c>
      <c r="V1195">
        <f>IF(AND($A1195&lt;&gt;"",$B1195&lt;&gt;"",$R1195='تقرير الفصل الثاني'!$C$4,$Q1195='تقرير الفصل الثاني'!$C$7),COUNT(V$4:V1194)+1,"")</f>
        <v/>
      </c>
      <c r="W1195">
        <f>IF(AND($A1195&lt;&gt;"",$B1195&lt;&gt;"",$R1195='تقرير سبتمبر'!$C$4,$P1195='تقرير سبتمبر'!$C$6),COUNT(W$4:W1194)+1,"")</f>
        <v/>
      </c>
      <c r="X1195">
        <f>IF(AND($A1195&lt;&gt;"",$B1195&lt;&gt;"",$R1195='تقرير أكتوبر'!$C$4,$P1195='تقرير أكتوبر'!$C$6),COUNT(X$4:X1194)+1,"")</f>
        <v/>
      </c>
      <c r="Y1195">
        <f>IF(AND($A1195&lt;&gt;"",$B1195&lt;&gt;"",$R1195='تقرير نوفمبر'!$C$4,$P1195='تقرير نوفمبر'!$C$6),COUNT(Y$4:Y1194)+1,"")</f>
        <v/>
      </c>
      <c r="Z1195">
        <f>IF(AND($A1195&lt;&gt;"",$B1195&lt;&gt;"",$R1195='تقرير ديسمبر'!$C$4,$P1195='تقرير ديسمبر'!$C$6),COUNT(Z$4:Z1194)+1,"")</f>
        <v/>
      </c>
      <c r="AA1195">
        <f>IF(AND($A1195&lt;&gt;"",$B1195&lt;&gt;"",$R1195='تقرير يناير'!$C$4,$P1195='تقرير يناير'!$C$6),COUNT(AA$4:AA1194)+1,"")</f>
        <v/>
      </c>
      <c r="AB1195">
        <f>IF(AND($A1195&lt;&gt;"",$B1195&lt;&gt;"",$R1195='تقرير فبراير'!$C$4,$P1195='تقرير فبراير'!$C$6),COUNT(AB$4:AB1194)+1,"")</f>
        <v/>
      </c>
      <c r="AC1195">
        <f>IF(AND($A1195&lt;&gt;"",$B1195&lt;&gt;"",$R1195='تقرير مارس'!$C$4,$P1195='تقرير مارس'!$C$6),COUNT(AC$4:AC1194)+1,"")</f>
        <v/>
      </c>
      <c r="AD1195">
        <f>IF(AND($A1195&lt;&gt;"",$B1195&lt;&gt;"",$R1195='تقرير أبريل'!$C$4,$P1195='تقرير أبريل'!$C$6),COUNT(AD$4:AD1194)+1,"")</f>
        <v/>
      </c>
      <c r="AE1195">
        <f>IF(AND($A1195&lt;&gt;"",$B1195&lt;&gt;"",$R1195='تقرير مايو'!$C$4,$P1195='تقرير مايو'!$C$6),COUNT(AE$4:AE1194)+1,"")</f>
        <v/>
      </c>
    </row>
    <row r="1196">
      <c r="A1196" s="16" t="n"/>
      <c r="B1196" s="17" t="n"/>
      <c r="C1196" s="17" t="n"/>
      <c r="D1196" s="18" t="n"/>
      <c r="E1196" s="17" t="n"/>
      <c r="F1196" s="17" t="n"/>
      <c r="G1196" s="19" t="n"/>
      <c r="H1196" s="17" t="n"/>
      <c r="I1196" s="17" t="n"/>
      <c r="J1196" s="17" t="n"/>
      <c r="K1196" s="20">
        <f>IF($B1196="","",IFERROR(INDEX(الموظفات!$A$5:$A$304,MATCH($B1196,الموظفات!$B$5:$B$304,0))&amp;"",""))</f>
        <v/>
      </c>
      <c r="L1196" s="21">
        <f>IF($B1196="","",IFERROR(INDEX(الموظفات!$C$5:$C$304,MATCH($B1196,الموظفات!$B$5:$B$304,0))&amp;"",""))</f>
        <v/>
      </c>
      <c r="M1196" s="20">
        <f>IF($B1196="","",IFERROR(INDEX(الموظفات!$D$5:$D$304,MATCH($B1196,الموظفات!$B$5:$B$304,0))&amp;"",""))</f>
        <v/>
      </c>
      <c r="N1196" s="20">
        <f>IF($B1196="","",IFERROR(INDEX(الموظفات!$E$5:$E$304,MATCH($B1196,الموظفات!$B$5:$B$304,0))&amp;"",""))</f>
        <v/>
      </c>
      <c r="O1196" s="21">
        <f>IF(C1196="","",IFERROR(INDEX(الإعدادات!$D$7:$D$35,MATCH(C1196,الإعدادات!$A$7:$A$35,0))&amp;"",""))</f>
        <v/>
      </c>
      <c r="P1196" s="20">
        <f>IF(A1196="","",INDEX(الإعدادات!$H$7:$H$18,MONTH(A1196)))</f>
        <v/>
      </c>
      <c r="Q1196" s="20">
        <f>IF(A1196="","",INDEX(الإعدادات!$I$7:$I$18,MONTH(A1196)))</f>
        <v/>
      </c>
      <c r="R1196" s="20">
        <f>IF(A1196="","",IF(MONTH(A1196)&gt;=8,YEAR(A1196)&amp;"-"&amp;(YEAR(A1196)+1),(YEAR(A1196)-1)&amp;"-"&amp;YEAR(A1196)))</f>
        <v/>
      </c>
      <c r="S1196" s="20">
        <f>IF(OR(A1196="",B1196=""),0,IF(AND(R1196=التقارير!$C$4,OR(التقارير!$C$5="سنوي",AND(التقارير!$C$5="شهري",P1196=التقارير!$C$6),AND(التقارير!$C$5="فصلي",Q1196=التقارير!$C$7))),1,0))</f>
        <v/>
      </c>
      <c r="T1196" s="20">
        <f>IF(S1196=1,COUNTIF($S$5:S1196,1),"")</f>
        <v/>
      </c>
      <c r="U1196">
        <f>IF(AND($A1196&lt;&gt;"",$B1196&lt;&gt;"",$R1196='تقرير الفصل الأول'!$C$4,$Q1196='تقرير الفصل الأول'!$C$7),COUNT(U$4:U1195)+1,"")</f>
        <v/>
      </c>
      <c r="V1196">
        <f>IF(AND($A1196&lt;&gt;"",$B1196&lt;&gt;"",$R1196='تقرير الفصل الثاني'!$C$4,$Q1196='تقرير الفصل الثاني'!$C$7),COUNT(V$4:V1195)+1,"")</f>
        <v/>
      </c>
      <c r="W1196">
        <f>IF(AND($A1196&lt;&gt;"",$B1196&lt;&gt;"",$R1196='تقرير سبتمبر'!$C$4,$P1196='تقرير سبتمبر'!$C$6),COUNT(W$4:W1195)+1,"")</f>
        <v/>
      </c>
      <c r="X1196">
        <f>IF(AND($A1196&lt;&gt;"",$B1196&lt;&gt;"",$R1196='تقرير أكتوبر'!$C$4,$P1196='تقرير أكتوبر'!$C$6),COUNT(X$4:X1195)+1,"")</f>
        <v/>
      </c>
      <c r="Y1196">
        <f>IF(AND($A1196&lt;&gt;"",$B1196&lt;&gt;"",$R1196='تقرير نوفمبر'!$C$4,$P1196='تقرير نوفمبر'!$C$6),COUNT(Y$4:Y1195)+1,"")</f>
        <v/>
      </c>
      <c r="Z1196">
        <f>IF(AND($A1196&lt;&gt;"",$B1196&lt;&gt;"",$R1196='تقرير ديسمبر'!$C$4,$P1196='تقرير ديسمبر'!$C$6),COUNT(Z$4:Z1195)+1,"")</f>
        <v/>
      </c>
      <c r="AA1196">
        <f>IF(AND($A1196&lt;&gt;"",$B1196&lt;&gt;"",$R1196='تقرير يناير'!$C$4,$P1196='تقرير يناير'!$C$6),COUNT(AA$4:AA1195)+1,"")</f>
        <v/>
      </c>
      <c r="AB1196">
        <f>IF(AND($A1196&lt;&gt;"",$B1196&lt;&gt;"",$R1196='تقرير فبراير'!$C$4,$P1196='تقرير فبراير'!$C$6),COUNT(AB$4:AB1195)+1,"")</f>
        <v/>
      </c>
      <c r="AC1196">
        <f>IF(AND($A1196&lt;&gt;"",$B1196&lt;&gt;"",$R1196='تقرير مارس'!$C$4,$P1196='تقرير مارس'!$C$6),COUNT(AC$4:AC1195)+1,"")</f>
        <v/>
      </c>
      <c r="AD1196">
        <f>IF(AND($A1196&lt;&gt;"",$B1196&lt;&gt;"",$R1196='تقرير أبريل'!$C$4,$P1196='تقرير أبريل'!$C$6),COUNT(AD$4:AD1195)+1,"")</f>
        <v/>
      </c>
      <c r="AE1196">
        <f>IF(AND($A1196&lt;&gt;"",$B1196&lt;&gt;"",$R1196='تقرير مايو'!$C$4,$P1196='تقرير مايو'!$C$6),COUNT(AE$4:AE1195)+1,"")</f>
        <v/>
      </c>
    </row>
    <row r="1197">
      <c r="A1197" s="16" t="n"/>
      <c r="B1197" s="17" t="n"/>
      <c r="C1197" s="17" t="n"/>
      <c r="D1197" s="18" t="n"/>
      <c r="E1197" s="17" t="n"/>
      <c r="F1197" s="17" t="n"/>
      <c r="G1197" s="19" t="n"/>
      <c r="H1197" s="17" t="n"/>
      <c r="I1197" s="17" t="n"/>
      <c r="J1197" s="17" t="n"/>
      <c r="K1197" s="20">
        <f>IF($B1197="","",IFERROR(INDEX(الموظفات!$A$5:$A$304,MATCH($B1197,الموظفات!$B$5:$B$304,0))&amp;"",""))</f>
        <v/>
      </c>
      <c r="L1197" s="21">
        <f>IF($B1197="","",IFERROR(INDEX(الموظفات!$C$5:$C$304,MATCH($B1197,الموظفات!$B$5:$B$304,0))&amp;"",""))</f>
        <v/>
      </c>
      <c r="M1197" s="20">
        <f>IF($B1197="","",IFERROR(INDEX(الموظفات!$D$5:$D$304,MATCH($B1197,الموظفات!$B$5:$B$304,0))&amp;"",""))</f>
        <v/>
      </c>
      <c r="N1197" s="20">
        <f>IF($B1197="","",IFERROR(INDEX(الموظفات!$E$5:$E$304,MATCH($B1197,الموظفات!$B$5:$B$304,0))&amp;"",""))</f>
        <v/>
      </c>
      <c r="O1197" s="21">
        <f>IF(C1197="","",IFERROR(INDEX(الإعدادات!$D$7:$D$35,MATCH(C1197,الإعدادات!$A$7:$A$35,0))&amp;"",""))</f>
        <v/>
      </c>
      <c r="P1197" s="20">
        <f>IF(A1197="","",INDEX(الإعدادات!$H$7:$H$18,MONTH(A1197)))</f>
        <v/>
      </c>
      <c r="Q1197" s="20">
        <f>IF(A1197="","",INDEX(الإعدادات!$I$7:$I$18,MONTH(A1197)))</f>
        <v/>
      </c>
      <c r="R1197" s="20">
        <f>IF(A1197="","",IF(MONTH(A1197)&gt;=8,YEAR(A1197)&amp;"-"&amp;(YEAR(A1197)+1),(YEAR(A1197)-1)&amp;"-"&amp;YEAR(A1197)))</f>
        <v/>
      </c>
      <c r="S1197" s="20">
        <f>IF(OR(A1197="",B1197=""),0,IF(AND(R1197=التقارير!$C$4,OR(التقارير!$C$5="سنوي",AND(التقارير!$C$5="شهري",P1197=التقارير!$C$6),AND(التقارير!$C$5="فصلي",Q1197=التقارير!$C$7))),1,0))</f>
        <v/>
      </c>
      <c r="T1197" s="20">
        <f>IF(S1197=1,COUNTIF($S$5:S1197,1),"")</f>
        <v/>
      </c>
      <c r="U1197">
        <f>IF(AND($A1197&lt;&gt;"",$B1197&lt;&gt;"",$R1197='تقرير الفصل الأول'!$C$4,$Q1197='تقرير الفصل الأول'!$C$7),COUNT(U$4:U1196)+1,"")</f>
        <v/>
      </c>
      <c r="V1197">
        <f>IF(AND($A1197&lt;&gt;"",$B1197&lt;&gt;"",$R1197='تقرير الفصل الثاني'!$C$4,$Q1197='تقرير الفصل الثاني'!$C$7),COUNT(V$4:V1196)+1,"")</f>
        <v/>
      </c>
      <c r="W1197">
        <f>IF(AND($A1197&lt;&gt;"",$B1197&lt;&gt;"",$R1197='تقرير سبتمبر'!$C$4,$P1197='تقرير سبتمبر'!$C$6),COUNT(W$4:W1196)+1,"")</f>
        <v/>
      </c>
      <c r="X1197">
        <f>IF(AND($A1197&lt;&gt;"",$B1197&lt;&gt;"",$R1197='تقرير أكتوبر'!$C$4,$P1197='تقرير أكتوبر'!$C$6),COUNT(X$4:X1196)+1,"")</f>
        <v/>
      </c>
      <c r="Y1197">
        <f>IF(AND($A1197&lt;&gt;"",$B1197&lt;&gt;"",$R1197='تقرير نوفمبر'!$C$4,$P1197='تقرير نوفمبر'!$C$6),COUNT(Y$4:Y1196)+1,"")</f>
        <v/>
      </c>
      <c r="Z1197">
        <f>IF(AND($A1197&lt;&gt;"",$B1197&lt;&gt;"",$R1197='تقرير ديسمبر'!$C$4,$P1197='تقرير ديسمبر'!$C$6),COUNT(Z$4:Z1196)+1,"")</f>
        <v/>
      </c>
      <c r="AA1197">
        <f>IF(AND($A1197&lt;&gt;"",$B1197&lt;&gt;"",$R1197='تقرير يناير'!$C$4,$P1197='تقرير يناير'!$C$6),COUNT(AA$4:AA1196)+1,"")</f>
        <v/>
      </c>
      <c r="AB1197">
        <f>IF(AND($A1197&lt;&gt;"",$B1197&lt;&gt;"",$R1197='تقرير فبراير'!$C$4,$P1197='تقرير فبراير'!$C$6),COUNT(AB$4:AB1196)+1,"")</f>
        <v/>
      </c>
      <c r="AC1197">
        <f>IF(AND($A1197&lt;&gt;"",$B1197&lt;&gt;"",$R1197='تقرير مارس'!$C$4,$P1197='تقرير مارس'!$C$6),COUNT(AC$4:AC1196)+1,"")</f>
        <v/>
      </c>
      <c r="AD1197">
        <f>IF(AND($A1197&lt;&gt;"",$B1197&lt;&gt;"",$R1197='تقرير أبريل'!$C$4,$P1197='تقرير أبريل'!$C$6),COUNT(AD$4:AD1196)+1,"")</f>
        <v/>
      </c>
      <c r="AE1197">
        <f>IF(AND($A1197&lt;&gt;"",$B1197&lt;&gt;"",$R1197='تقرير مايو'!$C$4,$P1197='تقرير مايو'!$C$6),COUNT(AE$4:AE1196)+1,"")</f>
        <v/>
      </c>
    </row>
    <row r="1198">
      <c r="A1198" s="16" t="n"/>
      <c r="B1198" s="17" t="n"/>
      <c r="C1198" s="17" t="n"/>
      <c r="D1198" s="18" t="n"/>
      <c r="E1198" s="17" t="n"/>
      <c r="F1198" s="17" t="n"/>
      <c r="G1198" s="19" t="n"/>
      <c r="H1198" s="17" t="n"/>
      <c r="I1198" s="17" t="n"/>
      <c r="J1198" s="17" t="n"/>
      <c r="K1198" s="20">
        <f>IF($B1198="","",IFERROR(INDEX(الموظفات!$A$5:$A$304,MATCH($B1198,الموظفات!$B$5:$B$304,0))&amp;"",""))</f>
        <v/>
      </c>
      <c r="L1198" s="21">
        <f>IF($B1198="","",IFERROR(INDEX(الموظفات!$C$5:$C$304,MATCH($B1198,الموظفات!$B$5:$B$304,0))&amp;"",""))</f>
        <v/>
      </c>
      <c r="M1198" s="20">
        <f>IF($B1198="","",IFERROR(INDEX(الموظفات!$D$5:$D$304,MATCH($B1198,الموظفات!$B$5:$B$304,0))&amp;"",""))</f>
        <v/>
      </c>
      <c r="N1198" s="20">
        <f>IF($B1198="","",IFERROR(INDEX(الموظفات!$E$5:$E$304,MATCH($B1198,الموظفات!$B$5:$B$304,0))&amp;"",""))</f>
        <v/>
      </c>
      <c r="O1198" s="21">
        <f>IF(C1198="","",IFERROR(INDEX(الإعدادات!$D$7:$D$35,MATCH(C1198,الإعدادات!$A$7:$A$35,0))&amp;"",""))</f>
        <v/>
      </c>
      <c r="P1198" s="20">
        <f>IF(A1198="","",INDEX(الإعدادات!$H$7:$H$18,MONTH(A1198)))</f>
        <v/>
      </c>
      <c r="Q1198" s="20">
        <f>IF(A1198="","",INDEX(الإعدادات!$I$7:$I$18,MONTH(A1198)))</f>
        <v/>
      </c>
      <c r="R1198" s="20">
        <f>IF(A1198="","",IF(MONTH(A1198)&gt;=8,YEAR(A1198)&amp;"-"&amp;(YEAR(A1198)+1),(YEAR(A1198)-1)&amp;"-"&amp;YEAR(A1198)))</f>
        <v/>
      </c>
      <c r="S1198" s="20">
        <f>IF(OR(A1198="",B1198=""),0,IF(AND(R1198=التقارير!$C$4,OR(التقارير!$C$5="سنوي",AND(التقارير!$C$5="شهري",P1198=التقارير!$C$6),AND(التقارير!$C$5="فصلي",Q1198=التقارير!$C$7))),1,0))</f>
        <v/>
      </c>
      <c r="T1198" s="20">
        <f>IF(S1198=1,COUNTIF($S$5:S1198,1),"")</f>
        <v/>
      </c>
      <c r="U1198">
        <f>IF(AND($A1198&lt;&gt;"",$B1198&lt;&gt;"",$R1198='تقرير الفصل الأول'!$C$4,$Q1198='تقرير الفصل الأول'!$C$7),COUNT(U$4:U1197)+1,"")</f>
        <v/>
      </c>
      <c r="V1198">
        <f>IF(AND($A1198&lt;&gt;"",$B1198&lt;&gt;"",$R1198='تقرير الفصل الثاني'!$C$4,$Q1198='تقرير الفصل الثاني'!$C$7),COUNT(V$4:V1197)+1,"")</f>
        <v/>
      </c>
      <c r="W1198">
        <f>IF(AND($A1198&lt;&gt;"",$B1198&lt;&gt;"",$R1198='تقرير سبتمبر'!$C$4,$P1198='تقرير سبتمبر'!$C$6),COUNT(W$4:W1197)+1,"")</f>
        <v/>
      </c>
      <c r="X1198">
        <f>IF(AND($A1198&lt;&gt;"",$B1198&lt;&gt;"",$R1198='تقرير أكتوبر'!$C$4,$P1198='تقرير أكتوبر'!$C$6),COUNT(X$4:X1197)+1,"")</f>
        <v/>
      </c>
      <c r="Y1198">
        <f>IF(AND($A1198&lt;&gt;"",$B1198&lt;&gt;"",$R1198='تقرير نوفمبر'!$C$4,$P1198='تقرير نوفمبر'!$C$6),COUNT(Y$4:Y1197)+1,"")</f>
        <v/>
      </c>
      <c r="Z1198">
        <f>IF(AND($A1198&lt;&gt;"",$B1198&lt;&gt;"",$R1198='تقرير ديسمبر'!$C$4,$P1198='تقرير ديسمبر'!$C$6),COUNT(Z$4:Z1197)+1,"")</f>
        <v/>
      </c>
      <c r="AA1198">
        <f>IF(AND($A1198&lt;&gt;"",$B1198&lt;&gt;"",$R1198='تقرير يناير'!$C$4,$P1198='تقرير يناير'!$C$6),COUNT(AA$4:AA1197)+1,"")</f>
        <v/>
      </c>
      <c r="AB1198">
        <f>IF(AND($A1198&lt;&gt;"",$B1198&lt;&gt;"",$R1198='تقرير فبراير'!$C$4,$P1198='تقرير فبراير'!$C$6),COUNT(AB$4:AB1197)+1,"")</f>
        <v/>
      </c>
      <c r="AC1198">
        <f>IF(AND($A1198&lt;&gt;"",$B1198&lt;&gt;"",$R1198='تقرير مارس'!$C$4,$P1198='تقرير مارس'!$C$6),COUNT(AC$4:AC1197)+1,"")</f>
        <v/>
      </c>
      <c r="AD1198">
        <f>IF(AND($A1198&lt;&gt;"",$B1198&lt;&gt;"",$R1198='تقرير أبريل'!$C$4,$P1198='تقرير أبريل'!$C$6),COUNT(AD$4:AD1197)+1,"")</f>
        <v/>
      </c>
      <c r="AE1198">
        <f>IF(AND($A1198&lt;&gt;"",$B1198&lt;&gt;"",$R1198='تقرير مايو'!$C$4,$P1198='تقرير مايو'!$C$6),COUNT(AE$4:AE1197)+1,"")</f>
        <v/>
      </c>
    </row>
    <row r="1199">
      <c r="A1199" s="16" t="n"/>
      <c r="B1199" s="17" t="n"/>
      <c r="C1199" s="17" t="n"/>
      <c r="D1199" s="18" t="n"/>
      <c r="E1199" s="17" t="n"/>
      <c r="F1199" s="17" t="n"/>
      <c r="G1199" s="19" t="n"/>
      <c r="H1199" s="17" t="n"/>
      <c r="I1199" s="17" t="n"/>
      <c r="J1199" s="17" t="n"/>
      <c r="K1199" s="20">
        <f>IF($B1199="","",IFERROR(INDEX(الموظفات!$A$5:$A$304,MATCH($B1199,الموظفات!$B$5:$B$304,0))&amp;"",""))</f>
        <v/>
      </c>
      <c r="L1199" s="21">
        <f>IF($B1199="","",IFERROR(INDEX(الموظفات!$C$5:$C$304,MATCH($B1199,الموظفات!$B$5:$B$304,0))&amp;"",""))</f>
        <v/>
      </c>
      <c r="M1199" s="20">
        <f>IF($B1199="","",IFERROR(INDEX(الموظفات!$D$5:$D$304,MATCH($B1199,الموظفات!$B$5:$B$304,0))&amp;"",""))</f>
        <v/>
      </c>
      <c r="N1199" s="20">
        <f>IF($B1199="","",IFERROR(INDEX(الموظفات!$E$5:$E$304,MATCH($B1199,الموظفات!$B$5:$B$304,0))&amp;"",""))</f>
        <v/>
      </c>
      <c r="O1199" s="21">
        <f>IF(C1199="","",IFERROR(INDEX(الإعدادات!$D$7:$D$35,MATCH(C1199,الإعدادات!$A$7:$A$35,0))&amp;"",""))</f>
        <v/>
      </c>
      <c r="P1199" s="20">
        <f>IF(A1199="","",INDEX(الإعدادات!$H$7:$H$18,MONTH(A1199)))</f>
        <v/>
      </c>
      <c r="Q1199" s="20">
        <f>IF(A1199="","",INDEX(الإعدادات!$I$7:$I$18,MONTH(A1199)))</f>
        <v/>
      </c>
      <c r="R1199" s="20">
        <f>IF(A1199="","",IF(MONTH(A1199)&gt;=8,YEAR(A1199)&amp;"-"&amp;(YEAR(A1199)+1),(YEAR(A1199)-1)&amp;"-"&amp;YEAR(A1199)))</f>
        <v/>
      </c>
      <c r="S1199" s="20">
        <f>IF(OR(A1199="",B1199=""),0,IF(AND(R1199=التقارير!$C$4,OR(التقارير!$C$5="سنوي",AND(التقارير!$C$5="شهري",P1199=التقارير!$C$6),AND(التقارير!$C$5="فصلي",Q1199=التقارير!$C$7))),1,0))</f>
        <v/>
      </c>
      <c r="T1199" s="20">
        <f>IF(S1199=1,COUNTIF($S$5:S1199,1),"")</f>
        <v/>
      </c>
      <c r="U1199">
        <f>IF(AND($A1199&lt;&gt;"",$B1199&lt;&gt;"",$R1199='تقرير الفصل الأول'!$C$4,$Q1199='تقرير الفصل الأول'!$C$7),COUNT(U$4:U1198)+1,"")</f>
        <v/>
      </c>
      <c r="V1199">
        <f>IF(AND($A1199&lt;&gt;"",$B1199&lt;&gt;"",$R1199='تقرير الفصل الثاني'!$C$4,$Q1199='تقرير الفصل الثاني'!$C$7),COUNT(V$4:V1198)+1,"")</f>
        <v/>
      </c>
      <c r="W1199">
        <f>IF(AND($A1199&lt;&gt;"",$B1199&lt;&gt;"",$R1199='تقرير سبتمبر'!$C$4,$P1199='تقرير سبتمبر'!$C$6),COUNT(W$4:W1198)+1,"")</f>
        <v/>
      </c>
      <c r="X1199">
        <f>IF(AND($A1199&lt;&gt;"",$B1199&lt;&gt;"",$R1199='تقرير أكتوبر'!$C$4,$P1199='تقرير أكتوبر'!$C$6),COUNT(X$4:X1198)+1,"")</f>
        <v/>
      </c>
      <c r="Y1199">
        <f>IF(AND($A1199&lt;&gt;"",$B1199&lt;&gt;"",$R1199='تقرير نوفمبر'!$C$4,$P1199='تقرير نوفمبر'!$C$6),COUNT(Y$4:Y1198)+1,"")</f>
        <v/>
      </c>
      <c r="Z1199">
        <f>IF(AND($A1199&lt;&gt;"",$B1199&lt;&gt;"",$R1199='تقرير ديسمبر'!$C$4,$P1199='تقرير ديسمبر'!$C$6),COUNT(Z$4:Z1198)+1,"")</f>
        <v/>
      </c>
      <c r="AA1199">
        <f>IF(AND($A1199&lt;&gt;"",$B1199&lt;&gt;"",$R1199='تقرير يناير'!$C$4,$P1199='تقرير يناير'!$C$6),COUNT(AA$4:AA1198)+1,"")</f>
        <v/>
      </c>
      <c r="AB1199">
        <f>IF(AND($A1199&lt;&gt;"",$B1199&lt;&gt;"",$R1199='تقرير فبراير'!$C$4,$P1199='تقرير فبراير'!$C$6),COUNT(AB$4:AB1198)+1,"")</f>
        <v/>
      </c>
      <c r="AC1199">
        <f>IF(AND($A1199&lt;&gt;"",$B1199&lt;&gt;"",$R1199='تقرير مارس'!$C$4,$P1199='تقرير مارس'!$C$6),COUNT(AC$4:AC1198)+1,"")</f>
        <v/>
      </c>
      <c r="AD1199">
        <f>IF(AND($A1199&lt;&gt;"",$B1199&lt;&gt;"",$R1199='تقرير أبريل'!$C$4,$P1199='تقرير أبريل'!$C$6),COUNT(AD$4:AD1198)+1,"")</f>
        <v/>
      </c>
      <c r="AE1199">
        <f>IF(AND($A1199&lt;&gt;"",$B1199&lt;&gt;"",$R1199='تقرير مايو'!$C$4,$P1199='تقرير مايو'!$C$6),COUNT(AE$4:AE1198)+1,"")</f>
        <v/>
      </c>
    </row>
    <row r="1200">
      <c r="A1200" s="16" t="n"/>
      <c r="B1200" s="17" t="n"/>
      <c r="C1200" s="17" t="n"/>
      <c r="D1200" s="18" t="n"/>
      <c r="E1200" s="17" t="n"/>
      <c r="F1200" s="17" t="n"/>
      <c r="G1200" s="19" t="n"/>
      <c r="H1200" s="17" t="n"/>
      <c r="I1200" s="17" t="n"/>
      <c r="J1200" s="17" t="n"/>
      <c r="K1200" s="20">
        <f>IF($B1200="","",IFERROR(INDEX(الموظفات!$A$5:$A$304,MATCH($B1200,الموظفات!$B$5:$B$304,0))&amp;"",""))</f>
        <v/>
      </c>
      <c r="L1200" s="21">
        <f>IF($B1200="","",IFERROR(INDEX(الموظفات!$C$5:$C$304,MATCH($B1200,الموظفات!$B$5:$B$304,0))&amp;"",""))</f>
        <v/>
      </c>
      <c r="M1200" s="20">
        <f>IF($B1200="","",IFERROR(INDEX(الموظفات!$D$5:$D$304,MATCH($B1200,الموظفات!$B$5:$B$304,0))&amp;"",""))</f>
        <v/>
      </c>
      <c r="N1200" s="20">
        <f>IF($B1200="","",IFERROR(INDEX(الموظفات!$E$5:$E$304,MATCH($B1200,الموظفات!$B$5:$B$304,0))&amp;"",""))</f>
        <v/>
      </c>
      <c r="O1200" s="21">
        <f>IF(C1200="","",IFERROR(INDEX(الإعدادات!$D$7:$D$35,MATCH(C1200,الإعدادات!$A$7:$A$35,0))&amp;"",""))</f>
        <v/>
      </c>
      <c r="P1200" s="20">
        <f>IF(A1200="","",INDEX(الإعدادات!$H$7:$H$18,MONTH(A1200)))</f>
        <v/>
      </c>
      <c r="Q1200" s="20">
        <f>IF(A1200="","",INDEX(الإعدادات!$I$7:$I$18,MONTH(A1200)))</f>
        <v/>
      </c>
      <c r="R1200" s="20">
        <f>IF(A1200="","",IF(MONTH(A1200)&gt;=8,YEAR(A1200)&amp;"-"&amp;(YEAR(A1200)+1),(YEAR(A1200)-1)&amp;"-"&amp;YEAR(A1200)))</f>
        <v/>
      </c>
      <c r="S1200" s="20">
        <f>IF(OR(A1200="",B1200=""),0,IF(AND(R1200=التقارير!$C$4,OR(التقارير!$C$5="سنوي",AND(التقارير!$C$5="شهري",P1200=التقارير!$C$6),AND(التقارير!$C$5="فصلي",Q1200=التقارير!$C$7))),1,0))</f>
        <v/>
      </c>
      <c r="T1200" s="20">
        <f>IF(S1200=1,COUNTIF($S$5:S1200,1),"")</f>
        <v/>
      </c>
      <c r="U1200">
        <f>IF(AND($A1200&lt;&gt;"",$B1200&lt;&gt;"",$R1200='تقرير الفصل الأول'!$C$4,$Q1200='تقرير الفصل الأول'!$C$7),COUNT(U$4:U1199)+1,"")</f>
        <v/>
      </c>
      <c r="V1200">
        <f>IF(AND($A1200&lt;&gt;"",$B1200&lt;&gt;"",$R1200='تقرير الفصل الثاني'!$C$4,$Q1200='تقرير الفصل الثاني'!$C$7),COUNT(V$4:V1199)+1,"")</f>
        <v/>
      </c>
      <c r="W1200">
        <f>IF(AND($A1200&lt;&gt;"",$B1200&lt;&gt;"",$R1200='تقرير سبتمبر'!$C$4,$P1200='تقرير سبتمبر'!$C$6),COUNT(W$4:W1199)+1,"")</f>
        <v/>
      </c>
      <c r="X1200">
        <f>IF(AND($A1200&lt;&gt;"",$B1200&lt;&gt;"",$R1200='تقرير أكتوبر'!$C$4,$P1200='تقرير أكتوبر'!$C$6),COUNT(X$4:X1199)+1,"")</f>
        <v/>
      </c>
      <c r="Y1200">
        <f>IF(AND($A1200&lt;&gt;"",$B1200&lt;&gt;"",$R1200='تقرير نوفمبر'!$C$4,$P1200='تقرير نوفمبر'!$C$6),COUNT(Y$4:Y1199)+1,"")</f>
        <v/>
      </c>
      <c r="Z1200">
        <f>IF(AND($A1200&lt;&gt;"",$B1200&lt;&gt;"",$R1200='تقرير ديسمبر'!$C$4,$P1200='تقرير ديسمبر'!$C$6),COUNT(Z$4:Z1199)+1,"")</f>
        <v/>
      </c>
      <c r="AA1200">
        <f>IF(AND($A1200&lt;&gt;"",$B1200&lt;&gt;"",$R1200='تقرير يناير'!$C$4,$P1200='تقرير يناير'!$C$6),COUNT(AA$4:AA1199)+1,"")</f>
        <v/>
      </c>
      <c r="AB1200">
        <f>IF(AND($A1200&lt;&gt;"",$B1200&lt;&gt;"",$R1200='تقرير فبراير'!$C$4,$P1200='تقرير فبراير'!$C$6),COUNT(AB$4:AB1199)+1,"")</f>
        <v/>
      </c>
      <c r="AC1200">
        <f>IF(AND($A1200&lt;&gt;"",$B1200&lt;&gt;"",$R1200='تقرير مارس'!$C$4,$P1200='تقرير مارس'!$C$6),COUNT(AC$4:AC1199)+1,"")</f>
        <v/>
      </c>
      <c r="AD1200">
        <f>IF(AND($A1200&lt;&gt;"",$B1200&lt;&gt;"",$R1200='تقرير أبريل'!$C$4,$P1200='تقرير أبريل'!$C$6),COUNT(AD$4:AD1199)+1,"")</f>
        <v/>
      </c>
      <c r="AE1200">
        <f>IF(AND($A1200&lt;&gt;"",$B1200&lt;&gt;"",$R1200='تقرير مايو'!$C$4,$P1200='تقرير مايو'!$C$6),COUNT(AE$4:AE1199)+1,"")</f>
        <v/>
      </c>
    </row>
    <row r="1201">
      <c r="A1201" s="16" t="n"/>
      <c r="B1201" s="17" t="n"/>
      <c r="C1201" s="17" t="n"/>
      <c r="D1201" s="18" t="n"/>
      <c r="E1201" s="17" t="n"/>
      <c r="F1201" s="17" t="n"/>
      <c r="G1201" s="19" t="n"/>
      <c r="H1201" s="17" t="n"/>
      <c r="I1201" s="17" t="n"/>
      <c r="J1201" s="17" t="n"/>
      <c r="K1201" s="20">
        <f>IF($B1201="","",IFERROR(INDEX(الموظفات!$A$5:$A$304,MATCH($B1201,الموظفات!$B$5:$B$304,0))&amp;"",""))</f>
        <v/>
      </c>
      <c r="L1201" s="21">
        <f>IF($B1201="","",IFERROR(INDEX(الموظفات!$C$5:$C$304,MATCH($B1201,الموظفات!$B$5:$B$304,0))&amp;"",""))</f>
        <v/>
      </c>
      <c r="M1201" s="20">
        <f>IF($B1201="","",IFERROR(INDEX(الموظفات!$D$5:$D$304,MATCH($B1201,الموظفات!$B$5:$B$304,0))&amp;"",""))</f>
        <v/>
      </c>
      <c r="N1201" s="20">
        <f>IF($B1201="","",IFERROR(INDEX(الموظفات!$E$5:$E$304,MATCH($B1201,الموظفات!$B$5:$B$304,0))&amp;"",""))</f>
        <v/>
      </c>
      <c r="O1201" s="21">
        <f>IF(C1201="","",IFERROR(INDEX(الإعدادات!$D$7:$D$35,MATCH(C1201,الإعدادات!$A$7:$A$35,0))&amp;"",""))</f>
        <v/>
      </c>
      <c r="P1201" s="20">
        <f>IF(A1201="","",INDEX(الإعدادات!$H$7:$H$18,MONTH(A1201)))</f>
        <v/>
      </c>
      <c r="Q1201" s="20">
        <f>IF(A1201="","",INDEX(الإعدادات!$I$7:$I$18,MONTH(A1201)))</f>
        <v/>
      </c>
      <c r="R1201" s="20">
        <f>IF(A1201="","",IF(MONTH(A1201)&gt;=8,YEAR(A1201)&amp;"-"&amp;(YEAR(A1201)+1),(YEAR(A1201)-1)&amp;"-"&amp;YEAR(A1201)))</f>
        <v/>
      </c>
      <c r="S1201" s="20">
        <f>IF(OR(A1201="",B1201=""),0,IF(AND(R1201=التقارير!$C$4,OR(التقارير!$C$5="سنوي",AND(التقارير!$C$5="شهري",P1201=التقارير!$C$6),AND(التقارير!$C$5="فصلي",Q1201=التقارير!$C$7))),1,0))</f>
        <v/>
      </c>
      <c r="T1201" s="20">
        <f>IF(S1201=1,COUNTIF($S$5:S1201,1),"")</f>
        <v/>
      </c>
      <c r="U1201">
        <f>IF(AND($A1201&lt;&gt;"",$B1201&lt;&gt;"",$R1201='تقرير الفصل الأول'!$C$4,$Q1201='تقرير الفصل الأول'!$C$7),COUNT(U$4:U1200)+1,"")</f>
        <v/>
      </c>
      <c r="V1201">
        <f>IF(AND($A1201&lt;&gt;"",$B1201&lt;&gt;"",$R1201='تقرير الفصل الثاني'!$C$4,$Q1201='تقرير الفصل الثاني'!$C$7),COUNT(V$4:V1200)+1,"")</f>
        <v/>
      </c>
      <c r="W1201">
        <f>IF(AND($A1201&lt;&gt;"",$B1201&lt;&gt;"",$R1201='تقرير سبتمبر'!$C$4,$P1201='تقرير سبتمبر'!$C$6),COUNT(W$4:W1200)+1,"")</f>
        <v/>
      </c>
      <c r="X1201">
        <f>IF(AND($A1201&lt;&gt;"",$B1201&lt;&gt;"",$R1201='تقرير أكتوبر'!$C$4,$P1201='تقرير أكتوبر'!$C$6),COUNT(X$4:X1200)+1,"")</f>
        <v/>
      </c>
      <c r="Y1201">
        <f>IF(AND($A1201&lt;&gt;"",$B1201&lt;&gt;"",$R1201='تقرير نوفمبر'!$C$4,$P1201='تقرير نوفمبر'!$C$6),COUNT(Y$4:Y1200)+1,"")</f>
        <v/>
      </c>
      <c r="Z1201">
        <f>IF(AND($A1201&lt;&gt;"",$B1201&lt;&gt;"",$R1201='تقرير ديسمبر'!$C$4,$P1201='تقرير ديسمبر'!$C$6),COUNT(Z$4:Z1200)+1,"")</f>
        <v/>
      </c>
      <c r="AA1201">
        <f>IF(AND($A1201&lt;&gt;"",$B1201&lt;&gt;"",$R1201='تقرير يناير'!$C$4,$P1201='تقرير يناير'!$C$6),COUNT(AA$4:AA1200)+1,"")</f>
        <v/>
      </c>
      <c r="AB1201">
        <f>IF(AND($A1201&lt;&gt;"",$B1201&lt;&gt;"",$R1201='تقرير فبراير'!$C$4,$P1201='تقرير فبراير'!$C$6),COUNT(AB$4:AB1200)+1,"")</f>
        <v/>
      </c>
      <c r="AC1201">
        <f>IF(AND($A1201&lt;&gt;"",$B1201&lt;&gt;"",$R1201='تقرير مارس'!$C$4,$P1201='تقرير مارس'!$C$6),COUNT(AC$4:AC1200)+1,"")</f>
        <v/>
      </c>
      <c r="AD1201">
        <f>IF(AND($A1201&lt;&gt;"",$B1201&lt;&gt;"",$R1201='تقرير أبريل'!$C$4,$P1201='تقرير أبريل'!$C$6),COUNT(AD$4:AD1200)+1,"")</f>
        <v/>
      </c>
      <c r="AE1201">
        <f>IF(AND($A1201&lt;&gt;"",$B1201&lt;&gt;"",$R1201='تقرير مايو'!$C$4,$P1201='تقرير مايو'!$C$6),COUNT(AE$4:AE1200)+1,"")</f>
        <v/>
      </c>
    </row>
    <row r="1202">
      <c r="A1202" s="16" t="n"/>
      <c r="B1202" s="17" t="n"/>
      <c r="C1202" s="17" t="n"/>
      <c r="D1202" s="18" t="n"/>
      <c r="E1202" s="17" t="n"/>
      <c r="F1202" s="17" t="n"/>
      <c r="G1202" s="19" t="n"/>
      <c r="H1202" s="17" t="n"/>
      <c r="I1202" s="17" t="n"/>
      <c r="J1202" s="17" t="n"/>
      <c r="K1202" s="20">
        <f>IF($B1202="","",IFERROR(INDEX(الموظفات!$A$5:$A$304,MATCH($B1202,الموظفات!$B$5:$B$304,0))&amp;"",""))</f>
        <v/>
      </c>
      <c r="L1202" s="21">
        <f>IF($B1202="","",IFERROR(INDEX(الموظفات!$C$5:$C$304,MATCH($B1202,الموظفات!$B$5:$B$304,0))&amp;"",""))</f>
        <v/>
      </c>
      <c r="M1202" s="20">
        <f>IF($B1202="","",IFERROR(INDEX(الموظفات!$D$5:$D$304,MATCH($B1202,الموظفات!$B$5:$B$304,0))&amp;"",""))</f>
        <v/>
      </c>
      <c r="N1202" s="20">
        <f>IF($B1202="","",IFERROR(INDEX(الموظفات!$E$5:$E$304,MATCH($B1202,الموظفات!$B$5:$B$304,0))&amp;"",""))</f>
        <v/>
      </c>
      <c r="O1202" s="21">
        <f>IF(C1202="","",IFERROR(INDEX(الإعدادات!$D$7:$D$35,MATCH(C1202,الإعدادات!$A$7:$A$35,0))&amp;"",""))</f>
        <v/>
      </c>
      <c r="P1202" s="20">
        <f>IF(A1202="","",INDEX(الإعدادات!$H$7:$H$18,MONTH(A1202)))</f>
        <v/>
      </c>
      <c r="Q1202" s="20">
        <f>IF(A1202="","",INDEX(الإعدادات!$I$7:$I$18,MONTH(A1202)))</f>
        <v/>
      </c>
      <c r="R1202" s="20">
        <f>IF(A1202="","",IF(MONTH(A1202)&gt;=8,YEAR(A1202)&amp;"-"&amp;(YEAR(A1202)+1),(YEAR(A1202)-1)&amp;"-"&amp;YEAR(A1202)))</f>
        <v/>
      </c>
      <c r="S1202" s="20">
        <f>IF(OR(A1202="",B1202=""),0,IF(AND(R1202=التقارير!$C$4,OR(التقارير!$C$5="سنوي",AND(التقارير!$C$5="شهري",P1202=التقارير!$C$6),AND(التقارير!$C$5="فصلي",Q1202=التقارير!$C$7))),1,0))</f>
        <v/>
      </c>
      <c r="T1202" s="20">
        <f>IF(S1202=1,COUNTIF($S$5:S1202,1),"")</f>
        <v/>
      </c>
      <c r="U1202">
        <f>IF(AND($A1202&lt;&gt;"",$B1202&lt;&gt;"",$R1202='تقرير الفصل الأول'!$C$4,$Q1202='تقرير الفصل الأول'!$C$7),COUNT(U$4:U1201)+1,"")</f>
        <v/>
      </c>
      <c r="V1202">
        <f>IF(AND($A1202&lt;&gt;"",$B1202&lt;&gt;"",$R1202='تقرير الفصل الثاني'!$C$4,$Q1202='تقرير الفصل الثاني'!$C$7),COUNT(V$4:V1201)+1,"")</f>
        <v/>
      </c>
      <c r="W1202">
        <f>IF(AND($A1202&lt;&gt;"",$B1202&lt;&gt;"",$R1202='تقرير سبتمبر'!$C$4,$P1202='تقرير سبتمبر'!$C$6),COUNT(W$4:W1201)+1,"")</f>
        <v/>
      </c>
      <c r="X1202">
        <f>IF(AND($A1202&lt;&gt;"",$B1202&lt;&gt;"",$R1202='تقرير أكتوبر'!$C$4,$P1202='تقرير أكتوبر'!$C$6),COUNT(X$4:X1201)+1,"")</f>
        <v/>
      </c>
      <c r="Y1202">
        <f>IF(AND($A1202&lt;&gt;"",$B1202&lt;&gt;"",$R1202='تقرير نوفمبر'!$C$4,$P1202='تقرير نوفمبر'!$C$6),COUNT(Y$4:Y1201)+1,"")</f>
        <v/>
      </c>
      <c r="Z1202">
        <f>IF(AND($A1202&lt;&gt;"",$B1202&lt;&gt;"",$R1202='تقرير ديسمبر'!$C$4,$P1202='تقرير ديسمبر'!$C$6),COUNT(Z$4:Z1201)+1,"")</f>
        <v/>
      </c>
      <c r="AA1202">
        <f>IF(AND($A1202&lt;&gt;"",$B1202&lt;&gt;"",$R1202='تقرير يناير'!$C$4,$P1202='تقرير يناير'!$C$6),COUNT(AA$4:AA1201)+1,"")</f>
        <v/>
      </c>
      <c r="AB1202">
        <f>IF(AND($A1202&lt;&gt;"",$B1202&lt;&gt;"",$R1202='تقرير فبراير'!$C$4,$P1202='تقرير فبراير'!$C$6),COUNT(AB$4:AB1201)+1,"")</f>
        <v/>
      </c>
      <c r="AC1202">
        <f>IF(AND($A1202&lt;&gt;"",$B1202&lt;&gt;"",$R1202='تقرير مارس'!$C$4,$P1202='تقرير مارس'!$C$6),COUNT(AC$4:AC1201)+1,"")</f>
        <v/>
      </c>
      <c r="AD1202">
        <f>IF(AND($A1202&lt;&gt;"",$B1202&lt;&gt;"",$R1202='تقرير أبريل'!$C$4,$P1202='تقرير أبريل'!$C$6),COUNT(AD$4:AD1201)+1,"")</f>
        <v/>
      </c>
      <c r="AE1202">
        <f>IF(AND($A1202&lt;&gt;"",$B1202&lt;&gt;"",$R1202='تقرير مايو'!$C$4,$P1202='تقرير مايو'!$C$6),COUNT(AE$4:AE1201)+1,"")</f>
        <v/>
      </c>
    </row>
    <row r="1203">
      <c r="A1203" s="16" t="n"/>
      <c r="B1203" s="17" t="n"/>
      <c r="C1203" s="17" t="n"/>
      <c r="D1203" s="18" t="n"/>
      <c r="E1203" s="17" t="n"/>
      <c r="F1203" s="17" t="n"/>
      <c r="G1203" s="19" t="n"/>
      <c r="H1203" s="17" t="n"/>
      <c r="I1203" s="17" t="n"/>
      <c r="J1203" s="17" t="n"/>
      <c r="K1203" s="20">
        <f>IF($B1203="","",IFERROR(INDEX(الموظفات!$A$5:$A$304,MATCH($B1203,الموظفات!$B$5:$B$304,0))&amp;"",""))</f>
        <v/>
      </c>
      <c r="L1203" s="21">
        <f>IF($B1203="","",IFERROR(INDEX(الموظفات!$C$5:$C$304,MATCH($B1203,الموظفات!$B$5:$B$304,0))&amp;"",""))</f>
        <v/>
      </c>
      <c r="M1203" s="20">
        <f>IF($B1203="","",IFERROR(INDEX(الموظفات!$D$5:$D$304,MATCH($B1203,الموظفات!$B$5:$B$304,0))&amp;"",""))</f>
        <v/>
      </c>
      <c r="N1203" s="20">
        <f>IF($B1203="","",IFERROR(INDEX(الموظفات!$E$5:$E$304,MATCH($B1203,الموظفات!$B$5:$B$304,0))&amp;"",""))</f>
        <v/>
      </c>
      <c r="O1203" s="21">
        <f>IF(C1203="","",IFERROR(INDEX(الإعدادات!$D$7:$D$35,MATCH(C1203,الإعدادات!$A$7:$A$35,0))&amp;"",""))</f>
        <v/>
      </c>
      <c r="P1203" s="20">
        <f>IF(A1203="","",INDEX(الإعدادات!$H$7:$H$18,MONTH(A1203)))</f>
        <v/>
      </c>
      <c r="Q1203" s="20">
        <f>IF(A1203="","",INDEX(الإعدادات!$I$7:$I$18,MONTH(A1203)))</f>
        <v/>
      </c>
      <c r="R1203" s="20">
        <f>IF(A1203="","",IF(MONTH(A1203)&gt;=8,YEAR(A1203)&amp;"-"&amp;(YEAR(A1203)+1),(YEAR(A1203)-1)&amp;"-"&amp;YEAR(A1203)))</f>
        <v/>
      </c>
      <c r="S1203" s="20">
        <f>IF(OR(A1203="",B1203=""),0,IF(AND(R1203=التقارير!$C$4,OR(التقارير!$C$5="سنوي",AND(التقارير!$C$5="شهري",P1203=التقارير!$C$6),AND(التقارير!$C$5="فصلي",Q1203=التقارير!$C$7))),1,0))</f>
        <v/>
      </c>
      <c r="T1203" s="20">
        <f>IF(S1203=1,COUNTIF($S$5:S1203,1),"")</f>
        <v/>
      </c>
      <c r="U1203">
        <f>IF(AND($A1203&lt;&gt;"",$B1203&lt;&gt;"",$R1203='تقرير الفصل الأول'!$C$4,$Q1203='تقرير الفصل الأول'!$C$7),COUNT(U$4:U1202)+1,"")</f>
        <v/>
      </c>
      <c r="V1203">
        <f>IF(AND($A1203&lt;&gt;"",$B1203&lt;&gt;"",$R1203='تقرير الفصل الثاني'!$C$4,$Q1203='تقرير الفصل الثاني'!$C$7),COUNT(V$4:V1202)+1,"")</f>
        <v/>
      </c>
      <c r="W1203">
        <f>IF(AND($A1203&lt;&gt;"",$B1203&lt;&gt;"",$R1203='تقرير سبتمبر'!$C$4,$P1203='تقرير سبتمبر'!$C$6),COUNT(W$4:W1202)+1,"")</f>
        <v/>
      </c>
      <c r="X1203">
        <f>IF(AND($A1203&lt;&gt;"",$B1203&lt;&gt;"",$R1203='تقرير أكتوبر'!$C$4,$P1203='تقرير أكتوبر'!$C$6),COUNT(X$4:X1202)+1,"")</f>
        <v/>
      </c>
      <c r="Y1203">
        <f>IF(AND($A1203&lt;&gt;"",$B1203&lt;&gt;"",$R1203='تقرير نوفمبر'!$C$4,$P1203='تقرير نوفمبر'!$C$6),COUNT(Y$4:Y1202)+1,"")</f>
        <v/>
      </c>
      <c r="Z1203">
        <f>IF(AND($A1203&lt;&gt;"",$B1203&lt;&gt;"",$R1203='تقرير ديسمبر'!$C$4,$P1203='تقرير ديسمبر'!$C$6),COUNT(Z$4:Z1202)+1,"")</f>
        <v/>
      </c>
      <c r="AA1203">
        <f>IF(AND($A1203&lt;&gt;"",$B1203&lt;&gt;"",$R1203='تقرير يناير'!$C$4,$P1203='تقرير يناير'!$C$6),COUNT(AA$4:AA1202)+1,"")</f>
        <v/>
      </c>
      <c r="AB1203">
        <f>IF(AND($A1203&lt;&gt;"",$B1203&lt;&gt;"",$R1203='تقرير فبراير'!$C$4,$P1203='تقرير فبراير'!$C$6),COUNT(AB$4:AB1202)+1,"")</f>
        <v/>
      </c>
      <c r="AC1203">
        <f>IF(AND($A1203&lt;&gt;"",$B1203&lt;&gt;"",$R1203='تقرير مارس'!$C$4,$P1203='تقرير مارس'!$C$6),COUNT(AC$4:AC1202)+1,"")</f>
        <v/>
      </c>
      <c r="AD1203">
        <f>IF(AND($A1203&lt;&gt;"",$B1203&lt;&gt;"",$R1203='تقرير أبريل'!$C$4,$P1203='تقرير أبريل'!$C$6),COUNT(AD$4:AD1202)+1,"")</f>
        <v/>
      </c>
      <c r="AE1203">
        <f>IF(AND($A1203&lt;&gt;"",$B1203&lt;&gt;"",$R1203='تقرير مايو'!$C$4,$P1203='تقرير مايو'!$C$6),COUNT(AE$4:AE1202)+1,"")</f>
        <v/>
      </c>
    </row>
    <row r="1204">
      <c r="A1204" s="16" t="n"/>
      <c r="B1204" s="17" t="n"/>
      <c r="C1204" s="17" t="n"/>
      <c r="D1204" s="18" t="n"/>
      <c r="E1204" s="17" t="n"/>
      <c r="F1204" s="17" t="n"/>
      <c r="G1204" s="19" t="n"/>
      <c r="H1204" s="17" t="n"/>
      <c r="I1204" s="17" t="n"/>
      <c r="J1204" s="17" t="n"/>
      <c r="K1204" s="20">
        <f>IF($B1204="","",IFERROR(INDEX(الموظفات!$A$5:$A$304,MATCH($B1204,الموظفات!$B$5:$B$304,0))&amp;"",""))</f>
        <v/>
      </c>
      <c r="L1204" s="21">
        <f>IF($B1204="","",IFERROR(INDEX(الموظفات!$C$5:$C$304,MATCH($B1204,الموظفات!$B$5:$B$304,0))&amp;"",""))</f>
        <v/>
      </c>
      <c r="M1204" s="20">
        <f>IF($B1204="","",IFERROR(INDEX(الموظفات!$D$5:$D$304,MATCH($B1204,الموظفات!$B$5:$B$304,0))&amp;"",""))</f>
        <v/>
      </c>
      <c r="N1204" s="20">
        <f>IF($B1204="","",IFERROR(INDEX(الموظفات!$E$5:$E$304,MATCH($B1204,الموظفات!$B$5:$B$304,0))&amp;"",""))</f>
        <v/>
      </c>
      <c r="O1204" s="21">
        <f>IF(C1204="","",IFERROR(INDEX(الإعدادات!$D$7:$D$35,MATCH(C1204,الإعدادات!$A$7:$A$35,0))&amp;"",""))</f>
        <v/>
      </c>
      <c r="P1204" s="20">
        <f>IF(A1204="","",INDEX(الإعدادات!$H$7:$H$18,MONTH(A1204)))</f>
        <v/>
      </c>
      <c r="Q1204" s="20">
        <f>IF(A1204="","",INDEX(الإعدادات!$I$7:$I$18,MONTH(A1204)))</f>
        <v/>
      </c>
      <c r="R1204" s="20">
        <f>IF(A1204="","",IF(MONTH(A1204)&gt;=8,YEAR(A1204)&amp;"-"&amp;(YEAR(A1204)+1),(YEAR(A1204)-1)&amp;"-"&amp;YEAR(A1204)))</f>
        <v/>
      </c>
      <c r="S1204" s="20">
        <f>IF(OR(A1204="",B1204=""),0,IF(AND(R1204=التقارير!$C$4,OR(التقارير!$C$5="سنوي",AND(التقارير!$C$5="شهري",P1204=التقارير!$C$6),AND(التقارير!$C$5="فصلي",Q1204=التقارير!$C$7))),1,0))</f>
        <v/>
      </c>
      <c r="T1204" s="20">
        <f>IF(S1204=1,COUNTIF($S$5:S1204,1),"")</f>
        <v/>
      </c>
      <c r="U1204">
        <f>IF(AND($A1204&lt;&gt;"",$B1204&lt;&gt;"",$R1204='تقرير الفصل الأول'!$C$4,$Q1204='تقرير الفصل الأول'!$C$7),COUNT(U$4:U1203)+1,"")</f>
        <v/>
      </c>
      <c r="V1204">
        <f>IF(AND($A1204&lt;&gt;"",$B1204&lt;&gt;"",$R1204='تقرير الفصل الثاني'!$C$4,$Q1204='تقرير الفصل الثاني'!$C$7),COUNT(V$4:V1203)+1,"")</f>
        <v/>
      </c>
      <c r="W1204">
        <f>IF(AND($A1204&lt;&gt;"",$B1204&lt;&gt;"",$R1204='تقرير سبتمبر'!$C$4,$P1204='تقرير سبتمبر'!$C$6),COUNT(W$4:W1203)+1,"")</f>
        <v/>
      </c>
      <c r="X1204">
        <f>IF(AND($A1204&lt;&gt;"",$B1204&lt;&gt;"",$R1204='تقرير أكتوبر'!$C$4,$P1204='تقرير أكتوبر'!$C$6),COUNT(X$4:X1203)+1,"")</f>
        <v/>
      </c>
      <c r="Y1204">
        <f>IF(AND($A1204&lt;&gt;"",$B1204&lt;&gt;"",$R1204='تقرير نوفمبر'!$C$4,$P1204='تقرير نوفمبر'!$C$6),COUNT(Y$4:Y1203)+1,"")</f>
        <v/>
      </c>
      <c r="Z1204">
        <f>IF(AND($A1204&lt;&gt;"",$B1204&lt;&gt;"",$R1204='تقرير ديسمبر'!$C$4,$P1204='تقرير ديسمبر'!$C$6),COUNT(Z$4:Z1203)+1,"")</f>
        <v/>
      </c>
      <c r="AA1204">
        <f>IF(AND($A1204&lt;&gt;"",$B1204&lt;&gt;"",$R1204='تقرير يناير'!$C$4,$P1204='تقرير يناير'!$C$6),COUNT(AA$4:AA1203)+1,"")</f>
        <v/>
      </c>
      <c r="AB1204">
        <f>IF(AND($A1204&lt;&gt;"",$B1204&lt;&gt;"",$R1204='تقرير فبراير'!$C$4,$P1204='تقرير فبراير'!$C$6),COUNT(AB$4:AB1203)+1,"")</f>
        <v/>
      </c>
      <c r="AC1204">
        <f>IF(AND($A1204&lt;&gt;"",$B1204&lt;&gt;"",$R1204='تقرير مارس'!$C$4,$P1204='تقرير مارس'!$C$6),COUNT(AC$4:AC1203)+1,"")</f>
        <v/>
      </c>
      <c r="AD1204">
        <f>IF(AND($A1204&lt;&gt;"",$B1204&lt;&gt;"",$R1204='تقرير أبريل'!$C$4,$P1204='تقرير أبريل'!$C$6),COUNT(AD$4:AD1203)+1,"")</f>
        <v/>
      </c>
      <c r="AE1204">
        <f>IF(AND($A1204&lt;&gt;"",$B1204&lt;&gt;"",$R1204='تقرير مايو'!$C$4,$P1204='تقرير مايو'!$C$6),COUNT(AE$4:AE1203)+1,"")</f>
        <v/>
      </c>
    </row>
    <row r="1205">
      <c r="A1205" s="16" t="n"/>
      <c r="B1205" s="17" t="n"/>
      <c r="C1205" s="17" t="n"/>
      <c r="D1205" s="18" t="n"/>
      <c r="E1205" s="17" t="n"/>
      <c r="F1205" s="17" t="n"/>
      <c r="G1205" s="19" t="n"/>
      <c r="H1205" s="17" t="n"/>
      <c r="I1205" s="17" t="n"/>
      <c r="J1205" s="17" t="n"/>
      <c r="K1205" s="20">
        <f>IF($B1205="","",IFERROR(INDEX(الموظفات!$A$5:$A$304,MATCH($B1205,الموظفات!$B$5:$B$304,0))&amp;"",""))</f>
        <v/>
      </c>
      <c r="L1205" s="21">
        <f>IF($B1205="","",IFERROR(INDEX(الموظفات!$C$5:$C$304,MATCH($B1205,الموظفات!$B$5:$B$304,0))&amp;"",""))</f>
        <v/>
      </c>
      <c r="M1205" s="20">
        <f>IF($B1205="","",IFERROR(INDEX(الموظفات!$D$5:$D$304,MATCH($B1205,الموظفات!$B$5:$B$304,0))&amp;"",""))</f>
        <v/>
      </c>
      <c r="N1205" s="20">
        <f>IF($B1205="","",IFERROR(INDEX(الموظفات!$E$5:$E$304,MATCH($B1205,الموظفات!$B$5:$B$304,0))&amp;"",""))</f>
        <v/>
      </c>
      <c r="O1205" s="21">
        <f>IF(C1205="","",IFERROR(INDEX(الإعدادات!$D$7:$D$35,MATCH(C1205,الإعدادات!$A$7:$A$35,0))&amp;"",""))</f>
        <v/>
      </c>
      <c r="P1205" s="20">
        <f>IF(A1205="","",INDEX(الإعدادات!$H$7:$H$18,MONTH(A1205)))</f>
        <v/>
      </c>
      <c r="Q1205" s="20">
        <f>IF(A1205="","",INDEX(الإعدادات!$I$7:$I$18,MONTH(A1205)))</f>
        <v/>
      </c>
      <c r="R1205" s="20">
        <f>IF(A1205="","",IF(MONTH(A1205)&gt;=8,YEAR(A1205)&amp;"-"&amp;(YEAR(A1205)+1),(YEAR(A1205)-1)&amp;"-"&amp;YEAR(A1205)))</f>
        <v/>
      </c>
      <c r="S1205" s="20">
        <f>IF(OR(A1205="",B1205=""),0,IF(AND(R1205=التقارير!$C$4,OR(التقارير!$C$5="سنوي",AND(التقارير!$C$5="شهري",P1205=التقارير!$C$6),AND(التقارير!$C$5="فصلي",Q1205=التقارير!$C$7))),1,0))</f>
        <v/>
      </c>
      <c r="T1205" s="20">
        <f>IF(S1205=1,COUNTIF($S$5:S1205,1),"")</f>
        <v/>
      </c>
      <c r="U1205">
        <f>IF(AND($A1205&lt;&gt;"",$B1205&lt;&gt;"",$R1205='تقرير الفصل الأول'!$C$4,$Q1205='تقرير الفصل الأول'!$C$7),COUNT(U$4:U1204)+1,"")</f>
        <v/>
      </c>
      <c r="V1205">
        <f>IF(AND($A1205&lt;&gt;"",$B1205&lt;&gt;"",$R1205='تقرير الفصل الثاني'!$C$4,$Q1205='تقرير الفصل الثاني'!$C$7),COUNT(V$4:V1204)+1,"")</f>
        <v/>
      </c>
      <c r="W1205">
        <f>IF(AND($A1205&lt;&gt;"",$B1205&lt;&gt;"",$R1205='تقرير سبتمبر'!$C$4,$P1205='تقرير سبتمبر'!$C$6),COUNT(W$4:W1204)+1,"")</f>
        <v/>
      </c>
      <c r="X1205">
        <f>IF(AND($A1205&lt;&gt;"",$B1205&lt;&gt;"",$R1205='تقرير أكتوبر'!$C$4,$P1205='تقرير أكتوبر'!$C$6),COUNT(X$4:X1204)+1,"")</f>
        <v/>
      </c>
      <c r="Y1205">
        <f>IF(AND($A1205&lt;&gt;"",$B1205&lt;&gt;"",$R1205='تقرير نوفمبر'!$C$4,$P1205='تقرير نوفمبر'!$C$6),COUNT(Y$4:Y1204)+1,"")</f>
        <v/>
      </c>
      <c r="Z1205">
        <f>IF(AND($A1205&lt;&gt;"",$B1205&lt;&gt;"",$R1205='تقرير ديسمبر'!$C$4,$P1205='تقرير ديسمبر'!$C$6),COUNT(Z$4:Z1204)+1,"")</f>
        <v/>
      </c>
      <c r="AA1205">
        <f>IF(AND($A1205&lt;&gt;"",$B1205&lt;&gt;"",$R1205='تقرير يناير'!$C$4,$P1205='تقرير يناير'!$C$6),COUNT(AA$4:AA1204)+1,"")</f>
        <v/>
      </c>
      <c r="AB1205">
        <f>IF(AND($A1205&lt;&gt;"",$B1205&lt;&gt;"",$R1205='تقرير فبراير'!$C$4,$P1205='تقرير فبراير'!$C$6),COUNT(AB$4:AB1204)+1,"")</f>
        <v/>
      </c>
      <c r="AC1205">
        <f>IF(AND($A1205&lt;&gt;"",$B1205&lt;&gt;"",$R1205='تقرير مارس'!$C$4,$P1205='تقرير مارس'!$C$6),COUNT(AC$4:AC1204)+1,"")</f>
        <v/>
      </c>
      <c r="AD1205">
        <f>IF(AND($A1205&lt;&gt;"",$B1205&lt;&gt;"",$R1205='تقرير أبريل'!$C$4,$P1205='تقرير أبريل'!$C$6),COUNT(AD$4:AD1204)+1,"")</f>
        <v/>
      </c>
      <c r="AE1205">
        <f>IF(AND($A1205&lt;&gt;"",$B1205&lt;&gt;"",$R1205='تقرير مايو'!$C$4,$P1205='تقرير مايو'!$C$6),COUNT(AE$4:AE1204)+1,"")</f>
        <v/>
      </c>
    </row>
    <row r="1206">
      <c r="A1206" s="16" t="n"/>
      <c r="B1206" s="17" t="n"/>
      <c r="C1206" s="17" t="n"/>
      <c r="D1206" s="18" t="n"/>
      <c r="E1206" s="17" t="n"/>
      <c r="F1206" s="17" t="n"/>
      <c r="G1206" s="19" t="n"/>
      <c r="H1206" s="17" t="n"/>
      <c r="I1206" s="17" t="n"/>
      <c r="J1206" s="17" t="n"/>
      <c r="K1206" s="20">
        <f>IF($B1206="","",IFERROR(INDEX(الموظفات!$A$5:$A$304,MATCH($B1206,الموظفات!$B$5:$B$304,0))&amp;"",""))</f>
        <v/>
      </c>
      <c r="L1206" s="21">
        <f>IF($B1206="","",IFERROR(INDEX(الموظفات!$C$5:$C$304,MATCH($B1206,الموظفات!$B$5:$B$304,0))&amp;"",""))</f>
        <v/>
      </c>
      <c r="M1206" s="20">
        <f>IF($B1206="","",IFERROR(INDEX(الموظفات!$D$5:$D$304,MATCH($B1206,الموظفات!$B$5:$B$304,0))&amp;"",""))</f>
        <v/>
      </c>
      <c r="N1206" s="20">
        <f>IF($B1206="","",IFERROR(INDEX(الموظفات!$E$5:$E$304,MATCH($B1206,الموظفات!$B$5:$B$304,0))&amp;"",""))</f>
        <v/>
      </c>
      <c r="O1206" s="21">
        <f>IF(C1206="","",IFERROR(INDEX(الإعدادات!$D$7:$D$35,MATCH(C1206,الإعدادات!$A$7:$A$35,0))&amp;"",""))</f>
        <v/>
      </c>
      <c r="P1206" s="20">
        <f>IF(A1206="","",INDEX(الإعدادات!$H$7:$H$18,MONTH(A1206)))</f>
        <v/>
      </c>
      <c r="Q1206" s="20">
        <f>IF(A1206="","",INDEX(الإعدادات!$I$7:$I$18,MONTH(A1206)))</f>
        <v/>
      </c>
      <c r="R1206" s="20">
        <f>IF(A1206="","",IF(MONTH(A1206)&gt;=8,YEAR(A1206)&amp;"-"&amp;(YEAR(A1206)+1),(YEAR(A1206)-1)&amp;"-"&amp;YEAR(A1206)))</f>
        <v/>
      </c>
      <c r="S1206" s="20">
        <f>IF(OR(A1206="",B1206=""),0,IF(AND(R1206=التقارير!$C$4,OR(التقارير!$C$5="سنوي",AND(التقارير!$C$5="شهري",P1206=التقارير!$C$6),AND(التقارير!$C$5="فصلي",Q1206=التقارير!$C$7))),1,0))</f>
        <v/>
      </c>
      <c r="T1206" s="20">
        <f>IF(S1206=1,COUNTIF($S$5:S1206,1),"")</f>
        <v/>
      </c>
      <c r="U1206">
        <f>IF(AND($A1206&lt;&gt;"",$B1206&lt;&gt;"",$R1206='تقرير الفصل الأول'!$C$4,$Q1206='تقرير الفصل الأول'!$C$7),COUNT(U$4:U1205)+1,"")</f>
        <v/>
      </c>
      <c r="V1206">
        <f>IF(AND($A1206&lt;&gt;"",$B1206&lt;&gt;"",$R1206='تقرير الفصل الثاني'!$C$4,$Q1206='تقرير الفصل الثاني'!$C$7),COUNT(V$4:V1205)+1,"")</f>
        <v/>
      </c>
      <c r="W1206">
        <f>IF(AND($A1206&lt;&gt;"",$B1206&lt;&gt;"",$R1206='تقرير سبتمبر'!$C$4,$P1206='تقرير سبتمبر'!$C$6),COUNT(W$4:W1205)+1,"")</f>
        <v/>
      </c>
      <c r="X1206">
        <f>IF(AND($A1206&lt;&gt;"",$B1206&lt;&gt;"",$R1206='تقرير أكتوبر'!$C$4,$P1206='تقرير أكتوبر'!$C$6),COUNT(X$4:X1205)+1,"")</f>
        <v/>
      </c>
      <c r="Y1206">
        <f>IF(AND($A1206&lt;&gt;"",$B1206&lt;&gt;"",$R1206='تقرير نوفمبر'!$C$4,$P1206='تقرير نوفمبر'!$C$6),COUNT(Y$4:Y1205)+1,"")</f>
        <v/>
      </c>
      <c r="Z1206">
        <f>IF(AND($A1206&lt;&gt;"",$B1206&lt;&gt;"",$R1206='تقرير ديسمبر'!$C$4,$P1206='تقرير ديسمبر'!$C$6),COUNT(Z$4:Z1205)+1,"")</f>
        <v/>
      </c>
      <c r="AA1206">
        <f>IF(AND($A1206&lt;&gt;"",$B1206&lt;&gt;"",$R1206='تقرير يناير'!$C$4,$P1206='تقرير يناير'!$C$6),COUNT(AA$4:AA1205)+1,"")</f>
        <v/>
      </c>
      <c r="AB1206">
        <f>IF(AND($A1206&lt;&gt;"",$B1206&lt;&gt;"",$R1206='تقرير فبراير'!$C$4,$P1206='تقرير فبراير'!$C$6),COUNT(AB$4:AB1205)+1,"")</f>
        <v/>
      </c>
      <c r="AC1206">
        <f>IF(AND($A1206&lt;&gt;"",$B1206&lt;&gt;"",$R1206='تقرير مارس'!$C$4,$P1206='تقرير مارس'!$C$6),COUNT(AC$4:AC1205)+1,"")</f>
        <v/>
      </c>
      <c r="AD1206">
        <f>IF(AND($A1206&lt;&gt;"",$B1206&lt;&gt;"",$R1206='تقرير أبريل'!$C$4,$P1206='تقرير أبريل'!$C$6),COUNT(AD$4:AD1205)+1,"")</f>
        <v/>
      </c>
      <c r="AE1206">
        <f>IF(AND($A1206&lt;&gt;"",$B1206&lt;&gt;"",$R1206='تقرير مايو'!$C$4,$P1206='تقرير مايو'!$C$6),COUNT(AE$4:AE1205)+1,"")</f>
        <v/>
      </c>
    </row>
    <row r="1207">
      <c r="A1207" s="16" t="n"/>
      <c r="B1207" s="17" t="n"/>
      <c r="C1207" s="17" t="n"/>
      <c r="D1207" s="18" t="n"/>
      <c r="E1207" s="17" t="n"/>
      <c r="F1207" s="17" t="n"/>
      <c r="G1207" s="19" t="n"/>
      <c r="H1207" s="17" t="n"/>
      <c r="I1207" s="17" t="n"/>
      <c r="J1207" s="17" t="n"/>
      <c r="K1207" s="20">
        <f>IF($B1207="","",IFERROR(INDEX(الموظفات!$A$5:$A$304,MATCH($B1207,الموظفات!$B$5:$B$304,0))&amp;"",""))</f>
        <v/>
      </c>
      <c r="L1207" s="21">
        <f>IF($B1207="","",IFERROR(INDEX(الموظفات!$C$5:$C$304,MATCH($B1207,الموظفات!$B$5:$B$304,0))&amp;"",""))</f>
        <v/>
      </c>
      <c r="M1207" s="20">
        <f>IF($B1207="","",IFERROR(INDEX(الموظفات!$D$5:$D$304,MATCH($B1207,الموظفات!$B$5:$B$304,0))&amp;"",""))</f>
        <v/>
      </c>
      <c r="N1207" s="20">
        <f>IF($B1207="","",IFERROR(INDEX(الموظفات!$E$5:$E$304,MATCH($B1207,الموظفات!$B$5:$B$304,0))&amp;"",""))</f>
        <v/>
      </c>
      <c r="O1207" s="21">
        <f>IF(C1207="","",IFERROR(INDEX(الإعدادات!$D$7:$D$35,MATCH(C1207,الإعدادات!$A$7:$A$35,0))&amp;"",""))</f>
        <v/>
      </c>
      <c r="P1207" s="20">
        <f>IF(A1207="","",INDEX(الإعدادات!$H$7:$H$18,MONTH(A1207)))</f>
        <v/>
      </c>
      <c r="Q1207" s="20">
        <f>IF(A1207="","",INDEX(الإعدادات!$I$7:$I$18,MONTH(A1207)))</f>
        <v/>
      </c>
      <c r="R1207" s="20">
        <f>IF(A1207="","",IF(MONTH(A1207)&gt;=8,YEAR(A1207)&amp;"-"&amp;(YEAR(A1207)+1),(YEAR(A1207)-1)&amp;"-"&amp;YEAR(A1207)))</f>
        <v/>
      </c>
      <c r="S1207" s="20">
        <f>IF(OR(A1207="",B1207=""),0,IF(AND(R1207=التقارير!$C$4,OR(التقارير!$C$5="سنوي",AND(التقارير!$C$5="شهري",P1207=التقارير!$C$6),AND(التقارير!$C$5="فصلي",Q1207=التقارير!$C$7))),1,0))</f>
        <v/>
      </c>
      <c r="T1207" s="20">
        <f>IF(S1207=1,COUNTIF($S$5:S1207,1),"")</f>
        <v/>
      </c>
      <c r="U1207">
        <f>IF(AND($A1207&lt;&gt;"",$B1207&lt;&gt;"",$R1207='تقرير الفصل الأول'!$C$4,$Q1207='تقرير الفصل الأول'!$C$7),COUNT(U$4:U1206)+1,"")</f>
        <v/>
      </c>
      <c r="V1207">
        <f>IF(AND($A1207&lt;&gt;"",$B1207&lt;&gt;"",$R1207='تقرير الفصل الثاني'!$C$4,$Q1207='تقرير الفصل الثاني'!$C$7),COUNT(V$4:V1206)+1,"")</f>
        <v/>
      </c>
      <c r="W1207">
        <f>IF(AND($A1207&lt;&gt;"",$B1207&lt;&gt;"",$R1207='تقرير سبتمبر'!$C$4,$P1207='تقرير سبتمبر'!$C$6),COUNT(W$4:W1206)+1,"")</f>
        <v/>
      </c>
      <c r="X1207">
        <f>IF(AND($A1207&lt;&gt;"",$B1207&lt;&gt;"",$R1207='تقرير أكتوبر'!$C$4,$P1207='تقرير أكتوبر'!$C$6),COUNT(X$4:X1206)+1,"")</f>
        <v/>
      </c>
      <c r="Y1207">
        <f>IF(AND($A1207&lt;&gt;"",$B1207&lt;&gt;"",$R1207='تقرير نوفمبر'!$C$4,$P1207='تقرير نوفمبر'!$C$6),COUNT(Y$4:Y1206)+1,"")</f>
        <v/>
      </c>
      <c r="Z1207">
        <f>IF(AND($A1207&lt;&gt;"",$B1207&lt;&gt;"",$R1207='تقرير ديسمبر'!$C$4,$P1207='تقرير ديسمبر'!$C$6),COUNT(Z$4:Z1206)+1,"")</f>
        <v/>
      </c>
      <c r="AA1207">
        <f>IF(AND($A1207&lt;&gt;"",$B1207&lt;&gt;"",$R1207='تقرير يناير'!$C$4,$P1207='تقرير يناير'!$C$6),COUNT(AA$4:AA1206)+1,"")</f>
        <v/>
      </c>
      <c r="AB1207">
        <f>IF(AND($A1207&lt;&gt;"",$B1207&lt;&gt;"",$R1207='تقرير فبراير'!$C$4,$P1207='تقرير فبراير'!$C$6),COUNT(AB$4:AB1206)+1,"")</f>
        <v/>
      </c>
      <c r="AC1207">
        <f>IF(AND($A1207&lt;&gt;"",$B1207&lt;&gt;"",$R1207='تقرير مارس'!$C$4,$P1207='تقرير مارس'!$C$6),COUNT(AC$4:AC1206)+1,"")</f>
        <v/>
      </c>
      <c r="AD1207">
        <f>IF(AND($A1207&lt;&gt;"",$B1207&lt;&gt;"",$R1207='تقرير أبريل'!$C$4,$P1207='تقرير أبريل'!$C$6),COUNT(AD$4:AD1206)+1,"")</f>
        <v/>
      </c>
      <c r="AE1207">
        <f>IF(AND($A1207&lt;&gt;"",$B1207&lt;&gt;"",$R1207='تقرير مايو'!$C$4,$P1207='تقرير مايو'!$C$6),COUNT(AE$4:AE1206)+1,"")</f>
        <v/>
      </c>
    </row>
    <row r="1208">
      <c r="A1208" s="16" t="n"/>
      <c r="B1208" s="17" t="n"/>
      <c r="C1208" s="17" t="n"/>
      <c r="D1208" s="18" t="n"/>
      <c r="E1208" s="17" t="n"/>
      <c r="F1208" s="17" t="n"/>
      <c r="G1208" s="19" t="n"/>
      <c r="H1208" s="17" t="n"/>
      <c r="I1208" s="17" t="n"/>
      <c r="J1208" s="17" t="n"/>
      <c r="K1208" s="20">
        <f>IF($B1208="","",IFERROR(INDEX(الموظفات!$A$5:$A$304,MATCH($B1208,الموظفات!$B$5:$B$304,0))&amp;"",""))</f>
        <v/>
      </c>
      <c r="L1208" s="21">
        <f>IF($B1208="","",IFERROR(INDEX(الموظفات!$C$5:$C$304,MATCH($B1208,الموظفات!$B$5:$B$304,0))&amp;"",""))</f>
        <v/>
      </c>
      <c r="M1208" s="20">
        <f>IF($B1208="","",IFERROR(INDEX(الموظفات!$D$5:$D$304,MATCH($B1208,الموظفات!$B$5:$B$304,0))&amp;"",""))</f>
        <v/>
      </c>
      <c r="N1208" s="20">
        <f>IF($B1208="","",IFERROR(INDEX(الموظفات!$E$5:$E$304,MATCH($B1208,الموظفات!$B$5:$B$304,0))&amp;"",""))</f>
        <v/>
      </c>
      <c r="O1208" s="21">
        <f>IF(C1208="","",IFERROR(INDEX(الإعدادات!$D$7:$D$35,MATCH(C1208,الإعدادات!$A$7:$A$35,0))&amp;"",""))</f>
        <v/>
      </c>
      <c r="P1208" s="20">
        <f>IF(A1208="","",INDEX(الإعدادات!$H$7:$H$18,MONTH(A1208)))</f>
        <v/>
      </c>
      <c r="Q1208" s="20">
        <f>IF(A1208="","",INDEX(الإعدادات!$I$7:$I$18,MONTH(A1208)))</f>
        <v/>
      </c>
      <c r="R1208" s="20">
        <f>IF(A1208="","",IF(MONTH(A1208)&gt;=8,YEAR(A1208)&amp;"-"&amp;(YEAR(A1208)+1),(YEAR(A1208)-1)&amp;"-"&amp;YEAR(A1208)))</f>
        <v/>
      </c>
      <c r="S1208" s="20">
        <f>IF(OR(A1208="",B1208=""),0,IF(AND(R1208=التقارير!$C$4,OR(التقارير!$C$5="سنوي",AND(التقارير!$C$5="شهري",P1208=التقارير!$C$6),AND(التقارير!$C$5="فصلي",Q1208=التقارير!$C$7))),1,0))</f>
        <v/>
      </c>
      <c r="T1208" s="20">
        <f>IF(S1208=1,COUNTIF($S$5:S1208,1),"")</f>
        <v/>
      </c>
      <c r="U1208">
        <f>IF(AND($A1208&lt;&gt;"",$B1208&lt;&gt;"",$R1208='تقرير الفصل الأول'!$C$4,$Q1208='تقرير الفصل الأول'!$C$7),COUNT(U$4:U1207)+1,"")</f>
        <v/>
      </c>
      <c r="V1208">
        <f>IF(AND($A1208&lt;&gt;"",$B1208&lt;&gt;"",$R1208='تقرير الفصل الثاني'!$C$4,$Q1208='تقرير الفصل الثاني'!$C$7),COUNT(V$4:V1207)+1,"")</f>
        <v/>
      </c>
      <c r="W1208">
        <f>IF(AND($A1208&lt;&gt;"",$B1208&lt;&gt;"",$R1208='تقرير سبتمبر'!$C$4,$P1208='تقرير سبتمبر'!$C$6),COUNT(W$4:W1207)+1,"")</f>
        <v/>
      </c>
      <c r="X1208">
        <f>IF(AND($A1208&lt;&gt;"",$B1208&lt;&gt;"",$R1208='تقرير أكتوبر'!$C$4,$P1208='تقرير أكتوبر'!$C$6),COUNT(X$4:X1207)+1,"")</f>
        <v/>
      </c>
      <c r="Y1208">
        <f>IF(AND($A1208&lt;&gt;"",$B1208&lt;&gt;"",$R1208='تقرير نوفمبر'!$C$4,$P1208='تقرير نوفمبر'!$C$6),COUNT(Y$4:Y1207)+1,"")</f>
        <v/>
      </c>
      <c r="Z1208">
        <f>IF(AND($A1208&lt;&gt;"",$B1208&lt;&gt;"",$R1208='تقرير ديسمبر'!$C$4,$P1208='تقرير ديسمبر'!$C$6),COUNT(Z$4:Z1207)+1,"")</f>
        <v/>
      </c>
      <c r="AA1208">
        <f>IF(AND($A1208&lt;&gt;"",$B1208&lt;&gt;"",$R1208='تقرير يناير'!$C$4,$P1208='تقرير يناير'!$C$6),COUNT(AA$4:AA1207)+1,"")</f>
        <v/>
      </c>
      <c r="AB1208">
        <f>IF(AND($A1208&lt;&gt;"",$B1208&lt;&gt;"",$R1208='تقرير فبراير'!$C$4,$P1208='تقرير فبراير'!$C$6),COUNT(AB$4:AB1207)+1,"")</f>
        <v/>
      </c>
      <c r="AC1208">
        <f>IF(AND($A1208&lt;&gt;"",$B1208&lt;&gt;"",$R1208='تقرير مارس'!$C$4,$P1208='تقرير مارس'!$C$6),COUNT(AC$4:AC1207)+1,"")</f>
        <v/>
      </c>
      <c r="AD1208">
        <f>IF(AND($A1208&lt;&gt;"",$B1208&lt;&gt;"",$R1208='تقرير أبريل'!$C$4,$P1208='تقرير أبريل'!$C$6),COUNT(AD$4:AD1207)+1,"")</f>
        <v/>
      </c>
      <c r="AE1208">
        <f>IF(AND($A1208&lt;&gt;"",$B1208&lt;&gt;"",$R1208='تقرير مايو'!$C$4,$P1208='تقرير مايو'!$C$6),COUNT(AE$4:AE1207)+1,"")</f>
        <v/>
      </c>
    </row>
    <row r="1209">
      <c r="A1209" s="16" t="n"/>
      <c r="B1209" s="17" t="n"/>
      <c r="C1209" s="17" t="n"/>
      <c r="D1209" s="18" t="n"/>
      <c r="E1209" s="17" t="n"/>
      <c r="F1209" s="17" t="n"/>
      <c r="G1209" s="19" t="n"/>
      <c r="H1209" s="17" t="n"/>
      <c r="I1209" s="17" t="n"/>
      <c r="J1209" s="17" t="n"/>
      <c r="K1209" s="20">
        <f>IF($B1209="","",IFERROR(INDEX(الموظفات!$A$5:$A$304,MATCH($B1209,الموظفات!$B$5:$B$304,0))&amp;"",""))</f>
        <v/>
      </c>
      <c r="L1209" s="21">
        <f>IF($B1209="","",IFERROR(INDEX(الموظفات!$C$5:$C$304,MATCH($B1209,الموظفات!$B$5:$B$304,0))&amp;"",""))</f>
        <v/>
      </c>
      <c r="M1209" s="20">
        <f>IF($B1209="","",IFERROR(INDEX(الموظفات!$D$5:$D$304,MATCH($B1209,الموظفات!$B$5:$B$304,0))&amp;"",""))</f>
        <v/>
      </c>
      <c r="N1209" s="20">
        <f>IF($B1209="","",IFERROR(INDEX(الموظفات!$E$5:$E$304,MATCH($B1209,الموظفات!$B$5:$B$304,0))&amp;"",""))</f>
        <v/>
      </c>
      <c r="O1209" s="21">
        <f>IF(C1209="","",IFERROR(INDEX(الإعدادات!$D$7:$D$35,MATCH(C1209,الإعدادات!$A$7:$A$35,0))&amp;"",""))</f>
        <v/>
      </c>
      <c r="P1209" s="20">
        <f>IF(A1209="","",INDEX(الإعدادات!$H$7:$H$18,MONTH(A1209)))</f>
        <v/>
      </c>
      <c r="Q1209" s="20">
        <f>IF(A1209="","",INDEX(الإعدادات!$I$7:$I$18,MONTH(A1209)))</f>
        <v/>
      </c>
      <c r="R1209" s="20">
        <f>IF(A1209="","",IF(MONTH(A1209)&gt;=8,YEAR(A1209)&amp;"-"&amp;(YEAR(A1209)+1),(YEAR(A1209)-1)&amp;"-"&amp;YEAR(A1209)))</f>
        <v/>
      </c>
      <c r="S1209" s="20">
        <f>IF(OR(A1209="",B1209=""),0,IF(AND(R1209=التقارير!$C$4,OR(التقارير!$C$5="سنوي",AND(التقارير!$C$5="شهري",P1209=التقارير!$C$6),AND(التقارير!$C$5="فصلي",Q1209=التقارير!$C$7))),1,0))</f>
        <v/>
      </c>
      <c r="T1209" s="20">
        <f>IF(S1209=1,COUNTIF($S$5:S1209,1),"")</f>
        <v/>
      </c>
      <c r="U1209">
        <f>IF(AND($A1209&lt;&gt;"",$B1209&lt;&gt;"",$R1209='تقرير الفصل الأول'!$C$4,$Q1209='تقرير الفصل الأول'!$C$7),COUNT(U$4:U1208)+1,"")</f>
        <v/>
      </c>
      <c r="V1209">
        <f>IF(AND($A1209&lt;&gt;"",$B1209&lt;&gt;"",$R1209='تقرير الفصل الثاني'!$C$4,$Q1209='تقرير الفصل الثاني'!$C$7),COUNT(V$4:V1208)+1,"")</f>
        <v/>
      </c>
      <c r="W1209">
        <f>IF(AND($A1209&lt;&gt;"",$B1209&lt;&gt;"",$R1209='تقرير سبتمبر'!$C$4,$P1209='تقرير سبتمبر'!$C$6),COUNT(W$4:W1208)+1,"")</f>
        <v/>
      </c>
      <c r="X1209">
        <f>IF(AND($A1209&lt;&gt;"",$B1209&lt;&gt;"",$R1209='تقرير أكتوبر'!$C$4,$P1209='تقرير أكتوبر'!$C$6),COUNT(X$4:X1208)+1,"")</f>
        <v/>
      </c>
      <c r="Y1209">
        <f>IF(AND($A1209&lt;&gt;"",$B1209&lt;&gt;"",$R1209='تقرير نوفمبر'!$C$4,$P1209='تقرير نوفمبر'!$C$6),COUNT(Y$4:Y1208)+1,"")</f>
        <v/>
      </c>
      <c r="Z1209">
        <f>IF(AND($A1209&lt;&gt;"",$B1209&lt;&gt;"",$R1209='تقرير ديسمبر'!$C$4,$P1209='تقرير ديسمبر'!$C$6),COUNT(Z$4:Z1208)+1,"")</f>
        <v/>
      </c>
      <c r="AA1209">
        <f>IF(AND($A1209&lt;&gt;"",$B1209&lt;&gt;"",$R1209='تقرير يناير'!$C$4,$P1209='تقرير يناير'!$C$6),COUNT(AA$4:AA1208)+1,"")</f>
        <v/>
      </c>
      <c r="AB1209">
        <f>IF(AND($A1209&lt;&gt;"",$B1209&lt;&gt;"",$R1209='تقرير فبراير'!$C$4,$P1209='تقرير فبراير'!$C$6),COUNT(AB$4:AB1208)+1,"")</f>
        <v/>
      </c>
      <c r="AC1209">
        <f>IF(AND($A1209&lt;&gt;"",$B1209&lt;&gt;"",$R1209='تقرير مارس'!$C$4,$P1209='تقرير مارس'!$C$6),COUNT(AC$4:AC1208)+1,"")</f>
        <v/>
      </c>
      <c r="AD1209">
        <f>IF(AND($A1209&lt;&gt;"",$B1209&lt;&gt;"",$R1209='تقرير أبريل'!$C$4,$P1209='تقرير أبريل'!$C$6),COUNT(AD$4:AD1208)+1,"")</f>
        <v/>
      </c>
      <c r="AE1209">
        <f>IF(AND($A1209&lt;&gt;"",$B1209&lt;&gt;"",$R1209='تقرير مايو'!$C$4,$P1209='تقرير مايو'!$C$6),COUNT(AE$4:AE1208)+1,"")</f>
        <v/>
      </c>
    </row>
    <row r="1210">
      <c r="A1210" s="16" t="n"/>
      <c r="B1210" s="17" t="n"/>
      <c r="C1210" s="17" t="n"/>
      <c r="D1210" s="18" t="n"/>
      <c r="E1210" s="17" t="n"/>
      <c r="F1210" s="17" t="n"/>
      <c r="G1210" s="19" t="n"/>
      <c r="H1210" s="17" t="n"/>
      <c r="I1210" s="17" t="n"/>
      <c r="J1210" s="17" t="n"/>
      <c r="K1210" s="20">
        <f>IF($B1210="","",IFERROR(INDEX(الموظفات!$A$5:$A$304,MATCH($B1210,الموظفات!$B$5:$B$304,0))&amp;"",""))</f>
        <v/>
      </c>
      <c r="L1210" s="21">
        <f>IF($B1210="","",IFERROR(INDEX(الموظفات!$C$5:$C$304,MATCH($B1210,الموظفات!$B$5:$B$304,0))&amp;"",""))</f>
        <v/>
      </c>
      <c r="M1210" s="20">
        <f>IF($B1210="","",IFERROR(INDEX(الموظفات!$D$5:$D$304,MATCH($B1210,الموظفات!$B$5:$B$304,0))&amp;"",""))</f>
        <v/>
      </c>
      <c r="N1210" s="20">
        <f>IF($B1210="","",IFERROR(INDEX(الموظفات!$E$5:$E$304,MATCH($B1210,الموظفات!$B$5:$B$304,0))&amp;"",""))</f>
        <v/>
      </c>
      <c r="O1210" s="21">
        <f>IF(C1210="","",IFERROR(INDEX(الإعدادات!$D$7:$D$35,MATCH(C1210,الإعدادات!$A$7:$A$35,0))&amp;"",""))</f>
        <v/>
      </c>
      <c r="P1210" s="20">
        <f>IF(A1210="","",INDEX(الإعدادات!$H$7:$H$18,MONTH(A1210)))</f>
        <v/>
      </c>
      <c r="Q1210" s="20">
        <f>IF(A1210="","",INDEX(الإعدادات!$I$7:$I$18,MONTH(A1210)))</f>
        <v/>
      </c>
      <c r="R1210" s="20">
        <f>IF(A1210="","",IF(MONTH(A1210)&gt;=8,YEAR(A1210)&amp;"-"&amp;(YEAR(A1210)+1),(YEAR(A1210)-1)&amp;"-"&amp;YEAR(A1210)))</f>
        <v/>
      </c>
      <c r="S1210" s="20">
        <f>IF(OR(A1210="",B1210=""),0,IF(AND(R1210=التقارير!$C$4,OR(التقارير!$C$5="سنوي",AND(التقارير!$C$5="شهري",P1210=التقارير!$C$6),AND(التقارير!$C$5="فصلي",Q1210=التقارير!$C$7))),1,0))</f>
        <v/>
      </c>
      <c r="T1210" s="20">
        <f>IF(S1210=1,COUNTIF($S$5:S1210,1),"")</f>
        <v/>
      </c>
      <c r="U1210">
        <f>IF(AND($A1210&lt;&gt;"",$B1210&lt;&gt;"",$R1210='تقرير الفصل الأول'!$C$4,$Q1210='تقرير الفصل الأول'!$C$7),COUNT(U$4:U1209)+1,"")</f>
        <v/>
      </c>
      <c r="V1210">
        <f>IF(AND($A1210&lt;&gt;"",$B1210&lt;&gt;"",$R1210='تقرير الفصل الثاني'!$C$4,$Q1210='تقرير الفصل الثاني'!$C$7),COUNT(V$4:V1209)+1,"")</f>
        <v/>
      </c>
      <c r="W1210">
        <f>IF(AND($A1210&lt;&gt;"",$B1210&lt;&gt;"",$R1210='تقرير سبتمبر'!$C$4,$P1210='تقرير سبتمبر'!$C$6),COUNT(W$4:W1209)+1,"")</f>
        <v/>
      </c>
      <c r="X1210">
        <f>IF(AND($A1210&lt;&gt;"",$B1210&lt;&gt;"",$R1210='تقرير أكتوبر'!$C$4,$P1210='تقرير أكتوبر'!$C$6),COUNT(X$4:X1209)+1,"")</f>
        <v/>
      </c>
      <c r="Y1210">
        <f>IF(AND($A1210&lt;&gt;"",$B1210&lt;&gt;"",$R1210='تقرير نوفمبر'!$C$4,$P1210='تقرير نوفمبر'!$C$6),COUNT(Y$4:Y1209)+1,"")</f>
        <v/>
      </c>
      <c r="Z1210">
        <f>IF(AND($A1210&lt;&gt;"",$B1210&lt;&gt;"",$R1210='تقرير ديسمبر'!$C$4,$P1210='تقرير ديسمبر'!$C$6),COUNT(Z$4:Z1209)+1,"")</f>
        <v/>
      </c>
      <c r="AA1210">
        <f>IF(AND($A1210&lt;&gt;"",$B1210&lt;&gt;"",$R1210='تقرير يناير'!$C$4,$P1210='تقرير يناير'!$C$6),COUNT(AA$4:AA1209)+1,"")</f>
        <v/>
      </c>
      <c r="AB1210">
        <f>IF(AND($A1210&lt;&gt;"",$B1210&lt;&gt;"",$R1210='تقرير فبراير'!$C$4,$P1210='تقرير فبراير'!$C$6),COUNT(AB$4:AB1209)+1,"")</f>
        <v/>
      </c>
      <c r="AC1210">
        <f>IF(AND($A1210&lt;&gt;"",$B1210&lt;&gt;"",$R1210='تقرير مارس'!$C$4,$P1210='تقرير مارس'!$C$6),COUNT(AC$4:AC1209)+1,"")</f>
        <v/>
      </c>
      <c r="AD1210">
        <f>IF(AND($A1210&lt;&gt;"",$B1210&lt;&gt;"",$R1210='تقرير أبريل'!$C$4,$P1210='تقرير أبريل'!$C$6),COUNT(AD$4:AD1209)+1,"")</f>
        <v/>
      </c>
      <c r="AE1210">
        <f>IF(AND($A1210&lt;&gt;"",$B1210&lt;&gt;"",$R1210='تقرير مايو'!$C$4,$P1210='تقرير مايو'!$C$6),COUNT(AE$4:AE1209)+1,"")</f>
        <v/>
      </c>
    </row>
    <row r="1211">
      <c r="A1211" s="16" t="n"/>
      <c r="B1211" s="17" t="n"/>
      <c r="C1211" s="17" t="n"/>
      <c r="D1211" s="18" t="n"/>
      <c r="E1211" s="17" t="n"/>
      <c r="F1211" s="17" t="n"/>
      <c r="G1211" s="19" t="n"/>
      <c r="H1211" s="17" t="n"/>
      <c r="I1211" s="17" t="n"/>
      <c r="J1211" s="17" t="n"/>
      <c r="K1211" s="20">
        <f>IF($B1211="","",IFERROR(INDEX(الموظفات!$A$5:$A$304,MATCH($B1211,الموظفات!$B$5:$B$304,0))&amp;"",""))</f>
        <v/>
      </c>
      <c r="L1211" s="21">
        <f>IF($B1211="","",IFERROR(INDEX(الموظفات!$C$5:$C$304,MATCH($B1211,الموظفات!$B$5:$B$304,0))&amp;"",""))</f>
        <v/>
      </c>
      <c r="M1211" s="20">
        <f>IF($B1211="","",IFERROR(INDEX(الموظفات!$D$5:$D$304,MATCH($B1211,الموظفات!$B$5:$B$304,0))&amp;"",""))</f>
        <v/>
      </c>
      <c r="N1211" s="20">
        <f>IF($B1211="","",IFERROR(INDEX(الموظفات!$E$5:$E$304,MATCH($B1211,الموظفات!$B$5:$B$304,0))&amp;"",""))</f>
        <v/>
      </c>
      <c r="O1211" s="21">
        <f>IF(C1211="","",IFERROR(INDEX(الإعدادات!$D$7:$D$35,MATCH(C1211,الإعدادات!$A$7:$A$35,0))&amp;"",""))</f>
        <v/>
      </c>
      <c r="P1211" s="20">
        <f>IF(A1211="","",INDEX(الإعدادات!$H$7:$H$18,MONTH(A1211)))</f>
        <v/>
      </c>
      <c r="Q1211" s="20">
        <f>IF(A1211="","",INDEX(الإعدادات!$I$7:$I$18,MONTH(A1211)))</f>
        <v/>
      </c>
      <c r="R1211" s="20">
        <f>IF(A1211="","",IF(MONTH(A1211)&gt;=8,YEAR(A1211)&amp;"-"&amp;(YEAR(A1211)+1),(YEAR(A1211)-1)&amp;"-"&amp;YEAR(A1211)))</f>
        <v/>
      </c>
      <c r="S1211" s="20">
        <f>IF(OR(A1211="",B1211=""),0,IF(AND(R1211=التقارير!$C$4,OR(التقارير!$C$5="سنوي",AND(التقارير!$C$5="شهري",P1211=التقارير!$C$6),AND(التقارير!$C$5="فصلي",Q1211=التقارير!$C$7))),1,0))</f>
        <v/>
      </c>
      <c r="T1211" s="20">
        <f>IF(S1211=1,COUNTIF($S$5:S1211,1),"")</f>
        <v/>
      </c>
      <c r="U1211">
        <f>IF(AND($A1211&lt;&gt;"",$B1211&lt;&gt;"",$R1211='تقرير الفصل الأول'!$C$4,$Q1211='تقرير الفصل الأول'!$C$7),COUNT(U$4:U1210)+1,"")</f>
        <v/>
      </c>
      <c r="V1211">
        <f>IF(AND($A1211&lt;&gt;"",$B1211&lt;&gt;"",$R1211='تقرير الفصل الثاني'!$C$4,$Q1211='تقرير الفصل الثاني'!$C$7),COUNT(V$4:V1210)+1,"")</f>
        <v/>
      </c>
      <c r="W1211">
        <f>IF(AND($A1211&lt;&gt;"",$B1211&lt;&gt;"",$R1211='تقرير سبتمبر'!$C$4,$P1211='تقرير سبتمبر'!$C$6),COUNT(W$4:W1210)+1,"")</f>
        <v/>
      </c>
      <c r="X1211">
        <f>IF(AND($A1211&lt;&gt;"",$B1211&lt;&gt;"",$R1211='تقرير أكتوبر'!$C$4,$P1211='تقرير أكتوبر'!$C$6),COUNT(X$4:X1210)+1,"")</f>
        <v/>
      </c>
      <c r="Y1211">
        <f>IF(AND($A1211&lt;&gt;"",$B1211&lt;&gt;"",$R1211='تقرير نوفمبر'!$C$4,$P1211='تقرير نوفمبر'!$C$6),COUNT(Y$4:Y1210)+1,"")</f>
        <v/>
      </c>
      <c r="Z1211">
        <f>IF(AND($A1211&lt;&gt;"",$B1211&lt;&gt;"",$R1211='تقرير ديسمبر'!$C$4,$P1211='تقرير ديسمبر'!$C$6),COUNT(Z$4:Z1210)+1,"")</f>
        <v/>
      </c>
      <c r="AA1211">
        <f>IF(AND($A1211&lt;&gt;"",$B1211&lt;&gt;"",$R1211='تقرير يناير'!$C$4,$P1211='تقرير يناير'!$C$6),COUNT(AA$4:AA1210)+1,"")</f>
        <v/>
      </c>
      <c r="AB1211">
        <f>IF(AND($A1211&lt;&gt;"",$B1211&lt;&gt;"",$R1211='تقرير فبراير'!$C$4,$P1211='تقرير فبراير'!$C$6),COUNT(AB$4:AB1210)+1,"")</f>
        <v/>
      </c>
      <c r="AC1211">
        <f>IF(AND($A1211&lt;&gt;"",$B1211&lt;&gt;"",$R1211='تقرير مارس'!$C$4,$P1211='تقرير مارس'!$C$6),COUNT(AC$4:AC1210)+1,"")</f>
        <v/>
      </c>
      <c r="AD1211">
        <f>IF(AND($A1211&lt;&gt;"",$B1211&lt;&gt;"",$R1211='تقرير أبريل'!$C$4,$P1211='تقرير أبريل'!$C$6),COUNT(AD$4:AD1210)+1,"")</f>
        <v/>
      </c>
      <c r="AE1211">
        <f>IF(AND($A1211&lt;&gt;"",$B1211&lt;&gt;"",$R1211='تقرير مايو'!$C$4,$P1211='تقرير مايو'!$C$6),COUNT(AE$4:AE1210)+1,"")</f>
        <v/>
      </c>
    </row>
    <row r="1212">
      <c r="A1212" s="16" t="n"/>
      <c r="B1212" s="17" t="n"/>
      <c r="C1212" s="17" t="n"/>
      <c r="D1212" s="18" t="n"/>
      <c r="E1212" s="17" t="n"/>
      <c r="F1212" s="17" t="n"/>
      <c r="G1212" s="19" t="n"/>
      <c r="H1212" s="17" t="n"/>
      <c r="I1212" s="17" t="n"/>
      <c r="J1212" s="17" t="n"/>
      <c r="K1212" s="20">
        <f>IF($B1212="","",IFERROR(INDEX(الموظفات!$A$5:$A$304,MATCH($B1212,الموظفات!$B$5:$B$304,0))&amp;"",""))</f>
        <v/>
      </c>
      <c r="L1212" s="21">
        <f>IF($B1212="","",IFERROR(INDEX(الموظفات!$C$5:$C$304,MATCH($B1212,الموظفات!$B$5:$B$304,0))&amp;"",""))</f>
        <v/>
      </c>
      <c r="M1212" s="20">
        <f>IF($B1212="","",IFERROR(INDEX(الموظفات!$D$5:$D$304,MATCH($B1212,الموظفات!$B$5:$B$304,0))&amp;"",""))</f>
        <v/>
      </c>
      <c r="N1212" s="20">
        <f>IF($B1212="","",IFERROR(INDEX(الموظفات!$E$5:$E$304,MATCH($B1212,الموظفات!$B$5:$B$304,0))&amp;"",""))</f>
        <v/>
      </c>
      <c r="O1212" s="21">
        <f>IF(C1212="","",IFERROR(INDEX(الإعدادات!$D$7:$D$35,MATCH(C1212,الإعدادات!$A$7:$A$35,0))&amp;"",""))</f>
        <v/>
      </c>
      <c r="P1212" s="20">
        <f>IF(A1212="","",INDEX(الإعدادات!$H$7:$H$18,MONTH(A1212)))</f>
        <v/>
      </c>
      <c r="Q1212" s="20">
        <f>IF(A1212="","",INDEX(الإعدادات!$I$7:$I$18,MONTH(A1212)))</f>
        <v/>
      </c>
      <c r="R1212" s="20">
        <f>IF(A1212="","",IF(MONTH(A1212)&gt;=8,YEAR(A1212)&amp;"-"&amp;(YEAR(A1212)+1),(YEAR(A1212)-1)&amp;"-"&amp;YEAR(A1212)))</f>
        <v/>
      </c>
      <c r="S1212" s="20">
        <f>IF(OR(A1212="",B1212=""),0,IF(AND(R1212=التقارير!$C$4,OR(التقارير!$C$5="سنوي",AND(التقارير!$C$5="شهري",P1212=التقارير!$C$6),AND(التقارير!$C$5="فصلي",Q1212=التقارير!$C$7))),1,0))</f>
        <v/>
      </c>
      <c r="T1212" s="20">
        <f>IF(S1212=1,COUNTIF($S$5:S1212,1),"")</f>
        <v/>
      </c>
      <c r="U1212">
        <f>IF(AND($A1212&lt;&gt;"",$B1212&lt;&gt;"",$R1212='تقرير الفصل الأول'!$C$4,$Q1212='تقرير الفصل الأول'!$C$7),COUNT(U$4:U1211)+1,"")</f>
        <v/>
      </c>
      <c r="V1212">
        <f>IF(AND($A1212&lt;&gt;"",$B1212&lt;&gt;"",$R1212='تقرير الفصل الثاني'!$C$4,$Q1212='تقرير الفصل الثاني'!$C$7),COUNT(V$4:V1211)+1,"")</f>
        <v/>
      </c>
      <c r="W1212">
        <f>IF(AND($A1212&lt;&gt;"",$B1212&lt;&gt;"",$R1212='تقرير سبتمبر'!$C$4,$P1212='تقرير سبتمبر'!$C$6),COUNT(W$4:W1211)+1,"")</f>
        <v/>
      </c>
      <c r="X1212">
        <f>IF(AND($A1212&lt;&gt;"",$B1212&lt;&gt;"",$R1212='تقرير أكتوبر'!$C$4,$P1212='تقرير أكتوبر'!$C$6),COUNT(X$4:X1211)+1,"")</f>
        <v/>
      </c>
      <c r="Y1212">
        <f>IF(AND($A1212&lt;&gt;"",$B1212&lt;&gt;"",$R1212='تقرير نوفمبر'!$C$4,$P1212='تقرير نوفمبر'!$C$6),COUNT(Y$4:Y1211)+1,"")</f>
        <v/>
      </c>
      <c r="Z1212">
        <f>IF(AND($A1212&lt;&gt;"",$B1212&lt;&gt;"",$R1212='تقرير ديسمبر'!$C$4,$P1212='تقرير ديسمبر'!$C$6),COUNT(Z$4:Z1211)+1,"")</f>
        <v/>
      </c>
      <c r="AA1212">
        <f>IF(AND($A1212&lt;&gt;"",$B1212&lt;&gt;"",$R1212='تقرير يناير'!$C$4,$P1212='تقرير يناير'!$C$6),COUNT(AA$4:AA1211)+1,"")</f>
        <v/>
      </c>
      <c r="AB1212">
        <f>IF(AND($A1212&lt;&gt;"",$B1212&lt;&gt;"",$R1212='تقرير فبراير'!$C$4,$P1212='تقرير فبراير'!$C$6),COUNT(AB$4:AB1211)+1,"")</f>
        <v/>
      </c>
      <c r="AC1212">
        <f>IF(AND($A1212&lt;&gt;"",$B1212&lt;&gt;"",$R1212='تقرير مارس'!$C$4,$P1212='تقرير مارس'!$C$6),COUNT(AC$4:AC1211)+1,"")</f>
        <v/>
      </c>
      <c r="AD1212">
        <f>IF(AND($A1212&lt;&gt;"",$B1212&lt;&gt;"",$R1212='تقرير أبريل'!$C$4,$P1212='تقرير أبريل'!$C$6),COUNT(AD$4:AD1211)+1,"")</f>
        <v/>
      </c>
      <c r="AE1212">
        <f>IF(AND($A1212&lt;&gt;"",$B1212&lt;&gt;"",$R1212='تقرير مايو'!$C$4,$P1212='تقرير مايو'!$C$6),COUNT(AE$4:AE1211)+1,"")</f>
        <v/>
      </c>
    </row>
    <row r="1213">
      <c r="A1213" s="16" t="n"/>
      <c r="B1213" s="17" t="n"/>
      <c r="C1213" s="17" t="n"/>
      <c r="D1213" s="18" t="n"/>
      <c r="E1213" s="17" t="n"/>
      <c r="F1213" s="17" t="n"/>
      <c r="G1213" s="19" t="n"/>
      <c r="H1213" s="17" t="n"/>
      <c r="I1213" s="17" t="n"/>
      <c r="J1213" s="17" t="n"/>
      <c r="K1213" s="20">
        <f>IF($B1213="","",IFERROR(INDEX(الموظفات!$A$5:$A$304,MATCH($B1213,الموظفات!$B$5:$B$304,0))&amp;"",""))</f>
        <v/>
      </c>
      <c r="L1213" s="21">
        <f>IF($B1213="","",IFERROR(INDEX(الموظفات!$C$5:$C$304,MATCH($B1213,الموظفات!$B$5:$B$304,0))&amp;"",""))</f>
        <v/>
      </c>
      <c r="M1213" s="20">
        <f>IF($B1213="","",IFERROR(INDEX(الموظفات!$D$5:$D$304,MATCH($B1213,الموظفات!$B$5:$B$304,0))&amp;"",""))</f>
        <v/>
      </c>
      <c r="N1213" s="20">
        <f>IF($B1213="","",IFERROR(INDEX(الموظفات!$E$5:$E$304,MATCH($B1213,الموظفات!$B$5:$B$304,0))&amp;"",""))</f>
        <v/>
      </c>
      <c r="O1213" s="21">
        <f>IF(C1213="","",IFERROR(INDEX(الإعدادات!$D$7:$D$35,MATCH(C1213,الإعدادات!$A$7:$A$35,0))&amp;"",""))</f>
        <v/>
      </c>
      <c r="P1213" s="20">
        <f>IF(A1213="","",INDEX(الإعدادات!$H$7:$H$18,MONTH(A1213)))</f>
        <v/>
      </c>
      <c r="Q1213" s="20">
        <f>IF(A1213="","",INDEX(الإعدادات!$I$7:$I$18,MONTH(A1213)))</f>
        <v/>
      </c>
      <c r="R1213" s="20">
        <f>IF(A1213="","",IF(MONTH(A1213)&gt;=8,YEAR(A1213)&amp;"-"&amp;(YEAR(A1213)+1),(YEAR(A1213)-1)&amp;"-"&amp;YEAR(A1213)))</f>
        <v/>
      </c>
      <c r="S1213" s="20">
        <f>IF(OR(A1213="",B1213=""),0,IF(AND(R1213=التقارير!$C$4,OR(التقارير!$C$5="سنوي",AND(التقارير!$C$5="شهري",P1213=التقارير!$C$6),AND(التقارير!$C$5="فصلي",Q1213=التقارير!$C$7))),1,0))</f>
        <v/>
      </c>
      <c r="T1213" s="20">
        <f>IF(S1213=1,COUNTIF($S$5:S1213,1),"")</f>
        <v/>
      </c>
      <c r="U1213">
        <f>IF(AND($A1213&lt;&gt;"",$B1213&lt;&gt;"",$R1213='تقرير الفصل الأول'!$C$4,$Q1213='تقرير الفصل الأول'!$C$7),COUNT(U$4:U1212)+1,"")</f>
        <v/>
      </c>
      <c r="V1213">
        <f>IF(AND($A1213&lt;&gt;"",$B1213&lt;&gt;"",$R1213='تقرير الفصل الثاني'!$C$4,$Q1213='تقرير الفصل الثاني'!$C$7),COUNT(V$4:V1212)+1,"")</f>
        <v/>
      </c>
      <c r="W1213">
        <f>IF(AND($A1213&lt;&gt;"",$B1213&lt;&gt;"",$R1213='تقرير سبتمبر'!$C$4,$P1213='تقرير سبتمبر'!$C$6),COUNT(W$4:W1212)+1,"")</f>
        <v/>
      </c>
      <c r="X1213">
        <f>IF(AND($A1213&lt;&gt;"",$B1213&lt;&gt;"",$R1213='تقرير أكتوبر'!$C$4,$P1213='تقرير أكتوبر'!$C$6),COUNT(X$4:X1212)+1,"")</f>
        <v/>
      </c>
      <c r="Y1213">
        <f>IF(AND($A1213&lt;&gt;"",$B1213&lt;&gt;"",$R1213='تقرير نوفمبر'!$C$4,$P1213='تقرير نوفمبر'!$C$6),COUNT(Y$4:Y1212)+1,"")</f>
        <v/>
      </c>
      <c r="Z1213">
        <f>IF(AND($A1213&lt;&gt;"",$B1213&lt;&gt;"",$R1213='تقرير ديسمبر'!$C$4,$P1213='تقرير ديسمبر'!$C$6),COUNT(Z$4:Z1212)+1,"")</f>
        <v/>
      </c>
      <c r="AA1213">
        <f>IF(AND($A1213&lt;&gt;"",$B1213&lt;&gt;"",$R1213='تقرير يناير'!$C$4,$P1213='تقرير يناير'!$C$6),COUNT(AA$4:AA1212)+1,"")</f>
        <v/>
      </c>
      <c r="AB1213">
        <f>IF(AND($A1213&lt;&gt;"",$B1213&lt;&gt;"",$R1213='تقرير فبراير'!$C$4,$P1213='تقرير فبراير'!$C$6),COUNT(AB$4:AB1212)+1,"")</f>
        <v/>
      </c>
      <c r="AC1213">
        <f>IF(AND($A1213&lt;&gt;"",$B1213&lt;&gt;"",$R1213='تقرير مارس'!$C$4,$P1213='تقرير مارس'!$C$6),COUNT(AC$4:AC1212)+1,"")</f>
        <v/>
      </c>
      <c r="AD1213">
        <f>IF(AND($A1213&lt;&gt;"",$B1213&lt;&gt;"",$R1213='تقرير أبريل'!$C$4,$P1213='تقرير أبريل'!$C$6),COUNT(AD$4:AD1212)+1,"")</f>
        <v/>
      </c>
      <c r="AE1213">
        <f>IF(AND($A1213&lt;&gt;"",$B1213&lt;&gt;"",$R1213='تقرير مايو'!$C$4,$P1213='تقرير مايو'!$C$6),COUNT(AE$4:AE1212)+1,"")</f>
        <v/>
      </c>
    </row>
    <row r="1214">
      <c r="A1214" s="16" t="n"/>
      <c r="B1214" s="17" t="n"/>
      <c r="C1214" s="17" t="n"/>
      <c r="D1214" s="18" t="n"/>
      <c r="E1214" s="17" t="n"/>
      <c r="F1214" s="17" t="n"/>
      <c r="G1214" s="19" t="n"/>
      <c r="H1214" s="17" t="n"/>
      <c r="I1214" s="17" t="n"/>
      <c r="J1214" s="17" t="n"/>
      <c r="K1214" s="20">
        <f>IF($B1214="","",IFERROR(INDEX(الموظفات!$A$5:$A$304,MATCH($B1214,الموظفات!$B$5:$B$304,0))&amp;"",""))</f>
        <v/>
      </c>
      <c r="L1214" s="21">
        <f>IF($B1214="","",IFERROR(INDEX(الموظفات!$C$5:$C$304,MATCH($B1214,الموظفات!$B$5:$B$304,0))&amp;"",""))</f>
        <v/>
      </c>
      <c r="M1214" s="20">
        <f>IF($B1214="","",IFERROR(INDEX(الموظفات!$D$5:$D$304,MATCH($B1214,الموظفات!$B$5:$B$304,0))&amp;"",""))</f>
        <v/>
      </c>
      <c r="N1214" s="20">
        <f>IF($B1214="","",IFERROR(INDEX(الموظفات!$E$5:$E$304,MATCH($B1214,الموظفات!$B$5:$B$304,0))&amp;"",""))</f>
        <v/>
      </c>
      <c r="O1214" s="21">
        <f>IF(C1214="","",IFERROR(INDEX(الإعدادات!$D$7:$D$35,MATCH(C1214,الإعدادات!$A$7:$A$35,0))&amp;"",""))</f>
        <v/>
      </c>
      <c r="P1214" s="20">
        <f>IF(A1214="","",INDEX(الإعدادات!$H$7:$H$18,MONTH(A1214)))</f>
        <v/>
      </c>
      <c r="Q1214" s="20">
        <f>IF(A1214="","",INDEX(الإعدادات!$I$7:$I$18,MONTH(A1214)))</f>
        <v/>
      </c>
      <c r="R1214" s="20">
        <f>IF(A1214="","",IF(MONTH(A1214)&gt;=8,YEAR(A1214)&amp;"-"&amp;(YEAR(A1214)+1),(YEAR(A1214)-1)&amp;"-"&amp;YEAR(A1214)))</f>
        <v/>
      </c>
      <c r="S1214" s="20">
        <f>IF(OR(A1214="",B1214=""),0,IF(AND(R1214=التقارير!$C$4,OR(التقارير!$C$5="سنوي",AND(التقارير!$C$5="شهري",P1214=التقارير!$C$6),AND(التقارير!$C$5="فصلي",Q1214=التقارير!$C$7))),1,0))</f>
        <v/>
      </c>
      <c r="T1214" s="20">
        <f>IF(S1214=1,COUNTIF($S$5:S1214,1),"")</f>
        <v/>
      </c>
      <c r="U1214">
        <f>IF(AND($A1214&lt;&gt;"",$B1214&lt;&gt;"",$R1214='تقرير الفصل الأول'!$C$4,$Q1214='تقرير الفصل الأول'!$C$7),COUNT(U$4:U1213)+1,"")</f>
        <v/>
      </c>
      <c r="V1214">
        <f>IF(AND($A1214&lt;&gt;"",$B1214&lt;&gt;"",$R1214='تقرير الفصل الثاني'!$C$4,$Q1214='تقرير الفصل الثاني'!$C$7),COUNT(V$4:V1213)+1,"")</f>
        <v/>
      </c>
      <c r="W1214">
        <f>IF(AND($A1214&lt;&gt;"",$B1214&lt;&gt;"",$R1214='تقرير سبتمبر'!$C$4,$P1214='تقرير سبتمبر'!$C$6),COUNT(W$4:W1213)+1,"")</f>
        <v/>
      </c>
      <c r="X1214">
        <f>IF(AND($A1214&lt;&gt;"",$B1214&lt;&gt;"",$R1214='تقرير أكتوبر'!$C$4,$P1214='تقرير أكتوبر'!$C$6),COUNT(X$4:X1213)+1,"")</f>
        <v/>
      </c>
      <c r="Y1214">
        <f>IF(AND($A1214&lt;&gt;"",$B1214&lt;&gt;"",$R1214='تقرير نوفمبر'!$C$4,$P1214='تقرير نوفمبر'!$C$6),COUNT(Y$4:Y1213)+1,"")</f>
        <v/>
      </c>
      <c r="Z1214">
        <f>IF(AND($A1214&lt;&gt;"",$B1214&lt;&gt;"",$R1214='تقرير ديسمبر'!$C$4,$P1214='تقرير ديسمبر'!$C$6),COUNT(Z$4:Z1213)+1,"")</f>
        <v/>
      </c>
      <c r="AA1214">
        <f>IF(AND($A1214&lt;&gt;"",$B1214&lt;&gt;"",$R1214='تقرير يناير'!$C$4,$P1214='تقرير يناير'!$C$6),COUNT(AA$4:AA1213)+1,"")</f>
        <v/>
      </c>
      <c r="AB1214">
        <f>IF(AND($A1214&lt;&gt;"",$B1214&lt;&gt;"",$R1214='تقرير فبراير'!$C$4,$P1214='تقرير فبراير'!$C$6),COUNT(AB$4:AB1213)+1,"")</f>
        <v/>
      </c>
      <c r="AC1214">
        <f>IF(AND($A1214&lt;&gt;"",$B1214&lt;&gt;"",$R1214='تقرير مارس'!$C$4,$P1214='تقرير مارس'!$C$6),COUNT(AC$4:AC1213)+1,"")</f>
        <v/>
      </c>
      <c r="AD1214">
        <f>IF(AND($A1214&lt;&gt;"",$B1214&lt;&gt;"",$R1214='تقرير أبريل'!$C$4,$P1214='تقرير أبريل'!$C$6),COUNT(AD$4:AD1213)+1,"")</f>
        <v/>
      </c>
      <c r="AE1214">
        <f>IF(AND($A1214&lt;&gt;"",$B1214&lt;&gt;"",$R1214='تقرير مايو'!$C$4,$P1214='تقرير مايو'!$C$6),COUNT(AE$4:AE1213)+1,"")</f>
        <v/>
      </c>
    </row>
    <row r="1215">
      <c r="A1215" s="16" t="n"/>
      <c r="B1215" s="17" t="n"/>
      <c r="C1215" s="17" t="n"/>
      <c r="D1215" s="18" t="n"/>
      <c r="E1215" s="17" t="n"/>
      <c r="F1215" s="17" t="n"/>
      <c r="G1215" s="19" t="n"/>
      <c r="H1215" s="17" t="n"/>
      <c r="I1215" s="17" t="n"/>
      <c r="J1215" s="17" t="n"/>
      <c r="K1215" s="20">
        <f>IF($B1215="","",IFERROR(INDEX(الموظفات!$A$5:$A$304,MATCH($B1215,الموظفات!$B$5:$B$304,0))&amp;"",""))</f>
        <v/>
      </c>
      <c r="L1215" s="21">
        <f>IF($B1215="","",IFERROR(INDEX(الموظفات!$C$5:$C$304,MATCH($B1215,الموظفات!$B$5:$B$304,0))&amp;"",""))</f>
        <v/>
      </c>
      <c r="M1215" s="20">
        <f>IF($B1215="","",IFERROR(INDEX(الموظفات!$D$5:$D$304,MATCH($B1215,الموظفات!$B$5:$B$304,0))&amp;"",""))</f>
        <v/>
      </c>
      <c r="N1215" s="20">
        <f>IF($B1215="","",IFERROR(INDEX(الموظفات!$E$5:$E$304,MATCH($B1215,الموظفات!$B$5:$B$304,0))&amp;"",""))</f>
        <v/>
      </c>
      <c r="O1215" s="21">
        <f>IF(C1215="","",IFERROR(INDEX(الإعدادات!$D$7:$D$35,MATCH(C1215,الإعدادات!$A$7:$A$35,0))&amp;"",""))</f>
        <v/>
      </c>
      <c r="P1215" s="20">
        <f>IF(A1215="","",INDEX(الإعدادات!$H$7:$H$18,MONTH(A1215)))</f>
        <v/>
      </c>
      <c r="Q1215" s="20">
        <f>IF(A1215="","",INDEX(الإعدادات!$I$7:$I$18,MONTH(A1215)))</f>
        <v/>
      </c>
      <c r="R1215" s="20">
        <f>IF(A1215="","",IF(MONTH(A1215)&gt;=8,YEAR(A1215)&amp;"-"&amp;(YEAR(A1215)+1),(YEAR(A1215)-1)&amp;"-"&amp;YEAR(A1215)))</f>
        <v/>
      </c>
      <c r="S1215" s="20">
        <f>IF(OR(A1215="",B1215=""),0,IF(AND(R1215=التقارير!$C$4,OR(التقارير!$C$5="سنوي",AND(التقارير!$C$5="شهري",P1215=التقارير!$C$6),AND(التقارير!$C$5="فصلي",Q1215=التقارير!$C$7))),1,0))</f>
        <v/>
      </c>
      <c r="T1215" s="20">
        <f>IF(S1215=1,COUNTIF($S$5:S1215,1),"")</f>
        <v/>
      </c>
      <c r="U1215">
        <f>IF(AND($A1215&lt;&gt;"",$B1215&lt;&gt;"",$R1215='تقرير الفصل الأول'!$C$4,$Q1215='تقرير الفصل الأول'!$C$7),COUNT(U$4:U1214)+1,"")</f>
        <v/>
      </c>
      <c r="V1215">
        <f>IF(AND($A1215&lt;&gt;"",$B1215&lt;&gt;"",$R1215='تقرير الفصل الثاني'!$C$4,$Q1215='تقرير الفصل الثاني'!$C$7),COUNT(V$4:V1214)+1,"")</f>
        <v/>
      </c>
      <c r="W1215">
        <f>IF(AND($A1215&lt;&gt;"",$B1215&lt;&gt;"",$R1215='تقرير سبتمبر'!$C$4,$P1215='تقرير سبتمبر'!$C$6),COUNT(W$4:W1214)+1,"")</f>
        <v/>
      </c>
      <c r="X1215">
        <f>IF(AND($A1215&lt;&gt;"",$B1215&lt;&gt;"",$R1215='تقرير أكتوبر'!$C$4,$P1215='تقرير أكتوبر'!$C$6),COUNT(X$4:X1214)+1,"")</f>
        <v/>
      </c>
      <c r="Y1215">
        <f>IF(AND($A1215&lt;&gt;"",$B1215&lt;&gt;"",$R1215='تقرير نوفمبر'!$C$4,$P1215='تقرير نوفمبر'!$C$6),COUNT(Y$4:Y1214)+1,"")</f>
        <v/>
      </c>
      <c r="Z1215">
        <f>IF(AND($A1215&lt;&gt;"",$B1215&lt;&gt;"",$R1215='تقرير ديسمبر'!$C$4,$P1215='تقرير ديسمبر'!$C$6),COUNT(Z$4:Z1214)+1,"")</f>
        <v/>
      </c>
      <c r="AA1215">
        <f>IF(AND($A1215&lt;&gt;"",$B1215&lt;&gt;"",$R1215='تقرير يناير'!$C$4,$P1215='تقرير يناير'!$C$6),COUNT(AA$4:AA1214)+1,"")</f>
        <v/>
      </c>
      <c r="AB1215">
        <f>IF(AND($A1215&lt;&gt;"",$B1215&lt;&gt;"",$R1215='تقرير فبراير'!$C$4,$P1215='تقرير فبراير'!$C$6),COUNT(AB$4:AB1214)+1,"")</f>
        <v/>
      </c>
      <c r="AC1215">
        <f>IF(AND($A1215&lt;&gt;"",$B1215&lt;&gt;"",$R1215='تقرير مارس'!$C$4,$P1215='تقرير مارس'!$C$6),COUNT(AC$4:AC1214)+1,"")</f>
        <v/>
      </c>
      <c r="AD1215">
        <f>IF(AND($A1215&lt;&gt;"",$B1215&lt;&gt;"",$R1215='تقرير أبريل'!$C$4,$P1215='تقرير أبريل'!$C$6),COUNT(AD$4:AD1214)+1,"")</f>
        <v/>
      </c>
      <c r="AE1215">
        <f>IF(AND($A1215&lt;&gt;"",$B1215&lt;&gt;"",$R1215='تقرير مايو'!$C$4,$P1215='تقرير مايو'!$C$6),COUNT(AE$4:AE1214)+1,"")</f>
        <v/>
      </c>
    </row>
    <row r="1216">
      <c r="A1216" s="16" t="n"/>
      <c r="B1216" s="17" t="n"/>
      <c r="C1216" s="17" t="n"/>
      <c r="D1216" s="18" t="n"/>
      <c r="E1216" s="17" t="n"/>
      <c r="F1216" s="17" t="n"/>
      <c r="G1216" s="19" t="n"/>
      <c r="H1216" s="17" t="n"/>
      <c r="I1216" s="17" t="n"/>
      <c r="J1216" s="17" t="n"/>
      <c r="K1216" s="20">
        <f>IF($B1216="","",IFERROR(INDEX(الموظفات!$A$5:$A$304,MATCH($B1216,الموظفات!$B$5:$B$304,0))&amp;"",""))</f>
        <v/>
      </c>
      <c r="L1216" s="21">
        <f>IF($B1216="","",IFERROR(INDEX(الموظفات!$C$5:$C$304,MATCH($B1216,الموظفات!$B$5:$B$304,0))&amp;"",""))</f>
        <v/>
      </c>
      <c r="M1216" s="20">
        <f>IF($B1216="","",IFERROR(INDEX(الموظفات!$D$5:$D$304,MATCH($B1216,الموظفات!$B$5:$B$304,0))&amp;"",""))</f>
        <v/>
      </c>
      <c r="N1216" s="20">
        <f>IF($B1216="","",IFERROR(INDEX(الموظفات!$E$5:$E$304,MATCH($B1216,الموظفات!$B$5:$B$304,0))&amp;"",""))</f>
        <v/>
      </c>
      <c r="O1216" s="21">
        <f>IF(C1216="","",IFERROR(INDEX(الإعدادات!$D$7:$D$35,MATCH(C1216,الإعدادات!$A$7:$A$35,0))&amp;"",""))</f>
        <v/>
      </c>
      <c r="P1216" s="20">
        <f>IF(A1216="","",INDEX(الإعدادات!$H$7:$H$18,MONTH(A1216)))</f>
        <v/>
      </c>
      <c r="Q1216" s="20">
        <f>IF(A1216="","",INDEX(الإعدادات!$I$7:$I$18,MONTH(A1216)))</f>
        <v/>
      </c>
      <c r="R1216" s="20">
        <f>IF(A1216="","",IF(MONTH(A1216)&gt;=8,YEAR(A1216)&amp;"-"&amp;(YEAR(A1216)+1),(YEAR(A1216)-1)&amp;"-"&amp;YEAR(A1216)))</f>
        <v/>
      </c>
      <c r="S1216" s="20">
        <f>IF(OR(A1216="",B1216=""),0,IF(AND(R1216=التقارير!$C$4,OR(التقارير!$C$5="سنوي",AND(التقارير!$C$5="شهري",P1216=التقارير!$C$6),AND(التقارير!$C$5="فصلي",Q1216=التقارير!$C$7))),1,0))</f>
        <v/>
      </c>
      <c r="T1216" s="20">
        <f>IF(S1216=1,COUNTIF($S$5:S1216,1),"")</f>
        <v/>
      </c>
      <c r="U1216">
        <f>IF(AND($A1216&lt;&gt;"",$B1216&lt;&gt;"",$R1216='تقرير الفصل الأول'!$C$4,$Q1216='تقرير الفصل الأول'!$C$7),COUNT(U$4:U1215)+1,"")</f>
        <v/>
      </c>
      <c r="V1216">
        <f>IF(AND($A1216&lt;&gt;"",$B1216&lt;&gt;"",$R1216='تقرير الفصل الثاني'!$C$4,$Q1216='تقرير الفصل الثاني'!$C$7),COUNT(V$4:V1215)+1,"")</f>
        <v/>
      </c>
      <c r="W1216">
        <f>IF(AND($A1216&lt;&gt;"",$B1216&lt;&gt;"",$R1216='تقرير سبتمبر'!$C$4,$P1216='تقرير سبتمبر'!$C$6),COUNT(W$4:W1215)+1,"")</f>
        <v/>
      </c>
      <c r="X1216">
        <f>IF(AND($A1216&lt;&gt;"",$B1216&lt;&gt;"",$R1216='تقرير أكتوبر'!$C$4,$P1216='تقرير أكتوبر'!$C$6),COUNT(X$4:X1215)+1,"")</f>
        <v/>
      </c>
      <c r="Y1216">
        <f>IF(AND($A1216&lt;&gt;"",$B1216&lt;&gt;"",$R1216='تقرير نوفمبر'!$C$4,$P1216='تقرير نوفمبر'!$C$6),COUNT(Y$4:Y1215)+1,"")</f>
        <v/>
      </c>
      <c r="Z1216">
        <f>IF(AND($A1216&lt;&gt;"",$B1216&lt;&gt;"",$R1216='تقرير ديسمبر'!$C$4,$P1216='تقرير ديسمبر'!$C$6),COUNT(Z$4:Z1215)+1,"")</f>
        <v/>
      </c>
      <c r="AA1216">
        <f>IF(AND($A1216&lt;&gt;"",$B1216&lt;&gt;"",$R1216='تقرير يناير'!$C$4,$P1216='تقرير يناير'!$C$6),COUNT(AA$4:AA1215)+1,"")</f>
        <v/>
      </c>
      <c r="AB1216">
        <f>IF(AND($A1216&lt;&gt;"",$B1216&lt;&gt;"",$R1216='تقرير فبراير'!$C$4,$P1216='تقرير فبراير'!$C$6),COUNT(AB$4:AB1215)+1,"")</f>
        <v/>
      </c>
      <c r="AC1216">
        <f>IF(AND($A1216&lt;&gt;"",$B1216&lt;&gt;"",$R1216='تقرير مارس'!$C$4,$P1216='تقرير مارس'!$C$6),COUNT(AC$4:AC1215)+1,"")</f>
        <v/>
      </c>
      <c r="AD1216">
        <f>IF(AND($A1216&lt;&gt;"",$B1216&lt;&gt;"",$R1216='تقرير أبريل'!$C$4,$P1216='تقرير أبريل'!$C$6),COUNT(AD$4:AD1215)+1,"")</f>
        <v/>
      </c>
      <c r="AE1216">
        <f>IF(AND($A1216&lt;&gt;"",$B1216&lt;&gt;"",$R1216='تقرير مايو'!$C$4,$P1216='تقرير مايو'!$C$6),COUNT(AE$4:AE1215)+1,"")</f>
        <v/>
      </c>
    </row>
    <row r="1217">
      <c r="A1217" s="16" t="n"/>
      <c r="B1217" s="17" t="n"/>
      <c r="C1217" s="17" t="n"/>
      <c r="D1217" s="18" t="n"/>
      <c r="E1217" s="17" t="n"/>
      <c r="F1217" s="17" t="n"/>
      <c r="G1217" s="19" t="n"/>
      <c r="H1217" s="17" t="n"/>
      <c r="I1217" s="17" t="n"/>
      <c r="J1217" s="17" t="n"/>
      <c r="K1217" s="20">
        <f>IF($B1217="","",IFERROR(INDEX(الموظفات!$A$5:$A$304,MATCH($B1217,الموظفات!$B$5:$B$304,0))&amp;"",""))</f>
        <v/>
      </c>
      <c r="L1217" s="21">
        <f>IF($B1217="","",IFERROR(INDEX(الموظفات!$C$5:$C$304,MATCH($B1217,الموظفات!$B$5:$B$304,0))&amp;"",""))</f>
        <v/>
      </c>
      <c r="M1217" s="20">
        <f>IF($B1217="","",IFERROR(INDEX(الموظفات!$D$5:$D$304,MATCH($B1217,الموظفات!$B$5:$B$304,0))&amp;"",""))</f>
        <v/>
      </c>
      <c r="N1217" s="20">
        <f>IF($B1217="","",IFERROR(INDEX(الموظفات!$E$5:$E$304,MATCH($B1217,الموظفات!$B$5:$B$304,0))&amp;"",""))</f>
        <v/>
      </c>
      <c r="O1217" s="21">
        <f>IF(C1217="","",IFERROR(INDEX(الإعدادات!$D$7:$D$35,MATCH(C1217,الإعدادات!$A$7:$A$35,0))&amp;"",""))</f>
        <v/>
      </c>
      <c r="P1217" s="20">
        <f>IF(A1217="","",INDEX(الإعدادات!$H$7:$H$18,MONTH(A1217)))</f>
        <v/>
      </c>
      <c r="Q1217" s="20">
        <f>IF(A1217="","",INDEX(الإعدادات!$I$7:$I$18,MONTH(A1217)))</f>
        <v/>
      </c>
      <c r="R1217" s="20">
        <f>IF(A1217="","",IF(MONTH(A1217)&gt;=8,YEAR(A1217)&amp;"-"&amp;(YEAR(A1217)+1),(YEAR(A1217)-1)&amp;"-"&amp;YEAR(A1217)))</f>
        <v/>
      </c>
      <c r="S1217" s="20">
        <f>IF(OR(A1217="",B1217=""),0,IF(AND(R1217=التقارير!$C$4,OR(التقارير!$C$5="سنوي",AND(التقارير!$C$5="شهري",P1217=التقارير!$C$6),AND(التقارير!$C$5="فصلي",Q1217=التقارير!$C$7))),1,0))</f>
        <v/>
      </c>
      <c r="T1217" s="20">
        <f>IF(S1217=1,COUNTIF($S$5:S1217,1),"")</f>
        <v/>
      </c>
      <c r="U1217">
        <f>IF(AND($A1217&lt;&gt;"",$B1217&lt;&gt;"",$R1217='تقرير الفصل الأول'!$C$4,$Q1217='تقرير الفصل الأول'!$C$7),COUNT(U$4:U1216)+1,"")</f>
        <v/>
      </c>
      <c r="V1217">
        <f>IF(AND($A1217&lt;&gt;"",$B1217&lt;&gt;"",$R1217='تقرير الفصل الثاني'!$C$4,$Q1217='تقرير الفصل الثاني'!$C$7),COUNT(V$4:V1216)+1,"")</f>
        <v/>
      </c>
      <c r="W1217">
        <f>IF(AND($A1217&lt;&gt;"",$B1217&lt;&gt;"",$R1217='تقرير سبتمبر'!$C$4,$P1217='تقرير سبتمبر'!$C$6),COUNT(W$4:W1216)+1,"")</f>
        <v/>
      </c>
      <c r="X1217">
        <f>IF(AND($A1217&lt;&gt;"",$B1217&lt;&gt;"",$R1217='تقرير أكتوبر'!$C$4,$P1217='تقرير أكتوبر'!$C$6),COUNT(X$4:X1216)+1,"")</f>
        <v/>
      </c>
      <c r="Y1217">
        <f>IF(AND($A1217&lt;&gt;"",$B1217&lt;&gt;"",$R1217='تقرير نوفمبر'!$C$4,$P1217='تقرير نوفمبر'!$C$6),COUNT(Y$4:Y1216)+1,"")</f>
        <v/>
      </c>
      <c r="Z1217">
        <f>IF(AND($A1217&lt;&gt;"",$B1217&lt;&gt;"",$R1217='تقرير ديسمبر'!$C$4,$P1217='تقرير ديسمبر'!$C$6),COUNT(Z$4:Z1216)+1,"")</f>
        <v/>
      </c>
      <c r="AA1217">
        <f>IF(AND($A1217&lt;&gt;"",$B1217&lt;&gt;"",$R1217='تقرير يناير'!$C$4,$P1217='تقرير يناير'!$C$6),COUNT(AA$4:AA1216)+1,"")</f>
        <v/>
      </c>
      <c r="AB1217">
        <f>IF(AND($A1217&lt;&gt;"",$B1217&lt;&gt;"",$R1217='تقرير فبراير'!$C$4,$P1217='تقرير فبراير'!$C$6),COUNT(AB$4:AB1216)+1,"")</f>
        <v/>
      </c>
      <c r="AC1217">
        <f>IF(AND($A1217&lt;&gt;"",$B1217&lt;&gt;"",$R1217='تقرير مارس'!$C$4,$P1217='تقرير مارس'!$C$6),COUNT(AC$4:AC1216)+1,"")</f>
        <v/>
      </c>
      <c r="AD1217">
        <f>IF(AND($A1217&lt;&gt;"",$B1217&lt;&gt;"",$R1217='تقرير أبريل'!$C$4,$P1217='تقرير أبريل'!$C$6),COUNT(AD$4:AD1216)+1,"")</f>
        <v/>
      </c>
      <c r="AE1217">
        <f>IF(AND($A1217&lt;&gt;"",$B1217&lt;&gt;"",$R1217='تقرير مايو'!$C$4,$P1217='تقرير مايو'!$C$6),COUNT(AE$4:AE1216)+1,"")</f>
        <v/>
      </c>
    </row>
    <row r="1218">
      <c r="A1218" s="16" t="n"/>
      <c r="B1218" s="17" t="n"/>
      <c r="C1218" s="17" t="n"/>
      <c r="D1218" s="18" t="n"/>
      <c r="E1218" s="17" t="n"/>
      <c r="F1218" s="17" t="n"/>
      <c r="G1218" s="19" t="n"/>
      <c r="H1218" s="17" t="n"/>
      <c r="I1218" s="17" t="n"/>
      <c r="J1218" s="17" t="n"/>
      <c r="K1218" s="20">
        <f>IF($B1218="","",IFERROR(INDEX(الموظفات!$A$5:$A$304,MATCH($B1218,الموظفات!$B$5:$B$304,0))&amp;"",""))</f>
        <v/>
      </c>
      <c r="L1218" s="21">
        <f>IF($B1218="","",IFERROR(INDEX(الموظفات!$C$5:$C$304,MATCH($B1218,الموظفات!$B$5:$B$304,0))&amp;"",""))</f>
        <v/>
      </c>
      <c r="M1218" s="20">
        <f>IF($B1218="","",IFERROR(INDEX(الموظفات!$D$5:$D$304,MATCH($B1218,الموظفات!$B$5:$B$304,0))&amp;"",""))</f>
        <v/>
      </c>
      <c r="N1218" s="20">
        <f>IF($B1218="","",IFERROR(INDEX(الموظفات!$E$5:$E$304,MATCH($B1218,الموظفات!$B$5:$B$304,0))&amp;"",""))</f>
        <v/>
      </c>
      <c r="O1218" s="21">
        <f>IF(C1218="","",IFERROR(INDEX(الإعدادات!$D$7:$D$35,MATCH(C1218,الإعدادات!$A$7:$A$35,0))&amp;"",""))</f>
        <v/>
      </c>
      <c r="P1218" s="20">
        <f>IF(A1218="","",INDEX(الإعدادات!$H$7:$H$18,MONTH(A1218)))</f>
        <v/>
      </c>
      <c r="Q1218" s="20">
        <f>IF(A1218="","",INDEX(الإعدادات!$I$7:$I$18,MONTH(A1218)))</f>
        <v/>
      </c>
      <c r="R1218" s="20">
        <f>IF(A1218="","",IF(MONTH(A1218)&gt;=8,YEAR(A1218)&amp;"-"&amp;(YEAR(A1218)+1),(YEAR(A1218)-1)&amp;"-"&amp;YEAR(A1218)))</f>
        <v/>
      </c>
      <c r="S1218" s="20">
        <f>IF(OR(A1218="",B1218=""),0,IF(AND(R1218=التقارير!$C$4,OR(التقارير!$C$5="سنوي",AND(التقارير!$C$5="شهري",P1218=التقارير!$C$6),AND(التقارير!$C$5="فصلي",Q1218=التقارير!$C$7))),1,0))</f>
        <v/>
      </c>
      <c r="T1218" s="20">
        <f>IF(S1218=1,COUNTIF($S$5:S1218,1),"")</f>
        <v/>
      </c>
      <c r="U1218">
        <f>IF(AND($A1218&lt;&gt;"",$B1218&lt;&gt;"",$R1218='تقرير الفصل الأول'!$C$4,$Q1218='تقرير الفصل الأول'!$C$7),COUNT(U$4:U1217)+1,"")</f>
        <v/>
      </c>
      <c r="V1218">
        <f>IF(AND($A1218&lt;&gt;"",$B1218&lt;&gt;"",$R1218='تقرير الفصل الثاني'!$C$4,$Q1218='تقرير الفصل الثاني'!$C$7),COUNT(V$4:V1217)+1,"")</f>
        <v/>
      </c>
      <c r="W1218">
        <f>IF(AND($A1218&lt;&gt;"",$B1218&lt;&gt;"",$R1218='تقرير سبتمبر'!$C$4,$P1218='تقرير سبتمبر'!$C$6),COUNT(W$4:W1217)+1,"")</f>
        <v/>
      </c>
      <c r="X1218">
        <f>IF(AND($A1218&lt;&gt;"",$B1218&lt;&gt;"",$R1218='تقرير أكتوبر'!$C$4,$P1218='تقرير أكتوبر'!$C$6),COUNT(X$4:X1217)+1,"")</f>
        <v/>
      </c>
      <c r="Y1218">
        <f>IF(AND($A1218&lt;&gt;"",$B1218&lt;&gt;"",$R1218='تقرير نوفمبر'!$C$4,$P1218='تقرير نوفمبر'!$C$6),COUNT(Y$4:Y1217)+1,"")</f>
        <v/>
      </c>
      <c r="Z1218">
        <f>IF(AND($A1218&lt;&gt;"",$B1218&lt;&gt;"",$R1218='تقرير ديسمبر'!$C$4,$P1218='تقرير ديسمبر'!$C$6),COUNT(Z$4:Z1217)+1,"")</f>
        <v/>
      </c>
      <c r="AA1218">
        <f>IF(AND($A1218&lt;&gt;"",$B1218&lt;&gt;"",$R1218='تقرير يناير'!$C$4,$P1218='تقرير يناير'!$C$6),COUNT(AA$4:AA1217)+1,"")</f>
        <v/>
      </c>
      <c r="AB1218">
        <f>IF(AND($A1218&lt;&gt;"",$B1218&lt;&gt;"",$R1218='تقرير فبراير'!$C$4,$P1218='تقرير فبراير'!$C$6),COUNT(AB$4:AB1217)+1,"")</f>
        <v/>
      </c>
      <c r="AC1218">
        <f>IF(AND($A1218&lt;&gt;"",$B1218&lt;&gt;"",$R1218='تقرير مارس'!$C$4,$P1218='تقرير مارس'!$C$6),COUNT(AC$4:AC1217)+1,"")</f>
        <v/>
      </c>
      <c r="AD1218">
        <f>IF(AND($A1218&lt;&gt;"",$B1218&lt;&gt;"",$R1218='تقرير أبريل'!$C$4,$P1218='تقرير أبريل'!$C$6),COUNT(AD$4:AD1217)+1,"")</f>
        <v/>
      </c>
      <c r="AE1218">
        <f>IF(AND($A1218&lt;&gt;"",$B1218&lt;&gt;"",$R1218='تقرير مايو'!$C$4,$P1218='تقرير مايو'!$C$6),COUNT(AE$4:AE1217)+1,"")</f>
        <v/>
      </c>
    </row>
    <row r="1219">
      <c r="A1219" s="16" t="n"/>
      <c r="B1219" s="17" t="n"/>
      <c r="C1219" s="17" t="n"/>
      <c r="D1219" s="18" t="n"/>
      <c r="E1219" s="17" t="n"/>
      <c r="F1219" s="17" t="n"/>
      <c r="G1219" s="19" t="n"/>
      <c r="H1219" s="17" t="n"/>
      <c r="I1219" s="17" t="n"/>
      <c r="J1219" s="17" t="n"/>
      <c r="K1219" s="20">
        <f>IF($B1219="","",IFERROR(INDEX(الموظفات!$A$5:$A$304,MATCH($B1219,الموظفات!$B$5:$B$304,0))&amp;"",""))</f>
        <v/>
      </c>
      <c r="L1219" s="21">
        <f>IF($B1219="","",IFERROR(INDEX(الموظفات!$C$5:$C$304,MATCH($B1219,الموظفات!$B$5:$B$304,0))&amp;"",""))</f>
        <v/>
      </c>
      <c r="M1219" s="20">
        <f>IF($B1219="","",IFERROR(INDEX(الموظفات!$D$5:$D$304,MATCH($B1219,الموظفات!$B$5:$B$304,0))&amp;"",""))</f>
        <v/>
      </c>
      <c r="N1219" s="20">
        <f>IF($B1219="","",IFERROR(INDEX(الموظفات!$E$5:$E$304,MATCH($B1219,الموظفات!$B$5:$B$304,0))&amp;"",""))</f>
        <v/>
      </c>
      <c r="O1219" s="21">
        <f>IF(C1219="","",IFERROR(INDEX(الإعدادات!$D$7:$D$35,MATCH(C1219,الإعدادات!$A$7:$A$35,0))&amp;"",""))</f>
        <v/>
      </c>
      <c r="P1219" s="20">
        <f>IF(A1219="","",INDEX(الإعدادات!$H$7:$H$18,MONTH(A1219)))</f>
        <v/>
      </c>
      <c r="Q1219" s="20">
        <f>IF(A1219="","",INDEX(الإعدادات!$I$7:$I$18,MONTH(A1219)))</f>
        <v/>
      </c>
      <c r="R1219" s="20">
        <f>IF(A1219="","",IF(MONTH(A1219)&gt;=8,YEAR(A1219)&amp;"-"&amp;(YEAR(A1219)+1),(YEAR(A1219)-1)&amp;"-"&amp;YEAR(A1219)))</f>
        <v/>
      </c>
      <c r="S1219" s="20">
        <f>IF(OR(A1219="",B1219=""),0,IF(AND(R1219=التقارير!$C$4,OR(التقارير!$C$5="سنوي",AND(التقارير!$C$5="شهري",P1219=التقارير!$C$6),AND(التقارير!$C$5="فصلي",Q1219=التقارير!$C$7))),1,0))</f>
        <v/>
      </c>
      <c r="T1219" s="20">
        <f>IF(S1219=1,COUNTIF($S$5:S1219,1),"")</f>
        <v/>
      </c>
      <c r="U1219">
        <f>IF(AND($A1219&lt;&gt;"",$B1219&lt;&gt;"",$R1219='تقرير الفصل الأول'!$C$4,$Q1219='تقرير الفصل الأول'!$C$7),COUNT(U$4:U1218)+1,"")</f>
        <v/>
      </c>
      <c r="V1219">
        <f>IF(AND($A1219&lt;&gt;"",$B1219&lt;&gt;"",$R1219='تقرير الفصل الثاني'!$C$4,$Q1219='تقرير الفصل الثاني'!$C$7),COUNT(V$4:V1218)+1,"")</f>
        <v/>
      </c>
      <c r="W1219">
        <f>IF(AND($A1219&lt;&gt;"",$B1219&lt;&gt;"",$R1219='تقرير سبتمبر'!$C$4,$P1219='تقرير سبتمبر'!$C$6),COUNT(W$4:W1218)+1,"")</f>
        <v/>
      </c>
      <c r="X1219">
        <f>IF(AND($A1219&lt;&gt;"",$B1219&lt;&gt;"",$R1219='تقرير أكتوبر'!$C$4,$P1219='تقرير أكتوبر'!$C$6),COUNT(X$4:X1218)+1,"")</f>
        <v/>
      </c>
      <c r="Y1219">
        <f>IF(AND($A1219&lt;&gt;"",$B1219&lt;&gt;"",$R1219='تقرير نوفمبر'!$C$4,$P1219='تقرير نوفمبر'!$C$6),COUNT(Y$4:Y1218)+1,"")</f>
        <v/>
      </c>
      <c r="Z1219">
        <f>IF(AND($A1219&lt;&gt;"",$B1219&lt;&gt;"",$R1219='تقرير ديسمبر'!$C$4,$P1219='تقرير ديسمبر'!$C$6),COUNT(Z$4:Z1218)+1,"")</f>
        <v/>
      </c>
      <c r="AA1219">
        <f>IF(AND($A1219&lt;&gt;"",$B1219&lt;&gt;"",$R1219='تقرير يناير'!$C$4,$P1219='تقرير يناير'!$C$6),COUNT(AA$4:AA1218)+1,"")</f>
        <v/>
      </c>
      <c r="AB1219">
        <f>IF(AND($A1219&lt;&gt;"",$B1219&lt;&gt;"",$R1219='تقرير فبراير'!$C$4,$P1219='تقرير فبراير'!$C$6),COUNT(AB$4:AB1218)+1,"")</f>
        <v/>
      </c>
      <c r="AC1219">
        <f>IF(AND($A1219&lt;&gt;"",$B1219&lt;&gt;"",$R1219='تقرير مارس'!$C$4,$P1219='تقرير مارس'!$C$6),COUNT(AC$4:AC1218)+1,"")</f>
        <v/>
      </c>
      <c r="AD1219">
        <f>IF(AND($A1219&lt;&gt;"",$B1219&lt;&gt;"",$R1219='تقرير أبريل'!$C$4,$P1219='تقرير أبريل'!$C$6),COUNT(AD$4:AD1218)+1,"")</f>
        <v/>
      </c>
      <c r="AE1219">
        <f>IF(AND($A1219&lt;&gt;"",$B1219&lt;&gt;"",$R1219='تقرير مايو'!$C$4,$P1219='تقرير مايو'!$C$6),COUNT(AE$4:AE1218)+1,"")</f>
        <v/>
      </c>
    </row>
    <row r="1220">
      <c r="A1220" s="16" t="n"/>
      <c r="B1220" s="17" t="n"/>
      <c r="C1220" s="17" t="n"/>
      <c r="D1220" s="18" t="n"/>
      <c r="E1220" s="17" t="n"/>
      <c r="F1220" s="17" t="n"/>
      <c r="G1220" s="19" t="n"/>
      <c r="H1220" s="17" t="n"/>
      <c r="I1220" s="17" t="n"/>
      <c r="J1220" s="17" t="n"/>
      <c r="K1220" s="20">
        <f>IF($B1220="","",IFERROR(INDEX(الموظفات!$A$5:$A$304,MATCH($B1220,الموظفات!$B$5:$B$304,0))&amp;"",""))</f>
        <v/>
      </c>
      <c r="L1220" s="21">
        <f>IF($B1220="","",IFERROR(INDEX(الموظفات!$C$5:$C$304,MATCH($B1220,الموظفات!$B$5:$B$304,0))&amp;"",""))</f>
        <v/>
      </c>
      <c r="M1220" s="20">
        <f>IF($B1220="","",IFERROR(INDEX(الموظفات!$D$5:$D$304,MATCH($B1220,الموظفات!$B$5:$B$304,0))&amp;"",""))</f>
        <v/>
      </c>
      <c r="N1220" s="20">
        <f>IF($B1220="","",IFERROR(INDEX(الموظفات!$E$5:$E$304,MATCH($B1220,الموظفات!$B$5:$B$304,0))&amp;"",""))</f>
        <v/>
      </c>
      <c r="O1220" s="21">
        <f>IF(C1220="","",IFERROR(INDEX(الإعدادات!$D$7:$D$35,MATCH(C1220,الإعدادات!$A$7:$A$35,0))&amp;"",""))</f>
        <v/>
      </c>
      <c r="P1220" s="20">
        <f>IF(A1220="","",INDEX(الإعدادات!$H$7:$H$18,MONTH(A1220)))</f>
        <v/>
      </c>
      <c r="Q1220" s="20">
        <f>IF(A1220="","",INDEX(الإعدادات!$I$7:$I$18,MONTH(A1220)))</f>
        <v/>
      </c>
      <c r="R1220" s="20">
        <f>IF(A1220="","",IF(MONTH(A1220)&gt;=8,YEAR(A1220)&amp;"-"&amp;(YEAR(A1220)+1),(YEAR(A1220)-1)&amp;"-"&amp;YEAR(A1220)))</f>
        <v/>
      </c>
      <c r="S1220" s="20">
        <f>IF(OR(A1220="",B1220=""),0,IF(AND(R1220=التقارير!$C$4,OR(التقارير!$C$5="سنوي",AND(التقارير!$C$5="شهري",P1220=التقارير!$C$6),AND(التقارير!$C$5="فصلي",Q1220=التقارير!$C$7))),1,0))</f>
        <v/>
      </c>
      <c r="T1220" s="20">
        <f>IF(S1220=1,COUNTIF($S$5:S1220,1),"")</f>
        <v/>
      </c>
      <c r="U1220">
        <f>IF(AND($A1220&lt;&gt;"",$B1220&lt;&gt;"",$R1220='تقرير الفصل الأول'!$C$4,$Q1220='تقرير الفصل الأول'!$C$7),COUNT(U$4:U1219)+1,"")</f>
        <v/>
      </c>
      <c r="V1220">
        <f>IF(AND($A1220&lt;&gt;"",$B1220&lt;&gt;"",$R1220='تقرير الفصل الثاني'!$C$4,$Q1220='تقرير الفصل الثاني'!$C$7),COUNT(V$4:V1219)+1,"")</f>
        <v/>
      </c>
      <c r="W1220">
        <f>IF(AND($A1220&lt;&gt;"",$B1220&lt;&gt;"",$R1220='تقرير سبتمبر'!$C$4,$P1220='تقرير سبتمبر'!$C$6),COUNT(W$4:W1219)+1,"")</f>
        <v/>
      </c>
      <c r="X1220">
        <f>IF(AND($A1220&lt;&gt;"",$B1220&lt;&gt;"",$R1220='تقرير أكتوبر'!$C$4,$P1220='تقرير أكتوبر'!$C$6),COUNT(X$4:X1219)+1,"")</f>
        <v/>
      </c>
      <c r="Y1220">
        <f>IF(AND($A1220&lt;&gt;"",$B1220&lt;&gt;"",$R1220='تقرير نوفمبر'!$C$4,$P1220='تقرير نوفمبر'!$C$6),COUNT(Y$4:Y1219)+1,"")</f>
        <v/>
      </c>
      <c r="Z1220">
        <f>IF(AND($A1220&lt;&gt;"",$B1220&lt;&gt;"",$R1220='تقرير ديسمبر'!$C$4,$P1220='تقرير ديسمبر'!$C$6),COUNT(Z$4:Z1219)+1,"")</f>
        <v/>
      </c>
      <c r="AA1220">
        <f>IF(AND($A1220&lt;&gt;"",$B1220&lt;&gt;"",$R1220='تقرير يناير'!$C$4,$P1220='تقرير يناير'!$C$6),COUNT(AA$4:AA1219)+1,"")</f>
        <v/>
      </c>
      <c r="AB1220">
        <f>IF(AND($A1220&lt;&gt;"",$B1220&lt;&gt;"",$R1220='تقرير فبراير'!$C$4,$P1220='تقرير فبراير'!$C$6),COUNT(AB$4:AB1219)+1,"")</f>
        <v/>
      </c>
      <c r="AC1220">
        <f>IF(AND($A1220&lt;&gt;"",$B1220&lt;&gt;"",$R1220='تقرير مارس'!$C$4,$P1220='تقرير مارس'!$C$6),COUNT(AC$4:AC1219)+1,"")</f>
        <v/>
      </c>
      <c r="AD1220">
        <f>IF(AND($A1220&lt;&gt;"",$B1220&lt;&gt;"",$R1220='تقرير أبريل'!$C$4,$P1220='تقرير أبريل'!$C$6),COUNT(AD$4:AD1219)+1,"")</f>
        <v/>
      </c>
      <c r="AE1220">
        <f>IF(AND($A1220&lt;&gt;"",$B1220&lt;&gt;"",$R1220='تقرير مايو'!$C$4,$P1220='تقرير مايو'!$C$6),COUNT(AE$4:AE1219)+1,"")</f>
        <v/>
      </c>
    </row>
    <row r="1221">
      <c r="A1221" s="16" t="n"/>
      <c r="B1221" s="17" t="n"/>
      <c r="C1221" s="17" t="n"/>
      <c r="D1221" s="18" t="n"/>
      <c r="E1221" s="17" t="n"/>
      <c r="F1221" s="17" t="n"/>
      <c r="G1221" s="19" t="n"/>
      <c r="H1221" s="17" t="n"/>
      <c r="I1221" s="17" t="n"/>
      <c r="J1221" s="17" t="n"/>
      <c r="K1221" s="20">
        <f>IF($B1221="","",IFERROR(INDEX(الموظفات!$A$5:$A$304,MATCH($B1221,الموظفات!$B$5:$B$304,0))&amp;"",""))</f>
        <v/>
      </c>
      <c r="L1221" s="21">
        <f>IF($B1221="","",IFERROR(INDEX(الموظفات!$C$5:$C$304,MATCH($B1221,الموظفات!$B$5:$B$304,0))&amp;"",""))</f>
        <v/>
      </c>
      <c r="M1221" s="20">
        <f>IF($B1221="","",IFERROR(INDEX(الموظفات!$D$5:$D$304,MATCH($B1221,الموظفات!$B$5:$B$304,0))&amp;"",""))</f>
        <v/>
      </c>
      <c r="N1221" s="20">
        <f>IF($B1221="","",IFERROR(INDEX(الموظفات!$E$5:$E$304,MATCH($B1221,الموظفات!$B$5:$B$304,0))&amp;"",""))</f>
        <v/>
      </c>
      <c r="O1221" s="21">
        <f>IF(C1221="","",IFERROR(INDEX(الإعدادات!$D$7:$D$35,MATCH(C1221,الإعدادات!$A$7:$A$35,0))&amp;"",""))</f>
        <v/>
      </c>
      <c r="P1221" s="20">
        <f>IF(A1221="","",INDEX(الإعدادات!$H$7:$H$18,MONTH(A1221)))</f>
        <v/>
      </c>
      <c r="Q1221" s="20">
        <f>IF(A1221="","",INDEX(الإعدادات!$I$7:$I$18,MONTH(A1221)))</f>
        <v/>
      </c>
      <c r="R1221" s="20">
        <f>IF(A1221="","",IF(MONTH(A1221)&gt;=8,YEAR(A1221)&amp;"-"&amp;(YEAR(A1221)+1),(YEAR(A1221)-1)&amp;"-"&amp;YEAR(A1221)))</f>
        <v/>
      </c>
      <c r="S1221" s="20">
        <f>IF(OR(A1221="",B1221=""),0,IF(AND(R1221=التقارير!$C$4,OR(التقارير!$C$5="سنوي",AND(التقارير!$C$5="شهري",P1221=التقارير!$C$6),AND(التقارير!$C$5="فصلي",Q1221=التقارير!$C$7))),1,0))</f>
        <v/>
      </c>
      <c r="T1221" s="20">
        <f>IF(S1221=1,COUNTIF($S$5:S1221,1),"")</f>
        <v/>
      </c>
      <c r="U1221">
        <f>IF(AND($A1221&lt;&gt;"",$B1221&lt;&gt;"",$R1221='تقرير الفصل الأول'!$C$4,$Q1221='تقرير الفصل الأول'!$C$7),COUNT(U$4:U1220)+1,"")</f>
        <v/>
      </c>
      <c r="V1221">
        <f>IF(AND($A1221&lt;&gt;"",$B1221&lt;&gt;"",$R1221='تقرير الفصل الثاني'!$C$4,$Q1221='تقرير الفصل الثاني'!$C$7),COUNT(V$4:V1220)+1,"")</f>
        <v/>
      </c>
      <c r="W1221">
        <f>IF(AND($A1221&lt;&gt;"",$B1221&lt;&gt;"",$R1221='تقرير سبتمبر'!$C$4,$P1221='تقرير سبتمبر'!$C$6),COUNT(W$4:W1220)+1,"")</f>
        <v/>
      </c>
      <c r="X1221">
        <f>IF(AND($A1221&lt;&gt;"",$B1221&lt;&gt;"",$R1221='تقرير أكتوبر'!$C$4,$P1221='تقرير أكتوبر'!$C$6),COUNT(X$4:X1220)+1,"")</f>
        <v/>
      </c>
      <c r="Y1221">
        <f>IF(AND($A1221&lt;&gt;"",$B1221&lt;&gt;"",$R1221='تقرير نوفمبر'!$C$4,$P1221='تقرير نوفمبر'!$C$6),COUNT(Y$4:Y1220)+1,"")</f>
        <v/>
      </c>
      <c r="Z1221">
        <f>IF(AND($A1221&lt;&gt;"",$B1221&lt;&gt;"",$R1221='تقرير ديسمبر'!$C$4,$P1221='تقرير ديسمبر'!$C$6),COUNT(Z$4:Z1220)+1,"")</f>
        <v/>
      </c>
      <c r="AA1221">
        <f>IF(AND($A1221&lt;&gt;"",$B1221&lt;&gt;"",$R1221='تقرير يناير'!$C$4,$P1221='تقرير يناير'!$C$6),COUNT(AA$4:AA1220)+1,"")</f>
        <v/>
      </c>
      <c r="AB1221">
        <f>IF(AND($A1221&lt;&gt;"",$B1221&lt;&gt;"",$R1221='تقرير فبراير'!$C$4,$P1221='تقرير فبراير'!$C$6),COUNT(AB$4:AB1220)+1,"")</f>
        <v/>
      </c>
      <c r="AC1221">
        <f>IF(AND($A1221&lt;&gt;"",$B1221&lt;&gt;"",$R1221='تقرير مارس'!$C$4,$P1221='تقرير مارس'!$C$6),COUNT(AC$4:AC1220)+1,"")</f>
        <v/>
      </c>
      <c r="AD1221">
        <f>IF(AND($A1221&lt;&gt;"",$B1221&lt;&gt;"",$R1221='تقرير أبريل'!$C$4,$P1221='تقرير أبريل'!$C$6),COUNT(AD$4:AD1220)+1,"")</f>
        <v/>
      </c>
      <c r="AE1221">
        <f>IF(AND($A1221&lt;&gt;"",$B1221&lt;&gt;"",$R1221='تقرير مايو'!$C$4,$P1221='تقرير مايو'!$C$6),COUNT(AE$4:AE1220)+1,"")</f>
        <v/>
      </c>
    </row>
    <row r="1222">
      <c r="A1222" s="16" t="n"/>
      <c r="B1222" s="17" t="n"/>
      <c r="C1222" s="17" t="n"/>
      <c r="D1222" s="18" t="n"/>
      <c r="E1222" s="17" t="n"/>
      <c r="F1222" s="17" t="n"/>
      <c r="G1222" s="19" t="n"/>
      <c r="H1222" s="17" t="n"/>
      <c r="I1222" s="17" t="n"/>
      <c r="J1222" s="17" t="n"/>
      <c r="K1222" s="20">
        <f>IF($B1222="","",IFERROR(INDEX(الموظفات!$A$5:$A$304,MATCH($B1222,الموظفات!$B$5:$B$304,0))&amp;"",""))</f>
        <v/>
      </c>
      <c r="L1222" s="21">
        <f>IF($B1222="","",IFERROR(INDEX(الموظفات!$C$5:$C$304,MATCH($B1222,الموظفات!$B$5:$B$304,0))&amp;"",""))</f>
        <v/>
      </c>
      <c r="M1222" s="20">
        <f>IF($B1222="","",IFERROR(INDEX(الموظفات!$D$5:$D$304,MATCH($B1222,الموظفات!$B$5:$B$304,0))&amp;"",""))</f>
        <v/>
      </c>
      <c r="N1222" s="20">
        <f>IF($B1222="","",IFERROR(INDEX(الموظفات!$E$5:$E$304,MATCH($B1222,الموظفات!$B$5:$B$304,0))&amp;"",""))</f>
        <v/>
      </c>
      <c r="O1222" s="21">
        <f>IF(C1222="","",IFERROR(INDEX(الإعدادات!$D$7:$D$35,MATCH(C1222,الإعدادات!$A$7:$A$35,0))&amp;"",""))</f>
        <v/>
      </c>
      <c r="P1222" s="20">
        <f>IF(A1222="","",INDEX(الإعدادات!$H$7:$H$18,MONTH(A1222)))</f>
        <v/>
      </c>
      <c r="Q1222" s="20">
        <f>IF(A1222="","",INDEX(الإعدادات!$I$7:$I$18,MONTH(A1222)))</f>
        <v/>
      </c>
      <c r="R1222" s="20">
        <f>IF(A1222="","",IF(MONTH(A1222)&gt;=8,YEAR(A1222)&amp;"-"&amp;(YEAR(A1222)+1),(YEAR(A1222)-1)&amp;"-"&amp;YEAR(A1222)))</f>
        <v/>
      </c>
      <c r="S1222" s="20">
        <f>IF(OR(A1222="",B1222=""),0,IF(AND(R1222=التقارير!$C$4,OR(التقارير!$C$5="سنوي",AND(التقارير!$C$5="شهري",P1222=التقارير!$C$6),AND(التقارير!$C$5="فصلي",Q1222=التقارير!$C$7))),1,0))</f>
        <v/>
      </c>
      <c r="T1222" s="20">
        <f>IF(S1222=1,COUNTIF($S$5:S1222,1),"")</f>
        <v/>
      </c>
      <c r="U1222">
        <f>IF(AND($A1222&lt;&gt;"",$B1222&lt;&gt;"",$R1222='تقرير الفصل الأول'!$C$4,$Q1222='تقرير الفصل الأول'!$C$7),COUNT(U$4:U1221)+1,"")</f>
        <v/>
      </c>
      <c r="V1222">
        <f>IF(AND($A1222&lt;&gt;"",$B1222&lt;&gt;"",$R1222='تقرير الفصل الثاني'!$C$4,$Q1222='تقرير الفصل الثاني'!$C$7),COUNT(V$4:V1221)+1,"")</f>
        <v/>
      </c>
      <c r="W1222">
        <f>IF(AND($A1222&lt;&gt;"",$B1222&lt;&gt;"",$R1222='تقرير سبتمبر'!$C$4,$P1222='تقرير سبتمبر'!$C$6),COUNT(W$4:W1221)+1,"")</f>
        <v/>
      </c>
      <c r="X1222">
        <f>IF(AND($A1222&lt;&gt;"",$B1222&lt;&gt;"",$R1222='تقرير أكتوبر'!$C$4,$P1222='تقرير أكتوبر'!$C$6),COUNT(X$4:X1221)+1,"")</f>
        <v/>
      </c>
      <c r="Y1222">
        <f>IF(AND($A1222&lt;&gt;"",$B1222&lt;&gt;"",$R1222='تقرير نوفمبر'!$C$4,$P1222='تقرير نوفمبر'!$C$6),COUNT(Y$4:Y1221)+1,"")</f>
        <v/>
      </c>
      <c r="Z1222">
        <f>IF(AND($A1222&lt;&gt;"",$B1222&lt;&gt;"",$R1222='تقرير ديسمبر'!$C$4,$P1222='تقرير ديسمبر'!$C$6),COUNT(Z$4:Z1221)+1,"")</f>
        <v/>
      </c>
      <c r="AA1222">
        <f>IF(AND($A1222&lt;&gt;"",$B1222&lt;&gt;"",$R1222='تقرير يناير'!$C$4,$P1222='تقرير يناير'!$C$6),COUNT(AA$4:AA1221)+1,"")</f>
        <v/>
      </c>
      <c r="AB1222">
        <f>IF(AND($A1222&lt;&gt;"",$B1222&lt;&gt;"",$R1222='تقرير فبراير'!$C$4,$P1222='تقرير فبراير'!$C$6),COUNT(AB$4:AB1221)+1,"")</f>
        <v/>
      </c>
      <c r="AC1222">
        <f>IF(AND($A1222&lt;&gt;"",$B1222&lt;&gt;"",$R1222='تقرير مارس'!$C$4,$P1222='تقرير مارس'!$C$6),COUNT(AC$4:AC1221)+1,"")</f>
        <v/>
      </c>
      <c r="AD1222">
        <f>IF(AND($A1222&lt;&gt;"",$B1222&lt;&gt;"",$R1222='تقرير أبريل'!$C$4,$P1222='تقرير أبريل'!$C$6),COUNT(AD$4:AD1221)+1,"")</f>
        <v/>
      </c>
      <c r="AE1222">
        <f>IF(AND($A1222&lt;&gt;"",$B1222&lt;&gt;"",$R1222='تقرير مايو'!$C$4,$P1222='تقرير مايو'!$C$6),COUNT(AE$4:AE1221)+1,"")</f>
        <v/>
      </c>
    </row>
    <row r="1223">
      <c r="A1223" s="16" t="n"/>
      <c r="B1223" s="17" t="n"/>
      <c r="C1223" s="17" t="n"/>
      <c r="D1223" s="18" t="n"/>
      <c r="E1223" s="17" t="n"/>
      <c r="F1223" s="17" t="n"/>
      <c r="G1223" s="19" t="n"/>
      <c r="H1223" s="17" t="n"/>
      <c r="I1223" s="17" t="n"/>
      <c r="J1223" s="17" t="n"/>
      <c r="K1223" s="20">
        <f>IF($B1223="","",IFERROR(INDEX(الموظفات!$A$5:$A$304,MATCH($B1223,الموظفات!$B$5:$B$304,0))&amp;"",""))</f>
        <v/>
      </c>
      <c r="L1223" s="21">
        <f>IF($B1223="","",IFERROR(INDEX(الموظفات!$C$5:$C$304,MATCH($B1223,الموظفات!$B$5:$B$304,0))&amp;"",""))</f>
        <v/>
      </c>
      <c r="M1223" s="20">
        <f>IF($B1223="","",IFERROR(INDEX(الموظفات!$D$5:$D$304,MATCH($B1223,الموظفات!$B$5:$B$304,0))&amp;"",""))</f>
        <v/>
      </c>
      <c r="N1223" s="20">
        <f>IF($B1223="","",IFERROR(INDEX(الموظفات!$E$5:$E$304,MATCH($B1223,الموظفات!$B$5:$B$304,0))&amp;"",""))</f>
        <v/>
      </c>
      <c r="O1223" s="21">
        <f>IF(C1223="","",IFERROR(INDEX(الإعدادات!$D$7:$D$35,MATCH(C1223,الإعدادات!$A$7:$A$35,0))&amp;"",""))</f>
        <v/>
      </c>
      <c r="P1223" s="20">
        <f>IF(A1223="","",INDEX(الإعدادات!$H$7:$H$18,MONTH(A1223)))</f>
        <v/>
      </c>
      <c r="Q1223" s="20">
        <f>IF(A1223="","",INDEX(الإعدادات!$I$7:$I$18,MONTH(A1223)))</f>
        <v/>
      </c>
      <c r="R1223" s="20">
        <f>IF(A1223="","",IF(MONTH(A1223)&gt;=8,YEAR(A1223)&amp;"-"&amp;(YEAR(A1223)+1),(YEAR(A1223)-1)&amp;"-"&amp;YEAR(A1223)))</f>
        <v/>
      </c>
      <c r="S1223" s="20">
        <f>IF(OR(A1223="",B1223=""),0,IF(AND(R1223=التقارير!$C$4,OR(التقارير!$C$5="سنوي",AND(التقارير!$C$5="شهري",P1223=التقارير!$C$6),AND(التقارير!$C$5="فصلي",Q1223=التقارير!$C$7))),1,0))</f>
        <v/>
      </c>
      <c r="T1223" s="20">
        <f>IF(S1223=1,COUNTIF($S$5:S1223,1),"")</f>
        <v/>
      </c>
      <c r="U1223">
        <f>IF(AND($A1223&lt;&gt;"",$B1223&lt;&gt;"",$R1223='تقرير الفصل الأول'!$C$4,$Q1223='تقرير الفصل الأول'!$C$7),COUNT(U$4:U1222)+1,"")</f>
        <v/>
      </c>
      <c r="V1223">
        <f>IF(AND($A1223&lt;&gt;"",$B1223&lt;&gt;"",$R1223='تقرير الفصل الثاني'!$C$4,$Q1223='تقرير الفصل الثاني'!$C$7),COUNT(V$4:V1222)+1,"")</f>
        <v/>
      </c>
      <c r="W1223">
        <f>IF(AND($A1223&lt;&gt;"",$B1223&lt;&gt;"",$R1223='تقرير سبتمبر'!$C$4,$P1223='تقرير سبتمبر'!$C$6),COUNT(W$4:W1222)+1,"")</f>
        <v/>
      </c>
      <c r="X1223">
        <f>IF(AND($A1223&lt;&gt;"",$B1223&lt;&gt;"",$R1223='تقرير أكتوبر'!$C$4,$P1223='تقرير أكتوبر'!$C$6),COUNT(X$4:X1222)+1,"")</f>
        <v/>
      </c>
      <c r="Y1223">
        <f>IF(AND($A1223&lt;&gt;"",$B1223&lt;&gt;"",$R1223='تقرير نوفمبر'!$C$4,$P1223='تقرير نوفمبر'!$C$6),COUNT(Y$4:Y1222)+1,"")</f>
        <v/>
      </c>
      <c r="Z1223">
        <f>IF(AND($A1223&lt;&gt;"",$B1223&lt;&gt;"",$R1223='تقرير ديسمبر'!$C$4,$P1223='تقرير ديسمبر'!$C$6),COUNT(Z$4:Z1222)+1,"")</f>
        <v/>
      </c>
      <c r="AA1223">
        <f>IF(AND($A1223&lt;&gt;"",$B1223&lt;&gt;"",$R1223='تقرير يناير'!$C$4,$P1223='تقرير يناير'!$C$6),COUNT(AA$4:AA1222)+1,"")</f>
        <v/>
      </c>
      <c r="AB1223">
        <f>IF(AND($A1223&lt;&gt;"",$B1223&lt;&gt;"",$R1223='تقرير فبراير'!$C$4,$P1223='تقرير فبراير'!$C$6),COUNT(AB$4:AB1222)+1,"")</f>
        <v/>
      </c>
      <c r="AC1223">
        <f>IF(AND($A1223&lt;&gt;"",$B1223&lt;&gt;"",$R1223='تقرير مارس'!$C$4,$P1223='تقرير مارس'!$C$6),COUNT(AC$4:AC1222)+1,"")</f>
        <v/>
      </c>
      <c r="AD1223">
        <f>IF(AND($A1223&lt;&gt;"",$B1223&lt;&gt;"",$R1223='تقرير أبريل'!$C$4,$P1223='تقرير أبريل'!$C$6),COUNT(AD$4:AD1222)+1,"")</f>
        <v/>
      </c>
      <c r="AE1223">
        <f>IF(AND($A1223&lt;&gt;"",$B1223&lt;&gt;"",$R1223='تقرير مايو'!$C$4,$P1223='تقرير مايو'!$C$6),COUNT(AE$4:AE1222)+1,"")</f>
        <v/>
      </c>
    </row>
    <row r="1224">
      <c r="A1224" s="16" t="n"/>
      <c r="B1224" s="17" t="n"/>
      <c r="C1224" s="17" t="n"/>
      <c r="D1224" s="18" t="n"/>
      <c r="E1224" s="17" t="n"/>
      <c r="F1224" s="17" t="n"/>
      <c r="G1224" s="19" t="n"/>
      <c r="H1224" s="17" t="n"/>
      <c r="I1224" s="17" t="n"/>
      <c r="J1224" s="17" t="n"/>
      <c r="K1224" s="20">
        <f>IF($B1224="","",IFERROR(INDEX(الموظفات!$A$5:$A$304,MATCH($B1224,الموظفات!$B$5:$B$304,0))&amp;"",""))</f>
        <v/>
      </c>
      <c r="L1224" s="21">
        <f>IF($B1224="","",IFERROR(INDEX(الموظفات!$C$5:$C$304,MATCH($B1224,الموظفات!$B$5:$B$304,0))&amp;"",""))</f>
        <v/>
      </c>
      <c r="M1224" s="20">
        <f>IF($B1224="","",IFERROR(INDEX(الموظفات!$D$5:$D$304,MATCH($B1224,الموظفات!$B$5:$B$304,0))&amp;"",""))</f>
        <v/>
      </c>
      <c r="N1224" s="20">
        <f>IF($B1224="","",IFERROR(INDEX(الموظفات!$E$5:$E$304,MATCH($B1224,الموظفات!$B$5:$B$304,0))&amp;"",""))</f>
        <v/>
      </c>
      <c r="O1224" s="21">
        <f>IF(C1224="","",IFERROR(INDEX(الإعدادات!$D$7:$D$35,MATCH(C1224,الإعدادات!$A$7:$A$35,0))&amp;"",""))</f>
        <v/>
      </c>
      <c r="P1224" s="20">
        <f>IF(A1224="","",INDEX(الإعدادات!$H$7:$H$18,MONTH(A1224)))</f>
        <v/>
      </c>
      <c r="Q1224" s="20">
        <f>IF(A1224="","",INDEX(الإعدادات!$I$7:$I$18,MONTH(A1224)))</f>
        <v/>
      </c>
      <c r="R1224" s="20">
        <f>IF(A1224="","",IF(MONTH(A1224)&gt;=8,YEAR(A1224)&amp;"-"&amp;(YEAR(A1224)+1),(YEAR(A1224)-1)&amp;"-"&amp;YEAR(A1224)))</f>
        <v/>
      </c>
      <c r="S1224" s="20">
        <f>IF(OR(A1224="",B1224=""),0,IF(AND(R1224=التقارير!$C$4,OR(التقارير!$C$5="سنوي",AND(التقارير!$C$5="شهري",P1224=التقارير!$C$6),AND(التقارير!$C$5="فصلي",Q1224=التقارير!$C$7))),1,0))</f>
        <v/>
      </c>
      <c r="T1224" s="20">
        <f>IF(S1224=1,COUNTIF($S$5:S1224,1),"")</f>
        <v/>
      </c>
      <c r="U1224">
        <f>IF(AND($A1224&lt;&gt;"",$B1224&lt;&gt;"",$R1224='تقرير الفصل الأول'!$C$4,$Q1224='تقرير الفصل الأول'!$C$7),COUNT(U$4:U1223)+1,"")</f>
        <v/>
      </c>
      <c r="V1224">
        <f>IF(AND($A1224&lt;&gt;"",$B1224&lt;&gt;"",$R1224='تقرير الفصل الثاني'!$C$4,$Q1224='تقرير الفصل الثاني'!$C$7),COUNT(V$4:V1223)+1,"")</f>
        <v/>
      </c>
      <c r="W1224">
        <f>IF(AND($A1224&lt;&gt;"",$B1224&lt;&gt;"",$R1224='تقرير سبتمبر'!$C$4,$P1224='تقرير سبتمبر'!$C$6),COUNT(W$4:W1223)+1,"")</f>
        <v/>
      </c>
      <c r="X1224">
        <f>IF(AND($A1224&lt;&gt;"",$B1224&lt;&gt;"",$R1224='تقرير أكتوبر'!$C$4,$P1224='تقرير أكتوبر'!$C$6),COUNT(X$4:X1223)+1,"")</f>
        <v/>
      </c>
      <c r="Y1224">
        <f>IF(AND($A1224&lt;&gt;"",$B1224&lt;&gt;"",$R1224='تقرير نوفمبر'!$C$4,$P1224='تقرير نوفمبر'!$C$6),COUNT(Y$4:Y1223)+1,"")</f>
        <v/>
      </c>
      <c r="Z1224">
        <f>IF(AND($A1224&lt;&gt;"",$B1224&lt;&gt;"",$R1224='تقرير ديسمبر'!$C$4,$P1224='تقرير ديسمبر'!$C$6),COUNT(Z$4:Z1223)+1,"")</f>
        <v/>
      </c>
      <c r="AA1224">
        <f>IF(AND($A1224&lt;&gt;"",$B1224&lt;&gt;"",$R1224='تقرير يناير'!$C$4,$P1224='تقرير يناير'!$C$6),COUNT(AA$4:AA1223)+1,"")</f>
        <v/>
      </c>
      <c r="AB1224">
        <f>IF(AND($A1224&lt;&gt;"",$B1224&lt;&gt;"",$R1224='تقرير فبراير'!$C$4,$P1224='تقرير فبراير'!$C$6),COUNT(AB$4:AB1223)+1,"")</f>
        <v/>
      </c>
      <c r="AC1224">
        <f>IF(AND($A1224&lt;&gt;"",$B1224&lt;&gt;"",$R1224='تقرير مارس'!$C$4,$P1224='تقرير مارس'!$C$6),COUNT(AC$4:AC1223)+1,"")</f>
        <v/>
      </c>
      <c r="AD1224">
        <f>IF(AND($A1224&lt;&gt;"",$B1224&lt;&gt;"",$R1224='تقرير أبريل'!$C$4,$P1224='تقرير أبريل'!$C$6),COUNT(AD$4:AD1223)+1,"")</f>
        <v/>
      </c>
      <c r="AE1224">
        <f>IF(AND($A1224&lt;&gt;"",$B1224&lt;&gt;"",$R1224='تقرير مايو'!$C$4,$P1224='تقرير مايو'!$C$6),COUNT(AE$4:AE1223)+1,"")</f>
        <v/>
      </c>
    </row>
    <row r="1225">
      <c r="A1225" s="16" t="n"/>
      <c r="B1225" s="17" t="n"/>
      <c r="C1225" s="17" t="n"/>
      <c r="D1225" s="18" t="n"/>
      <c r="E1225" s="17" t="n"/>
      <c r="F1225" s="17" t="n"/>
      <c r="G1225" s="19" t="n"/>
      <c r="H1225" s="17" t="n"/>
      <c r="I1225" s="17" t="n"/>
      <c r="J1225" s="17" t="n"/>
      <c r="K1225" s="20">
        <f>IF($B1225="","",IFERROR(INDEX(الموظفات!$A$5:$A$304,MATCH($B1225,الموظفات!$B$5:$B$304,0))&amp;"",""))</f>
        <v/>
      </c>
      <c r="L1225" s="21">
        <f>IF($B1225="","",IFERROR(INDEX(الموظفات!$C$5:$C$304,MATCH($B1225,الموظفات!$B$5:$B$304,0))&amp;"",""))</f>
        <v/>
      </c>
      <c r="M1225" s="20">
        <f>IF($B1225="","",IFERROR(INDEX(الموظفات!$D$5:$D$304,MATCH($B1225,الموظفات!$B$5:$B$304,0))&amp;"",""))</f>
        <v/>
      </c>
      <c r="N1225" s="20">
        <f>IF($B1225="","",IFERROR(INDEX(الموظفات!$E$5:$E$304,MATCH($B1225,الموظفات!$B$5:$B$304,0))&amp;"",""))</f>
        <v/>
      </c>
      <c r="O1225" s="21">
        <f>IF(C1225="","",IFERROR(INDEX(الإعدادات!$D$7:$D$35,MATCH(C1225,الإعدادات!$A$7:$A$35,0))&amp;"",""))</f>
        <v/>
      </c>
      <c r="P1225" s="20">
        <f>IF(A1225="","",INDEX(الإعدادات!$H$7:$H$18,MONTH(A1225)))</f>
        <v/>
      </c>
      <c r="Q1225" s="20">
        <f>IF(A1225="","",INDEX(الإعدادات!$I$7:$I$18,MONTH(A1225)))</f>
        <v/>
      </c>
      <c r="R1225" s="20">
        <f>IF(A1225="","",IF(MONTH(A1225)&gt;=8,YEAR(A1225)&amp;"-"&amp;(YEAR(A1225)+1),(YEAR(A1225)-1)&amp;"-"&amp;YEAR(A1225)))</f>
        <v/>
      </c>
      <c r="S1225" s="20">
        <f>IF(OR(A1225="",B1225=""),0,IF(AND(R1225=التقارير!$C$4,OR(التقارير!$C$5="سنوي",AND(التقارير!$C$5="شهري",P1225=التقارير!$C$6),AND(التقارير!$C$5="فصلي",Q1225=التقارير!$C$7))),1,0))</f>
        <v/>
      </c>
      <c r="T1225" s="20">
        <f>IF(S1225=1,COUNTIF($S$5:S1225,1),"")</f>
        <v/>
      </c>
      <c r="U1225">
        <f>IF(AND($A1225&lt;&gt;"",$B1225&lt;&gt;"",$R1225='تقرير الفصل الأول'!$C$4,$Q1225='تقرير الفصل الأول'!$C$7),COUNT(U$4:U1224)+1,"")</f>
        <v/>
      </c>
      <c r="V1225">
        <f>IF(AND($A1225&lt;&gt;"",$B1225&lt;&gt;"",$R1225='تقرير الفصل الثاني'!$C$4,$Q1225='تقرير الفصل الثاني'!$C$7),COUNT(V$4:V1224)+1,"")</f>
        <v/>
      </c>
      <c r="W1225">
        <f>IF(AND($A1225&lt;&gt;"",$B1225&lt;&gt;"",$R1225='تقرير سبتمبر'!$C$4,$P1225='تقرير سبتمبر'!$C$6),COUNT(W$4:W1224)+1,"")</f>
        <v/>
      </c>
      <c r="X1225">
        <f>IF(AND($A1225&lt;&gt;"",$B1225&lt;&gt;"",$R1225='تقرير أكتوبر'!$C$4,$P1225='تقرير أكتوبر'!$C$6),COUNT(X$4:X1224)+1,"")</f>
        <v/>
      </c>
      <c r="Y1225">
        <f>IF(AND($A1225&lt;&gt;"",$B1225&lt;&gt;"",$R1225='تقرير نوفمبر'!$C$4,$P1225='تقرير نوفمبر'!$C$6),COUNT(Y$4:Y1224)+1,"")</f>
        <v/>
      </c>
      <c r="Z1225">
        <f>IF(AND($A1225&lt;&gt;"",$B1225&lt;&gt;"",$R1225='تقرير ديسمبر'!$C$4,$P1225='تقرير ديسمبر'!$C$6),COUNT(Z$4:Z1224)+1,"")</f>
        <v/>
      </c>
      <c r="AA1225">
        <f>IF(AND($A1225&lt;&gt;"",$B1225&lt;&gt;"",$R1225='تقرير يناير'!$C$4,$P1225='تقرير يناير'!$C$6),COUNT(AA$4:AA1224)+1,"")</f>
        <v/>
      </c>
      <c r="AB1225">
        <f>IF(AND($A1225&lt;&gt;"",$B1225&lt;&gt;"",$R1225='تقرير فبراير'!$C$4,$P1225='تقرير فبراير'!$C$6),COUNT(AB$4:AB1224)+1,"")</f>
        <v/>
      </c>
      <c r="AC1225">
        <f>IF(AND($A1225&lt;&gt;"",$B1225&lt;&gt;"",$R1225='تقرير مارس'!$C$4,$P1225='تقرير مارس'!$C$6),COUNT(AC$4:AC1224)+1,"")</f>
        <v/>
      </c>
      <c r="AD1225">
        <f>IF(AND($A1225&lt;&gt;"",$B1225&lt;&gt;"",$R1225='تقرير أبريل'!$C$4,$P1225='تقرير أبريل'!$C$6),COUNT(AD$4:AD1224)+1,"")</f>
        <v/>
      </c>
      <c r="AE1225">
        <f>IF(AND($A1225&lt;&gt;"",$B1225&lt;&gt;"",$R1225='تقرير مايو'!$C$4,$P1225='تقرير مايو'!$C$6),COUNT(AE$4:AE1224)+1,"")</f>
        <v/>
      </c>
    </row>
    <row r="1226">
      <c r="A1226" s="16" t="n"/>
      <c r="B1226" s="17" t="n"/>
      <c r="C1226" s="17" t="n"/>
      <c r="D1226" s="18" t="n"/>
      <c r="E1226" s="17" t="n"/>
      <c r="F1226" s="17" t="n"/>
      <c r="G1226" s="19" t="n"/>
      <c r="H1226" s="17" t="n"/>
      <c r="I1226" s="17" t="n"/>
      <c r="J1226" s="17" t="n"/>
      <c r="K1226" s="20">
        <f>IF($B1226="","",IFERROR(INDEX(الموظفات!$A$5:$A$304,MATCH($B1226,الموظفات!$B$5:$B$304,0))&amp;"",""))</f>
        <v/>
      </c>
      <c r="L1226" s="21">
        <f>IF($B1226="","",IFERROR(INDEX(الموظفات!$C$5:$C$304,MATCH($B1226,الموظفات!$B$5:$B$304,0))&amp;"",""))</f>
        <v/>
      </c>
      <c r="M1226" s="20">
        <f>IF($B1226="","",IFERROR(INDEX(الموظفات!$D$5:$D$304,MATCH($B1226,الموظفات!$B$5:$B$304,0))&amp;"",""))</f>
        <v/>
      </c>
      <c r="N1226" s="20">
        <f>IF($B1226="","",IFERROR(INDEX(الموظفات!$E$5:$E$304,MATCH($B1226,الموظفات!$B$5:$B$304,0))&amp;"",""))</f>
        <v/>
      </c>
      <c r="O1226" s="21">
        <f>IF(C1226="","",IFERROR(INDEX(الإعدادات!$D$7:$D$35,MATCH(C1226,الإعدادات!$A$7:$A$35,0))&amp;"",""))</f>
        <v/>
      </c>
      <c r="P1226" s="20">
        <f>IF(A1226="","",INDEX(الإعدادات!$H$7:$H$18,MONTH(A1226)))</f>
        <v/>
      </c>
      <c r="Q1226" s="20">
        <f>IF(A1226="","",INDEX(الإعدادات!$I$7:$I$18,MONTH(A1226)))</f>
        <v/>
      </c>
      <c r="R1226" s="20">
        <f>IF(A1226="","",IF(MONTH(A1226)&gt;=8,YEAR(A1226)&amp;"-"&amp;(YEAR(A1226)+1),(YEAR(A1226)-1)&amp;"-"&amp;YEAR(A1226)))</f>
        <v/>
      </c>
      <c r="S1226" s="20">
        <f>IF(OR(A1226="",B1226=""),0,IF(AND(R1226=التقارير!$C$4,OR(التقارير!$C$5="سنوي",AND(التقارير!$C$5="شهري",P1226=التقارير!$C$6),AND(التقارير!$C$5="فصلي",Q1226=التقارير!$C$7))),1,0))</f>
        <v/>
      </c>
      <c r="T1226" s="20">
        <f>IF(S1226=1,COUNTIF($S$5:S1226,1),"")</f>
        <v/>
      </c>
      <c r="U1226">
        <f>IF(AND($A1226&lt;&gt;"",$B1226&lt;&gt;"",$R1226='تقرير الفصل الأول'!$C$4,$Q1226='تقرير الفصل الأول'!$C$7),COUNT(U$4:U1225)+1,"")</f>
        <v/>
      </c>
      <c r="V1226">
        <f>IF(AND($A1226&lt;&gt;"",$B1226&lt;&gt;"",$R1226='تقرير الفصل الثاني'!$C$4,$Q1226='تقرير الفصل الثاني'!$C$7),COUNT(V$4:V1225)+1,"")</f>
        <v/>
      </c>
      <c r="W1226">
        <f>IF(AND($A1226&lt;&gt;"",$B1226&lt;&gt;"",$R1226='تقرير سبتمبر'!$C$4,$P1226='تقرير سبتمبر'!$C$6),COUNT(W$4:W1225)+1,"")</f>
        <v/>
      </c>
      <c r="X1226">
        <f>IF(AND($A1226&lt;&gt;"",$B1226&lt;&gt;"",$R1226='تقرير أكتوبر'!$C$4,$P1226='تقرير أكتوبر'!$C$6),COUNT(X$4:X1225)+1,"")</f>
        <v/>
      </c>
      <c r="Y1226">
        <f>IF(AND($A1226&lt;&gt;"",$B1226&lt;&gt;"",$R1226='تقرير نوفمبر'!$C$4,$P1226='تقرير نوفمبر'!$C$6),COUNT(Y$4:Y1225)+1,"")</f>
        <v/>
      </c>
      <c r="Z1226">
        <f>IF(AND($A1226&lt;&gt;"",$B1226&lt;&gt;"",$R1226='تقرير ديسمبر'!$C$4,$P1226='تقرير ديسمبر'!$C$6),COUNT(Z$4:Z1225)+1,"")</f>
        <v/>
      </c>
      <c r="AA1226">
        <f>IF(AND($A1226&lt;&gt;"",$B1226&lt;&gt;"",$R1226='تقرير يناير'!$C$4,$P1226='تقرير يناير'!$C$6),COUNT(AA$4:AA1225)+1,"")</f>
        <v/>
      </c>
      <c r="AB1226">
        <f>IF(AND($A1226&lt;&gt;"",$B1226&lt;&gt;"",$R1226='تقرير فبراير'!$C$4,$P1226='تقرير فبراير'!$C$6),COUNT(AB$4:AB1225)+1,"")</f>
        <v/>
      </c>
      <c r="AC1226">
        <f>IF(AND($A1226&lt;&gt;"",$B1226&lt;&gt;"",$R1226='تقرير مارس'!$C$4,$P1226='تقرير مارس'!$C$6),COUNT(AC$4:AC1225)+1,"")</f>
        <v/>
      </c>
      <c r="AD1226">
        <f>IF(AND($A1226&lt;&gt;"",$B1226&lt;&gt;"",$R1226='تقرير أبريل'!$C$4,$P1226='تقرير أبريل'!$C$6),COUNT(AD$4:AD1225)+1,"")</f>
        <v/>
      </c>
      <c r="AE1226">
        <f>IF(AND($A1226&lt;&gt;"",$B1226&lt;&gt;"",$R1226='تقرير مايو'!$C$4,$P1226='تقرير مايو'!$C$6),COUNT(AE$4:AE1225)+1,"")</f>
        <v/>
      </c>
    </row>
    <row r="1227">
      <c r="A1227" s="16" t="n"/>
      <c r="B1227" s="17" t="n"/>
      <c r="C1227" s="17" t="n"/>
      <c r="D1227" s="18" t="n"/>
      <c r="E1227" s="17" t="n"/>
      <c r="F1227" s="17" t="n"/>
      <c r="G1227" s="19" t="n"/>
      <c r="H1227" s="17" t="n"/>
      <c r="I1227" s="17" t="n"/>
      <c r="J1227" s="17" t="n"/>
      <c r="K1227" s="20">
        <f>IF($B1227="","",IFERROR(INDEX(الموظفات!$A$5:$A$304,MATCH($B1227,الموظفات!$B$5:$B$304,0))&amp;"",""))</f>
        <v/>
      </c>
      <c r="L1227" s="21">
        <f>IF($B1227="","",IFERROR(INDEX(الموظفات!$C$5:$C$304,MATCH($B1227,الموظفات!$B$5:$B$304,0))&amp;"",""))</f>
        <v/>
      </c>
      <c r="M1227" s="20">
        <f>IF($B1227="","",IFERROR(INDEX(الموظفات!$D$5:$D$304,MATCH($B1227,الموظفات!$B$5:$B$304,0))&amp;"",""))</f>
        <v/>
      </c>
      <c r="N1227" s="20">
        <f>IF($B1227="","",IFERROR(INDEX(الموظفات!$E$5:$E$304,MATCH($B1227,الموظفات!$B$5:$B$304,0))&amp;"",""))</f>
        <v/>
      </c>
      <c r="O1227" s="21">
        <f>IF(C1227="","",IFERROR(INDEX(الإعدادات!$D$7:$D$35,MATCH(C1227,الإعدادات!$A$7:$A$35,0))&amp;"",""))</f>
        <v/>
      </c>
      <c r="P1227" s="20">
        <f>IF(A1227="","",INDEX(الإعدادات!$H$7:$H$18,MONTH(A1227)))</f>
        <v/>
      </c>
      <c r="Q1227" s="20">
        <f>IF(A1227="","",INDEX(الإعدادات!$I$7:$I$18,MONTH(A1227)))</f>
        <v/>
      </c>
      <c r="R1227" s="20">
        <f>IF(A1227="","",IF(MONTH(A1227)&gt;=8,YEAR(A1227)&amp;"-"&amp;(YEAR(A1227)+1),(YEAR(A1227)-1)&amp;"-"&amp;YEAR(A1227)))</f>
        <v/>
      </c>
      <c r="S1227" s="20">
        <f>IF(OR(A1227="",B1227=""),0,IF(AND(R1227=التقارير!$C$4,OR(التقارير!$C$5="سنوي",AND(التقارير!$C$5="شهري",P1227=التقارير!$C$6),AND(التقارير!$C$5="فصلي",Q1227=التقارير!$C$7))),1,0))</f>
        <v/>
      </c>
      <c r="T1227" s="20">
        <f>IF(S1227=1,COUNTIF($S$5:S1227,1),"")</f>
        <v/>
      </c>
      <c r="U1227">
        <f>IF(AND($A1227&lt;&gt;"",$B1227&lt;&gt;"",$R1227='تقرير الفصل الأول'!$C$4,$Q1227='تقرير الفصل الأول'!$C$7),COUNT(U$4:U1226)+1,"")</f>
        <v/>
      </c>
      <c r="V1227">
        <f>IF(AND($A1227&lt;&gt;"",$B1227&lt;&gt;"",$R1227='تقرير الفصل الثاني'!$C$4,$Q1227='تقرير الفصل الثاني'!$C$7),COUNT(V$4:V1226)+1,"")</f>
        <v/>
      </c>
      <c r="W1227">
        <f>IF(AND($A1227&lt;&gt;"",$B1227&lt;&gt;"",$R1227='تقرير سبتمبر'!$C$4,$P1227='تقرير سبتمبر'!$C$6),COUNT(W$4:W1226)+1,"")</f>
        <v/>
      </c>
      <c r="X1227">
        <f>IF(AND($A1227&lt;&gt;"",$B1227&lt;&gt;"",$R1227='تقرير أكتوبر'!$C$4,$P1227='تقرير أكتوبر'!$C$6),COUNT(X$4:X1226)+1,"")</f>
        <v/>
      </c>
      <c r="Y1227">
        <f>IF(AND($A1227&lt;&gt;"",$B1227&lt;&gt;"",$R1227='تقرير نوفمبر'!$C$4,$P1227='تقرير نوفمبر'!$C$6),COUNT(Y$4:Y1226)+1,"")</f>
        <v/>
      </c>
      <c r="Z1227">
        <f>IF(AND($A1227&lt;&gt;"",$B1227&lt;&gt;"",$R1227='تقرير ديسمبر'!$C$4,$P1227='تقرير ديسمبر'!$C$6),COUNT(Z$4:Z1226)+1,"")</f>
        <v/>
      </c>
      <c r="AA1227">
        <f>IF(AND($A1227&lt;&gt;"",$B1227&lt;&gt;"",$R1227='تقرير يناير'!$C$4,$P1227='تقرير يناير'!$C$6),COUNT(AA$4:AA1226)+1,"")</f>
        <v/>
      </c>
      <c r="AB1227">
        <f>IF(AND($A1227&lt;&gt;"",$B1227&lt;&gt;"",$R1227='تقرير فبراير'!$C$4,$P1227='تقرير فبراير'!$C$6),COUNT(AB$4:AB1226)+1,"")</f>
        <v/>
      </c>
      <c r="AC1227">
        <f>IF(AND($A1227&lt;&gt;"",$B1227&lt;&gt;"",$R1227='تقرير مارس'!$C$4,$P1227='تقرير مارس'!$C$6),COUNT(AC$4:AC1226)+1,"")</f>
        <v/>
      </c>
      <c r="AD1227">
        <f>IF(AND($A1227&lt;&gt;"",$B1227&lt;&gt;"",$R1227='تقرير أبريل'!$C$4,$P1227='تقرير أبريل'!$C$6),COUNT(AD$4:AD1226)+1,"")</f>
        <v/>
      </c>
      <c r="AE1227">
        <f>IF(AND($A1227&lt;&gt;"",$B1227&lt;&gt;"",$R1227='تقرير مايو'!$C$4,$P1227='تقرير مايو'!$C$6),COUNT(AE$4:AE1226)+1,"")</f>
        <v/>
      </c>
    </row>
    <row r="1228">
      <c r="A1228" s="16" t="n"/>
      <c r="B1228" s="17" t="n"/>
      <c r="C1228" s="17" t="n"/>
      <c r="D1228" s="18" t="n"/>
      <c r="E1228" s="17" t="n"/>
      <c r="F1228" s="17" t="n"/>
      <c r="G1228" s="19" t="n"/>
      <c r="H1228" s="17" t="n"/>
      <c r="I1228" s="17" t="n"/>
      <c r="J1228" s="17" t="n"/>
      <c r="K1228" s="20">
        <f>IF($B1228="","",IFERROR(INDEX(الموظفات!$A$5:$A$304,MATCH($B1228,الموظفات!$B$5:$B$304,0))&amp;"",""))</f>
        <v/>
      </c>
      <c r="L1228" s="21">
        <f>IF($B1228="","",IFERROR(INDEX(الموظفات!$C$5:$C$304,MATCH($B1228,الموظفات!$B$5:$B$304,0))&amp;"",""))</f>
        <v/>
      </c>
      <c r="M1228" s="20">
        <f>IF($B1228="","",IFERROR(INDEX(الموظفات!$D$5:$D$304,MATCH($B1228,الموظفات!$B$5:$B$304,0))&amp;"",""))</f>
        <v/>
      </c>
      <c r="N1228" s="20">
        <f>IF($B1228="","",IFERROR(INDEX(الموظفات!$E$5:$E$304,MATCH($B1228,الموظفات!$B$5:$B$304,0))&amp;"",""))</f>
        <v/>
      </c>
      <c r="O1228" s="21">
        <f>IF(C1228="","",IFERROR(INDEX(الإعدادات!$D$7:$D$35,MATCH(C1228,الإعدادات!$A$7:$A$35,0))&amp;"",""))</f>
        <v/>
      </c>
      <c r="P1228" s="20">
        <f>IF(A1228="","",INDEX(الإعدادات!$H$7:$H$18,MONTH(A1228)))</f>
        <v/>
      </c>
      <c r="Q1228" s="20">
        <f>IF(A1228="","",INDEX(الإعدادات!$I$7:$I$18,MONTH(A1228)))</f>
        <v/>
      </c>
      <c r="R1228" s="20">
        <f>IF(A1228="","",IF(MONTH(A1228)&gt;=8,YEAR(A1228)&amp;"-"&amp;(YEAR(A1228)+1),(YEAR(A1228)-1)&amp;"-"&amp;YEAR(A1228)))</f>
        <v/>
      </c>
      <c r="S1228" s="20">
        <f>IF(OR(A1228="",B1228=""),0,IF(AND(R1228=التقارير!$C$4,OR(التقارير!$C$5="سنوي",AND(التقارير!$C$5="شهري",P1228=التقارير!$C$6),AND(التقارير!$C$5="فصلي",Q1228=التقارير!$C$7))),1,0))</f>
        <v/>
      </c>
      <c r="T1228" s="20">
        <f>IF(S1228=1,COUNTIF($S$5:S1228,1),"")</f>
        <v/>
      </c>
      <c r="U1228">
        <f>IF(AND($A1228&lt;&gt;"",$B1228&lt;&gt;"",$R1228='تقرير الفصل الأول'!$C$4,$Q1228='تقرير الفصل الأول'!$C$7),COUNT(U$4:U1227)+1,"")</f>
        <v/>
      </c>
      <c r="V1228">
        <f>IF(AND($A1228&lt;&gt;"",$B1228&lt;&gt;"",$R1228='تقرير الفصل الثاني'!$C$4,$Q1228='تقرير الفصل الثاني'!$C$7),COUNT(V$4:V1227)+1,"")</f>
        <v/>
      </c>
      <c r="W1228">
        <f>IF(AND($A1228&lt;&gt;"",$B1228&lt;&gt;"",$R1228='تقرير سبتمبر'!$C$4,$P1228='تقرير سبتمبر'!$C$6),COUNT(W$4:W1227)+1,"")</f>
        <v/>
      </c>
      <c r="X1228">
        <f>IF(AND($A1228&lt;&gt;"",$B1228&lt;&gt;"",$R1228='تقرير أكتوبر'!$C$4,$P1228='تقرير أكتوبر'!$C$6),COUNT(X$4:X1227)+1,"")</f>
        <v/>
      </c>
      <c r="Y1228">
        <f>IF(AND($A1228&lt;&gt;"",$B1228&lt;&gt;"",$R1228='تقرير نوفمبر'!$C$4,$P1228='تقرير نوفمبر'!$C$6),COUNT(Y$4:Y1227)+1,"")</f>
        <v/>
      </c>
      <c r="Z1228">
        <f>IF(AND($A1228&lt;&gt;"",$B1228&lt;&gt;"",$R1228='تقرير ديسمبر'!$C$4,$P1228='تقرير ديسمبر'!$C$6),COUNT(Z$4:Z1227)+1,"")</f>
        <v/>
      </c>
      <c r="AA1228">
        <f>IF(AND($A1228&lt;&gt;"",$B1228&lt;&gt;"",$R1228='تقرير يناير'!$C$4,$P1228='تقرير يناير'!$C$6),COUNT(AA$4:AA1227)+1,"")</f>
        <v/>
      </c>
      <c r="AB1228">
        <f>IF(AND($A1228&lt;&gt;"",$B1228&lt;&gt;"",$R1228='تقرير فبراير'!$C$4,$P1228='تقرير فبراير'!$C$6),COUNT(AB$4:AB1227)+1,"")</f>
        <v/>
      </c>
      <c r="AC1228">
        <f>IF(AND($A1228&lt;&gt;"",$B1228&lt;&gt;"",$R1228='تقرير مارس'!$C$4,$P1228='تقرير مارس'!$C$6),COUNT(AC$4:AC1227)+1,"")</f>
        <v/>
      </c>
      <c r="AD1228">
        <f>IF(AND($A1228&lt;&gt;"",$B1228&lt;&gt;"",$R1228='تقرير أبريل'!$C$4,$P1228='تقرير أبريل'!$C$6),COUNT(AD$4:AD1227)+1,"")</f>
        <v/>
      </c>
      <c r="AE1228">
        <f>IF(AND($A1228&lt;&gt;"",$B1228&lt;&gt;"",$R1228='تقرير مايو'!$C$4,$P1228='تقرير مايو'!$C$6),COUNT(AE$4:AE1227)+1,"")</f>
        <v/>
      </c>
    </row>
    <row r="1229">
      <c r="A1229" s="16" t="n"/>
      <c r="B1229" s="17" t="n"/>
      <c r="C1229" s="17" t="n"/>
      <c r="D1229" s="18" t="n"/>
      <c r="E1229" s="17" t="n"/>
      <c r="F1229" s="17" t="n"/>
      <c r="G1229" s="19" t="n"/>
      <c r="H1229" s="17" t="n"/>
      <c r="I1229" s="17" t="n"/>
      <c r="J1229" s="17" t="n"/>
      <c r="K1229" s="20">
        <f>IF($B1229="","",IFERROR(INDEX(الموظفات!$A$5:$A$304,MATCH($B1229,الموظفات!$B$5:$B$304,0))&amp;"",""))</f>
        <v/>
      </c>
      <c r="L1229" s="21">
        <f>IF($B1229="","",IFERROR(INDEX(الموظفات!$C$5:$C$304,MATCH($B1229,الموظفات!$B$5:$B$304,0))&amp;"",""))</f>
        <v/>
      </c>
      <c r="M1229" s="20">
        <f>IF($B1229="","",IFERROR(INDEX(الموظفات!$D$5:$D$304,MATCH($B1229,الموظفات!$B$5:$B$304,0))&amp;"",""))</f>
        <v/>
      </c>
      <c r="N1229" s="20">
        <f>IF($B1229="","",IFERROR(INDEX(الموظفات!$E$5:$E$304,MATCH($B1229,الموظفات!$B$5:$B$304,0))&amp;"",""))</f>
        <v/>
      </c>
      <c r="O1229" s="21">
        <f>IF(C1229="","",IFERROR(INDEX(الإعدادات!$D$7:$D$35,MATCH(C1229,الإعدادات!$A$7:$A$35,0))&amp;"",""))</f>
        <v/>
      </c>
      <c r="P1229" s="20">
        <f>IF(A1229="","",INDEX(الإعدادات!$H$7:$H$18,MONTH(A1229)))</f>
        <v/>
      </c>
      <c r="Q1229" s="20">
        <f>IF(A1229="","",INDEX(الإعدادات!$I$7:$I$18,MONTH(A1229)))</f>
        <v/>
      </c>
      <c r="R1229" s="20">
        <f>IF(A1229="","",IF(MONTH(A1229)&gt;=8,YEAR(A1229)&amp;"-"&amp;(YEAR(A1229)+1),(YEAR(A1229)-1)&amp;"-"&amp;YEAR(A1229)))</f>
        <v/>
      </c>
      <c r="S1229" s="20">
        <f>IF(OR(A1229="",B1229=""),0,IF(AND(R1229=التقارير!$C$4,OR(التقارير!$C$5="سنوي",AND(التقارير!$C$5="شهري",P1229=التقارير!$C$6),AND(التقارير!$C$5="فصلي",Q1229=التقارير!$C$7))),1,0))</f>
        <v/>
      </c>
      <c r="T1229" s="20">
        <f>IF(S1229=1,COUNTIF($S$5:S1229,1),"")</f>
        <v/>
      </c>
      <c r="U1229">
        <f>IF(AND($A1229&lt;&gt;"",$B1229&lt;&gt;"",$R1229='تقرير الفصل الأول'!$C$4,$Q1229='تقرير الفصل الأول'!$C$7),COUNT(U$4:U1228)+1,"")</f>
        <v/>
      </c>
      <c r="V1229">
        <f>IF(AND($A1229&lt;&gt;"",$B1229&lt;&gt;"",$R1229='تقرير الفصل الثاني'!$C$4,$Q1229='تقرير الفصل الثاني'!$C$7),COUNT(V$4:V1228)+1,"")</f>
        <v/>
      </c>
      <c r="W1229">
        <f>IF(AND($A1229&lt;&gt;"",$B1229&lt;&gt;"",$R1229='تقرير سبتمبر'!$C$4,$P1229='تقرير سبتمبر'!$C$6),COUNT(W$4:W1228)+1,"")</f>
        <v/>
      </c>
      <c r="X1229">
        <f>IF(AND($A1229&lt;&gt;"",$B1229&lt;&gt;"",$R1229='تقرير أكتوبر'!$C$4,$P1229='تقرير أكتوبر'!$C$6),COUNT(X$4:X1228)+1,"")</f>
        <v/>
      </c>
      <c r="Y1229">
        <f>IF(AND($A1229&lt;&gt;"",$B1229&lt;&gt;"",$R1229='تقرير نوفمبر'!$C$4,$P1229='تقرير نوفمبر'!$C$6),COUNT(Y$4:Y1228)+1,"")</f>
        <v/>
      </c>
      <c r="Z1229">
        <f>IF(AND($A1229&lt;&gt;"",$B1229&lt;&gt;"",$R1229='تقرير ديسمبر'!$C$4,$P1229='تقرير ديسمبر'!$C$6),COUNT(Z$4:Z1228)+1,"")</f>
        <v/>
      </c>
      <c r="AA1229">
        <f>IF(AND($A1229&lt;&gt;"",$B1229&lt;&gt;"",$R1229='تقرير يناير'!$C$4,$P1229='تقرير يناير'!$C$6),COUNT(AA$4:AA1228)+1,"")</f>
        <v/>
      </c>
      <c r="AB1229">
        <f>IF(AND($A1229&lt;&gt;"",$B1229&lt;&gt;"",$R1229='تقرير فبراير'!$C$4,$P1229='تقرير فبراير'!$C$6),COUNT(AB$4:AB1228)+1,"")</f>
        <v/>
      </c>
      <c r="AC1229">
        <f>IF(AND($A1229&lt;&gt;"",$B1229&lt;&gt;"",$R1229='تقرير مارس'!$C$4,$P1229='تقرير مارس'!$C$6),COUNT(AC$4:AC1228)+1,"")</f>
        <v/>
      </c>
      <c r="AD1229">
        <f>IF(AND($A1229&lt;&gt;"",$B1229&lt;&gt;"",$R1229='تقرير أبريل'!$C$4,$P1229='تقرير أبريل'!$C$6),COUNT(AD$4:AD1228)+1,"")</f>
        <v/>
      </c>
      <c r="AE1229">
        <f>IF(AND($A1229&lt;&gt;"",$B1229&lt;&gt;"",$R1229='تقرير مايو'!$C$4,$P1229='تقرير مايو'!$C$6),COUNT(AE$4:AE1228)+1,"")</f>
        <v/>
      </c>
    </row>
    <row r="1230">
      <c r="A1230" s="16" t="n"/>
      <c r="B1230" s="17" t="n"/>
      <c r="C1230" s="17" t="n"/>
      <c r="D1230" s="18" t="n"/>
      <c r="E1230" s="17" t="n"/>
      <c r="F1230" s="17" t="n"/>
      <c r="G1230" s="19" t="n"/>
      <c r="H1230" s="17" t="n"/>
      <c r="I1230" s="17" t="n"/>
      <c r="J1230" s="17" t="n"/>
      <c r="K1230" s="20">
        <f>IF($B1230="","",IFERROR(INDEX(الموظفات!$A$5:$A$304,MATCH($B1230,الموظفات!$B$5:$B$304,0))&amp;"",""))</f>
        <v/>
      </c>
      <c r="L1230" s="21">
        <f>IF($B1230="","",IFERROR(INDEX(الموظفات!$C$5:$C$304,MATCH($B1230,الموظفات!$B$5:$B$304,0))&amp;"",""))</f>
        <v/>
      </c>
      <c r="M1230" s="20">
        <f>IF($B1230="","",IFERROR(INDEX(الموظفات!$D$5:$D$304,MATCH($B1230,الموظفات!$B$5:$B$304,0))&amp;"",""))</f>
        <v/>
      </c>
      <c r="N1230" s="20">
        <f>IF($B1230="","",IFERROR(INDEX(الموظفات!$E$5:$E$304,MATCH($B1230,الموظفات!$B$5:$B$304,0))&amp;"",""))</f>
        <v/>
      </c>
      <c r="O1230" s="21">
        <f>IF(C1230="","",IFERROR(INDEX(الإعدادات!$D$7:$D$35,MATCH(C1230,الإعدادات!$A$7:$A$35,0))&amp;"",""))</f>
        <v/>
      </c>
      <c r="P1230" s="20">
        <f>IF(A1230="","",INDEX(الإعدادات!$H$7:$H$18,MONTH(A1230)))</f>
        <v/>
      </c>
      <c r="Q1230" s="20">
        <f>IF(A1230="","",INDEX(الإعدادات!$I$7:$I$18,MONTH(A1230)))</f>
        <v/>
      </c>
      <c r="R1230" s="20">
        <f>IF(A1230="","",IF(MONTH(A1230)&gt;=8,YEAR(A1230)&amp;"-"&amp;(YEAR(A1230)+1),(YEAR(A1230)-1)&amp;"-"&amp;YEAR(A1230)))</f>
        <v/>
      </c>
      <c r="S1230" s="20">
        <f>IF(OR(A1230="",B1230=""),0,IF(AND(R1230=التقارير!$C$4,OR(التقارير!$C$5="سنوي",AND(التقارير!$C$5="شهري",P1230=التقارير!$C$6),AND(التقارير!$C$5="فصلي",Q1230=التقارير!$C$7))),1,0))</f>
        <v/>
      </c>
      <c r="T1230" s="20">
        <f>IF(S1230=1,COUNTIF($S$5:S1230,1),"")</f>
        <v/>
      </c>
      <c r="U1230">
        <f>IF(AND($A1230&lt;&gt;"",$B1230&lt;&gt;"",$R1230='تقرير الفصل الأول'!$C$4,$Q1230='تقرير الفصل الأول'!$C$7),COUNT(U$4:U1229)+1,"")</f>
        <v/>
      </c>
      <c r="V1230">
        <f>IF(AND($A1230&lt;&gt;"",$B1230&lt;&gt;"",$R1230='تقرير الفصل الثاني'!$C$4,$Q1230='تقرير الفصل الثاني'!$C$7),COUNT(V$4:V1229)+1,"")</f>
        <v/>
      </c>
      <c r="W1230">
        <f>IF(AND($A1230&lt;&gt;"",$B1230&lt;&gt;"",$R1230='تقرير سبتمبر'!$C$4,$P1230='تقرير سبتمبر'!$C$6),COUNT(W$4:W1229)+1,"")</f>
        <v/>
      </c>
      <c r="X1230">
        <f>IF(AND($A1230&lt;&gt;"",$B1230&lt;&gt;"",$R1230='تقرير أكتوبر'!$C$4,$P1230='تقرير أكتوبر'!$C$6),COUNT(X$4:X1229)+1,"")</f>
        <v/>
      </c>
      <c r="Y1230">
        <f>IF(AND($A1230&lt;&gt;"",$B1230&lt;&gt;"",$R1230='تقرير نوفمبر'!$C$4,$P1230='تقرير نوفمبر'!$C$6),COUNT(Y$4:Y1229)+1,"")</f>
        <v/>
      </c>
      <c r="Z1230">
        <f>IF(AND($A1230&lt;&gt;"",$B1230&lt;&gt;"",$R1230='تقرير ديسمبر'!$C$4,$P1230='تقرير ديسمبر'!$C$6),COUNT(Z$4:Z1229)+1,"")</f>
        <v/>
      </c>
      <c r="AA1230">
        <f>IF(AND($A1230&lt;&gt;"",$B1230&lt;&gt;"",$R1230='تقرير يناير'!$C$4,$P1230='تقرير يناير'!$C$6),COUNT(AA$4:AA1229)+1,"")</f>
        <v/>
      </c>
      <c r="AB1230">
        <f>IF(AND($A1230&lt;&gt;"",$B1230&lt;&gt;"",$R1230='تقرير فبراير'!$C$4,$P1230='تقرير فبراير'!$C$6),COUNT(AB$4:AB1229)+1,"")</f>
        <v/>
      </c>
      <c r="AC1230">
        <f>IF(AND($A1230&lt;&gt;"",$B1230&lt;&gt;"",$R1230='تقرير مارس'!$C$4,$P1230='تقرير مارس'!$C$6),COUNT(AC$4:AC1229)+1,"")</f>
        <v/>
      </c>
      <c r="AD1230">
        <f>IF(AND($A1230&lt;&gt;"",$B1230&lt;&gt;"",$R1230='تقرير أبريل'!$C$4,$P1230='تقرير أبريل'!$C$6),COUNT(AD$4:AD1229)+1,"")</f>
        <v/>
      </c>
      <c r="AE1230">
        <f>IF(AND($A1230&lt;&gt;"",$B1230&lt;&gt;"",$R1230='تقرير مايو'!$C$4,$P1230='تقرير مايو'!$C$6),COUNT(AE$4:AE1229)+1,"")</f>
        <v/>
      </c>
    </row>
    <row r="1231">
      <c r="A1231" s="16" t="n"/>
      <c r="B1231" s="17" t="n"/>
      <c r="C1231" s="17" t="n"/>
      <c r="D1231" s="18" t="n"/>
      <c r="E1231" s="17" t="n"/>
      <c r="F1231" s="17" t="n"/>
      <c r="G1231" s="19" t="n"/>
      <c r="H1231" s="17" t="n"/>
      <c r="I1231" s="17" t="n"/>
      <c r="J1231" s="17" t="n"/>
      <c r="K1231" s="20">
        <f>IF($B1231="","",IFERROR(INDEX(الموظفات!$A$5:$A$304,MATCH($B1231,الموظفات!$B$5:$B$304,0))&amp;"",""))</f>
        <v/>
      </c>
      <c r="L1231" s="21">
        <f>IF($B1231="","",IFERROR(INDEX(الموظفات!$C$5:$C$304,MATCH($B1231,الموظفات!$B$5:$B$304,0))&amp;"",""))</f>
        <v/>
      </c>
      <c r="M1231" s="20">
        <f>IF($B1231="","",IFERROR(INDEX(الموظفات!$D$5:$D$304,MATCH($B1231,الموظفات!$B$5:$B$304,0))&amp;"",""))</f>
        <v/>
      </c>
      <c r="N1231" s="20">
        <f>IF($B1231="","",IFERROR(INDEX(الموظفات!$E$5:$E$304,MATCH($B1231,الموظفات!$B$5:$B$304,0))&amp;"",""))</f>
        <v/>
      </c>
      <c r="O1231" s="21">
        <f>IF(C1231="","",IFERROR(INDEX(الإعدادات!$D$7:$D$35,MATCH(C1231,الإعدادات!$A$7:$A$35,0))&amp;"",""))</f>
        <v/>
      </c>
      <c r="P1231" s="20">
        <f>IF(A1231="","",INDEX(الإعدادات!$H$7:$H$18,MONTH(A1231)))</f>
        <v/>
      </c>
      <c r="Q1231" s="20">
        <f>IF(A1231="","",INDEX(الإعدادات!$I$7:$I$18,MONTH(A1231)))</f>
        <v/>
      </c>
      <c r="R1231" s="20">
        <f>IF(A1231="","",IF(MONTH(A1231)&gt;=8,YEAR(A1231)&amp;"-"&amp;(YEAR(A1231)+1),(YEAR(A1231)-1)&amp;"-"&amp;YEAR(A1231)))</f>
        <v/>
      </c>
      <c r="S1231" s="20">
        <f>IF(OR(A1231="",B1231=""),0,IF(AND(R1231=التقارير!$C$4,OR(التقارير!$C$5="سنوي",AND(التقارير!$C$5="شهري",P1231=التقارير!$C$6),AND(التقارير!$C$5="فصلي",Q1231=التقارير!$C$7))),1,0))</f>
        <v/>
      </c>
      <c r="T1231" s="20">
        <f>IF(S1231=1,COUNTIF($S$5:S1231,1),"")</f>
        <v/>
      </c>
      <c r="U1231">
        <f>IF(AND($A1231&lt;&gt;"",$B1231&lt;&gt;"",$R1231='تقرير الفصل الأول'!$C$4,$Q1231='تقرير الفصل الأول'!$C$7),COUNT(U$4:U1230)+1,"")</f>
        <v/>
      </c>
      <c r="V1231">
        <f>IF(AND($A1231&lt;&gt;"",$B1231&lt;&gt;"",$R1231='تقرير الفصل الثاني'!$C$4,$Q1231='تقرير الفصل الثاني'!$C$7),COUNT(V$4:V1230)+1,"")</f>
        <v/>
      </c>
      <c r="W1231">
        <f>IF(AND($A1231&lt;&gt;"",$B1231&lt;&gt;"",$R1231='تقرير سبتمبر'!$C$4,$P1231='تقرير سبتمبر'!$C$6),COUNT(W$4:W1230)+1,"")</f>
        <v/>
      </c>
      <c r="X1231">
        <f>IF(AND($A1231&lt;&gt;"",$B1231&lt;&gt;"",$R1231='تقرير أكتوبر'!$C$4,$P1231='تقرير أكتوبر'!$C$6),COUNT(X$4:X1230)+1,"")</f>
        <v/>
      </c>
      <c r="Y1231">
        <f>IF(AND($A1231&lt;&gt;"",$B1231&lt;&gt;"",$R1231='تقرير نوفمبر'!$C$4,$P1231='تقرير نوفمبر'!$C$6),COUNT(Y$4:Y1230)+1,"")</f>
        <v/>
      </c>
      <c r="Z1231">
        <f>IF(AND($A1231&lt;&gt;"",$B1231&lt;&gt;"",$R1231='تقرير ديسمبر'!$C$4,$P1231='تقرير ديسمبر'!$C$6),COUNT(Z$4:Z1230)+1,"")</f>
        <v/>
      </c>
      <c r="AA1231">
        <f>IF(AND($A1231&lt;&gt;"",$B1231&lt;&gt;"",$R1231='تقرير يناير'!$C$4,$P1231='تقرير يناير'!$C$6),COUNT(AA$4:AA1230)+1,"")</f>
        <v/>
      </c>
      <c r="AB1231">
        <f>IF(AND($A1231&lt;&gt;"",$B1231&lt;&gt;"",$R1231='تقرير فبراير'!$C$4,$P1231='تقرير فبراير'!$C$6),COUNT(AB$4:AB1230)+1,"")</f>
        <v/>
      </c>
      <c r="AC1231">
        <f>IF(AND($A1231&lt;&gt;"",$B1231&lt;&gt;"",$R1231='تقرير مارس'!$C$4,$P1231='تقرير مارس'!$C$6),COUNT(AC$4:AC1230)+1,"")</f>
        <v/>
      </c>
      <c r="AD1231">
        <f>IF(AND($A1231&lt;&gt;"",$B1231&lt;&gt;"",$R1231='تقرير أبريل'!$C$4,$P1231='تقرير أبريل'!$C$6),COUNT(AD$4:AD1230)+1,"")</f>
        <v/>
      </c>
      <c r="AE1231">
        <f>IF(AND($A1231&lt;&gt;"",$B1231&lt;&gt;"",$R1231='تقرير مايو'!$C$4,$P1231='تقرير مايو'!$C$6),COUNT(AE$4:AE1230)+1,"")</f>
        <v/>
      </c>
    </row>
    <row r="1232">
      <c r="A1232" s="16" t="n"/>
      <c r="B1232" s="17" t="n"/>
      <c r="C1232" s="17" t="n"/>
      <c r="D1232" s="18" t="n"/>
      <c r="E1232" s="17" t="n"/>
      <c r="F1232" s="17" t="n"/>
      <c r="G1232" s="19" t="n"/>
      <c r="H1232" s="17" t="n"/>
      <c r="I1232" s="17" t="n"/>
      <c r="J1232" s="17" t="n"/>
      <c r="K1232" s="20">
        <f>IF($B1232="","",IFERROR(INDEX(الموظفات!$A$5:$A$304,MATCH($B1232,الموظفات!$B$5:$B$304,0))&amp;"",""))</f>
        <v/>
      </c>
      <c r="L1232" s="21">
        <f>IF($B1232="","",IFERROR(INDEX(الموظفات!$C$5:$C$304,MATCH($B1232,الموظفات!$B$5:$B$304,0))&amp;"",""))</f>
        <v/>
      </c>
      <c r="M1232" s="20">
        <f>IF($B1232="","",IFERROR(INDEX(الموظفات!$D$5:$D$304,MATCH($B1232,الموظفات!$B$5:$B$304,0))&amp;"",""))</f>
        <v/>
      </c>
      <c r="N1232" s="20">
        <f>IF($B1232="","",IFERROR(INDEX(الموظفات!$E$5:$E$304,MATCH($B1232,الموظفات!$B$5:$B$304,0))&amp;"",""))</f>
        <v/>
      </c>
      <c r="O1232" s="21">
        <f>IF(C1232="","",IFERROR(INDEX(الإعدادات!$D$7:$D$35,MATCH(C1232,الإعدادات!$A$7:$A$35,0))&amp;"",""))</f>
        <v/>
      </c>
      <c r="P1232" s="20">
        <f>IF(A1232="","",INDEX(الإعدادات!$H$7:$H$18,MONTH(A1232)))</f>
        <v/>
      </c>
      <c r="Q1232" s="20">
        <f>IF(A1232="","",INDEX(الإعدادات!$I$7:$I$18,MONTH(A1232)))</f>
        <v/>
      </c>
      <c r="R1232" s="20">
        <f>IF(A1232="","",IF(MONTH(A1232)&gt;=8,YEAR(A1232)&amp;"-"&amp;(YEAR(A1232)+1),(YEAR(A1232)-1)&amp;"-"&amp;YEAR(A1232)))</f>
        <v/>
      </c>
      <c r="S1232" s="20">
        <f>IF(OR(A1232="",B1232=""),0,IF(AND(R1232=التقارير!$C$4,OR(التقارير!$C$5="سنوي",AND(التقارير!$C$5="شهري",P1232=التقارير!$C$6),AND(التقارير!$C$5="فصلي",Q1232=التقارير!$C$7))),1,0))</f>
        <v/>
      </c>
      <c r="T1232" s="20">
        <f>IF(S1232=1,COUNTIF($S$5:S1232,1),"")</f>
        <v/>
      </c>
      <c r="U1232">
        <f>IF(AND($A1232&lt;&gt;"",$B1232&lt;&gt;"",$R1232='تقرير الفصل الأول'!$C$4,$Q1232='تقرير الفصل الأول'!$C$7),COUNT(U$4:U1231)+1,"")</f>
        <v/>
      </c>
      <c r="V1232">
        <f>IF(AND($A1232&lt;&gt;"",$B1232&lt;&gt;"",$R1232='تقرير الفصل الثاني'!$C$4,$Q1232='تقرير الفصل الثاني'!$C$7),COUNT(V$4:V1231)+1,"")</f>
        <v/>
      </c>
      <c r="W1232">
        <f>IF(AND($A1232&lt;&gt;"",$B1232&lt;&gt;"",$R1232='تقرير سبتمبر'!$C$4,$P1232='تقرير سبتمبر'!$C$6),COUNT(W$4:W1231)+1,"")</f>
        <v/>
      </c>
      <c r="X1232">
        <f>IF(AND($A1232&lt;&gt;"",$B1232&lt;&gt;"",$R1232='تقرير أكتوبر'!$C$4,$P1232='تقرير أكتوبر'!$C$6),COUNT(X$4:X1231)+1,"")</f>
        <v/>
      </c>
      <c r="Y1232">
        <f>IF(AND($A1232&lt;&gt;"",$B1232&lt;&gt;"",$R1232='تقرير نوفمبر'!$C$4,$P1232='تقرير نوفمبر'!$C$6),COUNT(Y$4:Y1231)+1,"")</f>
        <v/>
      </c>
      <c r="Z1232">
        <f>IF(AND($A1232&lt;&gt;"",$B1232&lt;&gt;"",$R1232='تقرير ديسمبر'!$C$4,$P1232='تقرير ديسمبر'!$C$6),COUNT(Z$4:Z1231)+1,"")</f>
        <v/>
      </c>
      <c r="AA1232">
        <f>IF(AND($A1232&lt;&gt;"",$B1232&lt;&gt;"",$R1232='تقرير يناير'!$C$4,$P1232='تقرير يناير'!$C$6),COUNT(AA$4:AA1231)+1,"")</f>
        <v/>
      </c>
      <c r="AB1232">
        <f>IF(AND($A1232&lt;&gt;"",$B1232&lt;&gt;"",$R1232='تقرير فبراير'!$C$4,$P1232='تقرير فبراير'!$C$6),COUNT(AB$4:AB1231)+1,"")</f>
        <v/>
      </c>
      <c r="AC1232">
        <f>IF(AND($A1232&lt;&gt;"",$B1232&lt;&gt;"",$R1232='تقرير مارس'!$C$4,$P1232='تقرير مارس'!$C$6),COUNT(AC$4:AC1231)+1,"")</f>
        <v/>
      </c>
      <c r="AD1232">
        <f>IF(AND($A1232&lt;&gt;"",$B1232&lt;&gt;"",$R1232='تقرير أبريل'!$C$4,$P1232='تقرير أبريل'!$C$6),COUNT(AD$4:AD1231)+1,"")</f>
        <v/>
      </c>
      <c r="AE1232">
        <f>IF(AND($A1232&lt;&gt;"",$B1232&lt;&gt;"",$R1232='تقرير مايو'!$C$4,$P1232='تقرير مايو'!$C$6),COUNT(AE$4:AE1231)+1,"")</f>
        <v/>
      </c>
    </row>
    <row r="1233">
      <c r="A1233" s="16" t="n"/>
      <c r="B1233" s="17" t="n"/>
      <c r="C1233" s="17" t="n"/>
      <c r="D1233" s="18" t="n"/>
      <c r="E1233" s="17" t="n"/>
      <c r="F1233" s="17" t="n"/>
      <c r="G1233" s="19" t="n"/>
      <c r="H1233" s="17" t="n"/>
      <c r="I1233" s="17" t="n"/>
      <c r="J1233" s="17" t="n"/>
      <c r="K1233" s="20">
        <f>IF($B1233="","",IFERROR(INDEX(الموظفات!$A$5:$A$304,MATCH($B1233,الموظفات!$B$5:$B$304,0))&amp;"",""))</f>
        <v/>
      </c>
      <c r="L1233" s="21">
        <f>IF($B1233="","",IFERROR(INDEX(الموظفات!$C$5:$C$304,MATCH($B1233,الموظفات!$B$5:$B$304,0))&amp;"",""))</f>
        <v/>
      </c>
      <c r="M1233" s="20">
        <f>IF($B1233="","",IFERROR(INDEX(الموظفات!$D$5:$D$304,MATCH($B1233,الموظفات!$B$5:$B$304,0))&amp;"",""))</f>
        <v/>
      </c>
      <c r="N1233" s="20">
        <f>IF($B1233="","",IFERROR(INDEX(الموظفات!$E$5:$E$304,MATCH($B1233,الموظفات!$B$5:$B$304,0))&amp;"",""))</f>
        <v/>
      </c>
      <c r="O1233" s="21">
        <f>IF(C1233="","",IFERROR(INDEX(الإعدادات!$D$7:$D$35,MATCH(C1233,الإعدادات!$A$7:$A$35,0))&amp;"",""))</f>
        <v/>
      </c>
      <c r="P1233" s="20">
        <f>IF(A1233="","",INDEX(الإعدادات!$H$7:$H$18,MONTH(A1233)))</f>
        <v/>
      </c>
      <c r="Q1233" s="20">
        <f>IF(A1233="","",INDEX(الإعدادات!$I$7:$I$18,MONTH(A1233)))</f>
        <v/>
      </c>
      <c r="R1233" s="20">
        <f>IF(A1233="","",IF(MONTH(A1233)&gt;=8,YEAR(A1233)&amp;"-"&amp;(YEAR(A1233)+1),(YEAR(A1233)-1)&amp;"-"&amp;YEAR(A1233)))</f>
        <v/>
      </c>
      <c r="S1233" s="20">
        <f>IF(OR(A1233="",B1233=""),0,IF(AND(R1233=التقارير!$C$4,OR(التقارير!$C$5="سنوي",AND(التقارير!$C$5="شهري",P1233=التقارير!$C$6),AND(التقارير!$C$5="فصلي",Q1233=التقارير!$C$7))),1,0))</f>
        <v/>
      </c>
      <c r="T1233" s="20">
        <f>IF(S1233=1,COUNTIF($S$5:S1233,1),"")</f>
        <v/>
      </c>
      <c r="U1233">
        <f>IF(AND($A1233&lt;&gt;"",$B1233&lt;&gt;"",$R1233='تقرير الفصل الأول'!$C$4,$Q1233='تقرير الفصل الأول'!$C$7),COUNT(U$4:U1232)+1,"")</f>
        <v/>
      </c>
      <c r="V1233">
        <f>IF(AND($A1233&lt;&gt;"",$B1233&lt;&gt;"",$R1233='تقرير الفصل الثاني'!$C$4,$Q1233='تقرير الفصل الثاني'!$C$7),COUNT(V$4:V1232)+1,"")</f>
        <v/>
      </c>
      <c r="W1233">
        <f>IF(AND($A1233&lt;&gt;"",$B1233&lt;&gt;"",$R1233='تقرير سبتمبر'!$C$4,$P1233='تقرير سبتمبر'!$C$6),COUNT(W$4:W1232)+1,"")</f>
        <v/>
      </c>
      <c r="X1233">
        <f>IF(AND($A1233&lt;&gt;"",$B1233&lt;&gt;"",$R1233='تقرير أكتوبر'!$C$4,$P1233='تقرير أكتوبر'!$C$6),COUNT(X$4:X1232)+1,"")</f>
        <v/>
      </c>
      <c r="Y1233">
        <f>IF(AND($A1233&lt;&gt;"",$B1233&lt;&gt;"",$R1233='تقرير نوفمبر'!$C$4,$P1233='تقرير نوفمبر'!$C$6),COUNT(Y$4:Y1232)+1,"")</f>
        <v/>
      </c>
      <c r="Z1233">
        <f>IF(AND($A1233&lt;&gt;"",$B1233&lt;&gt;"",$R1233='تقرير ديسمبر'!$C$4,$P1233='تقرير ديسمبر'!$C$6),COUNT(Z$4:Z1232)+1,"")</f>
        <v/>
      </c>
      <c r="AA1233">
        <f>IF(AND($A1233&lt;&gt;"",$B1233&lt;&gt;"",$R1233='تقرير يناير'!$C$4,$P1233='تقرير يناير'!$C$6),COUNT(AA$4:AA1232)+1,"")</f>
        <v/>
      </c>
      <c r="AB1233">
        <f>IF(AND($A1233&lt;&gt;"",$B1233&lt;&gt;"",$R1233='تقرير فبراير'!$C$4,$P1233='تقرير فبراير'!$C$6),COUNT(AB$4:AB1232)+1,"")</f>
        <v/>
      </c>
      <c r="AC1233">
        <f>IF(AND($A1233&lt;&gt;"",$B1233&lt;&gt;"",$R1233='تقرير مارس'!$C$4,$P1233='تقرير مارس'!$C$6),COUNT(AC$4:AC1232)+1,"")</f>
        <v/>
      </c>
      <c r="AD1233">
        <f>IF(AND($A1233&lt;&gt;"",$B1233&lt;&gt;"",$R1233='تقرير أبريل'!$C$4,$P1233='تقرير أبريل'!$C$6),COUNT(AD$4:AD1232)+1,"")</f>
        <v/>
      </c>
      <c r="AE1233">
        <f>IF(AND($A1233&lt;&gt;"",$B1233&lt;&gt;"",$R1233='تقرير مايو'!$C$4,$P1233='تقرير مايو'!$C$6),COUNT(AE$4:AE1232)+1,"")</f>
        <v/>
      </c>
    </row>
    <row r="1234">
      <c r="A1234" s="16" t="n"/>
      <c r="B1234" s="17" t="n"/>
      <c r="C1234" s="17" t="n"/>
      <c r="D1234" s="18" t="n"/>
      <c r="E1234" s="17" t="n"/>
      <c r="F1234" s="17" t="n"/>
      <c r="G1234" s="19" t="n"/>
      <c r="H1234" s="17" t="n"/>
      <c r="I1234" s="17" t="n"/>
      <c r="J1234" s="17" t="n"/>
      <c r="K1234" s="20">
        <f>IF($B1234="","",IFERROR(INDEX(الموظفات!$A$5:$A$304,MATCH($B1234,الموظفات!$B$5:$B$304,0))&amp;"",""))</f>
        <v/>
      </c>
      <c r="L1234" s="21">
        <f>IF($B1234="","",IFERROR(INDEX(الموظفات!$C$5:$C$304,MATCH($B1234,الموظفات!$B$5:$B$304,0))&amp;"",""))</f>
        <v/>
      </c>
      <c r="M1234" s="20">
        <f>IF($B1234="","",IFERROR(INDEX(الموظفات!$D$5:$D$304,MATCH($B1234,الموظفات!$B$5:$B$304,0))&amp;"",""))</f>
        <v/>
      </c>
      <c r="N1234" s="20">
        <f>IF($B1234="","",IFERROR(INDEX(الموظفات!$E$5:$E$304,MATCH($B1234,الموظفات!$B$5:$B$304,0))&amp;"",""))</f>
        <v/>
      </c>
      <c r="O1234" s="21">
        <f>IF(C1234="","",IFERROR(INDEX(الإعدادات!$D$7:$D$35,MATCH(C1234,الإعدادات!$A$7:$A$35,0))&amp;"",""))</f>
        <v/>
      </c>
      <c r="P1234" s="20">
        <f>IF(A1234="","",INDEX(الإعدادات!$H$7:$H$18,MONTH(A1234)))</f>
        <v/>
      </c>
      <c r="Q1234" s="20">
        <f>IF(A1234="","",INDEX(الإعدادات!$I$7:$I$18,MONTH(A1234)))</f>
        <v/>
      </c>
      <c r="R1234" s="20">
        <f>IF(A1234="","",IF(MONTH(A1234)&gt;=8,YEAR(A1234)&amp;"-"&amp;(YEAR(A1234)+1),(YEAR(A1234)-1)&amp;"-"&amp;YEAR(A1234)))</f>
        <v/>
      </c>
      <c r="S1234" s="20">
        <f>IF(OR(A1234="",B1234=""),0,IF(AND(R1234=التقارير!$C$4,OR(التقارير!$C$5="سنوي",AND(التقارير!$C$5="شهري",P1234=التقارير!$C$6),AND(التقارير!$C$5="فصلي",Q1234=التقارير!$C$7))),1,0))</f>
        <v/>
      </c>
      <c r="T1234" s="20">
        <f>IF(S1234=1,COUNTIF($S$5:S1234,1),"")</f>
        <v/>
      </c>
      <c r="U1234">
        <f>IF(AND($A1234&lt;&gt;"",$B1234&lt;&gt;"",$R1234='تقرير الفصل الأول'!$C$4,$Q1234='تقرير الفصل الأول'!$C$7),COUNT(U$4:U1233)+1,"")</f>
        <v/>
      </c>
      <c r="V1234">
        <f>IF(AND($A1234&lt;&gt;"",$B1234&lt;&gt;"",$R1234='تقرير الفصل الثاني'!$C$4,$Q1234='تقرير الفصل الثاني'!$C$7),COUNT(V$4:V1233)+1,"")</f>
        <v/>
      </c>
      <c r="W1234">
        <f>IF(AND($A1234&lt;&gt;"",$B1234&lt;&gt;"",$R1234='تقرير سبتمبر'!$C$4,$P1234='تقرير سبتمبر'!$C$6),COUNT(W$4:W1233)+1,"")</f>
        <v/>
      </c>
      <c r="X1234">
        <f>IF(AND($A1234&lt;&gt;"",$B1234&lt;&gt;"",$R1234='تقرير أكتوبر'!$C$4,$P1234='تقرير أكتوبر'!$C$6),COUNT(X$4:X1233)+1,"")</f>
        <v/>
      </c>
      <c r="Y1234">
        <f>IF(AND($A1234&lt;&gt;"",$B1234&lt;&gt;"",$R1234='تقرير نوفمبر'!$C$4,$P1234='تقرير نوفمبر'!$C$6),COUNT(Y$4:Y1233)+1,"")</f>
        <v/>
      </c>
      <c r="Z1234">
        <f>IF(AND($A1234&lt;&gt;"",$B1234&lt;&gt;"",$R1234='تقرير ديسمبر'!$C$4,$P1234='تقرير ديسمبر'!$C$6),COUNT(Z$4:Z1233)+1,"")</f>
        <v/>
      </c>
      <c r="AA1234">
        <f>IF(AND($A1234&lt;&gt;"",$B1234&lt;&gt;"",$R1234='تقرير يناير'!$C$4,$P1234='تقرير يناير'!$C$6),COUNT(AA$4:AA1233)+1,"")</f>
        <v/>
      </c>
      <c r="AB1234">
        <f>IF(AND($A1234&lt;&gt;"",$B1234&lt;&gt;"",$R1234='تقرير فبراير'!$C$4,$P1234='تقرير فبراير'!$C$6),COUNT(AB$4:AB1233)+1,"")</f>
        <v/>
      </c>
      <c r="AC1234">
        <f>IF(AND($A1234&lt;&gt;"",$B1234&lt;&gt;"",$R1234='تقرير مارس'!$C$4,$P1234='تقرير مارس'!$C$6),COUNT(AC$4:AC1233)+1,"")</f>
        <v/>
      </c>
      <c r="AD1234">
        <f>IF(AND($A1234&lt;&gt;"",$B1234&lt;&gt;"",$R1234='تقرير أبريل'!$C$4,$P1234='تقرير أبريل'!$C$6),COUNT(AD$4:AD1233)+1,"")</f>
        <v/>
      </c>
      <c r="AE1234">
        <f>IF(AND($A1234&lt;&gt;"",$B1234&lt;&gt;"",$R1234='تقرير مايو'!$C$4,$P1234='تقرير مايو'!$C$6),COUNT(AE$4:AE1233)+1,"")</f>
        <v/>
      </c>
    </row>
    <row r="1235">
      <c r="A1235" s="16" t="n"/>
      <c r="B1235" s="17" t="n"/>
      <c r="C1235" s="17" t="n"/>
      <c r="D1235" s="18" t="n"/>
      <c r="E1235" s="17" t="n"/>
      <c r="F1235" s="17" t="n"/>
      <c r="G1235" s="19" t="n"/>
      <c r="H1235" s="17" t="n"/>
      <c r="I1235" s="17" t="n"/>
      <c r="J1235" s="17" t="n"/>
      <c r="K1235" s="20">
        <f>IF($B1235="","",IFERROR(INDEX(الموظفات!$A$5:$A$304,MATCH($B1235,الموظفات!$B$5:$B$304,0))&amp;"",""))</f>
        <v/>
      </c>
      <c r="L1235" s="21">
        <f>IF($B1235="","",IFERROR(INDEX(الموظفات!$C$5:$C$304,MATCH($B1235,الموظفات!$B$5:$B$304,0))&amp;"",""))</f>
        <v/>
      </c>
      <c r="M1235" s="20">
        <f>IF($B1235="","",IFERROR(INDEX(الموظفات!$D$5:$D$304,MATCH($B1235,الموظفات!$B$5:$B$304,0))&amp;"",""))</f>
        <v/>
      </c>
      <c r="N1235" s="20">
        <f>IF($B1235="","",IFERROR(INDEX(الموظفات!$E$5:$E$304,MATCH($B1235,الموظفات!$B$5:$B$304,0))&amp;"",""))</f>
        <v/>
      </c>
      <c r="O1235" s="21">
        <f>IF(C1235="","",IFERROR(INDEX(الإعدادات!$D$7:$D$35,MATCH(C1235,الإعدادات!$A$7:$A$35,0))&amp;"",""))</f>
        <v/>
      </c>
      <c r="P1235" s="20">
        <f>IF(A1235="","",INDEX(الإعدادات!$H$7:$H$18,MONTH(A1235)))</f>
        <v/>
      </c>
      <c r="Q1235" s="20">
        <f>IF(A1235="","",INDEX(الإعدادات!$I$7:$I$18,MONTH(A1235)))</f>
        <v/>
      </c>
      <c r="R1235" s="20">
        <f>IF(A1235="","",IF(MONTH(A1235)&gt;=8,YEAR(A1235)&amp;"-"&amp;(YEAR(A1235)+1),(YEAR(A1235)-1)&amp;"-"&amp;YEAR(A1235)))</f>
        <v/>
      </c>
      <c r="S1235" s="20">
        <f>IF(OR(A1235="",B1235=""),0,IF(AND(R1235=التقارير!$C$4,OR(التقارير!$C$5="سنوي",AND(التقارير!$C$5="شهري",P1235=التقارير!$C$6),AND(التقارير!$C$5="فصلي",Q1235=التقارير!$C$7))),1,0))</f>
        <v/>
      </c>
      <c r="T1235" s="20">
        <f>IF(S1235=1,COUNTIF($S$5:S1235,1),"")</f>
        <v/>
      </c>
      <c r="U1235">
        <f>IF(AND($A1235&lt;&gt;"",$B1235&lt;&gt;"",$R1235='تقرير الفصل الأول'!$C$4,$Q1235='تقرير الفصل الأول'!$C$7),COUNT(U$4:U1234)+1,"")</f>
        <v/>
      </c>
      <c r="V1235">
        <f>IF(AND($A1235&lt;&gt;"",$B1235&lt;&gt;"",$R1235='تقرير الفصل الثاني'!$C$4,$Q1235='تقرير الفصل الثاني'!$C$7),COUNT(V$4:V1234)+1,"")</f>
        <v/>
      </c>
      <c r="W1235">
        <f>IF(AND($A1235&lt;&gt;"",$B1235&lt;&gt;"",$R1235='تقرير سبتمبر'!$C$4,$P1235='تقرير سبتمبر'!$C$6),COUNT(W$4:W1234)+1,"")</f>
        <v/>
      </c>
      <c r="X1235">
        <f>IF(AND($A1235&lt;&gt;"",$B1235&lt;&gt;"",$R1235='تقرير أكتوبر'!$C$4,$P1235='تقرير أكتوبر'!$C$6),COUNT(X$4:X1234)+1,"")</f>
        <v/>
      </c>
      <c r="Y1235">
        <f>IF(AND($A1235&lt;&gt;"",$B1235&lt;&gt;"",$R1235='تقرير نوفمبر'!$C$4,$P1235='تقرير نوفمبر'!$C$6),COUNT(Y$4:Y1234)+1,"")</f>
        <v/>
      </c>
      <c r="Z1235">
        <f>IF(AND($A1235&lt;&gt;"",$B1235&lt;&gt;"",$R1235='تقرير ديسمبر'!$C$4,$P1235='تقرير ديسمبر'!$C$6),COUNT(Z$4:Z1234)+1,"")</f>
        <v/>
      </c>
      <c r="AA1235">
        <f>IF(AND($A1235&lt;&gt;"",$B1235&lt;&gt;"",$R1235='تقرير يناير'!$C$4,$P1235='تقرير يناير'!$C$6),COUNT(AA$4:AA1234)+1,"")</f>
        <v/>
      </c>
      <c r="AB1235">
        <f>IF(AND($A1235&lt;&gt;"",$B1235&lt;&gt;"",$R1235='تقرير فبراير'!$C$4,$P1235='تقرير فبراير'!$C$6),COUNT(AB$4:AB1234)+1,"")</f>
        <v/>
      </c>
      <c r="AC1235">
        <f>IF(AND($A1235&lt;&gt;"",$B1235&lt;&gt;"",$R1235='تقرير مارس'!$C$4,$P1235='تقرير مارس'!$C$6),COUNT(AC$4:AC1234)+1,"")</f>
        <v/>
      </c>
      <c r="AD1235">
        <f>IF(AND($A1235&lt;&gt;"",$B1235&lt;&gt;"",$R1235='تقرير أبريل'!$C$4,$P1235='تقرير أبريل'!$C$6),COUNT(AD$4:AD1234)+1,"")</f>
        <v/>
      </c>
      <c r="AE1235">
        <f>IF(AND($A1235&lt;&gt;"",$B1235&lt;&gt;"",$R1235='تقرير مايو'!$C$4,$P1235='تقرير مايو'!$C$6),COUNT(AE$4:AE1234)+1,"")</f>
        <v/>
      </c>
    </row>
    <row r="1236">
      <c r="A1236" s="16" t="n"/>
      <c r="B1236" s="17" t="n"/>
      <c r="C1236" s="17" t="n"/>
      <c r="D1236" s="18" t="n"/>
      <c r="E1236" s="17" t="n"/>
      <c r="F1236" s="17" t="n"/>
      <c r="G1236" s="19" t="n"/>
      <c r="H1236" s="17" t="n"/>
      <c r="I1236" s="17" t="n"/>
      <c r="J1236" s="17" t="n"/>
      <c r="K1236" s="20">
        <f>IF($B1236="","",IFERROR(INDEX(الموظفات!$A$5:$A$304,MATCH($B1236,الموظفات!$B$5:$B$304,0))&amp;"",""))</f>
        <v/>
      </c>
      <c r="L1236" s="21">
        <f>IF($B1236="","",IFERROR(INDEX(الموظفات!$C$5:$C$304,MATCH($B1236,الموظفات!$B$5:$B$304,0))&amp;"",""))</f>
        <v/>
      </c>
      <c r="M1236" s="20">
        <f>IF($B1236="","",IFERROR(INDEX(الموظفات!$D$5:$D$304,MATCH($B1236,الموظفات!$B$5:$B$304,0))&amp;"",""))</f>
        <v/>
      </c>
      <c r="N1236" s="20">
        <f>IF($B1236="","",IFERROR(INDEX(الموظفات!$E$5:$E$304,MATCH($B1236,الموظفات!$B$5:$B$304,0))&amp;"",""))</f>
        <v/>
      </c>
      <c r="O1236" s="21">
        <f>IF(C1236="","",IFERROR(INDEX(الإعدادات!$D$7:$D$35,MATCH(C1236,الإعدادات!$A$7:$A$35,0))&amp;"",""))</f>
        <v/>
      </c>
      <c r="P1236" s="20">
        <f>IF(A1236="","",INDEX(الإعدادات!$H$7:$H$18,MONTH(A1236)))</f>
        <v/>
      </c>
      <c r="Q1236" s="20">
        <f>IF(A1236="","",INDEX(الإعدادات!$I$7:$I$18,MONTH(A1236)))</f>
        <v/>
      </c>
      <c r="R1236" s="20">
        <f>IF(A1236="","",IF(MONTH(A1236)&gt;=8,YEAR(A1236)&amp;"-"&amp;(YEAR(A1236)+1),(YEAR(A1236)-1)&amp;"-"&amp;YEAR(A1236)))</f>
        <v/>
      </c>
      <c r="S1236" s="20">
        <f>IF(OR(A1236="",B1236=""),0,IF(AND(R1236=التقارير!$C$4,OR(التقارير!$C$5="سنوي",AND(التقارير!$C$5="شهري",P1236=التقارير!$C$6),AND(التقارير!$C$5="فصلي",Q1236=التقارير!$C$7))),1,0))</f>
        <v/>
      </c>
      <c r="T1236" s="20">
        <f>IF(S1236=1,COUNTIF($S$5:S1236,1),"")</f>
        <v/>
      </c>
      <c r="U1236">
        <f>IF(AND($A1236&lt;&gt;"",$B1236&lt;&gt;"",$R1236='تقرير الفصل الأول'!$C$4,$Q1236='تقرير الفصل الأول'!$C$7),COUNT(U$4:U1235)+1,"")</f>
        <v/>
      </c>
      <c r="V1236">
        <f>IF(AND($A1236&lt;&gt;"",$B1236&lt;&gt;"",$R1236='تقرير الفصل الثاني'!$C$4,$Q1236='تقرير الفصل الثاني'!$C$7),COUNT(V$4:V1235)+1,"")</f>
        <v/>
      </c>
      <c r="W1236">
        <f>IF(AND($A1236&lt;&gt;"",$B1236&lt;&gt;"",$R1236='تقرير سبتمبر'!$C$4,$P1236='تقرير سبتمبر'!$C$6),COUNT(W$4:W1235)+1,"")</f>
        <v/>
      </c>
      <c r="X1236">
        <f>IF(AND($A1236&lt;&gt;"",$B1236&lt;&gt;"",$R1236='تقرير أكتوبر'!$C$4,$P1236='تقرير أكتوبر'!$C$6),COUNT(X$4:X1235)+1,"")</f>
        <v/>
      </c>
      <c r="Y1236">
        <f>IF(AND($A1236&lt;&gt;"",$B1236&lt;&gt;"",$R1236='تقرير نوفمبر'!$C$4,$P1236='تقرير نوفمبر'!$C$6),COUNT(Y$4:Y1235)+1,"")</f>
        <v/>
      </c>
      <c r="Z1236">
        <f>IF(AND($A1236&lt;&gt;"",$B1236&lt;&gt;"",$R1236='تقرير ديسمبر'!$C$4,$P1236='تقرير ديسمبر'!$C$6),COUNT(Z$4:Z1235)+1,"")</f>
        <v/>
      </c>
      <c r="AA1236">
        <f>IF(AND($A1236&lt;&gt;"",$B1236&lt;&gt;"",$R1236='تقرير يناير'!$C$4,$P1236='تقرير يناير'!$C$6),COUNT(AA$4:AA1235)+1,"")</f>
        <v/>
      </c>
      <c r="AB1236">
        <f>IF(AND($A1236&lt;&gt;"",$B1236&lt;&gt;"",$R1236='تقرير فبراير'!$C$4,$P1236='تقرير فبراير'!$C$6),COUNT(AB$4:AB1235)+1,"")</f>
        <v/>
      </c>
      <c r="AC1236">
        <f>IF(AND($A1236&lt;&gt;"",$B1236&lt;&gt;"",$R1236='تقرير مارس'!$C$4,$P1236='تقرير مارس'!$C$6),COUNT(AC$4:AC1235)+1,"")</f>
        <v/>
      </c>
      <c r="AD1236">
        <f>IF(AND($A1236&lt;&gt;"",$B1236&lt;&gt;"",$R1236='تقرير أبريل'!$C$4,$P1236='تقرير أبريل'!$C$6),COUNT(AD$4:AD1235)+1,"")</f>
        <v/>
      </c>
      <c r="AE1236">
        <f>IF(AND($A1236&lt;&gt;"",$B1236&lt;&gt;"",$R1236='تقرير مايو'!$C$4,$P1236='تقرير مايو'!$C$6),COUNT(AE$4:AE1235)+1,"")</f>
        <v/>
      </c>
    </row>
    <row r="1237">
      <c r="A1237" s="16" t="n"/>
      <c r="B1237" s="17" t="n"/>
      <c r="C1237" s="17" t="n"/>
      <c r="D1237" s="18" t="n"/>
      <c r="E1237" s="17" t="n"/>
      <c r="F1237" s="17" t="n"/>
      <c r="G1237" s="19" t="n"/>
      <c r="H1237" s="17" t="n"/>
      <c r="I1237" s="17" t="n"/>
      <c r="J1237" s="17" t="n"/>
      <c r="K1237" s="20">
        <f>IF($B1237="","",IFERROR(INDEX(الموظفات!$A$5:$A$304,MATCH($B1237,الموظفات!$B$5:$B$304,0))&amp;"",""))</f>
        <v/>
      </c>
      <c r="L1237" s="21">
        <f>IF($B1237="","",IFERROR(INDEX(الموظفات!$C$5:$C$304,MATCH($B1237,الموظفات!$B$5:$B$304,0))&amp;"",""))</f>
        <v/>
      </c>
      <c r="M1237" s="20">
        <f>IF($B1237="","",IFERROR(INDEX(الموظفات!$D$5:$D$304,MATCH($B1237,الموظفات!$B$5:$B$304,0))&amp;"",""))</f>
        <v/>
      </c>
      <c r="N1237" s="20">
        <f>IF($B1237="","",IFERROR(INDEX(الموظفات!$E$5:$E$304,MATCH($B1237,الموظفات!$B$5:$B$304,0))&amp;"",""))</f>
        <v/>
      </c>
      <c r="O1237" s="21">
        <f>IF(C1237="","",IFERROR(INDEX(الإعدادات!$D$7:$D$35,MATCH(C1237,الإعدادات!$A$7:$A$35,0))&amp;"",""))</f>
        <v/>
      </c>
      <c r="P1237" s="20">
        <f>IF(A1237="","",INDEX(الإعدادات!$H$7:$H$18,MONTH(A1237)))</f>
        <v/>
      </c>
      <c r="Q1237" s="20">
        <f>IF(A1237="","",INDEX(الإعدادات!$I$7:$I$18,MONTH(A1237)))</f>
        <v/>
      </c>
      <c r="R1237" s="20">
        <f>IF(A1237="","",IF(MONTH(A1237)&gt;=8,YEAR(A1237)&amp;"-"&amp;(YEAR(A1237)+1),(YEAR(A1237)-1)&amp;"-"&amp;YEAR(A1237)))</f>
        <v/>
      </c>
      <c r="S1237" s="20">
        <f>IF(OR(A1237="",B1237=""),0,IF(AND(R1237=التقارير!$C$4,OR(التقارير!$C$5="سنوي",AND(التقارير!$C$5="شهري",P1237=التقارير!$C$6),AND(التقارير!$C$5="فصلي",Q1237=التقارير!$C$7))),1,0))</f>
        <v/>
      </c>
      <c r="T1237" s="20">
        <f>IF(S1237=1,COUNTIF($S$5:S1237,1),"")</f>
        <v/>
      </c>
      <c r="U1237">
        <f>IF(AND($A1237&lt;&gt;"",$B1237&lt;&gt;"",$R1237='تقرير الفصل الأول'!$C$4,$Q1237='تقرير الفصل الأول'!$C$7),COUNT(U$4:U1236)+1,"")</f>
        <v/>
      </c>
      <c r="V1237">
        <f>IF(AND($A1237&lt;&gt;"",$B1237&lt;&gt;"",$R1237='تقرير الفصل الثاني'!$C$4,$Q1237='تقرير الفصل الثاني'!$C$7),COUNT(V$4:V1236)+1,"")</f>
        <v/>
      </c>
      <c r="W1237">
        <f>IF(AND($A1237&lt;&gt;"",$B1237&lt;&gt;"",$R1237='تقرير سبتمبر'!$C$4,$P1237='تقرير سبتمبر'!$C$6),COUNT(W$4:W1236)+1,"")</f>
        <v/>
      </c>
      <c r="X1237">
        <f>IF(AND($A1237&lt;&gt;"",$B1237&lt;&gt;"",$R1237='تقرير أكتوبر'!$C$4,$P1237='تقرير أكتوبر'!$C$6),COUNT(X$4:X1236)+1,"")</f>
        <v/>
      </c>
      <c r="Y1237">
        <f>IF(AND($A1237&lt;&gt;"",$B1237&lt;&gt;"",$R1237='تقرير نوفمبر'!$C$4,$P1237='تقرير نوفمبر'!$C$6),COUNT(Y$4:Y1236)+1,"")</f>
        <v/>
      </c>
      <c r="Z1237">
        <f>IF(AND($A1237&lt;&gt;"",$B1237&lt;&gt;"",$R1237='تقرير ديسمبر'!$C$4,$P1237='تقرير ديسمبر'!$C$6),COUNT(Z$4:Z1236)+1,"")</f>
        <v/>
      </c>
      <c r="AA1237">
        <f>IF(AND($A1237&lt;&gt;"",$B1237&lt;&gt;"",$R1237='تقرير يناير'!$C$4,$P1237='تقرير يناير'!$C$6),COUNT(AA$4:AA1236)+1,"")</f>
        <v/>
      </c>
      <c r="AB1237">
        <f>IF(AND($A1237&lt;&gt;"",$B1237&lt;&gt;"",$R1237='تقرير فبراير'!$C$4,$P1237='تقرير فبراير'!$C$6),COUNT(AB$4:AB1236)+1,"")</f>
        <v/>
      </c>
      <c r="AC1237">
        <f>IF(AND($A1237&lt;&gt;"",$B1237&lt;&gt;"",$R1237='تقرير مارس'!$C$4,$P1237='تقرير مارس'!$C$6),COUNT(AC$4:AC1236)+1,"")</f>
        <v/>
      </c>
      <c r="AD1237">
        <f>IF(AND($A1237&lt;&gt;"",$B1237&lt;&gt;"",$R1237='تقرير أبريل'!$C$4,$P1237='تقرير أبريل'!$C$6),COUNT(AD$4:AD1236)+1,"")</f>
        <v/>
      </c>
      <c r="AE1237">
        <f>IF(AND($A1237&lt;&gt;"",$B1237&lt;&gt;"",$R1237='تقرير مايو'!$C$4,$P1237='تقرير مايو'!$C$6),COUNT(AE$4:AE1236)+1,"")</f>
        <v/>
      </c>
    </row>
    <row r="1238">
      <c r="A1238" s="16" t="n"/>
      <c r="B1238" s="17" t="n"/>
      <c r="C1238" s="17" t="n"/>
      <c r="D1238" s="18" t="n"/>
      <c r="E1238" s="17" t="n"/>
      <c r="F1238" s="17" t="n"/>
      <c r="G1238" s="19" t="n"/>
      <c r="H1238" s="17" t="n"/>
      <c r="I1238" s="17" t="n"/>
      <c r="J1238" s="17" t="n"/>
      <c r="K1238" s="20">
        <f>IF($B1238="","",IFERROR(INDEX(الموظفات!$A$5:$A$304,MATCH($B1238,الموظفات!$B$5:$B$304,0))&amp;"",""))</f>
        <v/>
      </c>
      <c r="L1238" s="21">
        <f>IF($B1238="","",IFERROR(INDEX(الموظفات!$C$5:$C$304,MATCH($B1238,الموظفات!$B$5:$B$304,0))&amp;"",""))</f>
        <v/>
      </c>
      <c r="M1238" s="20">
        <f>IF($B1238="","",IFERROR(INDEX(الموظفات!$D$5:$D$304,MATCH($B1238,الموظفات!$B$5:$B$304,0))&amp;"",""))</f>
        <v/>
      </c>
      <c r="N1238" s="20">
        <f>IF($B1238="","",IFERROR(INDEX(الموظفات!$E$5:$E$304,MATCH($B1238,الموظفات!$B$5:$B$304,0))&amp;"",""))</f>
        <v/>
      </c>
      <c r="O1238" s="21">
        <f>IF(C1238="","",IFERROR(INDEX(الإعدادات!$D$7:$D$35,MATCH(C1238,الإعدادات!$A$7:$A$35,0))&amp;"",""))</f>
        <v/>
      </c>
      <c r="P1238" s="20">
        <f>IF(A1238="","",INDEX(الإعدادات!$H$7:$H$18,MONTH(A1238)))</f>
        <v/>
      </c>
      <c r="Q1238" s="20">
        <f>IF(A1238="","",INDEX(الإعدادات!$I$7:$I$18,MONTH(A1238)))</f>
        <v/>
      </c>
      <c r="R1238" s="20">
        <f>IF(A1238="","",IF(MONTH(A1238)&gt;=8,YEAR(A1238)&amp;"-"&amp;(YEAR(A1238)+1),(YEAR(A1238)-1)&amp;"-"&amp;YEAR(A1238)))</f>
        <v/>
      </c>
      <c r="S1238" s="20">
        <f>IF(OR(A1238="",B1238=""),0,IF(AND(R1238=التقارير!$C$4,OR(التقارير!$C$5="سنوي",AND(التقارير!$C$5="شهري",P1238=التقارير!$C$6),AND(التقارير!$C$5="فصلي",Q1238=التقارير!$C$7))),1,0))</f>
        <v/>
      </c>
      <c r="T1238" s="20">
        <f>IF(S1238=1,COUNTIF($S$5:S1238,1),"")</f>
        <v/>
      </c>
      <c r="U1238">
        <f>IF(AND($A1238&lt;&gt;"",$B1238&lt;&gt;"",$R1238='تقرير الفصل الأول'!$C$4,$Q1238='تقرير الفصل الأول'!$C$7),COUNT(U$4:U1237)+1,"")</f>
        <v/>
      </c>
      <c r="V1238">
        <f>IF(AND($A1238&lt;&gt;"",$B1238&lt;&gt;"",$R1238='تقرير الفصل الثاني'!$C$4,$Q1238='تقرير الفصل الثاني'!$C$7),COUNT(V$4:V1237)+1,"")</f>
        <v/>
      </c>
      <c r="W1238">
        <f>IF(AND($A1238&lt;&gt;"",$B1238&lt;&gt;"",$R1238='تقرير سبتمبر'!$C$4,$P1238='تقرير سبتمبر'!$C$6),COUNT(W$4:W1237)+1,"")</f>
        <v/>
      </c>
      <c r="X1238">
        <f>IF(AND($A1238&lt;&gt;"",$B1238&lt;&gt;"",$R1238='تقرير أكتوبر'!$C$4,$P1238='تقرير أكتوبر'!$C$6),COUNT(X$4:X1237)+1,"")</f>
        <v/>
      </c>
      <c r="Y1238">
        <f>IF(AND($A1238&lt;&gt;"",$B1238&lt;&gt;"",$R1238='تقرير نوفمبر'!$C$4,$P1238='تقرير نوفمبر'!$C$6),COUNT(Y$4:Y1237)+1,"")</f>
        <v/>
      </c>
      <c r="Z1238">
        <f>IF(AND($A1238&lt;&gt;"",$B1238&lt;&gt;"",$R1238='تقرير ديسمبر'!$C$4,$P1238='تقرير ديسمبر'!$C$6),COUNT(Z$4:Z1237)+1,"")</f>
        <v/>
      </c>
      <c r="AA1238">
        <f>IF(AND($A1238&lt;&gt;"",$B1238&lt;&gt;"",$R1238='تقرير يناير'!$C$4,$P1238='تقرير يناير'!$C$6),COUNT(AA$4:AA1237)+1,"")</f>
        <v/>
      </c>
      <c r="AB1238">
        <f>IF(AND($A1238&lt;&gt;"",$B1238&lt;&gt;"",$R1238='تقرير فبراير'!$C$4,$P1238='تقرير فبراير'!$C$6),COUNT(AB$4:AB1237)+1,"")</f>
        <v/>
      </c>
      <c r="AC1238">
        <f>IF(AND($A1238&lt;&gt;"",$B1238&lt;&gt;"",$R1238='تقرير مارس'!$C$4,$P1238='تقرير مارس'!$C$6),COUNT(AC$4:AC1237)+1,"")</f>
        <v/>
      </c>
      <c r="AD1238">
        <f>IF(AND($A1238&lt;&gt;"",$B1238&lt;&gt;"",$R1238='تقرير أبريل'!$C$4,$P1238='تقرير أبريل'!$C$6),COUNT(AD$4:AD1237)+1,"")</f>
        <v/>
      </c>
      <c r="AE1238">
        <f>IF(AND($A1238&lt;&gt;"",$B1238&lt;&gt;"",$R1238='تقرير مايو'!$C$4,$P1238='تقرير مايو'!$C$6),COUNT(AE$4:AE1237)+1,"")</f>
        <v/>
      </c>
    </row>
    <row r="1239">
      <c r="A1239" s="16" t="n"/>
      <c r="B1239" s="17" t="n"/>
      <c r="C1239" s="17" t="n"/>
      <c r="D1239" s="18" t="n"/>
      <c r="E1239" s="17" t="n"/>
      <c r="F1239" s="17" t="n"/>
      <c r="G1239" s="19" t="n"/>
      <c r="H1239" s="17" t="n"/>
      <c r="I1239" s="17" t="n"/>
      <c r="J1239" s="17" t="n"/>
      <c r="K1239" s="20">
        <f>IF($B1239="","",IFERROR(INDEX(الموظفات!$A$5:$A$304,MATCH($B1239,الموظفات!$B$5:$B$304,0))&amp;"",""))</f>
        <v/>
      </c>
      <c r="L1239" s="21">
        <f>IF($B1239="","",IFERROR(INDEX(الموظفات!$C$5:$C$304,MATCH($B1239,الموظفات!$B$5:$B$304,0))&amp;"",""))</f>
        <v/>
      </c>
      <c r="M1239" s="20">
        <f>IF($B1239="","",IFERROR(INDEX(الموظفات!$D$5:$D$304,MATCH($B1239,الموظفات!$B$5:$B$304,0))&amp;"",""))</f>
        <v/>
      </c>
      <c r="N1239" s="20">
        <f>IF($B1239="","",IFERROR(INDEX(الموظفات!$E$5:$E$304,MATCH($B1239,الموظفات!$B$5:$B$304,0))&amp;"",""))</f>
        <v/>
      </c>
      <c r="O1239" s="21">
        <f>IF(C1239="","",IFERROR(INDEX(الإعدادات!$D$7:$D$35,MATCH(C1239,الإعدادات!$A$7:$A$35,0))&amp;"",""))</f>
        <v/>
      </c>
      <c r="P1239" s="20">
        <f>IF(A1239="","",INDEX(الإعدادات!$H$7:$H$18,MONTH(A1239)))</f>
        <v/>
      </c>
      <c r="Q1239" s="20">
        <f>IF(A1239="","",INDEX(الإعدادات!$I$7:$I$18,MONTH(A1239)))</f>
        <v/>
      </c>
      <c r="R1239" s="20">
        <f>IF(A1239="","",IF(MONTH(A1239)&gt;=8,YEAR(A1239)&amp;"-"&amp;(YEAR(A1239)+1),(YEAR(A1239)-1)&amp;"-"&amp;YEAR(A1239)))</f>
        <v/>
      </c>
      <c r="S1239" s="20">
        <f>IF(OR(A1239="",B1239=""),0,IF(AND(R1239=التقارير!$C$4,OR(التقارير!$C$5="سنوي",AND(التقارير!$C$5="شهري",P1239=التقارير!$C$6),AND(التقارير!$C$5="فصلي",Q1239=التقارير!$C$7))),1,0))</f>
        <v/>
      </c>
      <c r="T1239" s="20">
        <f>IF(S1239=1,COUNTIF($S$5:S1239,1),"")</f>
        <v/>
      </c>
      <c r="U1239">
        <f>IF(AND($A1239&lt;&gt;"",$B1239&lt;&gt;"",$R1239='تقرير الفصل الأول'!$C$4,$Q1239='تقرير الفصل الأول'!$C$7),COUNT(U$4:U1238)+1,"")</f>
        <v/>
      </c>
      <c r="V1239">
        <f>IF(AND($A1239&lt;&gt;"",$B1239&lt;&gt;"",$R1239='تقرير الفصل الثاني'!$C$4,$Q1239='تقرير الفصل الثاني'!$C$7),COUNT(V$4:V1238)+1,"")</f>
        <v/>
      </c>
      <c r="W1239">
        <f>IF(AND($A1239&lt;&gt;"",$B1239&lt;&gt;"",$R1239='تقرير سبتمبر'!$C$4,$P1239='تقرير سبتمبر'!$C$6),COUNT(W$4:W1238)+1,"")</f>
        <v/>
      </c>
      <c r="X1239">
        <f>IF(AND($A1239&lt;&gt;"",$B1239&lt;&gt;"",$R1239='تقرير أكتوبر'!$C$4,$P1239='تقرير أكتوبر'!$C$6),COUNT(X$4:X1238)+1,"")</f>
        <v/>
      </c>
      <c r="Y1239">
        <f>IF(AND($A1239&lt;&gt;"",$B1239&lt;&gt;"",$R1239='تقرير نوفمبر'!$C$4,$P1239='تقرير نوفمبر'!$C$6),COUNT(Y$4:Y1238)+1,"")</f>
        <v/>
      </c>
      <c r="Z1239">
        <f>IF(AND($A1239&lt;&gt;"",$B1239&lt;&gt;"",$R1239='تقرير ديسمبر'!$C$4,$P1239='تقرير ديسمبر'!$C$6),COUNT(Z$4:Z1238)+1,"")</f>
        <v/>
      </c>
      <c r="AA1239">
        <f>IF(AND($A1239&lt;&gt;"",$B1239&lt;&gt;"",$R1239='تقرير يناير'!$C$4,$P1239='تقرير يناير'!$C$6),COUNT(AA$4:AA1238)+1,"")</f>
        <v/>
      </c>
      <c r="AB1239">
        <f>IF(AND($A1239&lt;&gt;"",$B1239&lt;&gt;"",$R1239='تقرير فبراير'!$C$4,$P1239='تقرير فبراير'!$C$6),COUNT(AB$4:AB1238)+1,"")</f>
        <v/>
      </c>
      <c r="AC1239">
        <f>IF(AND($A1239&lt;&gt;"",$B1239&lt;&gt;"",$R1239='تقرير مارس'!$C$4,$P1239='تقرير مارس'!$C$6),COUNT(AC$4:AC1238)+1,"")</f>
        <v/>
      </c>
      <c r="AD1239">
        <f>IF(AND($A1239&lt;&gt;"",$B1239&lt;&gt;"",$R1239='تقرير أبريل'!$C$4,$P1239='تقرير أبريل'!$C$6),COUNT(AD$4:AD1238)+1,"")</f>
        <v/>
      </c>
      <c r="AE1239">
        <f>IF(AND($A1239&lt;&gt;"",$B1239&lt;&gt;"",$R1239='تقرير مايو'!$C$4,$P1239='تقرير مايو'!$C$6),COUNT(AE$4:AE1238)+1,"")</f>
        <v/>
      </c>
    </row>
    <row r="1240">
      <c r="A1240" s="16" t="n"/>
      <c r="B1240" s="17" t="n"/>
      <c r="C1240" s="17" t="n"/>
      <c r="D1240" s="18" t="n"/>
      <c r="E1240" s="17" t="n"/>
      <c r="F1240" s="17" t="n"/>
      <c r="G1240" s="19" t="n"/>
      <c r="H1240" s="17" t="n"/>
      <c r="I1240" s="17" t="n"/>
      <c r="J1240" s="17" t="n"/>
      <c r="K1240" s="20">
        <f>IF($B1240="","",IFERROR(INDEX(الموظفات!$A$5:$A$304,MATCH($B1240,الموظفات!$B$5:$B$304,0))&amp;"",""))</f>
        <v/>
      </c>
      <c r="L1240" s="21">
        <f>IF($B1240="","",IFERROR(INDEX(الموظفات!$C$5:$C$304,MATCH($B1240,الموظفات!$B$5:$B$304,0))&amp;"",""))</f>
        <v/>
      </c>
      <c r="M1240" s="20">
        <f>IF($B1240="","",IFERROR(INDEX(الموظفات!$D$5:$D$304,MATCH($B1240,الموظفات!$B$5:$B$304,0))&amp;"",""))</f>
        <v/>
      </c>
      <c r="N1240" s="20">
        <f>IF($B1240="","",IFERROR(INDEX(الموظفات!$E$5:$E$304,MATCH($B1240,الموظفات!$B$5:$B$304,0))&amp;"",""))</f>
        <v/>
      </c>
      <c r="O1240" s="21">
        <f>IF(C1240="","",IFERROR(INDEX(الإعدادات!$D$7:$D$35,MATCH(C1240,الإعدادات!$A$7:$A$35,0))&amp;"",""))</f>
        <v/>
      </c>
      <c r="P1240" s="20">
        <f>IF(A1240="","",INDEX(الإعدادات!$H$7:$H$18,MONTH(A1240)))</f>
        <v/>
      </c>
      <c r="Q1240" s="20">
        <f>IF(A1240="","",INDEX(الإعدادات!$I$7:$I$18,MONTH(A1240)))</f>
        <v/>
      </c>
      <c r="R1240" s="20">
        <f>IF(A1240="","",IF(MONTH(A1240)&gt;=8,YEAR(A1240)&amp;"-"&amp;(YEAR(A1240)+1),(YEAR(A1240)-1)&amp;"-"&amp;YEAR(A1240)))</f>
        <v/>
      </c>
      <c r="S1240" s="20">
        <f>IF(OR(A1240="",B1240=""),0,IF(AND(R1240=التقارير!$C$4,OR(التقارير!$C$5="سنوي",AND(التقارير!$C$5="شهري",P1240=التقارير!$C$6),AND(التقارير!$C$5="فصلي",Q1240=التقارير!$C$7))),1,0))</f>
        <v/>
      </c>
      <c r="T1240" s="20">
        <f>IF(S1240=1,COUNTIF($S$5:S1240,1),"")</f>
        <v/>
      </c>
      <c r="U1240">
        <f>IF(AND($A1240&lt;&gt;"",$B1240&lt;&gt;"",$R1240='تقرير الفصل الأول'!$C$4,$Q1240='تقرير الفصل الأول'!$C$7),COUNT(U$4:U1239)+1,"")</f>
        <v/>
      </c>
      <c r="V1240">
        <f>IF(AND($A1240&lt;&gt;"",$B1240&lt;&gt;"",$R1240='تقرير الفصل الثاني'!$C$4,$Q1240='تقرير الفصل الثاني'!$C$7),COUNT(V$4:V1239)+1,"")</f>
        <v/>
      </c>
      <c r="W1240">
        <f>IF(AND($A1240&lt;&gt;"",$B1240&lt;&gt;"",$R1240='تقرير سبتمبر'!$C$4,$P1240='تقرير سبتمبر'!$C$6),COUNT(W$4:W1239)+1,"")</f>
        <v/>
      </c>
      <c r="X1240">
        <f>IF(AND($A1240&lt;&gt;"",$B1240&lt;&gt;"",$R1240='تقرير أكتوبر'!$C$4,$P1240='تقرير أكتوبر'!$C$6),COUNT(X$4:X1239)+1,"")</f>
        <v/>
      </c>
      <c r="Y1240">
        <f>IF(AND($A1240&lt;&gt;"",$B1240&lt;&gt;"",$R1240='تقرير نوفمبر'!$C$4,$P1240='تقرير نوفمبر'!$C$6),COUNT(Y$4:Y1239)+1,"")</f>
        <v/>
      </c>
      <c r="Z1240">
        <f>IF(AND($A1240&lt;&gt;"",$B1240&lt;&gt;"",$R1240='تقرير ديسمبر'!$C$4,$P1240='تقرير ديسمبر'!$C$6),COUNT(Z$4:Z1239)+1,"")</f>
        <v/>
      </c>
      <c r="AA1240">
        <f>IF(AND($A1240&lt;&gt;"",$B1240&lt;&gt;"",$R1240='تقرير يناير'!$C$4,$P1240='تقرير يناير'!$C$6),COUNT(AA$4:AA1239)+1,"")</f>
        <v/>
      </c>
      <c r="AB1240">
        <f>IF(AND($A1240&lt;&gt;"",$B1240&lt;&gt;"",$R1240='تقرير فبراير'!$C$4,$P1240='تقرير فبراير'!$C$6),COUNT(AB$4:AB1239)+1,"")</f>
        <v/>
      </c>
      <c r="AC1240">
        <f>IF(AND($A1240&lt;&gt;"",$B1240&lt;&gt;"",$R1240='تقرير مارس'!$C$4,$P1240='تقرير مارس'!$C$6),COUNT(AC$4:AC1239)+1,"")</f>
        <v/>
      </c>
      <c r="AD1240">
        <f>IF(AND($A1240&lt;&gt;"",$B1240&lt;&gt;"",$R1240='تقرير أبريل'!$C$4,$P1240='تقرير أبريل'!$C$6),COUNT(AD$4:AD1239)+1,"")</f>
        <v/>
      </c>
      <c r="AE1240">
        <f>IF(AND($A1240&lt;&gt;"",$B1240&lt;&gt;"",$R1240='تقرير مايو'!$C$4,$P1240='تقرير مايو'!$C$6),COUNT(AE$4:AE1239)+1,"")</f>
        <v/>
      </c>
    </row>
    <row r="1241">
      <c r="A1241" s="16" t="n"/>
      <c r="B1241" s="17" t="n"/>
      <c r="C1241" s="17" t="n"/>
      <c r="D1241" s="18" t="n"/>
      <c r="E1241" s="17" t="n"/>
      <c r="F1241" s="17" t="n"/>
      <c r="G1241" s="19" t="n"/>
      <c r="H1241" s="17" t="n"/>
      <c r="I1241" s="17" t="n"/>
      <c r="J1241" s="17" t="n"/>
      <c r="K1241" s="20">
        <f>IF($B1241="","",IFERROR(INDEX(الموظفات!$A$5:$A$304,MATCH($B1241,الموظفات!$B$5:$B$304,0))&amp;"",""))</f>
        <v/>
      </c>
      <c r="L1241" s="21">
        <f>IF($B1241="","",IFERROR(INDEX(الموظفات!$C$5:$C$304,MATCH($B1241,الموظفات!$B$5:$B$304,0))&amp;"",""))</f>
        <v/>
      </c>
      <c r="M1241" s="20">
        <f>IF($B1241="","",IFERROR(INDEX(الموظفات!$D$5:$D$304,MATCH($B1241,الموظفات!$B$5:$B$304,0))&amp;"",""))</f>
        <v/>
      </c>
      <c r="N1241" s="20">
        <f>IF($B1241="","",IFERROR(INDEX(الموظفات!$E$5:$E$304,MATCH($B1241,الموظفات!$B$5:$B$304,0))&amp;"",""))</f>
        <v/>
      </c>
      <c r="O1241" s="21">
        <f>IF(C1241="","",IFERROR(INDEX(الإعدادات!$D$7:$D$35,MATCH(C1241,الإعدادات!$A$7:$A$35,0))&amp;"",""))</f>
        <v/>
      </c>
      <c r="P1241" s="20">
        <f>IF(A1241="","",INDEX(الإعدادات!$H$7:$H$18,MONTH(A1241)))</f>
        <v/>
      </c>
      <c r="Q1241" s="20">
        <f>IF(A1241="","",INDEX(الإعدادات!$I$7:$I$18,MONTH(A1241)))</f>
        <v/>
      </c>
      <c r="R1241" s="20">
        <f>IF(A1241="","",IF(MONTH(A1241)&gt;=8,YEAR(A1241)&amp;"-"&amp;(YEAR(A1241)+1),(YEAR(A1241)-1)&amp;"-"&amp;YEAR(A1241)))</f>
        <v/>
      </c>
      <c r="S1241" s="20">
        <f>IF(OR(A1241="",B1241=""),0,IF(AND(R1241=التقارير!$C$4,OR(التقارير!$C$5="سنوي",AND(التقارير!$C$5="شهري",P1241=التقارير!$C$6),AND(التقارير!$C$5="فصلي",Q1241=التقارير!$C$7))),1,0))</f>
        <v/>
      </c>
      <c r="T1241" s="20">
        <f>IF(S1241=1,COUNTIF($S$5:S1241,1),"")</f>
        <v/>
      </c>
      <c r="U1241">
        <f>IF(AND($A1241&lt;&gt;"",$B1241&lt;&gt;"",$R1241='تقرير الفصل الأول'!$C$4,$Q1241='تقرير الفصل الأول'!$C$7),COUNT(U$4:U1240)+1,"")</f>
        <v/>
      </c>
      <c r="V1241">
        <f>IF(AND($A1241&lt;&gt;"",$B1241&lt;&gt;"",$R1241='تقرير الفصل الثاني'!$C$4,$Q1241='تقرير الفصل الثاني'!$C$7),COUNT(V$4:V1240)+1,"")</f>
        <v/>
      </c>
      <c r="W1241">
        <f>IF(AND($A1241&lt;&gt;"",$B1241&lt;&gt;"",$R1241='تقرير سبتمبر'!$C$4,$P1241='تقرير سبتمبر'!$C$6),COUNT(W$4:W1240)+1,"")</f>
        <v/>
      </c>
      <c r="X1241">
        <f>IF(AND($A1241&lt;&gt;"",$B1241&lt;&gt;"",$R1241='تقرير أكتوبر'!$C$4,$P1241='تقرير أكتوبر'!$C$6),COUNT(X$4:X1240)+1,"")</f>
        <v/>
      </c>
      <c r="Y1241">
        <f>IF(AND($A1241&lt;&gt;"",$B1241&lt;&gt;"",$R1241='تقرير نوفمبر'!$C$4,$P1241='تقرير نوفمبر'!$C$6),COUNT(Y$4:Y1240)+1,"")</f>
        <v/>
      </c>
      <c r="Z1241">
        <f>IF(AND($A1241&lt;&gt;"",$B1241&lt;&gt;"",$R1241='تقرير ديسمبر'!$C$4,$P1241='تقرير ديسمبر'!$C$6),COUNT(Z$4:Z1240)+1,"")</f>
        <v/>
      </c>
      <c r="AA1241">
        <f>IF(AND($A1241&lt;&gt;"",$B1241&lt;&gt;"",$R1241='تقرير يناير'!$C$4,$P1241='تقرير يناير'!$C$6),COUNT(AA$4:AA1240)+1,"")</f>
        <v/>
      </c>
      <c r="AB1241">
        <f>IF(AND($A1241&lt;&gt;"",$B1241&lt;&gt;"",$R1241='تقرير فبراير'!$C$4,$P1241='تقرير فبراير'!$C$6),COUNT(AB$4:AB1240)+1,"")</f>
        <v/>
      </c>
      <c r="AC1241">
        <f>IF(AND($A1241&lt;&gt;"",$B1241&lt;&gt;"",$R1241='تقرير مارس'!$C$4,$P1241='تقرير مارس'!$C$6),COUNT(AC$4:AC1240)+1,"")</f>
        <v/>
      </c>
      <c r="AD1241">
        <f>IF(AND($A1241&lt;&gt;"",$B1241&lt;&gt;"",$R1241='تقرير أبريل'!$C$4,$P1241='تقرير أبريل'!$C$6),COUNT(AD$4:AD1240)+1,"")</f>
        <v/>
      </c>
      <c r="AE1241">
        <f>IF(AND($A1241&lt;&gt;"",$B1241&lt;&gt;"",$R1241='تقرير مايو'!$C$4,$P1241='تقرير مايو'!$C$6),COUNT(AE$4:AE1240)+1,"")</f>
        <v/>
      </c>
    </row>
    <row r="1242">
      <c r="A1242" s="16" t="n"/>
      <c r="B1242" s="17" t="n"/>
      <c r="C1242" s="17" t="n"/>
      <c r="D1242" s="18" t="n"/>
      <c r="E1242" s="17" t="n"/>
      <c r="F1242" s="17" t="n"/>
      <c r="G1242" s="19" t="n"/>
      <c r="H1242" s="17" t="n"/>
      <c r="I1242" s="17" t="n"/>
      <c r="J1242" s="17" t="n"/>
      <c r="K1242" s="20">
        <f>IF($B1242="","",IFERROR(INDEX(الموظفات!$A$5:$A$304,MATCH($B1242,الموظفات!$B$5:$B$304,0))&amp;"",""))</f>
        <v/>
      </c>
      <c r="L1242" s="21">
        <f>IF($B1242="","",IFERROR(INDEX(الموظفات!$C$5:$C$304,MATCH($B1242,الموظفات!$B$5:$B$304,0))&amp;"",""))</f>
        <v/>
      </c>
      <c r="M1242" s="20">
        <f>IF($B1242="","",IFERROR(INDEX(الموظفات!$D$5:$D$304,MATCH($B1242,الموظفات!$B$5:$B$304,0))&amp;"",""))</f>
        <v/>
      </c>
      <c r="N1242" s="20">
        <f>IF($B1242="","",IFERROR(INDEX(الموظفات!$E$5:$E$304,MATCH($B1242,الموظفات!$B$5:$B$304,0))&amp;"",""))</f>
        <v/>
      </c>
      <c r="O1242" s="21">
        <f>IF(C1242="","",IFERROR(INDEX(الإعدادات!$D$7:$D$35,MATCH(C1242,الإعدادات!$A$7:$A$35,0))&amp;"",""))</f>
        <v/>
      </c>
      <c r="P1242" s="20">
        <f>IF(A1242="","",INDEX(الإعدادات!$H$7:$H$18,MONTH(A1242)))</f>
        <v/>
      </c>
      <c r="Q1242" s="20">
        <f>IF(A1242="","",INDEX(الإعدادات!$I$7:$I$18,MONTH(A1242)))</f>
        <v/>
      </c>
      <c r="R1242" s="20">
        <f>IF(A1242="","",IF(MONTH(A1242)&gt;=8,YEAR(A1242)&amp;"-"&amp;(YEAR(A1242)+1),(YEAR(A1242)-1)&amp;"-"&amp;YEAR(A1242)))</f>
        <v/>
      </c>
      <c r="S1242" s="20">
        <f>IF(OR(A1242="",B1242=""),0,IF(AND(R1242=التقارير!$C$4,OR(التقارير!$C$5="سنوي",AND(التقارير!$C$5="شهري",P1242=التقارير!$C$6),AND(التقارير!$C$5="فصلي",Q1242=التقارير!$C$7))),1,0))</f>
        <v/>
      </c>
      <c r="T1242" s="20">
        <f>IF(S1242=1,COUNTIF($S$5:S1242,1),"")</f>
        <v/>
      </c>
      <c r="U1242">
        <f>IF(AND($A1242&lt;&gt;"",$B1242&lt;&gt;"",$R1242='تقرير الفصل الأول'!$C$4,$Q1242='تقرير الفصل الأول'!$C$7),COUNT(U$4:U1241)+1,"")</f>
        <v/>
      </c>
      <c r="V1242">
        <f>IF(AND($A1242&lt;&gt;"",$B1242&lt;&gt;"",$R1242='تقرير الفصل الثاني'!$C$4,$Q1242='تقرير الفصل الثاني'!$C$7),COUNT(V$4:V1241)+1,"")</f>
        <v/>
      </c>
      <c r="W1242">
        <f>IF(AND($A1242&lt;&gt;"",$B1242&lt;&gt;"",$R1242='تقرير سبتمبر'!$C$4,$P1242='تقرير سبتمبر'!$C$6),COUNT(W$4:W1241)+1,"")</f>
        <v/>
      </c>
      <c r="X1242">
        <f>IF(AND($A1242&lt;&gt;"",$B1242&lt;&gt;"",$R1242='تقرير أكتوبر'!$C$4,$P1242='تقرير أكتوبر'!$C$6),COUNT(X$4:X1241)+1,"")</f>
        <v/>
      </c>
      <c r="Y1242">
        <f>IF(AND($A1242&lt;&gt;"",$B1242&lt;&gt;"",$R1242='تقرير نوفمبر'!$C$4,$P1242='تقرير نوفمبر'!$C$6),COUNT(Y$4:Y1241)+1,"")</f>
        <v/>
      </c>
      <c r="Z1242">
        <f>IF(AND($A1242&lt;&gt;"",$B1242&lt;&gt;"",$R1242='تقرير ديسمبر'!$C$4,$P1242='تقرير ديسمبر'!$C$6),COUNT(Z$4:Z1241)+1,"")</f>
        <v/>
      </c>
      <c r="AA1242">
        <f>IF(AND($A1242&lt;&gt;"",$B1242&lt;&gt;"",$R1242='تقرير يناير'!$C$4,$P1242='تقرير يناير'!$C$6),COUNT(AA$4:AA1241)+1,"")</f>
        <v/>
      </c>
      <c r="AB1242">
        <f>IF(AND($A1242&lt;&gt;"",$B1242&lt;&gt;"",$R1242='تقرير فبراير'!$C$4,$P1242='تقرير فبراير'!$C$6),COUNT(AB$4:AB1241)+1,"")</f>
        <v/>
      </c>
      <c r="AC1242">
        <f>IF(AND($A1242&lt;&gt;"",$B1242&lt;&gt;"",$R1242='تقرير مارس'!$C$4,$P1242='تقرير مارس'!$C$6),COUNT(AC$4:AC1241)+1,"")</f>
        <v/>
      </c>
      <c r="AD1242">
        <f>IF(AND($A1242&lt;&gt;"",$B1242&lt;&gt;"",$R1242='تقرير أبريل'!$C$4,$P1242='تقرير أبريل'!$C$6),COUNT(AD$4:AD1241)+1,"")</f>
        <v/>
      </c>
      <c r="AE1242">
        <f>IF(AND($A1242&lt;&gt;"",$B1242&lt;&gt;"",$R1242='تقرير مايو'!$C$4,$P1242='تقرير مايو'!$C$6),COUNT(AE$4:AE1241)+1,"")</f>
        <v/>
      </c>
    </row>
    <row r="1243">
      <c r="A1243" s="16" t="n"/>
      <c r="B1243" s="17" t="n"/>
      <c r="C1243" s="17" t="n"/>
      <c r="D1243" s="18" t="n"/>
      <c r="E1243" s="17" t="n"/>
      <c r="F1243" s="17" t="n"/>
      <c r="G1243" s="19" t="n"/>
      <c r="H1243" s="17" t="n"/>
      <c r="I1243" s="17" t="n"/>
      <c r="J1243" s="17" t="n"/>
      <c r="K1243" s="20">
        <f>IF($B1243="","",IFERROR(INDEX(الموظفات!$A$5:$A$304,MATCH($B1243,الموظفات!$B$5:$B$304,0))&amp;"",""))</f>
        <v/>
      </c>
      <c r="L1243" s="21">
        <f>IF($B1243="","",IFERROR(INDEX(الموظفات!$C$5:$C$304,MATCH($B1243,الموظفات!$B$5:$B$304,0))&amp;"",""))</f>
        <v/>
      </c>
      <c r="M1243" s="20">
        <f>IF($B1243="","",IFERROR(INDEX(الموظفات!$D$5:$D$304,MATCH($B1243,الموظفات!$B$5:$B$304,0))&amp;"",""))</f>
        <v/>
      </c>
      <c r="N1243" s="20">
        <f>IF($B1243="","",IFERROR(INDEX(الموظفات!$E$5:$E$304,MATCH($B1243,الموظفات!$B$5:$B$304,0))&amp;"",""))</f>
        <v/>
      </c>
      <c r="O1243" s="21">
        <f>IF(C1243="","",IFERROR(INDEX(الإعدادات!$D$7:$D$35,MATCH(C1243,الإعدادات!$A$7:$A$35,0))&amp;"",""))</f>
        <v/>
      </c>
      <c r="P1243" s="20">
        <f>IF(A1243="","",INDEX(الإعدادات!$H$7:$H$18,MONTH(A1243)))</f>
        <v/>
      </c>
      <c r="Q1243" s="20">
        <f>IF(A1243="","",INDEX(الإعدادات!$I$7:$I$18,MONTH(A1243)))</f>
        <v/>
      </c>
      <c r="R1243" s="20">
        <f>IF(A1243="","",IF(MONTH(A1243)&gt;=8,YEAR(A1243)&amp;"-"&amp;(YEAR(A1243)+1),(YEAR(A1243)-1)&amp;"-"&amp;YEAR(A1243)))</f>
        <v/>
      </c>
      <c r="S1243" s="20">
        <f>IF(OR(A1243="",B1243=""),0,IF(AND(R1243=التقارير!$C$4,OR(التقارير!$C$5="سنوي",AND(التقارير!$C$5="شهري",P1243=التقارير!$C$6),AND(التقارير!$C$5="فصلي",Q1243=التقارير!$C$7))),1,0))</f>
        <v/>
      </c>
      <c r="T1243" s="20">
        <f>IF(S1243=1,COUNTIF($S$5:S1243,1),"")</f>
        <v/>
      </c>
      <c r="U1243">
        <f>IF(AND($A1243&lt;&gt;"",$B1243&lt;&gt;"",$R1243='تقرير الفصل الأول'!$C$4,$Q1243='تقرير الفصل الأول'!$C$7),COUNT(U$4:U1242)+1,"")</f>
        <v/>
      </c>
      <c r="V1243">
        <f>IF(AND($A1243&lt;&gt;"",$B1243&lt;&gt;"",$R1243='تقرير الفصل الثاني'!$C$4,$Q1243='تقرير الفصل الثاني'!$C$7),COUNT(V$4:V1242)+1,"")</f>
        <v/>
      </c>
      <c r="W1243">
        <f>IF(AND($A1243&lt;&gt;"",$B1243&lt;&gt;"",$R1243='تقرير سبتمبر'!$C$4,$P1243='تقرير سبتمبر'!$C$6),COUNT(W$4:W1242)+1,"")</f>
        <v/>
      </c>
      <c r="X1243">
        <f>IF(AND($A1243&lt;&gt;"",$B1243&lt;&gt;"",$R1243='تقرير أكتوبر'!$C$4,$P1243='تقرير أكتوبر'!$C$6),COUNT(X$4:X1242)+1,"")</f>
        <v/>
      </c>
      <c r="Y1243">
        <f>IF(AND($A1243&lt;&gt;"",$B1243&lt;&gt;"",$R1243='تقرير نوفمبر'!$C$4,$P1243='تقرير نوفمبر'!$C$6),COUNT(Y$4:Y1242)+1,"")</f>
        <v/>
      </c>
      <c r="Z1243">
        <f>IF(AND($A1243&lt;&gt;"",$B1243&lt;&gt;"",$R1243='تقرير ديسمبر'!$C$4,$P1243='تقرير ديسمبر'!$C$6),COUNT(Z$4:Z1242)+1,"")</f>
        <v/>
      </c>
      <c r="AA1243">
        <f>IF(AND($A1243&lt;&gt;"",$B1243&lt;&gt;"",$R1243='تقرير يناير'!$C$4,$P1243='تقرير يناير'!$C$6),COUNT(AA$4:AA1242)+1,"")</f>
        <v/>
      </c>
      <c r="AB1243">
        <f>IF(AND($A1243&lt;&gt;"",$B1243&lt;&gt;"",$R1243='تقرير فبراير'!$C$4,$P1243='تقرير فبراير'!$C$6),COUNT(AB$4:AB1242)+1,"")</f>
        <v/>
      </c>
      <c r="AC1243">
        <f>IF(AND($A1243&lt;&gt;"",$B1243&lt;&gt;"",$R1243='تقرير مارس'!$C$4,$P1243='تقرير مارس'!$C$6),COUNT(AC$4:AC1242)+1,"")</f>
        <v/>
      </c>
      <c r="AD1243">
        <f>IF(AND($A1243&lt;&gt;"",$B1243&lt;&gt;"",$R1243='تقرير أبريل'!$C$4,$P1243='تقرير أبريل'!$C$6),COUNT(AD$4:AD1242)+1,"")</f>
        <v/>
      </c>
      <c r="AE1243">
        <f>IF(AND($A1243&lt;&gt;"",$B1243&lt;&gt;"",$R1243='تقرير مايو'!$C$4,$P1243='تقرير مايو'!$C$6),COUNT(AE$4:AE1242)+1,"")</f>
        <v/>
      </c>
    </row>
    <row r="1244">
      <c r="A1244" s="16" t="n"/>
      <c r="B1244" s="17" t="n"/>
      <c r="C1244" s="17" t="n"/>
      <c r="D1244" s="18" t="n"/>
      <c r="E1244" s="17" t="n"/>
      <c r="F1244" s="17" t="n"/>
      <c r="G1244" s="19" t="n"/>
      <c r="H1244" s="17" t="n"/>
      <c r="I1244" s="17" t="n"/>
      <c r="J1244" s="17" t="n"/>
      <c r="K1244" s="20">
        <f>IF($B1244="","",IFERROR(INDEX(الموظفات!$A$5:$A$304,MATCH($B1244,الموظفات!$B$5:$B$304,0))&amp;"",""))</f>
        <v/>
      </c>
      <c r="L1244" s="21">
        <f>IF($B1244="","",IFERROR(INDEX(الموظفات!$C$5:$C$304,MATCH($B1244,الموظفات!$B$5:$B$304,0))&amp;"",""))</f>
        <v/>
      </c>
      <c r="M1244" s="20">
        <f>IF($B1244="","",IFERROR(INDEX(الموظفات!$D$5:$D$304,MATCH($B1244,الموظفات!$B$5:$B$304,0))&amp;"",""))</f>
        <v/>
      </c>
      <c r="N1244" s="20">
        <f>IF($B1244="","",IFERROR(INDEX(الموظفات!$E$5:$E$304,MATCH($B1244,الموظفات!$B$5:$B$304,0))&amp;"",""))</f>
        <v/>
      </c>
      <c r="O1244" s="21">
        <f>IF(C1244="","",IFERROR(INDEX(الإعدادات!$D$7:$D$35,MATCH(C1244,الإعدادات!$A$7:$A$35,0))&amp;"",""))</f>
        <v/>
      </c>
      <c r="P1244" s="20">
        <f>IF(A1244="","",INDEX(الإعدادات!$H$7:$H$18,MONTH(A1244)))</f>
        <v/>
      </c>
      <c r="Q1244" s="20">
        <f>IF(A1244="","",INDEX(الإعدادات!$I$7:$I$18,MONTH(A1244)))</f>
        <v/>
      </c>
      <c r="R1244" s="20">
        <f>IF(A1244="","",IF(MONTH(A1244)&gt;=8,YEAR(A1244)&amp;"-"&amp;(YEAR(A1244)+1),(YEAR(A1244)-1)&amp;"-"&amp;YEAR(A1244)))</f>
        <v/>
      </c>
      <c r="S1244" s="20">
        <f>IF(OR(A1244="",B1244=""),0,IF(AND(R1244=التقارير!$C$4,OR(التقارير!$C$5="سنوي",AND(التقارير!$C$5="شهري",P1244=التقارير!$C$6),AND(التقارير!$C$5="فصلي",Q1244=التقارير!$C$7))),1,0))</f>
        <v/>
      </c>
      <c r="T1244" s="20">
        <f>IF(S1244=1,COUNTIF($S$5:S1244,1),"")</f>
        <v/>
      </c>
      <c r="U1244">
        <f>IF(AND($A1244&lt;&gt;"",$B1244&lt;&gt;"",$R1244='تقرير الفصل الأول'!$C$4,$Q1244='تقرير الفصل الأول'!$C$7),COUNT(U$4:U1243)+1,"")</f>
        <v/>
      </c>
      <c r="V1244">
        <f>IF(AND($A1244&lt;&gt;"",$B1244&lt;&gt;"",$R1244='تقرير الفصل الثاني'!$C$4,$Q1244='تقرير الفصل الثاني'!$C$7),COUNT(V$4:V1243)+1,"")</f>
        <v/>
      </c>
      <c r="W1244">
        <f>IF(AND($A1244&lt;&gt;"",$B1244&lt;&gt;"",$R1244='تقرير سبتمبر'!$C$4,$P1244='تقرير سبتمبر'!$C$6),COUNT(W$4:W1243)+1,"")</f>
        <v/>
      </c>
      <c r="X1244">
        <f>IF(AND($A1244&lt;&gt;"",$B1244&lt;&gt;"",$R1244='تقرير أكتوبر'!$C$4,$P1244='تقرير أكتوبر'!$C$6),COUNT(X$4:X1243)+1,"")</f>
        <v/>
      </c>
      <c r="Y1244">
        <f>IF(AND($A1244&lt;&gt;"",$B1244&lt;&gt;"",$R1244='تقرير نوفمبر'!$C$4,$P1244='تقرير نوفمبر'!$C$6),COUNT(Y$4:Y1243)+1,"")</f>
        <v/>
      </c>
      <c r="Z1244">
        <f>IF(AND($A1244&lt;&gt;"",$B1244&lt;&gt;"",$R1244='تقرير ديسمبر'!$C$4,$P1244='تقرير ديسمبر'!$C$6),COUNT(Z$4:Z1243)+1,"")</f>
        <v/>
      </c>
      <c r="AA1244">
        <f>IF(AND($A1244&lt;&gt;"",$B1244&lt;&gt;"",$R1244='تقرير يناير'!$C$4,$P1244='تقرير يناير'!$C$6),COUNT(AA$4:AA1243)+1,"")</f>
        <v/>
      </c>
      <c r="AB1244">
        <f>IF(AND($A1244&lt;&gt;"",$B1244&lt;&gt;"",$R1244='تقرير فبراير'!$C$4,$P1244='تقرير فبراير'!$C$6),COUNT(AB$4:AB1243)+1,"")</f>
        <v/>
      </c>
      <c r="AC1244">
        <f>IF(AND($A1244&lt;&gt;"",$B1244&lt;&gt;"",$R1244='تقرير مارس'!$C$4,$P1244='تقرير مارس'!$C$6),COUNT(AC$4:AC1243)+1,"")</f>
        <v/>
      </c>
      <c r="AD1244">
        <f>IF(AND($A1244&lt;&gt;"",$B1244&lt;&gt;"",$R1244='تقرير أبريل'!$C$4,$P1244='تقرير أبريل'!$C$6),COUNT(AD$4:AD1243)+1,"")</f>
        <v/>
      </c>
      <c r="AE1244">
        <f>IF(AND($A1244&lt;&gt;"",$B1244&lt;&gt;"",$R1244='تقرير مايو'!$C$4,$P1244='تقرير مايو'!$C$6),COUNT(AE$4:AE1243)+1,"")</f>
        <v/>
      </c>
    </row>
    <row r="1245">
      <c r="A1245" s="16" t="n"/>
      <c r="B1245" s="17" t="n"/>
      <c r="C1245" s="17" t="n"/>
      <c r="D1245" s="18" t="n"/>
      <c r="E1245" s="17" t="n"/>
      <c r="F1245" s="17" t="n"/>
      <c r="G1245" s="19" t="n"/>
      <c r="H1245" s="17" t="n"/>
      <c r="I1245" s="17" t="n"/>
      <c r="J1245" s="17" t="n"/>
      <c r="K1245" s="20">
        <f>IF($B1245="","",IFERROR(INDEX(الموظفات!$A$5:$A$304,MATCH($B1245,الموظفات!$B$5:$B$304,0))&amp;"",""))</f>
        <v/>
      </c>
      <c r="L1245" s="21">
        <f>IF($B1245="","",IFERROR(INDEX(الموظفات!$C$5:$C$304,MATCH($B1245,الموظفات!$B$5:$B$304,0))&amp;"",""))</f>
        <v/>
      </c>
      <c r="M1245" s="20">
        <f>IF($B1245="","",IFERROR(INDEX(الموظفات!$D$5:$D$304,MATCH($B1245,الموظفات!$B$5:$B$304,0))&amp;"",""))</f>
        <v/>
      </c>
      <c r="N1245" s="20">
        <f>IF($B1245="","",IFERROR(INDEX(الموظفات!$E$5:$E$304,MATCH($B1245,الموظفات!$B$5:$B$304,0))&amp;"",""))</f>
        <v/>
      </c>
      <c r="O1245" s="21">
        <f>IF(C1245="","",IFERROR(INDEX(الإعدادات!$D$7:$D$35,MATCH(C1245,الإعدادات!$A$7:$A$35,0))&amp;"",""))</f>
        <v/>
      </c>
      <c r="P1245" s="20">
        <f>IF(A1245="","",INDEX(الإعدادات!$H$7:$H$18,MONTH(A1245)))</f>
        <v/>
      </c>
      <c r="Q1245" s="20">
        <f>IF(A1245="","",INDEX(الإعدادات!$I$7:$I$18,MONTH(A1245)))</f>
        <v/>
      </c>
      <c r="R1245" s="20">
        <f>IF(A1245="","",IF(MONTH(A1245)&gt;=8,YEAR(A1245)&amp;"-"&amp;(YEAR(A1245)+1),(YEAR(A1245)-1)&amp;"-"&amp;YEAR(A1245)))</f>
        <v/>
      </c>
      <c r="S1245" s="20">
        <f>IF(OR(A1245="",B1245=""),0,IF(AND(R1245=التقارير!$C$4,OR(التقارير!$C$5="سنوي",AND(التقارير!$C$5="شهري",P1245=التقارير!$C$6),AND(التقارير!$C$5="فصلي",Q1245=التقارير!$C$7))),1,0))</f>
        <v/>
      </c>
      <c r="T1245" s="20">
        <f>IF(S1245=1,COUNTIF($S$5:S1245,1),"")</f>
        <v/>
      </c>
      <c r="U1245">
        <f>IF(AND($A1245&lt;&gt;"",$B1245&lt;&gt;"",$R1245='تقرير الفصل الأول'!$C$4,$Q1245='تقرير الفصل الأول'!$C$7),COUNT(U$4:U1244)+1,"")</f>
        <v/>
      </c>
      <c r="V1245">
        <f>IF(AND($A1245&lt;&gt;"",$B1245&lt;&gt;"",$R1245='تقرير الفصل الثاني'!$C$4,$Q1245='تقرير الفصل الثاني'!$C$7),COUNT(V$4:V1244)+1,"")</f>
        <v/>
      </c>
      <c r="W1245">
        <f>IF(AND($A1245&lt;&gt;"",$B1245&lt;&gt;"",$R1245='تقرير سبتمبر'!$C$4,$P1245='تقرير سبتمبر'!$C$6),COUNT(W$4:W1244)+1,"")</f>
        <v/>
      </c>
      <c r="X1245">
        <f>IF(AND($A1245&lt;&gt;"",$B1245&lt;&gt;"",$R1245='تقرير أكتوبر'!$C$4,$P1245='تقرير أكتوبر'!$C$6),COUNT(X$4:X1244)+1,"")</f>
        <v/>
      </c>
      <c r="Y1245">
        <f>IF(AND($A1245&lt;&gt;"",$B1245&lt;&gt;"",$R1245='تقرير نوفمبر'!$C$4,$P1245='تقرير نوفمبر'!$C$6),COUNT(Y$4:Y1244)+1,"")</f>
        <v/>
      </c>
      <c r="Z1245">
        <f>IF(AND($A1245&lt;&gt;"",$B1245&lt;&gt;"",$R1245='تقرير ديسمبر'!$C$4,$P1245='تقرير ديسمبر'!$C$6),COUNT(Z$4:Z1244)+1,"")</f>
        <v/>
      </c>
      <c r="AA1245">
        <f>IF(AND($A1245&lt;&gt;"",$B1245&lt;&gt;"",$R1245='تقرير يناير'!$C$4,$P1245='تقرير يناير'!$C$6),COUNT(AA$4:AA1244)+1,"")</f>
        <v/>
      </c>
      <c r="AB1245">
        <f>IF(AND($A1245&lt;&gt;"",$B1245&lt;&gt;"",$R1245='تقرير فبراير'!$C$4,$P1245='تقرير فبراير'!$C$6),COUNT(AB$4:AB1244)+1,"")</f>
        <v/>
      </c>
      <c r="AC1245">
        <f>IF(AND($A1245&lt;&gt;"",$B1245&lt;&gt;"",$R1245='تقرير مارس'!$C$4,$P1245='تقرير مارس'!$C$6),COUNT(AC$4:AC1244)+1,"")</f>
        <v/>
      </c>
      <c r="AD1245">
        <f>IF(AND($A1245&lt;&gt;"",$B1245&lt;&gt;"",$R1245='تقرير أبريل'!$C$4,$P1245='تقرير أبريل'!$C$6),COUNT(AD$4:AD1244)+1,"")</f>
        <v/>
      </c>
      <c r="AE1245">
        <f>IF(AND($A1245&lt;&gt;"",$B1245&lt;&gt;"",$R1245='تقرير مايو'!$C$4,$P1245='تقرير مايو'!$C$6),COUNT(AE$4:AE1244)+1,"")</f>
        <v/>
      </c>
    </row>
    <row r="1246">
      <c r="A1246" s="16" t="n"/>
      <c r="B1246" s="17" t="n"/>
      <c r="C1246" s="17" t="n"/>
      <c r="D1246" s="18" t="n"/>
      <c r="E1246" s="17" t="n"/>
      <c r="F1246" s="17" t="n"/>
      <c r="G1246" s="19" t="n"/>
      <c r="H1246" s="17" t="n"/>
      <c r="I1246" s="17" t="n"/>
      <c r="J1246" s="17" t="n"/>
      <c r="K1246" s="20">
        <f>IF($B1246="","",IFERROR(INDEX(الموظفات!$A$5:$A$304,MATCH($B1246,الموظفات!$B$5:$B$304,0))&amp;"",""))</f>
        <v/>
      </c>
      <c r="L1246" s="21">
        <f>IF($B1246="","",IFERROR(INDEX(الموظفات!$C$5:$C$304,MATCH($B1246,الموظفات!$B$5:$B$304,0))&amp;"",""))</f>
        <v/>
      </c>
      <c r="M1246" s="20">
        <f>IF($B1246="","",IFERROR(INDEX(الموظفات!$D$5:$D$304,MATCH($B1246,الموظفات!$B$5:$B$304,0))&amp;"",""))</f>
        <v/>
      </c>
      <c r="N1246" s="20">
        <f>IF($B1246="","",IFERROR(INDEX(الموظفات!$E$5:$E$304,MATCH($B1246,الموظفات!$B$5:$B$304,0))&amp;"",""))</f>
        <v/>
      </c>
      <c r="O1246" s="21">
        <f>IF(C1246="","",IFERROR(INDEX(الإعدادات!$D$7:$D$35,MATCH(C1246,الإعدادات!$A$7:$A$35,0))&amp;"",""))</f>
        <v/>
      </c>
      <c r="P1246" s="20">
        <f>IF(A1246="","",INDEX(الإعدادات!$H$7:$H$18,MONTH(A1246)))</f>
        <v/>
      </c>
      <c r="Q1246" s="20">
        <f>IF(A1246="","",INDEX(الإعدادات!$I$7:$I$18,MONTH(A1246)))</f>
        <v/>
      </c>
      <c r="R1246" s="20">
        <f>IF(A1246="","",IF(MONTH(A1246)&gt;=8,YEAR(A1246)&amp;"-"&amp;(YEAR(A1246)+1),(YEAR(A1246)-1)&amp;"-"&amp;YEAR(A1246)))</f>
        <v/>
      </c>
      <c r="S1246" s="20">
        <f>IF(OR(A1246="",B1246=""),0,IF(AND(R1246=التقارير!$C$4,OR(التقارير!$C$5="سنوي",AND(التقارير!$C$5="شهري",P1246=التقارير!$C$6),AND(التقارير!$C$5="فصلي",Q1246=التقارير!$C$7))),1,0))</f>
        <v/>
      </c>
      <c r="T1246" s="20">
        <f>IF(S1246=1,COUNTIF($S$5:S1246,1),"")</f>
        <v/>
      </c>
      <c r="U1246">
        <f>IF(AND($A1246&lt;&gt;"",$B1246&lt;&gt;"",$R1246='تقرير الفصل الأول'!$C$4,$Q1246='تقرير الفصل الأول'!$C$7),COUNT(U$4:U1245)+1,"")</f>
        <v/>
      </c>
      <c r="V1246">
        <f>IF(AND($A1246&lt;&gt;"",$B1246&lt;&gt;"",$R1246='تقرير الفصل الثاني'!$C$4,$Q1246='تقرير الفصل الثاني'!$C$7),COUNT(V$4:V1245)+1,"")</f>
        <v/>
      </c>
      <c r="W1246">
        <f>IF(AND($A1246&lt;&gt;"",$B1246&lt;&gt;"",$R1246='تقرير سبتمبر'!$C$4,$P1246='تقرير سبتمبر'!$C$6),COUNT(W$4:W1245)+1,"")</f>
        <v/>
      </c>
      <c r="X1246">
        <f>IF(AND($A1246&lt;&gt;"",$B1246&lt;&gt;"",$R1246='تقرير أكتوبر'!$C$4,$P1246='تقرير أكتوبر'!$C$6),COUNT(X$4:X1245)+1,"")</f>
        <v/>
      </c>
      <c r="Y1246">
        <f>IF(AND($A1246&lt;&gt;"",$B1246&lt;&gt;"",$R1246='تقرير نوفمبر'!$C$4,$P1246='تقرير نوفمبر'!$C$6),COUNT(Y$4:Y1245)+1,"")</f>
        <v/>
      </c>
      <c r="Z1246">
        <f>IF(AND($A1246&lt;&gt;"",$B1246&lt;&gt;"",$R1246='تقرير ديسمبر'!$C$4,$P1246='تقرير ديسمبر'!$C$6),COUNT(Z$4:Z1245)+1,"")</f>
        <v/>
      </c>
      <c r="AA1246">
        <f>IF(AND($A1246&lt;&gt;"",$B1246&lt;&gt;"",$R1246='تقرير يناير'!$C$4,$P1246='تقرير يناير'!$C$6),COUNT(AA$4:AA1245)+1,"")</f>
        <v/>
      </c>
      <c r="AB1246">
        <f>IF(AND($A1246&lt;&gt;"",$B1246&lt;&gt;"",$R1246='تقرير فبراير'!$C$4,$P1246='تقرير فبراير'!$C$6),COUNT(AB$4:AB1245)+1,"")</f>
        <v/>
      </c>
      <c r="AC1246">
        <f>IF(AND($A1246&lt;&gt;"",$B1246&lt;&gt;"",$R1246='تقرير مارس'!$C$4,$P1246='تقرير مارس'!$C$6),COUNT(AC$4:AC1245)+1,"")</f>
        <v/>
      </c>
      <c r="AD1246">
        <f>IF(AND($A1246&lt;&gt;"",$B1246&lt;&gt;"",$R1246='تقرير أبريل'!$C$4,$P1246='تقرير أبريل'!$C$6),COUNT(AD$4:AD1245)+1,"")</f>
        <v/>
      </c>
      <c r="AE1246">
        <f>IF(AND($A1246&lt;&gt;"",$B1246&lt;&gt;"",$R1246='تقرير مايو'!$C$4,$P1246='تقرير مايو'!$C$6),COUNT(AE$4:AE1245)+1,"")</f>
        <v/>
      </c>
    </row>
    <row r="1247">
      <c r="A1247" s="16" t="n"/>
      <c r="B1247" s="17" t="n"/>
      <c r="C1247" s="17" t="n"/>
      <c r="D1247" s="18" t="n"/>
      <c r="E1247" s="17" t="n"/>
      <c r="F1247" s="17" t="n"/>
      <c r="G1247" s="19" t="n"/>
      <c r="H1247" s="17" t="n"/>
      <c r="I1247" s="17" t="n"/>
      <c r="J1247" s="17" t="n"/>
      <c r="K1247" s="20">
        <f>IF($B1247="","",IFERROR(INDEX(الموظفات!$A$5:$A$304,MATCH($B1247,الموظفات!$B$5:$B$304,0))&amp;"",""))</f>
        <v/>
      </c>
      <c r="L1247" s="21">
        <f>IF($B1247="","",IFERROR(INDEX(الموظفات!$C$5:$C$304,MATCH($B1247,الموظفات!$B$5:$B$304,0))&amp;"",""))</f>
        <v/>
      </c>
      <c r="M1247" s="20">
        <f>IF($B1247="","",IFERROR(INDEX(الموظفات!$D$5:$D$304,MATCH($B1247,الموظفات!$B$5:$B$304,0))&amp;"",""))</f>
        <v/>
      </c>
      <c r="N1247" s="20">
        <f>IF($B1247="","",IFERROR(INDEX(الموظفات!$E$5:$E$304,MATCH($B1247,الموظفات!$B$5:$B$304,0))&amp;"",""))</f>
        <v/>
      </c>
      <c r="O1247" s="21">
        <f>IF(C1247="","",IFERROR(INDEX(الإعدادات!$D$7:$D$35,MATCH(C1247,الإعدادات!$A$7:$A$35,0))&amp;"",""))</f>
        <v/>
      </c>
      <c r="P1247" s="20">
        <f>IF(A1247="","",INDEX(الإعدادات!$H$7:$H$18,MONTH(A1247)))</f>
        <v/>
      </c>
      <c r="Q1247" s="20">
        <f>IF(A1247="","",INDEX(الإعدادات!$I$7:$I$18,MONTH(A1247)))</f>
        <v/>
      </c>
      <c r="R1247" s="20">
        <f>IF(A1247="","",IF(MONTH(A1247)&gt;=8,YEAR(A1247)&amp;"-"&amp;(YEAR(A1247)+1),(YEAR(A1247)-1)&amp;"-"&amp;YEAR(A1247)))</f>
        <v/>
      </c>
      <c r="S1247" s="20">
        <f>IF(OR(A1247="",B1247=""),0,IF(AND(R1247=التقارير!$C$4,OR(التقارير!$C$5="سنوي",AND(التقارير!$C$5="شهري",P1247=التقارير!$C$6),AND(التقارير!$C$5="فصلي",Q1247=التقارير!$C$7))),1,0))</f>
        <v/>
      </c>
      <c r="T1247" s="20">
        <f>IF(S1247=1,COUNTIF($S$5:S1247,1),"")</f>
        <v/>
      </c>
      <c r="U1247">
        <f>IF(AND($A1247&lt;&gt;"",$B1247&lt;&gt;"",$R1247='تقرير الفصل الأول'!$C$4,$Q1247='تقرير الفصل الأول'!$C$7),COUNT(U$4:U1246)+1,"")</f>
        <v/>
      </c>
      <c r="V1247">
        <f>IF(AND($A1247&lt;&gt;"",$B1247&lt;&gt;"",$R1247='تقرير الفصل الثاني'!$C$4,$Q1247='تقرير الفصل الثاني'!$C$7),COUNT(V$4:V1246)+1,"")</f>
        <v/>
      </c>
      <c r="W1247">
        <f>IF(AND($A1247&lt;&gt;"",$B1247&lt;&gt;"",$R1247='تقرير سبتمبر'!$C$4,$P1247='تقرير سبتمبر'!$C$6),COUNT(W$4:W1246)+1,"")</f>
        <v/>
      </c>
      <c r="X1247">
        <f>IF(AND($A1247&lt;&gt;"",$B1247&lt;&gt;"",$R1247='تقرير أكتوبر'!$C$4,$P1247='تقرير أكتوبر'!$C$6),COUNT(X$4:X1246)+1,"")</f>
        <v/>
      </c>
      <c r="Y1247">
        <f>IF(AND($A1247&lt;&gt;"",$B1247&lt;&gt;"",$R1247='تقرير نوفمبر'!$C$4,$P1247='تقرير نوفمبر'!$C$6),COUNT(Y$4:Y1246)+1,"")</f>
        <v/>
      </c>
      <c r="Z1247">
        <f>IF(AND($A1247&lt;&gt;"",$B1247&lt;&gt;"",$R1247='تقرير ديسمبر'!$C$4,$P1247='تقرير ديسمبر'!$C$6),COUNT(Z$4:Z1246)+1,"")</f>
        <v/>
      </c>
      <c r="AA1247">
        <f>IF(AND($A1247&lt;&gt;"",$B1247&lt;&gt;"",$R1247='تقرير يناير'!$C$4,$P1247='تقرير يناير'!$C$6),COUNT(AA$4:AA1246)+1,"")</f>
        <v/>
      </c>
      <c r="AB1247">
        <f>IF(AND($A1247&lt;&gt;"",$B1247&lt;&gt;"",$R1247='تقرير فبراير'!$C$4,$P1247='تقرير فبراير'!$C$6),COUNT(AB$4:AB1246)+1,"")</f>
        <v/>
      </c>
      <c r="AC1247">
        <f>IF(AND($A1247&lt;&gt;"",$B1247&lt;&gt;"",$R1247='تقرير مارس'!$C$4,$P1247='تقرير مارس'!$C$6),COUNT(AC$4:AC1246)+1,"")</f>
        <v/>
      </c>
      <c r="AD1247">
        <f>IF(AND($A1247&lt;&gt;"",$B1247&lt;&gt;"",$R1247='تقرير أبريل'!$C$4,$P1247='تقرير أبريل'!$C$6),COUNT(AD$4:AD1246)+1,"")</f>
        <v/>
      </c>
      <c r="AE1247">
        <f>IF(AND($A1247&lt;&gt;"",$B1247&lt;&gt;"",$R1247='تقرير مايو'!$C$4,$P1247='تقرير مايو'!$C$6),COUNT(AE$4:AE1246)+1,"")</f>
        <v/>
      </c>
    </row>
    <row r="1248">
      <c r="A1248" s="16" t="n"/>
      <c r="B1248" s="17" t="n"/>
      <c r="C1248" s="17" t="n"/>
      <c r="D1248" s="18" t="n"/>
      <c r="E1248" s="17" t="n"/>
      <c r="F1248" s="17" t="n"/>
      <c r="G1248" s="19" t="n"/>
      <c r="H1248" s="17" t="n"/>
      <c r="I1248" s="17" t="n"/>
      <c r="J1248" s="17" t="n"/>
      <c r="K1248" s="20">
        <f>IF($B1248="","",IFERROR(INDEX(الموظفات!$A$5:$A$304,MATCH($B1248,الموظفات!$B$5:$B$304,0))&amp;"",""))</f>
        <v/>
      </c>
      <c r="L1248" s="21">
        <f>IF($B1248="","",IFERROR(INDEX(الموظفات!$C$5:$C$304,MATCH($B1248,الموظفات!$B$5:$B$304,0))&amp;"",""))</f>
        <v/>
      </c>
      <c r="M1248" s="20">
        <f>IF($B1248="","",IFERROR(INDEX(الموظفات!$D$5:$D$304,MATCH($B1248,الموظفات!$B$5:$B$304,0))&amp;"",""))</f>
        <v/>
      </c>
      <c r="N1248" s="20">
        <f>IF($B1248="","",IFERROR(INDEX(الموظفات!$E$5:$E$304,MATCH($B1248,الموظفات!$B$5:$B$304,0))&amp;"",""))</f>
        <v/>
      </c>
      <c r="O1248" s="21">
        <f>IF(C1248="","",IFERROR(INDEX(الإعدادات!$D$7:$D$35,MATCH(C1248,الإعدادات!$A$7:$A$35,0))&amp;"",""))</f>
        <v/>
      </c>
      <c r="P1248" s="20">
        <f>IF(A1248="","",INDEX(الإعدادات!$H$7:$H$18,MONTH(A1248)))</f>
        <v/>
      </c>
      <c r="Q1248" s="20">
        <f>IF(A1248="","",INDEX(الإعدادات!$I$7:$I$18,MONTH(A1248)))</f>
        <v/>
      </c>
      <c r="R1248" s="20">
        <f>IF(A1248="","",IF(MONTH(A1248)&gt;=8,YEAR(A1248)&amp;"-"&amp;(YEAR(A1248)+1),(YEAR(A1248)-1)&amp;"-"&amp;YEAR(A1248)))</f>
        <v/>
      </c>
      <c r="S1248" s="20">
        <f>IF(OR(A1248="",B1248=""),0,IF(AND(R1248=التقارير!$C$4,OR(التقارير!$C$5="سنوي",AND(التقارير!$C$5="شهري",P1248=التقارير!$C$6),AND(التقارير!$C$5="فصلي",Q1248=التقارير!$C$7))),1,0))</f>
        <v/>
      </c>
      <c r="T1248" s="20">
        <f>IF(S1248=1,COUNTIF($S$5:S1248,1),"")</f>
        <v/>
      </c>
      <c r="U1248">
        <f>IF(AND($A1248&lt;&gt;"",$B1248&lt;&gt;"",$R1248='تقرير الفصل الأول'!$C$4,$Q1248='تقرير الفصل الأول'!$C$7),COUNT(U$4:U1247)+1,"")</f>
        <v/>
      </c>
      <c r="V1248">
        <f>IF(AND($A1248&lt;&gt;"",$B1248&lt;&gt;"",$R1248='تقرير الفصل الثاني'!$C$4,$Q1248='تقرير الفصل الثاني'!$C$7),COUNT(V$4:V1247)+1,"")</f>
        <v/>
      </c>
      <c r="W1248">
        <f>IF(AND($A1248&lt;&gt;"",$B1248&lt;&gt;"",$R1248='تقرير سبتمبر'!$C$4,$P1248='تقرير سبتمبر'!$C$6),COUNT(W$4:W1247)+1,"")</f>
        <v/>
      </c>
      <c r="X1248">
        <f>IF(AND($A1248&lt;&gt;"",$B1248&lt;&gt;"",$R1248='تقرير أكتوبر'!$C$4,$P1248='تقرير أكتوبر'!$C$6),COUNT(X$4:X1247)+1,"")</f>
        <v/>
      </c>
      <c r="Y1248">
        <f>IF(AND($A1248&lt;&gt;"",$B1248&lt;&gt;"",$R1248='تقرير نوفمبر'!$C$4,$P1248='تقرير نوفمبر'!$C$6),COUNT(Y$4:Y1247)+1,"")</f>
        <v/>
      </c>
      <c r="Z1248">
        <f>IF(AND($A1248&lt;&gt;"",$B1248&lt;&gt;"",$R1248='تقرير ديسمبر'!$C$4,$P1248='تقرير ديسمبر'!$C$6),COUNT(Z$4:Z1247)+1,"")</f>
        <v/>
      </c>
      <c r="AA1248">
        <f>IF(AND($A1248&lt;&gt;"",$B1248&lt;&gt;"",$R1248='تقرير يناير'!$C$4,$P1248='تقرير يناير'!$C$6),COUNT(AA$4:AA1247)+1,"")</f>
        <v/>
      </c>
      <c r="AB1248">
        <f>IF(AND($A1248&lt;&gt;"",$B1248&lt;&gt;"",$R1248='تقرير فبراير'!$C$4,$P1248='تقرير فبراير'!$C$6),COUNT(AB$4:AB1247)+1,"")</f>
        <v/>
      </c>
      <c r="AC1248">
        <f>IF(AND($A1248&lt;&gt;"",$B1248&lt;&gt;"",$R1248='تقرير مارس'!$C$4,$P1248='تقرير مارس'!$C$6),COUNT(AC$4:AC1247)+1,"")</f>
        <v/>
      </c>
      <c r="AD1248">
        <f>IF(AND($A1248&lt;&gt;"",$B1248&lt;&gt;"",$R1248='تقرير أبريل'!$C$4,$P1248='تقرير أبريل'!$C$6),COUNT(AD$4:AD1247)+1,"")</f>
        <v/>
      </c>
      <c r="AE1248">
        <f>IF(AND($A1248&lt;&gt;"",$B1248&lt;&gt;"",$R1248='تقرير مايو'!$C$4,$P1248='تقرير مايو'!$C$6),COUNT(AE$4:AE1247)+1,"")</f>
        <v/>
      </c>
    </row>
    <row r="1249">
      <c r="A1249" s="16" t="n"/>
      <c r="B1249" s="17" t="n"/>
      <c r="C1249" s="17" t="n"/>
      <c r="D1249" s="18" t="n"/>
      <c r="E1249" s="17" t="n"/>
      <c r="F1249" s="17" t="n"/>
      <c r="G1249" s="19" t="n"/>
      <c r="H1249" s="17" t="n"/>
      <c r="I1249" s="17" t="n"/>
      <c r="J1249" s="17" t="n"/>
      <c r="K1249" s="20">
        <f>IF($B1249="","",IFERROR(INDEX(الموظفات!$A$5:$A$304,MATCH($B1249,الموظفات!$B$5:$B$304,0))&amp;"",""))</f>
        <v/>
      </c>
      <c r="L1249" s="21">
        <f>IF($B1249="","",IFERROR(INDEX(الموظفات!$C$5:$C$304,MATCH($B1249,الموظفات!$B$5:$B$304,0))&amp;"",""))</f>
        <v/>
      </c>
      <c r="M1249" s="20">
        <f>IF($B1249="","",IFERROR(INDEX(الموظفات!$D$5:$D$304,MATCH($B1249,الموظفات!$B$5:$B$304,0))&amp;"",""))</f>
        <v/>
      </c>
      <c r="N1249" s="20">
        <f>IF($B1249="","",IFERROR(INDEX(الموظفات!$E$5:$E$304,MATCH($B1249,الموظفات!$B$5:$B$304,0))&amp;"",""))</f>
        <v/>
      </c>
      <c r="O1249" s="21">
        <f>IF(C1249="","",IFERROR(INDEX(الإعدادات!$D$7:$D$35,MATCH(C1249,الإعدادات!$A$7:$A$35,0))&amp;"",""))</f>
        <v/>
      </c>
      <c r="P1249" s="20">
        <f>IF(A1249="","",INDEX(الإعدادات!$H$7:$H$18,MONTH(A1249)))</f>
        <v/>
      </c>
      <c r="Q1249" s="20">
        <f>IF(A1249="","",INDEX(الإعدادات!$I$7:$I$18,MONTH(A1249)))</f>
        <v/>
      </c>
      <c r="R1249" s="20">
        <f>IF(A1249="","",IF(MONTH(A1249)&gt;=8,YEAR(A1249)&amp;"-"&amp;(YEAR(A1249)+1),(YEAR(A1249)-1)&amp;"-"&amp;YEAR(A1249)))</f>
        <v/>
      </c>
      <c r="S1249" s="20">
        <f>IF(OR(A1249="",B1249=""),0,IF(AND(R1249=التقارير!$C$4,OR(التقارير!$C$5="سنوي",AND(التقارير!$C$5="شهري",P1249=التقارير!$C$6),AND(التقارير!$C$5="فصلي",Q1249=التقارير!$C$7))),1,0))</f>
        <v/>
      </c>
      <c r="T1249" s="20">
        <f>IF(S1249=1,COUNTIF($S$5:S1249,1),"")</f>
        <v/>
      </c>
      <c r="U1249">
        <f>IF(AND($A1249&lt;&gt;"",$B1249&lt;&gt;"",$R1249='تقرير الفصل الأول'!$C$4,$Q1249='تقرير الفصل الأول'!$C$7),COUNT(U$4:U1248)+1,"")</f>
        <v/>
      </c>
      <c r="V1249">
        <f>IF(AND($A1249&lt;&gt;"",$B1249&lt;&gt;"",$R1249='تقرير الفصل الثاني'!$C$4,$Q1249='تقرير الفصل الثاني'!$C$7),COUNT(V$4:V1248)+1,"")</f>
        <v/>
      </c>
      <c r="W1249">
        <f>IF(AND($A1249&lt;&gt;"",$B1249&lt;&gt;"",$R1249='تقرير سبتمبر'!$C$4,$P1249='تقرير سبتمبر'!$C$6),COUNT(W$4:W1248)+1,"")</f>
        <v/>
      </c>
      <c r="X1249">
        <f>IF(AND($A1249&lt;&gt;"",$B1249&lt;&gt;"",$R1249='تقرير أكتوبر'!$C$4,$P1249='تقرير أكتوبر'!$C$6),COUNT(X$4:X1248)+1,"")</f>
        <v/>
      </c>
      <c r="Y1249">
        <f>IF(AND($A1249&lt;&gt;"",$B1249&lt;&gt;"",$R1249='تقرير نوفمبر'!$C$4,$P1249='تقرير نوفمبر'!$C$6),COUNT(Y$4:Y1248)+1,"")</f>
        <v/>
      </c>
      <c r="Z1249">
        <f>IF(AND($A1249&lt;&gt;"",$B1249&lt;&gt;"",$R1249='تقرير ديسمبر'!$C$4,$P1249='تقرير ديسمبر'!$C$6),COUNT(Z$4:Z1248)+1,"")</f>
        <v/>
      </c>
      <c r="AA1249">
        <f>IF(AND($A1249&lt;&gt;"",$B1249&lt;&gt;"",$R1249='تقرير يناير'!$C$4,$P1249='تقرير يناير'!$C$6),COUNT(AA$4:AA1248)+1,"")</f>
        <v/>
      </c>
      <c r="AB1249">
        <f>IF(AND($A1249&lt;&gt;"",$B1249&lt;&gt;"",$R1249='تقرير فبراير'!$C$4,$P1249='تقرير فبراير'!$C$6),COUNT(AB$4:AB1248)+1,"")</f>
        <v/>
      </c>
      <c r="AC1249">
        <f>IF(AND($A1249&lt;&gt;"",$B1249&lt;&gt;"",$R1249='تقرير مارس'!$C$4,$P1249='تقرير مارس'!$C$6),COUNT(AC$4:AC1248)+1,"")</f>
        <v/>
      </c>
      <c r="AD1249">
        <f>IF(AND($A1249&lt;&gt;"",$B1249&lt;&gt;"",$R1249='تقرير أبريل'!$C$4,$P1249='تقرير أبريل'!$C$6),COUNT(AD$4:AD1248)+1,"")</f>
        <v/>
      </c>
      <c r="AE1249">
        <f>IF(AND($A1249&lt;&gt;"",$B1249&lt;&gt;"",$R1249='تقرير مايو'!$C$4,$P1249='تقرير مايو'!$C$6),COUNT(AE$4:AE1248)+1,"")</f>
        <v/>
      </c>
    </row>
    <row r="1250">
      <c r="A1250" s="16" t="n"/>
      <c r="B1250" s="17" t="n"/>
      <c r="C1250" s="17" t="n"/>
      <c r="D1250" s="18" t="n"/>
      <c r="E1250" s="17" t="n"/>
      <c r="F1250" s="17" t="n"/>
      <c r="G1250" s="19" t="n"/>
      <c r="H1250" s="17" t="n"/>
      <c r="I1250" s="17" t="n"/>
      <c r="J1250" s="17" t="n"/>
      <c r="K1250" s="20">
        <f>IF($B1250="","",IFERROR(INDEX(الموظفات!$A$5:$A$304,MATCH($B1250,الموظفات!$B$5:$B$304,0))&amp;"",""))</f>
        <v/>
      </c>
      <c r="L1250" s="21">
        <f>IF($B1250="","",IFERROR(INDEX(الموظفات!$C$5:$C$304,MATCH($B1250,الموظفات!$B$5:$B$304,0))&amp;"",""))</f>
        <v/>
      </c>
      <c r="M1250" s="20">
        <f>IF($B1250="","",IFERROR(INDEX(الموظفات!$D$5:$D$304,MATCH($B1250,الموظفات!$B$5:$B$304,0))&amp;"",""))</f>
        <v/>
      </c>
      <c r="N1250" s="20">
        <f>IF($B1250="","",IFERROR(INDEX(الموظفات!$E$5:$E$304,MATCH($B1250,الموظفات!$B$5:$B$304,0))&amp;"",""))</f>
        <v/>
      </c>
      <c r="O1250" s="21">
        <f>IF(C1250="","",IFERROR(INDEX(الإعدادات!$D$7:$D$35,MATCH(C1250,الإعدادات!$A$7:$A$35,0))&amp;"",""))</f>
        <v/>
      </c>
      <c r="P1250" s="20">
        <f>IF(A1250="","",INDEX(الإعدادات!$H$7:$H$18,MONTH(A1250)))</f>
        <v/>
      </c>
      <c r="Q1250" s="20">
        <f>IF(A1250="","",INDEX(الإعدادات!$I$7:$I$18,MONTH(A1250)))</f>
        <v/>
      </c>
      <c r="R1250" s="20">
        <f>IF(A1250="","",IF(MONTH(A1250)&gt;=8,YEAR(A1250)&amp;"-"&amp;(YEAR(A1250)+1),(YEAR(A1250)-1)&amp;"-"&amp;YEAR(A1250)))</f>
        <v/>
      </c>
      <c r="S1250" s="20">
        <f>IF(OR(A1250="",B1250=""),0,IF(AND(R1250=التقارير!$C$4,OR(التقارير!$C$5="سنوي",AND(التقارير!$C$5="شهري",P1250=التقارير!$C$6),AND(التقارير!$C$5="فصلي",Q1250=التقارير!$C$7))),1,0))</f>
        <v/>
      </c>
      <c r="T1250" s="20">
        <f>IF(S1250=1,COUNTIF($S$5:S1250,1),"")</f>
        <v/>
      </c>
      <c r="U1250">
        <f>IF(AND($A1250&lt;&gt;"",$B1250&lt;&gt;"",$R1250='تقرير الفصل الأول'!$C$4,$Q1250='تقرير الفصل الأول'!$C$7),COUNT(U$4:U1249)+1,"")</f>
        <v/>
      </c>
      <c r="V1250">
        <f>IF(AND($A1250&lt;&gt;"",$B1250&lt;&gt;"",$R1250='تقرير الفصل الثاني'!$C$4,$Q1250='تقرير الفصل الثاني'!$C$7),COUNT(V$4:V1249)+1,"")</f>
        <v/>
      </c>
      <c r="W1250">
        <f>IF(AND($A1250&lt;&gt;"",$B1250&lt;&gt;"",$R1250='تقرير سبتمبر'!$C$4,$P1250='تقرير سبتمبر'!$C$6),COUNT(W$4:W1249)+1,"")</f>
        <v/>
      </c>
      <c r="X1250">
        <f>IF(AND($A1250&lt;&gt;"",$B1250&lt;&gt;"",$R1250='تقرير أكتوبر'!$C$4,$P1250='تقرير أكتوبر'!$C$6),COUNT(X$4:X1249)+1,"")</f>
        <v/>
      </c>
      <c r="Y1250">
        <f>IF(AND($A1250&lt;&gt;"",$B1250&lt;&gt;"",$R1250='تقرير نوفمبر'!$C$4,$P1250='تقرير نوفمبر'!$C$6),COUNT(Y$4:Y1249)+1,"")</f>
        <v/>
      </c>
      <c r="Z1250">
        <f>IF(AND($A1250&lt;&gt;"",$B1250&lt;&gt;"",$R1250='تقرير ديسمبر'!$C$4,$P1250='تقرير ديسمبر'!$C$6),COUNT(Z$4:Z1249)+1,"")</f>
        <v/>
      </c>
      <c r="AA1250">
        <f>IF(AND($A1250&lt;&gt;"",$B1250&lt;&gt;"",$R1250='تقرير يناير'!$C$4,$P1250='تقرير يناير'!$C$6),COUNT(AA$4:AA1249)+1,"")</f>
        <v/>
      </c>
      <c r="AB1250">
        <f>IF(AND($A1250&lt;&gt;"",$B1250&lt;&gt;"",$R1250='تقرير فبراير'!$C$4,$P1250='تقرير فبراير'!$C$6),COUNT(AB$4:AB1249)+1,"")</f>
        <v/>
      </c>
      <c r="AC1250">
        <f>IF(AND($A1250&lt;&gt;"",$B1250&lt;&gt;"",$R1250='تقرير مارس'!$C$4,$P1250='تقرير مارس'!$C$6),COUNT(AC$4:AC1249)+1,"")</f>
        <v/>
      </c>
      <c r="AD1250">
        <f>IF(AND($A1250&lt;&gt;"",$B1250&lt;&gt;"",$R1250='تقرير أبريل'!$C$4,$P1250='تقرير أبريل'!$C$6),COUNT(AD$4:AD1249)+1,"")</f>
        <v/>
      </c>
      <c r="AE1250">
        <f>IF(AND($A1250&lt;&gt;"",$B1250&lt;&gt;"",$R1250='تقرير مايو'!$C$4,$P1250='تقرير مايو'!$C$6),COUNT(AE$4:AE1249)+1,"")</f>
        <v/>
      </c>
    </row>
    <row r="1251">
      <c r="A1251" s="16" t="n"/>
      <c r="B1251" s="17" t="n"/>
      <c r="C1251" s="17" t="n"/>
      <c r="D1251" s="18" t="n"/>
      <c r="E1251" s="17" t="n"/>
      <c r="F1251" s="17" t="n"/>
      <c r="G1251" s="19" t="n"/>
      <c r="H1251" s="17" t="n"/>
      <c r="I1251" s="17" t="n"/>
      <c r="J1251" s="17" t="n"/>
      <c r="K1251" s="20">
        <f>IF($B1251="","",IFERROR(INDEX(الموظفات!$A$5:$A$304,MATCH($B1251,الموظفات!$B$5:$B$304,0))&amp;"",""))</f>
        <v/>
      </c>
      <c r="L1251" s="21">
        <f>IF($B1251="","",IFERROR(INDEX(الموظفات!$C$5:$C$304,MATCH($B1251,الموظفات!$B$5:$B$304,0))&amp;"",""))</f>
        <v/>
      </c>
      <c r="M1251" s="20">
        <f>IF($B1251="","",IFERROR(INDEX(الموظفات!$D$5:$D$304,MATCH($B1251,الموظفات!$B$5:$B$304,0))&amp;"",""))</f>
        <v/>
      </c>
      <c r="N1251" s="20">
        <f>IF($B1251="","",IFERROR(INDEX(الموظفات!$E$5:$E$304,MATCH($B1251,الموظفات!$B$5:$B$304,0))&amp;"",""))</f>
        <v/>
      </c>
      <c r="O1251" s="21">
        <f>IF(C1251="","",IFERROR(INDEX(الإعدادات!$D$7:$D$35,MATCH(C1251,الإعدادات!$A$7:$A$35,0))&amp;"",""))</f>
        <v/>
      </c>
      <c r="P1251" s="20">
        <f>IF(A1251="","",INDEX(الإعدادات!$H$7:$H$18,MONTH(A1251)))</f>
        <v/>
      </c>
      <c r="Q1251" s="20">
        <f>IF(A1251="","",INDEX(الإعدادات!$I$7:$I$18,MONTH(A1251)))</f>
        <v/>
      </c>
      <c r="R1251" s="20">
        <f>IF(A1251="","",IF(MONTH(A1251)&gt;=8,YEAR(A1251)&amp;"-"&amp;(YEAR(A1251)+1),(YEAR(A1251)-1)&amp;"-"&amp;YEAR(A1251)))</f>
        <v/>
      </c>
      <c r="S1251" s="20">
        <f>IF(OR(A1251="",B1251=""),0,IF(AND(R1251=التقارير!$C$4,OR(التقارير!$C$5="سنوي",AND(التقارير!$C$5="شهري",P1251=التقارير!$C$6),AND(التقارير!$C$5="فصلي",Q1251=التقارير!$C$7))),1,0))</f>
        <v/>
      </c>
      <c r="T1251" s="20">
        <f>IF(S1251=1,COUNTIF($S$5:S1251,1),"")</f>
        <v/>
      </c>
      <c r="U1251">
        <f>IF(AND($A1251&lt;&gt;"",$B1251&lt;&gt;"",$R1251='تقرير الفصل الأول'!$C$4,$Q1251='تقرير الفصل الأول'!$C$7),COUNT(U$4:U1250)+1,"")</f>
        <v/>
      </c>
      <c r="V1251">
        <f>IF(AND($A1251&lt;&gt;"",$B1251&lt;&gt;"",$R1251='تقرير الفصل الثاني'!$C$4,$Q1251='تقرير الفصل الثاني'!$C$7),COUNT(V$4:V1250)+1,"")</f>
        <v/>
      </c>
      <c r="W1251">
        <f>IF(AND($A1251&lt;&gt;"",$B1251&lt;&gt;"",$R1251='تقرير سبتمبر'!$C$4,$P1251='تقرير سبتمبر'!$C$6),COUNT(W$4:W1250)+1,"")</f>
        <v/>
      </c>
      <c r="X1251">
        <f>IF(AND($A1251&lt;&gt;"",$B1251&lt;&gt;"",$R1251='تقرير أكتوبر'!$C$4,$P1251='تقرير أكتوبر'!$C$6),COUNT(X$4:X1250)+1,"")</f>
        <v/>
      </c>
      <c r="Y1251">
        <f>IF(AND($A1251&lt;&gt;"",$B1251&lt;&gt;"",$R1251='تقرير نوفمبر'!$C$4,$P1251='تقرير نوفمبر'!$C$6),COUNT(Y$4:Y1250)+1,"")</f>
        <v/>
      </c>
      <c r="Z1251">
        <f>IF(AND($A1251&lt;&gt;"",$B1251&lt;&gt;"",$R1251='تقرير ديسمبر'!$C$4,$P1251='تقرير ديسمبر'!$C$6),COUNT(Z$4:Z1250)+1,"")</f>
        <v/>
      </c>
      <c r="AA1251">
        <f>IF(AND($A1251&lt;&gt;"",$B1251&lt;&gt;"",$R1251='تقرير يناير'!$C$4,$P1251='تقرير يناير'!$C$6),COUNT(AA$4:AA1250)+1,"")</f>
        <v/>
      </c>
      <c r="AB1251">
        <f>IF(AND($A1251&lt;&gt;"",$B1251&lt;&gt;"",$R1251='تقرير فبراير'!$C$4,$P1251='تقرير فبراير'!$C$6),COUNT(AB$4:AB1250)+1,"")</f>
        <v/>
      </c>
      <c r="AC1251">
        <f>IF(AND($A1251&lt;&gt;"",$B1251&lt;&gt;"",$R1251='تقرير مارس'!$C$4,$P1251='تقرير مارس'!$C$6),COUNT(AC$4:AC1250)+1,"")</f>
        <v/>
      </c>
      <c r="AD1251">
        <f>IF(AND($A1251&lt;&gt;"",$B1251&lt;&gt;"",$R1251='تقرير أبريل'!$C$4,$P1251='تقرير أبريل'!$C$6),COUNT(AD$4:AD1250)+1,"")</f>
        <v/>
      </c>
      <c r="AE1251">
        <f>IF(AND($A1251&lt;&gt;"",$B1251&lt;&gt;"",$R1251='تقرير مايو'!$C$4,$P1251='تقرير مايو'!$C$6),COUNT(AE$4:AE1250)+1,"")</f>
        <v/>
      </c>
    </row>
    <row r="1252">
      <c r="A1252" s="16" t="n"/>
      <c r="B1252" s="17" t="n"/>
      <c r="C1252" s="17" t="n"/>
      <c r="D1252" s="18" t="n"/>
      <c r="E1252" s="17" t="n"/>
      <c r="F1252" s="17" t="n"/>
      <c r="G1252" s="19" t="n"/>
      <c r="H1252" s="17" t="n"/>
      <c r="I1252" s="17" t="n"/>
      <c r="J1252" s="17" t="n"/>
      <c r="K1252" s="20">
        <f>IF($B1252="","",IFERROR(INDEX(الموظفات!$A$5:$A$304,MATCH($B1252,الموظفات!$B$5:$B$304,0))&amp;"",""))</f>
        <v/>
      </c>
      <c r="L1252" s="21">
        <f>IF($B1252="","",IFERROR(INDEX(الموظفات!$C$5:$C$304,MATCH($B1252,الموظفات!$B$5:$B$304,0))&amp;"",""))</f>
        <v/>
      </c>
      <c r="M1252" s="20">
        <f>IF($B1252="","",IFERROR(INDEX(الموظفات!$D$5:$D$304,MATCH($B1252,الموظفات!$B$5:$B$304,0))&amp;"",""))</f>
        <v/>
      </c>
      <c r="N1252" s="20">
        <f>IF($B1252="","",IFERROR(INDEX(الموظفات!$E$5:$E$304,MATCH($B1252,الموظفات!$B$5:$B$304,0))&amp;"",""))</f>
        <v/>
      </c>
      <c r="O1252" s="21">
        <f>IF(C1252="","",IFERROR(INDEX(الإعدادات!$D$7:$D$35,MATCH(C1252,الإعدادات!$A$7:$A$35,0))&amp;"",""))</f>
        <v/>
      </c>
      <c r="P1252" s="20">
        <f>IF(A1252="","",INDEX(الإعدادات!$H$7:$H$18,MONTH(A1252)))</f>
        <v/>
      </c>
      <c r="Q1252" s="20">
        <f>IF(A1252="","",INDEX(الإعدادات!$I$7:$I$18,MONTH(A1252)))</f>
        <v/>
      </c>
      <c r="R1252" s="20">
        <f>IF(A1252="","",IF(MONTH(A1252)&gt;=8,YEAR(A1252)&amp;"-"&amp;(YEAR(A1252)+1),(YEAR(A1252)-1)&amp;"-"&amp;YEAR(A1252)))</f>
        <v/>
      </c>
      <c r="S1252" s="20">
        <f>IF(OR(A1252="",B1252=""),0,IF(AND(R1252=التقارير!$C$4,OR(التقارير!$C$5="سنوي",AND(التقارير!$C$5="شهري",P1252=التقارير!$C$6),AND(التقارير!$C$5="فصلي",Q1252=التقارير!$C$7))),1,0))</f>
        <v/>
      </c>
      <c r="T1252" s="20">
        <f>IF(S1252=1,COUNTIF($S$5:S1252,1),"")</f>
        <v/>
      </c>
      <c r="U1252">
        <f>IF(AND($A1252&lt;&gt;"",$B1252&lt;&gt;"",$R1252='تقرير الفصل الأول'!$C$4,$Q1252='تقرير الفصل الأول'!$C$7),COUNT(U$4:U1251)+1,"")</f>
        <v/>
      </c>
      <c r="V1252">
        <f>IF(AND($A1252&lt;&gt;"",$B1252&lt;&gt;"",$R1252='تقرير الفصل الثاني'!$C$4,$Q1252='تقرير الفصل الثاني'!$C$7),COUNT(V$4:V1251)+1,"")</f>
        <v/>
      </c>
      <c r="W1252">
        <f>IF(AND($A1252&lt;&gt;"",$B1252&lt;&gt;"",$R1252='تقرير سبتمبر'!$C$4,$P1252='تقرير سبتمبر'!$C$6),COUNT(W$4:W1251)+1,"")</f>
        <v/>
      </c>
      <c r="X1252">
        <f>IF(AND($A1252&lt;&gt;"",$B1252&lt;&gt;"",$R1252='تقرير أكتوبر'!$C$4,$P1252='تقرير أكتوبر'!$C$6),COUNT(X$4:X1251)+1,"")</f>
        <v/>
      </c>
      <c r="Y1252">
        <f>IF(AND($A1252&lt;&gt;"",$B1252&lt;&gt;"",$R1252='تقرير نوفمبر'!$C$4,$P1252='تقرير نوفمبر'!$C$6),COUNT(Y$4:Y1251)+1,"")</f>
        <v/>
      </c>
      <c r="Z1252">
        <f>IF(AND($A1252&lt;&gt;"",$B1252&lt;&gt;"",$R1252='تقرير ديسمبر'!$C$4,$P1252='تقرير ديسمبر'!$C$6),COUNT(Z$4:Z1251)+1,"")</f>
        <v/>
      </c>
      <c r="AA1252">
        <f>IF(AND($A1252&lt;&gt;"",$B1252&lt;&gt;"",$R1252='تقرير يناير'!$C$4,$P1252='تقرير يناير'!$C$6),COUNT(AA$4:AA1251)+1,"")</f>
        <v/>
      </c>
      <c r="AB1252">
        <f>IF(AND($A1252&lt;&gt;"",$B1252&lt;&gt;"",$R1252='تقرير فبراير'!$C$4,$P1252='تقرير فبراير'!$C$6),COUNT(AB$4:AB1251)+1,"")</f>
        <v/>
      </c>
      <c r="AC1252">
        <f>IF(AND($A1252&lt;&gt;"",$B1252&lt;&gt;"",$R1252='تقرير مارس'!$C$4,$P1252='تقرير مارس'!$C$6),COUNT(AC$4:AC1251)+1,"")</f>
        <v/>
      </c>
      <c r="AD1252">
        <f>IF(AND($A1252&lt;&gt;"",$B1252&lt;&gt;"",$R1252='تقرير أبريل'!$C$4,$P1252='تقرير أبريل'!$C$6),COUNT(AD$4:AD1251)+1,"")</f>
        <v/>
      </c>
      <c r="AE1252">
        <f>IF(AND($A1252&lt;&gt;"",$B1252&lt;&gt;"",$R1252='تقرير مايو'!$C$4,$P1252='تقرير مايو'!$C$6),COUNT(AE$4:AE1251)+1,"")</f>
        <v/>
      </c>
    </row>
    <row r="1253">
      <c r="A1253" s="16" t="n"/>
      <c r="B1253" s="17" t="n"/>
      <c r="C1253" s="17" t="n"/>
      <c r="D1253" s="18" t="n"/>
      <c r="E1253" s="17" t="n"/>
      <c r="F1253" s="17" t="n"/>
      <c r="G1253" s="19" t="n"/>
      <c r="H1253" s="17" t="n"/>
      <c r="I1253" s="17" t="n"/>
      <c r="J1253" s="17" t="n"/>
      <c r="K1253" s="20">
        <f>IF($B1253="","",IFERROR(INDEX(الموظفات!$A$5:$A$304,MATCH($B1253,الموظفات!$B$5:$B$304,0))&amp;"",""))</f>
        <v/>
      </c>
      <c r="L1253" s="21">
        <f>IF($B1253="","",IFERROR(INDEX(الموظفات!$C$5:$C$304,MATCH($B1253,الموظفات!$B$5:$B$304,0))&amp;"",""))</f>
        <v/>
      </c>
      <c r="M1253" s="20">
        <f>IF($B1253="","",IFERROR(INDEX(الموظفات!$D$5:$D$304,MATCH($B1253,الموظفات!$B$5:$B$304,0))&amp;"",""))</f>
        <v/>
      </c>
      <c r="N1253" s="20">
        <f>IF($B1253="","",IFERROR(INDEX(الموظفات!$E$5:$E$304,MATCH($B1253,الموظفات!$B$5:$B$304,0))&amp;"",""))</f>
        <v/>
      </c>
      <c r="O1253" s="21">
        <f>IF(C1253="","",IFERROR(INDEX(الإعدادات!$D$7:$D$35,MATCH(C1253,الإعدادات!$A$7:$A$35,0))&amp;"",""))</f>
        <v/>
      </c>
      <c r="P1253" s="20">
        <f>IF(A1253="","",INDEX(الإعدادات!$H$7:$H$18,MONTH(A1253)))</f>
        <v/>
      </c>
      <c r="Q1253" s="20">
        <f>IF(A1253="","",INDEX(الإعدادات!$I$7:$I$18,MONTH(A1253)))</f>
        <v/>
      </c>
      <c r="R1253" s="20">
        <f>IF(A1253="","",IF(MONTH(A1253)&gt;=8,YEAR(A1253)&amp;"-"&amp;(YEAR(A1253)+1),(YEAR(A1253)-1)&amp;"-"&amp;YEAR(A1253)))</f>
        <v/>
      </c>
      <c r="S1253" s="20">
        <f>IF(OR(A1253="",B1253=""),0,IF(AND(R1253=التقارير!$C$4,OR(التقارير!$C$5="سنوي",AND(التقارير!$C$5="شهري",P1253=التقارير!$C$6),AND(التقارير!$C$5="فصلي",Q1253=التقارير!$C$7))),1,0))</f>
        <v/>
      </c>
      <c r="T1253" s="20">
        <f>IF(S1253=1,COUNTIF($S$5:S1253,1),"")</f>
        <v/>
      </c>
      <c r="U1253">
        <f>IF(AND($A1253&lt;&gt;"",$B1253&lt;&gt;"",$R1253='تقرير الفصل الأول'!$C$4,$Q1253='تقرير الفصل الأول'!$C$7),COUNT(U$4:U1252)+1,"")</f>
        <v/>
      </c>
      <c r="V1253">
        <f>IF(AND($A1253&lt;&gt;"",$B1253&lt;&gt;"",$R1253='تقرير الفصل الثاني'!$C$4,$Q1253='تقرير الفصل الثاني'!$C$7),COUNT(V$4:V1252)+1,"")</f>
        <v/>
      </c>
      <c r="W1253">
        <f>IF(AND($A1253&lt;&gt;"",$B1253&lt;&gt;"",$R1253='تقرير سبتمبر'!$C$4,$P1253='تقرير سبتمبر'!$C$6),COUNT(W$4:W1252)+1,"")</f>
        <v/>
      </c>
      <c r="X1253">
        <f>IF(AND($A1253&lt;&gt;"",$B1253&lt;&gt;"",$R1253='تقرير أكتوبر'!$C$4,$P1253='تقرير أكتوبر'!$C$6),COUNT(X$4:X1252)+1,"")</f>
        <v/>
      </c>
      <c r="Y1253">
        <f>IF(AND($A1253&lt;&gt;"",$B1253&lt;&gt;"",$R1253='تقرير نوفمبر'!$C$4,$P1253='تقرير نوفمبر'!$C$6),COUNT(Y$4:Y1252)+1,"")</f>
        <v/>
      </c>
      <c r="Z1253">
        <f>IF(AND($A1253&lt;&gt;"",$B1253&lt;&gt;"",$R1253='تقرير ديسمبر'!$C$4,$P1253='تقرير ديسمبر'!$C$6),COUNT(Z$4:Z1252)+1,"")</f>
        <v/>
      </c>
      <c r="AA1253">
        <f>IF(AND($A1253&lt;&gt;"",$B1253&lt;&gt;"",$R1253='تقرير يناير'!$C$4,$P1253='تقرير يناير'!$C$6),COUNT(AA$4:AA1252)+1,"")</f>
        <v/>
      </c>
      <c r="AB1253">
        <f>IF(AND($A1253&lt;&gt;"",$B1253&lt;&gt;"",$R1253='تقرير فبراير'!$C$4,$P1253='تقرير فبراير'!$C$6),COUNT(AB$4:AB1252)+1,"")</f>
        <v/>
      </c>
      <c r="AC1253">
        <f>IF(AND($A1253&lt;&gt;"",$B1253&lt;&gt;"",$R1253='تقرير مارس'!$C$4,$P1253='تقرير مارس'!$C$6),COUNT(AC$4:AC1252)+1,"")</f>
        <v/>
      </c>
      <c r="AD1253">
        <f>IF(AND($A1253&lt;&gt;"",$B1253&lt;&gt;"",$R1253='تقرير أبريل'!$C$4,$P1253='تقرير أبريل'!$C$6),COUNT(AD$4:AD1252)+1,"")</f>
        <v/>
      </c>
      <c r="AE1253">
        <f>IF(AND($A1253&lt;&gt;"",$B1253&lt;&gt;"",$R1253='تقرير مايو'!$C$4,$P1253='تقرير مايو'!$C$6),COUNT(AE$4:AE1252)+1,"")</f>
        <v/>
      </c>
    </row>
    <row r="1254">
      <c r="A1254" s="16" t="n"/>
      <c r="B1254" s="17" t="n"/>
      <c r="C1254" s="17" t="n"/>
      <c r="D1254" s="18" t="n"/>
      <c r="E1254" s="17" t="n"/>
      <c r="F1254" s="17" t="n"/>
      <c r="G1254" s="19" t="n"/>
      <c r="H1254" s="17" t="n"/>
      <c r="I1254" s="17" t="n"/>
      <c r="J1254" s="17" t="n"/>
      <c r="K1254" s="20">
        <f>IF($B1254="","",IFERROR(INDEX(الموظفات!$A$5:$A$304,MATCH($B1254,الموظفات!$B$5:$B$304,0))&amp;"",""))</f>
        <v/>
      </c>
      <c r="L1254" s="21">
        <f>IF($B1254="","",IFERROR(INDEX(الموظفات!$C$5:$C$304,MATCH($B1254,الموظفات!$B$5:$B$304,0))&amp;"",""))</f>
        <v/>
      </c>
      <c r="M1254" s="20">
        <f>IF($B1254="","",IFERROR(INDEX(الموظفات!$D$5:$D$304,MATCH($B1254,الموظفات!$B$5:$B$304,0))&amp;"",""))</f>
        <v/>
      </c>
      <c r="N1254" s="20">
        <f>IF($B1254="","",IFERROR(INDEX(الموظفات!$E$5:$E$304,MATCH($B1254,الموظفات!$B$5:$B$304,0))&amp;"",""))</f>
        <v/>
      </c>
      <c r="O1254" s="21">
        <f>IF(C1254="","",IFERROR(INDEX(الإعدادات!$D$7:$D$35,MATCH(C1254,الإعدادات!$A$7:$A$35,0))&amp;"",""))</f>
        <v/>
      </c>
      <c r="P1254" s="20">
        <f>IF(A1254="","",INDEX(الإعدادات!$H$7:$H$18,MONTH(A1254)))</f>
        <v/>
      </c>
      <c r="Q1254" s="20">
        <f>IF(A1254="","",INDEX(الإعدادات!$I$7:$I$18,MONTH(A1254)))</f>
        <v/>
      </c>
      <c r="R1254" s="20">
        <f>IF(A1254="","",IF(MONTH(A1254)&gt;=8,YEAR(A1254)&amp;"-"&amp;(YEAR(A1254)+1),(YEAR(A1254)-1)&amp;"-"&amp;YEAR(A1254)))</f>
        <v/>
      </c>
      <c r="S1254" s="20">
        <f>IF(OR(A1254="",B1254=""),0,IF(AND(R1254=التقارير!$C$4,OR(التقارير!$C$5="سنوي",AND(التقارير!$C$5="شهري",P1254=التقارير!$C$6),AND(التقارير!$C$5="فصلي",Q1254=التقارير!$C$7))),1,0))</f>
        <v/>
      </c>
      <c r="T1254" s="20">
        <f>IF(S1254=1,COUNTIF($S$5:S1254,1),"")</f>
        <v/>
      </c>
      <c r="U1254">
        <f>IF(AND($A1254&lt;&gt;"",$B1254&lt;&gt;"",$R1254='تقرير الفصل الأول'!$C$4,$Q1254='تقرير الفصل الأول'!$C$7),COUNT(U$4:U1253)+1,"")</f>
        <v/>
      </c>
      <c r="V1254">
        <f>IF(AND($A1254&lt;&gt;"",$B1254&lt;&gt;"",$R1254='تقرير الفصل الثاني'!$C$4,$Q1254='تقرير الفصل الثاني'!$C$7),COUNT(V$4:V1253)+1,"")</f>
        <v/>
      </c>
      <c r="W1254">
        <f>IF(AND($A1254&lt;&gt;"",$B1254&lt;&gt;"",$R1254='تقرير سبتمبر'!$C$4,$P1254='تقرير سبتمبر'!$C$6),COUNT(W$4:W1253)+1,"")</f>
        <v/>
      </c>
      <c r="X1254">
        <f>IF(AND($A1254&lt;&gt;"",$B1254&lt;&gt;"",$R1254='تقرير أكتوبر'!$C$4,$P1254='تقرير أكتوبر'!$C$6),COUNT(X$4:X1253)+1,"")</f>
        <v/>
      </c>
      <c r="Y1254">
        <f>IF(AND($A1254&lt;&gt;"",$B1254&lt;&gt;"",$R1254='تقرير نوفمبر'!$C$4,$P1254='تقرير نوفمبر'!$C$6),COUNT(Y$4:Y1253)+1,"")</f>
        <v/>
      </c>
      <c r="Z1254">
        <f>IF(AND($A1254&lt;&gt;"",$B1254&lt;&gt;"",$R1254='تقرير ديسمبر'!$C$4,$P1254='تقرير ديسمبر'!$C$6),COUNT(Z$4:Z1253)+1,"")</f>
        <v/>
      </c>
      <c r="AA1254">
        <f>IF(AND($A1254&lt;&gt;"",$B1254&lt;&gt;"",$R1254='تقرير يناير'!$C$4,$P1254='تقرير يناير'!$C$6),COUNT(AA$4:AA1253)+1,"")</f>
        <v/>
      </c>
      <c r="AB1254">
        <f>IF(AND($A1254&lt;&gt;"",$B1254&lt;&gt;"",$R1254='تقرير فبراير'!$C$4,$P1254='تقرير فبراير'!$C$6),COUNT(AB$4:AB1253)+1,"")</f>
        <v/>
      </c>
      <c r="AC1254">
        <f>IF(AND($A1254&lt;&gt;"",$B1254&lt;&gt;"",$R1254='تقرير مارس'!$C$4,$P1254='تقرير مارس'!$C$6),COUNT(AC$4:AC1253)+1,"")</f>
        <v/>
      </c>
      <c r="AD1254">
        <f>IF(AND($A1254&lt;&gt;"",$B1254&lt;&gt;"",$R1254='تقرير أبريل'!$C$4,$P1254='تقرير أبريل'!$C$6),COUNT(AD$4:AD1253)+1,"")</f>
        <v/>
      </c>
      <c r="AE1254">
        <f>IF(AND($A1254&lt;&gt;"",$B1254&lt;&gt;"",$R1254='تقرير مايو'!$C$4,$P1254='تقرير مايو'!$C$6),COUNT(AE$4:AE1253)+1,"")</f>
        <v/>
      </c>
    </row>
    <row r="1255">
      <c r="A1255" s="16" t="n"/>
      <c r="B1255" s="17" t="n"/>
      <c r="C1255" s="17" t="n"/>
      <c r="D1255" s="18" t="n"/>
      <c r="E1255" s="17" t="n"/>
      <c r="F1255" s="17" t="n"/>
      <c r="G1255" s="19" t="n"/>
      <c r="H1255" s="17" t="n"/>
      <c r="I1255" s="17" t="n"/>
      <c r="J1255" s="17" t="n"/>
      <c r="K1255" s="20">
        <f>IF($B1255="","",IFERROR(INDEX(الموظفات!$A$5:$A$304,MATCH($B1255,الموظفات!$B$5:$B$304,0))&amp;"",""))</f>
        <v/>
      </c>
      <c r="L1255" s="21">
        <f>IF($B1255="","",IFERROR(INDEX(الموظفات!$C$5:$C$304,MATCH($B1255,الموظفات!$B$5:$B$304,0))&amp;"",""))</f>
        <v/>
      </c>
      <c r="M1255" s="20">
        <f>IF($B1255="","",IFERROR(INDEX(الموظفات!$D$5:$D$304,MATCH($B1255,الموظفات!$B$5:$B$304,0))&amp;"",""))</f>
        <v/>
      </c>
      <c r="N1255" s="20">
        <f>IF($B1255="","",IFERROR(INDEX(الموظفات!$E$5:$E$304,MATCH($B1255,الموظفات!$B$5:$B$304,0))&amp;"",""))</f>
        <v/>
      </c>
      <c r="O1255" s="21">
        <f>IF(C1255="","",IFERROR(INDEX(الإعدادات!$D$7:$D$35,MATCH(C1255,الإعدادات!$A$7:$A$35,0))&amp;"",""))</f>
        <v/>
      </c>
      <c r="P1255" s="20">
        <f>IF(A1255="","",INDEX(الإعدادات!$H$7:$H$18,MONTH(A1255)))</f>
        <v/>
      </c>
      <c r="Q1255" s="20">
        <f>IF(A1255="","",INDEX(الإعدادات!$I$7:$I$18,MONTH(A1255)))</f>
        <v/>
      </c>
      <c r="R1255" s="20">
        <f>IF(A1255="","",IF(MONTH(A1255)&gt;=8,YEAR(A1255)&amp;"-"&amp;(YEAR(A1255)+1),(YEAR(A1255)-1)&amp;"-"&amp;YEAR(A1255)))</f>
        <v/>
      </c>
      <c r="S1255" s="20">
        <f>IF(OR(A1255="",B1255=""),0,IF(AND(R1255=التقارير!$C$4,OR(التقارير!$C$5="سنوي",AND(التقارير!$C$5="شهري",P1255=التقارير!$C$6),AND(التقارير!$C$5="فصلي",Q1255=التقارير!$C$7))),1,0))</f>
        <v/>
      </c>
      <c r="T1255" s="20">
        <f>IF(S1255=1,COUNTIF($S$5:S1255,1),"")</f>
        <v/>
      </c>
      <c r="U1255">
        <f>IF(AND($A1255&lt;&gt;"",$B1255&lt;&gt;"",$R1255='تقرير الفصل الأول'!$C$4,$Q1255='تقرير الفصل الأول'!$C$7),COUNT(U$4:U1254)+1,"")</f>
        <v/>
      </c>
      <c r="V1255">
        <f>IF(AND($A1255&lt;&gt;"",$B1255&lt;&gt;"",$R1255='تقرير الفصل الثاني'!$C$4,$Q1255='تقرير الفصل الثاني'!$C$7),COUNT(V$4:V1254)+1,"")</f>
        <v/>
      </c>
      <c r="W1255">
        <f>IF(AND($A1255&lt;&gt;"",$B1255&lt;&gt;"",$R1255='تقرير سبتمبر'!$C$4,$P1255='تقرير سبتمبر'!$C$6),COUNT(W$4:W1254)+1,"")</f>
        <v/>
      </c>
      <c r="X1255">
        <f>IF(AND($A1255&lt;&gt;"",$B1255&lt;&gt;"",$R1255='تقرير أكتوبر'!$C$4,$P1255='تقرير أكتوبر'!$C$6),COUNT(X$4:X1254)+1,"")</f>
        <v/>
      </c>
      <c r="Y1255">
        <f>IF(AND($A1255&lt;&gt;"",$B1255&lt;&gt;"",$R1255='تقرير نوفمبر'!$C$4,$P1255='تقرير نوفمبر'!$C$6),COUNT(Y$4:Y1254)+1,"")</f>
        <v/>
      </c>
      <c r="Z1255">
        <f>IF(AND($A1255&lt;&gt;"",$B1255&lt;&gt;"",$R1255='تقرير ديسمبر'!$C$4,$P1255='تقرير ديسمبر'!$C$6),COUNT(Z$4:Z1254)+1,"")</f>
        <v/>
      </c>
      <c r="AA1255">
        <f>IF(AND($A1255&lt;&gt;"",$B1255&lt;&gt;"",$R1255='تقرير يناير'!$C$4,$P1255='تقرير يناير'!$C$6),COUNT(AA$4:AA1254)+1,"")</f>
        <v/>
      </c>
      <c r="AB1255">
        <f>IF(AND($A1255&lt;&gt;"",$B1255&lt;&gt;"",$R1255='تقرير فبراير'!$C$4,$P1255='تقرير فبراير'!$C$6),COUNT(AB$4:AB1254)+1,"")</f>
        <v/>
      </c>
      <c r="AC1255">
        <f>IF(AND($A1255&lt;&gt;"",$B1255&lt;&gt;"",$R1255='تقرير مارس'!$C$4,$P1255='تقرير مارس'!$C$6),COUNT(AC$4:AC1254)+1,"")</f>
        <v/>
      </c>
      <c r="AD1255">
        <f>IF(AND($A1255&lt;&gt;"",$B1255&lt;&gt;"",$R1255='تقرير أبريل'!$C$4,$P1255='تقرير أبريل'!$C$6),COUNT(AD$4:AD1254)+1,"")</f>
        <v/>
      </c>
      <c r="AE1255">
        <f>IF(AND($A1255&lt;&gt;"",$B1255&lt;&gt;"",$R1255='تقرير مايو'!$C$4,$P1255='تقرير مايو'!$C$6),COUNT(AE$4:AE1254)+1,"")</f>
        <v/>
      </c>
    </row>
    <row r="1256">
      <c r="A1256" s="16" t="n"/>
      <c r="B1256" s="17" t="n"/>
      <c r="C1256" s="17" t="n"/>
      <c r="D1256" s="18" t="n"/>
      <c r="E1256" s="17" t="n"/>
      <c r="F1256" s="17" t="n"/>
      <c r="G1256" s="19" t="n"/>
      <c r="H1256" s="17" t="n"/>
      <c r="I1256" s="17" t="n"/>
      <c r="J1256" s="17" t="n"/>
      <c r="K1256" s="20">
        <f>IF($B1256="","",IFERROR(INDEX(الموظفات!$A$5:$A$304,MATCH($B1256,الموظفات!$B$5:$B$304,0))&amp;"",""))</f>
        <v/>
      </c>
      <c r="L1256" s="21">
        <f>IF($B1256="","",IFERROR(INDEX(الموظفات!$C$5:$C$304,MATCH($B1256,الموظفات!$B$5:$B$304,0))&amp;"",""))</f>
        <v/>
      </c>
      <c r="M1256" s="20">
        <f>IF($B1256="","",IFERROR(INDEX(الموظفات!$D$5:$D$304,MATCH($B1256,الموظفات!$B$5:$B$304,0))&amp;"",""))</f>
        <v/>
      </c>
      <c r="N1256" s="20">
        <f>IF($B1256="","",IFERROR(INDEX(الموظفات!$E$5:$E$304,MATCH($B1256,الموظفات!$B$5:$B$304,0))&amp;"",""))</f>
        <v/>
      </c>
      <c r="O1256" s="21">
        <f>IF(C1256="","",IFERROR(INDEX(الإعدادات!$D$7:$D$35,MATCH(C1256,الإعدادات!$A$7:$A$35,0))&amp;"",""))</f>
        <v/>
      </c>
      <c r="P1256" s="20">
        <f>IF(A1256="","",INDEX(الإعدادات!$H$7:$H$18,MONTH(A1256)))</f>
        <v/>
      </c>
      <c r="Q1256" s="20">
        <f>IF(A1256="","",INDEX(الإعدادات!$I$7:$I$18,MONTH(A1256)))</f>
        <v/>
      </c>
      <c r="R1256" s="20">
        <f>IF(A1256="","",IF(MONTH(A1256)&gt;=8,YEAR(A1256)&amp;"-"&amp;(YEAR(A1256)+1),(YEAR(A1256)-1)&amp;"-"&amp;YEAR(A1256)))</f>
        <v/>
      </c>
      <c r="S1256" s="20">
        <f>IF(OR(A1256="",B1256=""),0,IF(AND(R1256=التقارير!$C$4,OR(التقارير!$C$5="سنوي",AND(التقارير!$C$5="شهري",P1256=التقارير!$C$6),AND(التقارير!$C$5="فصلي",Q1256=التقارير!$C$7))),1,0))</f>
        <v/>
      </c>
      <c r="T1256" s="20">
        <f>IF(S1256=1,COUNTIF($S$5:S1256,1),"")</f>
        <v/>
      </c>
      <c r="U1256">
        <f>IF(AND($A1256&lt;&gt;"",$B1256&lt;&gt;"",$R1256='تقرير الفصل الأول'!$C$4,$Q1256='تقرير الفصل الأول'!$C$7),COUNT(U$4:U1255)+1,"")</f>
        <v/>
      </c>
      <c r="V1256">
        <f>IF(AND($A1256&lt;&gt;"",$B1256&lt;&gt;"",$R1256='تقرير الفصل الثاني'!$C$4,$Q1256='تقرير الفصل الثاني'!$C$7),COUNT(V$4:V1255)+1,"")</f>
        <v/>
      </c>
      <c r="W1256">
        <f>IF(AND($A1256&lt;&gt;"",$B1256&lt;&gt;"",$R1256='تقرير سبتمبر'!$C$4,$P1256='تقرير سبتمبر'!$C$6),COUNT(W$4:W1255)+1,"")</f>
        <v/>
      </c>
      <c r="X1256">
        <f>IF(AND($A1256&lt;&gt;"",$B1256&lt;&gt;"",$R1256='تقرير أكتوبر'!$C$4,$P1256='تقرير أكتوبر'!$C$6),COUNT(X$4:X1255)+1,"")</f>
        <v/>
      </c>
      <c r="Y1256">
        <f>IF(AND($A1256&lt;&gt;"",$B1256&lt;&gt;"",$R1256='تقرير نوفمبر'!$C$4,$P1256='تقرير نوفمبر'!$C$6),COUNT(Y$4:Y1255)+1,"")</f>
        <v/>
      </c>
      <c r="Z1256">
        <f>IF(AND($A1256&lt;&gt;"",$B1256&lt;&gt;"",$R1256='تقرير ديسمبر'!$C$4,$P1256='تقرير ديسمبر'!$C$6),COUNT(Z$4:Z1255)+1,"")</f>
        <v/>
      </c>
      <c r="AA1256">
        <f>IF(AND($A1256&lt;&gt;"",$B1256&lt;&gt;"",$R1256='تقرير يناير'!$C$4,$P1256='تقرير يناير'!$C$6),COUNT(AA$4:AA1255)+1,"")</f>
        <v/>
      </c>
      <c r="AB1256">
        <f>IF(AND($A1256&lt;&gt;"",$B1256&lt;&gt;"",$R1256='تقرير فبراير'!$C$4,$P1256='تقرير فبراير'!$C$6),COUNT(AB$4:AB1255)+1,"")</f>
        <v/>
      </c>
      <c r="AC1256">
        <f>IF(AND($A1256&lt;&gt;"",$B1256&lt;&gt;"",$R1256='تقرير مارس'!$C$4,$P1256='تقرير مارس'!$C$6),COUNT(AC$4:AC1255)+1,"")</f>
        <v/>
      </c>
      <c r="AD1256">
        <f>IF(AND($A1256&lt;&gt;"",$B1256&lt;&gt;"",$R1256='تقرير أبريل'!$C$4,$P1256='تقرير أبريل'!$C$6),COUNT(AD$4:AD1255)+1,"")</f>
        <v/>
      </c>
      <c r="AE1256">
        <f>IF(AND($A1256&lt;&gt;"",$B1256&lt;&gt;"",$R1256='تقرير مايو'!$C$4,$P1256='تقرير مايو'!$C$6),COUNT(AE$4:AE1255)+1,"")</f>
        <v/>
      </c>
    </row>
    <row r="1257">
      <c r="A1257" s="16" t="n"/>
      <c r="B1257" s="17" t="n"/>
      <c r="C1257" s="17" t="n"/>
      <c r="D1257" s="18" t="n"/>
      <c r="E1257" s="17" t="n"/>
      <c r="F1257" s="17" t="n"/>
      <c r="G1257" s="19" t="n"/>
      <c r="H1257" s="17" t="n"/>
      <c r="I1257" s="17" t="n"/>
      <c r="J1257" s="17" t="n"/>
      <c r="K1257" s="20">
        <f>IF($B1257="","",IFERROR(INDEX(الموظفات!$A$5:$A$304,MATCH($B1257,الموظفات!$B$5:$B$304,0))&amp;"",""))</f>
        <v/>
      </c>
      <c r="L1257" s="21">
        <f>IF($B1257="","",IFERROR(INDEX(الموظفات!$C$5:$C$304,MATCH($B1257,الموظفات!$B$5:$B$304,0))&amp;"",""))</f>
        <v/>
      </c>
      <c r="M1257" s="20">
        <f>IF($B1257="","",IFERROR(INDEX(الموظفات!$D$5:$D$304,MATCH($B1257,الموظفات!$B$5:$B$304,0))&amp;"",""))</f>
        <v/>
      </c>
      <c r="N1257" s="20">
        <f>IF($B1257="","",IFERROR(INDEX(الموظفات!$E$5:$E$304,MATCH($B1257,الموظفات!$B$5:$B$304,0))&amp;"",""))</f>
        <v/>
      </c>
      <c r="O1257" s="21">
        <f>IF(C1257="","",IFERROR(INDEX(الإعدادات!$D$7:$D$35,MATCH(C1257,الإعدادات!$A$7:$A$35,0))&amp;"",""))</f>
        <v/>
      </c>
      <c r="P1257" s="20">
        <f>IF(A1257="","",INDEX(الإعدادات!$H$7:$H$18,MONTH(A1257)))</f>
        <v/>
      </c>
      <c r="Q1257" s="20">
        <f>IF(A1257="","",INDEX(الإعدادات!$I$7:$I$18,MONTH(A1257)))</f>
        <v/>
      </c>
      <c r="R1257" s="20">
        <f>IF(A1257="","",IF(MONTH(A1257)&gt;=8,YEAR(A1257)&amp;"-"&amp;(YEAR(A1257)+1),(YEAR(A1257)-1)&amp;"-"&amp;YEAR(A1257)))</f>
        <v/>
      </c>
      <c r="S1257" s="20">
        <f>IF(OR(A1257="",B1257=""),0,IF(AND(R1257=التقارير!$C$4,OR(التقارير!$C$5="سنوي",AND(التقارير!$C$5="شهري",P1257=التقارير!$C$6),AND(التقارير!$C$5="فصلي",Q1257=التقارير!$C$7))),1,0))</f>
        <v/>
      </c>
      <c r="T1257" s="20">
        <f>IF(S1257=1,COUNTIF($S$5:S1257,1),"")</f>
        <v/>
      </c>
      <c r="U1257">
        <f>IF(AND($A1257&lt;&gt;"",$B1257&lt;&gt;"",$R1257='تقرير الفصل الأول'!$C$4,$Q1257='تقرير الفصل الأول'!$C$7),COUNT(U$4:U1256)+1,"")</f>
        <v/>
      </c>
      <c r="V1257">
        <f>IF(AND($A1257&lt;&gt;"",$B1257&lt;&gt;"",$R1257='تقرير الفصل الثاني'!$C$4,$Q1257='تقرير الفصل الثاني'!$C$7),COUNT(V$4:V1256)+1,"")</f>
        <v/>
      </c>
      <c r="W1257">
        <f>IF(AND($A1257&lt;&gt;"",$B1257&lt;&gt;"",$R1257='تقرير سبتمبر'!$C$4,$P1257='تقرير سبتمبر'!$C$6),COUNT(W$4:W1256)+1,"")</f>
        <v/>
      </c>
      <c r="X1257">
        <f>IF(AND($A1257&lt;&gt;"",$B1257&lt;&gt;"",$R1257='تقرير أكتوبر'!$C$4,$P1257='تقرير أكتوبر'!$C$6),COUNT(X$4:X1256)+1,"")</f>
        <v/>
      </c>
      <c r="Y1257">
        <f>IF(AND($A1257&lt;&gt;"",$B1257&lt;&gt;"",$R1257='تقرير نوفمبر'!$C$4,$P1257='تقرير نوفمبر'!$C$6),COUNT(Y$4:Y1256)+1,"")</f>
        <v/>
      </c>
      <c r="Z1257">
        <f>IF(AND($A1257&lt;&gt;"",$B1257&lt;&gt;"",$R1257='تقرير ديسمبر'!$C$4,$P1257='تقرير ديسمبر'!$C$6),COUNT(Z$4:Z1256)+1,"")</f>
        <v/>
      </c>
      <c r="AA1257">
        <f>IF(AND($A1257&lt;&gt;"",$B1257&lt;&gt;"",$R1257='تقرير يناير'!$C$4,$P1257='تقرير يناير'!$C$6),COUNT(AA$4:AA1256)+1,"")</f>
        <v/>
      </c>
      <c r="AB1257">
        <f>IF(AND($A1257&lt;&gt;"",$B1257&lt;&gt;"",$R1257='تقرير فبراير'!$C$4,$P1257='تقرير فبراير'!$C$6),COUNT(AB$4:AB1256)+1,"")</f>
        <v/>
      </c>
      <c r="AC1257">
        <f>IF(AND($A1257&lt;&gt;"",$B1257&lt;&gt;"",$R1257='تقرير مارس'!$C$4,$P1257='تقرير مارس'!$C$6),COUNT(AC$4:AC1256)+1,"")</f>
        <v/>
      </c>
      <c r="AD1257">
        <f>IF(AND($A1257&lt;&gt;"",$B1257&lt;&gt;"",$R1257='تقرير أبريل'!$C$4,$P1257='تقرير أبريل'!$C$6),COUNT(AD$4:AD1256)+1,"")</f>
        <v/>
      </c>
      <c r="AE1257">
        <f>IF(AND($A1257&lt;&gt;"",$B1257&lt;&gt;"",$R1257='تقرير مايو'!$C$4,$P1257='تقرير مايو'!$C$6),COUNT(AE$4:AE1256)+1,"")</f>
        <v/>
      </c>
    </row>
    <row r="1258">
      <c r="A1258" s="16" t="n"/>
      <c r="B1258" s="17" t="n"/>
      <c r="C1258" s="17" t="n"/>
      <c r="D1258" s="18" t="n"/>
      <c r="E1258" s="17" t="n"/>
      <c r="F1258" s="17" t="n"/>
      <c r="G1258" s="19" t="n"/>
      <c r="H1258" s="17" t="n"/>
      <c r="I1258" s="17" t="n"/>
      <c r="J1258" s="17" t="n"/>
      <c r="K1258" s="20">
        <f>IF($B1258="","",IFERROR(INDEX(الموظفات!$A$5:$A$304,MATCH($B1258,الموظفات!$B$5:$B$304,0))&amp;"",""))</f>
        <v/>
      </c>
      <c r="L1258" s="21">
        <f>IF($B1258="","",IFERROR(INDEX(الموظفات!$C$5:$C$304,MATCH($B1258,الموظفات!$B$5:$B$304,0))&amp;"",""))</f>
        <v/>
      </c>
      <c r="M1258" s="20">
        <f>IF($B1258="","",IFERROR(INDEX(الموظفات!$D$5:$D$304,MATCH($B1258,الموظفات!$B$5:$B$304,0))&amp;"",""))</f>
        <v/>
      </c>
      <c r="N1258" s="20">
        <f>IF($B1258="","",IFERROR(INDEX(الموظفات!$E$5:$E$304,MATCH($B1258,الموظفات!$B$5:$B$304,0))&amp;"",""))</f>
        <v/>
      </c>
      <c r="O1258" s="21">
        <f>IF(C1258="","",IFERROR(INDEX(الإعدادات!$D$7:$D$35,MATCH(C1258,الإعدادات!$A$7:$A$35,0))&amp;"",""))</f>
        <v/>
      </c>
      <c r="P1258" s="20">
        <f>IF(A1258="","",INDEX(الإعدادات!$H$7:$H$18,MONTH(A1258)))</f>
        <v/>
      </c>
      <c r="Q1258" s="20">
        <f>IF(A1258="","",INDEX(الإعدادات!$I$7:$I$18,MONTH(A1258)))</f>
        <v/>
      </c>
      <c r="R1258" s="20">
        <f>IF(A1258="","",IF(MONTH(A1258)&gt;=8,YEAR(A1258)&amp;"-"&amp;(YEAR(A1258)+1),(YEAR(A1258)-1)&amp;"-"&amp;YEAR(A1258)))</f>
        <v/>
      </c>
      <c r="S1258" s="20">
        <f>IF(OR(A1258="",B1258=""),0,IF(AND(R1258=التقارير!$C$4,OR(التقارير!$C$5="سنوي",AND(التقارير!$C$5="شهري",P1258=التقارير!$C$6),AND(التقارير!$C$5="فصلي",Q1258=التقارير!$C$7))),1,0))</f>
        <v/>
      </c>
      <c r="T1258" s="20">
        <f>IF(S1258=1,COUNTIF($S$5:S1258,1),"")</f>
        <v/>
      </c>
      <c r="U1258">
        <f>IF(AND($A1258&lt;&gt;"",$B1258&lt;&gt;"",$R1258='تقرير الفصل الأول'!$C$4,$Q1258='تقرير الفصل الأول'!$C$7),COUNT(U$4:U1257)+1,"")</f>
        <v/>
      </c>
      <c r="V1258">
        <f>IF(AND($A1258&lt;&gt;"",$B1258&lt;&gt;"",$R1258='تقرير الفصل الثاني'!$C$4,$Q1258='تقرير الفصل الثاني'!$C$7),COUNT(V$4:V1257)+1,"")</f>
        <v/>
      </c>
      <c r="W1258">
        <f>IF(AND($A1258&lt;&gt;"",$B1258&lt;&gt;"",$R1258='تقرير سبتمبر'!$C$4,$P1258='تقرير سبتمبر'!$C$6),COUNT(W$4:W1257)+1,"")</f>
        <v/>
      </c>
      <c r="X1258">
        <f>IF(AND($A1258&lt;&gt;"",$B1258&lt;&gt;"",$R1258='تقرير أكتوبر'!$C$4,$P1258='تقرير أكتوبر'!$C$6),COUNT(X$4:X1257)+1,"")</f>
        <v/>
      </c>
      <c r="Y1258">
        <f>IF(AND($A1258&lt;&gt;"",$B1258&lt;&gt;"",$R1258='تقرير نوفمبر'!$C$4,$P1258='تقرير نوفمبر'!$C$6),COUNT(Y$4:Y1257)+1,"")</f>
        <v/>
      </c>
      <c r="Z1258">
        <f>IF(AND($A1258&lt;&gt;"",$B1258&lt;&gt;"",$R1258='تقرير ديسمبر'!$C$4,$P1258='تقرير ديسمبر'!$C$6),COUNT(Z$4:Z1257)+1,"")</f>
        <v/>
      </c>
      <c r="AA1258">
        <f>IF(AND($A1258&lt;&gt;"",$B1258&lt;&gt;"",$R1258='تقرير يناير'!$C$4,$P1258='تقرير يناير'!$C$6),COUNT(AA$4:AA1257)+1,"")</f>
        <v/>
      </c>
      <c r="AB1258">
        <f>IF(AND($A1258&lt;&gt;"",$B1258&lt;&gt;"",$R1258='تقرير فبراير'!$C$4,$P1258='تقرير فبراير'!$C$6),COUNT(AB$4:AB1257)+1,"")</f>
        <v/>
      </c>
      <c r="AC1258">
        <f>IF(AND($A1258&lt;&gt;"",$B1258&lt;&gt;"",$R1258='تقرير مارس'!$C$4,$P1258='تقرير مارس'!$C$6),COUNT(AC$4:AC1257)+1,"")</f>
        <v/>
      </c>
      <c r="AD1258">
        <f>IF(AND($A1258&lt;&gt;"",$B1258&lt;&gt;"",$R1258='تقرير أبريل'!$C$4,$P1258='تقرير أبريل'!$C$6),COUNT(AD$4:AD1257)+1,"")</f>
        <v/>
      </c>
      <c r="AE1258">
        <f>IF(AND($A1258&lt;&gt;"",$B1258&lt;&gt;"",$R1258='تقرير مايو'!$C$4,$P1258='تقرير مايو'!$C$6),COUNT(AE$4:AE1257)+1,"")</f>
        <v/>
      </c>
    </row>
    <row r="1259">
      <c r="A1259" s="16" t="n"/>
      <c r="B1259" s="17" t="n"/>
      <c r="C1259" s="17" t="n"/>
      <c r="D1259" s="18" t="n"/>
      <c r="E1259" s="17" t="n"/>
      <c r="F1259" s="17" t="n"/>
      <c r="G1259" s="19" t="n"/>
      <c r="H1259" s="17" t="n"/>
      <c r="I1259" s="17" t="n"/>
      <c r="J1259" s="17" t="n"/>
      <c r="K1259" s="20">
        <f>IF($B1259="","",IFERROR(INDEX(الموظفات!$A$5:$A$304,MATCH($B1259,الموظفات!$B$5:$B$304,0))&amp;"",""))</f>
        <v/>
      </c>
      <c r="L1259" s="21">
        <f>IF($B1259="","",IFERROR(INDEX(الموظفات!$C$5:$C$304,MATCH($B1259,الموظفات!$B$5:$B$304,0))&amp;"",""))</f>
        <v/>
      </c>
      <c r="M1259" s="20">
        <f>IF($B1259="","",IFERROR(INDEX(الموظفات!$D$5:$D$304,MATCH($B1259,الموظفات!$B$5:$B$304,0))&amp;"",""))</f>
        <v/>
      </c>
      <c r="N1259" s="20">
        <f>IF($B1259="","",IFERROR(INDEX(الموظفات!$E$5:$E$304,MATCH($B1259,الموظفات!$B$5:$B$304,0))&amp;"",""))</f>
        <v/>
      </c>
      <c r="O1259" s="21">
        <f>IF(C1259="","",IFERROR(INDEX(الإعدادات!$D$7:$D$35,MATCH(C1259,الإعدادات!$A$7:$A$35,0))&amp;"",""))</f>
        <v/>
      </c>
      <c r="P1259" s="20">
        <f>IF(A1259="","",INDEX(الإعدادات!$H$7:$H$18,MONTH(A1259)))</f>
        <v/>
      </c>
      <c r="Q1259" s="20">
        <f>IF(A1259="","",INDEX(الإعدادات!$I$7:$I$18,MONTH(A1259)))</f>
        <v/>
      </c>
      <c r="R1259" s="20">
        <f>IF(A1259="","",IF(MONTH(A1259)&gt;=8,YEAR(A1259)&amp;"-"&amp;(YEAR(A1259)+1),(YEAR(A1259)-1)&amp;"-"&amp;YEAR(A1259)))</f>
        <v/>
      </c>
      <c r="S1259" s="20">
        <f>IF(OR(A1259="",B1259=""),0,IF(AND(R1259=التقارير!$C$4,OR(التقارير!$C$5="سنوي",AND(التقارير!$C$5="شهري",P1259=التقارير!$C$6),AND(التقارير!$C$5="فصلي",Q1259=التقارير!$C$7))),1,0))</f>
        <v/>
      </c>
      <c r="T1259" s="20">
        <f>IF(S1259=1,COUNTIF($S$5:S1259,1),"")</f>
        <v/>
      </c>
      <c r="U1259">
        <f>IF(AND($A1259&lt;&gt;"",$B1259&lt;&gt;"",$R1259='تقرير الفصل الأول'!$C$4,$Q1259='تقرير الفصل الأول'!$C$7),COUNT(U$4:U1258)+1,"")</f>
        <v/>
      </c>
      <c r="V1259">
        <f>IF(AND($A1259&lt;&gt;"",$B1259&lt;&gt;"",$R1259='تقرير الفصل الثاني'!$C$4,$Q1259='تقرير الفصل الثاني'!$C$7),COUNT(V$4:V1258)+1,"")</f>
        <v/>
      </c>
      <c r="W1259">
        <f>IF(AND($A1259&lt;&gt;"",$B1259&lt;&gt;"",$R1259='تقرير سبتمبر'!$C$4,$P1259='تقرير سبتمبر'!$C$6),COUNT(W$4:W1258)+1,"")</f>
        <v/>
      </c>
      <c r="X1259">
        <f>IF(AND($A1259&lt;&gt;"",$B1259&lt;&gt;"",$R1259='تقرير أكتوبر'!$C$4,$P1259='تقرير أكتوبر'!$C$6),COUNT(X$4:X1258)+1,"")</f>
        <v/>
      </c>
      <c r="Y1259">
        <f>IF(AND($A1259&lt;&gt;"",$B1259&lt;&gt;"",$R1259='تقرير نوفمبر'!$C$4,$P1259='تقرير نوفمبر'!$C$6),COUNT(Y$4:Y1258)+1,"")</f>
        <v/>
      </c>
      <c r="Z1259">
        <f>IF(AND($A1259&lt;&gt;"",$B1259&lt;&gt;"",$R1259='تقرير ديسمبر'!$C$4,$P1259='تقرير ديسمبر'!$C$6),COUNT(Z$4:Z1258)+1,"")</f>
        <v/>
      </c>
      <c r="AA1259">
        <f>IF(AND($A1259&lt;&gt;"",$B1259&lt;&gt;"",$R1259='تقرير يناير'!$C$4,$P1259='تقرير يناير'!$C$6),COUNT(AA$4:AA1258)+1,"")</f>
        <v/>
      </c>
      <c r="AB1259">
        <f>IF(AND($A1259&lt;&gt;"",$B1259&lt;&gt;"",$R1259='تقرير فبراير'!$C$4,$P1259='تقرير فبراير'!$C$6),COUNT(AB$4:AB1258)+1,"")</f>
        <v/>
      </c>
      <c r="AC1259">
        <f>IF(AND($A1259&lt;&gt;"",$B1259&lt;&gt;"",$R1259='تقرير مارس'!$C$4,$P1259='تقرير مارس'!$C$6),COUNT(AC$4:AC1258)+1,"")</f>
        <v/>
      </c>
      <c r="AD1259">
        <f>IF(AND($A1259&lt;&gt;"",$B1259&lt;&gt;"",$R1259='تقرير أبريل'!$C$4,$P1259='تقرير أبريل'!$C$6),COUNT(AD$4:AD1258)+1,"")</f>
        <v/>
      </c>
      <c r="AE1259">
        <f>IF(AND($A1259&lt;&gt;"",$B1259&lt;&gt;"",$R1259='تقرير مايو'!$C$4,$P1259='تقرير مايو'!$C$6),COUNT(AE$4:AE1258)+1,"")</f>
        <v/>
      </c>
    </row>
    <row r="1260">
      <c r="A1260" s="16" t="n"/>
      <c r="B1260" s="17" t="n"/>
      <c r="C1260" s="17" t="n"/>
      <c r="D1260" s="18" t="n"/>
      <c r="E1260" s="17" t="n"/>
      <c r="F1260" s="17" t="n"/>
      <c r="G1260" s="19" t="n"/>
      <c r="H1260" s="17" t="n"/>
      <c r="I1260" s="17" t="n"/>
      <c r="J1260" s="17" t="n"/>
      <c r="K1260" s="20">
        <f>IF($B1260="","",IFERROR(INDEX(الموظفات!$A$5:$A$304,MATCH($B1260,الموظفات!$B$5:$B$304,0))&amp;"",""))</f>
        <v/>
      </c>
      <c r="L1260" s="21">
        <f>IF($B1260="","",IFERROR(INDEX(الموظفات!$C$5:$C$304,MATCH($B1260,الموظفات!$B$5:$B$304,0))&amp;"",""))</f>
        <v/>
      </c>
      <c r="M1260" s="20">
        <f>IF($B1260="","",IFERROR(INDEX(الموظفات!$D$5:$D$304,MATCH($B1260,الموظفات!$B$5:$B$304,0))&amp;"",""))</f>
        <v/>
      </c>
      <c r="N1260" s="20">
        <f>IF($B1260="","",IFERROR(INDEX(الموظفات!$E$5:$E$304,MATCH($B1260,الموظفات!$B$5:$B$304,0))&amp;"",""))</f>
        <v/>
      </c>
      <c r="O1260" s="21">
        <f>IF(C1260="","",IFERROR(INDEX(الإعدادات!$D$7:$D$35,MATCH(C1260,الإعدادات!$A$7:$A$35,0))&amp;"",""))</f>
        <v/>
      </c>
      <c r="P1260" s="20">
        <f>IF(A1260="","",INDEX(الإعدادات!$H$7:$H$18,MONTH(A1260)))</f>
        <v/>
      </c>
      <c r="Q1260" s="20">
        <f>IF(A1260="","",INDEX(الإعدادات!$I$7:$I$18,MONTH(A1260)))</f>
        <v/>
      </c>
      <c r="R1260" s="20">
        <f>IF(A1260="","",IF(MONTH(A1260)&gt;=8,YEAR(A1260)&amp;"-"&amp;(YEAR(A1260)+1),(YEAR(A1260)-1)&amp;"-"&amp;YEAR(A1260)))</f>
        <v/>
      </c>
      <c r="S1260" s="20">
        <f>IF(OR(A1260="",B1260=""),0,IF(AND(R1260=التقارير!$C$4,OR(التقارير!$C$5="سنوي",AND(التقارير!$C$5="شهري",P1260=التقارير!$C$6),AND(التقارير!$C$5="فصلي",Q1260=التقارير!$C$7))),1,0))</f>
        <v/>
      </c>
      <c r="T1260" s="20">
        <f>IF(S1260=1,COUNTIF($S$5:S1260,1),"")</f>
        <v/>
      </c>
      <c r="U1260">
        <f>IF(AND($A1260&lt;&gt;"",$B1260&lt;&gt;"",$R1260='تقرير الفصل الأول'!$C$4,$Q1260='تقرير الفصل الأول'!$C$7),COUNT(U$4:U1259)+1,"")</f>
        <v/>
      </c>
      <c r="V1260">
        <f>IF(AND($A1260&lt;&gt;"",$B1260&lt;&gt;"",$R1260='تقرير الفصل الثاني'!$C$4,$Q1260='تقرير الفصل الثاني'!$C$7),COUNT(V$4:V1259)+1,"")</f>
        <v/>
      </c>
      <c r="W1260">
        <f>IF(AND($A1260&lt;&gt;"",$B1260&lt;&gt;"",$R1260='تقرير سبتمبر'!$C$4,$P1260='تقرير سبتمبر'!$C$6),COUNT(W$4:W1259)+1,"")</f>
        <v/>
      </c>
      <c r="X1260">
        <f>IF(AND($A1260&lt;&gt;"",$B1260&lt;&gt;"",$R1260='تقرير أكتوبر'!$C$4,$P1260='تقرير أكتوبر'!$C$6),COUNT(X$4:X1259)+1,"")</f>
        <v/>
      </c>
      <c r="Y1260">
        <f>IF(AND($A1260&lt;&gt;"",$B1260&lt;&gt;"",$R1260='تقرير نوفمبر'!$C$4,$P1260='تقرير نوفمبر'!$C$6),COUNT(Y$4:Y1259)+1,"")</f>
        <v/>
      </c>
      <c r="Z1260">
        <f>IF(AND($A1260&lt;&gt;"",$B1260&lt;&gt;"",$R1260='تقرير ديسمبر'!$C$4,$P1260='تقرير ديسمبر'!$C$6),COUNT(Z$4:Z1259)+1,"")</f>
        <v/>
      </c>
      <c r="AA1260">
        <f>IF(AND($A1260&lt;&gt;"",$B1260&lt;&gt;"",$R1260='تقرير يناير'!$C$4,$P1260='تقرير يناير'!$C$6),COUNT(AA$4:AA1259)+1,"")</f>
        <v/>
      </c>
      <c r="AB1260">
        <f>IF(AND($A1260&lt;&gt;"",$B1260&lt;&gt;"",$R1260='تقرير فبراير'!$C$4,$P1260='تقرير فبراير'!$C$6),COUNT(AB$4:AB1259)+1,"")</f>
        <v/>
      </c>
      <c r="AC1260">
        <f>IF(AND($A1260&lt;&gt;"",$B1260&lt;&gt;"",$R1260='تقرير مارس'!$C$4,$P1260='تقرير مارس'!$C$6),COUNT(AC$4:AC1259)+1,"")</f>
        <v/>
      </c>
      <c r="AD1260">
        <f>IF(AND($A1260&lt;&gt;"",$B1260&lt;&gt;"",$R1260='تقرير أبريل'!$C$4,$P1260='تقرير أبريل'!$C$6),COUNT(AD$4:AD1259)+1,"")</f>
        <v/>
      </c>
      <c r="AE1260">
        <f>IF(AND($A1260&lt;&gt;"",$B1260&lt;&gt;"",$R1260='تقرير مايو'!$C$4,$P1260='تقرير مايو'!$C$6),COUNT(AE$4:AE1259)+1,"")</f>
        <v/>
      </c>
    </row>
    <row r="1261">
      <c r="A1261" s="16" t="n"/>
      <c r="B1261" s="17" t="n"/>
      <c r="C1261" s="17" t="n"/>
      <c r="D1261" s="18" t="n"/>
      <c r="E1261" s="17" t="n"/>
      <c r="F1261" s="17" t="n"/>
      <c r="G1261" s="19" t="n"/>
      <c r="H1261" s="17" t="n"/>
      <c r="I1261" s="17" t="n"/>
      <c r="J1261" s="17" t="n"/>
      <c r="K1261" s="20">
        <f>IF($B1261="","",IFERROR(INDEX(الموظفات!$A$5:$A$304,MATCH($B1261,الموظفات!$B$5:$B$304,0))&amp;"",""))</f>
        <v/>
      </c>
      <c r="L1261" s="21">
        <f>IF($B1261="","",IFERROR(INDEX(الموظفات!$C$5:$C$304,MATCH($B1261,الموظفات!$B$5:$B$304,0))&amp;"",""))</f>
        <v/>
      </c>
      <c r="M1261" s="20">
        <f>IF($B1261="","",IFERROR(INDEX(الموظفات!$D$5:$D$304,MATCH($B1261,الموظفات!$B$5:$B$304,0))&amp;"",""))</f>
        <v/>
      </c>
      <c r="N1261" s="20">
        <f>IF($B1261="","",IFERROR(INDEX(الموظفات!$E$5:$E$304,MATCH($B1261,الموظفات!$B$5:$B$304,0))&amp;"",""))</f>
        <v/>
      </c>
      <c r="O1261" s="21">
        <f>IF(C1261="","",IFERROR(INDEX(الإعدادات!$D$7:$D$35,MATCH(C1261,الإعدادات!$A$7:$A$35,0))&amp;"",""))</f>
        <v/>
      </c>
      <c r="P1261" s="20">
        <f>IF(A1261="","",INDEX(الإعدادات!$H$7:$H$18,MONTH(A1261)))</f>
        <v/>
      </c>
      <c r="Q1261" s="20">
        <f>IF(A1261="","",INDEX(الإعدادات!$I$7:$I$18,MONTH(A1261)))</f>
        <v/>
      </c>
      <c r="R1261" s="20">
        <f>IF(A1261="","",IF(MONTH(A1261)&gt;=8,YEAR(A1261)&amp;"-"&amp;(YEAR(A1261)+1),(YEAR(A1261)-1)&amp;"-"&amp;YEAR(A1261)))</f>
        <v/>
      </c>
      <c r="S1261" s="20">
        <f>IF(OR(A1261="",B1261=""),0,IF(AND(R1261=التقارير!$C$4,OR(التقارير!$C$5="سنوي",AND(التقارير!$C$5="شهري",P1261=التقارير!$C$6),AND(التقارير!$C$5="فصلي",Q1261=التقارير!$C$7))),1,0))</f>
        <v/>
      </c>
      <c r="T1261" s="20">
        <f>IF(S1261=1,COUNTIF($S$5:S1261,1),"")</f>
        <v/>
      </c>
      <c r="U1261">
        <f>IF(AND($A1261&lt;&gt;"",$B1261&lt;&gt;"",$R1261='تقرير الفصل الأول'!$C$4,$Q1261='تقرير الفصل الأول'!$C$7),COUNT(U$4:U1260)+1,"")</f>
        <v/>
      </c>
      <c r="V1261">
        <f>IF(AND($A1261&lt;&gt;"",$B1261&lt;&gt;"",$R1261='تقرير الفصل الثاني'!$C$4,$Q1261='تقرير الفصل الثاني'!$C$7),COUNT(V$4:V1260)+1,"")</f>
        <v/>
      </c>
      <c r="W1261">
        <f>IF(AND($A1261&lt;&gt;"",$B1261&lt;&gt;"",$R1261='تقرير سبتمبر'!$C$4,$P1261='تقرير سبتمبر'!$C$6),COUNT(W$4:W1260)+1,"")</f>
        <v/>
      </c>
      <c r="X1261">
        <f>IF(AND($A1261&lt;&gt;"",$B1261&lt;&gt;"",$R1261='تقرير أكتوبر'!$C$4,$P1261='تقرير أكتوبر'!$C$6),COUNT(X$4:X1260)+1,"")</f>
        <v/>
      </c>
      <c r="Y1261">
        <f>IF(AND($A1261&lt;&gt;"",$B1261&lt;&gt;"",$R1261='تقرير نوفمبر'!$C$4,$P1261='تقرير نوفمبر'!$C$6),COUNT(Y$4:Y1260)+1,"")</f>
        <v/>
      </c>
      <c r="Z1261">
        <f>IF(AND($A1261&lt;&gt;"",$B1261&lt;&gt;"",$R1261='تقرير ديسمبر'!$C$4,$P1261='تقرير ديسمبر'!$C$6),COUNT(Z$4:Z1260)+1,"")</f>
        <v/>
      </c>
      <c r="AA1261">
        <f>IF(AND($A1261&lt;&gt;"",$B1261&lt;&gt;"",$R1261='تقرير يناير'!$C$4,$P1261='تقرير يناير'!$C$6),COUNT(AA$4:AA1260)+1,"")</f>
        <v/>
      </c>
      <c r="AB1261">
        <f>IF(AND($A1261&lt;&gt;"",$B1261&lt;&gt;"",$R1261='تقرير فبراير'!$C$4,$P1261='تقرير فبراير'!$C$6),COUNT(AB$4:AB1260)+1,"")</f>
        <v/>
      </c>
      <c r="AC1261">
        <f>IF(AND($A1261&lt;&gt;"",$B1261&lt;&gt;"",$R1261='تقرير مارس'!$C$4,$P1261='تقرير مارس'!$C$6),COUNT(AC$4:AC1260)+1,"")</f>
        <v/>
      </c>
      <c r="AD1261">
        <f>IF(AND($A1261&lt;&gt;"",$B1261&lt;&gt;"",$R1261='تقرير أبريل'!$C$4,$P1261='تقرير أبريل'!$C$6),COUNT(AD$4:AD1260)+1,"")</f>
        <v/>
      </c>
      <c r="AE1261">
        <f>IF(AND($A1261&lt;&gt;"",$B1261&lt;&gt;"",$R1261='تقرير مايو'!$C$4,$P1261='تقرير مايو'!$C$6),COUNT(AE$4:AE1260)+1,"")</f>
        <v/>
      </c>
    </row>
    <row r="1262">
      <c r="A1262" s="16" t="n"/>
      <c r="B1262" s="17" t="n"/>
      <c r="C1262" s="17" t="n"/>
      <c r="D1262" s="18" t="n"/>
      <c r="E1262" s="17" t="n"/>
      <c r="F1262" s="17" t="n"/>
      <c r="G1262" s="19" t="n"/>
      <c r="H1262" s="17" t="n"/>
      <c r="I1262" s="17" t="n"/>
      <c r="J1262" s="17" t="n"/>
      <c r="K1262" s="20">
        <f>IF($B1262="","",IFERROR(INDEX(الموظفات!$A$5:$A$304,MATCH($B1262,الموظفات!$B$5:$B$304,0))&amp;"",""))</f>
        <v/>
      </c>
      <c r="L1262" s="21">
        <f>IF($B1262="","",IFERROR(INDEX(الموظفات!$C$5:$C$304,MATCH($B1262,الموظفات!$B$5:$B$304,0))&amp;"",""))</f>
        <v/>
      </c>
      <c r="M1262" s="20">
        <f>IF($B1262="","",IFERROR(INDEX(الموظفات!$D$5:$D$304,MATCH($B1262,الموظفات!$B$5:$B$304,0))&amp;"",""))</f>
        <v/>
      </c>
      <c r="N1262" s="20">
        <f>IF($B1262="","",IFERROR(INDEX(الموظفات!$E$5:$E$304,MATCH($B1262,الموظفات!$B$5:$B$304,0))&amp;"",""))</f>
        <v/>
      </c>
      <c r="O1262" s="21">
        <f>IF(C1262="","",IFERROR(INDEX(الإعدادات!$D$7:$D$35,MATCH(C1262,الإعدادات!$A$7:$A$35,0))&amp;"",""))</f>
        <v/>
      </c>
      <c r="P1262" s="20">
        <f>IF(A1262="","",INDEX(الإعدادات!$H$7:$H$18,MONTH(A1262)))</f>
        <v/>
      </c>
      <c r="Q1262" s="20">
        <f>IF(A1262="","",INDEX(الإعدادات!$I$7:$I$18,MONTH(A1262)))</f>
        <v/>
      </c>
      <c r="R1262" s="20">
        <f>IF(A1262="","",IF(MONTH(A1262)&gt;=8,YEAR(A1262)&amp;"-"&amp;(YEAR(A1262)+1),(YEAR(A1262)-1)&amp;"-"&amp;YEAR(A1262)))</f>
        <v/>
      </c>
      <c r="S1262" s="20">
        <f>IF(OR(A1262="",B1262=""),0,IF(AND(R1262=التقارير!$C$4,OR(التقارير!$C$5="سنوي",AND(التقارير!$C$5="شهري",P1262=التقارير!$C$6),AND(التقارير!$C$5="فصلي",Q1262=التقارير!$C$7))),1,0))</f>
        <v/>
      </c>
      <c r="T1262" s="20">
        <f>IF(S1262=1,COUNTIF($S$5:S1262,1),"")</f>
        <v/>
      </c>
      <c r="U1262">
        <f>IF(AND($A1262&lt;&gt;"",$B1262&lt;&gt;"",$R1262='تقرير الفصل الأول'!$C$4,$Q1262='تقرير الفصل الأول'!$C$7),COUNT(U$4:U1261)+1,"")</f>
        <v/>
      </c>
      <c r="V1262">
        <f>IF(AND($A1262&lt;&gt;"",$B1262&lt;&gt;"",$R1262='تقرير الفصل الثاني'!$C$4,$Q1262='تقرير الفصل الثاني'!$C$7),COUNT(V$4:V1261)+1,"")</f>
        <v/>
      </c>
      <c r="W1262">
        <f>IF(AND($A1262&lt;&gt;"",$B1262&lt;&gt;"",$R1262='تقرير سبتمبر'!$C$4,$P1262='تقرير سبتمبر'!$C$6),COUNT(W$4:W1261)+1,"")</f>
        <v/>
      </c>
      <c r="X1262">
        <f>IF(AND($A1262&lt;&gt;"",$B1262&lt;&gt;"",$R1262='تقرير أكتوبر'!$C$4,$P1262='تقرير أكتوبر'!$C$6),COUNT(X$4:X1261)+1,"")</f>
        <v/>
      </c>
      <c r="Y1262">
        <f>IF(AND($A1262&lt;&gt;"",$B1262&lt;&gt;"",$R1262='تقرير نوفمبر'!$C$4,$P1262='تقرير نوفمبر'!$C$6),COUNT(Y$4:Y1261)+1,"")</f>
        <v/>
      </c>
      <c r="Z1262">
        <f>IF(AND($A1262&lt;&gt;"",$B1262&lt;&gt;"",$R1262='تقرير ديسمبر'!$C$4,$P1262='تقرير ديسمبر'!$C$6),COUNT(Z$4:Z1261)+1,"")</f>
        <v/>
      </c>
      <c r="AA1262">
        <f>IF(AND($A1262&lt;&gt;"",$B1262&lt;&gt;"",$R1262='تقرير يناير'!$C$4,$P1262='تقرير يناير'!$C$6),COUNT(AA$4:AA1261)+1,"")</f>
        <v/>
      </c>
      <c r="AB1262">
        <f>IF(AND($A1262&lt;&gt;"",$B1262&lt;&gt;"",$R1262='تقرير فبراير'!$C$4,$P1262='تقرير فبراير'!$C$6),COUNT(AB$4:AB1261)+1,"")</f>
        <v/>
      </c>
      <c r="AC1262">
        <f>IF(AND($A1262&lt;&gt;"",$B1262&lt;&gt;"",$R1262='تقرير مارس'!$C$4,$P1262='تقرير مارس'!$C$6),COUNT(AC$4:AC1261)+1,"")</f>
        <v/>
      </c>
      <c r="AD1262">
        <f>IF(AND($A1262&lt;&gt;"",$B1262&lt;&gt;"",$R1262='تقرير أبريل'!$C$4,$P1262='تقرير أبريل'!$C$6),COUNT(AD$4:AD1261)+1,"")</f>
        <v/>
      </c>
      <c r="AE1262">
        <f>IF(AND($A1262&lt;&gt;"",$B1262&lt;&gt;"",$R1262='تقرير مايو'!$C$4,$P1262='تقرير مايو'!$C$6),COUNT(AE$4:AE1261)+1,"")</f>
        <v/>
      </c>
    </row>
    <row r="1263">
      <c r="A1263" s="16" t="n"/>
      <c r="B1263" s="17" t="n"/>
      <c r="C1263" s="17" t="n"/>
      <c r="D1263" s="18" t="n"/>
      <c r="E1263" s="17" t="n"/>
      <c r="F1263" s="17" t="n"/>
      <c r="G1263" s="19" t="n"/>
      <c r="H1263" s="17" t="n"/>
      <c r="I1263" s="17" t="n"/>
      <c r="J1263" s="17" t="n"/>
      <c r="K1263" s="20">
        <f>IF($B1263="","",IFERROR(INDEX(الموظفات!$A$5:$A$304,MATCH($B1263,الموظفات!$B$5:$B$304,0))&amp;"",""))</f>
        <v/>
      </c>
      <c r="L1263" s="21">
        <f>IF($B1263="","",IFERROR(INDEX(الموظفات!$C$5:$C$304,MATCH($B1263,الموظفات!$B$5:$B$304,0))&amp;"",""))</f>
        <v/>
      </c>
      <c r="M1263" s="20">
        <f>IF($B1263="","",IFERROR(INDEX(الموظفات!$D$5:$D$304,MATCH($B1263,الموظفات!$B$5:$B$304,0))&amp;"",""))</f>
        <v/>
      </c>
      <c r="N1263" s="20">
        <f>IF($B1263="","",IFERROR(INDEX(الموظفات!$E$5:$E$304,MATCH($B1263,الموظفات!$B$5:$B$304,0))&amp;"",""))</f>
        <v/>
      </c>
      <c r="O1263" s="21">
        <f>IF(C1263="","",IFERROR(INDEX(الإعدادات!$D$7:$D$35,MATCH(C1263,الإعدادات!$A$7:$A$35,0))&amp;"",""))</f>
        <v/>
      </c>
      <c r="P1263" s="20">
        <f>IF(A1263="","",INDEX(الإعدادات!$H$7:$H$18,MONTH(A1263)))</f>
        <v/>
      </c>
      <c r="Q1263" s="20">
        <f>IF(A1263="","",INDEX(الإعدادات!$I$7:$I$18,MONTH(A1263)))</f>
        <v/>
      </c>
      <c r="R1263" s="20">
        <f>IF(A1263="","",IF(MONTH(A1263)&gt;=8,YEAR(A1263)&amp;"-"&amp;(YEAR(A1263)+1),(YEAR(A1263)-1)&amp;"-"&amp;YEAR(A1263)))</f>
        <v/>
      </c>
      <c r="S1263" s="20">
        <f>IF(OR(A1263="",B1263=""),0,IF(AND(R1263=التقارير!$C$4,OR(التقارير!$C$5="سنوي",AND(التقارير!$C$5="شهري",P1263=التقارير!$C$6),AND(التقارير!$C$5="فصلي",Q1263=التقارير!$C$7))),1,0))</f>
        <v/>
      </c>
      <c r="T1263" s="20">
        <f>IF(S1263=1,COUNTIF($S$5:S1263,1),"")</f>
        <v/>
      </c>
      <c r="U1263">
        <f>IF(AND($A1263&lt;&gt;"",$B1263&lt;&gt;"",$R1263='تقرير الفصل الأول'!$C$4,$Q1263='تقرير الفصل الأول'!$C$7),COUNT(U$4:U1262)+1,"")</f>
        <v/>
      </c>
      <c r="V1263">
        <f>IF(AND($A1263&lt;&gt;"",$B1263&lt;&gt;"",$R1263='تقرير الفصل الثاني'!$C$4,$Q1263='تقرير الفصل الثاني'!$C$7),COUNT(V$4:V1262)+1,"")</f>
        <v/>
      </c>
      <c r="W1263">
        <f>IF(AND($A1263&lt;&gt;"",$B1263&lt;&gt;"",$R1263='تقرير سبتمبر'!$C$4,$P1263='تقرير سبتمبر'!$C$6),COUNT(W$4:W1262)+1,"")</f>
        <v/>
      </c>
      <c r="X1263">
        <f>IF(AND($A1263&lt;&gt;"",$B1263&lt;&gt;"",$R1263='تقرير أكتوبر'!$C$4,$P1263='تقرير أكتوبر'!$C$6),COUNT(X$4:X1262)+1,"")</f>
        <v/>
      </c>
      <c r="Y1263">
        <f>IF(AND($A1263&lt;&gt;"",$B1263&lt;&gt;"",$R1263='تقرير نوفمبر'!$C$4,$P1263='تقرير نوفمبر'!$C$6),COUNT(Y$4:Y1262)+1,"")</f>
        <v/>
      </c>
      <c r="Z1263">
        <f>IF(AND($A1263&lt;&gt;"",$B1263&lt;&gt;"",$R1263='تقرير ديسمبر'!$C$4,$P1263='تقرير ديسمبر'!$C$6),COUNT(Z$4:Z1262)+1,"")</f>
        <v/>
      </c>
      <c r="AA1263">
        <f>IF(AND($A1263&lt;&gt;"",$B1263&lt;&gt;"",$R1263='تقرير يناير'!$C$4,$P1263='تقرير يناير'!$C$6),COUNT(AA$4:AA1262)+1,"")</f>
        <v/>
      </c>
      <c r="AB1263">
        <f>IF(AND($A1263&lt;&gt;"",$B1263&lt;&gt;"",$R1263='تقرير فبراير'!$C$4,$P1263='تقرير فبراير'!$C$6),COUNT(AB$4:AB1262)+1,"")</f>
        <v/>
      </c>
      <c r="AC1263">
        <f>IF(AND($A1263&lt;&gt;"",$B1263&lt;&gt;"",$R1263='تقرير مارس'!$C$4,$P1263='تقرير مارس'!$C$6),COUNT(AC$4:AC1262)+1,"")</f>
        <v/>
      </c>
      <c r="AD1263">
        <f>IF(AND($A1263&lt;&gt;"",$B1263&lt;&gt;"",$R1263='تقرير أبريل'!$C$4,$P1263='تقرير أبريل'!$C$6),COUNT(AD$4:AD1262)+1,"")</f>
        <v/>
      </c>
      <c r="AE1263">
        <f>IF(AND($A1263&lt;&gt;"",$B1263&lt;&gt;"",$R1263='تقرير مايو'!$C$4,$P1263='تقرير مايو'!$C$6),COUNT(AE$4:AE1262)+1,"")</f>
        <v/>
      </c>
    </row>
    <row r="1264">
      <c r="A1264" s="16" t="n"/>
      <c r="B1264" s="17" t="n"/>
      <c r="C1264" s="17" t="n"/>
      <c r="D1264" s="18" t="n"/>
      <c r="E1264" s="17" t="n"/>
      <c r="F1264" s="17" t="n"/>
      <c r="G1264" s="19" t="n"/>
      <c r="H1264" s="17" t="n"/>
      <c r="I1264" s="17" t="n"/>
      <c r="J1264" s="17" t="n"/>
      <c r="K1264" s="20">
        <f>IF($B1264="","",IFERROR(INDEX(الموظفات!$A$5:$A$304,MATCH($B1264,الموظفات!$B$5:$B$304,0))&amp;"",""))</f>
        <v/>
      </c>
      <c r="L1264" s="21">
        <f>IF($B1264="","",IFERROR(INDEX(الموظفات!$C$5:$C$304,MATCH($B1264,الموظفات!$B$5:$B$304,0))&amp;"",""))</f>
        <v/>
      </c>
      <c r="M1264" s="20">
        <f>IF($B1264="","",IFERROR(INDEX(الموظفات!$D$5:$D$304,MATCH($B1264,الموظفات!$B$5:$B$304,0))&amp;"",""))</f>
        <v/>
      </c>
      <c r="N1264" s="20">
        <f>IF($B1264="","",IFERROR(INDEX(الموظفات!$E$5:$E$304,MATCH($B1264,الموظفات!$B$5:$B$304,0))&amp;"",""))</f>
        <v/>
      </c>
      <c r="O1264" s="21">
        <f>IF(C1264="","",IFERROR(INDEX(الإعدادات!$D$7:$D$35,MATCH(C1264,الإعدادات!$A$7:$A$35,0))&amp;"",""))</f>
        <v/>
      </c>
      <c r="P1264" s="20">
        <f>IF(A1264="","",INDEX(الإعدادات!$H$7:$H$18,MONTH(A1264)))</f>
        <v/>
      </c>
      <c r="Q1264" s="20">
        <f>IF(A1264="","",INDEX(الإعدادات!$I$7:$I$18,MONTH(A1264)))</f>
        <v/>
      </c>
      <c r="R1264" s="20">
        <f>IF(A1264="","",IF(MONTH(A1264)&gt;=8,YEAR(A1264)&amp;"-"&amp;(YEAR(A1264)+1),(YEAR(A1264)-1)&amp;"-"&amp;YEAR(A1264)))</f>
        <v/>
      </c>
      <c r="S1264" s="20">
        <f>IF(OR(A1264="",B1264=""),0,IF(AND(R1264=التقارير!$C$4,OR(التقارير!$C$5="سنوي",AND(التقارير!$C$5="شهري",P1264=التقارير!$C$6),AND(التقارير!$C$5="فصلي",Q1264=التقارير!$C$7))),1,0))</f>
        <v/>
      </c>
      <c r="T1264" s="20">
        <f>IF(S1264=1,COUNTIF($S$5:S1264,1),"")</f>
        <v/>
      </c>
      <c r="U1264">
        <f>IF(AND($A1264&lt;&gt;"",$B1264&lt;&gt;"",$R1264='تقرير الفصل الأول'!$C$4,$Q1264='تقرير الفصل الأول'!$C$7),COUNT(U$4:U1263)+1,"")</f>
        <v/>
      </c>
      <c r="V1264">
        <f>IF(AND($A1264&lt;&gt;"",$B1264&lt;&gt;"",$R1264='تقرير الفصل الثاني'!$C$4,$Q1264='تقرير الفصل الثاني'!$C$7),COUNT(V$4:V1263)+1,"")</f>
        <v/>
      </c>
      <c r="W1264">
        <f>IF(AND($A1264&lt;&gt;"",$B1264&lt;&gt;"",$R1264='تقرير سبتمبر'!$C$4,$P1264='تقرير سبتمبر'!$C$6),COUNT(W$4:W1263)+1,"")</f>
        <v/>
      </c>
      <c r="X1264">
        <f>IF(AND($A1264&lt;&gt;"",$B1264&lt;&gt;"",$R1264='تقرير أكتوبر'!$C$4,$P1264='تقرير أكتوبر'!$C$6),COUNT(X$4:X1263)+1,"")</f>
        <v/>
      </c>
      <c r="Y1264">
        <f>IF(AND($A1264&lt;&gt;"",$B1264&lt;&gt;"",$R1264='تقرير نوفمبر'!$C$4,$P1264='تقرير نوفمبر'!$C$6),COUNT(Y$4:Y1263)+1,"")</f>
        <v/>
      </c>
      <c r="Z1264">
        <f>IF(AND($A1264&lt;&gt;"",$B1264&lt;&gt;"",$R1264='تقرير ديسمبر'!$C$4,$P1264='تقرير ديسمبر'!$C$6),COUNT(Z$4:Z1263)+1,"")</f>
        <v/>
      </c>
      <c r="AA1264">
        <f>IF(AND($A1264&lt;&gt;"",$B1264&lt;&gt;"",$R1264='تقرير يناير'!$C$4,$P1264='تقرير يناير'!$C$6),COUNT(AA$4:AA1263)+1,"")</f>
        <v/>
      </c>
      <c r="AB1264">
        <f>IF(AND($A1264&lt;&gt;"",$B1264&lt;&gt;"",$R1264='تقرير فبراير'!$C$4,$P1264='تقرير فبراير'!$C$6),COUNT(AB$4:AB1263)+1,"")</f>
        <v/>
      </c>
      <c r="AC1264">
        <f>IF(AND($A1264&lt;&gt;"",$B1264&lt;&gt;"",$R1264='تقرير مارس'!$C$4,$P1264='تقرير مارس'!$C$6),COUNT(AC$4:AC1263)+1,"")</f>
        <v/>
      </c>
      <c r="AD1264">
        <f>IF(AND($A1264&lt;&gt;"",$B1264&lt;&gt;"",$R1264='تقرير أبريل'!$C$4,$P1264='تقرير أبريل'!$C$6),COUNT(AD$4:AD1263)+1,"")</f>
        <v/>
      </c>
      <c r="AE1264">
        <f>IF(AND($A1264&lt;&gt;"",$B1264&lt;&gt;"",$R1264='تقرير مايو'!$C$4,$P1264='تقرير مايو'!$C$6),COUNT(AE$4:AE1263)+1,"")</f>
        <v/>
      </c>
    </row>
    <row r="1265">
      <c r="A1265" s="16" t="n"/>
      <c r="B1265" s="17" t="n"/>
      <c r="C1265" s="17" t="n"/>
      <c r="D1265" s="18" t="n"/>
      <c r="E1265" s="17" t="n"/>
      <c r="F1265" s="17" t="n"/>
      <c r="G1265" s="19" t="n"/>
      <c r="H1265" s="17" t="n"/>
      <c r="I1265" s="17" t="n"/>
      <c r="J1265" s="17" t="n"/>
      <c r="K1265" s="20">
        <f>IF($B1265="","",IFERROR(INDEX(الموظفات!$A$5:$A$304,MATCH($B1265,الموظفات!$B$5:$B$304,0))&amp;"",""))</f>
        <v/>
      </c>
      <c r="L1265" s="21">
        <f>IF($B1265="","",IFERROR(INDEX(الموظفات!$C$5:$C$304,MATCH($B1265,الموظفات!$B$5:$B$304,0))&amp;"",""))</f>
        <v/>
      </c>
      <c r="M1265" s="20">
        <f>IF($B1265="","",IFERROR(INDEX(الموظفات!$D$5:$D$304,MATCH($B1265,الموظفات!$B$5:$B$304,0))&amp;"",""))</f>
        <v/>
      </c>
      <c r="N1265" s="20">
        <f>IF($B1265="","",IFERROR(INDEX(الموظفات!$E$5:$E$304,MATCH($B1265,الموظفات!$B$5:$B$304,0))&amp;"",""))</f>
        <v/>
      </c>
      <c r="O1265" s="21">
        <f>IF(C1265="","",IFERROR(INDEX(الإعدادات!$D$7:$D$35,MATCH(C1265,الإعدادات!$A$7:$A$35,0))&amp;"",""))</f>
        <v/>
      </c>
      <c r="P1265" s="20">
        <f>IF(A1265="","",INDEX(الإعدادات!$H$7:$H$18,MONTH(A1265)))</f>
        <v/>
      </c>
      <c r="Q1265" s="20">
        <f>IF(A1265="","",INDEX(الإعدادات!$I$7:$I$18,MONTH(A1265)))</f>
        <v/>
      </c>
      <c r="R1265" s="20">
        <f>IF(A1265="","",IF(MONTH(A1265)&gt;=8,YEAR(A1265)&amp;"-"&amp;(YEAR(A1265)+1),(YEAR(A1265)-1)&amp;"-"&amp;YEAR(A1265)))</f>
        <v/>
      </c>
      <c r="S1265" s="20">
        <f>IF(OR(A1265="",B1265=""),0,IF(AND(R1265=التقارير!$C$4,OR(التقارير!$C$5="سنوي",AND(التقارير!$C$5="شهري",P1265=التقارير!$C$6),AND(التقارير!$C$5="فصلي",Q1265=التقارير!$C$7))),1,0))</f>
        <v/>
      </c>
      <c r="T1265" s="20">
        <f>IF(S1265=1,COUNTIF($S$5:S1265,1),"")</f>
        <v/>
      </c>
      <c r="U1265">
        <f>IF(AND($A1265&lt;&gt;"",$B1265&lt;&gt;"",$R1265='تقرير الفصل الأول'!$C$4,$Q1265='تقرير الفصل الأول'!$C$7),COUNT(U$4:U1264)+1,"")</f>
        <v/>
      </c>
      <c r="V1265">
        <f>IF(AND($A1265&lt;&gt;"",$B1265&lt;&gt;"",$R1265='تقرير الفصل الثاني'!$C$4,$Q1265='تقرير الفصل الثاني'!$C$7),COUNT(V$4:V1264)+1,"")</f>
        <v/>
      </c>
      <c r="W1265">
        <f>IF(AND($A1265&lt;&gt;"",$B1265&lt;&gt;"",$R1265='تقرير سبتمبر'!$C$4,$P1265='تقرير سبتمبر'!$C$6),COUNT(W$4:W1264)+1,"")</f>
        <v/>
      </c>
      <c r="X1265">
        <f>IF(AND($A1265&lt;&gt;"",$B1265&lt;&gt;"",$R1265='تقرير أكتوبر'!$C$4,$P1265='تقرير أكتوبر'!$C$6),COUNT(X$4:X1264)+1,"")</f>
        <v/>
      </c>
      <c r="Y1265">
        <f>IF(AND($A1265&lt;&gt;"",$B1265&lt;&gt;"",$R1265='تقرير نوفمبر'!$C$4,$P1265='تقرير نوفمبر'!$C$6),COUNT(Y$4:Y1264)+1,"")</f>
        <v/>
      </c>
      <c r="Z1265">
        <f>IF(AND($A1265&lt;&gt;"",$B1265&lt;&gt;"",$R1265='تقرير ديسمبر'!$C$4,$P1265='تقرير ديسمبر'!$C$6),COUNT(Z$4:Z1264)+1,"")</f>
        <v/>
      </c>
      <c r="AA1265">
        <f>IF(AND($A1265&lt;&gt;"",$B1265&lt;&gt;"",$R1265='تقرير يناير'!$C$4,$P1265='تقرير يناير'!$C$6),COUNT(AA$4:AA1264)+1,"")</f>
        <v/>
      </c>
      <c r="AB1265">
        <f>IF(AND($A1265&lt;&gt;"",$B1265&lt;&gt;"",$R1265='تقرير فبراير'!$C$4,$P1265='تقرير فبراير'!$C$6),COUNT(AB$4:AB1264)+1,"")</f>
        <v/>
      </c>
      <c r="AC1265">
        <f>IF(AND($A1265&lt;&gt;"",$B1265&lt;&gt;"",$R1265='تقرير مارس'!$C$4,$P1265='تقرير مارس'!$C$6),COUNT(AC$4:AC1264)+1,"")</f>
        <v/>
      </c>
      <c r="AD1265">
        <f>IF(AND($A1265&lt;&gt;"",$B1265&lt;&gt;"",$R1265='تقرير أبريل'!$C$4,$P1265='تقرير أبريل'!$C$6),COUNT(AD$4:AD1264)+1,"")</f>
        <v/>
      </c>
      <c r="AE1265">
        <f>IF(AND($A1265&lt;&gt;"",$B1265&lt;&gt;"",$R1265='تقرير مايو'!$C$4,$P1265='تقرير مايو'!$C$6),COUNT(AE$4:AE1264)+1,"")</f>
        <v/>
      </c>
    </row>
    <row r="1266">
      <c r="A1266" s="16" t="n"/>
      <c r="B1266" s="17" t="n"/>
      <c r="C1266" s="17" t="n"/>
      <c r="D1266" s="18" t="n"/>
      <c r="E1266" s="17" t="n"/>
      <c r="F1266" s="17" t="n"/>
      <c r="G1266" s="19" t="n"/>
      <c r="H1266" s="17" t="n"/>
      <c r="I1266" s="17" t="n"/>
      <c r="J1266" s="17" t="n"/>
      <c r="K1266" s="20">
        <f>IF($B1266="","",IFERROR(INDEX(الموظفات!$A$5:$A$304,MATCH($B1266,الموظفات!$B$5:$B$304,0))&amp;"",""))</f>
        <v/>
      </c>
      <c r="L1266" s="21">
        <f>IF($B1266="","",IFERROR(INDEX(الموظفات!$C$5:$C$304,MATCH($B1266,الموظفات!$B$5:$B$304,0))&amp;"",""))</f>
        <v/>
      </c>
      <c r="M1266" s="20">
        <f>IF($B1266="","",IFERROR(INDEX(الموظفات!$D$5:$D$304,MATCH($B1266,الموظفات!$B$5:$B$304,0))&amp;"",""))</f>
        <v/>
      </c>
      <c r="N1266" s="20">
        <f>IF($B1266="","",IFERROR(INDEX(الموظفات!$E$5:$E$304,MATCH($B1266,الموظفات!$B$5:$B$304,0))&amp;"",""))</f>
        <v/>
      </c>
      <c r="O1266" s="21">
        <f>IF(C1266="","",IFERROR(INDEX(الإعدادات!$D$7:$D$35,MATCH(C1266,الإعدادات!$A$7:$A$35,0))&amp;"",""))</f>
        <v/>
      </c>
      <c r="P1266" s="20">
        <f>IF(A1266="","",INDEX(الإعدادات!$H$7:$H$18,MONTH(A1266)))</f>
        <v/>
      </c>
      <c r="Q1266" s="20">
        <f>IF(A1266="","",INDEX(الإعدادات!$I$7:$I$18,MONTH(A1266)))</f>
        <v/>
      </c>
      <c r="R1266" s="20">
        <f>IF(A1266="","",IF(MONTH(A1266)&gt;=8,YEAR(A1266)&amp;"-"&amp;(YEAR(A1266)+1),(YEAR(A1266)-1)&amp;"-"&amp;YEAR(A1266)))</f>
        <v/>
      </c>
      <c r="S1266" s="20">
        <f>IF(OR(A1266="",B1266=""),0,IF(AND(R1266=التقارير!$C$4,OR(التقارير!$C$5="سنوي",AND(التقارير!$C$5="شهري",P1266=التقارير!$C$6),AND(التقارير!$C$5="فصلي",Q1266=التقارير!$C$7))),1,0))</f>
        <v/>
      </c>
      <c r="T1266" s="20">
        <f>IF(S1266=1,COUNTIF($S$5:S1266,1),"")</f>
        <v/>
      </c>
      <c r="U1266">
        <f>IF(AND($A1266&lt;&gt;"",$B1266&lt;&gt;"",$R1266='تقرير الفصل الأول'!$C$4,$Q1266='تقرير الفصل الأول'!$C$7),COUNT(U$4:U1265)+1,"")</f>
        <v/>
      </c>
      <c r="V1266">
        <f>IF(AND($A1266&lt;&gt;"",$B1266&lt;&gt;"",$R1266='تقرير الفصل الثاني'!$C$4,$Q1266='تقرير الفصل الثاني'!$C$7),COUNT(V$4:V1265)+1,"")</f>
        <v/>
      </c>
      <c r="W1266">
        <f>IF(AND($A1266&lt;&gt;"",$B1266&lt;&gt;"",$R1266='تقرير سبتمبر'!$C$4,$P1266='تقرير سبتمبر'!$C$6),COUNT(W$4:W1265)+1,"")</f>
        <v/>
      </c>
      <c r="X1266">
        <f>IF(AND($A1266&lt;&gt;"",$B1266&lt;&gt;"",$R1266='تقرير أكتوبر'!$C$4,$P1266='تقرير أكتوبر'!$C$6),COUNT(X$4:X1265)+1,"")</f>
        <v/>
      </c>
      <c r="Y1266">
        <f>IF(AND($A1266&lt;&gt;"",$B1266&lt;&gt;"",$R1266='تقرير نوفمبر'!$C$4,$P1266='تقرير نوفمبر'!$C$6),COUNT(Y$4:Y1265)+1,"")</f>
        <v/>
      </c>
      <c r="Z1266">
        <f>IF(AND($A1266&lt;&gt;"",$B1266&lt;&gt;"",$R1266='تقرير ديسمبر'!$C$4,$P1266='تقرير ديسمبر'!$C$6),COUNT(Z$4:Z1265)+1,"")</f>
        <v/>
      </c>
      <c r="AA1266">
        <f>IF(AND($A1266&lt;&gt;"",$B1266&lt;&gt;"",$R1266='تقرير يناير'!$C$4,$P1266='تقرير يناير'!$C$6),COUNT(AA$4:AA1265)+1,"")</f>
        <v/>
      </c>
      <c r="AB1266">
        <f>IF(AND($A1266&lt;&gt;"",$B1266&lt;&gt;"",$R1266='تقرير فبراير'!$C$4,$P1266='تقرير فبراير'!$C$6),COUNT(AB$4:AB1265)+1,"")</f>
        <v/>
      </c>
      <c r="AC1266">
        <f>IF(AND($A1266&lt;&gt;"",$B1266&lt;&gt;"",$R1266='تقرير مارس'!$C$4,$P1266='تقرير مارس'!$C$6),COUNT(AC$4:AC1265)+1,"")</f>
        <v/>
      </c>
      <c r="AD1266">
        <f>IF(AND($A1266&lt;&gt;"",$B1266&lt;&gt;"",$R1266='تقرير أبريل'!$C$4,$P1266='تقرير أبريل'!$C$6),COUNT(AD$4:AD1265)+1,"")</f>
        <v/>
      </c>
      <c r="AE1266">
        <f>IF(AND($A1266&lt;&gt;"",$B1266&lt;&gt;"",$R1266='تقرير مايو'!$C$4,$P1266='تقرير مايو'!$C$6),COUNT(AE$4:AE1265)+1,"")</f>
        <v/>
      </c>
    </row>
    <row r="1267">
      <c r="A1267" s="16" t="n"/>
      <c r="B1267" s="17" t="n"/>
      <c r="C1267" s="17" t="n"/>
      <c r="D1267" s="18" t="n"/>
      <c r="E1267" s="17" t="n"/>
      <c r="F1267" s="17" t="n"/>
      <c r="G1267" s="19" t="n"/>
      <c r="H1267" s="17" t="n"/>
      <c r="I1267" s="17" t="n"/>
      <c r="J1267" s="17" t="n"/>
      <c r="K1267" s="20">
        <f>IF($B1267="","",IFERROR(INDEX(الموظفات!$A$5:$A$304,MATCH($B1267,الموظفات!$B$5:$B$304,0))&amp;"",""))</f>
        <v/>
      </c>
      <c r="L1267" s="21">
        <f>IF($B1267="","",IFERROR(INDEX(الموظفات!$C$5:$C$304,MATCH($B1267,الموظفات!$B$5:$B$304,0))&amp;"",""))</f>
        <v/>
      </c>
      <c r="M1267" s="20">
        <f>IF($B1267="","",IFERROR(INDEX(الموظفات!$D$5:$D$304,MATCH($B1267,الموظفات!$B$5:$B$304,0))&amp;"",""))</f>
        <v/>
      </c>
      <c r="N1267" s="20">
        <f>IF($B1267="","",IFERROR(INDEX(الموظفات!$E$5:$E$304,MATCH($B1267,الموظفات!$B$5:$B$304,0))&amp;"",""))</f>
        <v/>
      </c>
      <c r="O1267" s="21">
        <f>IF(C1267="","",IFERROR(INDEX(الإعدادات!$D$7:$D$35,MATCH(C1267,الإعدادات!$A$7:$A$35,0))&amp;"",""))</f>
        <v/>
      </c>
      <c r="P1267" s="20">
        <f>IF(A1267="","",INDEX(الإعدادات!$H$7:$H$18,MONTH(A1267)))</f>
        <v/>
      </c>
      <c r="Q1267" s="20">
        <f>IF(A1267="","",INDEX(الإعدادات!$I$7:$I$18,MONTH(A1267)))</f>
        <v/>
      </c>
      <c r="R1267" s="20">
        <f>IF(A1267="","",IF(MONTH(A1267)&gt;=8,YEAR(A1267)&amp;"-"&amp;(YEAR(A1267)+1),(YEAR(A1267)-1)&amp;"-"&amp;YEAR(A1267)))</f>
        <v/>
      </c>
      <c r="S1267" s="20">
        <f>IF(OR(A1267="",B1267=""),0,IF(AND(R1267=التقارير!$C$4,OR(التقارير!$C$5="سنوي",AND(التقارير!$C$5="شهري",P1267=التقارير!$C$6),AND(التقارير!$C$5="فصلي",Q1267=التقارير!$C$7))),1,0))</f>
        <v/>
      </c>
      <c r="T1267" s="20">
        <f>IF(S1267=1,COUNTIF($S$5:S1267,1),"")</f>
        <v/>
      </c>
      <c r="U1267">
        <f>IF(AND($A1267&lt;&gt;"",$B1267&lt;&gt;"",$R1267='تقرير الفصل الأول'!$C$4,$Q1267='تقرير الفصل الأول'!$C$7),COUNT(U$4:U1266)+1,"")</f>
        <v/>
      </c>
      <c r="V1267">
        <f>IF(AND($A1267&lt;&gt;"",$B1267&lt;&gt;"",$R1267='تقرير الفصل الثاني'!$C$4,$Q1267='تقرير الفصل الثاني'!$C$7),COUNT(V$4:V1266)+1,"")</f>
        <v/>
      </c>
      <c r="W1267">
        <f>IF(AND($A1267&lt;&gt;"",$B1267&lt;&gt;"",$R1267='تقرير سبتمبر'!$C$4,$P1267='تقرير سبتمبر'!$C$6),COUNT(W$4:W1266)+1,"")</f>
        <v/>
      </c>
      <c r="X1267">
        <f>IF(AND($A1267&lt;&gt;"",$B1267&lt;&gt;"",$R1267='تقرير أكتوبر'!$C$4,$P1267='تقرير أكتوبر'!$C$6),COUNT(X$4:X1266)+1,"")</f>
        <v/>
      </c>
      <c r="Y1267">
        <f>IF(AND($A1267&lt;&gt;"",$B1267&lt;&gt;"",$R1267='تقرير نوفمبر'!$C$4,$P1267='تقرير نوفمبر'!$C$6),COUNT(Y$4:Y1266)+1,"")</f>
        <v/>
      </c>
      <c r="Z1267">
        <f>IF(AND($A1267&lt;&gt;"",$B1267&lt;&gt;"",$R1267='تقرير ديسمبر'!$C$4,$P1267='تقرير ديسمبر'!$C$6),COUNT(Z$4:Z1266)+1,"")</f>
        <v/>
      </c>
      <c r="AA1267">
        <f>IF(AND($A1267&lt;&gt;"",$B1267&lt;&gt;"",$R1267='تقرير يناير'!$C$4,$P1267='تقرير يناير'!$C$6),COUNT(AA$4:AA1266)+1,"")</f>
        <v/>
      </c>
      <c r="AB1267">
        <f>IF(AND($A1267&lt;&gt;"",$B1267&lt;&gt;"",$R1267='تقرير فبراير'!$C$4,$P1267='تقرير فبراير'!$C$6),COUNT(AB$4:AB1266)+1,"")</f>
        <v/>
      </c>
      <c r="AC1267">
        <f>IF(AND($A1267&lt;&gt;"",$B1267&lt;&gt;"",$R1267='تقرير مارس'!$C$4,$P1267='تقرير مارس'!$C$6),COUNT(AC$4:AC1266)+1,"")</f>
        <v/>
      </c>
      <c r="AD1267">
        <f>IF(AND($A1267&lt;&gt;"",$B1267&lt;&gt;"",$R1267='تقرير أبريل'!$C$4,$P1267='تقرير أبريل'!$C$6),COUNT(AD$4:AD1266)+1,"")</f>
        <v/>
      </c>
      <c r="AE1267">
        <f>IF(AND($A1267&lt;&gt;"",$B1267&lt;&gt;"",$R1267='تقرير مايو'!$C$4,$P1267='تقرير مايو'!$C$6),COUNT(AE$4:AE1266)+1,"")</f>
        <v/>
      </c>
    </row>
    <row r="1268">
      <c r="A1268" s="16" t="n"/>
      <c r="B1268" s="17" t="n"/>
      <c r="C1268" s="17" t="n"/>
      <c r="D1268" s="18" t="n"/>
      <c r="E1268" s="17" t="n"/>
      <c r="F1268" s="17" t="n"/>
      <c r="G1268" s="19" t="n"/>
      <c r="H1268" s="17" t="n"/>
      <c r="I1268" s="17" t="n"/>
      <c r="J1268" s="17" t="n"/>
      <c r="K1268" s="20">
        <f>IF($B1268="","",IFERROR(INDEX(الموظفات!$A$5:$A$304,MATCH($B1268,الموظفات!$B$5:$B$304,0))&amp;"",""))</f>
        <v/>
      </c>
      <c r="L1268" s="21">
        <f>IF($B1268="","",IFERROR(INDEX(الموظفات!$C$5:$C$304,MATCH($B1268,الموظفات!$B$5:$B$304,0))&amp;"",""))</f>
        <v/>
      </c>
      <c r="M1268" s="20">
        <f>IF($B1268="","",IFERROR(INDEX(الموظفات!$D$5:$D$304,MATCH($B1268,الموظفات!$B$5:$B$304,0))&amp;"",""))</f>
        <v/>
      </c>
      <c r="N1268" s="20">
        <f>IF($B1268="","",IFERROR(INDEX(الموظفات!$E$5:$E$304,MATCH($B1268,الموظفات!$B$5:$B$304,0))&amp;"",""))</f>
        <v/>
      </c>
      <c r="O1268" s="21">
        <f>IF(C1268="","",IFERROR(INDEX(الإعدادات!$D$7:$D$35,MATCH(C1268,الإعدادات!$A$7:$A$35,0))&amp;"",""))</f>
        <v/>
      </c>
      <c r="P1268" s="20">
        <f>IF(A1268="","",INDEX(الإعدادات!$H$7:$H$18,MONTH(A1268)))</f>
        <v/>
      </c>
      <c r="Q1268" s="20">
        <f>IF(A1268="","",INDEX(الإعدادات!$I$7:$I$18,MONTH(A1268)))</f>
        <v/>
      </c>
      <c r="R1268" s="20">
        <f>IF(A1268="","",IF(MONTH(A1268)&gt;=8,YEAR(A1268)&amp;"-"&amp;(YEAR(A1268)+1),(YEAR(A1268)-1)&amp;"-"&amp;YEAR(A1268)))</f>
        <v/>
      </c>
      <c r="S1268" s="20">
        <f>IF(OR(A1268="",B1268=""),0,IF(AND(R1268=التقارير!$C$4,OR(التقارير!$C$5="سنوي",AND(التقارير!$C$5="شهري",P1268=التقارير!$C$6),AND(التقارير!$C$5="فصلي",Q1268=التقارير!$C$7))),1,0))</f>
        <v/>
      </c>
      <c r="T1268" s="20">
        <f>IF(S1268=1,COUNTIF($S$5:S1268,1),"")</f>
        <v/>
      </c>
      <c r="U1268">
        <f>IF(AND($A1268&lt;&gt;"",$B1268&lt;&gt;"",$R1268='تقرير الفصل الأول'!$C$4,$Q1268='تقرير الفصل الأول'!$C$7),COUNT(U$4:U1267)+1,"")</f>
        <v/>
      </c>
      <c r="V1268">
        <f>IF(AND($A1268&lt;&gt;"",$B1268&lt;&gt;"",$R1268='تقرير الفصل الثاني'!$C$4,$Q1268='تقرير الفصل الثاني'!$C$7),COUNT(V$4:V1267)+1,"")</f>
        <v/>
      </c>
      <c r="W1268">
        <f>IF(AND($A1268&lt;&gt;"",$B1268&lt;&gt;"",$R1268='تقرير سبتمبر'!$C$4,$P1268='تقرير سبتمبر'!$C$6),COUNT(W$4:W1267)+1,"")</f>
        <v/>
      </c>
      <c r="X1268">
        <f>IF(AND($A1268&lt;&gt;"",$B1268&lt;&gt;"",$R1268='تقرير أكتوبر'!$C$4,$P1268='تقرير أكتوبر'!$C$6),COUNT(X$4:X1267)+1,"")</f>
        <v/>
      </c>
      <c r="Y1268">
        <f>IF(AND($A1268&lt;&gt;"",$B1268&lt;&gt;"",$R1268='تقرير نوفمبر'!$C$4,$P1268='تقرير نوفمبر'!$C$6),COUNT(Y$4:Y1267)+1,"")</f>
        <v/>
      </c>
      <c r="Z1268">
        <f>IF(AND($A1268&lt;&gt;"",$B1268&lt;&gt;"",$R1268='تقرير ديسمبر'!$C$4,$P1268='تقرير ديسمبر'!$C$6),COUNT(Z$4:Z1267)+1,"")</f>
        <v/>
      </c>
      <c r="AA1268">
        <f>IF(AND($A1268&lt;&gt;"",$B1268&lt;&gt;"",$R1268='تقرير يناير'!$C$4,$P1268='تقرير يناير'!$C$6),COUNT(AA$4:AA1267)+1,"")</f>
        <v/>
      </c>
      <c r="AB1268">
        <f>IF(AND($A1268&lt;&gt;"",$B1268&lt;&gt;"",$R1268='تقرير فبراير'!$C$4,$P1268='تقرير فبراير'!$C$6),COUNT(AB$4:AB1267)+1,"")</f>
        <v/>
      </c>
      <c r="AC1268">
        <f>IF(AND($A1268&lt;&gt;"",$B1268&lt;&gt;"",$R1268='تقرير مارس'!$C$4,$P1268='تقرير مارس'!$C$6),COUNT(AC$4:AC1267)+1,"")</f>
        <v/>
      </c>
      <c r="AD1268">
        <f>IF(AND($A1268&lt;&gt;"",$B1268&lt;&gt;"",$R1268='تقرير أبريل'!$C$4,$P1268='تقرير أبريل'!$C$6),COUNT(AD$4:AD1267)+1,"")</f>
        <v/>
      </c>
      <c r="AE1268">
        <f>IF(AND($A1268&lt;&gt;"",$B1268&lt;&gt;"",$R1268='تقرير مايو'!$C$4,$P1268='تقرير مايو'!$C$6),COUNT(AE$4:AE1267)+1,"")</f>
        <v/>
      </c>
    </row>
    <row r="1269">
      <c r="A1269" s="16" t="n"/>
      <c r="B1269" s="17" t="n"/>
      <c r="C1269" s="17" t="n"/>
      <c r="D1269" s="18" t="n"/>
      <c r="E1269" s="17" t="n"/>
      <c r="F1269" s="17" t="n"/>
      <c r="G1269" s="19" t="n"/>
      <c r="H1269" s="17" t="n"/>
      <c r="I1269" s="17" t="n"/>
      <c r="J1269" s="17" t="n"/>
      <c r="K1269" s="20">
        <f>IF($B1269="","",IFERROR(INDEX(الموظفات!$A$5:$A$304,MATCH($B1269,الموظفات!$B$5:$B$304,0))&amp;"",""))</f>
        <v/>
      </c>
      <c r="L1269" s="21">
        <f>IF($B1269="","",IFERROR(INDEX(الموظفات!$C$5:$C$304,MATCH($B1269,الموظفات!$B$5:$B$304,0))&amp;"",""))</f>
        <v/>
      </c>
      <c r="M1269" s="20">
        <f>IF($B1269="","",IFERROR(INDEX(الموظفات!$D$5:$D$304,MATCH($B1269,الموظفات!$B$5:$B$304,0))&amp;"",""))</f>
        <v/>
      </c>
      <c r="N1269" s="20">
        <f>IF($B1269="","",IFERROR(INDEX(الموظفات!$E$5:$E$304,MATCH($B1269,الموظفات!$B$5:$B$304,0))&amp;"",""))</f>
        <v/>
      </c>
      <c r="O1269" s="21">
        <f>IF(C1269="","",IFERROR(INDEX(الإعدادات!$D$7:$D$35,MATCH(C1269,الإعدادات!$A$7:$A$35,0))&amp;"",""))</f>
        <v/>
      </c>
      <c r="P1269" s="20">
        <f>IF(A1269="","",INDEX(الإعدادات!$H$7:$H$18,MONTH(A1269)))</f>
        <v/>
      </c>
      <c r="Q1269" s="20">
        <f>IF(A1269="","",INDEX(الإعدادات!$I$7:$I$18,MONTH(A1269)))</f>
        <v/>
      </c>
      <c r="R1269" s="20">
        <f>IF(A1269="","",IF(MONTH(A1269)&gt;=8,YEAR(A1269)&amp;"-"&amp;(YEAR(A1269)+1),(YEAR(A1269)-1)&amp;"-"&amp;YEAR(A1269)))</f>
        <v/>
      </c>
      <c r="S1269" s="20">
        <f>IF(OR(A1269="",B1269=""),0,IF(AND(R1269=التقارير!$C$4,OR(التقارير!$C$5="سنوي",AND(التقارير!$C$5="شهري",P1269=التقارير!$C$6),AND(التقارير!$C$5="فصلي",Q1269=التقارير!$C$7))),1,0))</f>
        <v/>
      </c>
      <c r="T1269" s="20">
        <f>IF(S1269=1,COUNTIF($S$5:S1269,1),"")</f>
        <v/>
      </c>
      <c r="U1269">
        <f>IF(AND($A1269&lt;&gt;"",$B1269&lt;&gt;"",$R1269='تقرير الفصل الأول'!$C$4,$Q1269='تقرير الفصل الأول'!$C$7),COUNT(U$4:U1268)+1,"")</f>
        <v/>
      </c>
      <c r="V1269">
        <f>IF(AND($A1269&lt;&gt;"",$B1269&lt;&gt;"",$R1269='تقرير الفصل الثاني'!$C$4,$Q1269='تقرير الفصل الثاني'!$C$7),COUNT(V$4:V1268)+1,"")</f>
        <v/>
      </c>
      <c r="W1269">
        <f>IF(AND($A1269&lt;&gt;"",$B1269&lt;&gt;"",$R1269='تقرير سبتمبر'!$C$4,$P1269='تقرير سبتمبر'!$C$6),COUNT(W$4:W1268)+1,"")</f>
        <v/>
      </c>
      <c r="X1269">
        <f>IF(AND($A1269&lt;&gt;"",$B1269&lt;&gt;"",$R1269='تقرير أكتوبر'!$C$4,$P1269='تقرير أكتوبر'!$C$6),COUNT(X$4:X1268)+1,"")</f>
        <v/>
      </c>
      <c r="Y1269">
        <f>IF(AND($A1269&lt;&gt;"",$B1269&lt;&gt;"",$R1269='تقرير نوفمبر'!$C$4,$P1269='تقرير نوفمبر'!$C$6),COUNT(Y$4:Y1268)+1,"")</f>
        <v/>
      </c>
      <c r="Z1269">
        <f>IF(AND($A1269&lt;&gt;"",$B1269&lt;&gt;"",$R1269='تقرير ديسمبر'!$C$4,$P1269='تقرير ديسمبر'!$C$6),COUNT(Z$4:Z1268)+1,"")</f>
        <v/>
      </c>
      <c r="AA1269">
        <f>IF(AND($A1269&lt;&gt;"",$B1269&lt;&gt;"",$R1269='تقرير يناير'!$C$4,$P1269='تقرير يناير'!$C$6),COUNT(AA$4:AA1268)+1,"")</f>
        <v/>
      </c>
      <c r="AB1269">
        <f>IF(AND($A1269&lt;&gt;"",$B1269&lt;&gt;"",$R1269='تقرير فبراير'!$C$4,$P1269='تقرير فبراير'!$C$6),COUNT(AB$4:AB1268)+1,"")</f>
        <v/>
      </c>
      <c r="AC1269">
        <f>IF(AND($A1269&lt;&gt;"",$B1269&lt;&gt;"",$R1269='تقرير مارس'!$C$4,$P1269='تقرير مارس'!$C$6),COUNT(AC$4:AC1268)+1,"")</f>
        <v/>
      </c>
      <c r="AD1269">
        <f>IF(AND($A1269&lt;&gt;"",$B1269&lt;&gt;"",$R1269='تقرير أبريل'!$C$4,$P1269='تقرير أبريل'!$C$6),COUNT(AD$4:AD1268)+1,"")</f>
        <v/>
      </c>
      <c r="AE1269">
        <f>IF(AND($A1269&lt;&gt;"",$B1269&lt;&gt;"",$R1269='تقرير مايو'!$C$4,$P1269='تقرير مايو'!$C$6),COUNT(AE$4:AE1268)+1,"")</f>
        <v/>
      </c>
    </row>
    <row r="1270">
      <c r="A1270" s="16" t="n"/>
      <c r="B1270" s="17" t="n"/>
      <c r="C1270" s="17" t="n"/>
      <c r="D1270" s="18" t="n"/>
      <c r="E1270" s="17" t="n"/>
      <c r="F1270" s="17" t="n"/>
      <c r="G1270" s="19" t="n"/>
      <c r="H1270" s="17" t="n"/>
      <c r="I1270" s="17" t="n"/>
      <c r="J1270" s="17" t="n"/>
      <c r="K1270" s="20">
        <f>IF($B1270="","",IFERROR(INDEX(الموظفات!$A$5:$A$304,MATCH($B1270,الموظفات!$B$5:$B$304,0))&amp;"",""))</f>
        <v/>
      </c>
      <c r="L1270" s="21">
        <f>IF($B1270="","",IFERROR(INDEX(الموظفات!$C$5:$C$304,MATCH($B1270,الموظفات!$B$5:$B$304,0))&amp;"",""))</f>
        <v/>
      </c>
      <c r="M1270" s="20">
        <f>IF($B1270="","",IFERROR(INDEX(الموظفات!$D$5:$D$304,MATCH($B1270,الموظفات!$B$5:$B$304,0))&amp;"",""))</f>
        <v/>
      </c>
      <c r="N1270" s="20">
        <f>IF($B1270="","",IFERROR(INDEX(الموظفات!$E$5:$E$304,MATCH($B1270,الموظفات!$B$5:$B$304,0))&amp;"",""))</f>
        <v/>
      </c>
      <c r="O1270" s="21">
        <f>IF(C1270="","",IFERROR(INDEX(الإعدادات!$D$7:$D$35,MATCH(C1270,الإعدادات!$A$7:$A$35,0))&amp;"",""))</f>
        <v/>
      </c>
      <c r="P1270" s="20">
        <f>IF(A1270="","",INDEX(الإعدادات!$H$7:$H$18,MONTH(A1270)))</f>
        <v/>
      </c>
      <c r="Q1270" s="20">
        <f>IF(A1270="","",INDEX(الإعدادات!$I$7:$I$18,MONTH(A1270)))</f>
        <v/>
      </c>
      <c r="R1270" s="20">
        <f>IF(A1270="","",IF(MONTH(A1270)&gt;=8,YEAR(A1270)&amp;"-"&amp;(YEAR(A1270)+1),(YEAR(A1270)-1)&amp;"-"&amp;YEAR(A1270)))</f>
        <v/>
      </c>
      <c r="S1270" s="20">
        <f>IF(OR(A1270="",B1270=""),0,IF(AND(R1270=التقارير!$C$4,OR(التقارير!$C$5="سنوي",AND(التقارير!$C$5="شهري",P1270=التقارير!$C$6),AND(التقارير!$C$5="فصلي",Q1270=التقارير!$C$7))),1,0))</f>
        <v/>
      </c>
      <c r="T1270" s="20">
        <f>IF(S1270=1,COUNTIF($S$5:S1270,1),"")</f>
        <v/>
      </c>
      <c r="U1270">
        <f>IF(AND($A1270&lt;&gt;"",$B1270&lt;&gt;"",$R1270='تقرير الفصل الأول'!$C$4,$Q1270='تقرير الفصل الأول'!$C$7),COUNT(U$4:U1269)+1,"")</f>
        <v/>
      </c>
      <c r="V1270">
        <f>IF(AND($A1270&lt;&gt;"",$B1270&lt;&gt;"",$R1270='تقرير الفصل الثاني'!$C$4,$Q1270='تقرير الفصل الثاني'!$C$7),COUNT(V$4:V1269)+1,"")</f>
        <v/>
      </c>
      <c r="W1270">
        <f>IF(AND($A1270&lt;&gt;"",$B1270&lt;&gt;"",$R1270='تقرير سبتمبر'!$C$4,$P1270='تقرير سبتمبر'!$C$6),COUNT(W$4:W1269)+1,"")</f>
        <v/>
      </c>
      <c r="X1270">
        <f>IF(AND($A1270&lt;&gt;"",$B1270&lt;&gt;"",$R1270='تقرير أكتوبر'!$C$4,$P1270='تقرير أكتوبر'!$C$6),COUNT(X$4:X1269)+1,"")</f>
        <v/>
      </c>
      <c r="Y1270">
        <f>IF(AND($A1270&lt;&gt;"",$B1270&lt;&gt;"",$R1270='تقرير نوفمبر'!$C$4,$P1270='تقرير نوفمبر'!$C$6),COUNT(Y$4:Y1269)+1,"")</f>
        <v/>
      </c>
      <c r="Z1270">
        <f>IF(AND($A1270&lt;&gt;"",$B1270&lt;&gt;"",$R1270='تقرير ديسمبر'!$C$4,$P1270='تقرير ديسمبر'!$C$6),COUNT(Z$4:Z1269)+1,"")</f>
        <v/>
      </c>
      <c r="AA1270">
        <f>IF(AND($A1270&lt;&gt;"",$B1270&lt;&gt;"",$R1270='تقرير يناير'!$C$4,$P1270='تقرير يناير'!$C$6),COUNT(AA$4:AA1269)+1,"")</f>
        <v/>
      </c>
      <c r="AB1270">
        <f>IF(AND($A1270&lt;&gt;"",$B1270&lt;&gt;"",$R1270='تقرير فبراير'!$C$4,$P1270='تقرير فبراير'!$C$6),COUNT(AB$4:AB1269)+1,"")</f>
        <v/>
      </c>
      <c r="AC1270">
        <f>IF(AND($A1270&lt;&gt;"",$B1270&lt;&gt;"",$R1270='تقرير مارس'!$C$4,$P1270='تقرير مارس'!$C$6),COUNT(AC$4:AC1269)+1,"")</f>
        <v/>
      </c>
      <c r="AD1270">
        <f>IF(AND($A1270&lt;&gt;"",$B1270&lt;&gt;"",$R1270='تقرير أبريل'!$C$4,$P1270='تقرير أبريل'!$C$6),COUNT(AD$4:AD1269)+1,"")</f>
        <v/>
      </c>
      <c r="AE1270">
        <f>IF(AND($A1270&lt;&gt;"",$B1270&lt;&gt;"",$R1270='تقرير مايو'!$C$4,$P1270='تقرير مايو'!$C$6),COUNT(AE$4:AE1269)+1,"")</f>
        <v/>
      </c>
    </row>
    <row r="1271">
      <c r="A1271" s="16" t="n"/>
      <c r="B1271" s="17" t="n"/>
      <c r="C1271" s="17" t="n"/>
      <c r="D1271" s="18" t="n"/>
      <c r="E1271" s="17" t="n"/>
      <c r="F1271" s="17" t="n"/>
      <c r="G1271" s="19" t="n"/>
      <c r="H1271" s="17" t="n"/>
      <c r="I1271" s="17" t="n"/>
      <c r="J1271" s="17" t="n"/>
      <c r="K1271" s="20">
        <f>IF($B1271="","",IFERROR(INDEX(الموظفات!$A$5:$A$304,MATCH($B1271,الموظفات!$B$5:$B$304,0))&amp;"",""))</f>
        <v/>
      </c>
      <c r="L1271" s="21">
        <f>IF($B1271="","",IFERROR(INDEX(الموظفات!$C$5:$C$304,MATCH($B1271,الموظفات!$B$5:$B$304,0))&amp;"",""))</f>
        <v/>
      </c>
      <c r="M1271" s="20">
        <f>IF($B1271="","",IFERROR(INDEX(الموظفات!$D$5:$D$304,MATCH($B1271,الموظفات!$B$5:$B$304,0))&amp;"",""))</f>
        <v/>
      </c>
      <c r="N1271" s="20">
        <f>IF($B1271="","",IFERROR(INDEX(الموظفات!$E$5:$E$304,MATCH($B1271,الموظفات!$B$5:$B$304,0))&amp;"",""))</f>
        <v/>
      </c>
      <c r="O1271" s="21">
        <f>IF(C1271="","",IFERROR(INDEX(الإعدادات!$D$7:$D$35,MATCH(C1271,الإعدادات!$A$7:$A$35,0))&amp;"",""))</f>
        <v/>
      </c>
      <c r="P1271" s="20">
        <f>IF(A1271="","",INDEX(الإعدادات!$H$7:$H$18,MONTH(A1271)))</f>
        <v/>
      </c>
      <c r="Q1271" s="20">
        <f>IF(A1271="","",INDEX(الإعدادات!$I$7:$I$18,MONTH(A1271)))</f>
        <v/>
      </c>
      <c r="R1271" s="20">
        <f>IF(A1271="","",IF(MONTH(A1271)&gt;=8,YEAR(A1271)&amp;"-"&amp;(YEAR(A1271)+1),(YEAR(A1271)-1)&amp;"-"&amp;YEAR(A1271)))</f>
        <v/>
      </c>
      <c r="S1271" s="20">
        <f>IF(OR(A1271="",B1271=""),0,IF(AND(R1271=التقارير!$C$4,OR(التقارير!$C$5="سنوي",AND(التقارير!$C$5="شهري",P1271=التقارير!$C$6),AND(التقارير!$C$5="فصلي",Q1271=التقارير!$C$7))),1,0))</f>
        <v/>
      </c>
      <c r="T1271" s="20">
        <f>IF(S1271=1,COUNTIF($S$5:S1271,1),"")</f>
        <v/>
      </c>
      <c r="U1271">
        <f>IF(AND($A1271&lt;&gt;"",$B1271&lt;&gt;"",$R1271='تقرير الفصل الأول'!$C$4,$Q1271='تقرير الفصل الأول'!$C$7),COUNT(U$4:U1270)+1,"")</f>
        <v/>
      </c>
      <c r="V1271">
        <f>IF(AND($A1271&lt;&gt;"",$B1271&lt;&gt;"",$R1271='تقرير الفصل الثاني'!$C$4,$Q1271='تقرير الفصل الثاني'!$C$7),COUNT(V$4:V1270)+1,"")</f>
        <v/>
      </c>
      <c r="W1271">
        <f>IF(AND($A1271&lt;&gt;"",$B1271&lt;&gt;"",$R1271='تقرير سبتمبر'!$C$4,$P1271='تقرير سبتمبر'!$C$6),COUNT(W$4:W1270)+1,"")</f>
        <v/>
      </c>
      <c r="X1271">
        <f>IF(AND($A1271&lt;&gt;"",$B1271&lt;&gt;"",$R1271='تقرير أكتوبر'!$C$4,$P1271='تقرير أكتوبر'!$C$6),COUNT(X$4:X1270)+1,"")</f>
        <v/>
      </c>
      <c r="Y1271">
        <f>IF(AND($A1271&lt;&gt;"",$B1271&lt;&gt;"",$R1271='تقرير نوفمبر'!$C$4,$P1271='تقرير نوفمبر'!$C$6),COUNT(Y$4:Y1270)+1,"")</f>
        <v/>
      </c>
      <c r="Z1271">
        <f>IF(AND($A1271&lt;&gt;"",$B1271&lt;&gt;"",$R1271='تقرير ديسمبر'!$C$4,$P1271='تقرير ديسمبر'!$C$6),COUNT(Z$4:Z1270)+1,"")</f>
        <v/>
      </c>
      <c r="AA1271">
        <f>IF(AND($A1271&lt;&gt;"",$B1271&lt;&gt;"",$R1271='تقرير يناير'!$C$4,$P1271='تقرير يناير'!$C$6),COUNT(AA$4:AA1270)+1,"")</f>
        <v/>
      </c>
      <c r="AB1271">
        <f>IF(AND($A1271&lt;&gt;"",$B1271&lt;&gt;"",$R1271='تقرير فبراير'!$C$4,$P1271='تقرير فبراير'!$C$6),COUNT(AB$4:AB1270)+1,"")</f>
        <v/>
      </c>
      <c r="AC1271">
        <f>IF(AND($A1271&lt;&gt;"",$B1271&lt;&gt;"",$R1271='تقرير مارس'!$C$4,$P1271='تقرير مارس'!$C$6),COUNT(AC$4:AC1270)+1,"")</f>
        <v/>
      </c>
      <c r="AD1271">
        <f>IF(AND($A1271&lt;&gt;"",$B1271&lt;&gt;"",$R1271='تقرير أبريل'!$C$4,$P1271='تقرير أبريل'!$C$6),COUNT(AD$4:AD1270)+1,"")</f>
        <v/>
      </c>
      <c r="AE1271">
        <f>IF(AND($A1271&lt;&gt;"",$B1271&lt;&gt;"",$R1271='تقرير مايو'!$C$4,$P1271='تقرير مايو'!$C$6),COUNT(AE$4:AE1270)+1,"")</f>
        <v/>
      </c>
    </row>
    <row r="1272">
      <c r="A1272" s="16" t="n"/>
      <c r="B1272" s="17" t="n"/>
      <c r="C1272" s="17" t="n"/>
      <c r="D1272" s="18" t="n"/>
      <c r="E1272" s="17" t="n"/>
      <c r="F1272" s="17" t="n"/>
      <c r="G1272" s="19" t="n"/>
      <c r="H1272" s="17" t="n"/>
      <c r="I1272" s="17" t="n"/>
      <c r="J1272" s="17" t="n"/>
      <c r="K1272" s="20">
        <f>IF($B1272="","",IFERROR(INDEX(الموظفات!$A$5:$A$304,MATCH($B1272,الموظفات!$B$5:$B$304,0))&amp;"",""))</f>
        <v/>
      </c>
      <c r="L1272" s="21">
        <f>IF($B1272="","",IFERROR(INDEX(الموظفات!$C$5:$C$304,MATCH($B1272,الموظفات!$B$5:$B$304,0))&amp;"",""))</f>
        <v/>
      </c>
      <c r="M1272" s="20">
        <f>IF($B1272="","",IFERROR(INDEX(الموظفات!$D$5:$D$304,MATCH($B1272,الموظفات!$B$5:$B$304,0))&amp;"",""))</f>
        <v/>
      </c>
      <c r="N1272" s="20">
        <f>IF($B1272="","",IFERROR(INDEX(الموظفات!$E$5:$E$304,MATCH($B1272,الموظفات!$B$5:$B$304,0))&amp;"",""))</f>
        <v/>
      </c>
      <c r="O1272" s="21">
        <f>IF(C1272="","",IFERROR(INDEX(الإعدادات!$D$7:$D$35,MATCH(C1272,الإعدادات!$A$7:$A$35,0))&amp;"",""))</f>
        <v/>
      </c>
      <c r="P1272" s="20">
        <f>IF(A1272="","",INDEX(الإعدادات!$H$7:$H$18,MONTH(A1272)))</f>
        <v/>
      </c>
      <c r="Q1272" s="20">
        <f>IF(A1272="","",INDEX(الإعدادات!$I$7:$I$18,MONTH(A1272)))</f>
        <v/>
      </c>
      <c r="R1272" s="20">
        <f>IF(A1272="","",IF(MONTH(A1272)&gt;=8,YEAR(A1272)&amp;"-"&amp;(YEAR(A1272)+1),(YEAR(A1272)-1)&amp;"-"&amp;YEAR(A1272)))</f>
        <v/>
      </c>
      <c r="S1272" s="20">
        <f>IF(OR(A1272="",B1272=""),0,IF(AND(R1272=التقارير!$C$4,OR(التقارير!$C$5="سنوي",AND(التقارير!$C$5="شهري",P1272=التقارير!$C$6),AND(التقارير!$C$5="فصلي",Q1272=التقارير!$C$7))),1,0))</f>
        <v/>
      </c>
      <c r="T1272" s="20">
        <f>IF(S1272=1,COUNTIF($S$5:S1272,1),"")</f>
        <v/>
      </c>
      <c r="U1272">
        <f>IF(AND($A1272&lt;&gt;"",$B1272&lt;&gt;"",$R1272='تقرير الفصل الأول'!$C$4,$Q1272='تقرير الفصل الأول'!$C$7),COUNT(U$4:U1271)+1,"")</f>
        <v/>
      </c>
      <c r="V1272">
        <f>IF(AND($A1272&lt;&gt;"",$B1272&lt;&gt;"",$R1272='تقرير الفصل الثاني'!$C$4,$Q1272='تقرير الفصل الثاني'!$C$7),COUNT(V$4:V1271)+1,"")</f>
        <v/>
      </c>
      <c r="W1272">
        <f>IF(AND($A1272&lt;&gt;"",$B1272&lt;&gt;"",$R1272='تقرير سبتمبر'!$C$4,$P1272='تقرير سبتمبر'!$C$6),COUNT(W$4:W1271)+1,"")</f>
        <v/>
      </c>
      <c r="X1272">
        <f>IF(AND($A1272&lt;&gt;"",$B1272&lt;&gt;"",$R1272='تقرير أكتوبر'!$C$4,$P1272='تقرير أكتوبر'!$C$6),COUNT(X$4:X1271)+1,"")</f>
        <v/>
      </c>
      <c r="Y1272">
        <f>IF(AND($A1272&lt;&gt;"",$B1272&lt;&gt;"",$R1272='تقرير نوفمبر'!$C$4,$P1272='تقرير نوفمبر'!$C$6),COUNT(Y$4:Y1271)+1,"")</f>
        <v/>
      </c>
      <c r="Z1272">
        <f>IF(AND($A1272&lt;&gt;"",$B1272&lt;&gt;"",$R1272='تقرير ديسمبر'!$C$4,$P1272='تقرير ديسمبر'!$C$6),COUNT(Z$4:Z1271)+1,"")</f>
        <v/>
      </c>
      <c r="AA1272">
        <f>IF(AND($A1272&lt;&gt;"",$B1272&lt;&gt;"",$R1272='تقرير يناير'!$C$4,$P1272='تقرير يناير'!$C$6),COUNT(AA$4:AA1271)+1,"")</f>
        <v/>
      </c>
      <c r="AB1272">
        <f>IF(AND($A1272&lt;&gt;"",$B1272&lt;&gt;"",$R1272='تقرير فبراير'!$C$4,$P1272='تقرير فبراير'!$C$6),COUNT(AB$4:AB1271)+1,"")</f>
        <v/>
      </c>
      <c r="AC1272">
        <f>IF(AND($A1272&lt;&gt;"",$B1272&lt;&gt;"",$R1272='تقرير مارس'!$C$4,$P1272='تقرير مارس'!$C$6),COUNT(AC$4:AC1271)+1,"")</f>
        <v/>
      </c>
      <c r="AD1272">
        <f>IF(AND($A1272&lt;&gt;"",$B1272&lt;&gt;"",$R1272='تقرير أبريل'!$C$4,$P1272='تقرير أبريل'!$C$6),COUNT(AD$4:AD1271)+1,"")</f>
        <v/>
      </c>
      <c r="AE1272">
        <f>IF(AND($A1272&lt;&gt;"",$B1272&lt;&gt;"",$R1272='تقرير مايو'!$C$4,$P1272='تقرير مايو'!$C$6),COUNT(AE$4:AE1271)+1,"")</f>
        <v/>
      </c>
    </row>
    <row r="1273">
      <c r="A1273" s="16" t="n"/>
      <c r="B1273" s="17" t="n"/>
      <c r="C1273" s="17" t="n"/>
      <c r="D1273" s="18" t="n"/>
      <c r="E1273" s="17" t="n"/>
      <c r="F1273" s="17" t="n"/>
      <c r="G1273" s="19" t="n"/>
      <c r="H1273" s="17" t="n"/>
      <c r="I1273" s="17" t="n"/>
      <c r="J1273" s="17" t="n"/>
      <c r="K1273" s="20">
        <f>IF($B1273="","",IFERROR(INDEX(الموظفات!$A$5:$A$304,MATCH($B1273,الموظفات!$B$5:$B$304,0))&amp;"",""))</f>
        <v/>
      </c>
      <c r="L1273" s="21">
        <f>IF($B1273="","",IFERROR(INDEX(الموظفات!$C$5:$C$304,MATCH($B1273,الموظفات!$B$5:$B$304,0))&amp;"",""))</f>
        <v/>
      </c>
      <c r="M1273" s="20">
        <f>IF($B1273="","",IFERROR(INDEX(الموظفات!$D$5:$D$304,MATCH($B1273,الموظفات!$B$5:$B$304,0))&amp;"",""))</f>
        <v/>
      </c>
      <c r="N1273" s="20">
        <f>IF($B1273="","",IFERROR(INDEX(الموظفات!$E$5:$E$304,MATCH($B1273,الموظفات!$B$5:$B$304,0))&amp;"",""))</f>
        <v/>
      </c>
      <c r="O1273" s="21">
        <f>IF(C1273="","",IFERROR(INDEX(الإعدادات!$D$7:$D$35,MATCH(C1273,الإعدادات!$A$7:$A$35,0))&amp;"",""))</f>
        <v/>
      </c>
      <c r="P1273" s="20">
        <f>IF(A1273="","",INDEX(الإعدادات!$H$7:$H$18,MONTH(A1273)))</f>
        <v/>
      </c>
      <c r="Q1273" s="20">
        <f>IF(A1273="","",INDEX(الإعدادات!$I$7:$I$18,MONTH(A1273)))</f>
        <v/>
      </c>
      <c r="R1273" s="20">
        <f>IF(A1273="","",IF(MONTH(A1273)&gt;=8,YEAR(A1273)&amp;"-"&amp;(YEAR(A1273)+1),(YEAR(A1273)-1)&amp;"-"&amp;YEAR(A1273)))</f>
        <v/>
      </c>
      <c r="S1273" s="20">
        <f>IF(OR(A1273="",B1273=""),0,IF(AND(R1273=التقارير!$C$4,OR(التقارير!$C$5="سنوي",AND(التقارير!$C$5="شهري",P1273=التقارير!$C$6),AND(التقارير!$C$5="فصلي",Q1273=التقارير!$C$7))),1,0))</f>
        <v/>
      </c>
      <c r="T1273" s="20">
        <f>IF(S1273=1,COUNTIF($S$5:S1273,1),"")</f>
        <v/>
      </c>
      <c r="U1273">
        <f>IF(AND($A1273&lt;&gt;"",$B1273&lt;&gt;"",$R1273='تقرير الفصل الأول'!$C$4,$Q1273='تقرير الفصل الأول'!$C$7),COUNT(U$4:U1272)+1,"")</f>
        <v/>
      </c>
      <c r="V1273">
        <f>IF(AND($A1273&lt;&gt;"",$B1273&lt;&gt;"",$R1273='تقرير الفصل الثاني'!$C$4,$Q1273='تقرير الفصل الثاني'!$C$7),COUNT(V$4:V1272)+1,"")</f>
        <v/>
      </c>
      <c r="W1273">
        <f>IF(AND($A1273&lt;&gt;"",$B1273&lt;&gt;"",$R1273='تقرير سبتمبر'!$C$4,$P1273='تقرير سبتمبر'!$C$6),COUNT(W$4:W1272)+1,"")</f>
        <v/>
      </c>
      <c r="X1273">
        <f>IF(AND($A1273&lt;&gt;"",$B1273&lt;&gt;"",$R1273='تقرير أكتوبر'!$C$4,$P1273='تقرير أكتوبر'!$C$6),COUNT(X$4:X1272)+1,"")</f>
        <v/>
      </c>
      <c r="Y1273">
        <f>IF(AND($A1273&lt;&gt;"",$B1273&lt;&gt;"",$R1273='تقرير نوفمبر'!$C$4,$P1273='تقرير نوفمبر'!$C$6),COUNT(Y$4:Y1272)+1,"")</f>
        <v/>
      </c>
      <c r="Z1273">
        <f>IF(AND($A1273&lt;&gt;"",$B1273&lt;&gt;"",$R1273='تقرير ديسمبر'!$C$4,$P1273='تقرير ديسمبر'!$C$6),COUNT(Z$4:Z1272)+1,"")</f>
        <v/>
      </c>
      <c r="AA1273">
        <f>IF(AND($A1273&lt;&gt;"",$B1273&lt;&gt;"",$R1273='تقرير يناير'!$C$4,$P1273='تقرير يناير'!$C$6),COUNT(AA$4:AA1272)+1,"")</f>
        <v/>
      </c>
      <c r="AB1273">
        <f>IF(AND($A1273&lt;&gt;"",$B1273&lt;&gt;"",$R1273='تقرير فبراير'!$C$4,$P1273='تقرير فبراير'!$C$6),COUNT(AB$4:AB1272)+1,"")</f>
        <v/>
      </c>
      <c r="AC1273">
        <f>IF(AND($A1273&lt;&gt;"",$B1273&lt;&gt;"",$R1273='تقرير مارس'!$C$4,$P1273='تقرير مارس'!$C$6),COUNT(AC$4:AC1272)+1,"")</f>
        <v/>
      </c>
      <c r="AD1273">
        <f>IF(AND($A1273&lt;&gt;"",$B1273&lt;&gt;"",$R1273='تقرير أبريل'!$C$4,$P1273='تقرير أبريل'!$C$6),COUNT(AD$4:AD1272)+1,"")</f>
        <v/>
      </c>
      <c r="AE1273">
        <f>IF(AND($A1273&lt;&gt;"",$B1273&lt;&gt;"",$R1273='تقرير مايو'!$C$4,$P1273='تقرير مايو'!$C$6),COUNT(AE$4:AE1272)+1,"")</f>
        <v/>
      </c>
    </row>
    <row r="1274">
      <c r="A1274" s="16" t="n"/>
      <c r="B1274" s="17" t="n"/>
      <c r="C1274" s="17" t="n"/>
      <c r="D1274" s="18" t="n"/>
      <c r="E1274" s="17" t="n"/>
      <c r="F1274" s="17" t="n"/>
      <c r="G1274" s="19" t="n"/>
      <c r="H1274" s="17" t="n"/>
      <c r="I1274" s="17" t="n"/>
      <c r="J1274" s="17" t="n"/>
      <c r="K1274" s="20">
        <f>IF($B1274="","",IFERROR(INDEX(الموظفات!$A$5:$A$304,MATCH($B1274,الموظفات!$B$5:$B$304,0))&amp;"",""))</f>
        <v/>
      </c>
      <c r="L1274" s="21">
        <f>IF($B1274="","",IFERROR(INDEX(الموظفات!$C$5:$C$304,MATCH($B1274,الموظفات!$B$5:$B$304,0))&amp;"",""))</f>
        <v/>
      </c>
      <c r="M1274" s="20">
        <f>IF($B1274="","",IFERROR(INDEX(الموظفات!$D$5:$D$304,MATCH($B1274,الموظفات!$B$5:$B$304,0))&amp;"",""))</f>
        <v/>
      </c>
      <c r="N1274" s="20">
        <f>IF($B1274="","",IFERROR(INDEX(الموظفات!$E$5:$E$304,MATCH($B1274,الموظفات!$B$5:$B$304,0))&amp;"",""))</f>
        <v/>
      </c>
      <c r="O1274" s="21">
        <f>IF(C1274="","",IFERROR(INDEX(الإعدادات!$D$7:$D$35,MATCH(C1274,الإعدادات!$A$7:$A$35,0))&amp;"",""))</f>
        <v/>
      </c>
      <c r="P1274" s="20">
        <f>IF(A1274="","",INDEX(الإعدادات!$H$7:$H$18,MONTH(A1274)))</f>
        <v/>
      </c>
      <c r="Q1274" s="20">
        <f>IF(A1274="","",INDEX(الإعدادات!$I$7:$I$18,MONTH(A1274)))</f>
        <v/>
      </c>
      <c r="R1274" s="20">
        <f>IF(A1274="","",IF(MONTH(A1274)&gt;=8,YEAR(A1274)&amp;"-"&amp;(YEAR(A1274)+1),(YEAR(A1274)-1)&amp;"-"&amp;YEAR(A1274)))</f>
        <v/>
      </c>
      <c r="S1274" s="20">
        <f>IF(OR(A1274="",B1274=""),0,IF(AND(R1274=التقارير!$C$4,OR(التقارير!$C$5="سنوي",AND(التقارير!$C$5="شهري",P1274=التقارير!$C$6),AND(التقارير!$C$5="فصلي",Q1274=التقارير!$C$7))),1,0))</f>
        <v/>
      </c>
      <c r="T1274" s="20">
        <f>IF(S1274=1,COUNTIF($S$5:S1274,1),"")</f>
        <v/>
      </c>
      <c r="U1274">
        <f>IF(AND($A1274&lt;&gt;"",$B1274&lt;&gt;"",$R1274='تقرير الفصل الأول'!$C$4,$Q1274='تقرير الفصل الأول'!$C$7),COUNT(U$4:U1273)+1,"")</f>
        <v/>
      </c>
      <c r="V1274">
        <f>IF(AND($A1274&lt;&gt;"",$B1274&lt;&gt;"",$R1274='تقرير الفصل الثاني'!$C$4,$Q1274='تقرير الفصل الثاني'!$C$7),COUNT(V$4:V1273)+1,"")</f>
        <v/>
      </c>
      <c r="W1274">
        <f>IF(AND($A1274&lt;&gt;"",$B1274&lt;&gt;"",$R1274='تقرير سبتمبر'!$C$4,$P1274='تقرير سبتمبر'!$C$6),COUNT(W$4:W1273)+1,"")</f>
        <v/>
      </c>
      <c r="X1274">
        <f>IF(AND($A1274&lt;&gt;"",$B1274&lt;&gt;"",$R1274='تقرير أكتوبر'!$C$4,$P1274='تقرير أكتوبر'!$C$6),COUNT(X$4:X1273)+1,"")</f>
        <v/>
      </c>
      <c r="Y1274">
        <f>IF(AND($A1274&lt;&gt;"",$B1274&lt;&gt;"",$R1274='تقرير نوفمبر'!$C$4,$P1274='تقرير نوفمبر'!$C$6),COUNT(Y$4:Y1273)+1,"")</f>
        <v/>
      </c>
      <c r="Z1274">
        <f>IF(AND($A1274&lt;&gt;"",$B1274&lt;&gt;"",$R1274='تقرير ديسمبر'!$C$4,$P1274='تقرير ديسمبر'!$C$6),COUNT(Z$4:Z1273)+1,"")</f>
        <v/>
      </c>
      <c r="AA1274">
        <f>IF(AND($A1274&lt;&gt;"",$B1274&lt;&gt;"",$R1274='تقرير يناير'!$C$4,$P1274='تقرير يناير'!$C$6),COUNT(AA$4:AA1273)+1,"")</f>
        <v/>
      </c>
      <c r="AB1274">
        <f>IF(AND($A1274&lt;&gt;"",$B1274&lt;&gt;"",$R1274='تقرير فبراير'!$C$4,$P1274='تقرير فبراير'!$C$6),COUNT(AB$4:AB1273)+1,"")</f>
        <v/>
      </c>
      <c r="AC1274">
        <f>IF(AND($A1274&lt;&gt;"",$B1274&lt;&gt;"",$R1274='تقرير مارس'!$C$4,$P1274='تقرير مارس'!$C$6),COUNT(AC$4:AC1273)+1,"")</f>
        <v/>
      </c>
      <c r="AD1274">
        <f>IF(AND($A1274&lt;&gt;"",$B1274&lt;&gt;"",$R1274='تقرير أبريل'!$C$4,$P1274='تقرير أبريل'!$C$6),COUNT(AD$4:AD1273)+1,"")</f>
        <v/>
      </c>
      <c r="AE1274">
        <f>IF(AND($A1274&lt;&gt;"",$B1274&lt;&gt;"",$R1274='تقرير مايو'!$C$4,$P1274='تقرير مايو'!$C$6),COUNT(AE$4:AE1273)+1,"")</f>
        <v/>
      </c>
    </row>
    <row r="1275">
      <c r="A1275" s="16" t="n"/>
      <c r="B1275" s="17" t="n"/>
      <c r="C1275" s="17" t="n"/>
      <c r="D1275" s="18" t="n"/>
      <c r="E1275" s="17" t="n"/>
      <c r="F1275" s="17" t="n"/>
      <c r="G1275" s="19" t="n"/>
      <c r="H1275" s="17" t="n"/>
      <c r="I1275" s="17" t="n"/>
      <c r="J1275" s="17" t="n"/>
      <c r="K1275" s="20">
        <f>IF($B1275="","",IFERROR(INDEX(الموظفات!$A$5:$A$304,MATCH($B1275,الموظفات!$B$5:$B$304,0))&amp;"",""))</f>
        <v/>
      </c>
      <c r="L1275" s="21">
        <f>IF($B1275="","",IFERROR(INDEX(الموظفات!$C$5:$C$304,MATCH($B1275,الموظفات!$B$5:$B$304,0))&amp;"",""))</f>
        <v/>
      </c>
      <c r="M1275" s="20">
        <f>IF($B1275="","",IFERROR(INDEX(الموظفات!$D$5:$D$304,MATCH($B1275,الموظفات!$B$5:$B$304,0))&amp;"",""))</f>
        <v/>
      </c>
      <c r="N1275" s="20">
        <f>IF($B1275="","",IFERROR(INDEX(الموظفات!$E$5:$E$304,MATCH($B1275,الموظفات!$B$5:$B$304,0))&amp;"",""))</f>
        <v/>
      </c>
      <c r="O1275" s="21">
        <f>IF(C1275="","",IFERROR(INDEX(الإعدادات!$D$7:$D$35,MATCH(C1275,الإعدادات!$A$7:$A$35,0))&amp;"",""))</f>
        <v/>
      </c>
      <c r="P1275" s="20">
        <f>IF(A1275="","",INDEX(الإعدادات!$H$7:$H$18,MONTH(A1275)))</f>
        <v/>
      </c>
      <c r="Q1275" s="20">
        <f>IF(A1275="","",INDEX(الإعدادات!$I$7:$I$18,MONTH(A1275)))</f>
        <v/>
      </c>
      <c r="R1275" s="20">
        <f>IF(A1275="","",IF(MONTH(A1275)&gt;=8,YEAR(A1275)&amp;"-"&amp;(YEAR(A1275)+1),(YEAR(A1275)-1)&amp;"-"&amp;YEAR(A1275)))</f>
        <v/>
      </c>
      <c r="S1275" s="20">
        <f>IF(OR(A1275="",B1275=""),0,IF(AND(R1275=التقارير!$C$4,OR(التقارير!$C$5="سنوي",AND(التقارير!$C$5="شهري",P1275=التقارير!$C$6),AND(التقارير!$C$5="فصلي",Q1275=التقارير!$C$7))),1,0))</f>
        <v/>
      </c>
      <c r="T1275" s="20">
        <f>IF(S1275=1,COUNTIF($S$5:S1275,1),"")</f>
        <v/>
      </c>
      <c r="U1275">
        <f>IF(AND($A1275&lt;&gt;"",$B1275&lt;&gt;"",$R1275='تقرير الفصل الأول'!$C$4,$Q1275='تقرير الفصل الأول'!$C$7),COUNT(U$4:U1274)+1,"")</f>
        <v/>
      </c>
      <c r="V1275">
        <f>IF(AND($A1275&lt;&gt;"",$B1275&lt;&gt;"",$R1275='تقرير الفصل الثاني'!$C$4,$Q1275='تقرير الفصل الثاني'!$C$7),COUNT(V$4:V1274)+1,"")</f>
        <v/>
      </c>
      <c r="W1275">
        <f>IF(AND($A1275&lt;&gt;"",$B1275&lt;&gt;"",$R1275='تقرير سبتمبر'!$C$4,$P1275='تقرير سبتمبر'!$C$6),COUNT(W$4:W1274)+1,"")</f>
        <v/>
      </c>
      <c r="X1275">
        <f>IF(AND($A1275&lt;&gt;"",$B1275&lt;&gt;"",$R1275='تقرير أكتوبر'!$C$4,$P1275='تقرير أكتوبر'!$C$6),COUNT(X$4:X1274)+1,"")</f>
        <v/>
      </c>
      <c r="Y1275">
        <f>IF(AND($A1275&lt;&gt;"",$B1275&lt;&gt;"",$R1275='تقرير نوفمبر'!$C$4,$P1275='تقرير نوفمبر'!$C$6),COUNT(Y$4:Y1274)+1,"")</f>
        <v/>
      </c>
      <c r="Z1275">
        <f>IF(AND($A1275&lt;&gt;"",$B1275&lt;&gt;"",$R1275='تقرير ديسمبر'!$C$4,$P1275='تقرير ديسمبر'!$C$6),COUNT(Z$4:Z1274)+1,"")</f>
        <v/>
      </c>
      <c r="AA1275">
        <f>IF(AND($A1275&lt;&gt;"",$B1275&lt;&gt;"",$R1275='تقرير يناير'!$C$4,$P1275='تقرير يناير'!$C$6),COUNT(AA$4:AA1274)+1,"")</f>
        <v/>
      </c>
      <c r="AB1275">
        <f>IF(AND($A1275&lt;&gt;"",$B1275&lt;&gt;"",$R1275='تقرير فبراير'!$C$4,$P1275='تقرير فبراير'!$C$6),COUNT(AB$4:AB1274)+1,"")</f>
        <v/>
      </c>
      <c r="AC1275">
        <f>IF(AND($A1275&lt;&gt;"",$B1275&lt;&gt;"",$R1275='تقرير مارس'!$C$4,$P1275='تقرير مارس'!$C$6),COUNT(AC$4:AC1274)+1,"")</f>
        <v/>
      </c>
      <c r="AD1275">
        <f>IF(AND($A1275&lt;&gt;"",$B1275&lt;&gt;"",$R1275='تقرير أبريل'!$C$4,$P1275='تقرير أبريل'!$C$6),COUNT(AD$4:AD1274)+1,"")</f>
        <v/>
      </c>
      <c r="AE1275">
        <f>IF(AND($A1275&lt;&gt;"",$B1275&lt;&gt;"",$R1275='تقرير مايو'!$C$4,$P1275='تقرير مايو'!$C$6),COUNT(AE$4:AE1274)+1,"")</f>
        <v/>
      </c>
    </row>
    <row r="1276">
      <c r="A1276" s="16" t="n"/>
      <c r="B1276" s="17" t="n"/>
      <c r="C1276" s="17" t="n"/>
      <c r="D1276" s="18" t="n"/>
      <c r="E1276" s="17" t="n"/>
      <c r="F1276" s="17" t="n"/>
      <c r="G1276" s="19" t="n"/>
      <c r="H1276" s="17" t="n"/>
      <c r="I1276" s="17" t="n"/>
      <c r="J1276" s="17" t="n"/>
      <c r="K1276" s="20">
        <f>IF($B1276="","",IFERROR(INDEX(الموظفات!$A$5:$A$304,MATCH($B1276,الموظفات!$B$5:$B$304,0))&amp;"",""))</f>
        <v/>
      </c>
      <c r="L1276" s="21">
        <f>IF($B1276="","",IFERROR(INDEX(الموظفات!$C$5:$C$304,MATCH($B1276,الموظفات!$B$5:$B$304,0))&amp;"",""))</f>
        <v/>
      </c>
      <c r="M1276" s="20">
        <f>IF($B1276="","",IFERROR(INDEX(الموظفات!$D$5:$D$304,MATCH($B1276,الموظفات!$B$5:$B$304,0))&amp;"",""))</f>
        <v/>
      </c>
      <c r="N1276" s="20">
        <f>IF($B1276="","",IFERROR(INDEX(الموظفات!$E$5:$E$304,MATCH($B1276,الموظفات!$B$5:$B$304,0))&amp;"",""))</f>
        <v/>
      </c>
      <c r="O1276" s="21">
        <f>IF(C1276="","",IFERROR(INDEX(الإعدادات!$D$7:$D$35,MATCH(C1276,الإعدادات!$A$7:$A$35,0))&amp;"",""))</f>
        <v/>
      </c>
      <c r="P1276" s="20">
        <f>IF(A1276="","",INDEX(الإعدادات!$H$7:$H$18,MONTH(A1276)))</f>
        <v/>
      </c>
      <c r="Q1276" s="20">
        <f>IF(A1276="","",INDEX(الإعدادات!$I$7:$I$18,MONTH(A1276)))</f>
        <v/>
      </c>
      <c r="R1276" s="20">
        <f>IF(A1276="","",IF(MONTH(A1276)&gt;=8,YEAR(A1276)&amp;"-"&amp;(YEAR(A1276)+1),(YEAR(A1276)-1)&amp;"-"&amp;YEAR(A1276)))</f>
        <v/>
      </c>
      <c r="S1276" s="20">
        <f>IF(OR(A1276="",B1276=""),0,IF(AND(R1276=التقارير!$C$4,OR(التقارير!$C$5="سنوي",AND(التقارير!$C$5="شهري",P1276=التقارير!$C$6),AND(التقارير!$C$5="فصلي",Q1276=التقارير!$C$7))),1,0))</f>
        <v/>
      </c>
      <c r="T1276" s="20">
        <f>IF(S1276=1,COUNTIF($S$5:S1276,1),"")</f>
        <v/>
      </c>
      <c r="U1276">
        <f>IF(AND($A1276&lt;&gt;"",$B1276&lt;&gt;"",$R1276='تقرير الفصل الأول'!$C$4,$Q1276='تقرير الفصل الأول'!$C$7),COUNT(U$4:U1275)+1,"")</f>
        <v/>
      </c>
      <c r="V1276">
        <f>IF(AND($A1276&lt;&gt;"",$B1276&lt;&gt;"",$R1276='تقرير الفصل الثاني'!$C$4,$Q1276='تقرير الفصل الثاني'!$C$7),COUNT(V$4:V1275)+1,"")</f>
        <v/>
      </c>
      <c r="W1276">
        <f>IF(AND($A1276&lt;&gt;"",$B1276&lt;&gt;"",$R1276='تقرير سبتمبر'!$C$4,$P1276='تقرير سبتمبر'!$C$6),COUNT(W$4:W1275)+1,"")</f>
        <v/>
      </c>
      <c r="X1276">
        <f>IF(AND($A1276&lt;&gt;"",$B1276&lt;&gt;"",$R1276='تقرير أكتوبر'!$C$4,$P1276='تقرير أكتوبر'!$C$6),COUNT(X$4:X1275)+1,"")</f>
        <v/>
      </c>
      <c r="Y1276">
        <f>IF(AND($A1276&lt;&gt;"",$B1276&lt;&gt;"",$R1276='تقرير نوفمبر'!$C$4,$P1276='تقرير نوفمبر'!$C$6),COUNT(Y$4:Y1275)+1,"")</f>
        <v/>
      </c>
      <c r="Z1276">
        <f>IF(AND($A1276&lt;&gt;"",$B1276&lt;&gt;"",$R1276='تقرير ديسمبر'!$C$4,$P1276='تقرير ديسمبر'!$C$6),COUNT(Z$4:Z1275)+1,"")</f>
        <v/>
      </c>
      <c r="AA1276">
        <f>IF(AND($A1276&lt;&gt;"",$B1276&lt;&gt;"",$R1276='تقرير يناير'!$C$4,$P1276='تقرير يناير'!$C$6),COUNT(AA$4:AA1275)+1,"")</f>
        <v/>
      </c>
      <c r="AB1276">
        <f>IF(AND($A1276&lt;&gt;"",$B1276&lt;&gt;"",$R1276='تقرير فبراير'!$C$4,$P1276='تقرير فبراير'!$C$6),COUNT(AB$4:AB1275)+1,"")</f>
        <v/>
      </c>
      <c r="AC1276">
        <f>IF(AND($A1276&lt;&gt;"",$B1276&lt;&gt;"",$R1276='تقرير مارس'!$C$4,$P1276='تقرير مارس'!$C$6),COUNT(AC$4:AC1275)+1,"")</f>
        <v/>
      </c>
      <c r="AD1276">
        <f>IF(AND($A1276&lt;&gt;"",$B1276&lt;&gt;"",$R1276='تقرير أبريل'!$C$4,$P1276='تقرير أبريل'!$C$6),COUNT(AD$4:AD1275)+1,"")</f>
        <v/>
      </c>
      <c r="AE1276">
        <f>IF(AND($A1276&lt;&gt;"",$B1276&lt;&gt;"",$R1276='تقرير مايو'!$C$4,$P1276='تقرير مايو'!$C$6),COUNT(AE$4:AE1275)+1,"")</f>
        <v/>
      </c>
    </row>
    <row r="1277">
      <c r="A1277" s="16" t="n"/>
      <c r="B1277" s="17" t="n"/>
      <c r="C1277" s="17" t="n"/>
      <c r="D1277" s="18" t="n"/>
      <c r="E1277" s="17" t="n"/>
      <c r="F1277" s="17" t="n"/>
      <c r="G1277" s="19" t="n"/>
      <c r="H1277" s="17" t="n"/>
      <c r="I1277" s="17" t="n"/>
      <c r="J1277" s="17" t="n"/>
      <c r="K1277" s="20">
        <f>IF($B1277="","",IFERROR(INDEX(الموظفات!$A$5:$A$304,MATCH($B1277,الموظفات!$B$5:$B$304,0))&amp;"",""))</f>
        <v/>
      </c>
      <c r="L1277" s="21">
        <f>IF($B1277="","",IFERROR(INDEX(الموظفات!$C$5:$C$304,MATCH($B1277,الموظفات!$B$5:$B$304,0))&amp;"",""))</f>
        <v/>
      </c>
      <c r="M1277" s="20">
        <f>IF($B1277="","",IFERROR(INDEX(الموظفات!$D$5:$D$304,MATCH($B1277,الموظفات!$B$5:$B$304,0))&amp;"",""))</f>
        <v/>
      </c>
      <c r="N1277" s="20">
        <f>IF($B1277="","",IFERROR(INDEX(الموظفات!$E$5:$E$304,MATCH($B1277,الموظفات!$B$5:$B$304,0))&amp;"",""))</f>
        <v/>
      </c>
      <c r="O1277" s="21">
        <f>IF(C1277="","",IFERROR(INDEX(الإعدادات!$D$7:$D$35,MATCH(C1277,الإعدادات!$A$7:$A$35,0))&amp;"",""))</f>
        <v/>
      </c>
      <c r="P1277" s="20">
        <f>IF(A1277="","",INDEX(الإعدادات!$H$7:$H$18,MONTH(A1277)))</f>
        <v/>
      </c>
      <c r="Q1277" s="20">
        <f>IF(A1277="","",INDEX(الإعدادات!$I$7:$I$18,MONTH(A1277)))</f>
        <v/>
      </c>
      <c r="R1277" s="20">
        <f>IF(A1277="","",IF(MONTH(A1277)&gt;=8,YEAR(A1277)&amp;"-"&amp;(YEAR(A1277)+1),(YEAR(A1277)-1)&amp;"-"&amp;YEAR(A1277)))</f>
        <v/>
      </c>
      <c r="S1277" s="20">
        <f>IF(OR(A1277="",B1277=""),0,IF(AND(R1277=التقارير!$C$4,OR(التقارير!$C$5="سنوي",AND(التقارير!$C$5="شهري",P1277=التقارير!$C$6),AND(التقارير!$C$5="فصلي",Q1277=التقارير!$C$7))),1,0))</f>
        <v/>
      </c>
      <c r="T1277" s="20">
        <f>IF(S1277=1,COUNTIF($S$5:S1277,1),"")</f>
        <v/>
      </c>
      <c r="U1277">
        <f>IF(AND($A1277&lt;&gt;"",$B1277&lt;&gt;"",$R1277='تقرير الفصل الأول'!$C$4,$Q1277='تقرير الفصل الأول'!$C$7),COUNT(U$4:U1276)+1,"")</f>
        <v/>
      </c>
      <c r="V1277">
        <f>IF(AND($A1277&lt;&gt;"",$B1277&lt;&gt;"",$R1277='تقرير الفصل الثاني'!$C$4,$Q1277='تقرير الفصل الثاني'!$C$7),COUNT(V$4:V1276)+1,"")</f>
        <v/>
      </c>
      <c r="W1277">
        <f>IF(AND($A1277&lt;&gt;"",$B1277&lt;&gt;"",$R1277='تقرير سبتمبر'!$C$4,$P1277='تقرير سبتمبر'!$C$6),COUNT(W$4:W1276)+1,"")</f>
        <v/>
      </c>
      <c r="X1277">
        <f>IF(AND($A1277&lt;&gt;"",$B1277&lt;&gt;"",$R1277='تقرير أكتوبر'!$C$4,$P1277='تقرير أكتوبر'!$C$6),COUNT(X$4:X1276)+1,"")</f>
        <v/>
      </c>
      <c r="Y1277">
        <f>IF(AND($A1277&lt;&gt;"",$B1277&lt;&gt;"",$R1277='تقرير نوفمبر'!$C$4,$P1277='تقرير نوفمبر'!$C$6),COUNT(Y$4:Y1276)+1,"")</f>
        <v/>
      </c>
      <c r="Z1277">
        <f>IF(AND($A1277&lt;&gt;"",$B1277&lt;&gt;"",$R1277='تقرير ديسمبر'!$C$4,$P1277='تقرير ديسمبر'!$C$6),COUNT(Z$4:Z1276)+1,"")</f>
        <v/>
      </c>
      <c r="AA1277">
        <f>IF(AND($A1277&lt;&gt;"",$B1277&lt;&gt;"",$R1277='تقرير يناير'!$C$4,$P1277='تقرير يناير'!$C$6),COUNT(AA$4:AA1276)+1,"")</f>
        <v/>
      </c>
      <c r="AB1277">
        <f>IF(AND($A1277&lt;&gt;"",$B1277&lt;&gt;"",$R1277='تقرير فبراير'!$C$4,$P1277='تقرير فبراير'!$C$6),COUNT(AB$4:AB1276)+1,"")</f>
        <v/>
      </c>
      <c r="AC1277">
        <f>IF(AND($A1277&lt;&gt;"",$B1277&lt;&gt;"",$R1277='تقرير مارس'!$C$4,$P1277='تقرير مارس'!$C$6),COUNT(AC$4:AC1276)+1,"")</f>
        <v/>
      </c>
      <c r="AD1277">
        <f>IF(AND($A1277&lt;&gt;"",$B1277&lt;&gt;"",$R1277='تقرير أبريل'!$C$4,$P1277='تقرير أبريل'!$C$6),COUNT(AD$4:AD1276)+1,"")</f>
        <v/>
      </c>
      <c r="AE1277">
        <f>IF(AND($A1277&lt;&gt;"",$B1277&lt;&gt;"",$R1277='تقرير مايو'!$C$4,$P1277='تقرير مايو'!$C$6),COUNT(AE$4:AE1276)+1,"")</f>
        <v/>
      </c>
    </row>
    <row r="1278">
      <c r="A1278" s="16" t="n"/>
      <c r="B1278" s="17" t="n"/>
      <c r="C1278" s="17" t="n"/>
      <c r="D1278" s="18" t="n"/>
      <c r="E1278" s="17" t="n"/>
      <c r="F1278" s="17" t="n"/>
      <c r="G1278" s="19" t="n"/>
      <c r="H1278" s="17" t="n"/>
      <c r="I1278" s="17" t="n"/>
      <c r="J1278" s="17" t="n"/>
      <c r="K1278" s="20">
        <f>IF($B1278="","",IFERROR(INDEX(الموظفات!$A$5:$A$304,MATCH($B1278,الموظفات!$B$5:$B$304,0))&amp;"",""))</f>
        <v/>
      </c>
      <c r="L1278" s="21">
        <f>IF($B1278="","",IFERROR(INDEX(الموظفات!$C$5:$C$304,MATCH($B1278,الموظفات!$B$5:$B$304,0))&amp;"",""))</f>
        <v/>
      </c>
      <c r="M1278" s="20">
        <f>IF($B1278="","",IFERROR(INDEX(الموظفات!$D$5:$D$304,MATCH($B1278,الموظفات!$B$5:$B$304,0))&amp;"",""))</f>
        <v/>
      </c>
      <c r="N1278" s="20">
        <f>IF($B1278="","",IFERROR(INDEX(الموظفات!$E$5:$E$304,MATCH($B1278,الموظفات!$B$5:$B$304,0))&amp;"",""))</f>
        <v/>
      </c>
      <c r="O1278" s="21">
        <f>IF(C1278="","",IFERROR(INDEX(الإعدادات!$D$7:$D$35,MATCH(C1278,الإعدادات!$A$7:$A$35,0))&amp;"",""))</f>
        <v/>
      </c>
      <c r="P1278" s="20">
        <f>IF(A1278="","",INDEX(الإعدادات!$H$7:$H$18,MONTH(A1278)))</f>
        <v/>
      </c>
      <c r="Q1278" s="20">
        <f>IF(A1278="","",INDEX(الإعدادات!$I$7:$I$18,MONTH(A1278)))</f>
        <v/>
      </c>
      <c r="R1278" s="20">
        <f>IF(A1278="","",IF(MONTH(A1278)&gt;=8,YEAR(A1278)&amp;"-"&amp;(YEAR(A1278)+1),(YEAR(A1278)-1)&amp;"-"&amp;YEAR(A1278)))</f>
        <v/>
      </c>
      <c r="S1278" s="20">
        <f>IF(OR(A1278="",B1278=""),0,IF(AND(R1278=التقارير!$C$4,OR(التقارير!$C$5="سنوي",AND(التقارير!$C$5="شهري",P1278=التقارير!$C$6),AND(التقارير!$C$5="فصلي",Q1278=التقارير!$C$7))),1,0))</f>
        <v/>
      </c>
      <c r="T1278" s="20">
        <f>IF(S1278=1,COUNTIF($S$5:S1278,1),"")</f>
        <v/>
      </c>
      <c r="U1278">
        <f>IF(AND($A1278&lt;&gt;"",$B1278&lt;&gt;"",$R1278='تقرير الفصل الأول'!$C$4,$Q1278='تقرير الفصل الأول'!$C$7),COUNT(U$4:U1277)+1,"")</f>
        <v/>
      </c>
      <c r="V1278">
        <f>IF(AND($A1278&lt;&gt;"",$B1278&lt;&gt;"",$R1278='تقرير الفصل الثاني'!$C$4,$Q1278='تقرير الفصل الثاني'!$C$7),COUNT(V$4:V1277)+1,"")</f>
        <v/>
      </c>
      <c r="W1278">
        <f>IF(AND($A1278&lt;&gt;"",$B1278&lt;&gt;"",$R1278='تقرير سبتمبر'!$C$4,$P1278='تقرير سبتمبر'!$C$6),COUNT(W$4:W1277)+1,"")</f>
        <v/>
      </c>
      <c r="X1278">
        <f>IF(AND($A1278&lt;&gt;"",$B1278&lt;&gt;"",$R1278='تقرير أكتوبر'!$C$4,$P1278='تقرير أكتوبر'!$C$6),COUNT(X$4:X1277)+1,"")</f>
        <v/>
      </c>
      <c r="Y1278">
        <f>IF(AND($A1278&lt;&gt;"",$B1278&lt;&gt;"",$R1278='تقرير نوفمبر'!$C$4,$P1278='تقرير نوفمبر'!$C$6),COUNT(Y$4:Y1277)+1,"")</f>
        <v/>
      </c>
      <c r="Z1278">
        <f>IF(AND($A1278&lt;&gt;"",$B1278&lt;&gt;"",$R1278='تقرير ديسمبر'!$C$4,$P1278='تقرير ديسمبر'!$C$6),COUNT(Z$4:Z1277)+1,"")</f>
        <v/>
      </c>
      <c r="AA1278">
        <f>IF(AND($A1278&lt;&gt;"",$B1278&lt;&gt;"",$R1278='تقرير يناير'!$C$4,$P1278='تقرير يناير'!$C$6),COUNT(AA$4:AA1277)+1,"")</f>
        <v/>
      </c>
      <c r="AB1278">
        <f>IF(AND($A1278&lt;&gt;"",$B1278&lt;&gt;"",$R1278='تقرير فبراير'!$C$4,$P1278='تقرير فبراير'!$C$6),COUNT(AB$4:AB1277)+1,"")</f>
        <v/>
      </c>
      <c r="AC1278">
        <f>IF(AND($A1278&lt;&gt;"",$B1278&lt;&gt;"",$R1278='تقرير مارس'!$C$4,$P1278='تقرير مارس'!$C$6),COUNT(AC$4:AC1277)+1,"")</f>
        <v/>
      </c>
      <c r="AD1278">
        <f>IF(AND($A1278&lt;&gt;"",$B1278&lt;&gt;"",$R1278='تقرير أبريل'!$C$4,$P1278='تقرير أبريل'!$C$6),COUNT(AD$4:AD1277)+1,"")</f>
        <v/>
      </c>
      <c r="AE1278">
        <f>IF(AND($A1278&lt;&gt;"",$B1278&lt;&gt;"",$R1278='تقرير مايو'!$C$4,$P1278='تقرير مايو'!$C$6),COUNT(AE$4:AE1277)+1,"")</f>
        <v/>
      </c>
    </row>
    <row r="1279">
      <c r="A1279" s="16" t="n"/>
      <c r="B1279" s="17" t="n"/>
      <c r="C1279" s="17" t="n"/>
      <c r="D1279" s="18" t="n"/>
      <c r="E1279" s="17" t="n"/>
      <c r="F1279" s="17" t="n"/>
      <c r="G1279" s="19" t="n"/>
      <c r="H1279" s="17" t="n"/>
      <c r="I1279" s="17" t="n"/>
      <c r="J1279" s="17" t="n"/>
      <c r="K1279" s="20">
        <f>IF($B1279="","",IFERROR(INDEX(الموظفات!$A$5:$A$304,MATCH($B1279,الموظفات!$B$5:$B$304,0))&amp;"",""))</f>
        <v/>
      </c>
      <c r="L1279" s="21">
        <f>IF($B1279="","",IFERROR(INDEX(الموظفات!$C$5:$C$304,MATCH($B1279,الموظفات!$B$5:$B$304,0))&amp;"",""))</f>
        <v/>
      </c>
      <c r="M1279" s="20">
        <f>IF($B1279="","",IFERROR(INDEX(الموظفات!$D$5:$D$304,MATCH($B1279,الموظفات!$B$5:$B$304,0))&amp;"",""))</f>
        <v/>
      </c>
      <c r="N1279" s="20">
        <f>IF($B1279="","",IFERROR(INDEX(الموظفات!$E$5:$E$304,MATCH($B1279,الموظفات!$B$5:$B$304,0))&amp;"",""))</f>
        <v/>
      </c>
      <c r="O1279" s="21">
        <f>IF(C1279="","",IFERROR(INDEX(الإعدادات!$D$7:$D$35,MATCH(C1279,الإعدادات!$A$7:$A$35,0))&amp;"",""))</f>
        <v/>
      </c>
      <c r="P1279" s="20">
        <f>IF(A1279="","",INDEX(الإعدادات!$H$7:$H$18,MONTH(A1279)))</f>
        <v/>
      </c>
      <c r="Q1279" s="20">
        <f>IF(A1279="","",INDEX(الإعدادات!$I$7:$I$18,MONTH(A1279)))</f>
        <v/>
      </c>
      <c r="R1279" s="20">
        <f>IF(A1279="","",IF(MONTH(A1279)&gt;=8,YEAR(A1279)&amp;"-"&amp;(YEAR(A1279)+1),(YEAR(A1279)-1)&amp;"-"&amp;YEAR(A1279)))</f>
        <v/>
      </c>
      <c r="S1279" s="20">
        <f>IF(OR(A1279="",B1279=""),0,IF(AND(R1279=التقارير!$C$4,OR(التقارير!$C$5="سنوي",AND(التقارير!$C$5="شهري",P1279=التقارير!$C$6),AND(التقارير!$C$5="فصلي",Q1279=التقارير!$C$7))),1,0))</f>
        <v/>
      </c>
      <c r="T1279" s="20">
        <f>IF(S1279=1,COUNTIF($S$5:S1279,1),"")</f>
        <v/>
      </c>
      <c r="U1279">
        <f>IF(AND($A1279&lt;&gt;"",$B1279&lt;&gt;"",$R1279='تقرير الفصل الأول'!$C$4,$Q1279='تقرير الفصل الأول'!$C$7),COUNT(U$4:U1278)+1,"")</f>
        <v/>
      </c>
      <c r="V1279">
        <f>IF(AND($A1279&lt;&gt;"",$B1279&lt;&gt;"",$R1279='تقرير الفصل الثاني'!$C$4,$Q1279='تقرير الفصل الثاني'!$C$7),COUNT(V$4:V1278)+1,"")</f>
        <v/>
      </c>
      <c r="W1279">
        <f>IF(AND($A1279&lt;&gt;"",$B1279&lt;&gt;"",$R1279='تقرير سبتمبر'!$C$4,$P1279='تقرير سبتمبر'!$C$6),COUNT(W$4:W1278)+1,"")</f>
        <v/>
      </c>
      <c r="X1279">
        <f>IF(AND($A1279&lt;&gt;"",$B1279&lt;&gt;"",$R1279='تقرير أكتوبر'!$C$4,$P1279='تقرير أكتوبر'!$C$6),COUNT(X$4:X1278)+1,"")</f>
        <v/>
      </c>
      <c r="Y1279">
        <f>IF(AND($A1279&lt;&gt;"",$B1279&lt;&gt;"",$R1279='تقرير نوفمبر'!$C$4,$P1279='تقرير نوفمبر'!$C$6),COUNT(Y$4:Y1278)+1,"")</f>
        <v/>
      </c>
      <c r="Z1279">
        <f>IF(AND($A1279&lt;&gt;"",$B1279&lt;&gt;"",$R1279='تقرير ديسمبر'!$C$4,$P1279='تقرير ديسمبر'!$C$6),COUNT(Z$4:Z1278)+1,"")</f>
        <v/>
      </c>
      <c r="AA1279">
        <f>IF(AND($A1279&lt;&gt;"",$B1279&lt;&gt;"",$R1279='تقرير يناير'!$C$4,$P1279='تقرير يناير'!$C$6),COUNT(AA$4:AA1278)+1,"")</f>
        <v/>
      </c>
      <c r="AB1279">
        <f>IF(AND($A1279&lt;&gt;"",$B1279&lt;&gt;"",$R1279='تقرير فبراير'!$C$4,$P1279='تقرير فبراير'!$C$6),COUNT(AB$4:AB1278)+1,"")</f>
        <v/>
      </c>
      <c r="AC1279">
        <f>IF(AND($A1279&lt;&gt;"",$B1279&lt;&gt;"",$R1279='تقرير مارس'!$C$4,$P1279='تقرير مارس'!$C$6),COUNT(AC$4:AC1278)+1,"")</f>
        <v/>
      </c>
      <c r="AD1279">
        <f>IF(AND($A1279&lt;&gt;"",$B1279&lt;&gt;"",$R1279='تقرير أبريل'!$C$4,$P1279='تقرير أبريل'!$C$6),COUNT(AD$4:AD1278)+1,"")</f>
        <v/>
      </c>
      <c r="AE1279">
        <f>IF(AND($A1279&lt;&gt;"",$B1279&lt;&gt;"",$R1279='تقرير مايو'!$C$4,$P1279='تقرير مايو'!$C$6),COUNT(AE$4:AE1278)+1,"")</f>
        <v/>
      </c>
    </row>
    <row r="1280">
      <c r="A1280" s="16" t="n"/>
      <c r="B1280" s="17" t="n"/>
      <c r="C1280" s="17" t="n"/>
      <c r="D1280" s="18" t="n"/>
      <c r="E1280" s="17" t="n"/>
      <c r="F1280" s="17" t="n"/>
      <c r="G1280" s="19" t="n"/>
      <c r="H1280" s="17" t="n"/>
      <c r="I1280" s="17" t="n"/>
      <c r="J1280" s="17" t="n"/>
      <c r="K1280" s="20">
        <f>IF($B1280="","",IFERROR(INDEX(الموظفات!$A$5:$A$304,MATCH($B1280,الموظفات!$B$5:$B$304,0))&amp;"",""))</f>
        <v/>
      </c>
      <c r="L1280" s="21">
        <f>IF($B1280="","",IFERROR(INDEX(الموظفات!$C$5:$C$304,MATCH($B1280,الموظفات!$B$5:$B$304,0))&amp;"",""))</f>
        <v/>
      </c>
      <c r="M1280" s="20">
        <f>IF($B1280="","",IFERROR(INDEX(الموظفات!$D$5:$D$304,MATCH($B1280,الموظفات!$B$5:$B$304,0))&amp;"",""))</f>
        <v/>
      </c>
      <c r="N1280" s="20">
        <f>IF($B1280="","",IFERROR(INDEX(الموظفات!$E$5:$E$304,MATCH($B1280,الموظفات!$B$5:$B$304,0))&amp;"",""))</f>
        <v/>
      </c>
      <c r="O1280" s="21">
        <f>IF(C1280="","",IFERROR(INDEX(الإعدادات!$D$7:$D$35,MATCH(C1280,الإعدادات!$A$7:$A$35,0))&amp;"",""))</f>
        <v/>
      </c>
      <c r="P1280" s="20">
        <f>IF(A1280="","",INDEX(الإعدادات!$H$7:$H$18,MONTH(A1280)))</f>
        <v/>
      </c>
      <c r="Q1280" s="20">
        <f>IF(A1280="","",INDEX(الإعدادات!$I$7:$I$18,MONTH(A1280)))</f>
        <v/>
      </c>
      <c r="R1280" s="20">
        <f>IF(A1280="","",IF(MONTH(A1280)&gt;=8,YEAR(A1280)&amp;"-"&amp;(YEAR(A1280)+1),(YEAR(A1280)-1)&amp;"-"&amp;YEAR(A1280)))</f>
        <v/>
      </c>
      <c r="S1280" s="20">
        <f>IF(OR(A1280="",B1280=""),0,IF(AND(R1280=التقارير!$C$4,OR(التقارير!$C$5="سنوي",AND(التقارير!$C$5="شهري",P1280=التقارير!$C$6),AND(التقارير!$C$5="فصلي",Q1280=التقارير!$C$7))),1,0))</f>
        <v/>
      </c>
      <c r="T1280" s="20">
        <f>IF(S1280=1,COUNTIF($S$5:S1280,1),"")</f>
        <v/>
      </c>
      <c r="U1280">
        <f>IF(AND($A1280&lt;&gt;"",$B1280&lt;&gt;"",$R1280='تقرير الفصل الأول'!$C$4,$Q1280='تقرير الفصل الأول'!$C$7),COUNT(U$4:U1279)+1,"")</f>
        <v/>
      </c>
      <c r="V1280">
        <f>IF(AND($A1280&lt;&gt;"",$B1280&lt;&gt;"",$R1280='تقرير الفصل الثاني'!$C$4,$Q1280='تقرير الفصل الثاني'!$C$7),COUNT(V$4:V1279)+1,"")</f>
        <v/>
      </c>
      <c r="W1280">
        <f>IF(AND($A1280&lt;&gt;"",$B1280&lt;&gt;"",$R1280='تقرير سبتمبر'!$C$4,$P1280='تقرير سبتمبر'!$C$6),COUNT(W$4:W1279)+1,"")</f>
        <v/>
      </c>
      <c r="X1280">
        <f>IF(AND($A1280&lt;&gt;"",$B1280&lt;&gt;"",$R1280='تقرير أكتوبر'!$C$4,$P1280='تقرير أكتوبر'!$C$6),COUNT(X$4:X1279)+1,"")</f>
        <v/>
      </c>
      <c r="Y1280">
        <f>IF(AND($A1280&lt;&gt;"",$B1280&lt;&gt;"",$R1280='تقرير نوفمبر'!$C$4,$P1280='تقرير نوفمبر'!$C$6),COUNT(Y$4:Y1279)+1,"")</f>
        <v/>
      </c>
      <c r="Z1280">
        <f>IF(AND($A1280&lt;&gt;"",$B1280&lt;&gt;"",$R1280='تقرير ديسمبر'!$C$4,$P1280='تقرير ديسمبر'!$C$6),COUNT(Z$4:Z1279)+1,"")</f>
        <v/>
      </c>
      <c r="AA1280">
        <f>IF(AND($A1280&lt;&gt;"",$B1280&lt;&gt;"",$R1280='تقرير يناير'!$C$4,$P1280='تقرير يناير'!$C$6),COUNT(AA$4:AA1279)+1,"")</f>
        <v/>
      </c>
      <c r="AB1280">
        <f>IF(AND($A1280&lt;&gt;"",$B1280&lt;&gt;"",$R1280='تقرير فبراير'!$C$4,$P1280='تقرير فبراير'!$C$6),COUNT(AB$4:AB1279)+1,"")</f>
        <v/>
      </c>
      <c r="AC1280">
        <f>IF(AND($A1280&lt;&gt;"",$B1280&lt;&gt;"",$R1280='تقرير مارس'!$C$4,$P1280='تقرير مارس'!$C$6),COUNT(AC$4:AC1279)+1,"")</f>
        <v/>
      </c>
      <c r="AD1280">
        <f>IF(AND($A1280&lt;&gt;"",$B1280&lt;&gt;"",$R1280='تقرير أبريل'!$C$4,$P1280='تقرير أبريل'!$C$6),COUNT(AD$4:AD1279)+1,"")</f>
        <v/>
      </c>
      <c r="AE1280">
        <f>IF(AND($A1280&lt;&gt;"",$B1280&lt;&gt;"",$R1280='تقرير مايو'!$C$4,$P1280='تقرير مايو'!$C$6),COUNT(AE$4:AE1279)+1,"")</f>
        <v/>
      </c>
    </row>
    <row r="1281">
      <c r="A1281" s="16" t="n"/>
      <c r="B1281" s="17" t="n"/>
      <c r="C1281" s="17" t="n"/>
      <c r="D1281" s="18" t="n"/>
      <c r="E1281" s="17" t="n"/>
      <c r="F1281" s="17" t="n"/>
      <c r="G1281" s="19" t="n"/>
      <c r="H1281" s="17" t="n"/>
      <c r="I1281" s="17" t="n"/>
      <c r="J1281" s="17" t="n"/>
      <c r="K1281" s="20">
        <f>IF($B1281="","",IFERROR(INDEX(الموظفات!$A$5:$A$304,MATCH($B1281,الموظفات!$B$5:$B$304,0))&amp;"",""))</f>
        <v/>
      </c>
      <c r="L1281" s="21">
        <f>IF($B1281="","",IFERROR(INDEX(الموظفات!$C$5:$C$304,MATCH($B1281,الموظفات!$B$5:$B$304,0))&amp;"",""))</f>
        <v/>
      </c>
      <c r="M1281" s="20">
        <f>IF($B1281="","",IFERROR(INDEX(الموظفات!$D$5:$D$304,MATCH($B1281,الموظفات!$B$5:$B$304,0))&amp;"",""))</f>
        <v/>
      </c>
      <c r="N1281" s="20">
        <f>IF($B1281="","",IFERROR(INDEX(الموظفات!$E$5:$E$304,MATCH($B1281,الموظفات!$B$5:$B$304,0))&amp;"",""))</f>
        <v/>
      </c>
      <c r="O1281" s="21">
        <f>IF(C1281="","",IFERROR(INDEX(الإعدادات!$D$7:$D$35,MATCH(C1281,الإعدادات!$A$7:$A$35,0))&amp;"",""))</f>
        <v/>
      </c>
      <c r="P1281" s="20">
        <f>IF(A1281="","",INDEX(الإعدادات!$H$7:$H$18,MONTH(A1281)))</f>
        <v/>
      </c>
      <c r="Q1281" s="20">
        <f>IF(A1281="","",INDEX(الإعدادات!$I$7:$I$18,MONTH(A1281)))</f>
        <v/>
      </c>
      <c r="R1281" s="20">
        <f>IF(A1281="","",IF(MONTH(A1281)&gt;=8,YEAR(A1281)&amp;"-"&amp;(YEAR(A1281)+1),(YEAR(A1281)-1)&amp;"-"&amp;YEAR(A1281)))</f>
        <v/>
      </c>
      <c r="S1281" s="20">
        <f>IF(OR(A1281="",B1281=""),0,IF(AND(R1281=التقارير!$C$4,OR(التقارير!$C$5="سنوي",AND(التقارير!$C$5="شهري",P1281=التقارير!$C$6),AND(التقارير!$C$5="فصلي",Q1281=التقارير!$C$7))),1,0))</f>
        <v/>
      </c>
      <c r="T1281" s="20">
        <f>IF(S1281=1,COUNTIF($S$5:S1281,1),"")</f>
        <v/>
      </c>
      <c r="U1281">
        <f>IF(AND($A1281&lt;&gt;"",$B1281&lt;&gt;"",$R1281='تقرير الفصل الأول'!$C$4,$Q1281='تقرير الفصل الأول'!$C$7),COUNT(U$4:U1280)+1,"")</f>
        <v/>
      </c>
      <c r="V1281">
        <f>IF(AND($A1281&lt;&gt;"",$B1281&lt;&gt;"",$R1281='تقرير الفصل الثاني'!$C$4,$Q1281='تقرير الفصل الثاني'!$C$7),COUNT(V$4:V1280)+1,"")</f>
        <v/>
      </c>
      <c r="W1281">
        <f>IF(AND($A1281&lt;&gt;"",$B1281&lt;&gt;"",$R1281='تقرير سبتمبر'!$C$4,$P1281='تقرير سبتمبر'!$C$6),COUNT(W$4:W1280)+1,"")</f>
        <v/>
      </c>
      <c r="X1281">
        <f>IF(AND($A1281&lt;&gt;"",$B1281&lt;&gt;"",$R1281='تقرير أكتوبر'!$C$4,$P1281='تقرير أكتوبر'!$C$6),COUNT(X$4:X1280)+1,"")</f>
        <v/>
      </c>
      <c r="Y1281">
        <f>IF(AND($A1281&lt;&gt;"",$B1281&lt;&gt;"",$R1281='تقرير نوفمبر'!$C$4,$P1281='تقرير نوفمبر'!$C$6),COUNT(Y$4:Y1280)+1,"")</f>
        <v/>
      </c>
      <c r="Z1281">
        <f>IF(AND($A1281&lt;&gt;"",$B1281&lt;&gt;"",$R1281='تقرير ديسمبر'!$C$4,$P1281='تقرير ديسمبر'!$C$6),COUNT(Z$4:Z1280)+1,"")</f>
        <v/>
      </c>
      <c r="AA1281">
        <f>IF(AND($A1281&lt;&gt;"",$B1281&lt;&gt;"",$R1281='تقرير يناير'!$C$4,$P1281='تقرير يناير'!$C$6),COUNT(AA$4:AA1280)+1,"")</f>
        <v/>
      </c>
      <c r="AB1281">
        <f>IF(AND($A1281&lt;&gt;"",$B1281&lt;&gt;"",$R1281='تقرير فبراير'!$C$4,$P1281='تقرير فبراير'!$C$6),COUNT(AB$4:AB1280)+1,"")</f>
        <v/>
      </c>
      <c r="AC1281">
        <f>IF(AND($A1281&lt;&gt;"",$B1281&lt;&gt;"",$R1281='تقرير مارس'!$C$4,$P1281='تقرير مارس'!$C$6),COUNT(AC$4:AC1280)+1,"")</f>
        <v/>
      </c>
      <c r="AD1281">
        <f>IF(AND($A1281&lt;&gt;"",$B1281&lt;&gt;"",$R1281='تقرير أبريل'!$C$4,$P1281='تقرير أبريل'!$C$6),COUNT(AD$4:AD1280)+1,"")</f>
        <v/>
      </c>
      <c r="AE1281">
        <f>IF(AND($A1281&lt;&gt;"",$B1281&lt;&gt;"",$R1281='تقرير مايو'!$C$4,$P1281='تقرير مايو'!$C$6),COUNT(AE$4:AE1280)+1,"")</f>
        <v/>
      </c>
    </row>
    <row r="1282">
      <c r="A1282" s="16" t="n"/>
      <c r="B1282" s="17" t="n"/>
      <c r="C1282" s="17" t="n"/>
      <c r="D1282" s="18" t="n"/>
      <c r="E1282" s="17" t="n"/>
      <c r="F1282" s="17" t="n"/>
      <c r="G1282" s="19" t="n"/>
      <c r="H1282" s="17" t="n"/>
      <c r="I1282" s="17" t="n"/>
      <c r="J1282" s="17" t="n"/>
      <c r="K1282" s="20">
        <f>IF($B1282="","",IFERROR(INDEX(الموظفات!$A$5:$A$304,MATCH($B1282,الموظفات!$B$5:$B$304,0))&amp;"",""))</f>
        <v/>
      </c>
      <c r="L1282" s="21">
        <f>IF($B1282="","",IFERROR(INDEX(الموظفات!$C$5:$C$304,MATCH($B1282,الموظفات!$B$5:$B$304,0))&amp;"",""))</f>
        <v/>
      </c>
      <c r="M1282" s="20">
        <f>IF($B1282="","",IFERROR(INDEX(الموظفات!$D$5:$D$304,MATCH($B1282,الموظفات!$B$5:$B$304,0))&amp;"",""))</f>
        <v/>
      </c>
      <c r="N1282" s="20">
        <f>IF($B1282="","",IFERROR(INDEX(الموظفات!$E$5:$E$304,MATCH($B1282,الموظفات!$B$5:$B$304,0))&amp;"",""))</f>
        <v/>
      </c>
      <c r="O1282" s="21">
        <f>IF(C1282="","",IFERROR(INDEX(الإعدادات!$D$7:$D$35,MATCH(C1282,الإعدادات!$A$7:$A$35,0))&amp;"",""))</f>
        <v/>
      </c>
      <c r="P1282" s="20">
        <f>IF(A1282="","",INDEX(الإعدادات!$H$7:$H$18,MONTH(A1282)))</f>
        <v/>
      </c>
      <c r="Q1282" s="20">
        <f>IF(A1282="","",INDEX(الإعدادات!$I$7:$I$18,MONTH(A1282)))</f>
        <v/>
      </c>
      <c r="R1282" s="20">
        <f>IF(A1282="","",IF(MONTH(A1282)&gt;=8,YEAR(A1282)&amp;"-"&amp;(YEAR(A1282)+1),(YEAR(A1282)-1)&amp;"-"&amp;YEAR(A1282)))</f>
        <v/>
      </c>
      <c r="S1282" s="20">
        <f>IF(OR(A1282="",B1282=""),0,IF(AND(R1282=التقارير!$C$4,OR(التقارير!$C$5="سنوي",AND(التقارير!$C$5="شهري",P1282=التقارير!$C$6),AND(التقارير!$C$5="فصلي",Q1282=التقارير!$C$7))),1,0))</f>
        <v/>
      </c>
      <c r="T1282" s="20">
        <f>IF(S1282=1,COUNTIF($S$5:S1282,1),"")</f>
        <v/>
      </c>
      <c r="U1282">
        <f>IF(AND($A1282&lt;&gt;"",$B1282&lt;&gt;"",$R1282='تقرير الفصل الأول'!$C$4,$Q1282='تقرير الفصل الأول'!$C$7),COUNT(U$4:U1281)+1,"")</f>
        <v/>
      </c>
      <c r="V1282">
        <f>IF(AND($A1282&lt;&gt;"",$B1282&lt;&gt;"",$R1282='تقرير الفصل الثاني'!$C$4,$Q1282='تقرير الفصل الثاني'!$C$7),COUNT(V$4:V1281)+1,"")</f>
        <v/>
      </c>
      <c r="W1282">
        <f>IF(AND($A1282&lt;&gt;"",$B1282&lt;&gt;"",$R1282='تقرير سبتمبر'!$C$4,$P1282='تقرير سبتمبر'!$C$6),COUNT(W$4:W1281)+1,"")</f>
        <v/>
      </c>
      <c r="X1282">
        <f>IF(AND($A1282&lt;&gt;"",$B1282&lt;&gt;"",$R1282='تقرير أكتوبر'!$C$4,$P1282='تقرير أكتوبر'!$C$6),COUNT(X$4:X1281)+1,"")</f>
        <v/>
      </c>
      <c r="Y1282">
        <f>IF(AND($A1282&lt;&gt;"",$B1282&lt;&gt;"",$R1282='تقرير نوفمبر'!$C$4,$P1282='تقرير نوفمبر'!$C$6),COUNT(Y$4:Y1281)+1,"")</f>
        <v/>
      </c>
      <c r="Z1282">
        <f>IF(AND($A1282&lt;&gt;"",$B1282&lt;&gt;"",$R1282='تقرير ديسمبر'!$C$4,$P1282='تقرير ديسمبر'!$C$6),COUNT(Z$4:Z1281)+1,"")</f>
        <v/>
      </c>
      <c r="AA1282">
        <f>IF(AND($A1282&lt;&gt;"",$B1282&lt;&gt;"",$R1282='تقرير يناير'!$C$4,$P1282='تقرير يناير'!$C$6),COUNT(AA$4:AA1281)+1,"")</f>
        <v/>
      </c>
      <c r="AB1282">
        <f>IF(AND($A1282&lt;&gt;"",$B1282&lt;&gt;"",$R1282='تقرير فبراير'!$C$4,$P1282='تقرير فبراير'!$C$6),COUNT(AB$4:AB1281)+1,"")</f>
        <v/>
      </c>
      <c r="AC1282">
        <f>IF(AND($A1282&lt;&gt;"",$B1282&lt;&gt;"",$R1282='تقرير مارس'!$C$4,$P1282='تقرير مارس'!$C$6),COUNT(AC$4:AC1281)+1,"")</f>
        <v/>
      </c>
      <c r="AD1282">
        <f>IF(AND($A1282&lt;&gt;"",$B1282&lt;&gt;"",$R1282='تقرير أبريل'!$C$4,$P1282='تقرير أبريل'!$C$6),COUNT(AD$4:AD1281)+1,"")</f>
        <v/>
      </c>
      <c r="AE1282">
        <f>IF(AND($A1282&lt;&gt;"",$B1282&lt;&gt;"",$R1282='تقرير مايو'!$C$4,$P1282='تقرير مايو'!$C$6),COUNT(AE$4:AE1281)+1,"")</f>
        <v/>
      </c>
    </row>
    <row r="1283">
      <c r="A1283" s="16" t="n"/>
      <c r="B1283" s="17" t="n"/>
      <c r="C1283" s="17" t="n"/>
      <c r="D1283" s="18" t="n"/>
      <c r="E1283" s="17" t="n"/>
      <c r="F1283" s="17" t="n"/>
      <c r="G1283" s="19" t="n"/>
      <c r="H1283" s="17" t="n"/>
      <c r="I1283" s="17" t="n"/>
      <c r="J1283" s="17" t="n"/>
      <c r="K1283" s="20">
        <f>IF($B1283="","",IFERROR(INDEX(الموظفات!$A$5:$A$304,MATCH($B1283,الموظفات!$B$5:$B$304,0))&amp;"",""))</f>
        <v/>
      </c>
      <c r="L1283" s="21">
        <f>IF($B1283="","",IFERROR(INDEX(الموظفات!$C$5:$C$304,MATCH($B1283,الموظفات!$B$5:$B$304,0))&amp;"",""))</f>
        <v/>
      </c>
      <c r="M1283" s="20">
        <f>IF($B1283="","",IFERROR(INDEX(الموظفات!$D$5:$D$304,MATCH($B1283,الموظفات!$B$5:$B$304,0))&amp;"",""))</f>
        <v/>
      </c>
      <c r="N1283" s="20">
        <f>IF($B1283="","",IFERROR(INDEX(الموظفات!$E$5:$E$304,MATCH($B1283,الموظفات!$B$5:$B$304,0))&amp;"",""))</f>
        <v/>
      </c>
      <c r="O1283" s="21">
        <f>IF(C1283="","",IFERROR(INDEX(الإعدادات!$D$7:$D$35,MATCH(C1283,الإعدادات!$A$7:$A$35,0))&amp;"",""))</f>
        <v/>
      </c>
      <c r="P1283" s="20">
        <f>IF(A1283="","",INDEX(الإعدادات!$H$7:$H$18,MONTH(A1283)))</f>
        <v/>
      </c>
      <c r="Q1283" s="20">
        <f>IF(A1283="","",INDEX(الإعدادات!$I$7:$I$18,MONTH(A1283)))</f>
        <v/>
      </c>
      <c r="R1283" s="20">
        <f>IF(A1283="","",IF(MONTH(A1283)&gt;=8,YEAR(A1283)&amp;"-"&amp;(YEAR(A1283)+1),(YEAR(A1283)-1)&amp;"-"&amp;YEAR(A1283)))</f>
        <v/>
      </c>
      <c r="S1283" s="20">
        <f>IF(OR(A1283="",B1283=""),0,IF(AND(R1283=التقارير!$C$4,OR(التقارير!$C$5="سنوي",AND(التقارير!$C$5="شهري",P1283=التقارير!$C$6),AND(التقارير!$C$5="فصلي",Q1283=التقارير!$C$7))),1,0))</f>
        <v/>
      </c>
      <c r="T1283" s="20">
        <f>IF(S1283=1,COUNTIF($S$5:S1283,1),"")</f>
        <v/>
      </c>
      <c r="U1283">
        <f>IF(AND($A1283&lt;&gt;"",$B1283&lt;&gt;"",$R1283='تقرير الفصل الأول'!$C$4,$Q1283='تقرير الفصل الأول'!$C$7),COUNT(U$4:U1282)+1,"")</f>
        <v/>
      </c>
      <c r="V1283">
        <f>IF(AND($A1283&lt;&gt;"",$B1283&lt;&gt;"",$R1283='تقرير الفصل الثاني'!$C$4,$Q1283='تقرير الفصل الثاني'!$C$7),COUNT(V$4:V1282)+1,"")</f>
        <v/>
      </c>
      <c r="W1283">
        <f>IF(AND($A1283&lt;&gt;"",$B1283&lt;&gt;"",$R1283='تقرير سبتمبر'!$C$4,$P1283='تقرير سبتمبر'!$C$6),COUNT(W$4:W1282)+1,"")</f>
        <v/>
      </c>
      <c r="X1283">
        <f>IF(AND($A1283&lt;&gt;"",$B1283&lt;&gt;"",$R1283='تقرير أكتوبر'!$C$4,$P1283='تقرير أكتوبر'!$C$6),COUNT(X$4:X1282)+1,"")</f>
        <v/>
      </c>
      <c r="Y1283">
        <f>IF(AND($A1283&lt;&gt;"",$B1283&lt;&gt;"",$R1283='تقرير نوفمبر'!$C$4,$P1283='تقرير نوفمبر'!$C$6),COUNT(Y$4:Y1282)+1,"")</f>
        <v/>
      </c>
      <c r="Z1283">
        <f>IF(AND($A1283&lt;&gt;"",$B1283&lt;&gt;"",$R1283='تقرير ديسمبر'!$C$4,$P1283='تقرير ديسمبر'!$C$6),COUNT(Z$4:Z1282)+1,"")</f>
        <v/>
      </c>
      <c r="AA1283">
        <f>IF(AND($A1283&lt;&gt;"",$B1283&lt;&gt;"",$R1283='تقرير يناير'!$C$4,$P1283='تقرير يناير'!$C$6),COUNT(AA$4:AA1282)+1,"")</f>
        <v/>
      </c>
      <c r="AB1283">
        <f>IF(AND($A1283&lt;&gt;"",$B1283&lt;&gt;"",$R1283='تقرير فبراير'!$C$4,$P1283='تقرير فبراير'!$C$6),COUNT(AB$4:AB1282)+1,"")</f>
        <v/>
      </c>
      <c r="AC1283">
        <f>IF(AND($A1283&lt;&gt;"",$B1283&lt;&gt;"",$R1283='تقرير مارس'!$C$4,$P1283='تقرير مارس'!$C$6),COUNT(AC$4:AC1282)+1,"")</f>
        <v/>
      </c>
      <c r="AD1283">
        <f>IF(AND($A1283&lt;&gt;"",$B1283&lt;&gt;"",$R1283='تقرير أبريل'!$C$4,$P1283='تقرير أبريل'!$C$6),COUNT(AD$4:AD1282)+1,"")</f>
        <v/>
      </c>
      <c r="AE1283">
        <f>IF(AND($A1283&lt;&gt;"",$B1283&lt;&gt;"",$R1283='تقرير مايو'!$C$4,$P1283='تقرير مايو'!$C$6),COUNT(AE$4:AE1282)+1,"")</f>
        <v/>
      </c>
    </row>
    <row r="1284">
      <c r="A1284" s="16" t="n"/>
      <c r="B1284" s="17" t="n"/>
      <c r="C1284" s="17" t="n"/>
      <c r="D1284" s="18" t="n"/>
      <c r="E1284" s="17" t="n"/>
      <c r="F1284" s="17" t="n"/>
      <c r="G1284" s="19" t="n"/>
      <c r="H1284" s="17" t="n"/>
      <c r="I1284" s="17" t="n"/>
      <c r="J1284" s="17" t="n"/>
      <c r="K1284" s="20">
        <f>IF($B1284="","",IFERROR(INDEX(الموظفات!$A$5:$A$304,MATCH($B1284,الموظفات!$B$5:$B$304,0))&amp;"",""))</f>
        <v/>
      </c>
      <c r="L1284" s="21">
        <f>IF($B1284="","",IFERROR(INDEX(الموظفات!$C$5:$C$304,MATCH($B1284,الموظفات!$B$5:$B$304,0))&amp;"",""))</f>
        <v/>
      </c>
      <c r="M1284" s="20">
        <f>IF($B1284="","",IFERROR(INDEX(الموظفات!$D$5:$D$304,MATCH($B1284,الموظفات!$B$5:$B$304,0))&amp;"",""))</f>
        <v/>
      </c>
      <c r="N1284" s="20">
        <f>IF($B1284="","",IFERROR(INDEX(الموظفات!$E$5:$E$304,MATCH($B1284,الموظفات!$B$5:$B$304,0))&amp;"",""))</f>
        <v/>
      </c>
      <c r="O1284" s="21">
        <f>IF(C1284="","",IFERROR(INDEX(الإعدادات!$D$7:$D$35,MATCH(C1284,الإعدادات!$A$7:$A$35,0))&amp;"",""))</f>
        <v/>
      </c>
      <c r="P1284" s="20">
        <f>IF(A1284="","",INDEX(الإعدادات!$H$7:$H$18,MONTH(A1284)))</f>
        <v/>
      </c>
      <c r="Q1284" s="20">
        <f>IF(A1284="","",INDEX(الإعدادات!$I$7:$I$18,MONTH(A1284)))</f>
        <v/>
      </c>
      <c r="R1284" s="20">
        <f>IF(A1284="","",IF(MONTH(A1284)&gt;=8,YEAR(A1284)&amp;"-"&amp;(YEAR(A1284)+1),(YEAR(A1284)-1)&amp;"-"&amp;YEAR(A1284)))</f>
        <v/>
      </c>
      <c r="S1284" s="20">
        <f>IF(OR(A1284="",B1284=""),0,IF(AND(R1284=التقارير!$C$4,OR(التقارير!$C$5="سنوي",AND(التقارير!$C$5="شهري",P1284=التقارير!$C$6),AND(التقارير!$C$5="فصلي",Q1284=التقارير!$C$7))),1,0))</f>
        <v/>
      </c>
      <c r="T1284" s="20">
        <f>IF(S1284=1,COUNTIF($S$5:S1284,1),"")</f>
        <v/>
      </c>
      <c r="U1284">
        <f>IF(AND($A1284&lt;&gt;"",$B1284&lt;&gt;"",$R1284='تقرير الفصل الأول'!$C$4,$Q1284='تقرير الفصل الأول'!$C$7),COUNT(U$4:U1283)+1,"")</f>
        <v/>
      </c>
      <c r="V1284">
        <f>IF(AND($A1284&lt;&gt;"",$B1284&lt;&gt;"",$R1284='تقرير الفصل الثاني'!$C$4,$Q1284='تقرير الفصل الثاني'!$C$7),COUNT(V$4:V1283)+1,"")</f>
        <v/>
      </c>
      <c r="W1284">
        <f>IF(AND($A1284&lt;&gt;"",$B1284&lt;&gt;"",$R1284='تقرير سبتمبر'!$C$4,$P1284='تقرير سبتمبر'!$C$6),COUNT(W$4:W1283)+1,"")</f>
        <v/>
      </c>
      <c r="X1284">
        <f>IF(AND($A1284&lt;&gt;"",$B1284&lt;&gt;"",$R1284='تقرير أكتوبر'!$C$4,$P1284='تقرير أكتوبر'!$C$6),COUNT(X$4:X1283)+1,"")</f>
        <v/>
      </c>
      <c r="Y1284">
        <f>IF(AND($A1284&lt;&gt;"",$B1284&lt;&gt;"",$R1284='تقرير نوفمبر'!$C$4,$P1284='تقرير نوفمبر'!$C$6),COUNT(Y$4:Y1283)+1,"")</f>
        <v/>
      </c>
      <c r="Z1284">
        <f>IF(AND($A1284&lt;&gt;"",$B1284&lt;&gt;"",$R1284='تقرير ديسمبر'!$C$4,$P1284='تقرير ديسمبر'!$C$6),COUNT(Z$4:Z1283)+1,"")</f>
        <v/>
      </c>
      <c r="AA1284">
        <f>IF(AND($A1284&lt;&gt;"",$B1284&lt;&gt;"",$R1284='تقرير يناير'!$C$4,$P1284='تقرير يناير'!$C$6),COUNT(AA$4:AA1283)+1,"")</f>
        <v/>
      </c>
      <c r="AB1284">
        <f>IF(AND($A1284&lt;&gt;"",$B1284&lt;&gt;"",$R1284='تقرير فبراير'!$C$4,$P1284='تقرير فبراير'!$C$6),COUNT(AB$4:AB1283)+1,"")</f>
        <v/>
      </c>
      <c r="AC1284">
        <f>IF(AND($A1284&lt;&gt;"",$B1284&lt;&gt;"",$R1284='تقرير مارس'!$C$4,$P1284='تقرير مارس'!$C$6),COUNT(AC$4:AC1283)+1,"")</f>
        <v/>
      </c>
      <c r="AD1284">
        <f>IF(AND($A1284&lt;&gt;"",$B1284&lt;&gt;"",$R1284='تقرير أبريل'!$C$4,$P1284='تقرير أبريل'!$C$6),COUNT(AD$4:AD1283)+1,"")</f>
        <v/>
      </c>
      <c r="AE1284">
        <f>IF(AND($A1284&lt;&gt;"",$B1284&lt;&gt;"",$R1284='تقرير مايو'!$C$4,$P1284='تقرير مايو'!$C$6),COUNT(AE$4:AE1283)+1,"")</f>
        <v/>
      </c>
    </row>
    <row r="1285">
      <c r="A1285" s="16" t="n"/>
      <c r="B1285" s="17" t="n"/>
      <c r="C1285" s="17" t="n"/>
      <c r="D1285" s="18" t="n"/>
      <c r="E1285" s="17" t="n"/>
      <c r="F1285" s="17" t="n"/>
      <c r="G1285" s="19" t="n"/>
      <c r="H1285" s="17" t="n"/>
      <c r="I1285" s="17" t="n"/>
      <c r="J1285" s="17" t="n"/>
      <c r="K1285" s="20">
        <f>IF($B1285="","",IFERROR(INDEX(الموظفات!$A$5:$A$304,MATCH($B1285,الموظفات!$B$5:$B$304,0))&amp;"",""))</f>
        <v/>
      </c>
      <c r="L1285" s="21">
        <f>IF($B1285="","",IFERROR(INDEX(الموظفات!$C$5:$C$304,MATCH($B1285,الموظفات!$B$5:$B$304,0))&amp;"",""))</f>
        <v/>
      </c>
      <c r="M1285" s="20">
        <f>IF($B1285="","",IFERROR(INDEX(الموظفات!$D$5:$D$304,MATCH($B1285,الموظفات!$B$5:$B$304,0))&amp;"",""))</f>
        <v/>
      </c>
      <c r="N1285" s="20">
        <f>IF($B1285="","",IFERROR(INDEX(الموظفات!$E$5:$E$304,MATCH($B1285,الموظفات!$B$5:$B$304,0))&amp;"",""))</f>
        <v/>
      </c>
      <c r="O1285" s="21">
        <f>IF(C1285="","",IFERROR(INDEX(الإعدادات!$D$7:$D$35,MATCH(C1285,الإعدادات!$A$7:$A$35,0))&amp;"",""))</f>
        <v/>
      </c>
      <c r="P1285" s="20">
        <f>IF(A1285="","",INDEX(الإعدادات!$H$7:$H$18,MONTH(A1285)))</f>
        <v/>
      </c>
      <c r="Q1285" s="20">
        <f>IF(A1285="","",INDEX(الإعدادات!$I$7:$I$18,MONTH(A1285)))</f>
        <v/>
      </c>
      <c r="R1285" s="20">
        <f>IF(A1285="","",IF(MONTH(A1285)&gt;=8,YEAR(A1285)&amp;"-"&amp;(YEAR(A1285)+1),(YEAR(A1285)-1)&amp;"-"&amp;YEAR(A1285)))</f>
        <v/>
      </c>
      <c r="S1285" s="20">
        <f>IF(OR(A1285="",B1285=""),0,IF(AND(R1285=التقارير!$C$4,OR(التقارير!$C$5="سنوي",AND(التقارير!$C$5="شهري",P1285=التقارير!$C$6),AND(التقارير!$C$5="فصلي",Q1285=التقارير!$C$7))),1,0))</f>
        <v/>
      </c>
      <c r="T1285" s="20">
        <f>IF(S1285=1,COUNTIF($S$5:S1285,1),"")</f>
        <v/>
      </c>
      <c r="U1285">
        <f>IF(AND($A1285&lt;&gt;"",$B1285&lt;&gt;"",$R1285='تقرير الفصل الأول'!$C$4,$Q1285='تقرير الفصل الأول'!$C$7),COUNT(U$4:U1284)+1,"")</f>
        <v/>
      </c>
      <c r="V1285">
        <f>IF(AND($A1285&lt;&gt;"",$B1285&lt;&gt;"",$R1285='تقرير الفصل الثاني'!$C$4,$Q1285='تقرير الفصل الثاني'!$C$7),COUNT(V$4:V1284)+1,"")</f>
        <v/>
      </c>
      <c r="W1285">
        <f>IF(AND($A1285&lt;&gt;"",$B1285&lt;&gt;"",$R1285='تقرير سبتمبر'!$C$4,$P1285='تقرير سبتمبر'!$C$6),COUNT(W$4:W1284)+1,"")</f>
        <v/>
      </c>
      <c r="X1285">
        <f>IF(AND($A1285&lt;&gt;"",$B1285&lt;&gt;"",$R1285='تقرير أكتوبر'!$C$4,$P1285='تقرير أكتوبر'!$C$6),COUNT(X$4:X1284)+1,"")</f>
        <v/>
      </c>
      <c r="Y1285">
        <f>IF(AND($A1285&lt;&gt;"",$B1285&lt;&gt;"",$R1285='تقرير نوفمبر'!$C$4,$P1285='تقرير نوفمبر'!$C$6),COUNT(Y$4:Y1284)+1,"")</f>
        <v/>
      </c>
      <c r="Z1285">
        <f>IF(AND($A1285&lt;&gt;"",$B1285&lt;&gt;"",$R1285='تقرير ديسمبر'!$C$4,$P1285='تقرير ديسمبر'!$C$6),COUNT(Z$4:Z1284)+1,"")</f>
        <v/>
      </c>
      <c r="AA1285">
        <f>IF(AND($A1285&lt;&gt;"",$B1285&lt;&gt;"",$R1285='تقرير يناير'!$C$4,$P1285='تقرير يناير'!$C$6),COUNT(AA$4:AA1284)+1,"")</f>
        <v/>
      </c>
      <c r="AB1285">
        <f>IF(AND($A1285&lt;&gt;"",$B1285&lt;&gt;"",$R1285='تقرير فبراير'!$C$4,$P1285='تقرير فبراير'!$C$6),COUNT(AB$4:AB1284)+1,"")</f>
        <v/>
      </c>
      <c r="AC1285">
        <f>IF(AND($A1285&lt;&gt;"",$B1285&lt;&gt;"",$R1285='تقرير مارس'!$C$4,$P1285='تقرير مارس'!$C$6),COUNT(AC$4:AC1284)+1,"")</f>
        <v/>
      </c>
      <c r="AD1285">
        <f>IF(AND($A1285&lt;&gt;"",$B1285&lt;&gt;"",$R1285='تقرير أبريل'!$C$4,$P1285='تقرير أبريل'!$C$6),COUNT(AD$4:AD1284)+1,"")</f>
        <v/>
      </c>
      <c r="AE1285">
        <f>IF(AND($A1285&lt;&gt;"",$B1285&lt;&gt;"",$R1285='تقرير مايو'!$C$4,$P1285='تقرير مايو'!$C$6),COUNT(AE$4:AE1284)+1,"")</f>
        <v/>
      </c>
    </row>
    <row r="1286">
      <c r="A1286" s="16" t="n"/>
      <c r="B1286" s="17" t="n"/>
      <c r="C1286" s="17" t="n"/>
      <c r="D1286" s="18" t="n"/>
      <c r="E1286" s="17" t="n"/>
      <c r="F1286" s="17" t="n"/>
      <c r="G1286" s="19" t="n"/>
      <c r="H1286" s="17" t="n"/>
      <c r="I1286" s="17" t="n"/>
      <c r="J1286" s="17" t="n"/>
      <c r="K1286" s="20">
        <f>IF($B1286="","",IFERROR(INDEX(الموظفات!$A$5:$A$304,MATCH($B1286,الموظفات!$B$5:$B$304,0))&amp;"",""))</f>
        <v/>
      </c>
      <c r="L1286" s="21">
        <f>IF($B1286="","",IFERROR(INDEX(الموظفات!$C$5:$C$304,MATCH($B1286,الموظفات!$B$5:$B$304,0))&amp;"",""))</f>
        <v/>
      </c>
      <c r="M1286" s="20">
        <f>IF($B1286="","",IFERROR(INDEX(الموظفات!$D$5:$D$304,MATCH($B1286,الموظفات!$B$5:$B$304,0))&amp;"",""))</f>
        <v/>
      </c>
      <c r="N1286" s="20">
        <f>IF($B1286="","",IFERROR(INDEX(الموظفات!$E$5:$E$304,MATCH($B1286,الموظفات!$B$5:$B$304,0))&amp;"",""))</f>
        <v/>
      </c>
      <c r="O1286" s="21">
        <f>IF(C1286="","",IFERROR(INDEX(الإعدادات!$D$7:$D$35,MATCH(C1286,الإعدادات!$A$7:$A$35,0))&amp;"",""))</f>
        <v/>
      </c>
      <c r="P1286" s="20">
        <f>IF(A1286="","",INDEX(الإعدادات!$H$7:$H$18,MONTH(A1286)))</f>
        <v/>
      </c>
      <c r="Q1286" s="20">
        <f>IF(A1286="","",INDEX(الإعدادات!$I$7:$I$18,MONTH(A1286)))</f>
        <v/>
      </c>
      <c r="R1286" s="20">
        <f>IF(A1286="","",IF(MONTH(A1286)&gt;=8,YEAR(A1286)&amp;"-"&amp;(YEAR(A1286)+1),(YEAR(A1286)-1)&amp;"-"&amp;YEAR(A1286)))</f>
        <v/>
      </c>
      <c r="S1286" s="20">
        <f>IF(OR(A1286="",B1286=""),0,IF(AND(R1286=التقارير!$C$4,OR(التقارير!$C$5="سنوي",AND(التقارير!$C$5="شهري",P1286=التقارير!$C$6),AND(التقارير!$C$5="فصلي",Q1286=التقارير!$C$7))),1,0))</f>
        <v/>
      </c>
      <c r="T1286" s="20">
        <f>IF(S1286=1,COUNTIF($S$5:S1286,1),"")</f>
        <v/>
      </c>
      <c r="U1286">
        <f>IF(AND($A1286&lt;&gt;"",$B1286&lt;&gt;"",$R1286='تقرير الفصل الأول'!$C$4,$Q1286='تقرير الفصل الأول'!$C$7),COUNT(U$4:U1285)+1,"")</f>
        <v/>
      </c>
      <c r="V1286">
        <f>IF(AND($A1286&lt;&gt;"",$B1286&lt;&gt;"",$R1286='تقرير الفصل الثاني'!$C$4,$Q1286='تقرير الفصل الثاني'!$C$7),COUNT(V$4:V1285)+1,"")</f>
        <v/>
      </c>
      <c r="W1286">
        <f>IF(AND($A1286&lt;&gt;"",$B1286&lt;&gt;"",$R1286='تقرير سبتمبر'!$C$4,$P1286='تقرير سبتمبر'!$C$6),COUNT(W$4:W1285)+1,"")</f>
        <v/>
      </c>
      <c r="X1286">
        <f>IF(AND($A1286&lt;&gt;"",$B1286&lt;&gt;"",$R1286='تقرير أكتوبر'!$C$4,$P1286='تقرير أكتوبر'!$C$6),COUNT(X$4:X1285)+1,"")</f>
        <v/>
      </c>
      <c r="Y1286">
        <f>IF(AND($A1286&lt;&gt;"",$B1286&lt;&gt;"",$R1286='تقرير نوفمبر'!$C$4,$P1286='تقرير نوفمبر'!$C$6),COUNT(Y$4:Y1285)+1,"")</f>
        <v/>
      </c>
      <c r="Z1286">
        <f>IF(AND($A1286&lt;&gt;"",$B1286&lt;&gt;"",$R1286='تقرير ديسمبر'!$C$4,$P1286='تقرير ديسمبر'!$C$6),COUNT(Z$4:Z1285)+1,"")</f>
        <v/>
      </c>
      <c r="AA1286">
        <f>IF(AND($A1286&lt;&gt;"",$B1286&lt;&gt;"",$R1286='تقرير يناير'!$C$4,$P1286='تقرير يناير'!$C$6),COUNT(AA$4:AA1285)+1,"")</f>
        <v/>
      </c>
      <c r="AB1286">
        <f>IF(AND($A1286&lt;&gt;"",$B1286&lt;&gt;"",$R1286='تقرير فبراير'!$C$4,$P1286='تقرير فبراير'!$C$6),COUNT(AB$4:AB1285)+1,"")</f>
        <v/>
      </c>
      <c r="AC1286">
        <f>IF(AND($A1286&lt;&gt;"",$B1286&lt;&gt;"",$R1286='تقرير مارس'!$C$4,$P1286='تقرير مارس'!$C$6),COUNT(AC$4:AC1285)+1,"")</f>
        <v/>
      </c>
      <c r="AD1286">
        <f>IF(AND($A1286&lt;&gt;"",$B1286&lt;&gt;"",$R1286='تقرير أبريل'!$C$4,$P1286='تقرير أبريل'!$C$6),COUNT(AD$4:AD1285)+1,"")</f>
        <v/>
      </c>
      <c r="AE1286">
        <f>IF(AND($A1286&lt;&gt;"",$B1286&lt;&gt;"",$R1286='تقرير مايو'!$C$4,$P1286='تقرير مايو'!$C$6),COUNT(AE$4:AE1285)+1,"")</f>
        <v/>
      </c>
    </row>
    <row r="1287">
      <c r="A1287" s="16" t="n"/>
      <c r="B1287" s="17" t="n"/>
      <c r="C1287" s="17" t="n"/>
      <c r="D1287" s="18" t="n"/>
      <c r="E1287" s="17" t="n"/>
      <c r="F1287" s="17" t="n"/>
      <c r="G1287" s="19" t="n"/>
      <c r="H1287" s="17" t="n"/>
      <c r="I1287" s="17" t="n"/>
      <c r="J1287" s="17" t="n"/>
      <c r="K1287" s="20">
        <f>IF($B1287="","",IFERROR(INDEX(الموظفات!$A$5:$A$304,MATCH($B1287,الموظفات!$B$5:$B$304,0))&amp;"",""))</f>
        <v/>
      </c>
      <c r="L1287" s="21">
        <f>IF($B1287="","",IFERROR(INDEX(الموظفات!$C$5:$C$304,MATCH($B1287,الموظفات!$B$5:$B$304,0))&amp;"",""))</f>
        <v/>
      </c>
      <c r="M1287" s="20">
        <f>IF($B1287="","",IFERROR(INDEX(الموظفات!$D$5:$D$304,MATCH($B1287,الموظفات!$B$5:$B$304,0))&amp;"",""))</f>
        <v/>
      </c>
      <c r="N1287" s="20">
        <f>IF($B1287="","",IFERROR(INDEX(الموظفات!$E$5:$E$304,MATCH($B1287,الموظفات!$B$5:$B$304,0))&amp;"",""))</f>
        <v/>
      </c>
      <c r="O1287" s="21">
        <f>IF(C1287="","",IFERROR(INDEX(الإعدادات!$D$7:$D$35,MATCH(C1287,الإعدادات!$A$7:$A$35,0))&amp;"",""))</f>
        <v/>
      </c>
      <c r="P1287" s="20">
        <f>IF(A1287="","",INDEX(الإعدادات!$H$7:$H$18,MONTH(A1287)))</f>
        <v/>
      </c>
      <c r="Q1287" s="20">
        <f>IF(A1287="","",INDEX(الإعدادات!$I$7:$I$18,MONTH(A1287)))</f>
        <v/>
      </c>
      <c r="R1287" s="20">
        <f>IF(A1287="","",IF(MONTH(A1287)&gt;=8,YEAR(A1287)&amp;"-"&amp;(YEAR(A1287)+1),(YEAR(A1287)-1)&amp;"-"&amp;YEAR(A1287)))</f>
        <v/>
      </c>
      <c r="S1287" s="20">
        <f>IF(OR(A1287="",B1287=""),0,IF(AND(R1287=التقارير!$C$4,OR(التقارير!$C$5="سنوي",AND(التقارير!$C$5="شهري",P1287=التقارير!$C$6),AND(التقارير!$C$5="فصلي",Q1287=التقارير!$C$7))),1,0))</f>
        <v/>
      </c>
      <c r="T1287" s="20">
        <f>IF(S1287=1,COUNTIF($S$5:S1287,1),"")</f>
        <v/>
      </c>
      <c r="U1287">
        <f>IF(AND($A1287&lt;&gt;"",$B1287&lt;&gt;"",$R1287='تقرير الفصل الأول'!$C$4,$Q1287='تقرير الفصل الأول'!$C$7),COUNT(U$4:U1286)+1,"")</f>
        <v/>
      </c>
      <c r="V1287">
        <f>IF(AND($A1287&lt;&gt;"",$B1287&lt;&gt;"",$R1287='تقرير الفصل الثاني'!$C$4,$Q1287='تقرير الفصل الثاني'!$C$7),COUNT(V$4:V1286)+1,"")</f>
        <v/>
      </c>
      <c r="W1287">
        <f>IF(AND($A1287&lt;&gt;"",$B1287&lt;&gt;"",$R1287='تقرير سبتمبر'!$C$4,$P1287='تقرير سبتمبر'!$C$6),COUNT(W$4:W1286)+1,"")</f>
        <v/>
      </c>
      <c r="X1287">
        <f>IF(AND($A1287&lt;&gt;"",$B1287&lt;&gt;"",$R1287='تقرير أكتوبر'!$C$4,$P1287='تقرير أكتوبر'!$C$6),COUNT(X$4:X1286)+1,"")</f>
        <v/>
      </c>
      <c r="Y1287">
        <f>IF(AND($A1287&lt;&gt;"",$B1287&lt;&gt;"",$R1287='تقرير نوفمبر'!$C$4,$P1287='تقرير نوفمبر'!$C$6),COUNT(Y$4:Y1286)+1,"")</f>
        <v/>
      </c>
      <c r="Z1287">
        <f>IF(AND($A1287&lt;&gt;"",$B1287&lt;&gt;"",$R1287='تقرير ديسمبر'!$C$4,$P1287='تقرير ديسمبر'!$C$6),COUNT(Z$4:Z1286)+1,"")</f>
        <v/>
      </c>
      <c r="AA1287">
        <f>IF(AND($A1287&lt;&gt;"",$B1287&lt;&gt;"",$R1287='تقرير يناير'!$C$4,$P1287='تقرير يناير'!$C$6),COUNT(AA$4:AA1286)+1,"")</f>
        <v/>
      </c>
      <c r="AB1287">
        <f>IF(AND($A1287&lt;&gt;"",$B1287&lt;&gt;"",$R1287='تقرير فبراير'!$C$4,$P1287='تقرير فبراير'!$C$6),COUNT(AB$4:AB1286)+1,"")</f>
        <v/>
      </c>
      <c r="AC1287">
        <f>IF(AND($A1287&lt;&gt;"",$B1287&lt;&gt;"",$R1287='تقرير مارس'!$C$4,$P1287='تقرير مارس'!$C$6),COUNT(AC$4:AC1286)+1,"")</f>
        <v/>
      </c>
      <c r="AD1287">
        <f>IF(AND($A1287&lt;&gt;"",$B1287&lt;&gt;"",$R1287='تقرير أبريل'!$C$4,$P1287='تقرير أبريل'!$C$6),COUNT(AD$4:AD1286)+1,"")</f>
        <v/>
      </c>
      <c r="AE1287">
        <f>IF(AND($A1287&lt;&gt;"",$B1287&lt;&gt;"",$R1287='تقرير مايو'!$C$4,$P1287='تقرير مايو'!$C$6),COUNT(AE$4:AE1286)+1,"")</f>
        <v/>
      </c>
    </row>
    <row r="1288">
      <c r="A1288" s="16" t="n"/>
      <c r="B1288" s="17" t="n"/>
      <c r="C1288" s="17" t="n"/>
      <c r="D1288" s="18" t="n"/>
      <c r="E1288" s="17" t="n"/>
      <c r="F1288" s="17" t="n"/>
      <c r="G1288" s="19" t="n"/>
      <c r="H1288" s="17" t="n"/>
      <c r="I1288" s="17" t="n"/>
      <c r="J1288" s="17" t="n"/>
      <c r="K1288" s="20">
        <f>IF($B1288="","",IFERROR(INDEX(الموظفات!$A$5:$A$304,MATCH($B1288,الموظفات!$B$5:$B$304,0))&amp;"",""))</f>
        <v/>
      </c>
      <c r="L1288" s="21">
        <f>IF($B1288="","",IFERROR(INDEX(الموظفات!$C$5:$C$304,MATCH($B1288,الموظفات!$B$5:$B$304,0))&amp;"",""))</f>
        <v/>
      </c>
      <c r="M1288" s="20">
        <f>IF($B1288="","",IFERROR(INDEX(الموظفات!$D$5:$D$304,MATCH($B1288,الموظفات!$B$5:$B$304,0))&amp;"",""))</f>
        <v/>
      </c>
      <c r="N1288" s="20">
        <f>IF($B1288="","",IFERROR(INDEX(الموظفات!$E$5:$E$304,MATCH($B1288,الموظفات!$B$5:$B$304,0))&amp;"",""))</f>
        <v/>
      </c>
      <c r="O1288" s="21">
        <f>IF(C1288="","",IFERROR(INDEX(الإعدادات!$D$7:$D$35,MATCH(C1288,الإعدادات!$A$7:$A$35,0))&amp;"",""))</f>
        <v/>
      </c>
      <c r="P1288" s="20">
        <f>IF(A1288="","",INDEX(الإعدادات!$H$7:$H$18,MONTH(A1288)))</f>
        <v/>
      </c>
      <c r="Q1288" s="20">
        <f>IF(A1288="","",INDEX(الإعدادات!$I$7:$I$18,MONTH(A1288)))</f>
        <v/>
      </c>
      <c r="R1288" s="20">
        <f>IF(A1288="","",IF(MONTH(A1288)&gt;=8,YEAR(A1288)&amp;"-"&amp;(YEAR(A1288)+1),(YEAR(A1288)-1)&amp;"-"&amp;YEAR(A1288)))</f>
        <v/>
      </c>
      <c r="S1288" s="20">
        <f>IF(OR(A1288="",B1288=""),0,IF(AND(R1288=التقارير!$C$4,OR(التقارير!$C$5="سنوي",AND(التقارير!$C$5="شهري",P1288=التقارير!$C$6),AND(التقارير!$C$5="فصلي",Q1288=التقارير!$C$7))),1,0))</f>
        <v/>
      </c>
      <c r="T1288" s="20">
        <f>IF(S1288=1,COUNTIF($S$5:S1288,1),"")</f>
        <v/>
      </c>
      <c r="U1288">
        <f>IF(AND($A1288&lt;&gt;"",$B1288&lt;&gt;"",$R1288='تقرير الفصل الأول'!$C$4,$Q1288='تقرير الفصل الأول'!$C$7),COUNT(U$4:U1287)+1,"")</f>
        <v/>
      </c>
      <c r="V1288">
        <f>IF(AND($A1288&lt;&gt;"",$B1288&lt;&gt;"",$R1288='تقرير الفصل الثاني'!$C$4,$Q1288='تقرير الفصل الثاني'!$C$7),COUNT(V$4:V1287)+1,"")</f>
        <v/>
      </c>
      <c r="W1288">
        <f>IF(AND($A1288&lt;&gt;"",$B1288&lt;&gt;"",$R1288='تقرير سبتمبر'!$C$4,$P1288='تقرير سبتمبر'!$C$6),COUNT(W$4:W1287)+1,"")</f>
        <v/>
      </c>
      <c r="X1288">
        <f>IF(AND($A1288&lt;&gt;"",$B1288&lt;&gt;"",$R1288='تقرير أكتوبر'!$C$4,$P1288='تقرير أكتوبر'!$C$6),COUNT(X$4:X1287)+1,"")</f>
        <v/>
      </c>
      <c r="Y1288">
        <f>IF(AND($A1288&lt;&gt;"",$B1288&lt;&gt;"",$R1288='تقرير نوفمبر'!$C$4,$P1288='تقرير نوفمبر'!$C$6),COUNT(Y$4:Y1287)+1,"")</f>
        <v/>
      </c>
      <c r="Z1288">
        <f>IF(AND($A1288&lt;&gt;"",$B1288&lt;&gt;"",$R1288='تقرير ديسمبر'!$C$4,$P1288='تقرير ديسمبر'!$C$6),COUNT(Z$4:Z1287)+1,"")</f>
        <v/>
      </c>
      <c r="AA1288">
        <f>IF(AND($A1288&lt;&gt;"",$B1288&lt;&gt;"",$R1288='تقرير يناير'!$C$4,$P1288='تقرير يناير'!$C$6),COUNT(AA$4:AA1287)+1,"")</f>
        <v/>
      </c>
      <c r="AB1288">
        <f>IF(AND($A1288&lt;&gt;"",$B1288&lt;&gt;"",$R1288='تقرير فبراير'!$C$4,$P1288='تقرير فبراير'!$C$6),COUNT(AB$4:AB1287)+1,"")</f>
        <v/>
      </c>
      <c r="AC1288">
        <f>IF(AND($A1288&lt;&gt;"",$B1288&lt;&gt;"",$R1288='تقرير مارس'!$C$4,$P1288='تقرير مارس'!$C$6),COUNT(AC$4:AC1287)+1,"")</f>
        <v/>
      </c>
      <c r="AD1288">
        <f>IF(AND($A1288&lt;&gt;"",$B1288&lt;&gt;"",$R1288='تقرير أبريل'!$C$4,$P1288='تقرير أبريل'!$C$6),COUNT(AD$4:AD1287)+1,"")</f>
        <v/>
      </c>
      <c r="AE1288">
        <f>IF(AND($A1288&lt;&gt;"",$B1288&lt;&gt;"",$R1288='تقرير مايو'!$C$4,$P1288='تقرير مايو'!$C$6),COUNT(AE$4:AE1287)+1,"")</f>
        <v/>
      </c>
    </row>
    <row r="1289">
      <c r="A1289" s="16" t="n"/>
      <c r="B1289" s="17" t="n"/>
      <c r="C1289" s="17" t="n"/>
      <c r="D1289" s="18" t="n"/>
      <c r="E1289" s="17" t="n"/>
      <c r="F1289" s="17" t="n"/>
      <c r="G1289" s="19" t="n"/>
      <c r="H1289" s="17" t="n"/>
      <c r="I1289" s="17" t="n"/>
      <c r="J1289" s="17" t="n"/>
      <c r="K1289" s="20">
        <f>IF($B1289="","",IFERROR(INDEX(الموظفات!$A$5:$A$304,MATCH($B1289,الموظفات!$B$5:$B$304,0))&amp;"",""))</f>
        <v/>
      </c>
      <c r="L1289" s="21">
        <f>IF($B1289="","",IFERROR(INDEX(الموظفات!$C$5:$C$304,MATCH($B1289,الموظفات!$B$5:$B$304,0))&amp;"",""))</f>
        <v/>
      </c>
      <c r="M1289" s="20">
        <f>IF($B1289="","",IFERROR(INDEX(الموظفات!$D$5:$D$304,MATCH($B1289,الموظفات!$B$5:$B$304,0))&amp;"",""))</f>
        <v/>
      </c>
      <c r="N1289" s="20">
        <f>IF($B1289="","",IFERROR(INDEX(الموظفات!$E$5:$E$304,MATCH($B1289,الموظفات!$B$5:$B$304,0))&amp;"",""))</f>
        <v/>
      </c>
      <c r="O1289" s="21">
        <f>IF(C1289="","",IFERROR(INDEX(الإعدادات!$D$7:$D$35,MATCH(C1289,الإعدادات!$A$7:$A$35,0))&amp;"",""))</f>
        <v/>
      </c>
      <c r="P1289" s="20">
        <f>IF(A1289="","",INDEX(الإعدادات!$H$7:$H$18,MONTH(A1289)))</f>
        <v/>
      </c>
      <c r="Q1289" s="20">
        <f>IF(A1289="","",INDEX(الإعدادات!$I$7:$I$18,MONTH(A1289)))</f>
        <v/>
      </c>
      <c r="R1289" s="20">
        <f>IF(A1289="","",IF(MONTH(A1289)&gt;=8,YEAR(A1289)&amp;"-"&amp;(YEAR(A1289)+1),(YEAR(A1289)-1)&amp;"-"&amp;YEAR(A1289)))</f>
        <v/>
      </c>
      <c r="S1289" s="20">
        <f>IF(OR(A1289="",B1289=""),0,IF(AND(R1289=التقارير!$C$4,OR(التقارير!$C$5="سنوي",AND(التقارير!$C$5="شهري",P1289=التقارير!$C$6),AND(التقارير!$C$5="فصلي",Q1289=التقارير!$C$7))),1,0))</f>
        <v/>
      </c>
      <c r="T1289" s="20">
        <f>IF(S1289=1,COUNTIF($S$5:S1289,1),"")</f>
        <v/>
      </c>
      <c r="U1289">
        <f>IF(AND($A1289&lt;&gt;"",$B1289&lt;&gt;"",$R1289='تقرير الفصل الأول'!$C$4,$Q1289='تقرير الفصل الأول'!$C$7),COUNT(U$4:U1288)+1,"")</f>
        <v/>
      </c>
      <c r="V1289">
        <f>IF(AND($A1289&lt;&gt;"",$B1289&lt;&gt;"",$R1289='تقرير الفصل الثاني'!$C$4,$Q1289='تقرير الفصل الثاني'!$C$7),COUNT(V$4:V1288)+1,"")</f>
        <v/>
      </c>
      <c r="W1289">
        <f>IF(AND($A1289&lt;&gt;"",$B1289&lt;&gt;"",$R1289='تقرير سبتمبر'!$C$4,$P1289='تقرير سبتمبر'!$C$6),COUNT(W$4:W1288)+1,"")</f>
        <v/>
      </c>
      <c r="X1289">
        <f>IF(AND($A1289&lt;&gt;"",$B1289&lt;&gt;"",$R1289='تقرير أكتوبر'!$C$4,$P1289='تقرير أكتوبر'!$C$6),COUNT(X$4:X1288)+1,"")</f>
        <v/>
      </c>
      <c r="Y1289">
        <f>IF(AND($A1289&lt;&gt;"",$B1289&lt;&gt;"",$R1289='تقرير نوفمبر'!$C$4,$P1289='تقرير نوفمبر'!$C$6),COUNT(Y$4:Y1288)+1,"")</f>
        <v/>
      </c>
      <c r="Z1289">
        <f>IF(AND($A1289&lt;&gt;"",$B1289&lt;&gt;"",$R1289='تقرير ديسمبر'!$C$4,$P1289='تقرير ديسمبر'!$C$6),COUNT(Z$4:Z1288)+1,"")</f>
        <v/>
      </c>
      <c r="AA1289">
        <f>IF(AND($A1289&lt;&gt;"",$B1289&lt;&gt;"",$R1289='تقرير يناير'!$C$4,$P1289='تقرير يناير'!$C$6),COUNT(AA$4:AA1288)+1,"")</f>
        <v/>
      </c>
      <c r="AB1289">
        <f>IF(AND($A1289&lt;&gt;"",$B1289&lt;&gt;"",$R1289='تقرير فبراير'!$C$4,$P1289='تقرير فبراير'!$C$6),COUNT(AB$4:AB1288)+1,"")</f>
        <v/>
      </c>
      <c r="AC1289">
        <f>IF(AND($A1289&lt;&gt;"",$B1289&lt;&gt;"",$R1289='تقرير مارس'!$C$4,$P1289='تقرير مارس'!$C$6),COUNT(AC$4:AC1288)+1,"")</f>
        <v/>
      </c>
      <c r="AD1289">
        <f>IF(AND($A1289&lt;&gt;"",$B1289&lt;&gt;"",$R1289='تقرير أبريل'!$C$4,$P1289='تقرير أبريل'!$C$6),COUNT(AD$4:AD1288)+1,"")</f>
        <v/>
      </c>
      <c r="AE1289">
        <f>IF(AND($A1289&lt;&gt;"",$B1289&lt;&gt;"",$R1289='تقرير مايو'!$C$4,$P1289='تقرير مايو'!$C$6),COUNT(AE$4:AE1288)+1,"")</f>
        <v/>
      </c>
    </row>
    <row r="1290">
      <c r="A1290" s="16" t="n"/>
      <c r="B1290" s="17" t="n"/>
      <c r="C1290" s="17" t="n"/>
      <c r="D1290" s="18" t="n"/>
      <c r="E1290" s="17" t="n"/>
      <c r="F1290" s="17" t="n"/>
      <c r="G1290" s="19" t="n"/>
      <c r="H1290" s="17" t="n"/>
      <c r="I1290" s="17" t="n"/>
      <c r="J1290" s="17" t="n"/>
      <c r="K1290" s="20">
        <f>IF($B1290="","",IFERROR(INDEX(الموظفات!$A$5:$A$304,MATCH($B1290,الموظفات!$B$5:$B$304,0))&amp;"",""))</f>
        <v/>
      </c>
      <c r="L1290" s="21">
        <f>IF($B1290="","",IFERROR(INDEX(الموظفات!$C$5:$C$304,MATCH($B1290,الموظفات!$B$5:$B$304,0))&amp;"",""))</f>
        <v/>
      </c>
      <c r="M1290" s="20">
        <f>IF($B1290="","",IFERROR(INDEX(الموظفات!$D$5:$D$304,MATCH($B1290,الموظفات!$B$5:$B$304,0))&amp;"",""))</f>
        <v/>
      </c>
      <c r="N1290" s="20">
        <f>IF($B1290="","",IFERROR(INDEX(الموظفات!$E$5:$E$304,MATCH($B1290,الموظفات!$B$5:$B$304,0))&amp;"",""))</f>
        <v/>
      </c>
      <c r="O1290" s="21">
        <f>IF(C1290="","",IFERROR(INDEX(الإعدادات!$D$7:$D$35,MATCH(C1290,الإعدادات!$A$7:$A$35,0))&amp;"",""))</f>
        <v/>
      </c>
      <c r="P1290" s="20">
        <f>IF(A1290="","",INDEX(الإعدادات!$H$7:$H$18,MONTH(A1290)))</f>
        <v/>
      </c>
      <c r="Q1290" s="20">
        <f>IF(A1290="","",INDEX(الإعدادات!$I$7:$I$18,MONTH(A1290)))</f>
        <v/>
      </c>
      <c r="R1290" s="20">
        <f>IF(A1290="","",IF(MONTH(A1290)&gt;=8,YEAR(A1290)&amp;"-"&amp;(YEAR(A1290)+1),(YEAR(A1290)-1)&amp;"-"&amp;YEAR(A1290)))</f>
        <v/>
      </c>
      <c r="S1290" s="20">
        <f>IF(OR(A1290="",B1290=""),0,IF(AND(R1290=التقارير!$C$4,OR(التقارير!$C$5="سنوي",AND(التقارير!$C$5="شهري",P1290=التقارير!$C$6),AND(التقارير!$C$5="فصلي",Q1290=التقارير!$C$7))),1,0))</f>
        <v/>
      </c>
      <c r="T1290" s="20">
        <f>IF(S1290=1,COUNTIF($S$5:S1290,1),"")</f>
        <v/>
      </c>
      <c r="U1290">
        <f>IF(AND($A1290&lt;&gt;"",$B1290&lt;&gt;"",$R1290='تقرير الفصل الأول'!$C$4,$Q1290='تقرير الفصل الأول'!$C$7),COUNT(U$4:U1289)+1,"")</f>
        <v/>
      </c>
      <c r="V1290">
        <f>IF(AND($A1290&lt;&gt;"",$B1290&lt;&gt;"",$R1290='تقرير الفصل الثاني'!$C$4,$Q1290='تقرير الفصل الثاني'!$C$7),COUNT(V$4:V1289)+1,"")</f>
        <v/>
      </c>
      <c r="W1290">
        <f>IF(AND($A1290&lt;&gt;"",$B1290&lt;&gt;"",$R1290='تقرير سبتمبر'!$C$4,$P1290='تقرير سبتمبر'!$C$6),COUNT(W$4:W1289)+1,"")</f>
        <v/>
      </c>
      <c r="X1290">
        <f>IF(AND($A1290&lt;&gt;"",$B1290&lt;&gt;"",$R1290='تقرير أكتوبر'!$C$4,$P1290='تقرير أكتوبر'!$C$6),COUNT(X$4:X1289)+1,"")</f>
        <v/>
      </c>
      <c r="Y1290">
        <f>IF(AND($A1290&lt;&gt;"",$B1290&lt;&gt;"",$R1290='تقرير نوفمبر'!$C$4,$P1290='تقرير نوفمبر'!$C$6),COUNT(Y$4:Y1289)+1,"")</f>
        <v/>
      </c>
      <c r="Z1290">
        <f>IF(AND($A1290&lt;&gt;"",$B1290&lt;&gt;"",$R1290='تقرير ديسمبر'!$C$4,$P1290='تقرير ديسمبر'!$C$6),COUNT(Z$4:Z1289)+1,"")</f>
        <v/>
      </c>
      <c r="AA1290">
        <f>IF(AND($A1290&lt;&gt;"",$B1290&lt;&gt;"",$R1290='تقرير يناير'!$C$4,$P1290='تقرير يناير'!$C$6),COUNT(AA$4:AA1289)+1,"")</f>
        <v/>
      </c>
      <c r="AB1290">
        <f>IF(AND($A1290&lt;&gt;"",$B1290&lt;&gt;"",$R1290='تقرير فبراير'!$C$4,$P1290='تقرير فبراير'!$C$6),COUNT(AB$4:AB1289)+1,"")</f>
        <v/>
      </c>
      <c r="AC1290">
        <f>IF(AND($A1290&lt;&gt;"",$B1290&lt;&gt;"",$R1290='تقرير مارس'!$C$4,$P1290='تقرير مارس'!$C$6),COUNT(AC$4:AC1289)+1,"")</f>
        <v/>
      </c>
      <c r="AD1290">
        <f>IF(AND($A1290&lt;&gt;"",$B1290&lt;&gt;"",$R1290='تقرير أبريل'!$C$4,$P1290='تقرير أبريل'!$C$6),COUNT(AD$4:AD1289)+1,"")</f>
        <v/>
      </c>
      <c r="AE1290">
        <f>IF(AND($A1290&lt;&gt;"",$B1290&lt;&gt;"",$R1290='تقرير مايو'!$C$4,$P1290='تقرير مايو'!$C$6),COUNT(AE$4:AE1289)+1,"")</f>
        <v/>
      </c>
    </row>
    <row r="1291">
      <c r="A1291" s="16" t="n"/>
      <c r="B1291" s="17" t="n"/>
      <c r="C1291" s="17" t="n"/>
      <c r="D1291" s="18" t="n"/>
      <c r="E1291" s="17" t="n"/>
      <c r="F1291" s="17" t="n"/>
      <c r="G1291" s="19" t="n"/>
      <c r="H1291" s="17" t="n"/>
      <c r="I1291" s="17" t="n"/>
      <c r="J1291" s="17" t="n"/>
      <c r="K1291" s="20">
        <f>IF($B1291="","",IFERROR(INDEX(الموظفات!$A$5:$A$304,MATCH($B1291,الموظفات!$B$5:$B$304,0))&amp;"",""))</f>
        <v/>
      </c>
      <c r="L1291" s="21">
        <f>IF($B1291="","",IFERROR(INDEX(الموظفات!$C$5:$C$304,MATCH($B1291,الموظفات!$B$5:$B$304,0))&amp;"",""))</f>
        <v/>
      </c>
      <c r="M1291" s="20">
        <f>IF($B1291="","",IFERROR(INDEX(الموظفات!$D$5:$D$304,MATCH($B1291,الموظفات!$B$5:$B$304,0))&amp;"",""))</f>
        <v/>
      </c>
      <c r="N1291" s="20">
        <f>IF($B1291="","",IFERROR(INDEX(الموظفات!$E$5:$E$304,MATCH($B1291,الموظفات!$B$5:$B$304,0))&amp;"",""))</f>
        <v/>
      </c>
      <c r="O1291" s="21">
        <f>IF(C1291="","",IFERROR(INDEX(الإعدادات!$D$7:$D$35,MATCH(C1291,الإعدادات!$A$7:$A$35,0))&amp;"",""))</f>
        <v/>
      </c>
      <c r="P1291" s="20">
        <f>IF(A1291="","",INDEX(الإعدادات!$H$7:$H$18,MONTH(A1291)))</f>
        <v/>
      </c>
      <c r="Q1291" s="20">
        <f>IF(A1291="","",INDEX(الإعدادات!$I$7:$I$18,MONTH(A1291)))</f>
        <v/>
      </c>
      <c r="R1291" s="20">
        <f>IF(A1291="","",IF(MONTH(A1291)&gt;=8,YEAR(A1291)&amp;"-"&amp;(YEAR(A1291)+1),(YEAR(A1291)-1)&amp;"-"&amp;YEAR(A1291)))</f>
        <v/>
      </c>
      <c r="S1291" s="20">
        <f>IF(OR(A1291="",B1291=""),0,IF(AND(R1291=التقارير!$C$4,OR(التقارير!$C$5="سنوي",AND(التقارير!$C$5="شهري",P1291=التقارير!$C$6),AND(التقارير!$C$5="فصلي",Q1291=التقارير!$C$7))),1,0))</f>
        <v/>
      </c>
      <c r="T1291" s="20">
        <f>IF(S1291=1,COUNTIF($S$5:S1291,1),"")</f>
        <v/>
      </c>
      <c r="U1291">
        <f>IF(AND($A1291&lt;&gt;"",$B1291&lt;&gt;"",$R1291='تقرير الفصل الأول'!$C$4,$Q1291='تقرير الفصل الأول'!$C$7),COUNT(U$4:U1290)+1,"")</f>
        <v/>
      </c>
      <c r="V1291">
        <f>IF(AND($A1291&lt;&gt;"",$B1291&lt;&gt;"",$R1291='تقرير الفصل الثاني'!$C$4,$Q1291='تقرير الفصل الثاني'!$C$7),COUNT(V$4:V1290)+1,"")</f>
        <v/>
      </c>
      <c r="W1291">
        <f>IF(AND($A1291&lt;&gt;"",$B1291&lt;&gt;"",$R1291='تقرير سبتمبر'!$C$4,$P1291='تقرير سبتمبر'!$C$6),COUNT(W$4:W1290)+1,"")</f>
        <v/>
      </c>
      <c r="X1291">
        <f>IF(AND($A1291&lt;&gt;"",$B1291&lt;&gt;"",$R1291='تقرير أكتوبر'!$C$4,$P1291='تقرير أكتوبر'!$C$6),COUNT(X$4:X1290)+1,"")</f>
        <v/>
      </c>
      <c r="Y1291">
        <f>IF(AND($A1291&lt;&gt;"",$B1291&lt;&gt;"",$R1291='تقرير نوفمبر'!$C$4,$P1291='تقرير نوفمبر'!$C$6),COUNT(Y$4:Y1290)+1,"")</f>
        <v/>
      </c>
      <c r="Z1291">
        <f>IF(AND($A1291&lt;&gt;"",$B1291&lt;&gt;"",$R1291='تقرير ديسمبر'!$C$4,$P1291='تقرير ديسمبر'!$C$6),COUNT(Z$4:Z1290)+1,"")</f>
        <v/>
      </c>
      <c r="AA1291">
        <f>IF(AND($A1291&lt;&gt;"",$B1291&lt;&gt;"",$R1291='تقرير يناير'!$C$4,$P1291='تقرير يناير'!$C$6),COUNT(AA$4:AA1290)+1,"")</f>
        <v/>
      </c>
      <c r="AB1291">
        <f>IF(AND($A1291&lt;&gt;"",$B1291&lt;&gt;"",$R1291='تقرير فبراير'!$C$4,$P1291='تقرير فبراير'!$C$6),COUNT(AB$4:AB1290)+1,"")</f>
        <v/>
      </c>
      <c r="AC1291">
        <f>IF(AND($A1291&lt;&gt;"",$B1291&lt;&gt;"",$R1291='تقرير مارس'!$C$4,$P1291='تقرير مارس'!$C$6),COUNT(AC$4:AC1290)+1,"")</f>
        <v/>
      </c>
      <c r="AD1291">
        <f>IF(AND($A1291&lt;&gt;"",$B1291&lt;&gt;"",$R1291='تقرير أبريل'!$C$4,$P1291='تقرير أبريل'!$C$6),COUNT(AD$4:AD1290)+1,"")</f>
        <v/>
      </c>
      <c r="AE1291">
        <f>IF(AND($A1291&lt;&gt;"",$B1291&lt;&gt;"",$R1291='تقرير مايو'!$C$4,$P1291='تقرير مايو'!$C$6),COUNT(AE$4:AE1290)+1,"")</f>
        <v/>
      </c>
    </row>
    <row r="1292">
      <c r="A1292" s="16" t="n"/>
      <c r="B1292" s="17" t="n"/>
      <c r="C1292" s="17" t="n"/>
      <c r="D1292" s="18" t="n"/>
      <c r="E1292" s="17" t="n"/>
      <c r="F1292" s="17" t="n"/>
      <c r="G1292" s="19" t="n"/>
      <c r="H1292" s="17" t="n"/>
      <c r="I1292" s="17" t="n"/>
      <c r="J1292" s="17" t="n"/>
      <c r="K1292" s="20">
        <f>IF($B1292="","",IFERROR(INDEX(الموظفات!$A$5:$A$304,MATCH($B1292,الموظفات!$B$5:$B$304,0))&amp;"",""))</f>
        <v/>
      </c>
      <c r="L1292" s="21">
        <f>IF($B1292="","",IFERROR(INDEX(الموظفات!$C$5:$C$304,MATCH($B1292,الموظفات!$B$5:$B$304,0))&amp;"",""))</f>
        <v/>
      </c>
      <c r="M1292" s="20">
        <f>IF($B1292="","",IFERROR(INDEX(الموظفات!$D$5:$D$304,MATCH($B1292,الموظفات!$B$5:$B$304,0))&amp;"",""))</f>
        <v/>
      </c>
      <c r="N1292" s="20">
        <f>IF($B1292="","",IFERROR(INDEX(الموظفات!$E$5:$E$304,MATCH($B1292,الموظفات!$B$5:$B$304,0))&amp;"",""))</f>
        <v/>
      </c>
      <c r="O1292" s="21">
        <f>IF(C1292="","",IFERROR(INDEX(الإعدادات!$D$7:$D$35,MATCH(C1292,الإعدادات!$A$7:$A$35,0))&amp;"",""))</f>
        <v/>
      </c>
      <c r="P1292" s="20">
        <f>IF(A1292="","",INDEX(الإعدادات!$H$7:$H$18,MONTH(A1292)))</f>
        <v/>
      </c>
      <c r="Q1292" s="20">
        <f>IF(A1292="","",INDEX(الإعدادات!$I$7:$I$18,MONTH(A1292)))</f>
        <v/>
      </c>
      <c r="R1292" s="20">
        <f>IF(A1292="","",IF(MONTH(A1292)&gt;=8,YEAR(A1292)&amp;"-"&amp;(YEAR(A1292)+1),(YEAR(A1292)-1)&amp;"-"&amp;YEAR(A1292)))</f>
        <v/>
      </c>
      <c r="S1292" s="20">
        <f>IF(OR(A1292="",B1292=""),0,IF(AND(R1292=التقارير!$C$4,OR(التقارير!$C$5="سنوي",AND(التقارير!$C$5="شهري",P1292=التقارير!$C$6),AND(التقارير!$C$5="فصلي",Q1292=التقارير!$C$7))),1,0))</f>
        <v/>
      </c>
      <c r="T1292" s="20">
        <f>IF(S1292=1,COUNTIF($S$5:S1292,1),"")</f>
        <v/>
      </c>
      <c r="U1292">
        <f>IF(AND($A1292&lt;&gt;"",$B1292&lt;&gt;"",$R1292='تقرير الفصل الأول'!$C$4,$Q1292='تقرير الفصل الأول'!$C$7),COUNT(U$4:U1291)+1,"")</f>
        <v/>
      </c>
      <c r="V1292">
        <f>IF(AND($A1292&lt;&gt;"",$B1292&lt;&gt;"",$R1292='تقرير الفصل الثاني'!$C$4,$Q1292='تقرير الفصل الثاني'!$C$7),COUNT(V$4:V1291)+1,"")</f>
        <v/>
      </c>
      <c r="W1292">
        <f>IF(AND($A1292&lt;&gt;"",$B1292&lt;&gt;"",$R1292='تقرير سبتمبر'!$C$4,$P1292='تقرير سبتمبر'!$C$6),COUNT(W$4:W1291)+1,"")</f>
        <v/>
      </c>
      <c r="X1292">
        <f>IF(AND($A1292&lt;&gt;"",$B1292&lt;&gt;"",$R1292='تقرير أكتوبر'!$C$4,$P1292='تقرير أكتوبر'!$C$6),COUNT(X$4:X1291)+1,"")</f>
        <v/>
      </c>
      <c r="Y1292">
        <f>IF(AND($A1292&lt;&gt;"",$B1292&lt;&gt;"",$R1292='تقرير نوفمبر'!$C$4,$P1292='تقرير نوفمبر'!$C$6),COUNT(Y$4:Y1291)+1,"")</f>
        <v/>
      </c>
      <c r="Z1292">
        <f>IF(AND($A1292&lt;&gt;"",$B1292&lt;&gt;"",$R1292='تقرير ديسمبر'!$C$4,$P1292='تقرير ديسمبر'!$C$6),COUNT(Z$4:Z1291)+1,"")</f>
        <v/>
      </c>
      <c r="AA1292">
        <f>IF(AND($A1292&lt;&gt;"",$B1292&lt;&gt;"",$R1292='تقرير يناير'!$C$4,$P1292='تقرير يناير'!$C$6),COUNT(AA$4:AA1291)+1,"")</f>
        <v/>
      </c>
      <c r="AB1292">
        <f>IF(AND($A1292&lt;&gt;"",$B1292&lt;&gt;"",$R1292='تقرير فبراير'!$C$4,$P1292='تقرير فبراير'!$C$6),COUNT(AB$4:AB1291)+1,"")</f>
        <v/>
      </c>
      <c r="AC1292">
        <f>IF(AND($A1292&lt;&gt;"",$B1292&lt;&gt;"",$R1292='تقرير مارس'!$C$4,$P1292='تقرير مارس'!$C$6),COUNT(AC$4:AC1291)+1,"")</f>
        <v/>
      </c>
      <c r="AD1292">
        <f>IF(AND($A1292&lt;&gt;"",$B1292&lt;&gt;"",$R1292='تقرير أبريل'!$C$4,$P1292='تقرير أبريل'!$C$6),COUNT(AD$4:AD1291)+1,"")</f>
        <v/>
      </c>
      <c r="AE1292">
        <f>IF(AND($A1292&lt;&gt;"",$B1292&lt;&gt;"",$R1292='تقرير مايو'!$C$4,$P1292='تقرير مايو'!$C$6),COUNT(AE$4:AE1291)+1,"")</f>
        <v/>
      </c>
    </row>
    <row r="1293">
      <c r="A1293" s="16" t="n"/>
      <c r="B1293" s="17" t="n"/>
      <c r="C1293" s="17" t="n"/>
      <c r="D1293" s="18" t="n"/>
      <c r="E1293" s="17" t="n"/>
      <c r="F1293" s="17" t="n"/>
      <c r="G1293" s="19" t="n"/>
      <c r="H1293" s="17" t="n"/>
      <c r="I1293" s="17" t="n"/>
      <c r="J1293" s="17" t="n"/>
      <c r="K1293" s="20">
        <f>IF($B1293="","",IFERROR(INDEX(الموظفات!$A$5:$A$304,MATCH($B1293,الموظفات!$B$5:$B$304,0))&amp;"",""))</f>
        <v/>
      </c>
      <c r="L1293" s="21">
        <f>IF($B1293="","",IFERROR(INDEX(الموظفات!$C$5:$C$304,MATCH($B1293,الموظفات!$B$5:$B$304,0))&amp;"",""))</f>
        <v/>
      </c>
      <c r="M1293" s="20">
        <f>IF($B1293="","",IFERROR(INDEX(الموظفات!$D$5:$D$304,MATCH($B1293,الموظفات!$B$5:$B$304,0))&amp;"",""))</f>
        <v/>
      </c>
      <c r="N1293" s="20">
        <f>IF($B1293="","",IFERROR(INDEX(الموظفات!$E$5:$E$304,MATCH($B1293,الموظفات!$B$5:$B$304,0))&amp;"",""))</f>
        <v/>
      </c>
      <c r="O1293" s="21">
        <f>IF(C1293="","",IFERROR(INDEX(الإعدادات!$D$7:$D$35,MATCH(C1293,الإعدادات!$A$7:$A$35,0))&amp;"",""))</f>
        <v/>
      </c>
      <c r="P1293" s="20">
        <f>IF(A1293="","",INDEX(الإعدادات!$H$7:$H$18,MONTH(A1293)))</f>
        <v/>
      </c>
      <c r="Q1293" s="20">
        <f>IF(A1293="","",INDEX(الإعدادات!$I$7:$I$18,MONTH(A1293)))</f>
        <v/>
      </c>
      <c r="R1293" s="20">
        <f>IF(A1293="","",IF(MONTH(A1293)&gt;=8,YEAR(A1293)&amp;"-"&amp;(YEAR(A1293)+1),(YEAR(A1293)-1)&amp;"-"&amp;YEAR(A1293)))</f>
        <v/>
      </c>
      <c r="S1293" s="20">
        <f>IF(OR(A1293="",B1293=""),0,IF(AND(R1293=التقارير!$C$4,OR(التقارير!$C$5="سنوي",AND(التقارير!$C$5="شهري",P1293=التقارير!$C$6),AND(التقارير!$C$5="فصلي",Q1293=التقارير!$C$7))),1,0))</f>
        <v/>
      </c>
      <c r="T1293" s="20">
        <f>IF(S1293=1,COUNTIF($S$5:S1293,1),"")</f>
        <v/>
      </c>
      <c r="U1293">
        <f>IF(AND($A1293&lt;&gt;"",$B1293&lt;&gt;"",$R1293='تقرير الفصل الأول'!$C$4,$Q1293='تقرير الفصل الأول'!$C$7),COUNT(U$4:U1292)+1,"")</f>
        <v/>
      </c>
      <c r="V1293">
        <f>IF(AND($A1293&lt;&gt;"",$B1293&lt;&gt;"",$R1293='تقرير الفصل الثاني'!$C$4,$Q1293='تقرير الفصل الثاني'!$C$7),COUNT(V$4:V1292)+1,"")</f>
        <v/>
      </c>
      <c r="W1293">
        <f>IF(AND($A1293&lt;&gt;"",$B1293&lt;&gt;"",$R1293='تقرير سبتمبر'!$C$4,$P1293='تقرير سبتمبر'!$C$6),COUNT(W$4:W1292)+1,"")</f>
        <v/>
      </c>
      <c r="X1293">
        <f>IF(AND($A1293&lt;&gt;"",$B1293&lt;&gt;"",$R1293='تقرير أكتوبر'!$C$4,$P1293='تقرير أكتوبر'!$C$6),COUNT(X$4:X1292)+1,"")</f>
        <v/>
      </c>
      <c r="Y1293">
        <f>IF(AND($A1293&lt;&gt;"",$B1293&lt;&gt;"",$R1293='تقرير نوفمبر'!$C$4,$P1293='تقرير نوفمبر'!$C$6),COUNT(Y$4:Y1292)+1,"")</f>
        <v/>
      </c>
      <c r="Z1293">
        <f>IF(AND($A1293&lt;&gt;"",$B1293&lt;&gt;"",$R1293='تقرير ديسمبر'!$C$4,$P1293='تقرير ديسمبر'!$C$6),COUNT(Z$4:Z1292)+1,"")</f>
        <v/>
      </c>
      <c r="AA1293">
        <f>IF(AND($A1293&lt;&gt;"",$B1293&lt;&gt;"",$R1293='تقرير يناير'!$C$4,$P1293='تقرير يناير'!$C$6),COUNT(AA$4:AA1292)+1,"")</f>
        <v/>
      </c>
      <c r="AB1293">
        <f>IF(AND($A1293&lt;&gt;"",$B1293&lt;&gt;"",$R1293='تقرير فبراير'!$C$4,$P1293='تقرير فبراير'!$C$6),COUNT(AB$4:AB1292)+1,"")</f>
        <v/>
      </c>
      <c r="AC1293">
        <f>IF(AND($A1293&lt;&gt;"",$B1293&lt;&gt;"",$R1293='تقرير مارس'!$C$4,$P1293='تقرير مارس'!$C$6),COUNT(AC$4:AC1292)+1,"")</f>
        <v/>
      </c>
      <c r="AD1293">
        <f>IF(AND($A1293&lt;&gt;"",$B1293&lt;&gt;"",$R1293='تقرير أبريل'!$C$4,$P1293='تقرير أبريل'!$C$6),COUNT(AD$4:AD1292)+1,"")</f>
        <v/>
      </c>
      <c r="AE1293">
        <f>IF(AND($A1293&lt;&gt;"",$B1293&lt;&gt;"",$R1293='تقرير مايو'!$C$4,$P1293='تقرير مايو'!$C$6),COUNT(AE$4:AE1292)+1,"")</f>
        <v/>
      </c>
    </row>
    <row r="1294">
      <c r="A1294" s="16" t="n"/>
      <c r="B1294" s="17" t="n"/>
      <c r="C1294" s="17" t="n"/>
      <c r="D1294" s="18" t="n"/>
      <c r="E1294" s="17" t="n"/>
      <c r="F1294" s="17" t="n"/>
      <c r="G1294" s="19" t="n"/>
      <c r="H1294" s="17" t="n"/>
      <c r="I1294" s="17" t="n"/>
      <c r="J1294" s="17" t="n"/>
      <c r="K1294" s="20">
        <f>IF($B1294="","",IFERROR(INDEX(الموظفات!$A$5:$A$304,MATCH($B1294,الموظفات!$B$5:$B$304,0))&amp;"",""))</f>
        <v/>
      </c>
      <c r="L1294" s="21">
        <f>IF($B1294="","",IFERROR(INDEX(الموظفات!$C$5:$C$304,MATCH($B1294,الموظفات!$B$5:$B$304,0))&amp;"",""))</f>
        <v/>
      </c>
      <c r="M1294" s="20">
        <f>IF($B1294="","",IFERROR(INDEX(الموظفات!$D$5:$D$304,MATCH($B1294,الموظفات!$B$5:$B$304,0))&amp;"",""))</f>
        <v/>
      </c>
      <c r="N1294" s="20">
        <f>IF($B1294="","",IFERROR(INDEX(الموظفات!$E$5:$E$304,MATCH($B1294,الموظفات!$B$5:$B$304,0))&amp;"",""))</f>
        <v/>
      </c>
      <c r="O1294" s="21">
        <f>IF(C1294="","",IFERROR(INDEX(الإعدادات!$D$7:$D$35,MATCH(C1294,الإعدادات!$A$7:$A$35,0))&amp;"",""))</f>
        <v/>
      </c>
      <c r="P1294" s="20">
        <f>IF(A1294="","",INDEX(الإعدادات!$H$7:$H$18,MONTH(A1294)))</f>
        <v/>
      </c>
      <c r="Q1294" s="20">
        <f>IF(A1294="","",INDEX(الإعدادات!$I$7:$I$18,MONTH(A1294)))</f>
        <v/>
      </c>
      <c r="R1294" s="20">
        <f>IF(A1294="","",IF(MONTH(A1294)&gt;=8,YEAR(A1294)&amp;"-"&amp;(YEAR(A1294)+1),(YEAR(A1294)-1)&amp;"-"&amp;YEAR(A1294)))</f>
        <v/>
      </c>
      <c r="S1294" s="20">
        <f>IF(OR(A1294="",B1294=""),0,IF(AND(R1294=التقارير!$C$4,OR(التقارير!$C$5="سنوي",AND(التقارير!$C$5="شهري",P1294=التقارير!$C$6),AND(التقارير!$C$5="فصلي",Q1294=التقارير!$C$7))),1,0))</f>
        <v/>
      </c>
      <c r="T1294" s="20">
        <f>IF(S1294=1,COUNTIF($S$5:S1294,1),"")</f>
        <v/>
      </c>
      <c r="U1294">
        <f>IF(AND($A1294&lt;&gt;"",$B1294&lt;&gt;"",$R1294='تقرير الفصل الأول'!$C$4,$Q1294='تقرير الفصل الأول'!$C$7),COUNT(U$4:U1293)+1,"")</f>
        <v/>
      </c>
      <c r="V1294">
        <f>IF(AND($A1294&lt;&gt;"",$B1294&lt;&gt;"",$R1294='تقرير الفصل الثاني'!$C$4,$Q1294='تقرير الفصل الثاني'!$C$7),COUNT(V$4:V1293)+1,"")</f>
        <v/>
      </c>
      <c r="W1294">
        <f>IF(AND($A1294&lt;&gt;"",$B1294&lt;&gt;"",$R1294='تقرير سبتمبر'!$C$4,$P1294='تقرير سبتمبر'!$C$6),COUNT(W$4:W1293)+1,"")</f>
        <v/>
      </c>
      <c r="X1294">
        <f>IF(AND($A1294&lt;&gt;"",$B1294&lt;&gt;"",$R1294='تقرير أكتوبر'!$C$4,$P1294='تقرير أكتوبر'!$C$6),COUNT(X$4:X1293)+1,"")</f>
        <v/>
      </c>
      <c r="Y1294">
        <f>IF(AND($A1294&lt;&gt;"",$B1294&lt;&gt;"",$R1294='تقرير نوفمبر'!$C$4,$P1294='تقرير نوفمبر'!$C$6),COUNT(Y$4:Y1293)+1,"")</f>
        <v/>
      </c>
      <c r="Z1294">
        <f>IF(AND($A1294&lt;&gt;"",$B1294&lt;&gt;"",$R1294='تقرير ديسمبر'!$C$4,$P1294='تقرير ديسمبر'!$C$6),COUNT(Z$4:Z1293)+1,"")</f>
        <v/>
      </c>
      <c r="AA1294">
        <f>IF(AND($A1294&lt;&gt;"",$B1294&lt;&gt;"",$R1294='تقرير يناير'!$C$4,$P1294='تقرير يناير'!$C$6),COUNT(AA$4:AA1293)+1,"")</f>
        <v/>
      </c>
      <c r="AB1294">
        <f>IF(AND($A1294&lt;&gt;"",$B1294&lt;&gt;"",$R1294='تقرير فبراير'!$C$4,$P1294='تقرير فبراير'!$C$6),COUNT(AB$4:AB1293)+1,"")</f>
        <v/>
      </c>
      <c r="AC1294">
        <f>IF(AND($A1294&lt;&gt;"",$B1294&lt;&gt;"",$R1294='تقرير مارس'!$C$4,$P1294='تقرير مارس'!$C$6),COUNT(AC$4:AC1293)+1,"")</f>
        <v/>
      </c>
      <c r="AD1294">
        <f>IF(AND($A1294&lt;&gt;"",$B1294&lt;&gt;"",$R1294='تقرير أبريل'!$C$4,$P1294='تقرير أبريل'!$C$6),COUNT(AD$4:AD1293)+1,"")</f>
        <v/>
      </c>
      <c r="AE1294">
        <f>IF(AND($A1294&lt;&gt;"",$B1294&lt;&gt;"",$R1294='تقرير مايو'!$C$4,$P1294='تقرير مايو'!$C$6),COUNT(AE$4:AE1293)+1,"")</f>
        <v/>
      </c>
    </row>
    <row r="1295">
      <c r="A1295" s="16" t="n"/>
      <c r="B1295" s="17" t="n"/>
      <c r="C1295" s="17" t="n"/>
      <c r="D1295" s="18" t="n"/>
      <c r="E1295" s="17" t="n"/>
      <c r="F1295" s="17" t="n"/>
      <c r="G1295" s="19" t="n"/>
      <c r="H1295" s="17" t="n"/>
      <c r="I1295" s="17" t="n"/>
      <c r="J1295" s="17" t="n"/>
      <c r="K1295" s="20">
        <f>IF($B1295="","",IFERROR(INDEX(الموظفات!$A$5:$A$304,MATCH($B1295,الموظفات!$B$5:$B$304,0))&amp;"",""))</f>
        <v/>
      </c>
      <c r="L1295" s="21">
        <f>IF($B1295="","",IFERROR(INDEX(الموظفات!$C$5:$C$304,MATCH($B1295,الموظفات!$B$5:$B$304,0))&amp;"",""))</f>
        <v/>
      </c>
      <c r="M1295" s="20">
        <f>IF($B1295="","",IFERROR(INDEX(الموظفات!$D$5:$D$304,MATCH($B1295,الموظفات!$B$5:$B$304,0))&amp;"",""))</f>
        <v/>
      </c>
      <c r="N1295" s="20">
        <f>IF($B1295="","",IFERROR(INDEX(الموظفات!$E$5:$E$304,MATCH($B1295,الموظفات!$B$5:$B$304,0))&amp;"",""))</f>
        <v/>
      </c>
      <c r="O1295" s="21">
        <f>IF(C1295="","",IFERROR(INDEX(الإعدادات!$D$7:$D$35,MATCH(C1295,الإعدادات!$A$7:$A$35,0))&amp;"",""))</f>
        <v/>
      </c>
      <c r="P1295" s="20">
        <f>IF(A1295="","",INDEX(الإعدادات!$H$7:$H$18,MONTH(A1295)))</f>
        <v/>
      </c>
      <c r="Q1295" s="20">
        <f>IF(A1295="","",INDEX(الإعدادات!$I$7:$I$18,MONTH(A1295)))</f>
        <v/>
      </c>
      <c r="R1295" s="20">
        <f>IF(A1295="","",IF(MONTH(A1295)&gt;=8,YEAR(A1295)&amp;"-"&amp;(YEAR(A1295)+1),(YEAR(A1295)-1)&amp;"-"&amp;YEAR(A1295)))</f>
        <v/>
      </c>
      <c r="S1295" s="20">
        <f>IF(OR(A1295="",B1295=""),0,IF(AND(R1295=التقارير!$C$4,OR(التقارير!$C$5="سنوي",AND(التقارير!$C$5="شهري",P1295=التقارير!$C$6),AND(التقارير!$C$5="فصلي",Q1295=التقارير!$C$7))),1,0))</f>
        <v/>
      </c>
      <c r="T1295" s="20">
        <f>IF(S1295=1,COUNTIF($S$5:S1295,1),"")</f>
        <v/>
      </c>
      <c r="U1295">
        <f>IF(AND($A1295&lt;&gt;"",$B1295&lt;&gt;"",$R1295='تقرير الفصل الأول'!$C$4,$Q1295='تقرير الفصل الأول'!$C$7),COUNT(U$4:U1294)+1,"")</f>
        <v/>
      </c>
      <c r="V1295">
        <f>IF(AND($A1295&lt;&gt;"",$B1295&lt;&gt;"",$R1295='تقرير الفصل الثاني'!$C$4,$Q1295='تقرير الفصل الثاني'!$C$7),COUNT(V$4:V1294)+1,"")</f>
        <v/>
      </c>
      <c r="W1295">
        <f>IF(AND($A1295&lt;&gt;"",$B1295&lt;&gt;"",$R1295='تقرير سبتمبر'!$C$4,$P1295='تقرير سبتمبر'!$C$6),COUNT(W$4:W1294)+1,"")</f>
        <v/>
      </c>
      <c r="X1295">
        <f>IF(AND($A1295&lt;&gt;"",$B1295&lt;&gt;"",$R1295='تقرير أكتوبر'!$C$4,$P1295='تقرير أكتوبر'!$C$6),COUNT(X$4:X1294)+1,"")</f>
        <v/>
      </c>
      <c r="Y1295">
        <f>IF(AND($A1295&lt;&gt;"",$B1295&lt;&gt;"",$R1295='تقرير نوفمبر'!$C$4,$P1295='تقرير نوفمبر'!$C$6),COUNT(Y$4:Y1294)+1,"")</f>
        <v/>
      </c>
      <c r="Z1295">
        <f>IF(AND($A1295&lt;&gt;"",$B1295&lt;&gt;"",$R1295='تقرير ديسمبر'!$C$4,$P1295='تقرير ديسمبر'!$C$6),COUNT(Z$4:Z1294)+1,"")</f>
        <v/>
      </c>
      <c r="AA1295">
        <f>IF(AND($A1295&lt;&gt;"",$B1295&lt;&gt;"",$R1295='تقرير يناير'!$C$4,$P1295='تقرير يناير'!$C$6),COUNT(AA$4:AA1294)+1,"")</f>
        <v/>
      </c>
      <c r="AB1295">
        <f>IF(AND($A1295&lt;&gt;"",$B1295&lt;&gt;"",$R1295='تقرير فبراير'!$C$4,$P1295='تقرير فبراير'!$C$6),COUNT(AB$4:AB1294)+1,"")</f>
        <v/>
      </c>
      <c r="AC1295">
        <f>IF(AND($A1295&lt;&gt;"",$B1295&lt;&gt;"",$R1295='تقرير مارس'!$C$4,$P1295='تقرير مارس'!$C$6),COUNT(AC$4:AC1294)+1,"")</f>
        <v/>
      </c>
      <c r="AD1295">
        <f>IF(AND($A1295&lt;&gt;"",$B1295&lt;&gt;"",$R1295='تقرير أبريل'!$C$4,$P1295='تقرير أبريل'!$C$6),COUNT(AD$4:AD1294)+1,"")</f>
        <v/>
      </c>
      <c r="AE1295">
        <f>IF(AND($A1295&lt;&gt;"",$B1295&lt;&gt;"",$R1295='تقرير مايو'!$C$4,$P1295='تقرير مايو'!$C$6),COUNT(AE$4:AE1294)+1,"")</f>
        <v/>
      </c>
    </row>
    <row r="1296">
      <c r="A1296" s="16" t="n"/>
      <c r="B1296" s="17" t="n"/>
      <c r="C1296" s="17" t="n"/>
      <c r="D1296" s="18" t="n"/>
      <c r="E1296" s="17" t="n"/>
      <c r="F1296" s="17" t="n"/>
      <c r="G1296" s="19" t="n"/>
      <c r="H1296" s="17" t="n"/>
      <c r="I1296" s="17" t="n"/>
      <c r="J1296" s="17" t="n"/>
      <c r="K1296" s="20">
        <f>IF($B1296="","",IFERROR(INDEX(الموظفات!$A$5:$A$304,MATCH($B1296,الموظفات!$B$5:$B$304,0))&amp;"",""))</f>
        <v/>
      </c>
      <c r="L1296" s="21">
        <f>IF($B1296="","",IFERROR(INDEX(الموظفات!$C$5:$C$304,MATCH($B1296,الموظفات!$B$5:$B$304,0))&amp;"",""))</f>
        <v/>
      </c>
      <c r="M1296" s="20">
        <f>IF($B1296="","",IFERROR(INDEX(الموظفات!$D$5:$D$304,MATCH($B1296,الموظفات!$B$5:$B$304,0))&amp;"",""))</f>
        <v/>
      </c>
      <c r="N1296" s="20">
        <f>IF($B1296="","",IFERROR(INDEX(الموظفات!$E$5:$E$304,MATCH($B1296,الموظفات!$B$5:$B$304,0))&amp;"",""))</f>
        <v/>
      </c>
      <c r="O1296" s="21">
        <f>IF(C1296="","",IFERROR(INDEX(الإعدادات!$D$7:$D$35,MATCH(C1296,الإعدادات!$A$7:$A$35,0))&amp;"",""))</f>
        <v/>
      </c>
      <c r="P1296" s="20">
        <f>IF(A1296="","",INDEX(الإعدادات!$H$7:$H$18,MONTH(A1296)))</f>
        <v/>
      </c>
      <c r="Q1296" s="20">
        <f>IF(A1296="","",INDEX(الإعدادات!$I$7:$I$18,MONTH(A1296)))</f>
        <v/>
      </c>
      <c r="R1296" s="20">
        <f>IF(A1296="","",IF(MONTH(A1296)&gt;=8,YEAR(A1296)&amp;"-"&amp;(YEAR(A1296)+1),(YEAR(A1296)-1)&amp;"-"&amp;YEAR(A1296)))</f>
        <v/>
      </c>
      <c r="S1296" s="20">
        <f>IF(OR(A1296="",B1296=""),0,IF(AND(R1296=التقارير!$C$4,OR(التقارير!$C$5="سنوي",AND(التقارير!$C$5="شهري",P1296=التقارير!$C$6),AND(التقارير!$C$5="فصلي",Q1296=التقارير!$C$7))),1,0))</f>
        <v/>
      </c>
      <c r="T1296" s="20">
        <f>IF(S1296=1,COUNTIF($S$5:S1296,1),"")</f>
        <v/>
      </c>
      <c r="U1296">
        <f>IF(AND($A1296&lt;&gt;"",$B1296&lt;&gt;"",$R1296='تقرير الفصل الأول'!$C$4,$Q1296='تقرير الفصل الأول'!$C$7),COUNT(U$4:U1295)+1,"")</f>
        <v/>
      </c>
      <c r="V1296">
        <f>IF(AND($A1296&lt;&gt;"",$B1296&lt;&gt;"",$R1296='تقرير الفصل الثاني'!$C$4,$Q1296='تقرير الفصل الثاني'!$C$7),COUNT(V$4:V1295)+1,"")</f>
        <v/>
      </c>
      <c r="W1296">
        <f>IF(AND($A1296&lt;&gt;"",$B1296&lt;&gt;"",$R1296='تقرير سبتمبر'!$C$4,$P1296='تقرير سبتمبر'!$C$6),COUNT(W$4:W1295)+1,"")</f>
        <v/>
      </c>
      <c r="X1296">
        <f>IF(AND($A1296&lt;&gt;"",$B1296&lt;&gt;"",$R1296='تقرير أكتوبر'!$C$4,$P1296='تقرير أكتوبر'!$C$6),COUNT(X$4:X1295)+1,"")</f>
        <v/>
      </c>
      <c r="Y1296">
        <f>IF(AND($A1296&lt;&gt;"",$B1296&lt;&gt;"",$R1296='تقرير نوفمبر'!$C$4,$P1296='تقرير نوفمبر'!$C$6),COUNT(Y$4:Y1295)+1,"")</f>
        <v/>
      </c>
      <c r="Z1296">
        <f>IF(AND($A1296&lt;&gt;"",$B1296&lt;&gt;"",$R1296='تقرير ديسمبر'!$C$4,$P1296='تقرير ديسمبر'!$C$6),COUNT(Z$4:Z1295)+1,"")</f>
        <v/>
      </c>
      <c r="AA1296">
        <f>IF(AND($A1296&lt;&gt;"",$B1296&lt;&gt;"",$R1296='تقرير يناير'!$C$4,$P1296='تقرير يناير'!$C$6),COUNT(AA$4:AA1295)+1,"")</f>
        <v/>
      </c>
      <c r="AB1296">
        <f>IF(AND($A1296&lt;&gt;"",$B1296&lt;&gt;"",$R1296='تقرير فبراير'!$C$4,$P1296='تقرير فبراير'!$C$6),COUNT(AB$4:AB1295)+1,"")</f>
        <v/>
      </c>
      <c r="AC1296">
        <f>IF(AND($A1296&lt;&gt;"",$B1296&lt;&gt;"",$R1296='تقرير مارس'!$C$4,$P1296='تقرير مارس'!$C$6),COUNT(AC$4:AC1295)+1,"")</f>
        <v/>
      </c>
      <c r="AD1296">
        <f>IF(AND($A1296&lt;&gt;"",$B1296&lt;&gt;"",$R1296='تقرير أبريل'!$C$4,$P1296='تقرير أبريل'!$C$6),COUNT(AD$4:AD1295)+1,"")</f>
        <v/>
      </c>
      <c r="AE1296">
        <f>IF(AND($A1296&lt;&gt;"",$B1296&lt;&gt;"",$R1296='تقرير مايو'!$C$4,$P1296='تقرير مايو'!$C$6),COUNT(AE$4:AE1295)+1,"")</f>
        <v/>
      </c>
    </row>
    <row r="1297">
      <c r="A1297" s="16" t="n"/>
      <c r="B1297" s="17" t="n"/>
      <c r="C1297" s="17" t="n"/>
      <c r="D1297" s="18" t="n"/>
      <c r="E1297" s="17" t="n"/>
      <c r="F1297" s="17" t="n"/>
      <c r="G1297" s="19" t="n"/>
      <c r="H1297" s="17" t="n"/>
      <c r="I1297" s="17" t="n"/>
      <c r="J1297" s="17" t="n"/>
      <c r="K1297" s="20">
        <f>IF($B1297="","",IFERROR(INDEX(الموظفات!$A$5:$A$304,MATCH($B1297,الموظفات!$B$5:$B$304,0))&amp;"",""))</f>
        <v/>
      </c>
      <c r="L1297" s="21">
        <f>IF($B1297="","",IFERROR(INDEX(الموظفات!$C$5:$C$304,MATCH($B1297,الموظفات!$B$5:$B$304,0))&amp;"",""))</f>
        <v/>
      </c>
      <c r="M1297" s="20">
        <f>IF($B1297="","",IFERROR(INDEX(الموظفات!$D$5:$D$304,MATCH($B1297,الموظفات!$B$5:$B$304,0))&amp;"",""))</f>
        <v/>
      </c>
      <c r="N1297" s="20">
        <f>IF($B1297="","",IFERROR(INDEX(الموظفات!$E$5:$E$304,MATCH($B1297,الموظفات!$B$5:$B$304,0))&amp;"",""))</f>
        <v/>
      </c>
      <c r="O1297" s="21">
        <f>IF(C1297="","",IFERROR(INDEX(الإعدادات!$D$7:$D$35,MATCH(C1297,الإعدادات!$A$7:$A$35,0))&amp;"",""))</f>
        <v/>
      </c>
      <c r="P1297" s="20">
        <f>IF(A1297="","",INDEX(الإعدادات!$H$7:$H$18,MONTH(A1297)))</f>
        <v/>
      </c>
      <c r="Q1297" s="20">
        <f>IF(A1297="","",INDEX(الإعدادات!$I$7:$I$18,MONTH(A1297)))</f>
        <v/>
      </c>
      <c r="R1297" s="20">
        <f>IF(A1297="","",IF(MONTH(A1297)&gt;=8,YEAR(A1297)&amp;"-"&amp;(YEAR(A1297)+1),(YEAR(A1297)-1)&amp;"-"&amp;YEAR(A1297)))</f>
        <v/>
      </c>
      <c r="S1297" s="20">
        <f>IF(OR(A1297="",B1297=""),0,IF(AND(R1297=التقارير!$C$4,OR(التقارير!$C$5="سنوي",AND(التقارير!$C$5="شهري",P1297=التقارير!$C$6),AND(التقارير!$C$5="فصلي",Q1297=التقارير!$C$7))),1,0))</f>
        <v/>
      </c>
      <c r="T1297" s="20">
        <f>IF(S1297=1,COUNTIF($S$5:S1297,1),"")</f>
        <v/>
      </c>
      <c r="U1297">
        <f>IF(AND($A1297&lt;&gt;"",$B1297&lt;&gt;"",$R1297='تقرير الفصل الأول'!$C$4,$Q1297='تقرير الفصل الأول'!$C$7),COUNT(U$4:U1296)+1,"")</f>
        <v/>
      </c>
      <c r="V1297">
        <f>IF(AND($A1297&lt;&gt;"",$B1297&lt;&gt;"",$R1297='تقرير الفصل الثاني'!$C$4,$Q1297='تقرير الفصل الثاني'!$C$7),COUNT(V$4:V1296)+1,"")</f>
        <v/>
      </c>
      <c r="W1297">
        <f>IF(AND($A1297&lt;&gt;"",$B1297&lt;&gt;"",$R1297='تقرير سبتمبر'!$C$4,$P1297='تقرير سبتمبر'!$C$6),COUNT(W$4:W1296)+1,"")</f>
        <v/>
      </c>
      <c r="X1297">
        <f>IF(AND($A1297&lt;&gt;"",$B1297&lt;&gt;"",$R1297='تقرير أكتوبر'!$C$4,$P1297='تقرير أكتوبر'!$C$6),COUNT(X$4:X1296)+1,"")</f>
        <v/>
      </c>
      <c r="Y1297">
        <f>IF(AND($A1297&lt;&gt;"",$B1297&lt;&gt;"",$R1297='تقرير نوفمبر'!$C$4,$P1297='تقرير نوفمبر'!$C$6),COUNT(Y$4:Y1296)+1,"")</f>
        <v/>
      </c>
      <c r="Z1297">
        <f>IF(AND($A1297&lt;&gt;"",$B1297&lt;&gt;"",$R1297='تقرير ديسمبر'!$C$4,$P1297='تقرير ديسمبر'!$C$6),COUNT(Z$4:Z1296)+1,"")</f>
        <v/>
      </c>
      <c r="AA1297">
        <f>IF(AND($A1297&lt;&gt;"",$B1297&lt;&gt;"",$R1297='تقرير يناير'!$C$4,$P1297='تقرير يناير'!$C$6),COUNT(AA$4:AA1296)+1,"")</f>
        <v/>
      </c>
      <c r="AB1297">
        <f>IF(AND($A1297&lt;&gt;"",$B1297&lt;&gt;"",$R1297='تقرير فبراير'!$C$4,$P1297='تقرير فبراير'!$C$6),COUNT(AB$4:AB1296)+1,"")</f>
        <v/>
      </c>
      <c r="AC1297">
        <f>IF(AND($A1297&lt;&gt;"",$B1297&lt;&gt;"",$R1297='تقرير مارس'!$C$4,$P1297='تقرير مارس'!$C$6),COUNT(AC$4:AC1296)+1,"")</f>
        <v/>
      </c>
      <c r="AD1297">
        <f>IF(AND($A1297&lt;&gt;"",$B1297&lt;&gt;"",$R1297='تقرير أبريل'!$C$4,$P1297='تقرير أبريل'!$C$6),COUNT(AD$4:AD1296)+1,"")</f>
        <v/>
      </c>
      <c r="AE1297">
        <f>IF(AND($A1297&lt;&gt;"",$B1297&lt;&gt;"",$R1297='تقرير مايو'!$C$4,$P1297='تقرير مايو'!$C$6),COUNT(AE$4:AE1296)+1,"")</f>
        <v/>
      </c>
    </row>
    <row r="1298">
      <c r="A1298" s="16" t="n"/>
      <c r="B1298" s="17" t="n"/>
      <c r="C1298" s="17" t="n"/>
      <c r="D1298" s="18" t="n"/>
      <c r="E1298" s="17" t="n"/>
      <c r="F1298" s="17" t="n"/>
      <c r="G1298" s="19" t="n"/>
      <c r="H1298" s="17" t="n"/>
      <c r="I1298" s="17" t="n"/>
      <c r="J1298" s="17" t="n"/>
      <c r="K1298" s="20">
        <f>IF($B1298="","",IFERROR(INDEX(الموظفات!$A$5:$A$304,MATCH($B1298,الموظفات!$B$5:$B$304,0))&amp;"",""))</f>
        <v/>
      </c>
      <c r="L1298" s="21">
        <f>IF($B1298="","",IFERROR(INDEX(الموظفات!$C$5:$C$304,MATCH($B1298,الموظفات!$B$5:$B$304,0))&amp;"",""))</f>
        <v/>
      </c>
      <c r="M1298" s="20">
        <f>IF($B1298="","",IFERROR(INDEX(الموظفات!$D$5:$D$304,MATCH($B1298,الموظفات!$B$5:$B$304,0))&amp;"",""))</f>
        <v/>
      </c>
      <c r="N1298" s="20">
        <f>IF($B1298="","",IFERROR(INDEX(الموظفات!$E$5:$E$304,MATCH($B1298,الموظفات!$B$5:$B$304,0))&amp;"",""))</f>
        <v/>
      </c>
      <c r="O1298" s="21">
        <f>IF(C1298="","",IFERROR(INDEX(الإعدادات!$D$7:$D$35,MATCH(C1298,الإعدادات!$A$7:$A$35,0))&amp;"",""))</f>
        <v/>
      </c>
      <c r="P1298" s="20">
        <f>IF(A1298="","",INDEX(الإعدادات!$H$7:$H$18,MONTH(A1298)))</f>
        <v/>
      </c>
      <c r="Q1298" s="20">
        <f>IF(A1298="","",INDEX(الإعدادات!$I$7:$I$18,MONTH(A1298)))</f>
        <v/>
      </c>
      <c r="R1298" s="20">
        <f>IF(A1298="","",IF(MONTH(A1298)&gt;=8,YEAR(A1298)&amp;"-"&amp;(YEAR(A1298)+1),(YEAR(A1298)-1)&amp;"-"&amp;YEAR(A1298)))</f>
        <v/>
      </c>
      <c r="S1298" s="20">
        <f>IF(OR(A1298="",B1298=""),0,IF(AND(R1298=التقارير!$C$4,OR(التقارير!$C$5="سنوي",AND(التقارير!$C$5="شهري",P1298=التقارير!$C$6),AND(التقارير!$C$5="فصلي",Q1298=التقارير!$C$7))),1,0))</f>
        <v/>
      </c>
      <c r="T1298" s="20">
        <f>IF(S1298=1,COUNTIF($S$5:S1298,1),"")</f>
        <v/>
      </c>
      <c r="U1298">
        <f>IF(AND($A1298&lt;&gt;"",$B1298&lt;&gt;"",$R1298='تقرير الفصل الأول'!$C$4,$Q1298='تقرير الفصل الأول'!$C$7),COUNT(U$4:U1297)+1,"")</f>
        <v/>
      </c>
      <c r="V1298">
        <f>IF(AND($A1298&lt;&gt;"",$B1298&lt;&gt;"",$R1298='تقرير الفصل الثاني'!$C$4,$Q1298='تقرير الفصل الثاني'!$C$7),COUNT(V$4:V1297)+1,"")</f>
        <v/>
      </c>
      <c r="W1298">
        <f>IF(AND($A1298&lt;&gt;"",$B1298&lt;&gt;"",$R1298='تقرير سبتمبر'!$C$4,$P1298='تقرير سبتمبر'!$C$6),COUNT(W$4:W1297)+1,"")</f>
        <v/>
      </c>
      <c r="X1298">
        <f>IF(AND($A1298&lt;&gt;"",$B1298&lt;&gt;"",$R1298='تقرير أكتوبر'!$C$4,$P1298='تقرير أكتوبر'!$C$6),COUNT(X$4:X1297)+1,"")</f>
        <v/>
      </c>
      <c r="Y1298">
        <f>IF(AND($A1298&lt;&gt;"",$B1298&lt;&gt;"",$R1298='تقرير نوفمبر'!$C$4,$P1298='تقرير نوفمبر'!$C$6),COUNT(Y$4:Y1297)+1,"")</f>
        <v/>
      </c>
      <c r="Z1298">
        <f>IF(AND($A1298&lt;&gt;"",$B1298&lt;&gt;"",$R1298='تقرير ديسمبر'!$C$4,$P1298='تقرير ديسمبر'!$C$6),COUNT(Z$4:Z1297)+1,"")</f>
        <v/>
      </c>
      <c r="AA1298">
        <f>IF(AND($A1298&lt;&gt;"",$B1298&lt;&gt;"",$R1298='تقرير يناير'!$C$4,$P1298='تقرير يناير'!$C$6),COUNT(AA$4:AA1297)+1,"")</f>
        <v/>
      </c>
      <c r="AB1298">
        <f>IF(AND($A1298&lt;&gt;"",$B1298&lt;&gt;"",$R1298='تقرير فبراير'!$C$4,$P1298='تقرير فبراير'!$C$6),COUNT(AB$4:AB1297)+1,"")</f>
        <v/>
      </c>
      <c r="AC1298">
        <f>IF(AND($A1298&lt;&gt;"",$B1298&lt;&gt;"",$R1298='تقرير مارس'!$C$4,$P1298='تقرير مارس'!$C$6),COUNT(AC$4:AC1297)+1,"")</f>
        <v/>
      </c>
      <c r="AD1298">
        <f>IF(AND($A1298&lt;&gt;"",$B1298&lt;&gt;"",$R1298='تقرير أبريل'!$C$4,$P1298='تقرير أبريل'!$C$6),COUNT(AD$4:AD1297)+1,"")</f>
        <v/>
      </c>
      <c r="AE1298">
        <f>IF(AND($A1298&lt;&gt;"",$B1298&lt;&gt;"",$R1298='تقرير مايو'!$C$4,$P1298='تقرير مايو'!$C$6),COUNT(AE$4:AE1297)+1,"")</f>
        <v/>
      </c>
    </row>
    <row r="1299">
      <c r="A1299" s="16" t="n"/>
      <c r="B1299" s="17" t="n"/>
      <c r="C1299" s="17" t="n"/>
      <c r="D1299" s="18" t="n"/>
      <c r="E1299" s="17" t="n"/>
      <c r="F1299" s="17" t="n"/>
      <c r="G1299" s="19" t="n"/>
      <c r="H1299" s="17" t="n"/>
      <c r="I1299" s="17" t="n"/>
      <c r="J1299" s="17" t="n"/>
      <c r="K1299" s="20">
        <f>IF($B1299="","",IFERROR(INDEX(الموظفات!$A$5:$A$304,MATCH($B1299,الموظفات!$B$5:$B$304,0))&amp;"",""))</f>
        <v/>
      </c>
      <c r="L1299" s="21">
        <f>IF($B1299="","",IFERROR(INDEX(الموظفات!$C$5:$C$304,MATCH($B1299,الموظفات!$B$5:$B$304,0))&amp;"",""))</f>
        <v/>
      </c>
      <c r="M1299" s="20">
        <f>IF($B1299="","",IFERROR(INDEX(الموظفات!$D$5:$D$304,MATCH($B1299,الموظفات!$B$5:$B$304,0))&amp;"",""))</f>
        <v/>
      </c>
      <c r="N1299" s="20">
        <f>IF($B1299="","",IFERROR(INDEX(الموظفات!$E$5:$E$304,MATCH($B1299,الموظفات!$B$5:$B$304,0))&amp;"",""))</f>
        <v/>
      </c>
      <c r="O1299" s="21">
        <f>IF(C1299="","",IFERROR(INDEX(الإعدادات!$D$7:$D$35,MATCH(C1299,الإعدادات!$A$7:$A$35,0))&amp;"",""))</f>
        <v/>
      </c>
      <c r="P1299" s="20">
        <f>IF(A1299="","",INDEX(الإعدادات!$H$7:$H$18,MONTH(A1299)))</f>
        <v/>
      </c>
      <c r="Q1299" s="20">
        <f>IF(A1299="","",INDEX(الإعدادات!$I$7:$I$18,MONTH(A1299)))</f>
        <v/>
      </c>
      <c r="R1299" s="20">
        <f>IF(A1299="","",IF(MONTH(A1299)&gt;=8,YEAR(A1299)&amp;"-"&amp;(YEAR(A1299)+1),(YEAR(A1299)-1)&amp;"-"&amp;YEAR(A1299)))</f>
        <v/>
      </c>
      <c r="S1299" s="20">
        <f>IF(OR(A1299="",B1299=""),0,IF(AND(R1299=التقارير!$C$4,OR(التقارير!$C$5="سنوي",AND(التقارير!$C$5="شهري",P1299=التقارير!$C$6),AND(التقارير!$C$5="فصلي",Q1299=التقارير!$C$7))),1,0))</f>
        <v/>
      </c>
      <c r="T1299" s="20">
        <f>IF(S1299=1,COUNTIF($S$5:S1299,1),"")</f>
        <v/>
      </c>
      <c r="U1299">
        <f>IF(AND($A1299&lt;&gt;"",$B1299&lt;&gt;"",$R1299='تقرير الفصل الأول'!$C$4,$Q1299='تقرير الفصل الأول'!$C$7),COUNT(U$4:U1298)+1,"")</f>
        <v/>
      </c>
      <c r="V1299">
        <f>IF(AND($A1299&lt;&gt;"",$B1299&lt;&gt;"",$R1299='تقرير الفصل الثاني'!$C$4,$Q1299='تقرير الفصل الثاني'!$C$7),COUNT(V$4:V1298)+1,"")</f>
        <v/>
      </c>
      <c r="W1299">
        <f>IF(AND($A1299&lt;&gt;"",$B1299&lt;&gt;"",$R1299='تقرير سبتمبر'!$C$4,$P1299='تقرير سبتمبر'!$C$6),COUNT(W$4:W1298)+1,"")</f>
        <v/>
      </c>
      <c r="X1299">
        <f>IF(AND($A1299&lt;&gt;"",$B1299&lt;&gt;"",$R1299='تقرير أكتوبر'!$C$4,$P1299='تقرير أكتوبر'!$C$6),COUNT(X$4:X1298)+1,"")</f>
        <v/>
      </c>
      <c r="Y1299">
        <f>IF(AND($A1299&lt;&gt;"",$B1299&lt;&gt;"",$R1299='تقرير نوفمبر'!$C$4,$P1299='تقرير نوفمبر'!$C$6),COUNT(Y$4:Y1298)+1,"")</f>
        <v/>
      </c>
      <c r="Z1299">
        <f>IF(AND($A1299&lt;&gt;"",$B1299&lt;&gt;"",$R1299='تقرير ديسمبر'!$C$4,$P1299='تقرير ديسمبر'!$C$6),COUNT(Z$4:Z1298)+1,"")</f>
        <v/>
      </c>
      <c r="AA1299">
        <f>IF(AND($A1299&lt;&gt;"",$B1299&lt;&gt;"",$R1299='تقرير يناير'!$C$4,$P1299='تقرير يناير'!$C$6),COUNT(AA$4:AA1298)+1,"")</f>
        <v/>
      </c>
      <c r="AB1299">
        <f>IF(AND($A1299&lt;&gt;"",$B1299&lt;&gt;"",$R1299='تقرير فبراير'!$C$4,$P1299='تقرير فبراير'!$C$6),COUNT(AB$4:AB1298)+1,"")</f>
        <v/>
      </c>
      <c r="AC1299">
        <f>IF(AND($A1299&lt;&gt;"",$B1299&lt;&gt;"",$R1299='تقرير مارس'!$C$4,$P1299='تقرير مارس'!$C$6),COUNT(AC$4:AC1298)+1,"")</f>
        <v/>
      </c>
      <c r="AD1299">
        <f>IF(AND($A1299&lt;&gt;"",$B1299&lt;&gt;"",$R1299='تقرير أبريل'!$C$4,$P1299='تقرير أبريل'!$C$6),COUNT(AD$4:AD1298)+1,"")</f>
        <v/>
      </c>
      <c r="AE1299">
        <f>IF(AND($A1299&lt;&gt;"",$B1299&lt;&gt;"",$R1299='تقرير مايو'!$C$4,$P1299='تقرير مايو'!$C$6),COUNT(AE$4:AE1298)+1,"")</f>
        <v/>
      </c>
    </row>
    <row r="1300">
      <c r="A1300" s="16" t="n"/>
      <c r="B1300" s="17" t="n"/>
      <c r="C1300" s="17" t="n"/>
      <c r="D1300" s="18" t="n"/>
      <c r="E1300" s="17" t="n"/>
      <c r="F1300" s="17" t="n"/>
      <c r="G1300" s="19" t="n"/>
      <c r="H1300" s="17" t="n"/>
      <c r="I1300" s="17" t="n"/>
      <c r="J1300" s="17" t="n"/>
      <c r="K1300" s="20">
        <f>IF($B1300="","",IFERROR(INDEX(الموظفات!$A$5:$A$304,MATCH($B1300,الموظفات!$B$5:$B$304,0))&amp;"",""))</f>
        <v/>
      </c>
      <c r="L1300" s="21">
        <f>IF($B1300="","",IFERROR(INDEX(الموظفات!$C$5:$C$304,MATCH($B1300,الموظفات!$B$5:$B$304,0))&amp;"",""))</f>
        <v/>
      </c>
      <c r="M1300" s="20">
        <f>IF($B1300="","",IFERROR(INDEX(الموظفات!$D$5:$D$304,MATCH($B1300,الموظفات!$B$5:$B$304,0))&amp;"",""))</f>
        <v/>
      </c>
      <c r="N1300" s="20">
        <f>IF($B1300="","",IFERROR(INDEX(الموظفات!$E$5:$E$304,MATCH($B1300,الموظفات!$B$5:$B$304,0))&amp;"",""))</f>
        <v/>
      </c>
      <c r="O1300" s="21">
        <f>IF(C1300="","",IFERROR(INDEX(الإعدادات!$D$7:$D$35,MATCH(C1300,الإعدادات!$A$7:$A$35,0))&amp;"",""))</f>
        <v/>
      </c>
      <c r="P1300" s="20">
        <f>IF(A1300="","",INDEX(الإعدادات!$H$7:$H$18,MONTH(A1300)))</f>
        <v/>
      </c>
      <c r="Q1300" s="20">
        <f>IF(A1300="","",INDEX(الإعدادات!$I$7:$I$18,MONTH(A1300)))</f>
        <v/>
      </c>
      <c r="R1300" s="20">
        <f>IF(A1300="","",IF(MONTH(A1300)&gt;=8,YEAR(A1300)&amp;"-"&amp;(YEAR(A1300)+1),(YEAR(A1300)-1)&amp;"-"&amp;YEAR(A1300)))</f>
        <v/>
      </c>
      <c r="S1300" s="20">
        <f>IF(OR(A1300="",B1300=""),0,IF(AND(R1300=التقارير!$C$4,OR(التقارير!$C$5="سنوي",AND(التقارير!$C$5="شهري",P1300=التقارير!$C$6),AND(التقارير!$C$5="فصلي",Q1300=التقارير!$C$7))),1,0))</f>
        <v/>
      </c>
      <c r="T1300" s="20">
        <f>IF(S1300=1,COUNTIF($S$5:S1300,1),"")</f>
        <v/>
      </c>
      <c r="U1300">
        <f>IF(AND($A1300&lt;&gt;"",$B1300&lt;&gt;"",$R1300='تقرير الفصل الأول'!$C$4,$Q1300='تقرير الفصل الأول'!$C$7),COUNT(U$4:U1299)+1,"")</f>
        <v/>
      </c>
      <c r="V1300">
        <f>IF(AND($A1300&lt;&gt;"",$B1300&lt;&gt;"",$R1300='تقرير الفصل الثاني'!$C$4,$Q1300='تقرير الفصل الثاني'!$C$7),COUNT(V$4:V1299)+1,"")</f>
        <v/>
      </c>
      <c r="W1300">
        <f>IF(AND($A1300&lt;&gt;"",$B1300&lt;&gt;"",$R1300='تقرير سبتمبر'!$C$4,$P1300='تقرير سبتمبر'!$C$6),COUNT(W$4:W1299)+1,"")</f>
        <v/>
      </c>
      <c r="X1300">
        <f>IF(AND($A1300&lt;&gt;"",$B1300&lt;&gt;"",$R1300='تقرير أكتوبر'!$C$4,$P1300='تقرير أكتوبر'!$C$6),COUNT(X$4:X1299)+1,"")</f>
        <v/>
      </c>
      <c r="Y1300">
        <f>IF(AND($A1300&lt;&gt;"",$B1300&lt;&gt;"",$R1300='تقرير نوفمبر'!$C$4,$P1300='تقرير نوفمبر'!$C$6),COUNT(Y$4:Y1299)+1,"")</f>
        <v/>
      </c>
      <c r="Z1300">
        <f>IF(AND($A1300&lt;&gt;"",$B1300&lt;&gt;"",$R1300='تقرير ديسمبر'!$C$4,$P1300='تقرير ديسمبر'!$C$6),COUNT(Z$4:Z1299)+1,"")</f>
        <v/>
      </c>
      <c r="AA1300">
        <f>IF(AND($A1300&lt;&gt;"",$B1300&lt;&gt;"",$R1300='تقرير يناير'!$C$4,$P1300='تقرير يناير'!$C$6),COUNT(AA$4:AA1299)+1,"")</f>
        <v/>
      </c>
      <c r="AB1300">
        <f>IF(AND($A1300&lt;&gt;"",$B1300&lt;&gt;"",$R1300='تقرير فبراير'!$C$4,$P1300='تقرير فبراير'!$C$6),COUNT(AB$4:AB1299)+1,"")</f>
        <v/>
      </c>
      <c r="AC1300">
        <f>IF(AND($A1300&lt;&gt;"",$B1300&lt;&gt;"",$R1300='تقرير مارس'!$C$4,$P1300='تقرير مارس'!$C$6),COUNT(AC$4:AC1299)+1,"")</f>
        <v/>
      </c>
      <c r="AD1300">
        <f>IF(AND($A1300&lt;&gt;"",$B1300&lt;&gt;"",$R1300='تقرير أبريل'!$C$4,$P1300='تقرير أبريل'!$C$6),COUNT(AD$4:AD1299)+1,"")</f>
        <v/>
      </c>
      <c r="AE1300">
        <f>IF(AND($A1300&lt;&gt;"",$B1300&lt;&gt;"",$R1300='تقرير مايو'!$C$4,$P1300='تقرير مايو'!$C$6),COUNT(AE$4:AE1299)+1,"")</f>
        <v/>
      </c>
    </row>
    <row r="1301">
      <c r="A1301" s="16" t="n"/>
      <c r="B1301" s="17" t="n"/>
      <c r="C1301" s="17" t="n"/>
      <c r="D1301" s="18" t="n"/>
      <c r="E1301" s="17" t="n"/>
      <c r="F1301" s="17" t="n"/>
      <c r="G1301" s="19" t="n"/>
      <c r="H1301" s="17" t="n"/>
      <c r="I1301" s="17" t="n"/>
      <c r="J1301" s="17" t="n"/>
      <c r="K1301" s="20">
        <f>IF($B1301="","",IFERROR(INDEX(الموظفات!$A$5:$A$304,MATCH($B1301,الموظفات!$B$5:$B$304,0))&amp;"",""))</f>
        <v/>
      </c>
      <c r="L1301" s="21">
        <f>IF($B1301="","",IFERROR(INDEX(الموظفات!$C$5:$C$304,MATCH($B1301,الموظفات!$B$5:$B$304,0))&amp;"",""))</f>
        <v/>
      </c>
      <c r="M1301" s="20">
        <f>IF($B1301="","",IFERROR(INDEX(الموظفات!$D$5:$D$304,MATCH($B1301,الموظفات!$B$5:$B$304,0))&amp;"",""))</f>
        <v/>
      </c>
      <c r="N1301" s="20">
        <f>IF($B1301="","",IFERROR(INDEX(الموظفات!$E$5:$E$304,MATCH($B1301,الموظفات!$B$5:$B$304,0))&amp;"",""))</f>
        <v/>
      </c>
      <c r="O1301" s="21">
        <f>IF(C1301="","",IFERROR(INDEX(الإعدادات!$D$7:$D$35,MATCH(C1301,الإعدادات!$A$7:$A$35,0))&amp;"",""))</f>
        <v/>
      </c>
      <c r="P1301" s="20">
        <f>IF(A1301="","",INDEX(الإعدادات!$H$7:$H$18,MONTH(A1301)))</f>
        <v/>
      </c>
      <c r="Q1301" s="20">
        <f>IF(A1301="","",INDEX(الإعدادات!$I$7:$I$18,MONTH(A1301)))</f>
        <v/>
      </c>
      <c r="R1301" s="20">
        <f>IF(A1301="","",IF(MONTH(A1301)&gt;=8,YEAR(A1301)&amp;"-"&amp;(YEAR(A1301)+1),(YEAR(A1301)-1)&amp;"-"&amp;YEAR(A1301)))</f>
        <v/>
      </c>
      <c r="S1301" s="20">
        <f>IF(OR(A1301="",B1301=""),0,IF(AND(R1301=التقارير!$C$4,OR(التقارير!$C$5="سنوي",AND(التقارير!$C$5="شهري",P1301=التقارير!$C$6),AND(التقارير!$C$5="فصلي",Q1301=التقارير!$C$7))),1,0))</f>
        <v/>
      </c>
      <c r="T1301" s="20">
        <f>IF(S1301=1,COUNTIF($S$5:S1301,1),"")</f>
        <v/>
      </c>
      <c r="U1301">
        <f>IF(AND($A1301&lt;&gt;"",$B1301&lt;&gt;"",$R1301='تقرير الفصل الأول'!$C$4,$Q1301='تقرير الفصل الأول'!$C$7),COUNT(U$4:U1300)+1,"")</f>
        <v/>
      </c>
      <c r="V1301">
        <f>IF(AND($A1301&lt;&gt;"",$B1301&lt;&gt;"",$R1301='تقرير الفصل الثاني'!$C$4,$Q1301='تقرير الفصل الثاني'!$C$7),COUNT(V$4:V1300)+1,"")</f>
        <v/>
      </c>
      <c r="W1301">
        <f>IF(AND($A1301&lt;&gt;"",$B1301&lt;&gt;"",$R1301='تقرير سبتمبر'!$C$4,$P1301='تقرير سبتمبر'!$C$6),COUNT(W$4:W1300)+1,"")</f>
        <v/>
      </c>
      <c r="X1301">
        <f>IF(AND($A1301&lt;&gt;"",$B1301&lt;&gt;"",$R1301='تقرير أكتوبر'!$C$4,$P1301='تقرير أكتوبر'!$C$6),COUNT(X$4:X1300)+1,"")</f>
        <v/>
      </c>
      <c r="Y1301">
        <f>IF(AND($A1301&lt;&gt;"",$B1301&lt;&gt;"",$R1301='تقرير نوفمبر'!$C$4,$P1301='تقرير نوفمبر'!$C$6),COUNT(Y$4:Y1300)+1,"")</f>
        <v/>
      </c>
      <c r="Z1301">
        <f>IF(AND($A1301&lt;&gt;"",$B1301&lt;&gt;"",$R1301='تقرير ديسمبر'!$C$4,$P1301='تقرير ديسمبر'!$C$6),COUNT(Z$4:Z1300)+1,"")</f>
        <v/>
      </c>
      <c r="AA1301">
        <f>IF(AND($A1301&lt;&gt;"",$B1301&lt;&gt;"",$R1301='تقرير يناير'!$C$4,$P1301='تقرير يناير'!$C$6),COUNT(AA$4:AA1300)+1,"")</f>
        <v/>
      </c>
      <c r="AB1301">
        <f>IF(AND($A1301&lt;&gt;"",$B1301&lt;&gt;"",$R1301='تقرير فبراير'!$C$4,$P1301='تقرير فبراير'!$C$6),COUNT(AB$4:AB1300)+1,"")</f>
        <v/>
      </c>
      <c r="AC1301">
        <f>IF(AND($A1301&lt;&gt;"",$B1301&lt;&gt;"",$R1301='تقرير مارس'!$C$4,$P1301='تقرير مارس'!$C$6),COUNT(AC$4:AC1300)+1,"")</f>
        <v/>
      </c>
      <c r="AD1301">
        <f>IF(AND($A1301&lt;&gt;"",$B1301&lt;&gt;"",$R1301='تقرير أبريل'!$C$4,$P1301='تقرير أبريل'!$C$6),COUNT(AD$4:AD1300)+1,"")</f>
        <v/>
      </c>
      <c r="AE1301">
        <f>IF(AND($A1301&lt;&gt;"",$B1301&lt;&gt;"",$R1301='تقرير مايو'!$C$4,$P1301='تقرير مايو'!$C$6),COUNT(AE$4:AE1300)+1,"")</f>
        <v/>
      </c>
    </row>
    <row r="1302">
      <c r="A1302" s="16" t="n"/>
      <c r="B1302" s="17" t="n"/>
      <c r="C1302" s="17" t="n"/>
      <c r="D1302" s="18" t="n"/>
      <c r="E1302" s="17" t="n"/>
      <c r="F1302" s="17" t="n"/>
      <c r="G1302" s="19" t="n"/>
      <c r="H1302" s="17" t="n"/>
      <c r="I1302" s="17" t="n"/>
      <c r="J1302" s="17" t="n"/>
      <c r="K1302" s="20">
        <f>IF($B1302="","",IFERROR(INDEX(الموظفات!$A$5:$A$304,MATCH($B1302,الموظفات!$B$5:$B$304,0))&amp;"",""))</f>
        <v/>
      </c>
      <c r="L1302" s="21">
        <f>IF($B1302="","",IFERROR(INDEX(الموظفات!$C$5:$C$304,MATCH($B1302,الموظفات!$B$5:$B$304,0))&amp;"",""))</f>
        <v/>
      </c>
      <c r="M1302" s="20">
        <f>IF($B1302="","",IFERROR(INDEX(الموظفات!$D$5:$D$304,MATCH($B1302,الموظفات!$B$5:$B$304,0))&amp;"",""))</f>
        <v/>
      </c>
      <c r="N1302" s="20">
        <f>IF($B1302="","",IFERROR(INDEX(الموظفات!$E$5:$E$304,MATCH($B1302,الموظفات!$B$5:$B$304,0))&amp;"",""))</f>
        <v/>
      </c>
      <c r="O1302" s="21">
        <f>IF(C1302="","",IFERROR(INDEX(الإعدادات!$D$7:$D$35,MATCH(C1302,الإعدادات!$A$7:$A$35,0))&amp;"",""))</f>
        <v/>
      </c>
      <c r="P1302" s="20">
        <f>IF(A1302="","",INDEX(الإعدادات!$H$7:$H$18,MONTH(A1302)))</f>
        <v/>
      </c>
      <c r="Q1302" s="20">
        <f>IF(A1302="","",INDEX(الإعدادات!$I$7:$I$18,MONTH(A1302)))</f>
        <v/>
      </c>
      <c r="R1302" s="20">
        <f>IF(A1302="","",IF(MONTH(A1302)&gt;=8,YEAR(A1302)&amp;"-"&amp;(YEAR(A1302)+1),(YEAR(A1302)-1)&amp;"-"&amp;YEAR(A1302)))</f>
        <v/>
      </c>
      <c r="S1302" s="20">
        <f>IF(OR(A1302="",B1302=""),0,IF(AND(R1302=التقارير!$C$4,OR(التقارير!$C$5="سنوي",AND(التقارير!$C$5="شهري",P1302=التقارير!$C$6),AND(التقارير!$C$5="فصلي",Q1302=التقارير!$C$7))),1,0))</f>
        <v/>
      </c>
      <c r="T1302" s="20">
        <f>IF(S1302=1,COUNTIF($S$5:S1302,1),"")</f>
        <v/>
      </c>
      <c r="U1302">
        <f>IF(AND($A1302&lt;&gt;"",$B1302&lt;&gt;"",$R1302='تقرير الفصل الأول'!$C$4,$Q1302='تقرير الفصل الأول'!$C$7),COUNT(U$4:U1301)+1,"")</f>
        <v/>
      </c>
      <c r="V1302">
        <f>IF(AND($A1302&lt;&gt;"",$B1302&lt;&gt;"",$R1302='تقرير الفصل الثاني'!$C$4,$Q1302='تقرير الفصل الثاني'!$C$7),COUNT(V$4:V1301)+1,"")</f>
        <v/>
      </c>
      <c r="W1302">
        <f>IF(AND($A1302&lt;&gt;"",$B1302&lt;&gt;"",$R1302='تقرير سبتمبر'!$C$4,$P1302='تقرير سبتمبر'!$C$6),COUNT(W$4:W1301)+1,"")</f>
        <v/>
      </c>
      <c r="X1302">
        <f>IF(AND($A1302&lt;&gt;"",$B1302&lt;&gt;"",$R1302='تقرير أكتوبر'!$C$4,$P1302='تقرير أكتوبر'!$C$6),COUNT(X$4:X1301)+1,"")</f>
        <v/>
      </c>
      <c r="Y1302">
        <f>IF(AND($A1302&lt;&gt;"",$B1302&lt;&gt;"",$R1302='تقرير نوفمبر'!$C$4,$P1302='تقرير نوفمبر'!$C$6),COUNT(Y$4:Y1301)+1,"")</f>
        <v/>
      </c>
      <c r="Z1302">
        <f>IF(AND($A1302&lt;&gt;"",$B1302&lt;&gt;"",$R1302='تقرير ديسمبر'!$C$4,$P1302='تقرير ديسمبر'!$C$6),COUNT(Z$4:Z1301)+1,"")</f>
        <v/>
      </c>
      <c r="AA1302">
        <f>IF(AND($A1302&lt;&gt;"",$B1302&lt;&gt;"",$R1302='تقرير يناير'!$C$4,$P1302='تقرير يناير'!$C$6),COUNT(AA$4:AA1301)+1,"")</f>
        <v/>
      </c>
      <c r="AB1302">
        <f>IF(AND($A1302&lt;&gt;"",$B1302&lt;&gt;"",$R1302='تقرير فبراير'!$C$4,$P1302='تقرير فبراير'!$C$6),COUNT(AB$4:AB1301)+1,"")</f>
        <v/>
      </c>
      <c r="AC1302">
        <f>IF(AND($A1302&lt;&gt;"",$B1302&lt;&gt;"",$R1302='تقرير مارس'!$C$4,$P1302='تقرير مارس'!$C$6),COUNT(AC$4:AC1301)+1,"")</f>
        <v/>
      </c>
      <c r="AD1302">
        <f>IF(AND($A1302&lt;&gt;"",$B1302&lt;&gt;"",$R1302='تقرير أبريل'!$C$4,$P1302='تقرير أبريل'!$C$6),COUNT(AD$4:AD1301)+1,"")</f>
        <v/>
      </c>
      <c r="AE1302">
        <f>IF(AND($A1302&lt;&gt;"",$B1302&lt;&gt;"",$R1302='تقرير مايو'!$C$4,$P1302='تقرير مايو'!$C$6),COUNT(AE$4:AE1301)+1,"")</f>
        <v/>
      </c>
    </row>
    <row r="1303">
      <c r="A1303" s="16" t="n"/>
      <c r="B1303" s="17" t="n"/>
      <c r="C1303" s="17" t="n"/>
      <c r="D1303" s="18" t="n"/>
      <c r="E1303" s="17" t="n"/>
      <c r="F1303" s="17" t="n"/>
      <c r="G1303" s="19" t="n"/>
      <c r="H1303" s="17" t="n"/>
      <c r="I1303" s="17" t="n"/>
      <c r="J1303" s="17" t="n"/>
      <c r="K1303" s="20">
        <f>IF($B1303="","",IFERROR(INDEX(الموظفات!$A$5:$A$304,MATCH($B1303,الموظفات!$B$5:$B$304,0))&amp;"",""))</f>
        <v/>
      </c>
      <c r="L1303" s="21">
        <f>IF($B1303="","",IFERROR(INDEX(الموظفات!$C$5:$C$304,MATCH($B1303,الموظفات!$B$5:$B$304,0))&amp;"",""))</f>
        <v/>
      </c>
      <c r="M1303" s="20">
        <f>IF($B1303="","",IFERROR(INDEX(الموظفات!$D$5:$D$304,MATCH($B1303,الموظفات!$B$5:$B$304,0))&amp;"",""))</f>
        <v/>
      </c>
      <c r="N1303" s="20">
        <f>IF($B1303="","",IFERROR(INDEX(الموظفات!$E$5:$E$304,MATCH($B1303,الموظفات!$B$5:$B$304,0))&amp;"",""))</f>
        <v/>
      </c>
      <c r="O1303" s="21">
        <f>IF(C1303="","",IFERROR(INDEX(الإعدادات!$D$7:$D$35,MATCH(C1303,الإعدادات!$A$7:$A$35,0))&amp;"",""))</f>
        <v/>
      </c>
      <c r="P1303" s="20">
        <f>IF(A1303="","",INDEX(الإعدادات!$H$7:$H$18,MONTH(A1303)))</f>
        <v/>
      </c>
      <c r="Q1303" s="20">
        <f>IF(A1303="","",INDEX(الإعدادات!$I$7:$I$18,MONTH(A1303)))</f>
        <v/>
      </c>
      <c r="R1303" s="20">
        <f>IF(A1303="","",IF(MONTH(A1303)&gt;=8,YEAR(A1303)&amp;"-"&amp;(YEAR(A1303)+1),(YEAR(A1303)-1)&amp;"-"&amp;YEAR(A1303)))</f>
        <v/>
      </c>
      <c r="S1303" s="20">
        <f>IF(OR(A1303="",B1303=""),0,IF(AND(R1303=التقارير!$C$4,OR(التقارير!$C$5="سنوي",AND(التقارير!$C$5="شهري",P1303=التقارير!$C$6),AND(التقارير!$C$5="فصلي",Q1303=التقارير!$C$7))),1,0))</f>
        <v/>
      </c>
      <c r="T1303" s="20">
        <f>IF(S1303=1,COUNTIF($S$5:S1303,1),"")</f>
        <v/>
      </c>
      <c r="U1303">
        <f>IF(AND($A1303&lt;&gt;"",$B1303&lt;&gt;"",$R1303='تقرير الفصل الأول'!$C$4,$Q1303='تقرير الفصل الأول'!$C$7),COUNT(U$4:U1302)+1,"")</f>
        <v/>
      </c>
      <c r="V1303">
        <f>IF(AND($A1303&lt;&gt;"",$B1303&lt;&gt;"",$R1303='تقرير الفصل الثاني'!$C$4,$Q1303='تقرير الفصل الثاني'!$C$7),COUNT(V$4:V1302)+1,"")</f>
        <v/>
      </c>
      <c r="W1303">
        <f>IF(AND($A1303&lt;&gt;"",$B1303&lt;&gt;"",$R1303='تقرير سبتمبر'!$C$4,$P1303='تقرير سبتمبر'!$C$6),COUNT(W$4:W1302)+1,"")</f>
        <v/>
      </c>
      <c r="X1303">
        <f>IF(AND($A1303&lt;&gt;"",$B1303&lt;&gt;"",$R1303='تقرير أكتوبر'!$C$4,$P1303='تقرير أكتوبر'!$C$6),COUNT(X$4:X1302)+1,"")</f>
        <v/>
      </c>
      <c r="Y1303">
        <f>IF(AND($A1303&lt;&gt;"",$B1303&lt;&gt;"",$R1303='تقرير نوفمبر'!$C$4,$P1303='تقرير نوفمبر'!$C$6),COUNT(Y$4:Y1302)+1,"")</f>
        <v/>
      </c>
      <c r="Z1303">
        <f>IF(AND($A1303&lt;&gt;"",$B1303&lt;&gt;"",$R1303='تقرير ديسمبر'!$C$4,$P1303='تقرير ديسمبر'!$C$6),COUNT(Z$4:Z1302)+1,"")</f>
        <v/>
      </c>
      <c r="AA1303">
        <f>IF(AND($A1303&lt;&gt;"",$B1303&lt;&gt;"",$R1303='تقرير يناير'!$C$4,$P1303='تقرير يناير'!$C$6),COUNT(AA$4:AA1302)+1,"")</f>
        <v/>
      </c>
      <c r="AB1303">
        <f>IF(AND($A1303&lt;&gt;"",$B1303&lt;&gt;"",$R1303='تقرير فبراير'!$C$4,$P1303='تقرير فبراير'!$C$6),COUNT(AB$4:AB1302)+1,"")</f>
        <v/>
      </c>
      <c r="AC1303">
        <f>IF(AND($A1303&lt;&gt;"",$B1303&lt;&gt;"",$R1303='تقرير مارس'!$C$4,$P1303='تقرير مارس'!$C$6),COUNT(AC$4:AC1302)+1,"")</f>
        <v/>
      </c>
      <c r="AD1303">
        <f>IF(AND($A1303&lt;&gt;"",$B1303&lt;&gt;"",$R1303='تقرير أبريل'!$C$4,$P1303='تقرير أبريل'!$C$6),COUNT(AD$4:AD1302)+1,"")</f>
        <v/>
      </c>
      <c r="AE1303">
        <f>IF(AND($A1303&lt;&gt;"",$B1303&lt;&gt;"",$R1303='تقرير مايو'!$C$4,$P1303='تقرير مايو'!$C$6),COUNT(AE$4:AE1302)+1,"")</f>
        <v/>
      </c>
    </row>
    <row r="1304">
      <c r="A1304" s="16" t="n"/>
      <c r="B1304" s="17" t="n"/>
      <c r="C1304" s="17" t="n"/>
      <c r="D1304" s="18" t="n"/>
      <c r="E1304" s="17" t="n"/>
      <c r="F1304" s="17" t="n"/>
      <c r="G1304" s="19" t="n"/>
      <c r="H1304" s="17" t="n"/>
      <c r="I1304" s="17" t="n"/>
      <c r="J1304" s="17" t="n"/>
      <c r="K1304" s="20">
        <f>IF($B1304="","",IFERROR(INDEX(الموظفات!$A$5:$A$304,MATCH($B1304,الموظفات!$B$5:$B$304,0))&amp;"",""))</f>
        <v/>
      </c>
      <c r="L1304" s="21">
        <f>IF($B1304="","",IFERROR(INDEX(الموظفات!$C$5:$C$304,MATCH($B1304,الموظفات!$B$5:$B$304,0))&amp;"",""))</f>
        <v/>
      </c>
      <c r="M1304" s="20">
        <f>IF($B1304="","",IFERROR(INDEX(الموظفات!$D$5:$D$304,MATCH($B1304,الموظفات!$B$5:$B$304,0))&amp;"",""))</f>
        <v/>
      </c>
      <c r="N1304" s="20">
        <f>IF($B1304="","",IFERROR(INDEX(الموظفات!$E$5:$E$304,MATCH($B1304,الموظفات!$B$5:$B$304,0))&amp;"",""))</f>
        <v/>
      </c>
      <c r="O1304" s="21">
        <f>IF(C1304="","",IFERROR(INDEX(الإعدادات!$D$7:$D$35,MATCH(C1304,الإعدادات!$A$7:$A$35,0))&amp;"",""))</f>
        <v/>
      </c>
      <c r="P1304" s="20">
        <f>IF(A1304="","",INDEX(الإعدادات!$H$7:$H$18,MONTH(A1304)))</f>
        <v/>
      </c>
      <c r="Q1304" s="20">
        <f>IF(A1304="","",INDEX(الإعدادات!$I$7:$I$18,MONTH(A1304)))</f>
        <v/>
      </c>
      <c r="R1304" s="20">
        <f>IF(A1304="","",IF(MONTH(A1304)&gt;=8,YEAR(A1304)&amp;"-"&amp;(YEAR(A1304)+1),(YEAR(A1304)-1)&amp;"-"&amp;YEAR(A1304)))</f>
        <v/>
      </c>
      <c r="S1304" s="20">
        <f>IF(OR(A1304="",B1304=""),0,IF(AND(R1304=التقارير!$C$4,OR(التقارير!$C$5="سنوي",AND(التقارير!$C$5="شهري",P1304=التقارير!$C$6),AND(التقارير!$C$5="فصلي",Q1304=التقارير!$C$7))),1,0))</f>
        <v/>
      </c>
      <c r="T1304" s="20">
        <f>IF(S1304=1,COUNTIF($S$5:S1304,1),"")</f>
        <v/>
      </c>
      <c r="U1304">
        <f>IF(AND($A1304&lt;&gt;"",$B1304&lt;&gt;"",$R1304='تقرير الفصل الأول'!$C$4,$Q1304='تقرير الفصل الأول'!$C$7),COUNT(U$4:U1303)+1,"")</f>
        <v/>
      </c>
      <c r="V1304">
        <f>IF(AND($A1304&lt;&gt;"",$B1304&lt;&gt;"",$R1304='تقرير الفصل الثاني'!$C$4,$Q1304='تقرير الفصل الثاني'!$C$7),COUNT(V$4:V1303)+1,"")</f>
        <v/>
      </c>
      <c r="W1304">
        <f>IF(AND($A1304&lt;&gt;"",$B1304&lt;&gt;"",$R1304='تقرير سبتمبر'!$C$4,$P1304='تقرير سبتمبر'!$C$6),COUNT(W$4:W1303)+1,"")</f>
        <v/>
      </c>
      <c r="X1304">
        <f>IF(AND($A1304&lt;&gt;"",$B1304&lt;&gt;"",$R1304='تقرير أكتوبر'!$C$4,$P1304='تقرير أكتوبر'!$C$6),COUNT(X$4:X1303)+1,"")</f>
        <v/>
      </c>
      <c r="Y1304">
        <f>IF(AND($A1304&lt;&gt;"",$B1304&lt;&gt;"",$R1304='تقرير نوفمبر'!$C$4,$P1304='تقرير نوفمبر'!$C$6),COUNT(Y$4:Y1303)+1,"")</f>
        <v/>
      </c>
      <c r="Z1304">
        <f>IF(AND($A1304&lt;&gt;"",$B1304&lt;&gt;"",$R1304='تقرير ديسمبر'!$C$4,$P1304='تقرير ديسمبر'!$C$6),COUNT(Z$4:Z1303)+1,"")</f>
        <v/>
      </c>
      <c r="AA1304">
        <f>IF(AND($A1304&lt;&gt;"",$B1304&lt;&gt;"",$R1304='تقرير يناير'!$C$4,$P1304='تقرير يناير'!$C$6),COUNT(AA$4:AA1303)+1,"")</f>
        <v/>
      </c>
      <c r="AB1304">
        <f>IF(AND($A1304&lt;&gt;"",$B1304&lt;&gt;"",$R1304='تقرير فبراير'!$C$4,$P1304='تقرير فبراير'!$C$6),COUNT(AB$4:AB1303)+1,"")</f>
        <v/>
      </c>
      <c r="AC1304">
        <f>IF(AND($A1304&lt;&gt;"",$B1304&lt;&gt;"",$R1304='تقرير مارس'!$C$4,$P1304='تقرير مارس'!$C$6),COUNT(AC$4:AC1303)+1,"")</f>
        <v/>
      </c>
      <c r="AD1304">
        <f>IF(AND($A1304&lt;&gt;"",$B1304&lt;&gt;"",$R1304='تقرير أبريل'!$C$4,$P1304='تقرير أبريل'!$C$6),COUNT(AD$4:AD1303)+1,"")</f>
        <v/>
      </c>
      <c r="AE1304">
        <f>IF(AND($A1304&lt;&gt;"",$B1304&lt;&gt;"",$R1304='تقرير مايو'!$C$4,$P1304='تقرير مايو'!$C$6),COUNT(AE$4:AE1303)+1,"")</f>
        <v/>
      </c>
    </row>
    <row r="1305">
      <c r="A1305" s="16" t="n"/>
      <c r="B1305" s="17" t="n"/>
      <c r="C1305" s="17" t="n"/>
      <c r="D1305" s="18" t="n"/>
      <c r="E1305" s="17" t="n"/>
      <c r="F1305" s="17" t="n"/>
      <c r="G1305" s="19" t="n"/>
      <c r="H1305" s="17" t="n"/>
      <c r="I1305" s="17" t="n"/>
      <c r="J1305" s="17" t="n"/>
      <c r="K1305" s="20">
        <f>IF($B1305="","",IFERROR(INDEX(الموظفات!$A$5:$A$304,MATCH($B1305,الموظفات!$B$5:$B$304,0))&amp;"",""))</f>
        <v/>
      </c>
      <c r="L1305" s="21">
        <f>IF($B1305="","",IFERROR(INDEX(الموظفات!$C$5:$C$304,MATCH($B1305,الموظفات!$B$5:$B$304,0))&amp;"",""))</f>
        <v/>
      </c>
      <c r="M1305" s="20">
        <f>IF($B1305="","",IFERROR(INDEX(الموظفات!$D$5:$D$304,MATCH($B1305,الموظفات!$B$5:$B$304,0))&amp;"",""))</f>
        <v/>
      </c>
      <c r="N1305" s="20">
        <f>IF($B1305="","",IFERROR(INDEX(الموظفات!$E$5:$E$304,MATCH($B1305,الموظفات!$B$5:$B$304,0))&amp;"",""))</f>
        <v/>
      </c>
      <c r="O1305" s="21">
        <f>IF(C1305="","",IFERROR(INDEX(الإعدادات!$D$7:$D$35,MATCH(C1305,الإعدادات!$A$7:$A$35,0))&amp;"",""))</f>
        <v/>
      </c>
      <c r="P1305" s="20">
        <f>IF(A1305="","",INDEX(الإعدادات!$H$7:$H$18,MONTH(A1305)))</f>
        <v/>
      </c>
      <c r="Q1305" s="20">
        <f>IF(A1305="","",INDEX(الإعدادات!$I$7:$I$18,MONTH(A1305)))</f>
        <v/>
      </c>
      <c r="R1305" s="20">
        <f>IF(A1305="","",IF(MONTH(A1305)&gt;=8,YEAR(A1305)&amp;"-"&amp;(YEAR(A1305)+1),(YEAR(A1305)-1)&amp;"-"&amp;YEAR(A1305)))</f>
        <v/>
      </c>
      <c r="S1305" s="20">
        <f>IF(OR(A1305="",B1305=""),0,IF(AND(R1305=التقارير!$C$4,OR(التقارير!$C$5="سنوي",AND(التقارير!$C$5="شهري",P1305=التقارير!$C$6),AND(التقارير!$C$5="فصلي",Q1305=التقارير!$C$7))),1,0))</f>
        <v/>
      </c>
      <c r="T1305" s="20">
        <f>IF(S1305=1,COUNTIF($S$5:S1305,1),"")</f>
        <v/>
      </c>
      <c r="U1305">
        <f>IF(AND($A1305&lt;&gt;"",$B1305&lt;&gt;"",$R1305='تقرير الفصل الأول'!$C$4,$Q1305='تقرير الفصل الأول'!$C$7),COUNT(U$4:U1304)+1,"")</f>
        <v/>
      </c>
      <c r="V1305">
        <f>IF(AND($A1305&lt;&gt;"",$B1305&lt;&gt;"",$R1305='تقرير الفصل الثاني'!$C$4,$Q1305='تقرير الفصل الثاني'!$C$7),COUNT(V$4:V1304)+1,"")</f>
        <v/>
      </c>
      <c r="W1305">
        <f>IF(AND($A1305&lt;&gt;"",$B1305&lt;&gt;"",$R1305='تقرير سبتمبر'!$C$4,$P1305='تقرير سبتمبر'!$C$6),COUNT(W$4:W1304)+1,"")</f>
        <v/>
      </c>
      <c r="X1305">
        <f>IF(AND($A1305&lt;&gt;"",$B1305&lt;&gt;"",$R1305='تقرير أكتوبر'!$C$4,$P1305='تقرير أكتوبر'!$C$6),COUNT(X$4:X1304)+1,"")</f>
        <v/>
      </c>
      <c r="Y1305">
        <f>IF(AND($A1305&lt;&gt;"",$B1305&lt;&gt;"",$R1305='تقرير نوفمبر'!$C$4,$P1305='تقرير نوفمبر'!$C$6),COUNT(Y$4:Y1304)+1,"")</f>
        <v/>
      </c>
      <c r="Z1305">
        <f>IF(AND($A1305&lt;&gt;"",$B1305&lt;&gt;"",$R1305='تقرير ديسمبر'!$C$4,$P1305='تقرير ديسمبر'!$C$6),COUNT(Z$4:Z1304)+1,"")</f>
        <v/>
      </c>
      <c r="AA1305">
        <f>IF(AND($A1305&lt;&gt;"",$B1305&lt;&gt;"",$R1305='تقرير يناير'!$C$4,$P1305='تقرير يناير'!$C$6),COUNT(AA$4:AA1304)+1,"")</f>
        <v/>
      </c>
      <c r="AB1305">
        <f>IF(AND($A1305&lt;&gt;"",$B1305&lt;&gt;"",$R1305='تقرير فبراير'!$C$4,$P1305='تقرير فبراير'!$C$6),COUNT(AB$4:AB1304)+1,"")</f>
        <v/>
      </c>
      <c r="AC1305">
        <f>IF(AND($A1305&lt;&gt;"",$B1305&lt;&gt;"",$R1305='تقرير مارس'!$C$4,$P1305='تقرير مارس'!$C$6),COUNT(AC$4:AC1304)+1,"")</f>
        <v/>
      </c>
      <c r="AD1305">
        <f>IF(AND($A1305&lt;&gt;"",$B1305&lt;&gt;"",$R1305='تقرير أبريل'!$C$4,$P1305='تقرير أبريل'!$C$6),COUNT(AD$4:AD1304)+1,"")</f>
        <v/>
      </c>
      <c r="AE1305">
        <f>IF(AND($A1305&lt;&gt;"",$B1305&lt;&gt;"",$R1305='تقرير مايو'!$C$4,$P1305='تقرير مايو'!$C$6),COUNT(AE$4:AE1304)+1,"")</f>
        <v/>
      </c>
    </row>
    <row r="1306">
      <c r="A1306" s="16" t="n"/>
      <c r="B1306" s="17" t="n"/>
      <c r="C1306" s="17" t="n"/>
      <c r="D1306" s="18" t="n"/>
      <c r="E1306" s="17" t="n"/>
      <c r="F1306" s="17" t="n"/>
      <c r="G1306" s="19" t="n"/>
      <c r="H1306" s="17" t="n"/>
      <c r="I1306" s="17" t="n"/>
      <c r="J1306" s="17" t="n"/>
      <c r="K1306" s="20">
        <f>IF($B1306="","",IFERROR(INDEX(الموظفات!$A$5:$A$304,MATCH($B1306,الموظفات!$B$5:$B$304,0))&amp;"",""))</f>
        <v/>
      </c>
      <c r="L1306" s="21">
        <f>IF($B1306="","",IFERROR(INDEX(الموظفات!$C$5:$C$304,MATCH($B1306,الموظفات!$B$5:$B$304,0))&amp;"",""))</f>
        <v/>
      </c>
      <c r="M1306" s="20">
        <f>IF($B1306="","",IFERROR(INDEX(الموظفات!$D$5:$D$304,MATCH($B1306,الموظفات!$B$5:$B$304,0))&amp;"",""))</f>
        <v/>
      </c>
      <c r="N1306" s="20">
        <f>IF($B1306="","",IFERROR(INDEX(الموظفات!$E$5:$E$304,MATCH($B1306,الموظفات!$B$5:$B$304,0))&amp;"",""))</f>
        <v/>
      </c>
      <c r="O1306" s="21">
        <f>IF(C1306="","",IFERROR(INDEX(الإعدادات!$D$7:$D$35,MATCH(C1306,الإعدادات!$A$7:$A$35,0))&amp;"",""))</f>
        <v/>
      </c>
      <c r="P1306" s="20">
        <f>IF(A1306="","",INDEX(الإعدادات!$H$7:$H$18,MONTH(A1306)))</f>
        <v/>
      </c>
      <c r="Q1306" s="20">
        <f>IF(A1306="","",INDEX(الإعدادات!$I$7:$I$18,MONTH(A1306)))</f>
        <v/>
      </c>
      <c r="R1306" s="20">
        <f>IF(A1306="","",IF(MONTH(A1306)&gt;=8,YEAR(A1306)&amp;"-"&amp;(YEAR(A1306)+1),(YEAR(A1306)-1)&amp;"-"&amp;YEAR(A1306)))</f>
        <v/>
      </c>
      <c r="S1306" s="20">
        <f>IF(OR(A1306="",B1306=""),0,IF(AND(R1306=التقارير!$C$4,OR(التقارير!$C$5="سنوي",AND(التقارير!$C$5="شهري",P1306=التقارير!$C$6),AND(التقارير!$C$5="فصلي",Q1306=التقارير!$C$7))),1,0))</f>
        <v/>
      </c>
      <c r="T1306" s="20">
        <f>IF(S1306=1,COUNTIF($S$5:S1306,1),"")</f>
        <v/>
      </c>
      <c r="U1306">
        <f>IF(AND($A1306&lt;&gt;"",$B1306&lt;&gt;"",$R1306='تقرير الفصل الأول'!$C$4,$Q1306='تقرير الفصل الأول'!$C$7),COUNT(U$4:U1305)+1,"")</f>
        <v/>
      </c>
      <c r="V1306">
        <f>IF(AND($A1306&lt;&gt;"",$B1306&lt;&gt;"",$R1306='تقرير الفصل الثاني'!$C$4,$Q1306='تقرير الفصل الثاني'!$C$7),COUNT(V$4:V1305)+1,"")</f>
        <v/>
      </c>
      <c r="W1306">
        <f>IF(AND($A1306&lt;&gt;"",$B1306&lt;&gt;"",$R1306='تقرير سبتمبر'!$C$4,$P1306='تقرير سبتمبر'!$C$6),COUNT(W$4:W1305)+1,"")</f>
        <v/>
      </c>
      <c r="X1306">
        <f>IF(AND($A1306&lt;&gt;"",$B1306&lt;&gt;"",$R1306='تقرير أكتوبر'!$C$4,$P1306='تقرير أكتوبر'!$C$6),COUNT(X$4:X1305)+1,"")</f>
        <v/>
      </c>
      <c r="Y1306">
        <f>IF(AND($A1306&lt;&gt;"",$B1306&lt;&gt;"",$R1306='تقرير نوفمبر'!$C$4,$P1306='تقرير نوفمبر'!$C$6),COUNT(Y$4:Y1305)+1,"")</f>
        <v/>
      </c>
      <c r="Z1306">
        <f>IF(AND($A1306&lt;&gt;"",$B1306&lt;&gt;"",$R1306='تقرير ديسمبر'!$C$4,$P1306='تقرير ديسمبر'!$C$6),COUNT(Z$4:Z1305)+1,"")</f>
        <v/>
      </c>
      <c r="AA1306">
        <f>IF(AND($A1306&lt;&gt;"",$B1306&lt;&gt;"",$R1306='تقرير يناير'!$C$4,$P1306='تقرير يناير'!$C$6),COUNT(AA$4:AA1305)+1,"")</f>
        <v/>
      </c>
      <c r="AB1306">
        <f>IF(AND($A1306&lt;&gt;"",$B1306&lt;&gt;"",$R1306='تقرير فبراير'!$C$4,$P1306='تقرير فبراير'!$C$6),COUNT(AB$4:AB1305)+1,"")</f>
        <v/>
      </c>
      <c r="AC1306">
        <f>IF(AND($A1306&lt;&gt;"",$B1306&lt;&gt;"",$R1306='تقرير مارس'!$C$4,$P1306='تقرير مارس'!$C$6),COUNT(AC$4:AC1305)+1,"")</f>
        <v/>
      </c>
      <c r="AD1306">
        <f>IF(AND($A1306&lt;&gt;"",$B1306&lt;&gt;"",$R1306='تقرير أبريل'!$C$4,$P1306='تقرير أبريل'!$C$6),COUNT(AD$4:AD1305)+1,"")</f>
        <v/>
      </c>
      <c r="AE1306">
        <f>IF(AND($A1306&lt;&gt;"",$B1306&lt;&gt;"",$R1306='تقرير مايو'!$C$4,$P1306='تقرير مايو'!$C$6),COUNT(AE$4:AE1305)+1,"")</f>
        <v/>
      </c>
    </row>
    <row r="1307">
      <c r="A1307" s="16" t="n"/>
      <c r="B1307" s="17" t="n"/>
      <c r="C1307" s="17" t="n"/>
      <c r="D1307" s="18" t="n"/>
      <c r="E1307" s="17" t="n"/>
      <c r="F1307" s="17" t="n"/>
      <c r="G1307" s="19" t="n"/>
      <c r="H1307" s="17" t="n"/>
      <c r="I1307" s="17" t="n"/>
      <c r="J1307" s="17" t="n"/>
      <c r="K1307" s="20">
        <f>IF($B1307="","",IFERROR(INDEX(الموظفات!$A$5:$A$304,MATCH($B1307,الموظفات!$B$5:$B$304,0))&amp;"",""))</f>
        <v/>
      </c>
      <c r="L1307" s="21">
        <f>IF($B1307="","",IFERROR(INDEX(الموظفات!$C$5:$C$304,MATCH($B1307,الموظفات!$B$5:$B$304,0))&amp;"",""))</f>
        <v/>
      </c>
      <c r="M1307" s="20">
        <f>IF($B1307="","",IFERROR(INDEX(الموظفات!$D$5:$D$304,MATCH($B1307,الموظفات!$B$5:$B$304,0))&amp;"",""))</f>
        <v/>
      </c>
      <c r="N1307" s="20">
        <f>IF($B1307="","",IFERROR(INDEX(الموظفات!$E$5:$E$304,MATCH($B1307,الموظفات!$B$5:$B$304,0))&amp;"",""))</f>
        <v/>
      </c>
      <c r="O1307" s="21">
        <f>IF(C1307="","",IFERROR(INDEX(الإعدادات!$D$7:$D$35,MATCH(C1307,الإعدادات!$A$7:$A$35,0))&amp;"",""))</f>
        <v/>
      </c>
      <c r="P1307" s="20">
        <f>IF(A1307="","",INDEX(الإعدادات!$H$7:$H$18,MONTH(A1307)))</f>
        <v/>
      </c>
      <c r="Q1307" s="20">
        <f>IF(A1307="","",INDEX(الإعدادات!$I$7:$I$18,MONTH(A1307)))</f>
        <v/>
      </c>
      <c r="R1307" s="20">
        <f>IF(A1307="","",IF(MONTH(A1307)&gt;=8,YEAR(A1307)&amp;"-"&amp;(YEAR(A1307)+1),(YEAR(A1307)-1)&amp;"-"&amp;YEAR(A1307)))</f>
        <v/>
      </c>
      <c r="S1307" s="20">
        <f>IF(OR(A1307="",B1307=""),0,IF(AND(R1307=التقارير!$C$4,OR(التقارير!$C$5="سنوي",AND(التقارير!$C$5="شهري",P1307=التقارير!$C$6),AND(التقارير!$C$5="فصلي",Q1307=التقارير!$C$7))),1,0))</f>
        <v/>
      </c>
      <c r="T1307" s="20">
        <f>IF(S1307=1,COUNTIF($S$5:S1307,1),"")</f>
        <v/>
      </c>
      <c r="U1307">
        <f>IF(AND($A1307&lt;&gt;"",$B1307&lt;&gt;"",$R1307='تقرير الفصل الأول'!$C$4,$Q1307='تقرير الفصل الأول'!$C$7),COUNT(U$4:U1306)+1,"")</f>
        <v/>
      </c>
      <c r="V1307">
        <f>IF(AND($A1307&lt;&gt;"",$B1307&lt;&gt;"",$R1307='تقرير الفصل الثاني'!$C$4,$Q1307='تقرير الفصل الثاني'!$C$7),COUNT(V$4:V1306)+1,"")</f>
        <v/>
      </c>
      <c r="W1307">
        <f>IF(AND($A1307&lt;&gt;"",$B1307&lt;&gt;"",$R1307='تقرير سبتمبر'!$C$4,$P1307='تقرير سبتمبر'!$C$6),COUNT(W$4:W1306)+1,"")</f>
        <v/>
      </c>
      <c r="X1307">
        <f>IF(AND($A1307&lt;&gt;"",$B1307&lt;&gt;"",$R1307='تقرير أكتوبر'!$C$4,$P1307='تقرير أكتوبر'!$C$6),COUNT(X$4:X1306)+1,"")</f>
        <v/>
      </c>
      <c r="Y1307">
        <f>IF(AND($A1307&lt;&gt;"",$B1307&lt;&gt;"",$R1307='تقرير نوفمبر'!$C$4,$P1307='تقرير نوفمبر'!$C$6),COUNT(Y$4:Y1306)+1,"")</f>
        <v/>
      </c>
      <c r="Z1307">
        <f>IF(AND($A1307&lt;&gt;"",$B1307&lt;&gt;"",$R1307='تقرير ديسمبر'!$C$4,$P1307='تقرير ديسمبر'!$C$6),COUNT(Z$4:Z1306)+1,"")</f>
        <v/>
      </c>
      <c r="AA1307">
        <f>IF(AND($A1307&lt;&gt;"",$B1307&lt;&gt;"",$R1307='تقرير يناير'!$C$4,$P1307='تقرير يناير'!$C$6),COUNT(AA$4:AA1306)+1,"")</f>
        <v/>
      </c>
      <c r="AB1307">
        <f>IF(AND($A1307&lt;&gt;"",$B1307&lt;&gt;"",$R1307='تقرير فبراير'!$C$4,$P1307='تقرير فبراير'!$C$6),COUNT(AB$4:AB1306)+1,"")</f>
        <v/>
      </c>
      <c r="AC1307">
        <f>IF(AND($A1307&lt;&gt;"",$B1307&lt;&gt;"",$R1307='تقرير مارس'!$C$4,$P1307='تقرير مارس'!$C$6),COUNT(AC$4:AC1306)+1,"")</f>
        <v/>
      </c>
      <c r="AD1307">
        <f>IF(AND($A1307&lt;&gt;"",$B1307&lt;&gt;"",$R1307='تقرير أبريل'!$C$4,$P1307='تقرير أبريل'!$C$6),COUNT(AD$4:AD1306)+1,"")</f>
        <v/>
      </c>
      <c r="AE1307">
        <f>IF(AND($A1307&lt;&gt;"",$B1307&lt;&gt;"",$R1307='تقرير مايو'!$C$4,$P1307='تقرير مايو'!$C$6),COUNT(AE$4:AE1306)+1,"")</f>
        <v/>
      </c>
    </row>
    <row r="1308">
      <c r="A1308" s="16" t="n"/>
      <c r="B1308" s="17" t="n"/>
      <c r="C1308" s="17" t="n"/>
      <c r="D1308" s="18" t="n"/>
      <c r="E1308" s="17" t="n"/>
      <c r="F1308" s="17" t="n"/>
      <c r="G1308" s="19" t="n"/>
      <c r="H1308" s="17" t="n"/>
      <c r="I1308" s="17" t="n"/>
      <c r="J1308" s="17" t="n"/>
      <c r="K1308" s="20">
        <f>IF($B1308="","",IFERROR(INDEX(الموظفات!$A$5:$A$304,MATCH($B1308,الموظفات!$B$5:$B$304,0))&amp;"",""))</f>
        <v/>
      </c>
      <c r="L1308" s="21">
        <f>IF($B1308="","",IFERROR(INDEX(الموظفات!$C$5:$C$304,MATCH($B1308,الموظفات!$B$5:$B$304,0))&amp;"",""))</f>
        <v/>
      </c>
      <c r="M1308" s="20">
        <f>IF($B1308="","",IFERROR(INDEX(الموظفات!$D$5:$D$304,MATCH($B1308,الموظفات!$B$5:$B$304,0))&amp;"",""))</f>
        <v/>
      </c>
      <c r="N1308" s="20">
        <f>IF($B1308="","",IFERROR(INDEX(الموظفات!$E$5:$E$304,MATCH($B1308,الموظفات!$B$5:$B$304,0))&amp;"",""))</f>
        <v/>
      </c>
      <c r="O1308" s="21">
        <f>IF(C1308="","",IFERROR(INDEX(الإعدادات!$D$7:$D$35,MATCH(C1308,الإعدادات!$A$7:$A$35,0))&amp;"",""))</f>
        <v/>
      </c>
      <c r="P1308" s="20">
        <f>IF(A1308="","",INDEX(الإعدادات!$H$7:$H$18,MONTH(A1308)))</f>
        <v/>
      </c>
      <c r="Q1308" s="20">
        <f>IF(A1308="","",INDEX(الإعدادات!$I$7:$I$18,MONTH(A1308)))</f>
        <v/>
      </c>
      <c r="R1308" s="20">
        <f>IF(A1308="","",IF(MONTH(A1308)&gt;=8,YEAR(A1308)&amp;"-"&amp;(YEAR(A1308)+1),(YEAR(A1308)-1)&amp;"-"&amp;YEAR(A1308)))</f>
        <v/>
      </c>
      <c r="S1308" s="20">
        <f>IF(OR(A1308="",B1308=""),0,IF(AND(R1308=التقارير!$C$4,OR(التقارير!$C$5="سنوي",AND(التقارير!$C$5="شهري",P1308=التقارير!$C$6),AND(التقارير!$C$5="فصلي",Q1308=التقارير!$C$7))),1,0))</f>
        <v/>
      </c>
      <c r="T1308" s="20">
        <f>IF(S1308=1,COUNTIF($S$5:S1308,1),"")</f>
        <v/>
      </c>
      <c r="U1308">
        <f>IF(AND($A1308&lt;&gt;"",$B1308&lt;&gt;"",$R1308='تقرير الفصل الأول'!$C$4,$Q1308='تقرير الفصل الأول'!$C$7),COUNT(U$4:U1307)+1,"")</f>
        <v/>
      </c>
      <c r="V1308">
        <f>IF(AND($A1308&lt;&gt;"",$B1308&lt;&gt;"",$R1308='تقرير الفصل الثاني'!$C$4,$Q1308='تقرير الفصل الثاني'!$C$7),COUNT(V$4:V1307)+1,"")</f>
        <v/>
      </c>
      <c r="W1308">
        <f>IF(AND($A1308&lt;&gt;"",$B1308&lt;&gt;"",$R1308='تقرير سبتمبر'!$C$4,$P1308='تقرير سبتمبر'!$C$6),COUNT(W$4:W1307)+1,"")</f>
        <v/>
      </c>
      <c r="X1308">
        <f>IF(AND($A1308&lt;&gt;"",$B1308&lt;&gt;"",$R1308='تقرير أكتوبر'!$C$4,$P1308='تقرير أكتوبر'!$C$6),COUNT(X$4:X1307)+1,"")</f>
        <v/>
      </c>
      <c r="Y1308">
        <f>IF(AND($A1308&lt;&gt;"",$B1308&lt;&gt;"",$R1308='تقرير نوفمبر'!$C$4,$P1308='تقرير نوفمبر'!$C$6),COUNT(Y$4:Y1307)+1,"")</f>
        <v/>
      </c>
      <c r="Z1308">
        <f>IF(AND($A1308&lt;&gt;"",$B1308&lt;&gt;"",$R1308='تقرير ديسمبر'!$C$4,$P1308='تقرير ديسمبر'!$C$6),COUNT(Z$4:Z1307)+1,"")</f>
        <v/>
      </c>
      <c r="AA1308">
        <f>IF(AND($A1308&lt;&gt;"",$B1308&lt;&gt;"",$R1308='تقرير يناير'!$C$4,$P1308='تقرير يناير'!$C$6),COUNT(AA$4:AA1307)+1,"")</f>
        <v/>
      </c>
      <c r="AB1308">
        <f>IF(AND($A1308&lt;&gt;"",$B1308&lt;&gt;"",$R1308='تقرير فبراير'!$C$4,$P1308='تقرير فبراير'!$C$6),COUNT(AB$4:AB1307)+1,"")</f>
        <v/>
      </c>
      <c r="AC1308">
        <f>IF(AND($A1308&lt;&gt;"",$B1308&lt;&gt;"",$R1308='تقرير مارس'!$C$4,$P1308='تقرير مارس'!$C$6),COUNT(AC$4:AC1307)+1,"")</f>
        <v/>
      </c>
      <c r="AD1308">
        <f>IF(AND($A1308&lt;&gt;"",$B1308&lt;&gt;"",$R1308='تقرير أبريل'!$C$4,$P1308='تقرير أبريل'!$C$6),COUNT(AD$4:AD1307)+1,"")</f>
        <v/>
      </c>
      <c r="AE1308">
        <f>IF(AND($A1308&lt;&gt;"",$B1308&lt;&gt;"",$R1308='تقرير مايو'!$C$4,$P1308='تقرير مايو'!$C$6),COUNT(AE$4:AE1307)+1,"")</f>
        <v/>
      </c>
    </row>
    <row r="1309">
      <c r="A1309" s="16" t="n"/>
      <c r="B1309" s="17" t="n"/>
      <c r="C1309" s="17" t="n"/>
      <c r="D1309" s="18" t="n"/>
      <c r="E1309" s="17" t="n"/>
      <c r="F1309" s="17" t="n"/>
      <c r="G1309" s="19" t="n"/>
      <c r="H1309" s="17" t="n"/>
      <c r="I1309" s="17" t="n"/>
      <c r="J1309" s="17" t="n"/>
      <c r="K1309" s="20">
        <f>IF($B1309="","",IFERROR(INDEX(الموظفات!$A$5:$A$304,MATCH($B1309,الموظفات!$B$5:$B$304,0))&amp;"",""))</f>
        <v/>
      </c>
      <c r="L1309" s="21">
        <f>IF($B1309="","",IFERROR(INDEX(الموظفات!$C$5:$C$304,MATCH($B1309,الموظفات!$B$5:$B$304,0))&amp;"",""))</f>
        <v/>
      </c>
      <c r="M1309" s="20">
        <f>IF($B1309="","",IFERROR(INDEX(الموظفات!$D$5:$D$304,MATCH($B1309,الموظفات!$B$5:$B$304,0))&amp;"",""))</f>
        <v/>
      </c>
      <c r="N1309" s="20">
        <f>IF($B1309="","",IFERROR(INDEX(الموظفات!$E$5:$E$304,MATCH($B1309,الموظفات!$B$5:$B$304,0))&amp;"",""))</f>
        <v/>
      </c>
      <c r="O1309" s="21">
        <f>IF(C1309="","",IFERROR(INDEX(الإعدادات!$D$7:$D$35,MATCH(C1309,الإعدادات!$A$7:$A$35,0))&amp;"",""))</f>
        <v/>
      </c>
      <c r="P1309" s="20">
        <f>IF(A1309="","",INDEX(الإعدادات!$H$7:$H$18,MONTH(A1309)))</f>
        <v/>
      </c>
      <c r="Q1309" s="20">
        <f>IF(A1309="","",INDEX(الإعدادات!$I$7:$I$18,MONTH(A1309)))</f>
        <v/>
      </c>
      <c r="R1309" s="20">
        <f>IF(A1309="","",IF(MONTH(A1309)&gt;=8,YEAR(A1309)&amp;"-"&amp;(YEAR(A1309)+1),(YEAR(A1309)-1)&amp;"-"&amp;YEAR(A1309)))</f>
        <v/>
      </c>
      <c r="S1309" s="20">
        <f>IF(OR(A1309="",B1309=""),0,IF(AND(R1309=التقارير!$C$4,OR(التقارير!$C$5="سنوي",AND(التقارير!$C$5="شهري",P1309=التقارير!$C$6),AND(التقارير!$C$5="فصلي",Q1309=التقارير!$C$7))),1,0))</f>
        <v/>
      </c>
      <c r="T1309" s="20">
        <f>IF(S1309=1,COUNTIF($S$5:S1309,1),"")</f>
        <v/>
      </c>
      <c r="U1309">
        <f>IF(AND($A1309&lt;&gt;"",$B1309&lt;&gt;"",$R1309='تقرير الفصل الأول'!$C$4,$Q1309='تقرير الفصل الأول'!$C$7),COUNT(U$4:U1308)+1,"")</f>
        <v/>
      </c>
      <c r="V1309">
        <f>IF(AND($A1309&lt;&gt;"",$B1309&lt;&gt;"",$R1309='تقرير الفصل الثاني'!$C$4,$Q1309='تقرير الفصل الثاني'!$C$7),COUNT(V$4:V1308)+1,"")</f>
        <v/>
      </c>
      <c r="W1309">
        <f>IF(AND($A1309&lt;&gt;"",$B1309&lt;&gt;"",$R1309='تقرير سبتمبر'!$C$4,$P1309='تقرير سبتمبر'!$C$6),COUNT(W$4:W1308)+1,"")</f>
        <v/>
      </c>
      <c r="X1309">
        <f>IF(AND($A1309&lt;&gt;"",$B1309&lt;&gt;"",$R1309='تقرير أكتوبر'!$C$4,$P1309='تقرير أكتوبر'!$C$6),COUNT(X$4:X1308)+1,"")</f>
        <v/>
      </c>
      <c r="Y1309">
        <f>IF(AND($A1309&lt;&gt;"",$B1309&lt;&gt;"",$R1309='تقرير نوفمبر'!$C$4,$P1309='تقرير نوفمبر'!$C$6),COUNT(Y$4:Y1308)+1,"")</f>
        <v/>
      </c>
      <c r="Z1309">
        <f>IF(AND($A1309&lt;&gt;"",$B1309&lt;&gt;"",$R1309='تقرير ديسمبر'!$C$4,$P1309='تقرير ديسمبر'!$C$6),COUNT(Z$4:Z1308)+1,"")</f>
        <v/>
      </c>
      <c r="AA1309">
        <f>IF(AND($A1309&lt;&gt;"",$B1309&lt;&gt;"",$R1309='تقرير يناير'!$C$4,$P1309='تقرير يناير'!$C$6),COUNT(AA$4:AA1308)+1,"")</f>
        <v/>
      </c>
      <c r="AB1309">
        <f>IF(AND($A1309&lt;&gt;"",$B1309&lt;&gt;"",$R1309='تقرير فبراير'!$C$4,$P1309='تقرير فبراير'!$C$6),COUNT(AB$4:AB1308)+1,"")</f>
        <v/>
      </c>
      <c r="AC1309">
        <f>IF(AND($A1309&lt;&gt;"",$B1309&lt;&gt;"",$R1309='تقرير مارس'!$C$4,$P1309='تقرير مارس'!$C$6),COUNT(AC$4:AC1308)+1,"")</f>
        <v/>
      </c>
      <c r="AD1309">
        <f>IF(AND($A1309&lt;&gt;"",$B1309&lt;&gt;"",$R1309='تقرير أبريل'!$C$4,$P1309='تقرير أبريل'!$C$6),COUNT(AD$4:AD1308)+1,"")</f>
        <v/>
      </c>
      <c r="AE1309">
        <f>IF(AND($A1309&lt;&gt;"",$B1309&lt;&gt;"",$R1309='تقرير مايو'!$C$4,$P1309='تقرير مايو'!$C$6),COUNT(AE$4:AE1308)+1,"")</f>
        <v/>
      </c>
    </row>
    <row r="1310">
      <c r="A1310" s="16" t="n"/>
      <c r="B1310" s="17" t="n"/>
      <c r="C1310" s="17" t="n"/>
      <c r="D1310" s="18" t="n"/>
      <c r="E1310" s="17" t="n"/>
      <c r="F1310" s="17" t="n"/>
      <c r="G1310" s="19" t="n"/>
      <c r="H1310" s="17" t="n"/>
      <c r="I1310" s="17" t="n"/>
      <c r="J1310" s="17" t="n"/>
      <c r="K1310" s="20">
        <f>IF($B1310="","",IFERROR(INDEX(الموظفات!$A$5:$A$304,MATCH($B1310,الموظفات!$B$5:$B$304,0))&amp;"",""))</f>
        <v/>
      </c>
      <c r="L1310" s="21">
        <f>IF($B1310="","",IFERROR(INDEX(الموظفات!$C$5:$C$304,MATCH($B1310,الموظفات!$B$5:$B$304,0))&amp;"",""))</f>
        <v/>
      </c>
      <c r="M1310" s="20">
        <f>IF($B1310="","",IFERROR(INDEX(الموظفات!$D$5:$D$304,MATCH($B1310,الموظفات!$B$5:$B$304,0))&amp;"",""))</f>
        <v/>
      </c>
      <c r="N1310" s="20">
        <f>IF($B1310="","",IFERROR(INDEX(الموظفات!$E$5:$E$304,MATCH($B1310,الموظفات!$B$5:$B$304,0))&amp;"",""))</f>
        <v/>
      </c>
      <c r="O1310" s="21">
        <f>IF(C1310="","",IFERROR(INDEX(الإعدادات!$D$7:$D$35,MATCH(C1310,الإعدادات!$A$7:$A$35,0))&amp;"",""))</f>
        <v/>
      </c>
      <c r="P1310" s="20">
        <f>IF(A1310="","",INDEX(الإعدادات!$H$7:$H$18,MONTH(A1310)))</f>
        <v/>
      </c>
      <c r="Q1310" s="20">
        <f>IF(A1310="","",INDEX(الإعدادات!$I$7:$I$18,MONTH(A1310)))</f>
        <v/>
      </c>
      <c r="R1310" s="20">
        <f>IF(A1310="","",IF(MONTH(A1310)&gt;=8,YEAR(A1310)&amp;"-"&amp;(YEAR(A1310)+1),(YEAR(A1310)-1)&amp;"-"&amp;YEAR(A1310)))</f>
        <v/>
      </c>
      <c r="S1310" s="20">
        <f>IF(OR(A1310="",B1310=""),0,IF(AND(R1310=التقارير!$C$4,OR(التقارير!$C$5="سنوي",AND(التقارير!$C$5="شهري",P1310=التقارير!$C$6),AND(التقارير!$C$5="فصلي",Q1310=التقارير!$C$7))),1,0))</f>
        <v/>
      </c>
      <c r="T1310" s="20">
        <f>IF(S1310=1,COUNTIF($S$5:S1310,1),"")</f>
        <v/>
      </c>
      <c r="U1310">
        <f>IF(AND($A1310&lt;&gt;"",$B1310&lt;&gt;"",$R1310='تقرير الفصل الأول'!$C$4,$Q1310='تقرير الفصل الأول'!$C$7),COUNT(U$4:U1309)+1,"")</f>
        <v/>
      </c>
      <c r="V1310">
        <f>IF(AND($A1310&lt;&gt;"",$B1310&lt;&gt;"",$R1310='تقرير الفصل الثاني'!$C$4,$Q1310='تقرير الفصل الثاني'!$C$7),COUNT(V$4:V1309)+1,"")</f>
        <v/>
      </c>
      <c r="W1310">
        <f>IF(AND($A1310&lt;&gt;"",$B1310&lt;&gt;"",$R1310='تقرير سبتمبر'!$C$4,$P1310='تقرير سبتمبر'!$C$6),COUNT(W$4:W1309)+1,"")</f>
        <v/>
      </c>
      <c r="X1310">
        <f>IF(AND($A1310&lt;&gt;"",$B1310&lt;&gt;"",$R1310='تقرير أكتوبر'!$C$4,$P1310='تقرير أكتوبر'!$C$6),COUNT(X$4:X1309)+1,"")</f>
        <v/>
      </c>
      <c r="Y1310">
        <f>IF(AND($A1310&lt;&gt;"",$B1310&lt;&gt;"",$R1310='تقرير نوفمبر'!$C$4,$P1310='تقرير نوفمبر'!$C$6),COUNT(Y$4:Y1309)+1,"")</f>
        <v/>
      </c>
      <c r="Z1310">
        <f>IF(AND($A1310&lt;&gt;"",$B1310&lt;&gt;"",$R1310='تقرير ديسمبر'!$C$4,$P1310='تقرير ديسمبر'!$C$6),COUNT(Z$4:Z1309)+1,"")</f>
        <v/>
      </c>
      <c r="AA1310">
        <f>IF(AND($A1310&lt;&gt;"",$B1310&lt;&gt;"",$R1310='تقرير يناير'!$C$4,$P1310='تقرير يناير'!$C$6),COUNT(AA$4:AA1309)+1,"")</f>
        <v/>
      </c>
      <c r="AB1310">
        <f>IF(AND($A1310&lt;&gt;"",$B1310&lt;&gt;"",$R1310='تقرير فبراير'!$C$4,$P1310='تقرير فبراير'!$C$6),COUNT(AB$4:AB1309)+1,"")</f>
        <v/>
      </c>
      <c r="AC1310">
        <f>IF(AND($A1310&lt;&gt;"",$B1310&lt;&gt;"",$R1310='تقرير مارس'!$C$4,$P1310='تقرير مارس'!$C$6),COUNT(AC$4:AC1309)+1,"")</f>
        <v/>
      </c>
      <c r="AD1310">
        <f>IF(AND($A1310&lt;&gt;"",$B1310&lt;&gt;"",$R1310='تقرير أبريل'!$C$4,$P1310='تقرير أبريل'!$C$6),COUNT(AD$4:AD1309)+1,"")</f>
        <v/>
      </c>
      <c r="AE1310">
        <f>IF(AND($A1310&lt;&gt;"",$B1310&lt;&gt;"",$R1310='تقرير مايو'!$C$4,$P1310='تقرير مايو'!$C$6),COUNT(AE$4:AE1309)+1,"")</f>
        <v/>
      </c>
    </row>
    <row r="1311">
      <c r="A1311" s="16" t="n"/>
      <c r="B1311" s="17" t="n"/>
      <c r="C1311" s="17" t="n"/>
      <c r="D1311" s="18" t="n"/>
      <c r="E1311" s="17" t="n"/>
      <c r="F1311" s="17" t="n"/>
      <c r="G1311" s="19" t="n"/>
      <c r="H1311" s="17" t="n"/>
      <c r="I1311" s="17" t="n"/>
      <c r="J1311" s="17" t="n"/>
      <c r="K1311" s="20">
        <f>IF($B1311="","",IFERROR(INDEX(الموظفات!$A$5:$A$304,MATCH($B1311,الموظفات!$B$5:$B$304,0))&amp;"",""))</f>
        <v/>
      </c>
      <c r="L1311" s="21">
        <f>IF($B1311="","",IFERROR(INDEX(الموظفات!$C$5:$C$304,MATCH($B1311,الموظفات!$B$5:$B$304,0))&amp;"",""))</f>
        <v/>
      </c>
      <c r="M1311" s="20">
        <f>IF($B1311="","",IFERROR(INDEX(الموظفات!$D$5:$D$304,MATCH($B1311,الموظفات!$B$5:$B$304,0))&amp;"",""))</f>
        <v/>
      </c>
      <c r="N1311" s="20">
        <f>IF($B1311="","",IFERROR(INDEX(الموظفات!$E$5:$E$304,MATCH($B1311,الموظفات!$B$5:$B$304,0))&amp;"",""))</f>
        <v/>
      </c>
      <c r="O1311" s="21">
        <f>IF(C1311="","",IFERROR(INDEX(الإعدادات!$D$7:$D$35,MATCH(C1311,الإعدادات!$A$7:$A$35,0))&amp;"",""))</f>
        <v/>
      </c>
      <c r="P1311" s="20">
        <f>IF(A1311="","",INDEX(الإعدادات!$H$7:$H$18,MONTH(A1311)))</f>
        <v/>
      </c>
      <c r="Q1311" s="20">
        <f>IF(A1311="","",INDEX(الإعدادات!$I$7:$I$18,MONTH(A1311)))</f>
        <v/>
      </c>
      <c r="R1311" s="20">
        <f>IF(A1311="","",IF(MONTH(A1311)&gt;=8,YEAR(A1311)&amp;"-"&amp;(YEAR(A1311)+1),(YEAR(A1311)-1)&amp;"-"&amp;YEAR(A1311)))</f>
        <v/>
      </c>
      <c r="S1311" s="20">
        <f>IF(OR(A1311="",B1311=""),0,IF(AND(R1311=التقارير!$C$4,OR(التقارير!$C$5="سنوي",AND(التقارير!$C$5="شهري",P1311=التقارير!$C$6),AND(التقارير!$C$5="فصلي",Q1311=التقارير!$C$7))),1,0))</f>
        <v/>
      </c>
      <c r="T1311" s="20">
        <f>IF(S1311=1,COUNTIF($S$5:S1311,1),"")</f>
        <v/>
      </c>
      <c r="U1311">
        <f>IF(AND($A1311&lt;&gt;"",$B1311&lt;&gt;"",$R1311='تقرير الفصل الأول'!$C$4,$Q1311='تقرير الفصل الأول'!$C$7),COUNT(U$4:U1310)+1,"")</f>
        <v/>
      </c>
      <c r="V1311">
        <f>IF(AND($A1311&lt;&gt;"",$B1311&lt;&gt;"",$R1311='تقرير الفصل الثاني'!$C$4,$Q1311='تقرير الفصل الثاني'!$C$7),COUNT(V$4:V1310)+1,"")</f>
        <v/>
      </c>
      <c r="W1311">
        <f>IF(AND($A1311&lt;&gt;"",$B1311&lt;&gt;"",$R1311='تقرير سبتمبر'!$C$4,$P1311='تقرير سبتمبر'!$C$6),COUNT(W$4:W1310)+1,"")</f>
        <v/>
      </c>
      <c r="X1311">
        <f>IF(AND($A1311&lt;&gt;"",$B1311&lt;&gt;"",$R1311='تقرير أكتوبر'!$C$4,$P1311='تقرير أكتوبر'!$C$6),COUNT(X$4:X1310)+1,"")</f>
        <v/>
      </c>
      <c r="Y1311">
        <f>IF(AND($A1311&lt;&gt;"",$B1311&lt;&gt;"",$R1311='تقرير نوفمبر'!$C$4,$P1311='تقرير نوفمبر'!$C$6),COUNT(Y$4:Y1310)+1,"")</f>
        <v/>
      </c>
      <c r="Z1311">
        <f>IF(AND($A1311&lt;&gt;"",$B1311&lt;&gt;"",$R1311='تقرير ديسمبر'!$C$4,$P1311='تقرير ديسمبر'!$C$6),COUNT(Z$4:Z1310)+1,"")</f>
        <v/>
      </c>
      <c r="AA1311">
        <f>IF(AND($A1311&lt;&gt;"",$B1311&lt;&gt;"",$R1311='تقرير يناير'!$C$4,$P1311='تقرير يناير'!$C$6),COUNT(AA$4:AA1310)+1,"")</f>
        <v/>
      </c>
      <c r="AB1311">
        <f>IF(AND($A1311&lt;&gt;"",$B1311&lt;&gt;"",$R1311='تقرير فبراير'!$C$4,$P1311='تقرير فبراير'!$C$6),COUNT(AB$4:AB1310)+1,"")</f>
        <v/>
      </c>
      <c r="AC1311">
        <f>IF(AND($A1311&lt;&gt;"",$B1311&lt;&gt;"",$R1311='تقرير مارس'!$C$4,$P1311='تقرير مارس'!$C$6),COUNT(AC$4:AC1310)+1,"")</f>
        <v/>
      </c>
      <c r="AD1311">
        <f>IF(AND($A1311&lt;&gt;"",$B1311&lt;&gt;"",$R1311='تقرير أبريل'!$C$4,$P1311='تقرير أبريل'!$C$6),COUNT(AD$4:AD1310)+1,"")</f>
        <v/>
      </c>
      <c r="AE1311">
        <f>IF(AND($A1311&lt;&gt;"",$B1311&lt;&gt;"",$R1311='تقرير مايو'!$C$4,$P1311='تقرير مايو'!$C$6),COUNT(AE$4:AE1310)+1,"")</f>
        <v/>
      </c>
    </row>
    <row r="1312">
      <c r="A1312" s="16" t="n"/>
      <c r="B1312" s="17" t="n"/>
      <c r="C1312" s="17" t="n"/>
      <c r="D1312" s="18" t="n"/>
      <c r="E1312" s="17" t="n"/>
      <c r="F1312" s="17" t="n"/>
      <c r="G1312" s="19" t="n"/>
      <c r="H1312" s="17" t="n"/>
      <c r="I1312" s="17" t="n"/>
      <c r="J1312" s="17" t="n"/>
      <c r="K1312" s="20">
        <f>IF($B1312="","",IFERROR(INDEX(الموظفات!$A$5:$A$304,MATCH($B1312,الموظفات!$B$5:$B$304,0))&amp;"",""))</f>
        <v/>
      </c>
      <c r="L1312" s="21">
        <f>IF($B1312="","",IFERROR(INDEX(الموظفات!$C$5:$C$304,MATCH($B1312,الموظفات!$B$5:$B$304,0))&amp;"",""))</f>
        <v/>
      </c>
      <c r="M1312" s="20">
        <f>IF($B1312="","",IFERROR(INDEX(الموظفات!$D$5:$D$304,MATCH($B1312,الموظفات!$B$5:$B$304,0))&amp;"",""))</f>
        <v/>
      </c>
      <c r="N1312" s="20">
        <f>IF($B1312="","",IFERROR(INDEX(الموظفات!$E$5:$E$304,MATCH($B1312,الموظفات!$B$5:$B$304,0))&amp;"",""))</f>
        <v/>
      </c>
      <c r="O1312" s="21">
        <f>IF(C1312="","",IFERROR(INDEX(الإعدادات!$D$7:$D$35,MATCH(C1312,الإعدادات!$A$7:$A$35,0))&amp;"",""))</f>
        <v/>
      </c>
      <c r="P1312" s="20">
        <f>IF(A1312="","",INDEX(الإعدادات!$H$7:$H$18,MONTH(A1312)))</f>
        <v/>
      </c>
      <c r="Q1312" s="20">
        <f>IF(A1312="","",INDEX(الإعدادات!$I$7:$I$18,MONTH(A1312)))</f>
        <v/>
      </c>
      <c r="R1312" s="20">
        <f>IF(A1312="","",IF(MONTH(A1312)&gt;=8,YEAR(A1312)&amp;"-"&amp;(YEAR(A1312)+1),(YEAR(A1312)-1)&amp;"-"&amp;YEAR(A1312)))</f>
        <v/>
      </c>
      <c r="S1312" s="20">
        <f>IF(OR(A1312="",B1312=""),0,IF(AND(R1312=التقارير!$C$4,OR(التقارير!$C$5="سنوي",AND(التقارير!$C$5="شهري",P1312=التقارير!$C$6),AND(التقارير!$C$5="فصلي",Q1312=التقارير!$C$7))),1,0))</f>
        <v/>
      </c>
      <c r="T1312" s="20">
        <f>IF(S1312=1,COUNTIF($S$5:S1312,1),"")</f>
        <v/>
      </c>
      <c r="U1312">
        <f>IF(AND($A1312&lt;&gt;"",$B1312&lt;&gt;"",$R1312='تقرير الفصل الأول'!$C$4,$Q1312='تقرير الفصل الأول'!$C$7),COUNT(U$4:U1311)+1,"")</f>
        <v/>
      </c>
      <c r="V1312">
        <f>IF(AND($A1312&lt;&gt;"",$B1312&lt;&gt;"",$R1312='تقرير الفصل الثاني'!$C$4,$Q1312='تقرير الفصل الثاني'!$C$7),COUNT(V$4:V1311)+1,"")</f>
        <v/>
      </c>
      <c r="W1312">
        <f>IF(AND($A1312&lt;&gt;"",$B1312&lt;&gt;"",$R1312='تقرير سبتمبر'!$C$4,$P1312='تقرير سبتمبر'!$C$6),COUNT(W$4:W1311)+1,"")</f>
        <v/>
      </c>
      <c r="X1312">
        <f>IF(AND($A1312&lt;&gt;"",$B1312&lt;&gt;"",$R1312='تقرير أكتوبر'!$C$4,$P1312='تقرير أكتوبر'!$C$6),COUNT(X$4:X1311)+1,"")</f>
        <v/>
      </c>
      <c r="Y1312">
        <f>IF(AND($A1312&lt;&gt;"",$B1312&lt;&gt;"",$R1312='تقرير نوفمبر'!$C$4,$P1312='تقرير نوفمبر'!$C$6),COUNT(Y$4:Y1311)+1,"")</f>
        <v/>
      </c>
      <c r="Z1312">
        <f>IF(AND($A1312&lt;&gt;"",$B1312&lt;&gt;"",$R1312='تقرير ديسمبر'!$C$4,$P1312='تقرير ديسمبر'!$C$6),COUNT(Z$4:Z1311)+1,"")</f>
        <v/>
      </c>
      <c r="AA1312">
        <f>IF(AND($A1312&lt;&gt;"",$B1312&lt;&gt;"",$R1312='تقرير يناير'!$C$4,$P1312='تقرير يناير'!$C$6),COUNT(AA$4:AA1311)+1,"")</f>
        <v/>
      </c>
      <c r="AB1312">
        <f>IF(AND($A1312&lt;&gt;"",$B1312&lt;&gt;"",$R1312='تقرير فبراير'!$C$4,$P1312='تقرير فبراير'!$C$6),COUNT(AB$4:AB1311)+1,"")</f>
        <v/>
      </c>
      <c r="AC1312">
        <f>IF(AND($A1312&lt;&gt;"",$B1312&lt;&gt;"",$R1312='تقرير مارس'!$C$4,$P1312='تقرير مارس'!$C$6),COUNT(AC$4:AC1311)+1,"")</f>
        <v/>
      </c>
      <c r="AD1312">
        <f>IF(AND($A1312&lt;&gt;"",$B1312&lt;&gt;"",$R1312='تقرير أبريل'!$C$4,$P1312='تقرير أبريل'!$C$6),COUNT(AD$4:AD1311)+1,"")</f>
        <v/>
      </c>
      <c r="AE1312">
        <f>IF(AND($A1312&lt;&gt;"",$B1312&lt;&gt;"",$R1312='تقرير مايو'!$C$4,$P1312='تقرير مايو'!$C$6),COUNT(AE$4:AE1311)+1,"")</f>
        <v/>
      </c>
    </row>
    <row r="1313">
      <c r="A1313" s="16" t="n"/>
      <c r="B1313" s="17" t="n"/>
      <c r="C1313" s="17" t="n"/>
      <c r="D1313" s="18" t="n"/>
      <c r="E1313" s="17" t="n"/>
      <c r="F1313" s="17" t="n"/>
      <c r="G1313" s="19" t="n"/>
      <c r="H1313" s="17" t="n"/>
      <c r="I1313" s="17" t="n"/>
      <c r="J1313" s="17" t="n"/>
      <c r="K1313" s="20">
        <f>IF($B1313="","",IFERROR(INDEX(الموظفات!$A$5:$A$304,MATCH($B1313,الموظفات!$B$5:$B$304,0))&amp;"",""))</f>
        <v/>
      </c>
      <c r="L1313" s="21">
        <f>IF($B1313="","",IFERROR(INDEX(الموظفات!$C$5:$C$304,MATCH($B1313,الموظفات!$B$5:$B$304,0))&amp;"",""))</f>
        <v/>
      </c>
      <c r="M1313" s="20">
        <f>IF($B1313="","",IFERROR(INDEX(الموظفات!$D$5:$D$304,MATCH($B1313,الموظفات!$B$5:$B$304,0))&amp;"",""))</f>
        <v/>
      </c>
      <c r="N1313" s="20">
        <f>IF($B1313="","",IFERROR(INDEX(الموظفات!$E$5:$E$304,MATCH($B1313,الموظفات!$B$5:$B$304,0))&amp;"",""))</f>
        <v/>
      </c>
      <c r="O1313" s="21">
        <f>IF(C1313="","",IFERROR(INDEX(الإعدادات!$D$7:$D$35,MATCH(C1313,الإعدادات!$A$7:$A$35,0))&amp;"",""))</f>
        <v/>
      </c>
      <c r="P1313" s="20">
        <f>IF(A1313="","",INDEX(الإعدادات!$H$7:$H$18,MONTH(A1313)))</f>
        <v/>
      </c>
      <c r="Q1313" s="20">
        <f>IF(A1313="","",INDEX(الإعدادات!$I$7:$I$18,MONTH(A1313)))</f>
        <v/>
      </c>
      <c r="R1313" s="20">
        <f>IF(A1313="","",IF(MONTH(A1313)&gt;=8,YEAR(A1313)&amp;"-"&amp;(YEAR(A1313)+1),(YEAR(A1313)-1)&amp;"-"&amp;YEAR(A1313)))</f>
        <v/>
      </c>
      <c r="S1313" s="20">
        <f>IF(OR(A1313="",B1313=""),0,IF(AND(R1313=التقارير!$C$4,OR(التقارير!$C$5="سنوي",AND(التقارير!$C$5="شهري",P1313=التقارير!$C$6),AND(التقارير!$C$5="فصلي",Q1313=التقارير!$C$7))),1,0))</f>
        <v/>
      </c>
      <c r="T1313" s="20">
        <f>IF(S1313=1,COUNTIF($S$5:S1313,1),"")</f>
        <v/>
      </c>
      <c r="U1313">
        <f>IF(AND($A1313&lt;&gt;"",$B1313&lt;&gt;"",$R1313='تقرير الفصل الأول'!$C$4,$Q1313='تقرير الفصل الأول'!$C$7),COUNT(U$4:U1312)+1,"")</f>
        <v/>
      </c>
      <c r="V1313">
        <f>IF(AND($A1313&lt;&gt;"",$B1313&lt;&gt;"",$R1313='تقرير الفصل الثاني'!$C$4,$Q1313='تقرير الفصل الثاني'!$C$7),COUNT(V$4:V1312)+1,"")</f>
        <v/>
      </c>
      <c r="W1313">
        <f>IF(AND($A1313&lt;&gt;"",$B1313&lt;&gt;"",$R1313='تقرير سبتمبر'!$C$4,$P1313='تقرير سبتمبر'!$C$6),COUNT(W$4:W1312)+1,"")</f>
        <v/>
      </c>
      <c r="X1313">
        <f>IF(AND($A1313&lt;&gt;"",$B1313&lt;&gt;"",$R1313='تقرير أكتوبر'!$C$4,$P1313='تقرير أكتوبر'!$C$6),COUNT(X$4:X1312)+1,"")</f>
        <v/>
      </c>
      <c r="Y1313">
        <f>IF(AND($A1313&lt;&gt;"",$B1313&lt;&gt;"",$R1313='تقرير نوفمبر'!$C$4,$P1313='تقرير نوفمبر'!$C$6),COUNT(Y$4:Y1312)+1,"")</f>
        <v/>
      </c>
      <c r="Z1313">
        <f>IF(AND($A1313&lt;&gt;"",$B1313&lt;&gt;"",$R1313='تقرير ديسمبر'!$C$4,$P1313='تقرير ديسمبر'!$C$6),COUNT(Z$4:Z1312)+1,"")</f>
        <v/>
      </c>
      <c r="AA1313">
        <f>IF(AND($A1313&lt;&gt;"",$B1313&lt;&gt;"",$R1313='تقرير يناير'!$C$4,$P1313='تقرير يناير'!$C$6),COUNT(AA$4:AA1312)+1,"")</f>
        <v/>
      </c>
      <c r="AB1313">
        <f>IF(AND($A1313&lt;&gt;"",$B1313&lt;&gt;"",$R1313='تقرير فبراير'!$C$4,$P1313='تقرير فبراير'!$C$6),COUNT(AB$4:AB1312)+1,"")</f>
        <v/>
      </c>
      <c r="AC1313">
        <f>IF(AND($A1313&lt;&gt;"",$B1313&lt;&gt;"",$R1313='تقرير مارس'!$C$4,$P1313='تقرير مارس'!$C$6),COUNT(AC$4:AC1312)+1,"")</f>
        <v/>
      </c>
      <c r="AD1313">
        <f>IF(AND($A1313&lt;&gt;"",$B1313&lt;&gt;"",$R1313='تقرير أبريل'!$C$4,$P1313='تقرير أبريل'!$C$6),COUNT(AD$4:AD1312)+1,"")</f>
        <v/>
      </c>
      <c r="AE1313">
        <f>IF(AND($A1313&lt;&gt;"",$B1313&lt;&gt;"",$R1313='تقرير مايو'!$C$4,$P1313='تقرير مايو'!$C$6),COUNT(AE$4:AE1312)+1,"")</f>
        <v/>
      </c>
    </row>
    <row r="1314">
      <c r="A1314" s="16" t="n"/>
      <c r="B1314" s="17" t="n"/>
      <c r="C1314" s="17" t="n"/>
      <c r="D1314" s="18" t="n"/>
      <c r="E1314" s="17" t="n"/>
      <c r="F1314" s="17" t="n"/>
      <c r="G1314" s="19" t="n"/>
      <c r="H1314" s="17" t="n"/>
      <c r="I1314" s="17" t="n"/>
      <c r="J1314" s="17" t="n"/>
      <c r="K1314" s="20">
        <f>IF($B1314="","",IFERROR(INDEX(الموظفات!$A$5:$A$304,MATCH($B1314,الموظفات!$B$5:$B$304,0))&amp;"",""))</f>
        <v/>
      </c>
      <c r="L1314" s="21">
        <f>IF($B1314="","",IFERROR(INDEX(الموظفات!$C$5:$C$304,MATCH($B1314,الموظفات!$B$5:$B$304,0))&amp;"",""))</f>
        <v/>
      </c>
      <c r="M1314" s="20">
        <f>IF($B1314="","",IFERROR(INDEX(الموظفات!$D$5:$D$304,MATCH($B1314,الموظفات!$B$5:$B$304,0))&amp;"",""))</f>
        <v/>
      </c>
      <c r="N1314" s="20">
        <f>IF($B1314="","",IFERROR(INDEX(الموظفات!$E$5:$E$304,MATCH($B1314,الموظفات!$B$5:$B$304,0))&amp;"",""))</f>
        <v/>
      </c>
      <c r="O1314" s="21">
        <f>IF(C1314="","",IFERROR(INDEX(الإعدادات!$D$7:$D$35,MATCH(C1314,الإعدادات!$A$7:$A$35,0))&amp;"",""))</f>
        <v/>
      </c>
      <c r="P1314" s="20">
        <f>IF(A1314="","",INDEX(الإعدادات!$H$7:$H$18,MONTH(A1314)))</f>
        <v/>
      </c>
      <c r="Q1314" s="20">
        <f>IF(A1314="","",INDEX(الإعدادات!$I$7:$I$18,MONTH(A1314)))</f>
        <v/>
      </c>
      <c r="R1314" s="20">
        <f>IF(A1314="","",IF(MONTH(A1314)&gt;=8,YEAR(A1314)&amp;"-"&amp;(YEAR(A1314)+1),(YEAR(A1314)-1)&amp;"-"&amp;YEAR(A1314)))</f>
        <v/>
      </c>
      <c r="S1314" s="20">
        <f>IF(OR(A1314="",B1314=""),0,IF(AND(R1314=التقارير!$C$4,OR(التقارير!$C$5="سنوي",AND(التقارير!$C$5="شهري",P1314=التقارير!$C$6),AND(التقارير!$C$5="فصلي",Q1314=التقارير!$C$7))),1,0))</f>
        <v/>
      </c>
      <c r="T1314" s="20">
        <f>IF(S1314=1,COUNTIF($S$5:S1314,1),"")</f>
        <v/>
      </c>
      <c r="U1314">
        <f>IF(AND($A1314&lt;&gt;"",$B1314&lt;&gt;"",$R1314='تقرير الفصل الأول'!$C$4,$Q1314='تقرير الفصل الأول'!$C$7),COUNT(U$4:U1313)+1,"")</f>
        <v/>
      </c>
      <c r="V1314">
        <f>IF(AND($A1314&lt;&gt;"",$B1314&lt;&gt;"",$R1314='تقرير الفصل الثاني'!$C$4,$Q1314='تقرير الفصل الثاني'!$C$7),COUNT(V$4:V1313)+1,"")</f>
        <v/>
      </c>
      <c r="W1314">
        <f>IF(AND($A1314&lt;&gt;"",$B1314&lt;&gt;"",$R1314='تقرير سبتمبر'!$C$4,$P1314='تقرير سبتمبر'!$C$6),COUNT(W$4:W1313)+1,"")</f>
        <v/>
      </c>
      <c r="X1314">
        <f>IF(AND($A1314&lt;&gt;"",$B1314&lt;&gt;"",$R1314='تقرير أكتوبر'!$C$4,$P1314='تقرير أكتوبر'!$C$6),COUNT(X$4:X1313)+1,"")</f>
        <v/>
      </c>
      <c r="Y1314">
        <f>IF(AND($A1314&lt;&gt;"",$B1314&lt;&gt;"",$R1314='تقرير نوفمبر'!$C$4,$P1314='تقرير نوفمبر'!$C$6),COUNT(Y$4:Y1313)+1,"")</f>
        <v/>
      </c>
      <c r="Z1314">
        <f>IF(AND($A1314&lt;&gt;"",$B1314&lt;&gt;"",$R1314='تقرير ديسمبر'!$C$4,$P1314='تقرير ديسمبر'!$C$6),COUNT(Z$4:Z1313)+1,"")</f>
        <v/>
      </c>
      <c r="AA1314">
        <f>IF(AND($A1314&lt;&gt;"",$B1314&lt;&gt;"",$R1314='تقرير يناير'!$C$4,$P1314='تقرير يناير'!$C$6),COUNT(AA$4:AA1313)+1,"")</f>
        <v/>
      </c>
      <c r="AB1314">
        <f>IF(AND($A1314&lt;&gt;"",$B1314&lt;&gt;"",$R1314='تقرير فبراير'!$C$4,$P1314='تقرير فبراير'!$C$6),COUNT(AB$4:AB1313)+1,"")</f>
        <v/>
      </c>
      <c r="AC1314">
        <f>IF(AND($A1314&lt;&gt;"",$B1314&lt;&gt;"",$R1314='تقرير مارس'!$C$4,$P1314='تقرير مارس'!$C$6),COUNT(AC$4:AC1313)+1,"")</f>
        <v/>
      </c>
      <c r="AD1314">
        <f>IF(AND($A1314&lt;&gt;"",$B1314&lt;&gt;"",$R1314='تقرير أبريل'!$C$4,$P1314='تقرير أبريل'!$C$6),COUNT(AD$4:AD1313)+1,"")</f>
        <v/>
      </c>
      <c r="AE1314">
        <f>IF(AND($A1314&lt;&gt;"",$B1314&lt;&gt;"",$R1314='تقرير مايو'!$C$4,$P1314='تقرير مايو'!$C$6),COUNT(AE$4:AE1313)+1,"")</f>
        <v/>
      </c>
    </row>
    <row r="1315">
      <c r="A1315" s="16" t="n"/>
      <c r="B1315" s="17" t="n"/>
      <c r="C1315" s="17" t="n"/>
      <c r="D1315" s="18" t="n"/>
      <c r="E1315" s="17" t="n"/>
      <c r="F1315" s="17" t="n"/>
      <c r="G1315" s="19" t="n"/>
      <c r="H1315" s="17" t="n"/>
      <c r="I1315" s="17" t="n"/>
      <c r="J1315" s="17" t="n"/>
      <c r="K1315" s="20">
        <f>IF($B1315="","",IFERROR(INDEX(الموظفات!$A$5:$A$304,MATCH($B1315,الموظفات!$B$5:$B$304,0))&amp;"",""))</f>
        <v/>
      </c>
      <c r="L1315" s="21">
        <f>IF($B1315="","",IFERROR(INDEX(الموظفات!$C$5:$C$304,MATCH($B1315,الموظفات!$B$5:$B$304,0))&amp;"",""))</f>
        <v/>
      </c>
      <c r="M1315" s="20">
        <f>IF($B1315="","",IFERROR(INDEX(الموظفات!$D$5:$D$304,MATCH($B1315,الموظفات!$B$5:$B$304,0))&amp;"",""))</f>
        <v/>
      </c>
      <c r="N1315" s="20">
        <f>IF($B1315="","",IFERROR(INDEX(الموظفات!$E$5:$E$304,MATCH($B1315,الموظفات!$B$5:$B$304,0))&amp;"",""))</f>
        <v/>
      </c>
      <c r="O1315" s="21">
        <f>IF(C1315="","",IFERROR(INDEX(الإعدادات!$D$7:$D$35,MATCH(C1315,الإعدادات!$A$7:$A$35,0))&amp;"",""))</f>
        <v/>
      </c>
      <c r="P1315" s="20">
        <f>IF(A1315="","",INDEX(الإعدادات!$H$7:$H$18,MONTH(A1315)))</f>
        <v/>
      </c>
      <c r="Q1315" s="20">
        <f>IF(A1315="","",INDEX(الإعدادات!$I$7:$I$18,MONTH(A1315)))</f>
        <v/>
      </c>
      <c r="R1315" s="20">
        <f>IF(A1315="","",IF(MONTH(A1315)&gt;=8,YEAR(A1315)&amp;"-"&amp;(YEAR(A1315)+1),(YEAR(A1315)-1)&amp;"-"&amp;YEAR(A1315)))</f>
        <v/>
      </c>
      <c r="S1315" s="20">
        <f>IF(OR(A1315="",B1315=""),0,IF(AND(R1315=التقارير!$C$4,OR(التقارير!$C$5="سنوي",AND(التقارير!$C$5="شهري",P1315=التقارير!$C$6),AND(التقارير!$C$5="فصلي",Q1315=التقارير!$C$7))),1,0))</f>
        <v/>
      </c>
      <c r="T1315" s="20">
        <f>IF(S1315=1,COUNTIF($S$5:S1315,1),"")</f>
        <v/>
      </c>
      <c r="U1315">
        <f>IF(AND($A1315&lt;&gt;"",$B1315&lt;&gt;"",$R1315='تقرير الفصل الأول'!$C$4,$Q1315='تقرير الفصل الأول'!$C$7),COUNT(U$4:U1314)+1,"")</f>
        <v/>
      </c>
      <c r="V1315">
        <f>IF(AND($A1315&lt;&gt;"",$B1315&lt;&gt;"",$R1315='تقرير الفصل الثاني'!$C$4,$Q1315='تقرير الفصل الثاني'!$C$7),COUNT(V$4:V1314)+1,"")</f>
        <v/>
      </c>
      <c r="W1315">
        <f>IF(AND($A1315&lt;&gt;"",$B1315&lt;&gt;"",$R1315='تقرير سبتمبر'!$C$4,$P1315='تقرير سبتمبر'!$C$6),COUNT(W$4:W1314)+1,"")</f>
        <v/>
      </c>
      <c r="X1315">
        <f>IF(AND($A1315&lt;&gt;"",$B1315&lt;&gt;"",$R1315='تقرير أكتوبر'!$C$4,$P1315='تقرير أكتوبر'!$C$6),COUNT(X$4:X1314)+1,"")</f>
        <v/>
      </c>
      <c r="Y1315">
        <f>IF(AND($A1315&lt;&gt;"",$B1315&lt;&gt;"",$R1315='تقرير نوفمبر'!$C$4,$P1315='تقرير نوفمبر'!$C$6),COUNT(Y$4:Y1314)+1,"")</f>
        <v/>
      </c>
      <c r="Z1315">
        <f>IF(AND($A1315&lt;&gt;"",$B1315&lt;&gt;"",$R1315='تقرير ديسمبر'!$C$4,$P1315='تقرير ديسمبر'!$C$6),COUNT(Z$4:Z1314)+1,"")</f>
        <v/>
      </c>
      <c r="AA1315">
        <f>IF(AND($A1315&lt;&gt;"",$B1315&lt;&gt;"",$R1315='تقرير يناير'!$C$4,$P1315='تقرير يناير'!$C$6),COUNT(AA$4:AA1314)+1,"")</f>
        <v/>
      </c>
      <c r="AB1315">
        <f>IF(AND($A1315&lt;&gt;"",$B1315&lt;&gt;"",$R1315='تقرير فبراير'!$C$4,$P1315='تقرير فبراير'!$C$6),COUNT(AB$4:AB1314)+1,"")</f>
        <v/>
      </c>
      <c r="AC1315">
        <f>IF(AND($A1315&lt;&gt;"",$B1315&lt;&gt;"",$R1315='تقرير مارس'!$C$4,$P1315='تقرير مارس'!$C$6),COUNT(AC$4:AC1314)+1,"")</f>
        <v/>
      </c>
      <c r="AD1315">
        <f>IF(AND($A1315&lt;&gt;"",$B1315&lt;&gt;"",$R1315='تقرير أبريل'!$C$4,$P1315='تقرير أبريل'!$C$6),COUNT(AD$4:AD1314)+1,"")</f>
        <v/>
      </c>
      <c r="AE1315">
        <f>IF(AND($A1315&lt;&gt;"",$B1315&lt;&gt;"",$R1315='تقرير مايو'!$C$4,$P1315='تقرير مايو'!$C$6),COUNT(AE$4:AE1314)+1,"")</f>
        <v/>
      </c>
    </row>
    <row r="1316">
      <c r="A1316" s="16" t="n"/>
      <c r="B1316" s="17" t="n"/>
      <c r="C1316" s="17" t="n"/>
      <c r="D1316" s="18" t="n"/>
      <c r="E1316" s="17" t="n"/>
      <c r="F1316" s="17" t="n"/>
      <c r="G1316" s="19" t="n"/>
      <c r="H1316" s="17" t="n"/>
      <c r="I1316" s="17" t="n"/>
      <c r="J1316" s="17" t="n"/>
      <c r="K1316" s="20">
        <f>IF($B1316="","",IFERROR(INDEX(الموظفات!$A$5:$A$304,MATCH($B1316,الموظفات!$B$5:$B$304,0))&amp;"",""))</f>
        <v/>
      </c>
      <c r="L1316" s="21">
        <f>IF($B1316="","",IFERROR(INDEX(الموظفات!$C$5:$C$304,MATCH($B1316,الموظفات!$B$5:$B$304,0))&amp;"",""))</f>
        <v/>
      </c>
      <c r="M1316" s="20">
        <f>IF($B1316="","",IFERROR(INDEX(الموظفات!$D$5:$D$304,MATCH($B1316,الموظفات!$B$5:$B$304,0))&amp;"",""))</f>
        <v/>
      </c>
      <c r="N1316" s="20">
        <f>IF($B1316="","",IFERROR(INDEX(الموظفات!$E$5:$E$304,MATCH($B1316,الموظفات!$B$5:$B$304,0))&amp;"",""))</f>
        <v/>
      </c>
      <c r="O1316" s="21">
        <f>IF(C1316="","",IFERROR(INDEX(الإعدادات!$D$7:$D$35,MATCH(C1316,الإعدادات!$A$7:$A$35,0))&amp;"",""))</f>
        <v/>
      </c>
      <c r="P1316" s="20">
        <f>IF(A1316="","",INDEX(الإعدادات!$H$7:$H$18,MONTH(A1316)))</f>
        <v/>
      </c>
      <c r="Q1316" s="20">
        <f>IF(A1316="","",INDEX(الإعدادات!$I$7:$I$18,MONTH(A1316)))</f>
        <v/>
      </c>
      <c r="R1316" s="20">
        <f>IF(A1316="","",IF(MONTH(A1316)&gt;=8,YEAR(A1316)&amp;"-"&amp;(YEAR(A1316)+1),(YEAR(A1316)-1)&amp;"-"&amp;YEAR(A1316)))</f>
        <v/>
      </c>
      <c r="S1316" s="20">
        <f>IF(OR(A1316="",B1316=""),0,IF(AND(R1316=التقارير!$C$4,OR(التقارير!$C$5="سنوي",AND(التقارير!$C$5="شهري",P1316=التقارير!$C$6),AND(التقارير!$C$5="فصلي",Q1316=التقارير!$C$7))),1,0))</f>
        <v/>
      </c>
      <c r="T1316" s="20">
        <f>IF(S1316=1,COUNTIF($S$5:S1316,1),"")</f>
        <v/>
      </c>
      <c r="U1316">
        <f>IF(AND($A1316&lt;&gt;"",$B1316&lt;&gt;"",$R1316='تقرير الفصل الأول'!$C$4,$Q1316='تقرير الفصل الأول'!$C$7),COUNT(U$4:U1315)+1,"")</f>
        <v/>
      </c>
      <c r="V1316">
        <f>IF(AND($A1316&lt;&gt;"",$B1316&lt;&gt;"",$R1316='تقرير الفصل الثاني'!$C$4,$Q1316='تقرير الفصل الثاني'!$C$7),COUNT(V$4:V1315)+1,"")</f>
        <v/>
      </c>
      <c r="W1316">
        <f>IF(AND($A1316&lt;&gt;"",$B1316&lt;&gt;"",$R1316='تقرير سبتمبر'!$C$4,$P1316='تقرير سبتمبر'!$C$6),COUNT(W$4:W1315)+1,"")</f>
        <v/>
      </c>
      <c r="X1316">
        <f>IF(AND($A1316&lt;&gt;"",$B1316&lt;&gt;"",$R1316='تقرير أكتوبر'!$C$4,$P1316='تقرير أكتوبر'!$C$6),COUNT(X$4:X1315)+1,"")</f>
        <v/>
      </c>
      <c r="Y1316">
        <f>IF(AND($A1316&lt;&gt;"",$B1316&lt;&gt;"",$R1316='تقرير نوفمبر'!$C$4,$P1316='تقرير نوفمبر'!$C$6),COUNT(Y$4:Y1315)+1,"")</f>
        <v/>
      </c>
      <c r="Z1316">
        <f>IF(AND($A1316&lt;&gt;"",$B1316&lt;&gt;"",$R1316='تقرير ديسمبر'!$C$4,$P1316='تقرير ديسمبر'!$C$6),COUNT(Z$4:Z1315)+1,"")</f>
        <v/>
      </c>
      <c r="AA1316">
        <f>IF(AND($A1316&lt;&gt;"",$B1316&lt;&gt;"",$R1316='تقرير يناير'!$C$4,$P1316='تقرير يناير'!$C$6),COUNT(AA$4:AA1315)+1,"")</f>
        <v/>
      </c>
      <c r="AB1316">
        <f>IF(AND($A1316&lt;&gt;"",$B1316&lt;&gt;"",$R1316='تقرير فبراير'!$C$4,$P1316='تقرير فبراير'!$C$6),COUNT(AB$4:AB1315)+1,"")</f>
        <v/>
      </c>
      <c r="AC1316">
        <f>IF(AND($A1316&lt;&gt;"",$B1316&lt;&gt;"",$R1316='تقرير مارس'!$C$4,$P1316='تقرير مارس'!$C$6),COUNT(AC$4:AC1315)+1,"")</f>
        <v/>
      </c>
      <c r="AD1316">
        <f>IF(AND($A1316&lt;&gt;"",$B1316&lt;&gt;"",$R1316='تقرير أبريل'!$C$4,$P1316='تقرير أبريل'!$C$6),COUNT(AD$4:AD1315)+1,"")</f>
        <v/>
      </c>
      <c r="AE1316">
        <f>IF(AND($A1316&lt;&gt;"",$B1316&lt;&gt;"",$R1316='تقرير مايو'!$C$4,$P1316='تقرير مايو'!$C$6),COUNT(AE$4:AE1315)+1,"")</f>
        <v/>
      </c>
    </row>
    <row r="1317">
      <c r="A1317" s="16" t="n"/>
      <c r="B1317" s="17" t="n"/>
      <c r="C1317" s="17" t="n"/>
      <c r="D1317" s="18" t="n"/>
      <c r="E1317" s="17" t="n"/>
      <c r="F1317" s="17" t="n"/>
      <c r="G1317" s="19" t="n"/>
      <c r="H1317" s="17" t="n"/>
      <c r="I1317" s="17" t="n"/>
      <c r="J1317" s="17" t="n"/>
      <c r="K1317" s="20">
        <f>IF($B1317="","",IFERROR(INDEX(الموظفات!$A$5:$A$304,MATCH($B1317,الموظفات!$B$5:$B$304,0))&amp;"",""))</f>
        <v/>
      </c>
      <c r="L1317" s="21">
        <f>IF($B1317="","",IFERROR(INDEX(الموظفات!$C$5:$C$304,MATCH($B1317,الموظفات!$B$5:$B$304,0))&amp;"",""))</f>
        <v/>
      </c>
      <c r="M1317" s="20">
        <f>IF($B1317="","",IFERROR(INDEX(الموظفات!$D$5:$D$304,MATCH($B1317,الموظفات!$B$5:$B$304,0))&amp;"",""))</f>
        <v/>
      </c>
      <c r="N1317" s="20">
        <f>IF($B1317="","",IFERROR(INDEX(الموظفات!$E$5:$E$304,MATCH($B1317,الموظفات!$B$5:$B$304,0))&amp;"",""))</f>
        <v/>
      </c>
      <c r="O1317" s="21">
        <f>IF(C1317="","",IFERROR(INDEX(الإعدادات!$D$7:$D$35,MATCH(C1317,الإعدادات!$A$7:$A$35,0))&amp;"",""))</f>
        <v/>
      </c>
      <c r="P1317" s="20">
        <f>IF(A1317="","",INDEX(الإعدادات!$H$7:$H$18,MONTH(A1317)))</f>
        <v/>
      </c>
      <c r="Q1317" s="20">
        <f>IF(A1317="","",INDEX(الإعدادات!$I$7:$I$18,MONTH(A1317)))</f>
        <v/>
      </c>
      <c r="R1317" s="20">
        <f>IF(A1317="","",IF(MONTH(A1317)&gt;=8,YEAR(A1317)&amp;"-"&amp;(YEAR(A1317)+1),(YEAR(A1317)-1)&amp;"-"&amp;YEAR(A1317)))</f>
        <v/>
      </c>
      <c r="S1317" s="20">
        <f>IF(OR(A1317="",B1317=""),0,IF(AND(R1317=التقارير!$C$4,OR(التقارير!$C$5="سنوي",AND(التقارير!$C$5="شهري",P1317=التقارير!$C$6),AND(التقارير!$C$5="فصلي",Q1317=التقارير!$C$7))),1,0))</f>
        <v/>
      </c>
      <c r="T1317" s="20">
        <f>IF(S1317=1,COUNTIF($S$5:S1317,1),"")</f>
        <v/>
      </c>
      <c r="U1317">
        <f>IF(AND($A1317&lt;&gt;"",$B1317&lt;&gt;"",$R1317='تقرير الفصل الأول'!$C$4,$Q1317='تقرير الفصل الأول'!$C$7),COUNT(U$4:U1316)+1,"")</f>
        <v/>
      </c>
      <c r="V1317">
        <f>IF(AND($A1317&lt;&gt;"",$B1317&lt;&gt;"",$R1317='تقرير الفصل الثاني'!$C$4,$Q1317='تقرير الفصل الثاني'!$C$7),COUNT(V$4:V1316)+1,"")</f>
        <v/>
      </c>
      <c r="W1317">
        <f>IF(AND($A1317&lt;&gt;"",$B1317&lt;&gt;"",$R1317='تقرير سبتمبر'!$C$4,$P1317='تقرير سبتمبر'!$C$6),COUNT(W$4:W1316)+1,"")</f>
        <v/>
      </c>
      <c r="X1317">
        <f>IF(AND($A1317&lt;&gt;"",$B1317&lt;&gt;"",$R1317='تقرير أكتوبر'!$C$4,$P1317='تقرير أكتوبر'!$C$6),COUNT(X$4:X1316)+1,"")</f>
        <v/>
      </c>
      <c r="Y1317">
        <f>IF(AND($A1317&lt;&gt;"",$B1317&lt;&gt;"",$R1317='تقرير نوفمبر'!$C$4,$P1317='تقرير نوفمبر'!$C$6),COUNT(Y$4:Y1316)+1,"")</f>
        <v/>
      </c>
      <c r="Z1317">
        <f>IF(AND($A1317&lt;&gt;"",$B1317&lt;&gt;"",$R1317='تقرير ديسمبر'!$C$4,$P1317='تقرير ديسمبر'!$C$6),COUNT(Z$4:Z1316)+1,"")</f>
        <v/>
      </c>
      <c r="AA1317">
        <f>IF(AND($A1317&lt;&gt;"",$B1317&lt;&gt;"",$R1317='تقرير يناير'!$C$4,$P1317='تقرير يناير'!$C$6),COUNT(AA$4:AA1316)+1,"")</f>
        <v/>
      </c>
      <c r="AB1317">
        <f>IF(AND($A1317&lt;&gt;"",$B1317&lt;&gt;"",$R1317='تقرير فبراير'!$C$4,$P1317='تقرير فبراير'!$C$6),COUNT(AB$4:AB1316)+1,"")</f>
        <v/>
      </c>
      <c r="AC1317">
        <f>IF(AND($A1317&lt;&gt;"",$B1317&lt;&gt;"",$R1317='تقرير مارس'!$C$4,$P1317='تقرير مارس'!$C$6),COUNT(AC$4:AC1316)+1,"")</f>
        <v/>
      </c>
      <c r="AD1317">
        <f>IF(AND($A1317&lt;&gt;"",$B1317&lt;&gt;"",$R1317='تقرير أبريل'!$C$4,$P1317='تقرير أبريل'!$C$6),COUNT(AD$4:AD1316)+1,"")</f>
        <v/>
      </c>
      <c r="AE1317">
        <f>IF(AND($A1317&lt;&gt;"",$B1317&lt;&gt;"",$R1317='تقرير مايو'!$C$4,$P1317='تقرير مايو'!$C$6),COUNT(AE$4:AE1316)+1,"")</f>
        <v/>
      </c>
    </row>
    <row r="1318">
      <c r="A1318" s="16" t="n"/>
      <c r="B1318" s="17" t="n"/>
      <c r="C1318" s="17" t="n"/>
      <c r="D1318" s="18" t="n"/>
      <c r="E1318" s="17" t="n"/>
      <c r="F1318" s="17" t="n"/>
      <c r="G1318" s="19" t="n"/>
      <c r="H1318" s="17" t="n"/>
      <c r="I1318" s="17" t="n"/>
      <c r="J1318" s="17" t="n"/>
      <c r="K1318" s="20">
        <f>IF($B1318="","",IFERROR(INDEX(الموظفات!$A$5:$A$304,MATCH($B1318,الموظفات!$B$5:$B$304,0))&amp;"",""))</f>
        <v/>
      </c>
      <c r="L1318" s="21">
        <f>IF($B1318="","",IFERROR(INDEX(الموظفات!$C$5:$C$304,MATCH($B1318,الموظفات!$B$5:$B$304,0))&amp;"",""))</f>
        <v/>
      </c>
      <c r="M1318" s="20">
        <f>IF($B1318="","",IFERROR(INDEX(الموظفات!$D$5:$D$304,MATCH($B1318,الموظفات!$B$5:$B$304,0))&amp;"",""))</f>
        <v/>
      </c>
      <c r="N1318" s="20">
        <f>IF($B1318="","",IFERROR(INDEX(الموظفات!$E$5:$E$304,MATCH($B1318,الموظفات!$B$5:$B$304,0))&amp;"",""))</f>
        <v/>
      </c>
      <c r="O1318" s="21">
        <f>IF(C1318="","",IFERROR(INDEX(الإعدادات!$D$7:$D$35,MATCH(C1318,الإعدادات!$A$7:$A$35,0))&amp;"",""))</f>
        <v/>
      </c>
      <c r="P1318" s="20">
        <f>IF(A1318="","",INDEX(الإعدادات!$H$7:$H$18,MONTH(A1318)))</f>
        <v/>
      </c>
      <c r="Q1318" s="20">
        <f>IF(A1318="","",INDEX(الإعدادات!$I$7:$I$18,MONTH(A1318)))</f>
        <v/>
      </c>
      <c r="R1318" s="20">
        <f>IF(A1318="","",IF(MONTH(A1318)&gt;=8,YEAR(A1318)&amp;"-"&amp;(YEAR(A1318)+1),(YEAR(A1318)-1)&amp;"-"&amp;YEAR(A1318)))</f>
        <v/>
      </c>
      <c r="S1318" s="20">
        <f>IF(OR(A1318="",B1318=""),0,IF(AND(R1318=التقارير!$C$4,OR(التقارير!$C$5="سنوي",AND(التقارير!$C$5="شهري",P1318=التقارير!$C$6),AND(التقارير!$C$5="فصلي",Q1318=التقارير!$C$7))),1,0))</f>
        <v/>
      </c>
      <c r="T1318" s="20">
        <f>IF(S1318=1,COUNTIF($S$5:S1318,1),"")</f>
        <v/>
      </c>
      <c r="U1318">
        <f>IF(AND($A1318&lt;&gt;"",$B1318&lt;&gt;"",$R1318='تقرير الفصل الأول'!$C$4,$Q1318='تقرير الفصل الأول'!$C$7),COUNT(U$4:U1317)+1,"")</f>
        <v/>
      </c>
      <c r="V1318">
        <f>IF(AND($A1318&lt;&gt;"",$B1318&lt;&gt;"",$R1318='تقرير الفصل الثاني'!$C$4,$Q1318='تقرير الفصل الثاني'!$C$7),COUNT(V$4:V1317)+1,"")</f>
        <v/>
      </c>
      <c r="W1318">
        <f>IF(AND($A1318&lt;&gt;"",$B1318&lt;&gt;"",$R1318='تقرير سبتمبر'!$C$4,$P1318='تقرير سبتمبر'!$C$6),COUNT(W$4:W1317)+1,"")</f>
        <v/>
      </c>
      <c r="X1318">
        <f>IF(AND($A1318&lt;&gt;"",$B1318&lt;&gt;"",$R1318='تقرير أكتوبر'!$C$4,$P1318='تقرير أكتوبر'!$C$6),COUNT(X$4:X1317)+1,"")</f>
        <v/>
      </c>
      <c r="Y1318">
        <f>IF(AND($A1318&lt;&gt;"",$B1318&lt;&gt;"",$R1318='تقرير نوفمبر'!$C$4,$P1318='تقرير نوفمبر'!$C$6),COUNT(Y$4:Y1317)+1,"")</f>
        <v/>
      </c>
      <c r="Z1318">
        <f>IF(AND($A1318&lt;&gt;"",$B1318&lt;&gt;"",$R1318='تقرير ديسمبر'!$C$4,$P1318='تقرير ديسمبر'!$C$6),COUNT(Z$4:Z1317)+1,"")</f>
        <v/>
      </c>
      <c r="AA1318">
        <f>IF(AND($A1318&lt;&gt;"",$B1318&lt;&gt;"",$R1318='تقرير يناير'!$C$4,$P1318='تقرير يناير'!$C$6),COUNT(AA$4:AA1317)+1,"")</f>
        <v/>
      </c>
      <c r="AB1318">
        <f>IF(AND($A1318&lt;&gt;"",$B1318&lt;&gt;"",$R1318='تقرير فبراير'!$C$4,$P1318='تقرير فبراير'!$C$6),COUNT(AB$4:AB1317)+1,"")</f>
        <v/>
      </c>
      <c r="AC1318">
        <f>IF(AND($A1318&lt;&gt;"",$B1318&lt;&gt;"",$R1318='تقرير مارس'!$C$4,$P1318='تقرير مارس'!$C$6),COUNT(AC$4:AC1317)+1,"")</f>
        <v/>
      </c>
      <c r="AD1318">
        <f>IF(AND($A1318&lt;&gt;"",$B1318&lt;&gt;"",$R1318='تقرير أبريل'!$C$4,$P1318='تقرير أبريل'!$C$6),COUNT(AD$4:AD1317)+1,"")</f>
        <v/>
      </c>
      <c r="AE1318">
        <f>IF(AND($A1318&lt;&gt;"",$B1318&lt;&gt;"",$R1318='تقرير مايو'!$C$4,$P1318='تقرير مايو'!$C$6),COUNT(AE$4:AE1317)+1,"")</f>
        <v/>
      </c>
    </row>
    <row r="1319">
      <c r="A1319" s="16" t="n"/>
      <c r="B1319" s="17" t="n"/>
      <c r="C1319" s="17" t="n"/>
      <c r="D1319" s="18" t="n"/>
      <c r="E1319" s="17" t="n"/>
      <c r="F1319" s="17" t="n"/>
      <c r="G1319" s="19" t="n"/>
      <c r="H1319" s="17" t="n"/>
      <c r="I1319" s="17" t="n"/>
      <c r="J1319" s="17" t="n"/>
      <c r="K1319" s="20">
        <f>IF($B1319="","",IFERROR(INDEX(الموظفات!$A$5:$A$304,MATCH($B1319,الموظفات!$B$5:$B$304,0))&amp;"",""))</f>
        <v/>
      </c>
      <c r="L1319" s="21">
        <f>IF($B1319="","",IFERROR(INDEX(الموظفات!$C$5:$C$304,MATCH($B1319,الموظفات!$B$5:$B$304,0))&amp;"",""))</f>
        <v/>
      </c>
      <c r="M1319" s="20">
        <f>IF($B1319="","",IFERROR(INDEX(الموظفات!$D$5:$D$304,MATCH($B1319,الموظفات!$B$5:$B$304,0))&amp;"",""))</f>
        <v/>
      </c>
      <c r="N1319" s="20">
        <f>IF($B1319="","",IFERROR(INDEX(الموظفات!$E$5:$E$304,MATCH($B1319,الموظفات!$B$5:$B$304,0))&amp;"",""))</f>
        <v/>
      </c>
      <c r="O1319" s="21">
        <f>IF(C1319="","",IFERROR(INDEX(الإعدادات!$D$7:$D$35,MATCH(C1319,الإعدادات!$A$7:$A$35,0))&amp;"",""))</f>
        <v/>
      </c>
      <c r="P1319" s="20">
        <f>IF(A1319="","",INDEX(الإعدادات!$H$7:$H$18,MONTH(A1319)))</f>
        <v/>
      </c>
      <c r="Q1319" s="20">
        <f>IF(A1319="","",INDEX(الإعدادات!$I$7:$I$18,MONTH(A1319)))</f>
        <v/>
      </c>
      <c r="R1319" s="20">
        <f>IF(A1319="","",IF(MONTH(A1319)&gt;=8,YEAR(A1319)&amp;"-"&amp;(YEAR(A1319)+1),(YEAR(A1319)-1)&amp;"-"&amp;YEAR(A1319)))</f>
        <v/>
      </c>
      <c r="S1319" s="20">
        <f>IF(OR(A1319="",B1319=""),0,IF(AND(R1319=التقارير!$C$4,OR(التقارير!$C$5="سنوي",AND(التقارير!$C$5="شهري",P1319=التقارير!$C$6),AND(التقارير!$C$5="فصلي",Q1319=التقارير!$C$7))),1,0))</f>
        <v/>
      </c>
      <c r="T1319" s="20">
        <f>IF(S1319=1,COUNTIF($S$5:S1319,1),"")</f>
        <v/>
      </c>
      <c r="U1319">
        <f>IF(AND($A1319&lt;&gt;"",$B1319&lt;&gt;"",$R1319='تقرير الفصل الأول'!$C$4,$Q1319='تقرير الفصل الأول'!$C$7),COUNT(U$4:U1318)+1,"")</f>
        <v/>
      </c>
      <c r="V1319">
        <f>IF(AND($A1319&lt;&gt;"",$B1319&lt;&gt;"",$R1319='تقرير الفصل الثاني'!$C$4,$Q1319='تقرير الفصل الثاني'!$C$7),COUNT(V$4:V1318)+1,"")</f>
        <v/>
      </c>
      <c r="W1319">
        <f>IF(AND($A1319&lt;&gt;"",$B1319&lt;&gt;"",$R1319='تقرير سبتمبر'!$C$4,$P1319='تقرير سبتمبر'!$C$6),COUNT(W$4:W1318)+1,"")</f>
        <v/>
      </c>
      <c r="X1319">
        <f>IF(AND($A1319&lt;&gt;"",$B1319&lt;&gt;"",$R1319='تقرير أكتوبر'!$C$4,$P1319='تقرير أكتوبر'!$C$6),COUNT(X$4:X1318)+1,"")</f>
        <v/>
      </c>
      <c r="Y1319">
        <f>IF(AND($A1319&lt;&gt;"",$B1319&lt;&gt;"",$R1319='تقرير نوفمبر'!$C$4,$P1319='تقرير نوفمبر'!$C$6),COUNT(Y$4:Y1318)+1,"")</f>
        <v/>
      </c>
      <c r="Z1319">
        <f>IF(AND($A1319&lt;&gt;"",$B1319&lt;&gt;"",$R1319='تقرير ديسمبر'!$C$4,$P1319='تقرير ديسمبر'!$C$6),COUNT(Z$4:Z1318)+1,"")</f>
        <v/>
      </c>
      <c r="AA1319">
        <f>IF(AND($A1319&lt;&gt;"",$B1319&lt;&gt;"",$R1319='تقرير يناير'!$C$4,$P1319='تقرير يناير'!$C$6),COUNT(AA$4:AA1318)+1,"")</f>
        <v/>
      </c>
      <c r="AB1319">
        <f>IF(AND($A1319&lt;&gt;"",$B1319&lt;&gt;"",$R1319='تقرير فبراير'!$C$4,$P1319='تقرير فبراير'!$C$6),COUNT(AB$4:AB1318)+1,"")</f>
        <v/>
      </c>
      <c r="AC1319">
        <f>IF(AND($A1319&lt;&gt;"",$B1319&lt;&gt;"",$R1319='تقرير مارس'!$C$4,$P1319='تقرير مارس'!$C$6),COUNT(AC$4:AC1318)+1,"")</f>
        <v/>
      </c>
      <c r="AD1319">
        <f>IF(AND($A1319&lt;&gt;"",$B1319&lt;&gt;"",$R1319='تقرير أبريل'!$C$4,$P1319='تقرير أبريل'!$C$6),COUNT(AD$4:AD1318)+1,"")</f>
        <v/>
      </c>
      <c r="AE1319">
        <f>IF(AND($A1319&lt;&gt;"",$B1319&lt;&gt;"",$R1319='تقرير مايو'!$C$4,$P1319='تقرير مايو'!$C$6),COUNT(AE$4:AE1318)+1,"")</f>
        <v/>
      </c>
    </row>
    <row r="1320">
      <c r="A1320" s="16" t="n"/>
      <c r="B1320" s="17" t="n"/>
      <c r="C1320" s="17" t="n"/>
      <c r="D1320" s="18" t="n"/>
      <c r="E1320" s="17" t="n"/>
      <c r="F1320" s="17" t="n"/>
      <c r="G1320" s="19" t="n"/>
      <c r="H1320" s="17" t="n"/>
      <c r="I1320" s="17" t="n"/>
      <c r="J1320" s="17" t="n"/>
      <c r="K1320" s="20">
        <f>IF($B1320="","",IFERROR(INDEX(الموظفات!$A$5:$A$304,MATCH($B1320,الموظفات!$B$5:$B$304,0))&amp;"",""))</f>
        <v/>
      </c>
      <c r="L1320" s="21">
        <f>IF($B1320="","",IFERROR(INDEX(الموظفات!$C$5:$C$304,MATCH($B1320,الموظفات!$B$5:$B$304,0))&amp;"",""))</f>
        <v/>
      </c>
      <c r="M1320" s="20">
        <f>IF($B1320="","",IFERROR(INDEX(الموظفات!$D$5:$D$304,MATCH($B1320,الموظفات!$B$5:$B$304,0))&amp;"",""))</f>
        <v/>
      </c>
      <c r="N1320" s="20">
        <f>IF($B1320="","",IFERROR(INDEX(الموظفات!$E$5:$E$304,MATCH($B1320,الموظفات!$B$5:$B$304,0))&amp;"",""))</f>
        <v/>
      </c>
      <c r="O1320" s="21">
        <f>IF(C1320="","",IFERROR(INDEX(الإعدادات!$D$7:$D$35,MATCH(C1320,الإعدادات!$A$7:$A$35,0))&amp;"",""))</f>
        <v/>
      </c>
      <c r="P1320" s="20">
        <f>IF(A1320="","",INDEX(الإعدادات!$H$7:$H$18,MONTH(A1320)))</f>
        <v/>
      </c>
      <c r="Q1320" s="20">
        <f>IF(A1320="","",INDEX(الإعدادات!$I$7:$I$18,MONTH(A1320)))</f>
        <v/>
      </c>
      <c r="R1320" s="20">
        <f>IF(A1320="","",IF(MONTH(A1320)&gt;=8,YEAR(A1320)&amp;"-"&amp;(YEAR(A1320)+1),(YEAR(A1320)-1)&amp;"-"&amp;YEAR(A1320)))</f>
        <v/>
      </c>
      <c r="S1320" s="20">
        <f>IF(OR(A1320="",B1320=""),0,IF(AND(R1320=التقارير!$C$4,OR(التقارير!$C$5="سنوي",AND(التقارير!$C$5="شهري",P1320=التقارير!$C$6),AND(التقارير!$C$5="فصلي",Q1320=التقارير!$C$7))),1,0))</f>
        <v/>
      </c>
      <c r="T1320" s="20">
        <f>IF(S1320=1,COUNTIF($S$5:S1320,1),"")</f>
        <v/>
      </c>
      <c r="U1320">
        <f>IF(AND($A1320&lt;&gt;"",$B1320&lt;&gt;"",$R1320='تقرير الفصل الأول'!$C$4,$Q1320='تقرير الفصل الأول'!$C$7),COUNT(U$4:U1319)+1,"")</f>
        <v/>
      </c>
      <c r="V1320">
        <f>IF(AND($A1320&lt;&gt;"",$B1320&lt;&gt;"",$R1320='تقرير الفصل الثاني'!$C$4,$Q1320='تقرير الفصل الثاني'!$C$7),COUNT(V$4:V1319)+1,"")</f>
        <v/>
      </c>
      <c r="W1320">
        <f>IF(AND($A1320&lt;&gt;"",$B1320&lt;&gt;"",$R1320='تقرير سبتمبر'!$C$4,$P1320='تقرير سبتمبر'!$C$6),COUNT(W$4:W1319)+1,"")</f>
        <v/>
      </c>
      <c r="X1320">
        <f>IF(AND($A1320&lt;&gt;"",$B1320&lt;&gt;"",$R1320='تقرير أكتوبر'!$C$4,$P1320='تقرير أكتوبر'!$C$6),COUNT(X$4:X1319)+1,"")</f>
        <v/>
      </c>
      <c r="Y1320">
        <f>IF(AND($A1320&lt;&gt;"",$B1320&lt;&gt;"",$R1320='تقرير نوفمبر'!$C$4,$P1320='تقرير نوفمبر'!$C$6),COUNT(Y$4:Y1319)+1,"")</f>
        <v/>
      </c>
      <c r="Z1320">
        <f>IF(AND($A1320&lt;&gt;"",$B1320&lt;&gt;"",$R1320='تقرير ديسمبر'!$C$4,$P1320='تقرير ديسمبر'!$C$6),COUNT(Z$4:Z1319)+1,"")</f>
        <v/>
      </c>
      <c r="AA1320">
        <f>IF(AND($A1320&lt;&gt;"",$B1320&lt;&gt;"",$R1320='تقرير يناير'!$C$4,$P1320='تقرير يناير'!$C$6),COUNT(AA$4:AA1319)+1,"")</f>
        <v/>
      </c>
      <c r="AB1320">
        <f>IF(AND($A1320&lt;&gt;"",$B1320&lt;&gt;"",$R1320='تقرير فبراير'!$C$4,$P1320='تقرير فبراير'!$C$6),COUNT(AB$4:AB1319)+1,"")</f>
        <v/>
      </c>
      <c r="AC1320">
        <f>IF(AND($A1320&lt;&gt;"",$B1320&lt;&gt;"",$R1320='تقرير مارس'!$C$4,$P1320='تقرير مارس'!$C$6),COUNT(AC$4:AC1319)+1,"")</f>
        <v/>
      </c>
      <c r="AD1320">
        <f>IF(AND($A1320&lt;&gt;"",$B1320&lt;&gt;"",$R1320='تقرير أبريل'!$C$4,$P1320='تقرير أبريل'!$C$6),COUNT(AD$4:AD1319)+1,"")</f>
        <v/>
      </c>
      <c r="AE1320">
        <f>IF(AND($A1320&lt;&gt;"",$B1320&lt;&gt;"",$R1320='تقرير مايو'!$C$4,$P1320='تقرير مايو'!$C$6),COUNT(AE$4:AE1319)+1,"")</f>
        <v/>
      </c>
    </row>
    <row r="1321">
      <c r="A1321" s="16" t="n"/>
      <c r="B1321" s="17" t="n"/>
      <c r="C1321" s="17" t="n"/>
      <c r="D1321" s="18" t="n"/>
      <c r="E1321" s="17" t="n"/>
      <c r="F1321" s="17" t="n"/>
      <c r="G1321" s="19" t="n"/>
      <c r="H1321" s="17" t="n"/>
      <c r="I1321" s="17" t="n"/>
      <c r="J1321" s="17" t="n"/>
      <c r="K1321" s="20">
        <f>IF($B1321="","",IFERROR(INDEX(الموظفات!$A$5:$A$304,MATCH($B1321,الموظفات!$B$5:$B$304,0))&amp;"",""))</f>
        <v/>
      </c>
      <c r="L1321" s="21">
        <f>IF($B1321="","",IFERROR(INDEX(الموظفات!$C$5:$C$304,MATCH($B1321,الموظفات!$B$5:$B$304,0))&amp;"",""))</f>
        <v/>
      </c>
      <c r="M1321" s="20">
        <f>IF($B1321="","",IFERROR(INDEX(الموظفات!$D$5:$D$304,MATCH($B1321,الموظفات!$B$5:$B$304,0))&amp;"",""))</f>
        <v/>
      </c>
      <c r="N1321" s="20">
        <f>IF($B1321="","",IFERROR(INDEX(الموظفات!$E$5:$E$304,MATCH($B1321,الموظفات!$B$5:$B$304,0))&amp;"",""))</f>
        <v/>
      </c>
      <c r="O1321" s="21">
        <f>IF(C1321="","",IFERROR(INDEX(الإعدادات!$D$7:$D$35,MATCH(C1321,الإعدادات!$A$7:$A$35,0))&amp;"",""))</f>
        <v/>
      </c>
      <c r="P1321" s="20">
        <f>IF(A1321="","",INDEX(الإعدادات!$H$7:$H$18,MONTH(A1321)))</f>
        <v/>
      </c>
      <c r="Q1321" s="20">
        <f>IF(A1321="","",INDEX(الإعدادات!$I$7:$I$18,MONTH(A1321)))</f>
        <v/>
      </c>
      <c r="R1321" s="20">
        <f>IF(A1321="","",IF(MONTH(A1321)&gt;=8,YEAR(A1321)&amp;"-"&amp;(YEAR(A1321)+1),(YEAR(A1321)-1)&amp;"-"&amp;YEAR(A1321)))</f>
        <v/>
      </c>
      <c r="S1321" s="20">
        <f>IF(OR(A1321="",B1321=""),0,IF(AND(R1321=التقارير!$C$4,OR(التقارير!$C$5="سنوي",AND(التقارير!$C$5="شهري",P1321=التقارير!$C$6),AND(التقارير!$C$5="فصلي",Q1321=التقارير!$C$7))),1,0))</f>
        <v/>
      </c>
      <c r="T1321" s="20">
        <f>IF(S1321=1,COUNTIF($S$5:S1321,1),"")</f>
        <v/>
      </c>
      <c r="U1321">
        <f>IF(AND($A1321&lt;&gt;"",$B1321&lt;&gt;"",$R1321='تقرير الفصل الأول'!$C$4,$Q1321='تقرير الفصل الأول'!$C$7),COUNT(U$4:U1320)+1,"")</f>
        <v/>
      </c>
      <c r="V1321">
        <f>IF(AND($A1321&lt;&gt;"",$B1321&lt;&gt;"",$R1321='تقرير الفصل الثاني'!$C$4,$Q1321='تقرير الفصل الثاني'!$C$7),COUNT(V$4:V1320)+1,"")</f>
        <v/>
      </c>
      <c r="W1321">
        <f>IF(AND($A1321&lt;&gt;"",$B1321&lt;&gt;"",$R1321='تقرير سبتمبر'!$C$4,$P1321='تقرير سبتمبر'!$C$6),COUNT(W$4:W1320)+1,"")</f>
        <v/>
      </c>
      <c r="X1321">
        <f>IF(AND($A1321&lt;&gt;"",$B1321&lt;&gt;"",$R1321='تقرير أكتوبر'!$C$4,$P1321='تقرير أكتوبر'!$C$6),COUNT(X$4:X1320)+1,"")</f>
        <v/>
      </c>
      <c r="Y1321">
        <f>IF(AND($A1321&lt;&gt;"",$B1321&lt;&gt;"",$R1321='تقرير نوفمبر'!$C$4,$P1321='تقرير نوفمبر'!$C$6),COUNT(Y$4:Y1320)+1,"")</f>
        <v/>
      </c>
      <c r="Z1321">
        <f>IF(AND($A1321&lt;&gt;"",$B1321&lt;&gt;"",$R1321='تقرير ديسمبر'!$C$4,$P1321='تقرير ديسمبر'!$C$6),COUNT(Z$4:Z1320)+1,"")</f>
        <v/>
      </c>
      <c r="AA1321">
        <f>IF(AND($A1321&lt;&gt;"",$B1321&lt;&gt;"",$R1321='تقرير يناير'!$C$4,$P1321='تقرير يناير'!$C$6),COUNT(AA$4:AA1320)+1,"")</f>
        <v/>
      </c>
      <c r="AB1321">
        <f>IF(AND($A1321&lt;&gt;"",$B1321&lt;&gt;"",$R1321='تقرير فبراير'!$C$4,$P1321='تقرير فبراير'!$C$6),COUNT(AB$4:AB1320)+1,"")</f>
        <v/>
      </c>
      <c r="AC1321">
        <f>IF(AND($A1321&lt;&gt;"",$B1321&lt;&gt;"",$R1321='تقرير مارس'!$C$4,$P1321='تقرير مارس'!$C$6),COUNT(AC$4:AC1320)+1,"")</f>
        <v/>
      </c>
      <c r="AD1321">
        <f>IF(AND($A1321&lt;&gt;"",$B1321&lt;&gt;"",$R1321='تقرير أبريل'!$C$4,$P1321='تقرير أبريل'!$C$6),COUNT(AD$4:AD1320)+1,"")</f>
        <v/>
      </c>
      <c r="AE1321">
        <f>IF(AND($A1321&lt;&gt;"",$B1321&lt;&gt;"",$R1321='تقرير مايو'!$C$4,$P1321='تقرير مايو'!$C$6),COUNT(AE$4:AE1320)+1,"")</f>
        <v/>
      </c>
    </row>
    <row r="1322">
      <c r="A1322" s="16" t="n"/>
      <c r="B1322" s="17" t="n"/>
      <c r="C1322" s="17" t="n"/>
      <c r="D1322" s="18" t="n"/>
      <c r="E1322" s="17" t="n"/>
      <c r="F1322" s="17" t="n"/>
      <c r="G1322" s="19" t="n"/>
      <c r="H1322" s="17" t="n"/>
      <c r="I1322" s="17" t="n"/>
      <c r="J1322" s="17" t="n"/>
      <c r="K1322" s="20">
        <f>IF($B1322="","",IFERROR(INDEX(الموظفات!$A$5:$A$304,MATCH($B1322,الموظفات!$B$5:$B$304,0))&amp;"",""))</f>
        <v/>
      </c>
      <c r="L1322" s="21">
        <f>IF($B1322="","",IFERROR(INDEX(الموظفات!$C$5:$C$304,MATCH($B1322,الموظفات!$B$5:$B$304,0))&amp;"",""))</f>
        <v/>
      </c>
      <c r="M1322" s="20">
        <f>IF($B1322="","",IFERROR(INDEX(الموظفات!$D$5:$D$304,MATCH($B1322,الموظفات!$B$5:$B$304,0))&amp;"",""))</f>
        <v/>
      </c>
      <c r="N1322" s="20">
        <f>IF($B1322="","",IFERROR(INDEX(الموظفات!$E$5:$E$304,MATCH($B1322,الموظفات!$B$5:$B$304,0))&amp;"",""))</f>
        <v/>
      </c>
      <c r="O1322" s="21">
        <f>IF(C1322="","",IFERROR(INDEX(الإعدادات!$D$7:$D$35,MATCH(C1322,الإعدادات!$A$7:$A$35,0))&amp;"",""))</f>
        <v/>
      </c>
      <c r="P1322" s="20">
        <f>IF(A1322="","",INDEX(الإعدادات!$H$7:$H$18,MONTH(A1322)))</f>
        <v/>
      </c>
      <c r="Q1322" s="20">
        <f>IF(A1322="","",INDEX(الإعدادات!$I$7:$I$18,MONTH(A1322)))</f>
        <v/>
      </c>
      <c r="R1322" s="20">
        <f>IF(A1322="","",IF(MONTH(A1322)&gt;=8,YEAR(A1322)&amp;"-"&amp;(YEAR(A1322)+1),(YEAR(A1322)-1)&amp;"-"&amp;YEAR(A1322)))</f>
        <v/>
      </c>
      <c r="S1322" s="20">
        <f>IF(OR(A1322="",B1322=""),0,IF(AND(R1322=التقارير!$C$4,OR(التقارير!$C$5="سنوي",AND(التقارير!$C$5="شهري",P1322=التقارير!$C$6),AND(التقارير!$C$5="فصلي",Q1322=التقارير!$C$7))),1,0))</f>
        <v/>
      </c>
      <c r="T1322" s="20">
        <f>IF(S1322=1,COUNTIF($S$5:S1322,1),"")</f>
        <v/>
      </c>
      <c r="U1322">
        <f>IF(AND($A1322&lt;&gt;"",$B1322&lt;&gt;"",$R1322='تقرير الفصل الأول'!$C$4,$Q1322='تقرير الفصل الأول'!$C$7),COUNT(U$4:U1321)+1,"")</f>
        <v/>
      </c>
      <c r="V1322">
        <f>IF(AND($A1322&lt;&gt;"",$B1322&lt;&gt;"",$R1322='تقرير الفصل الثاني'!$C$4,$Q1322='تقرير الفصل الثاني'!$C$7),COUNT(V$4:V1321)+1,"")</f>
        <v/>
      </c>
      <c r="W1322">
        <f>IF(AND($A1322&lt;&gt;"",$B1322&lt;&gt;"",$R1322='تقرير سبتمبر'!$C$4,$P1322='تقرير سبتمبر'!$C$6),COUNT(W$4:W1321)+1,"")</f>
        <v/>
      </c>
      <c r="X1322">
        <f>IF(AND($A1322&lt;&gt;"",$B1322&lt;&gt;"",$R1322='تقرير أكتوبر'!$C$4,$P1322='تقرير أكتوبر'!$C$6),COUNT(X$4:X1321)+1,"")</f>
        <v/>
      </c>
      <c r="Y1322">
        <f>IF(AND($A1322&lt;&gt;"",$B1322&lt;&gt;"",$R1322='تقرير نوفمبر'!$C$4,$P1322='تقرير نوفمبر'!$C$6),COUNT(Y$4:Y1321)+1,"")</f>
        <v/>
      </c>
      <c r="Z1322">
        <f>IF(AND($A1322&lt;&gt;"",$B1322&lt;&gt;"",$R1322='تقرير ديسمبر'!$C$4,$P1322='تقرير ديسمبر'!$C$6),COUNT(Z$4:Z1321)+1,"")</f>
        <v/>
      </c>
      <c r="AA1322">
        <f>IF(AND($A1322&lt;&gt;"",$B1322&lt;&gt;"",$R1322='تقرير يناير'!$C$4,$P1322='تقرير يناير'!$C$6),COUNT(AA$4:AA1321)+1,"")</f>
        <v/>
      </c>
      <c r="AB1322">
        <f>IF(AND($A1322&lt;&gt;"",$B1322&lt;&gt;"",$R1322='تقرير فبراير'!$C$4,$P1322='تقرير فبراير'!$C$6),COUNT(AB$4:AB1321)+1,"")</f>
        <v/>
      </c>
      <c r="AC1322">
        <f>IF(AND($A1322&lt;&gt;"",$B1322&lt;&gt;"",$R1322='تقرير مارس'!$C$4,$P1322='تقرير مارس'!$C$6),COUNT(AC$4:AC1321)+1,"")</f>
        <v/>
      </c>
      <c r="AD1322">
        <f>IF(AND($A1322&lt;&gt;"",$B1322&lt;&gt;"",$R1322='تقرير أبريل'!$C$4,$P1322='تقرير أبريل'!$C$6),COUNT(AD$4:AD1321)+1,"")</f>
        <v/>
      </c>
      <c r="AE1322">
        <f>IF(AND($A1322&lt;&gt;"",$B1322&lt;&gt;"",$R1322='تقرير مايو'!$C$4,$P1322='تقرير مايو'!$C$6),COUNT(AE$4:AE1321)+1,"")</f>
        <v/>
      </c>
    </row>
    <row r="1323">
      <c r="A1323" s="16" t="n"/>
      <c r="B1323" s="17" t="n"/>
      <c r="C1323" s="17" t="n"/>
      <c r="D1323" s="18" t="n"/>
      <c r="E1323" s="17" t="n"/>
      <c r="F1323" s="17" t="n"/>
      <c r="G1323" s="19" t="n"/>
      <c r="H1323" s="17" t="n"/>
      <c r="I1323" s="17" t="n"/>
      <c r="J1323" s="17" t="n"/>
      <c r="K1323" s="20">
        <f>IF($B1323="","",IFERROR(INDEX(الموظفات!$A$5:$A$304,MATCH($B1323,الموظفات!$B$5:$B$304,0))&amp;"",""))</f>
        <v/>
      </c>
      <c r="L1323" s="21">
        <f>IF($B1323="","",IFERROR(INDEX(الموظفات!$C$5:$C$304,MATCH($B1323,الموظفات!$B$5:$B$304,0))&amp;"",""))</f>
        <v/>
      </c>
      <c r="M1323" s="20">
        <f>IF($B1323="","",IFERROR(INDEX(الموظفات!$D$5:$D$304,MATCH($B1323,الموظفات!$B$5:$B$304,0))&amp;"",""))</f>
        <v/>
      </c>
      <c r="N1323" s="20">
        <f>IF($B1323="","",IFERROR(INDEX(الموظفات!$E$5:$E$304,MATCH($B1323,الموظفات!$B$5:$B$304,0))&amp;"",""))</f>
        <v/>
      </c>
      <c r="O1323" s="21">
        <f>IF(C1323="","",IFERROR(INDEX(الإعدادات!$D$7:$D$35,MATCH(C1323,الإعدادات!$A$7:$A$35,0))&amp;"",""))</f>
        <v/>
      </c>
      <c r="P1323" s="20">
        <f>IF(A1323="","",INDEX(الإعدادات!$H$7:$H$18,MONTH(A1323)))</f>
        <v/>
      </c>
      <c r="Q1323" s="20">
        <f>IF(A1323="","",INDEX(الإعدادات!$I$7:$I$18,MONTH(A1323)))</f>
        <v/>
      </c>
      <c r="R1323" s="20">
        <f>IF(A1323="","",IF(MONTH(A1323)&gt;=8,YEAR(A1323)&amp;"-"&amp;(YEAR(A1323)+1),(YEAR(A1323)-1)&amp;"-"&amp;YEAR(A1323)))</f>
        <v/>
      </c>
      <c r="S1323" s="20">
        <f>IF(OR(A1323="",B1323=""),0,IF(AND(R1323=التقارير!$C$4,OR(التقارير!$C$5="سنوي",AND(التقارير!$C$5="شهري",P1323=التقارير!$C$6),AND(التقارير!$C$5="فصلي",Q1323=التقارير!$C$7))),1,0))</f>
        <v/>
      </c>
      <c r="T1323" s="20">
        <f>IF(S1323=1,COUNTIF($S$5:S1323,1),"")</f>
        <v/>
      </c>
      <c r="U1323">
        <f>IF(AND($A1323&lt;&gt;"",$B1323&lt;&gt;"",$R1323='تقرير الفصل الأول'!$C$4,$Q1323='تقرير الفصل الأول'!$C$7),COUNT(U$4:U1322)+1,"")</f>
        <v/>
      </c>
      <c r="V1323">
        <f>IF(AND($A1323&lt;&gt;"",$B1323&lt;&gt;"",$R1323='تقرير الفصل الثاني'!$C$4,$Q1323='تقرير الفصل الثاني'!$C$7),COUNT(V$4:V1322)+1,"")</f>
        <v/>
      </c>
      <c r="W1323">
        <f>IF(AND($A1323&lt;&gt;"",$B1323&lt;&gt;"",$R1323='تقرير سبتمبر'!$C$4,$P1323='تقرير سبتمبر'!$C$6),COUNT(W$4:W1322)+1,"")</f>
        <v/>
      </c>
      <c r="X1323">
        <f>IF(AND($A1323&lt;&gt;"",$B1323&lt;&gt;"",$R1323='تقرير أكتوبر'!$C$4,$P1323='تقرير أكتوبر'!$C$6),COUNT(X$4:X1322)+1,"")</f>
        <v/>
      </c>
      <c r="Y1323">
        <f>IF(AND($A1323&lt;&gt;"",$B1323&lt;&gt;"",$R1323='تقرير نوفمبر'!$C$4,$P1323='تقرير نوفمبر'!$C$6),COUNT(Y$4:Y1322)+1,"")</f>
        <v/>
      </c>
      <c r="Z1323">
        <f>IF(AND($A1323&lt;&gt;"",$B1323&lt;&gt;"",$R1323='تقرير ديسمبر'!$C$4,$P1323='تقرير ديسمبر'!$C$6),COUNT(Z$4:Z1322)+1,"")</f>
        <v/>
      </c>
      <c r="AA1323">
        <f>IF(AND($A1323&lt;&gt;"",$B1323&lt;&gt;"",$R1323='تقرير يناير'!$C$4,$P1323='تقرير يناير'!$C$6),COUNT(AA$4:AA1322)+1,"")</f>
        <v/>
      </c>
      <c r="AB1323">
        <f>IF(AND($A1323&lt;&gt;"",$B1323&lt;&gt;"",$R1323='تقرير فبراير'!$C$4,$P1323='تقرير فبراير'!$C$6),COUNT(AB$4:AB1322)+1,"")</f>
        <v/>
      </c>
      <c r="AC1323">
        <f>IF(AND($A1323&lt;&gt;"",$B1323&lt;&gt;"",$R1323='تقرير مارس'!$C$4,$P1323='تقرير مارس'!$C$6),COUNT(AC$4:AC1322)+1,"")</f>
        <v/>
      </c>
      <c r="AD1323">
        <f>IF(AND($A1323&lt;&gt;"",$B1323&lt;&gt;"",$R1323='تقرير أبريل'!$C$4,$P1323='تقرير أبريل'!$C$6),COUNT(AD$4:AD1322)+1,"")</f>
        <v/>
      </c>
      <c r="AE1323">
        <f>IF(AND($A1323&lt;&gt;"",$B1323&lt;&gt;"",$R1323='تقرير مايو'!$C$4,$P1323='تقرير مايو'!$C$6),COUNT(AE$4:AE1322)+1,"")</f>
        <v/>
      </c>
    </row>
    <row r="1324">
      <c r="A1324" s="16" t="n"/>
      <c r="B1324" s="17" t="n"/>
      <c r="C1324" s="17" t="n"/>
      <c r="D1324" s="18" t="n"/>
      <c r="E1324" s="17" t="n"/>
      <c r="F1324" s="17" t="n"/>
      <c r="G1324" s="19" t="n"/>
      <c r="H1324" s="17" t="n"/>
      <c r="I1324" s="17" t="n"/>
      <c r="J1324" s="17" t="n"/>
      <c r="K1324" s="20">
        <f>IF($B1324="","",IFERROR(INDEX(الموظفات!$A$5:$A$304,MATCH($B1324,الموظفات!$B$5:$B$304,0))&amp;"",""))</f>
        <v/>
      </c>
      <c r="L1324" s="21">
        <f>IF($B1324="","",IFERROR(INDEX(الموظفات!$C$5:$C$304,MATCH($B1324,الموظفات!$B$5:$B$304,0))&amp;"",""))</f>
        <v/>
      </c>
      <c r="M1324" s="20">
        <f>IF($B1324="","",IFERROR(INDEX(الموظفات!$D$5:$D$304,MATCH($B1324,الموظفات!$B$5:$B$304,0))&amp;"",""))</f>
        <v/>
      </c>
      <c r="N1324" s="20">
        <f>IF($B1324="","",IFERROR(INDEX(الموظفات!$E$5:$E$304,MATCH($B1324,الموظفات!$B$5:$B$304,0))&amp;"",""))</f>
        <v/>
      </c>
      <c r="O1324" s="21">
        <f>IF(C1324="","",IFERROR(INDEX(الإعدادات!$D$7:$D$35,MATCH(C1324,الإعدادات!$A$7:$A$35,0))&amp;"",""))</f>
        <v/>
      </c>
      <c r="P1324" s="20">
        <f>IF(A1324="","",INDEX(الإعدادات!$H$7:$H$18,MONTH(A1324)))</f>
        <v/>
      </c>
      <c r="Q1324" s="20">
        <f>IF(A1324="","",INDEX(الإعدادات!$I$7:$I$18,MONTH(A1324)))</f>
        <v/>
      </c>
      <c r="R1324" s="20">
        <f>IF(A1324="","",IF(MONTH(A1324)&gt;=8,YEAR(A1324)&amp;"-"&amp;(YEAR(A1324)+1),(YEAR(A1324)-1)&amp;"-"&amp;YEAR(A1324)))</f>
        <v/>
      </c>
      <c r="S1324" s="20">
        <f>IF(OR(A1324="",B1324=""),0,IF(AND(R1324=التقارير!$C$4,OR(التقارير!$C$5="سنوي",AND(التقارير!$C$5="شهري",P1324=التقارير!$C$6),AND(التقارير!$C$5="فصلي",Q1324=التقارير!$C$7))),1,0))</f>
        <v/>
      </c>
      <c r="T1324" s="20">
        <f>IF(S1324=1,COUNTIF($S$5:S1324,1),"")</f>
        <v/>
      </c>
      <c r="U1324">
        <f>IF(AND($A1324&lt;&gt;"",$B1324&lt;&gt;"",$R1324='تقرير الفصل الأول'!$C$4,$Q1324='تقرير الفصل الأول'!$C$7),COUNT(U$4:U1323)+1,"")</f>
        <v/>
      </c>
      <c r="V1324">
        <f>IF(AND($A1324&lt;&gt;"",$B1324&lt;&gt;"",$R1324='تقرير الفصل الثاني'!$C$4,$Q1324='تقرير الفصل الثاني'!$C$7),COUNT(V$4:V1323)+1,"")</f>
        <v/>
      </c>
      <c r="W1324">
        <f>IF(AND($A1324&lt;&gt;"",$B1324&lt;&gt;"",$R1324='تقرير سبتمبر'!$C$4,$P1324='تقرير سبتمبر'!$C$6),COUNT(W$4:W1323)+1,"")</f>
        <v/>
      </c>
      <c r="X1324">
        <f>IF(AND($A1324&lt;&gt;"",$B1324&lt;&gt;"",$R1324='تقرير أكتوبر'!$C$4,$P1324='تقرير أكتوبر'!$C$6),COUNT(X$4:X1323)+1,"")</f>
        <v/>
      </c>
      <c r="Y1324">
        <f>IF(AND($A1324&lt;&gt;"",$B1324&lt;&gt;"",$R1324='تقرير نوفمبر'!$C$4,$P1324='تقرير نوفمبر'!$C$6),COUNT(Y$4:Y1323)+1,"")</f>
        <v/>
      </c>
      <c r="Z1324">
        <f>IF(AND($A1324&lt;&gt;"",$B1324&lt;&gt;"",$R1324='تقرير ديسمبر'!$C$4,$P1324='تقرير ديسمبر'!$C$6),COUNT(Z$4:Z1323)+1,"")</f>
        <v/>
      </c>
      <c r="AA1324">
        <f>IF(AND($A1324&lt;&gt;"",$B1324&lt;&gt;"",$R1324='تقرير يناير'!$C$4,$P1324='تقرير يناير'!$C$6),COUNT(AA$4:AA1323)+1,"")</f>
        <v/>
      </c>
      <c r="AB1324">
        <f>IF(AND($A1324&lt;&gt;"",$B1324&lt;&gt;"",$R1324='تقرير فبراير'!$C$4,$P1324='تقرير فبراير'!$C$6),COUNT(AB$4:AB1323)+1,"")</f>
        <v/>
      </c>
      <c r="AC1324">
        <f>IF(AND($A1324&lt;&gt;"",$B1324&lt;&gt;"",$R1324='تقرير مارس'!$C$4,$P1324='تقرير مارس'!$C$6),COUNT(AC$4:AC1323)+1,"")</f>
        <v/>
      </c>
      <c r="AD1324">
        <f>IF(AND($A1324&lt;&gt;"",$B1324&lt;&gt;"",$R1324='تقرير أبريل'!$C$4,$P1324='تقرير أبريل'!$C$6),COUNT(AD$4:AD1323)+1,"")</f>
        <v/>
      </c>
      <c r="AE1324">
        <f>IF(AND($A1324&lt;&gt;"",$B1324&lt;&gt;"",$R1324='تقرير مايو'!$C$4,$P1324='تقرير مايو'!$C$6),COUNT(AE$4:AE1323)+1,"")</f>
        <v/>
      </c>
    </row>
    <row r="1325">
      <c r="A1325" s="16" t="n"/>
      <c r="B1325" s="17" t="n"/>
      <c r="C1325" s="17" t="n"/>
      <c r="D1325" s="18" t="n"/>
      <c r="E1325" s="17" t="n"/>
      <c r="F1325" s="17" t="n"/>
      <c r="G1325" s="19" t="n"/>
      <c r="H1325" s="17" t="n"/>
      <c r="I1325" s="17" t="n"/>
      <c r="J1325" s="17" t="n"/>
      <c r="K1325" s="20">
        <f>IF($B1325="","",IFERROR(INDEX(الموظفات!$A$5:$A$304,MATCH($B1325,الموظفات!$B$5:$B$304,0))&amp;"",""))</f>
        <v/>
      </c>
      <c r="L1325" s="21">
        <f>IF($B1325="","",IFERROR(INDEX(الموظفات!$C$5:$C$304,MATCH($B1325,الموظفات!$B$5:$B$304,0))&amp;"",""))</f>
        <v/>
      </c>
      <c r="M1325" s="20">
        <f>IF($B1325="","",IFERROR(INDEX(الموظفات!$D$5:$D$304,MATCH($B1325,الموظفات!$B$5:$B$304,0))&amp;"",""))</f>
        <v/>
      </c>
      <c r="N1325" s="20">
        <f>IF($B1325="","",IFERROR(INDEX(الموظفات!$E$5:$E$304,MATCH($B1325,الموظفات!$B$5:$B$304,0))&amp;"",""))</f>
        <v/>
      </c>
      <c r="O1325" s="21">
        <f>IF(C1325="","",IFERROR(INDEX(الإعدادات!$D$7:$D$35,MATCH(C1325,الإعدادات!$A$7:$A$35,0))&amp;"",""))</f>
        <v/>
      </c>
      <c r="P1325" s="20">
        <f>IF(A1325="","",INDEX(الإعدادات!$H$7:$H$18,MONTH(A1325)))</f>
        <v/>
      </c>
      <c r="Q1325" s="20">
        <f>IF(A1325="","",INDEX(الإعدادات!$I$7:$I$18,MONTH(A1325)))</f>
        <v/>
      </c>
      <c r="R1325" s="20">
        <f>IF(A1325="","",IF(MONTH(A1325)&gt;=8,YEAR(A1325)&amp;"-"&amp;(YEAR(A1325)+1),(YEAR(A1325)-1)&amp;"-"&amp;YEAR(A1325)))</f>
        <v/>
      </c>
      <c r="S1325" s="20">
        <f>IF(OR(A1325="",B1325=""),0,IF(AND(R1325=التقارير!$C$4,OR(التقارير!$C$5="سنوي",AND(التقارير!$C$5="شهري",P1325=التقارير!$C$6),AND(التقارير!$C$5="فصلي",Q1325=التقارير!$C$7))),1,0))</f>
        <v/>
      </c>
      <c r="T1325" s="20">
        <f>IF(S1325=1,COUNTIF($S$5:S1325,1),"")</f>
        <v/>
      </c>
      <c r="U1325">
        <f>IF(AND($A1325&lt;&gt;"",$B1325&lt;&gt;"",$R1325='تقرير الفصل الأول'!$C$4,$Q1325='تقرير الفصل الأول'!$C$7),COUNT(U$4:U1324)+1,"")</f>
        <v/>
      </c>
      <c r="V1325">
        <f>IF(AND($A1325&lt;&gt;"",$B1325&lt;&gt;"",$R1325='تقرير الفصل الثاني'!$C$4,$Q1325='تقرير الفصل الثاني'!$C$7),COUNT(V$4:V1324)+1,"")</f>
        <v/>
      </c>
      <c r="W1325">
        <f>IF(AND($A1325&lt;&gt;"",$B1325&lt;&gt;"",$R1325='تقرير سبتمبر'!$C$4,$P1325='تقرير سبتمبر'!$C$6),COUNT(W$4:W1324)+1,"")</f>
        <v/>
      </c>
      <c r="X1325">
        <f>IF(AND($A1325&lt;&gt;"",$B1325&lt;&gt;"",$R1325='تقرير أكتوبر'!$C$4,$P1325='تقرير أكتوبر'!$C$6),COUNT(X$4:X1324)+1,"")</f>
        <v/>
      </c>
      <c r="Y1325">
        <f>IF(AND($A1325&lt;&gt;"",$B1325&lt;&gt;"",$R1325='تقرير نوفمبر'!$C$4,$P1325='تقرير نوفمبر'!$C$6),COUNT(Y$4:Y1324)+1,"")</f>
        <v/>
      </c>
      <c r="Z1325">
        <f>IF(AND($A1325&lt;&gt;"",$B1325&lt;&gt;"",$R1325='تقرير ديسمبر'!$C$4,$P1325='تقرير ديسمبر'!$C$6),COUNT(Z$4:Z1324)+1,"")</f>
        <v/>
      </c>
      <c r="AA1325">
        <f>IF(AND($A1325&lt;&gt;"",$B1325&lt;&gt;"",$R1325='تقرير يناير'!$C$4,$P1325='تقرير يناير'!$C$6),COUNT(AA$4:AA1324)+1,"")</f>
        <v/>
      </c>
      <c r="AB1325">
        <f>IF(AND($A1325&lt;&gt;"",$B1325&lt;&gt;"",$R1325='تقرير فبراير'!$C$4,$P1325='تقرير فبراير'!$C$6),COUNT(AB$4:AB1324)+1,"")</f>
        <v/>
      </c>
      <c r="AC1325">
        <f>IF(AND($A1325&lt;&gt;"",$B1325&lt;&gt;"",$R1325='تقرير مارس'!$C$4,$P1325='تقرير مارس'!$C$6),COUNT(AC$4:AC1324)+1,"")</f>
        <v/>
      </c>
      <c r="AD1325">
        <f>IF(AND($A1325&lt;&gt;"",$B1325&lt;&gt;"",$R1325='تقرير أبريل'!$C$4,$P1325='تقرير أبريل'!$C$6),COUNT(AD$4:AD1324)+1,"")</f>
        <v/>
      </c>
      <c r="AE1325">
        <f>IF(AND($A1325&lt;&gt;"",$B1325&lt;&gt;"",$R1325='تقرير مايو'!$C$4,$P1325='تقرير مايو'!$C$6),COUNT(AE$4:AE1324)+1,"")</f>
        <v/>
      </c>
    </row>
    <row r="1326">
      <c r="A1326" s="16" t="n"/>
      <c r="B1326" s="17" t="n"/>
      <c r="C1326" s="17" t="n"/>
      <c r="D1326" s="18" t="n"/>
      <c r="E1326" s="17" t="n"/>
      <c r="F1326" s="17" t="n"/>
      <c r="G1326" s="19" t="n"/>
      <c r="H1326" s="17" t="n"/>
      <c r="I1326" s="17" t="n"/>
      <c r="J1326" s="17" t="n"/>
      <c r="K1326" s="20">
        <f>IF($B1326="","",IFERROR(INDEX(الموظفات!$A$5:$A$304,MATCH($B1326,الموظفات!$B$5:$B$304,0))&amp;"",""))</f>
        <v/>
      </c>
      <c r="L1326" s="21">
        <f>IF($B1326="","",IFERROR(INDEX(الموظفات!$C$5:$C$304,MATCH($B1326,الموظفات!$B$5:$B$304,0))&amp;"",""))</f>
        <v/>
      </c>
      <c r="M1326" s="20">
        <f>IF($B1326="","",IFERROR(INDEX(الموظفات!$D$5:$D$304,MATCH($B1326,الموظفات!$B$5:$B$304,0))&amp;"",""))</f>
        <v/>
      </c>
      <c r="N1326" s="20">
        <f>IF($B1326="","",IFERROR(INDEX(الموظفات!$E$5:$E$304,MATCH($B1326,الموظفات!$B$5:$B$304,0))&amp;"",""))</f>
        <v/>
      </c>
      <c r="O1326" s="21">
        <f>IF(C1326="","",IFERROR(INDEX(الإعدادات!$D$7:$D$35,MATCH(C1326,الإعدادات!$A$7:$A$35,0))&amp;"",""))</f>
        <v/>
      </c>
      <c r="P1326" s="20">
        <f>IF(A1326="","",INDEX(الإعدادات!$H$7:$H$18,MONTH(A1326)))</f>
        <v/>
      </c>
      <c r="Q1326" s="20">
        <f>IF(A1326="","",INDEX(الإعدادات!$I$7:$I$18,MONTH(A1326)))</f>
        <v/>
      </c>
      <c r="R1326" s="20">
        <f>IF(A1326="","",IF(MONTH(A1326)&gt;=8,YEAR(A1326)&amp;"-"&amp;(YEAR(A1326)+1),(YEAR(A1326)-1)&amp;"-"&amp;YEAR(A1326)))</f>
        <v/>
      </c>
      <c r="S1326" s="20">
        <f>IF(OR(A1326="",B1326=""),0,IF(AND(R1326=التقارير!$C$4,OR(التقارير!$C$5="سنوي",AND(التقارير!$C$5="شهري",P1326=التقارير!$C$6),AND(التقارير!$C$5="فصلي",Q1326=التقارير!$C$7))),1,0))</f>
        <v/>
      </c>
      <c r="T1326" s="20">
        <f>IF(S1326=1,COUNTIF($S$5:S1326,1),"")</f>
        <v/>
      </c>
      <c r="U1326">
        <f>IF(AND($A1326&lt;&gt;"",$B1326&lt;&gt;"",$R1326='تقرير الفصل الأول'!$C$4,$Q1326='تقرير الفصل الأول'!$C$7),COUNT(U$4:U1325)+1,"")</f>
        <v/>
      </c>
      <c r="V1326">
        <f>IF(AND($A1326&lt;&gt;"",$B1326&lt;&gt;"",$R1326='تقرير الفصل الثاني'!$C$4,$Q1326='تقرير الفصل الثاني'!$C$7),COUNT(V$4:V1325)+1,"")</f>
        <v/>
      </c>
      <c r="W1326">
        <f>IF(AND($A1326&lt;&gt;"",$B1326&lt;&gt;"",$R1326='تقرير سبتمبر'!$C$4,$P1326='تقرير سبتمبر'!$C$6),COUNT(W$4:W1325)+1,"")</f>
        <v/>
      </c>
      <c r="X1326">
        <f>IF(AND($A1326&lt;&gt;"",$B1326&lt;&gt;"",$R1326='تقرير أكتوبر'!$C$4,$P1326='تقرير أكتوبر'!$C$6),COUNT(X$4:X1325)+1,"")</f>
        <v/>
      </c>
      <c r="Y1326">
        <f>IF(AND($A1326&lt;&gt;"",$B1326&lt;&gt;"",$R1326='تقرير نوفمبر'!$C$4,$P1326='تقرير نوفمبر'!$C$6),COUNT(Y$4:Y1325)+1,"")</f>
        <v/>
      </c>
      <c r="Z1326">
        <f>IF(AND($A1326&lt;&gt;"",$B1326&lt;&gt;"",$R1326='تقرير ديسمبر'!$C$4,$P1326='تقرير ديسمبر'!$C$6),COUNT(Z$4:Z1325)+1,"")</f>
        <v/>
      </c>
      <c r="AA1326">
        <f>IF(AND($A1326&lt;&gt;"",$B1326&lt;&gt;"",$R1326='تقرير يناير'!$C$4,$P1326='تقرير يناير'!$C$6),COUNT(AA$4:AA1325)+1,"")</f>
        <v/>
      </c>
      <c r="AB1326">
        <f>IF(AND($A1326&lt;&gt;"",$B1326&lt;&gt;"",$R1326='تقرير فبراير'!$C$4,$P1326='تقرير فبراير'!$C$6),COUNT(AB$4:AB1325)+1,"")</f>
        <v/>
      </c>
      <c r="AC1326">
        <f>IF(AND($A1326&lt;&gt;"",$B1326&lt;&gt;"",$R1326='تقرير مارس'!$C$4,$P1326='تقرير مارس'!$C$6),COUNT(AC$4:AC1325)+1,"")</f>
        <v/>
      </c>
      <c r="AD1326">
        <f>IF(AND($A1326&lt;&gt;"",$B1326&lt;&gt;"",$R1326='تقرير أبريل'!$C$4,$P1326='تقرير أبريل'!$C$6),COUNT(AD$4:AD1325)+1,"")</f>
        <v/>
      </c>
      <c r="AE1326">
        <f>IF(AND($A1326&lt;&gt;"",$B1326&lt;&gt;"",$R1326='تقرير مايو'!$C$4,$P1326='تقرير مايو'!$C$6),COUNT(AE$4:AE1325)+1,"")</f>
        <v/>
      </c>
    </row>
    <row r="1327">
      <c r="A1327" s="16" t="n"/>
      <c r="B1327" s="17" t="n"/>
      <c r="C1327" s="17" t="n"/>
      <c r="D1327" s="18" t="n"/>
      <c r="E1327" s="17" t="n"/>
      <c r="F1327" s="17" t="n"/>
      <c r="G1327" s="19" t="n"/>
      <c r="H1327" s="17" t="n"/>
      <c r="I1327" s="17" t="n"/>
      <c r="J1327" s="17" t="n"/>
      <c r="K1327" s="20">
        <f>IF($B1327="","",IFERROR(INDEX(الموظفات!$A$5:$A$304,MATCH($B1327,الموظفات!$B$5:$B$304,0))&amp;"",""))</f>
        <v/>
      </c>
      <c r="L1327" s="21">
        <f>IF($B1327="","",IFERROR(INDEX(الموظفات!$C$5:$C$304,MATCH($B1327,الموظفات!$B$5:$B$304,0))&amp;"",""))</f>
        <v/>
      </c>
      <c r="M1327" s="20">
        <f>IF($B1327="","",IFERROR(INDEX(الموظفات!$D$5:$D$304,MATCH($B1327,الموظفات!$B$5:$B$304,0))&amp;"",""))</f>
        <v/>
      </c>
      <c r="N1327" s="20">
        <f>IF($B1327="","",IFERROR(INDEX(الموظفات!$E$5:$E$304,MATCH($B1327,الموظفات!$B$5:$B$304,0))&amp;"",""))</f>
        <v/>
      </c>
      <c r="O1327" s="21">
        <f>IF(C1327="","",IFERROR(INDEX(الإعدادات!$D$7:$D$35,MATCH(C1327,الإعدادات!$A$7:$A$35,0))&amp;"",""))</f>
        <v/>
      </c>
      <c r="P1327" s="20">
        <f>IF(A1327="","",INDEX(الإعدادات!$H$7:$H$18,MONTH(A1327)))</f>
        <v/>
      </c>
      <c r="Q1327" s="20">
        <f>IF(A1327="","",INDEX(الإعدادات!$I$7:$I$18,MONTH(A1327)))</f>
        <v/>
      </c>
      <c r="R1327" s="20">
        <f>IF(A1327="","",IF(MONTH(A1327)&gt;=8,YEAR(A1327)&amp;"-"&amp;(YEAR(A1327)+1),(YEAR(A1327)-1)&amp;"-"&amp;YEAR(A1327)))</f>
        <v/>
      </c>
      <c r="S1327" s="20">
        <f>IF(OR(A1327="",B1327=""),0,IF(AND(R1327=التقارير!$C$4,OR(التقارير!$C$5="سنوي",AND(التقارير!$C$5="شهري",P1327=التقارير!$C$6),AND(التقارير!$C$5="فصلي",Q1327=التقارير!$C$7))),1,0))</f>
        <v/>
      </c>
      <c r="T1327" s="20">
        <f>IF(S1327=1,COUNTIF($S$5:S1327,1),"")</f>
        <v/>
      </c>
      <c r="U1327">
        <f>IF(AND($A1327&lt;&gt;"",$B1327&lt;&gt;"",$R1327='تقرير الفصل الأول'!$C$4,$Q1327='تقرير الفصل الأول'!$C$7),COUNT(U$4:U1326)+1,"")</f>
        <v/>
      </c>
      <c r="V1327">
        <f>IF(AND($A1327&lt;&gt;"",$B1327&lt;&gt;"",$R1327='تقرير الفصل الثاني'!$C$4,$Q1327='تقرير الفصل الثاني'!$C$7),COUNT(V$4:V1326)+1,"")</f>
        <v/>
      </c>
      <c r="W1327">
        <f>IF(AND($A1327&lt;&gt;"",$B1327&lt;&gt;"",$R1327='تقرير سبتمبر'!$C$4,$P1327='تقرير سبتمبر'!$C$6),COUNT(W$4:W1326)+1,"")</f>
        <v/>
      </c>
      <c r="X1327">
        <f>IF(AND($A1327&lt;&gt;"",$B1327&lt;&gt;"",$R1327='تقرير أكتوبر'!$C$4,$P1327='تقرير أكتوبر'!$C$6),COUNT(X$4:X1326)+1,"")</f>
        <v/>
      </c>
      <c r="Y1327">
        <f>IF(AND($A1327&lt;&gt;"",$B1327&lt;&gt;"",$R1327='تقرير نوفمبر'!$C$4,$P1327='تقرير نوفمبر'!$C$6),COUNT(Y$4:Y1326)+1,"")</f>
        <v/>
      </c>
      <c r="Z1327">
        <f>IF(AND($A1327&lt;&gt;"",$B1327&lt;&gt;"",$R1327='تقرير ديسمبر'!$C$4,$P1327='تقرير ديسمبر'!$C$6),COUNT(Z$4:Z1326)+1,"")</f>
        <v/>
      </c>
      <c r="AA1327">
        <f>IF(AND($A1327&lt;&gt;"",$B1327&lt;&gt;"",$R1327='تقرير يناير'!$C$4,$P1327='تقرير يناير'!$C$6),COUNT(AA$4:AA1326)+1,"")</f>
        <v/>
      </c>
      <c r="AB1327">
        <f>IF(AND($A1327&lt;&gt;"",$B1327&lt;&gt;"",$R1327='تقرير فبراير'!$C$4,$P1327='تقرير فبراير'!$C$6),COUNT(AB$4:AB1326)+1,"")</f>
        <v/>
      </c>
      <c r="AC1327">
        <f>IF(AND($A1327&lt;&gt;"",$B1327&lt;&gt;"",$R1327='تقرير مارس'!$C$4,$P1327='تقرير مارس'!$C$6),COUNT(AC$4:AC1326)+1,"")</f>
        <v/>
      </c>
      <c r="AD1327">
        <f>IF(AND($A1327&lt;&gt;"",$B1327&lt;&gt;"",$R1327='تقرير أبريل'!$C$4,$P1327='تقرير أبريل'!$C$6),COUNT(AD$4:AD1326)+1,"")</f>
        <v/>
      </c>
      <c r="AE1327">
        <f>IF(AND($A1327&lt;&gt;"",$B1327&lt;&gt;"",$R1327='تقرير مايو'!$C$4,$P1327='تقرير مايو'!$C$6),COUNT(AE$4:AE1326)+1,"")</f>
        <v/>
      </c>
    </row>
    <row r="1328">
      <c r="A1328" s="16" t="n"/>
      <c r="B1328" s="17" t="n"/>
      <c r="C1328" s="17" t="n"/>
      <c r="D1328" s="18" t="n"/>
      <c r="E1328" s="17" t="n"/>
      <c r="F1328" s="17" t="n"/>
      <c r="G1328" s="19" t="n"/>
      <c r="H1328" s="17" t="n"/>
      <c r="I1328" s="17" t="n"/>
      <c r="J1328" s="17" t="n"/>
      <c r="K1328" s="20">
        <f>IF($B1328="","",IFERROR(INDEX(الموظفات!$A$5:$A$304,MATCH($B1328,الموظفات!$B$5:$B$304,0))&amp;"",""))</f>
        <v/>
      </c>
      <c r="L1328" s="21">
        <f>IF($B1328="","",IFERROR(INDEX(الموظفات!$C$5:$C$304,MATCH($B1328,الموظفات!$B$5:$B$304,0))&amp;"",""))</f>
        <v/>
      </c>
      <c r="M1328" s="20">
        <f>IF($B1328="","",IFERROR(INDEX(الموظفات!$D$5:$D$304,MATCH($B1328,الموظفات!$B$5:$B$304,0))&amp;"",""))</f>
        <v/>
      </c>
      <c r="N1328" s="20">
        <f>IF($B1328="","",IFERROR(INDEX(الموظفات!$E$5:$E$304,MATCH($B1328,الموظفات!$B$5:$B$304,0))&amp;"",""))</f>
        <v/>
      </c>
      <c r="O1328" s="21">
        <f>IF(C1328="","",IFERROR(INDEX(الإعدادات!$D$7:$D$35,MATCH(C1328,الإعدادات!$A$7:$A$35,0))&amp;"",""))</f>
        <v/>
      </c>
      <c r="P1328" s="20">
        <f>IF(A1328="","",INDEX(الإعدادات!$H$7:$H$18,MONTH(A1328)))</f>
        <v/>
      </c>
      <c r="Q1328" s="20">
        <f>IF(A1328="","",INDEX(الإعدادات!$I$7:$I$18,MONTH(A1328)))</f>
        <v/>
      </c>
      <c r="R1328" s="20">
        <f>IF(A1328="","",IF(MONTH(A1328)&gt;=8,YEAR(A1328)&amp;"-"&amp;(YEAR(A1328)+1),(YEAR(A1328)-1)&amp;"-"&amp;YEAR(A1328)))</f>
        <v/>
      </c>
      <c r="S1328" s="20">
        <f>IF(OR(A1328="",B1328=""),0,IF(AND(R1328=التقارير!$C$4,OR(التقارير!$C$5="سنوي",AND(التقارير!$C$5="شهري",P1328=التقارير!$C$6),AND(التقارير!$C$5="فصلي",Q1328=التقارير!$C$7))),1,0))</f>
        <v/>
      </c>
      <c r="T1328" s="20">
        <f>IF(S1328=1,COUNTIF($S$5:S1328,1),"")</f>
        <v/>
      </c>
      <c r="U1328">
        <f>IF(AND($A1328&lt;&gt;"",$B1328&lt;&gt;"",$R1328='تقرير الفصل الأول'!$C$4,$Q1328='تقرير الفصل الأول'!$C$7),COUNT(U$4:U1327)+1,"")</f>
        <v/>
      </c>
      <c r="V1328">
        <f>IF(AND($A1328&lt;&gt;"",$B1328&lt;&gt;"",$R1328='تقرير الفصل الثاني'!$C$4,$Q1328='تقرير الفصل الثاني'!$C$7),COUNT(V$4:V1327)+1,"")</f>
        <v/>
      </c>
      <c r="W1328">
        <f>IF(AND($A1328&lt;&gt;"",$B1328&lt;&gt;"",$R1328='تقرير سبتمبر'!$C$4,$P1328='تقرير سبتمبر'!$C$6),COUNT(W$4:W1327)+1,"")</f>
        <v/>
      </c>
      <c r="X1328">
        <f>IF(AND($A1328&lt;&gt;"",$B1328&lt;&gt;"",$R1328='تقرير أكتوبر'!$C$4,$P1328='تقرير أكتوبر'!$C$6),COUNT(X$4:X1327)+1,"")</f>
        <v/>
      </c>
      <c r="Y1328">
        <f>IF(AND($A1328&lt;&gt;"",$B1328&lt;&gt;"",$R1328='تقرير نوفمبر'!$C$4,$P1328='تقرير نوفمبر'!$C$6),COUNT(Y$4:Y1327)+1,"")</f>
        <v/>
      </c>
      <c r="Z1328">
        <f>IF(AND($A1328&lt;&gt;"",$B1328&lt;&gt;"",$R1328='تقرير ديسمبر'!$C$4,$P1328='تقرير ديسمبر'!$C$6),COUNT(Z$4:Z1327)+1,"")</f>
        <v/>
      </c>
      <c r="AA1328">
        <f>IF(AND($A1328&lt;&gt;"",$B1328&lt;&gt;"",$R1328='تقرير يناير'!$C$4,$P1328='تقرير يناير'!$C$6),COUNT(AA$4:AA1327)+1,"")</f>
        <v/>
      </c>
      <c r="AB1328">
        <f>IF(AND($A1328&lt;&gt;"",$B1328&lt;&gt;"",$R1328='تقرير فبراير'!$C$4,$P1328='تقرير فبراير'!$C$6),COUNT(AB$4:AB1327)+1,"")</f>
        <v/>
      </c>
      <c r="AC1328">
        <f>IF(AND($A1328&lt;&gt;"",$B1328&lt;&gt;"",$R1328='تقرير مارس'!$C$4,$P1328='تقرير مارس'!$C$6),COUNT(AC$4:AC1327)+1,"")</f>
        <v/>
      </c>
      <c r="AD1328">
        <f>IF(AND($A1328&lt;&gt;"",$B1328&lt;&gt;"",$R1328='تقرير أبريل'!$C$4,$P1328='تقرير أبريل'!$C$6),COUNT(AD$4:AD1327)+1,"")</f>
        <v/>
      </c>
      <c r="AE1328">
        <f>IF(AND($A1328&lt;&gt;"",$B1328&lt;&gt;"",$R1328='تقرير مايو'!$C$4,$P1328='تقرير مايو'!$C$6),COUNT(AE$4:AE1327)+1,"")</f>
        <v/>
      </c>
    </row>
    <row r="1329">
      <c r="A1329" s="16" t="n"/>
      <c r="B1329" s="17" t="n"/>
      <c r="C1329" s="17" t="n"/>
      <c r="D1329" s="18" t="n"/>
      <c r="E1329" s="17" t="n"/>
      <c r="F1329" s="17" t="n"/>
      <c r="G1329" s="19" t="n"/>
      <c r="H1329" s="17" t="n"/>
      <c r="I1329" s="17" t="n"/>
      <c r="J1329" s="17" t="n"/>
      <c r="K1329" s="20">
        <f>IF($B1329="","",IFERROR(INDEX(الموظفات!$A$5:$A$304,MATCH($B1329,الموظفات!$B$5:$B$304,0))&amp;"",""))</f>
        <v/>
      </c>
      <c r="L1329" s="21">
        <f>IF($B1329="","",IFERROR(INDEX(الموظفات!$C$5:$C$304,MATCH($B1329,الموظفات!$B$5:$B$304,0))&amp;"",""))</f>
        <v/>
      </c>
      <c r="M1329" s="20">
        <f>IF($B1329="","",IFERROR(INDEX(الموظفات!$D$5:$D$304,MATCH($B1329,الموظفات!$B$5:$B$304,0))&amp;"",""))</f>
        <v/>
      </c>
      <c r="N1329" s="20">
        <f>IF($B1329="","",IFERROR(INDEX(الموظفات!$E$5:$E$304,MATCH($B1329,الموظفات!$B$5:$B$304,0))&amp;"",""))</f>
        <v/>
      </c>
      <c r="O1329" s="21">
        <f>IF(C1329="","",IFERROR(INDEX(الإعدادات!$D$7:$D$35,MATCH(C1329,الإعدادات!$A$7:$A$35,0))&amp;"",""))</f>
        <v/>
      </c>
      <c r="P1329" s="20">
        <f>IF(A1329="","",INDEX(الإعدادات!$H$7:$H$18,MONTH(A1329)))</f>
        <v/>
      </c>
      <c r="Q1329" s="20">
        <f>IF(A1329="","",INDEX(الإعدادات!$I$7:$I$18,MONTH(A1329)))</f>
        <v/>
      </c>
      <c r="R1329" s="20">
        <f>IF(A1329="","",IF(MONTH(A1329)&gt;=8,YEAR(A1329)&amp;"-"&amp;(YEAR(A1329)+1),(YEAR(A1329)-1)&amp;"-"&amp;YEAR(A1329)))</f>
        <v/>
      </c>
      <c r="S1329" s="20">
        <f>IF(OR(A1329="",B1329=""),0,IF(AND(R1329=التقارير!$C$4,OR(التقارير!$C$5="سنوي",AND(التقارير!$C$5="شهري",P1329=التقارير!$C$6),AND(التقارير!$C$5="فصلي",Q1329=التقارير!$C$7))),1,0))</f>
        <v/>
      </c>
      <c r="T1329" s="20">
        <f>IF(S1329=1,COUNTIF($S$5:S1329,1),"")</f>
        <v/>
      </c>
      <c r="U1329">
        <f>IF(AND($A1329&lt;&gt;"",$B1329&lt;&gt;"",$R1329='تقرير الفصل الأول'!$C$4,$Q1329='تقرير الفصل الأول'!$C$7),COUNT(U$4:U1328)+1,"")</f>
        <v/>
      </c>
      <c r="V1329">
        <f>IF(AND($A1329&lt;&gt;"",$B1329&lt;&gt;"",$R1329='تقرير الفصل الثاني'!$C$4,$Q1329='تقرير الفصل الثاني'!$C$7),COUNT(V$4:V1328)+1,"")</f>
        <v/>
      </c>
      <c r="W1329">
        <f>IF(AND($A1329&lt;&gt;"",$B1329&lt;&gt;"",$R1329='تقرير سبتمبر'!$C$4,$P1329='تقرير سبتمبر'!$C$6),COUNT(W$4:W1328)+1,"")</f>
        <v/>
      </c>
      <c r="X1329">
        <f>IF(AND($A1329&lt;&gt;"",$B1329&lt;&gt;"",$R1329='تقرير أكتوبر'!$C$4,$P1329='تقرير أكتوبر'!$C$6),COUNT(X$4:X1328)+1,"")</f>
        <v/>
      </c>
      <c r="Y1329">
        <f>IF(AND($A1329&lt;&gt;"",$B1329&lt;&gt;"",$R1329='تقرير نوفمبر'!$C$4,$P1329='تقرير نوفمبر'!$C$6),COUNT(Y$4:Y1328)+1,"")</f>
        <v/>
      </c>
      <c r="Z1329">
        <f>IF(AND($A1329&lt;&gt;"",$B1329&lt;&gt;"",$R1329='تقرير ديسمبر'!$C$4,$P1329='تقرير ديسمبر'!$C$6),COUNT(Z$4:Z1328)+1,"")</f>
        <v/>
      </c>
      <c r="AA1329">
        <f>IF(AND($A1329&lt;&gt;"",$B1329&lt;&gt;"",$R1329='تقرير يناير'!$C$4,$P1329='تقرير يناير'!$C$6),COUNT(AA$4:AA1328)+1,"")</f>
        <v/>
      </c>
      <c r="AB1329">
        <f>IF(AND($A1329&lt;&gt;"",$B1329&lt;&gt;"",$R1329='تقرير فبراير'!$C$4,$P1329='تقرير فبراير'!$C$6),COUNT(AB$4:AB1328)+1,"")</f>
        <v/>
      </c>
      <c r="AC1329">
        <f>IF(AND($A1329&lt;&gt;"",$B1329&lt;&gt;"",$R1329='تقرير مارس'!$C$4,$P1329='تقرير مارس'!$C$6),COUNT(AC$4:AC1328)+1,"")</f>
        <v/>
      </c>
      <c r="AD1329">
        <f>IF(AND($A1329&lt;&gt;"",$B1329&lt;&gt;"",$R1329='تقرير أبريل'!$C$4,$P1329='تقرير أبريل'!$C$6),COUNT(AD$4:AD1328)+1,"")</f>
        <v/>
      </c>
      <c r="AE1329">
        <f>IF(AND($A1329&lt;&gt;"",$B1329&lt;&gt;"",$R1329='تقرير مايو'!$C$4,$P1329='تقرير مايو'!$C$6),COUNT(AE$4:AE1328)+1,"")</f>
        <v/>
      </c>
    </row>
    <row r="1330">
      <c r="A1330" s="16" t="n"/>
      <c r="B1330" s="17" t="n"/>
      <c r="C1330" s="17" t="n"/>
      <c r="D1330" s="18" t="n"/>
      <c r="E1330" s="17" t="n"/>
      <c r="F1330" s="17" t="n"/>
      <c r="G1330" s="19" t="n"/>
      <c r="H1330" s="17" t="n"/>
      <c r="I1330" s="17" t="n"/>
      <c r="J1330" s="17" t="n"/>
      <c r="K1330" s="20">
        <f>IF($B1330="","",IFERROR(INDEX(الموظفات!$A$5:$A$304,MATCH($B1330,الموظفات!$B$5:$B$304,0))&amp;"",""))</f>
        <v/>
      </c>
      <c r="L1330" s="21">
        <f>IF($B1330="","",IFERROR(INDEX(الموظفات!$C$5:$C$304,MATCH($B1330,الموظفات!$B$5:$B$304,0))&amp;"",""))</f>
        <v/>
      </c>
      <c r="M1330" s="20">
        <f>IF($B1330="","",IFERROR(INDEX(الموظفات!$D$5:$D$304,MATCH($B1330,الموظفات!$B$5:$B$304,0))&amp;"",""))</f>
        <v/>
      </c>
      <c r="N1330" s="20">
        <f>IF($B1330="","",IFERROR(INDEX(الموظفات!$E$5:$E$304,MATCH($B1330,الموظفات!$B$5:$B$304,0))&amp;"",""))</f>
        <v/>
      </c>
      <c r="O1330" s="21">
        <f>IF(C1330="","",IFERROR(INDEX(الإعدادات!$D$7:$D$35,MATCH(C1330,الإعدادات!$A$7:$A$35,0))&amp;"",""))</f>
        <v/>
      </c>
      <c r="P1330" s="20">
        <f>IF(A1330="","",INDEX(الإعدادات!$H$7:$H$18,MONTH(A1330)))</f>
        <v/>
      </c>
      <c r="Q1330" s="20">
        <f>IF(A1330="","",INDEX(الإعدادات!$I$7:$I$18,MONTH(A1330)))</f>
        <v/>
      </c>
      <c r="R1330" s="20">
        <f>IF(A1330="","",IF(MONTH(A1330)&gt;=8,YEAR(A1330)&amp;"-"&amp;(YEAR(A1330)+1),(YEAR(A1330)-1)&amp;"-"&amp;YEAR(A1330)))</f>
        <v/>
      </c>
      <c r="S1330" s="20">
        <f>IF(OR(A1330="",B1330=""),0,IF(AND(R1330=التقارير!$C$4,OR(التقارير!$C$5="سنوي",AND(التقارير!$C$5="شهري",P1330=التقارير!$C$6),AND(التقارير!$C$5="فصلي",Q1330=التقارير!$C$7))),1,0))</f>
        <v/>
      </c>
      <c r="T1330" s="20">
        <f>IF(S1330=1,COUNTIF($S$5:S1330,1),"")</f>
        <v/>
      </c>
      <c r="U1330">
        <f>IF(AND($A1330&lt;&gt;"",$B1330&lt;&gt;"",$R1330='تقرير الفصل الأول'!$C$4,$Q1330='تقرير الفصل الأول'!$C$7),COUNT(U$4:U1329)+1,"")</f>
        <v/>
      </c>
      <c r="V1330">
        <f>IF(AND($A1330&lt;&gt;"",$B1330&lt;&gt;"",$R1330='تقرير الفصل الثاني'!$C$4,$Q1330='تقرير الفصل الثاني'!$C$7),COUNT(V$4:V1329)+1,"")</f>
        <v/>
      </c>
      <c r="W1330">
        <f>IF(AND($A1330&lt;&gt;"",$B1330&lt;&gt;"",$R1330='تقرير سبتمبر'!$C$4,$P1330='تقرير سبتمبر'!$C$6),COUNT(W$4:W1329)+1,"")</f>
        <v/>
      </c>
      <c r="X1330">
        <f>IF(AND($A1330&lt;&gt;"",$B1330&lt;&gt;"",$R1330='تقرير أكتوبر'!$C$4,$P1330='تقرير أكتوبر'!$C$6),COUNT(X$4:X1329)+1,"")</f>
        <v/>
      </c>
      <c r="Y1330">
        <f>IF(AND($A1330&lt;&gt;"",$B1330&lt;&gt;"",$R1330='تقرير نوفمبر'!$C$4,$P1330='تقرير نوفمبر'!$C$6),COUNT(Y$4:Y1329)+1,"")</f>
        <v/>
      </c>
      <c r="Z1330">
        <f>IF(AND($A1330&lt;&gt;"",$B1330&lt;&gt;"",$R1330='تقرير ديسمبر'!$C$4,$P1330='تقرير ديسمبر'!$C$6),COUNT(Z$4:Z1329)+1,"")</f>
        <v/>
      </c>
      <c r="AA1330">
        <f>IF(AND($A1330&lt;&gt;"",$B1330&lt;&gt;"",$R1330='تقرير يناير'!$C$4,$P1330='تقرير يناير'!$C$6),COUNT(AA$4:AA1329)+1,"")</f>
        <v/>
      </c>
      <c r="AB1330">
        <f>IF(AND($A1330&lt;&gt;"",$B1330&lt;&gt;"",$R1330='تقرير فبراير'!$C$4,$P1330='تقرير فبراير'!$C$6),COUNT(AB$4:AB1329)+1,"")</f>
        <v/>
      </c>
      <c r="AC1330">
        <f>IF(AND($A1330&lt;&gt;"",$B1330&lt;&gt;"",$R1330='تقرير مارس'!$C$4,$P1330='تقرير مارس'!$C$6),COUNT(AC$4:AC1329)+1,"")</f>
        <v/>
      </c>
      <c r="AD1330">
        <f>IF(AND($A1330&lt;&gt;"",$B1330&lt;&gt;"",$R1330='تقرير أبريل'!$C$4,$P1330='تقرير أبريل'!$C$6),COUNT(AD$4:AD1329)+1,"")</f>
        <v/>
      </c>
      <c r="AE1330">
        <f>IF(AND($A1330&lt;&gt;"",$B1330&lt;&gt;"",$R1330='تقرير مايو'!$C$4,$P1330='تقرير مايو'!$C$6),COUNT(AE$4:AE1329)+1,"")</f>
        <v/>
      </c>
    </row>
    <row r="1331">
      <c r="A1331" s="16" t="n"/>
      <c r="B1331" s="17" t="n"/>
      <c r="C1331" s="17" t="n"/>
      <c r="D1331" s="18" t="n"/>
      <c r="E1331" s="17" t="n"/>
      <c r="F1331" s="17" t="n"/>
      <c r="G1331" s="19" t="n"/>
      <c r="H1331" s="17" t="n"/>
      <c r="I1331" s="17" t="n"/>
      <c r="J1331" s="17" t="n"/>
      <c r="K1331" s="20">
        <f>IF($B1331="","",IFERROR(INDEX(الموظفات!$A$5:$A$304,MATCH($B1331,الموظفات!$B$5:$B$304,0))&amp;"",""))</f>
        <v/>
      </c>
      <c r="L1331" s="21">
        <f>IF($B1331="","",IFERROR(INDEX(الموظفات!$C$5:$C$304,MATCH($B1331,الموظفات!$B$5:$B$304,0))&amp;"",""))</f>
        <v/>
      </c>
      <c r="M1331" s="20">
        <f>IF($B1331="","",IFERROR(INDEX(الموظفات!$D$5:$D$304,MATCH($B1331,الموظفات!$B$5:$B$304,0))&amp;"",""))</f>
        <v/>
      </c>
      <c r="N1331" s="20">
        <f>IF($B1331="","",IFERROR(INDEX(الموظفات!$E$5:$E$304,MATCH($B1331,الموظفات!$B$5:$B$304,0))&amp;"",""))</f>
        <v/>
      </c>
      <c r="O1331" s="21">
        <f>IF(C1331="","",IFERROR(INDEX(الإعدادات!$D$7:$D$35,MATCH(C1331,الإعدادات!$A$7:$A$35,0))&amp;"",""))</f>
        <v/>
      </c>
      <c r="P1331" s="20">
        <f>IF(A1331="","",INDEX(الإعدادات!$H$7:$H$18,MONTH(A1331)))</f>
        <v/>
      </c>
      <c r="Q1331" s="20">
        <f>IF(A1331="","",INDEX(الإعدادات!$I$7:$I$18,MONTH(A1331)))</f>
        <v/>
      </c>
      <c r="R1331" s="20">
        <f>IF(A1331="","",IF(MONTH(A1331)&gt;=8,YEAR(A1331)&amp;"-"&amp;(YEAR(A1331)+1),(YEAR(A1331)-1)&amp;"-"&amp;YEAR(A1331)))</f>
        <v/>
      </c>
      <c r="S1331" s="20">
        <f>IF(OR(A1331="",B1331=""),0,IF(AND(R1331=التقارير!$C$4,OR(التقارير!$C$5="سنوي",AND(التقارير!$C$5="شهري",P1331=التقارير!$C$6),AND(التقارير!$C$5="فصلي",Q1331=التقارير!$C$7))),1,0))</f>
        <v/>
      </c>
      <c r="T1331" s="20">
        <f>IF(S1331=1,COUNTIF($S$5:S1331,1),"")</f>
        <v/>
      </c>
      <c r="U1331">
        <f>IF(AND($A1331&lt;&gt;"",$B1331&lt;&gt;"",$R1331='تقرير الفصل الأول'!$C$4,$Q1331='تقرير الفصل الأول'!$C$7),COUNT(U$4:U1330)+1,"")</f>
        <v/>
      </c>
      <c r="V1331">
        <f>IF(AND($A1331&lt;&gt;"",$B1331&lt;&gt;"",$R1331='تقرير الفصل الثاني'!$C$4,$Q1331='تقرير الفصل الثاني'!$C$7),COUNT(V$4:V1330)+1,"")</f>
        <v/>
      </c>
      <c r="W1331">
        <f>IF(AND($A1331&lt;&gt;"",$B1331&lt;&gt;"",$R1331='تقرير سبتمبر'!$C$4,$P1331='تقرير سبتمبر'!$C$6),COUNT(W$4:W1330)+1,"")</f>
        <v/>
      </c>
      <c r="X1331">
        <f>IF(AND($A1331&lt;&gt;"",$B1331&lt;&gt;"",$R1331='تقرير أكتوبر'!$C$4,$P1331='تقرير أكتوبر'!$C$6),COUNT(X$4:X1330)+1,"")</f>
        <v/>
      </c>
      <c r="Y1331">
        <f>IF(AND($A1331&lt;&gt;"",$B1331&lt;&gt;"",$R1331='تقرير نوفمبر'!$C$4,$P1331='تقرير نوفمبر'!$C$6),COUNT(Y$4:Y1330)+1,"")</f>
        <v/>
      </c>
      <c r="Z1331">
        <f>IF(AND($A1331&lt;&gt;"",$B1331&lt;&gt;"",$R1331='تقرير ديسمبر'!$C$4,$P1331='تقرير ديسمبر'!$C$6),COUNT(Z$4:Z1330)+1,"")</f>
        <v/>
      </c>
      <c r="AA1331">
        <f>IF(AND($A1331&lt;&gt;"",$B1331&lt;&gt;"",$R1331='تقرير يناير'!$C$4,$P1331='تقرير يناير'!$C$6),COUNT(AA$4:AA1330)+1,"")</f>
        <v/>
      </c>
      <c r="AB1331">
        <f>IF(AND($A1331&lt;&gt;"",$B1331&lt;&gt;"",$R1331='تقرير فبراير'!$C$4,$P1331='تقرير فبراير'!$C$6),COUNT(AB$4:AB1330)+1,"")</f>
        <v/>
      </c>
      <c r="AC1331">
        <f>IF(AND($A1331&lt;&gt;"",$B1331&lt;&gt;"",$R1331='تقرير مارس'!$C$4,$P1331='تقرير مارس'!$C$6),COUNT(AC$4:AC1330)+1,"")</f>
        <v/>
      </c>
      <c r="AD1331">
        <f>IF(AND($A1331&lt;&gt;"",$B1331&lt;&gt;"",$R1331='تقرير أبريل'!$C$4,$P1331='تقرير أبريل'!$C$6),COUNT(AD$4:AD1330)+1,"")</f>
        <v/>
      </c>
      <c r="AE1331">
        <f>IF(AND($A1331&lt;&gt;"",$B1331&lt;&gt;"",$R1331='تقرير مايو'!$C$4,$P1331='تقرير مايو'!$C$6),COUNT(AE$4:AE1330)+1,"")</f>
        <v/>
      </c>
    </row>
    <row r="1332">
      <c r="A1332" s="16" t="n"/>
      <c r="B1332" s="17" t="n"/>
      <c r="C1332" s="17" t="n"/>
      <c r="D1332" s="18" t="n"/>
      <c r="E1332" s="17" t="n"/>
      <c r="F1332" s="17" t="n"/>
      <c r="G1332" s="19" t="n"/>
      <c r="H1332" s="17" t="n"/>
      <c r="I1332" s="17" t="n"/>
      <c r="J1332" s="17" t="n"/>
      <c r="K1332" s="20">
        <f>IF($B1332="","",IFERROR(INDEX(الموظفات!$A$5:$A$304,MATCH($B1332,الموظفات!$B$5:$B$304,0))&amp;"",""))</f>
        <v/>
      </c>
      <c r="L1332" s="21">
        <f>IF($B1332="","",IFERROR(INDEX(الموظفات!$C$5:$C$304,MATCH($B1332,الموظفات!$B$5:$B$304,0))&amp;"",""))</f>
        <v/>
      </c>
      <c r="M1332" s="20">
        <f>IF($B1332="","",IFERROR(INDEX(الموظفات!$D$5:$D$304,MATCH($B1332,الموظفات!$B$5:$B$304,0))&amp;"",""))</f>
        <v/>
      </c>
      <c r="N1332" s="20">
        <f>IF($B1332="","",IFERROR(INDEX(الموظفات!$E$5:$E$304,MATCH($B1332,الموظفات!$B$5:$B$304,0))&amp;"",""))</f>
        <v/>
      </c>
      <c r="O1332" s="21">
        <f>IF(C1332="","",IFERROR(INDEX(الإعدادات!$D$7:$D$35,MATCH(C1332,الإعدادات!$A$7:$A$35,0))&amp;"",""))</f>
        <v/>
      </c>
      <c r="P1332" s="20">
        <f>IF(A1332="","",INDEX(الإعدادات!$H$7:$H$18,MONTH(A1332)))</f>
        <v/>
      </c>
      <c r="Q1332" s="20">
        <f>IF(A1332="","",INDEX(الإعدادات!$I$7:$I$18,MONTH(A1332)))</f>
        <v/>
      </c>
      <c r="R1332" s="20">
        <f>IF(A1332="","",IF(MONTH(A1332)&gt;=8,YEAR(A1332)&amp;"-"&amp;(YEAR(A1332)+1),(YEAR(A1332)-1)&amp;"-"&amp;YEAR(A1332)))</f>
        <v/>
      </c>
      <c r="S1332" s="20">
        <f>IF(OR(A1332="",B1332=""),0,IF(AND(R1332=التقارير!$C$4,OR(التقارير!$C$5="سنوي",AND(التقارير!$C$5="شهري",P1332=التقارير!$C$6),AND(التقارير!$C$5="فصلي",Q1332=التقارير!$C$7))),1,0))</f>
        <v/>
      </c>
      <c r="T1332" s="20">
        <f>IF(S1332=1,COUNTIF($S$5:S1332,1),"")</f>
        <v/>
      </c>
      <c r="U1332">
        <f>IF(AND($A1332&lt;&gt;"",$B1332&lt;&gt;"",$R1332='تقرير الفصل الأول'!$C$4,$Q1332='تقرير الفصل الأول'!$C$7),COUNT(U$4:U1331)+1,"")</f>
        <v/>
      </c>
      <c r="V1332">
        <f>IF(AND($A1332&lt;&gt;"",$B1332&lt;&gt;"",$R1332='تقرير الفصل الثاني'!$C$4,$Q1332='تقرير الفصل الثاني'!$C$7),COUNT(V$4:V1331)+1,"")</f>
        <v/>
      </c>
      <c r="W1332">
        <f>IF(AND($A1332&lt;&gt;"",$B1332&lt;&gt;"",$R1332='تقرير سبتمبر'!$C$4,$P1332='تقرير سبتمبر'!$C$6),COUNT(W$4:W1331)+1,"")</f>
        <v/>
      </c>
      <c r="X1332">
        <f>IF(AND($A1332&lt;&gt;"",$B1332&lt;&gt;"",$R1332='تقرير أكتوبر'!$C$4,$P1332='تقرير أكتوبر'!$C$6),COUNT(X$4:X1331)+1,"")</f>
        <v/>
      </c>
      <c r="Y1332">
        <f>IF(AND($A1332&lt;&gt;"",$B1332&lt;&gt;"",$R1332='تقرير نوفمبر'!$C$4,$P1332='تقرير نوفمبر'!$C$6),COUNT(Y$4:Y1331)+1,"")</f>
        <v/>
      </c>
      <c r="Z1332">
        <f>IF(AND($A1332&lt;&gt;"",$B1332&lt;&gt;"",$R1332='تقرير ديسمبر'!$C$4,$P1332='تقرير ديسمبر'!$C$6),COUNT(Z$4:Z1331)+1,"")</f>
        <v/>
      </c>
      <c r="AA1332">
        <f>IF(AND($A1332&lt;&gt;"",$B1332&lt;&gt;"",$R1332='تقرير يناير'!$C$4,$P1332='تقرير يناير'!$C$6),COUNT(AA$4:AA1331)+1,"")</f>
        <v/>
      </c>
      <c r="AB1332">
        <f>IF(AND($A1332&lt;&gt;"",$B1332&lt;&gt;"",$R1332='تقرير فبراير'!$C$4,$P1332='تقرير فبراير'!$C$6),COUNT(AB$4:AB1331)+1,"")</f>
        <v/>
      </c>
      <c r="AC1332">
        <f>IF(AND($A1332&lt;&gt;"",$B1332&lt;&gt;"",$R1332='تقرير مارس'!$C$4,$P1332='تقرير مارس'!$C$6),COUNT(AC$4:AC1331)+1,"")</f>
        <v/>
      </c>
      <c r="AD1332">
        <f>IF(AND($A1332&lt;&gt;"",$B1332&lt;&gt;"",$R1332='تقرير أبريل'!$C$4,$P1332='تقرير أبريل'!$C$6),COUNT(AD$4:AD1331)+1,"")</f>
        <v/>
      </c>
      <c r="AE1332">
        <f>IF(AND($A1332&lt;&gt;"",$B1332&lt;&gt;"",$R1332='تقرير مايو'!$C$4,$P1332='تقرير مايو'!$C$6),COUNT(AE$4:AE1331)+1,"")</f>
        <v/>
      </c>
    </row>
    <row r="1333">
      <c r="A1333" s="16" t="n"/>
      <c r="B1333" s="17" t="n"/>
      <c r="C1333" s="17" t="n"/>
      <c r="D1333" s="18" t="n"/>
      <c r="E1333" s="17" t="n"/>
      <c r="F1333" s="17" t="n"/>
      <c r="G1333" s="19" t="n"/>
      <c r="H1333" s="17" t="n"/>
      <c r="I1333" s="17" t="n"/>
      <c r="J1333" s="17" t="n"/>
      <c r="K1333" s="20">
        <f>IF($B1333="","",IFERROR(INDEX(الموظفات!$A$5:$A$304,MATCH($B1333,الموظفات!$B$5:$B$304,0))&amp;"",""))</f>
        <v/>
      </c>
      <c r="L1333" s="21">
        <f>IF($B1333="","",IFERROR(INDEX(الموظفات!$C$5:$C$304,MATCH($B1333,الموظفات!$B$5:$B$304,0))&amp;"",""))</f>
        <v/>
      </c>
      <c r="M1333" s="20">
        <f>IF($B1333="","",IFERROR(INDEX(الموظفات!$D$5:$D$304,MATCH($B1333,الموظفات!$B$5:$B$304,0))&amp;"",""))</f>
        <v/>
      </c>
      <c r="N1333" s="20">
        <f>IF($B1333="","",IFERROR(INDEX(الموظفات!$E$5:$E$304,MATCH($B1333,الموظفات!$B$5:$B$304,0))&amp;"",""))</f>
        <v/>
      </c>
      <c r="O1333" s="21">
        <f>IF(C1333="","",IFERROR(INDEX(الإعدادات!$D$7:$D$35,MATCH(C1333,الإعدادات!$A$7:$A$35,0))&amp;"",""))</f>
        <v/>
      </c>
      <c r="P1333" s="20">
        <f>IF(A1333="","",INDEX(الإعدادات!$H$7:$H$18,MONTH(A1333)))</f>
        <v/>
      </c>
      <c r="Q1333" s="20">
        <f>IF(A1333="","",INDEX(الإعدادات!$I$7:$I$18,MONTH(A1333)))</f>
        <v/>
      </c>
      <c r="R1333" s="20">
        <f>IF(A1333="","",IF(MONTH(A1333)&gt;=8,YEAR(A1333)&amp;"-"&amp;(YEAR(A1333)+1),(YEAR(A1333)-1)&amp;"-"&amp;YEAR(A1333)))</f>
        <v/>
      </c>
      <c r="S1333" s="20">
        <f>IF(OR(A1333="",B1333=""),0,IF(AND(R1333=التقارير!$C$4,OR(التقارير!$C$5="سنوي",AND(التقارير!$C$5="شهري",P1333=التقارير!$C$6),AND(التقارير!$C$5="فصلي",Q1333=التقارير!$C$7))),1,0))</f>
        <v/>
      </c>
      <c r="T1333" s="20">
        <f>IF(S1333=1,COUNTIF($S$5:S1333,1),"")</f>
        <v/>
      </c>
      <c r="U1333">
        <f>IF(AND($A1333&lt;&gt;"",$B1333&lt;&gt;"",$R1333='تقرير الفصل الأول'!$C$4,$Q1333='تقرير الفصل الأول'!$C$7),COUNT(U$4:U1332)+1,"")</f>
        <v/>
      </c>
      <c r="V1333">
        <f>IF(AND($A1333&lt;&gt;"",$B1333&lt;&gt;"",$R1333='تقرير الفصل الثاني'!$C$4,$Q1333='تقرير الفصل الثاني'!$C$7),COUNT(V$4:V1332)+1,"")</f>
        <v/>
      </c>
      <c r="W1333">
        <f>IF(AND($A1333&lt;&gt;"",$B1333&lt;&gt;"",$R1333='تقرير سبتمبر'!$C$4,$P1333='تقرير سبتمبر'!$C$6),COUNT(W$4:W1332)+1,"")</f>
        <v/>
      </c>
      <c r="X1333">
        <f>IF(AND($A1333&lt;&gt;"",$B1333&lt;&gt;"",$R1333='تقرير أكتوبر'!$C$4,$P1333='تقرير أكتوبر'!$C$6),COUNT(X$4:X1332)+1,"")</f>
        <v/>
      </c>
      <c r="Y1333">
        <f>IF(AND($A1333&lt;&gt;"",$B1333&lt;&gt;"",$R1333='تقرير نوفمبر'!$C$4,$P1333='تقرير نوفمبر'!$C$6),COUNT(Y$4:Y1332)+1,"")</f>
        <v/>
      </c>
      <c r="Z1333">
        <f>IF(AND($A1333&lt;&gt;"",$B1333&lt;&gt;"",$R1333='تقرير ديسمبر'!$C$4,$P1333='تقرير ديسمبر'!$C$6),COUNT(Z$4:Z1332)+1,"")</f>
        <v/>
      </c>
      <c r="AA1333">
        <f>IF(AND($A1333&lt;&gt;"",$B1333&lt;&gt;"",$R1333='تقرير يناير'!$C$4,$P1333='تقرير يناير'!$C$6),COUNT(AA$4:AA1332)+1,"")</f>
        <v/>
      </c>
      <c r="AB1333">
        <f>IF(AND($A1333&lt;&gt;"",$B1333&lt;&gt;"",$R1333='تقرير فبراير'!$C$4,$P1333='تقرير فبراير'!$C$6),COUNT(AB$4:AB1332)+1,"")</f>
        <v/>
      </c>
      <c r="AC1333">
        <f>IF(AND($A1333&lt;&gt;"",$B1333&lt;&gt;"",$R1333='تقرير مارس'!$C$4,$P1333='تقرير مارس'!$C$6),COUNT(AC$4:AC1332)+1,"")</f>
        <v/>
      </c>
      <c r="AD1333">
        <f>IF(AND($A1333&lt;&gt;"",$B1333&lt;&gt;"",$R1333='تقرير أبريل'!$C$4,$P1333='تقرير أبريل'!$C$6),COUNT(AD$4:AD1332)+1,"")</f>
        <v/>
      </c>
      <c r="AE1333">
        <f>IF(AND($A1333&lt;&gt;"",$B1333&lt;&gt;"",$R1333='تقرير مايو'!$C$4,$P1333='تقرير مايو'!$C$6),COUNT(AE$4:AE1332)+1,"")</f>
        <v/>
      </c>
    </row>
    <row r="1334">
      <c r="A1334" s="16" t="n"/>
      <c r="B1334" s="17" t="n"/>
      <c r="C1334" s="17" t="n"/>
      <c r="D1334" s="18" t="n"/>
      <c r="E1334" s="17" t="n"/>
      <c r="F1334" s="17" t="n"/>
      <c r="G1334" s="19" t="n"/>
      <c r="H1334" s="17" t="n"/>
      <c r="I1334" s="17" t="n"/>
      <c r="J1334" s="17" t="n"/>
      <c r="K1334" s="20">
        <f>IF($B1334="","",IFERROR(INDEX(الموظفات!$A$5:$A$304,MATCH($B1334,الموظفات!$B$5:$B$304,0))&amp;"",""))</f>
        <v/>
      </c>
      <c r="L1334" s="21">
        <f>IF($B1334="","",IFERROR(INDEX(الموظفات!$C$5:$C$304,MATCH($B1334,الموظفات!$B$5:$B$304,0))&amp;"",""))</f>
        <v/>
      </c>
      <c r="M1334" s="20">
        <f>IF($B1334="","",IFERROR(INDEX(الموظفات!$D$5:$D$304,MATCH($B1334,الموظفات!$B$5:$B$304,0))&amp;"",""))</f>
        <v/>
      </c>
      <c r="N1334" s="20">
        <f>IF($B1334="","",IFERROR(INDEX(الموظفات!$E$5:$E$304,MATCH($B1334,الموظفات!$B$5:$B$304,0))&amp;"",""))</f>
        <v/>
      </c>
      <c r="O1334" s="21">
        <f>IF(C1334="","",IFERROR(INDEX(الإعدادات!$D$7:$D$35,MATCH(C1334,الإعدادات!$A$7:$A$35,0))&amp;"",""))</f>
        <v/>
      </c>
      <c r="P1334" s="20">
        <f>IF(A1334="","",INDEX(الإعدادات!$H$7:$H$18,MONTH(A1334)))</f>
        <v/>
      </c>
      <c r="Q1334" s="20">
        <f>IF(A1334="","",INDEX(الإعدادات!$I$7:$I$18,MONTH(A1334)))</f>
        <v/>
      </c>
      <c r="R1334" s="20">
        <f>IF(A1334="","",IF(MONTH(A1334)&gt;=8,YEAR(A1334)&amp;"-"&amp;(YEAR(A1334)+1),(YEAR(A1334)-1)&amp;"-"&amp;YEAR(A1334)))</f>
        <v/>
      </c>
      <c r="S1334" s="20">
        <f>IF(OR(A1334="",B1334=""),0,IF(AND(R1334=التقارير!$C$4,OR(التقارير!$C$5="سنوي",AND(التقارير!$C$5="شهري",P1334=التقارير!$C$6),AND(التقارير!$C$5="فصلي",Q1334=التقارير!$C$7))),1,0))</f>
        <v/>
      </c>
      <c r="T1334" s="20">
        <f>IF(S1334=1,COUNTIF($S$5:S1334,1),"")</f>
        <v/>
      </c>
      <c r="U1334">
        <f>IF(AND($A1334&lt;&gt;"",$B1334&lt;&gt;"",$R1334='تقرير الفصل الأول'!$C$4,$Q1334='تقرير الفصل الأول'!$C$7),COUNT(U$4:U1333)+1,"")</f>
        <v/>
      </c>
      <c r="V1334">
        <f>IF(AND($A1334&lt;&gt;"",$B1334&lt;&gt;"",$R1334='تقرير الفصل الثاني'!$C$4,$Q1334='تقرير الفصل الثاني'!$C$7),COUNT(V$4:V1333)+1,"")</f>
        <v/>
      </c>
      <c r="W1334">
        <f>IF(AND($A1334&lt;&gt;"",$B1334&lt;&gt;"",$R1334='تقرير سبتمبر'!$C$4,$P1334='تقرير سبتمبر'!$C$6),COUNT(W$4:W1333)+1,"")</f>
        <v/>
      </c>
      <c r="X1334">
        <f>IF(AND($A1334&lt;&gt;"",$B1334&lt;&gt;"",$R1334='تقرير أكتوبر'!$C$4,$P1334='تقرير أكتوبر'!$C$6),COUNT(X$4:X1333)+1,"")</f>
        <v/>
      </c>
      <c r="Y1334">
        <f>IF(AND($A1334&lt;&gt;"",$B1334&lt;&gt;"",$R1334='تقرير نوفمبر'!$C$4,$P1334='تقرير نوفمبر'!$C$6),COUNT(Y$4:Y1333)+1,"")</f>
        <v/>
      </c>
      <c r="Z1334">
        <f>IF(AND($A1334&lt;&gt;"",$B1334&lt;&gt;"",$R1334='تقرير ديسمبر'!$C$4,$P1334='تقرير ديسمبر'!$C$6),COUNT(Z$4:Z1333)+1,"")</f>
        <v/>
      </c>
      <c r="AA1334">
        <f>IF(AND($A1334&lt;&gt;"",$B1334&lt;&gt;"",$R1334='تقرير يناير'!$C$4,$P1334='تقرير يناير'!$C$6),COUNT(AA$4:AA1333)+1,"")</f>
        <v/>
      </c>
      <c r="AB1334">
        <f>IF(AND($A1334&lt;&gt;"",$B1334&lt;&gt;"",$R1334='تقرير فبراير'!$C$4,$P1334='تقرير فبراير'!$C$6),COUNT(AB$4:AB1333)+1,"")</f>
        <v/>
      </c>
      <c r="AC1334">
        <f>IF(AND($A1334&lt;&gt;"",$B1334&lt;&gt;"",$R1334='تقرير مارس'!$C$4,$P1334='تقرير مارس'!$C$6),COUNT(AC$4:AC1333)+1,"")</f>
        <v/>
      </c>
      <c r="AD1334">
        <f>IF(AND($A1334&lt;&gt;"",$B1334&lt;&gt;"",$R1334='تقرير أبريل'!$C$4,$P1334='تقرير أبريل'!$C$6),COUNT(AD$4:AD1333)+1,"")</f>
        <v/>
      </c>
      <c r="AE1334">
        <f>IF(AND($A1334&lt;&gt;"",$B1334&lt;&gt;"",$R1334='تقرير مايو'!$C$4,$P1334='تقرير مايو'!$C$6),COUNT(AE$4:AE1333)+1,"")</f>
        <v/>
      </c>
    </row>
    <row r="1335">
      <c r="A1335" s="16" t="n"/>
      <c r="B1335" s="17" t="n"/>
      <c r="C1335" s="17" t="n"/>
      <c r="D1335" s="18" t="n"/>
      <c r="E1335" s="17" t="n"/>
      <c r="F1335" s="17" t="n"/>
      <c r="G1335" s="19" t="n"/>
      <c r="H1335" s="17" t="n"/>
      <c r="I1335" s="17" t="n"/>
      <c r="J1335" s="17" t="n"/>
      <c r="K1335" s="20">
        <f>IF($B1335="","",IFERROR(INDEX(الموظفات!$A$5:$A$304,MATCH($B1335,الموظفات!$B$5:$B$304,0))&amp;"",""))</f>
        <v/>
      </c>
      <c r="L1335" s="21">
        <f>IF($B1335="","",IFERROR(INDEX(الموظفات!$C$5:$C$304,MATCH($B1335,الموظفات!$B$5:$B$304,0))&amp;"",""))</f>
        <v/>
      </c>
      <c r="M1335" s="20">
        <f>IF($B1335="","",IFERROR(INDEX(الموظفات!$D$5:$D$304,MATCH($B1335,الموظفات!$B$5:$B$304,0))&amp;"",""))</f>
        <v/>
      </c>
      <c r="N1335" s="20">
        <f>IF($B1335="","",IFERROR(INDEX(الموظفات!$E$5:$E$304,MATCH($B1335,الموظفات!$B$5:$B$304,0))&amp;"",""))</f>
        <v/>
      </c>
      <c r="O1335" s="21">
        <f>IF(C1335="","",IFERROR(INDEX(الإعدادات!$D$7:$D$35,MATCH(C1335,الإعدادات!$A$7:$A$35,0))&amp;"",""))</f>
        <v/>
      </c>
      <c r="P1335" s="20">
        <f>IF(A1335="","",INDEX(الإعدادات!$H$7:$H$18,MONTH(A1335)))</f>
        <v/>
      </c>
      <c r="Q1335" s="20">
        <f>IF(A1335="","",INDEX(الإعدادات!$I$7:$I$18,MONTH(A1335)))</f>
        <v/>
      </c>
      <c r="R1335" s="20">
        <f>IF(A1335="","",IF(MONTH(A1335)&gt;=8,YEAR(A1335)&amp;"-"&amp;(YEAR(A1335)+1),(YEAR(A1335)-1)&amp;"-"&amp;YEAR(A1335)))</f>
        <v/>
      </c>
      <c r="S1335" s="20">
        <f>IF(OR(A1335="",B1335=""),0,IF(AND(R1335=التقارير!$C$4,OR(التقارير!$C$5="سنوي",AND(التقارير!$C$5="شهري",P1335=التقارير!$C$6),AND(التقارير!$C$5="فصلي",Q1335=التقارير!$C$7))),1,0))</f>
        <v/>
      </c>
      <c r="T1335" s="20">
        <f>IF(S1335=1,COUNTIF($S$5:S1335,1),"")</f>
        <v/>
      </c>
      <c r="U1335">
        <f>IF(AND($A1335&lt;&gt;"",$B1335&lt;&gt;"",$R1335='تقرير الفصل الأول'!$C$4,$Q1335='تقرير الفصل الأول'!$C$7),COUNT(U$4:U1334)+1,"")</f>
        <v/>
      </c>
      <c r="V1335">
        <f>IF(AND($A1335&lt;&gt;"",$B1335&lt;&gt;"",$R1335='تقرير الفصل الثاني'!$C$4,$Q1335='تقرير الفصل الثاني'!$C$7),COUNT(V$4:V1334)+1,"")</f>
        <v/>
      </c>
      <c r="W1335">
        <f>IF(AND($A1335&lt;&gt;"",$B1335&lt;&gt;"",$R1335='تقرير سبتمبر'!$C$4,$P1335='تقرير سبتمبر'!$C$6),COUNT(W$4:W1334)+1,"")</f>
        <v/>
      </c>
      <c r="X1335">
        <f>IF(AND($A1335&lt;&gt;"",$B1335&lt;&gt;"",$R1335='تقرير أكتوبر'!$C$4,$P1335='تقرير أكتوبر'!$C$6),COUNT(X$4:X1334)+1,"")</f>
        <v/>
      </c>
      <c r="Y1335">
        <f>IF(AND($A1335&lt;&gt;"",$B1335&lt;&gt;"",$R1335='تقرير نوفمبر'!$C$4,$P1335='تقرير نوفمبر'!$C$6),COUNT(Y$4:Y1334)+1,"")</f>
        <v/>
      </c>
      <c r="Z1335">
        <f>IF(AND($A1335&lt;&gt;"",$B1335&lt;&gt;"",$R1335='تقرير ديسمبر'!$C$4,$P1335='تقرير ديسمبر'!$C$6),COUNT(Z$4:Z1334)+1,"")</f>
        <v/>
      </c>
      <c r="AA1335">
        <f>IF(AND($A1335&lt;&gt;"",$B1335&lt;&gt;"",$R1335='تقرير يناير'!$C$4,$P1335='تقرير يناير'!$C$6),COUNT(AA$4:AA1334)+1,"")</f>
        <v/>
      </c>
      <c r="AB1335">
        <f>IF(AND($A1335&lt;&gt;"",$B1335&lt;&gt;"",$R1335='تقرير فبراير'!$C$4,$P1335='تقرير فبراير'!$C$6),COUNT(AB$4:AB1334)+1,"")</f>
        <v/>
      </c>
      <c r="AC1335">
        <f>IF(AND($A1335&lt;&gt;"",$B1335&lt;&gt;"",$R1335='تقرير مارس'!$C$4,$P1335='تقرير مارس'!$C$6),COUNT(AC$4:AC1334)+1,"")</f>
        <v/>
      </c>
      <c r="AD1335">
        <f>IF(AND($A1335&lt;&gt;"",$B1335&lt;&gt;"",$R1335='تقرير أبريل'!$C$4,$P1335='تقرير أبريل'!$C$6),COUNT(AD$4:AD1334)+1,"")</f>
        <v/>
      </c>
      <c r="AE1335">
        <f>IF(AND($A1335&lt;&gt;"",$B1335&lt;&gt;"",$R1335='تقرير مايو'!$C$4,$P1335='تقرير مايو'!$C$6),COUNT(AE$4:AE1334)+1,"")</f>
        <v/>
      </c>
    </row>
    <row r="1336">
      <c r="A1336" s="16" t="n"/>
      <c r="B1336" s="17" t="n"/>
      <c r="C1336" s="17" t="n"/>
      <c r="D1336" s="18" t="n"/>
      <c r="E1336" s="17" t="n"/>
      <c r="F1336" s="17" t="n"/>
      <c r="G1336" s="19" t="n"/>
      <c r="H1336" s="17" t="n"/>
      <c r="I1336" s="17" t="n"/>
      <c r="J1336" s="17" t="n"/>
      <c r="K1336" s="20">
        <f>IF($B1336="","",IFERROR(INDEX(الموظفات!$A$5:$A$304,MATCH($B1336,الموظفات!$B$5:$B$304,0))&amp;"",""))</f>
        <v/>
      </c>
      <c r="L1336" s="21">
        <f>IF($B1336="","",IFERROR(INDEX(الموظفات!$C$5:$C$304,MATCH($B1336,الموظفات!$B$5:$B$304,0))&amp;"",""))</f>
        <v/>
      </c>
      <c r="M1336" s="20">
        <f>IF($B1336="","",IFERROR(INDEX(الموظفات!$D$5:$D$304,MATCH($B1336,الموظفات!$B$5:$B$304,0))&amp;"",""))</f>
        <v/>
      </c>
      <c r="N1336" s="20">
        <f>IF($B1336="","",IFERROR(INDEX(الموظفات!$E$5:$E$304,MATCH($B1336,الموظفات!$B$5:$B$304,0))&amp;"",""))</f>
        <v/>
      </c>
      <c r="O1336" s="21">
        <f>IF(C1336="","",IFERROR(INDEX(الإعدادات!$D$7:$D$35,MATCH(C1336,الإعدادات!$A$7:$A$35,0))&amp;"",""))</f>
        <v/>
      </c>
      <c r="P1336" s="20">
        <f>IF(A1336="","",INDEX(الإعدادات!$H$7:$H$18,MONTH(A1336)))</f>
        <v/>
      </c>
      <c r="Q1336" s="20">
        <f>IF(A1336="","",INDEX(الإعدادات!$I$7:$I$18,MONTH(A1336)))</f>
        <v/>
      </c>
      <c r="R1336" s="20">
        <f>IF(A1336="","",IF(MONTH(A1336)&gt;=8,YEAR(A1336)&amp;"-"&amp;(YEAR(A1336)+1),(YEAR(A1336)-1)&amp;"-"&amp;YEAR(A1336)))</f>
        <v/>
      </c>
      <c r="S1336" s="20">
        <f>IF(OR(A1336="",B1336=""),0,IF(AND(R1336=التقارير!$C$4,OR(التقارير!$C$5="سنوي",AND(التقارير!$C$5="شهري",P1336=التقارير!$C$6),AND(التقارير!$C$5="فصلي",Q1336=التقارير!$C$7))),1,0))</f>
        <v/>
      </c>
      <c r="T1336" s="20">
        <f>IF(S1336=1,COUNTIF($S$5:S1336,1),"")</f>
        <v/>
      </c>
      <c r="U1336">
        <f>IF(AND($A1336&lt;&gt;"",$B1336&lt;&gt;"",$R1336='تقرير الفصل الأول'!$C$4,$Q1336='تقرير الفصل الأول'!$C$7),COUNT(U$4:U1335)+1,"")</f>
        <v/>
      </c>
      <c r="V1336">
        <f>IF(AND($A1336&lt;&gt;"",$B1336&lt;&gt;"",$R1336='تقرير الفصل الثاني'!$C$4,$Q1336='تقرير الفصل الثاني'!$C$7),COUNT(V$4:V1335)+1,"")</f>
        <v/>
      </c>
      <c r="W1336">
        <f>IF(AND($A1336&lt;&gt;"",$B1336&lt;&gt;"",$R1336='تقرير سبتمبر'!$C$4,$P1336='تقرير سبتمبر'!$C$6),COUNT(W$4:W1335)+1,"")</f>
        <v/>
      </c>
      <c r="X1336">
        <f>IF(AND($A1336&lt;&gt;"",$B1336&lt;&gt;"",$R1336='تقرير أكتوبر'!$C$4,$P1336='تقرير أكتوبر'!$C$6),COUNT(X$4:X1335)+1,"")</f>
        <v/>
      </c>
      <c r="Y1336">
        <f>IF(AND($A1336&lt;&gt;"",$B1336&lt;&gt;"",$R1336='تقرير نوفمبر'!$C$4,$P1336='تقرير نوفمبر'!$C$6),COUNT(Y$4:Y1335)+1,"")</f>
        <v/>
      </c>
      <c r="Z1336">
        <f>IF(AND($A1336&lt;&gt;"",$B1336&lt;&gt;"",$R1336='تقرير ديسمبر'!$C$4,$P1336='تقرير ديسمبر'!$C$6),COUNT(Z$4:Z1335)+1,"")</f>
        <v/>
      </c>
      <c r="AA1336">
        <f>IF(AND($A1336&lt;&gt;"",$B1336&lt;&gt;"",$R1336='تقرير يناير'!$C$4,$P1336='تقرير يناير'!$C$6),COUNT(AA$4:AA1335)+1,"")</f>
        <v/>
      </c>
      <c r="AB1336">
        <f>IF(AND($A1336&lt;&gt;"",$B1336&lt;&gt;"",$R1336='تقرير فبراير'!$C$4,$P1336='تقرير فبراير'!$C$6),COUNT(AB$4:AB1335)+1,"")</f>
        <v/>
      </c>
      <c r="AC1336">
        <f>IF(AND($A1336&lt;&gt;"",$B1336&lt;&gt;"",$R1336='تقرير مارس'!$C$4,$P1336='تقرير مارس'!$C$6),COUNT(AC$4:AC1335)+1,"")</f>
        <v/>
      </c>
      <c r="AD1336">
        <f>IF(AND($A1336&lt;&gt;"",$B1336&lt;&gt;"",$R1336='تقرير أبريل'!$C$4,$P1336='تقرير أبريل'!$C$6),COUNT(AD$4:AD1335)+1,"")</f>
        <v/>
      </c>
      <c r="AE1336">
        <f>IF(AND($A1336&lt;&gt;"",$B1336&lt;&gt;"",$R1336='تقرير مايو'!$C$4,$P1336='تقرير مايو'!$C$6),COUNT(AE$4:AE1335)+1,"")</f>
        <v/>
      </c>
    </row>
    <row r="1337">
      <c r="A1337" s="16" t="n"/>
      <c r="B1337" s="17" t="n"/>
      <c r="C1337" s="17" t="n"/>
      <c r="D1337" s="18" t="n"/>
      <c r="E1337" s="17" t="n"/>
      <c r="F1337" s="17" t="n"/>
      <c r="G1337" s="19" t="n"/>
      <c r="H1337" s="17" t="n"/>
      <c r="I1337" s="17" t="n"/>
      <c r="J1337" s="17" t="n"/>
      <c r="K1337" s="20">
        <f>IF($B1337="","",IFERROR(INDEX(الموظفات!$A$5:$A$304,MATCH($B1337,الموظفات!$B$5:$B$304,0))&amp;"",""))</f>
        <v/>
      </c>
      <c r="L1337" s="21">
        <f>IF($B1337="","",IFERROR(INDEX(الموظفات!$C$5:$C$304,MATCH($B1337,الموظفات!$B$5:$B$304,0))&amp;"",""))</f>
        <v/>
      </c>
      <c r="M1337" s="20">
        <f>IF($B1337="","",IFERROR(INDEX(الموظفات!$D$5:$D$304,MATCH($B1337,الموظفات!$B$5:$B$304,0))&amp;"",""))</f>
        <v/>
      </c>
      <c r="N1337" s="20">
        <f>IF($B1337="","",IFERROR(INDEX(الموظفات!$E$5:$E$304,MATCH($B1337,الموظفات!$B$5:$B$304,0))&amp;"",""))</f>
        <v/>
      </c>
      <c r="O1337" s="21">
        <f>IF(C1337="","",IFERROR(INDEX(الإعدادات!$D$7:$D$35,MATCH(C1337,الإعدادات!$A$7:$A$35,0))&amp;"",""))</f>
        <v/>
      </c>
      <c r="P1337" s="20">
        <f>IF(A1337="","",INDEX(الإعدادات!$H$7:$H$18,MONTH(A1337)))</f>
        <v/>
      </c>
      <c r="Q1337" s="20">
        <f>IF(A1337="","",INDEX(الإعدادات!$I$7:$I$18,MONTH(A1337)))</f>
        <v/>
      </c>
      <c r="R1337" s="20">
        <f>IF(A1337="","",IF(MONTH(A1337)&gt;=8,YEAR(A1337)&amp;"-"&amp;(YEAR(A1337)+1),(YEAR(A1337)-1)&amp;"-"&amp;YEAR(A1337)))</f>
        <v/>
      </c>
      <c r="S1337" s="20">
        <f>IF(OR(A1337="",B1337=""),0,IF(AND(R1337=التقارير!$C$4,OR(التقارير!$C$5="سنوي",AND(التقارير!$C$5="شهري",P1337=التقارير!$C$6),AND(التقارير!$C$5="فصلي",Q1337=التقارير!$C$7))),1,0))</f>
        <v/>
      </c>
      <c r="T1337" s="20">
        <f>IF(S1337=1,COUNTIF($S$5:S1337,1),"")</f>
        <v/>
      </c>
      <c r="U1337">
        <f>IF(AND($A1337&lt;&gt;"",$B1337&lt;&gt;"",$R1337='تقرير الفصل الأول'!$C$4,$Q1337='تقرير الفصل الأول'!$C$7),COUNT(U$4:U1336)+1,"")</f>
        <v/>
      </c>
      <c r="V1337">
        <f>IF(AND($A1337&lt;&gt;"",$B1337&lt;&gt;"",$R1337='تقرير الفصل الثاني'!$C$4,$Q1337='تقرير الفصل الثاني'!$C$7),COUNT(V$4:V1336)+1,"")</f>
        <v/>
      </c>
      <c r="W1337">
        <f>IF(AND($A1337&lt;&gt;"",$B1337&lt;&gt;"",$R1337='تقرير سبتمبر'!$C$4,$P1337='تقرير سبتمبر'!$C$6),COUNT(W$4:W1336)+1,"")</f>
        <v/>
      </c>
      <c r="X1337">
        <f>IF(AND($A1337&lt;&gt;"",$B1337&lt;&gt;"",$R1337='تقرير أكتوبر'!$C$4,$P1337='تقرير أكتوبر'!$C$6),COUNT(X$4:X1336)+1,"")</f>
        <v/>
      </c>
      <c r="Y1337">
        <f>IF(AND($A1337&lt;&gt;"",$B1337&lt;&gt;"",$R1337='تقرير نوفمبر'!$C$4,$P1337='تقرير نوفمبر'!$C$6),COUNT(Y$4:Y1336)+1,"")</f>
        <v/>
      </c>
      <c r="Z1337">
        <f>IF(AND($A1337&lt;&gt;"",$B1337&lt;&gt;"",$R1337='تقرير ديسمبر'!$C$4,$P1337='تقرير ديسمبر'!$C$6),COUNT(Z$4:Z1336)+1,"")</f>
        <v/>
      </c>
      <c r="AA1337">
        <f>IF(AND($A1337&lt;&gt;"",$B1337&lt;&gt;"",$R1337='تقرير يناير'!$C$4,$P1337='تقرير يناير'!$C$6),COUNT(AA$4:AA1336)+1,"")</f>
        <v/>
      </c>
      <c r="AB1337">
        <f>IF(AND($A1337&lt;&gt;"",$B1337&lt;&gt;"",$R1337='تقرير فبراير'!$C$4,$P1337='تقرير فبراير'!$C$6),COUNT(AB$4:AB1336)+1,"")</f>
        <v/>
      </c>
      <c r="AC1337">
        <f>IF(AND($A1337&lt;&gt;"",$B1337&lt;&gt;"",$R1337='تقرير مارس'!$C$4,$P1337='تقرير مارس'!$C$6),COUNT(AC$4:AC1336)+1,"")</f>
        <v/>
      </c>
      <c r="AD1337">
        <f>IF(AND($A1337&lt;&gt;"",$B1337&lt;&gt;"",$R1337='تقرير أبريل'!$C$4,$P1337='تقرير أبريل'!$C$6),COUNT(AD$4:AD1336)+1,"")</f>
        <v/>
      </c>
      <c r="AE1337">
        <f>IF(AND($A1337&lt;&gt;"",$B1337&lt;&gt;"",$R1337='تقرير مايو'!$C$4,$P1337='تقرير مايو'!$C$6),COUNT(AE$4:AE1336)+1,"")</f>
        <v/>
      </c>
    </row>
    <row r="1338">
      <c r="A1338" s="16" t="n"/>
      <c r="B1338" s="17" t="n"/>
      <c r="C1338" s="17" t="n"/>
      <c r="D1338" s="18" t="n"/>
      <c r="E1338" s="17" t="n"/>
      <c r="F1338" s="17" t="n"/>
      <c r="G1338" s="19" t="n"/>
      <c r="H1338" s="17" t="n"/>
      <c r="I1338" s="17" t="n"/>
      <c r="J1338" s="17" t="n"/>
      <c r="K1338" s="20">
        <f>IF($B1338="","",IFERROR(INDEX(الموظفات!$A$5:$A$304,MATCH($B1338,الموظفات!$B$5:$B$304,0))&amp;"",""))</f>
        <v/>
      </c>
      <c r="L1338" s="21">
        <f>IF($B1338="","",IFERROR(INDEX(الموظفات!$C$5:$C$304,MATCH($B1338,الموظفات!$B$5:$B$304,0))&amp;"",""))</f>
        <v/>
      </c>
      <c r="M1338" s="20">
        <f>IF($B1338="","",IFERROR(INDEX(الموظفات!$D$5:$D$304,MATCH($B1338,الموظفات!$B$5:$B$304,0))&amp;"",""))</f>
        <v/>
      </c>
      <c r="N1338" s="20">
        <f>IF($B1338="","",IFERROR(INDEX(الموظفات!$E$5:$E$304,MATCH($B1338,الموظفات!$B$5:$B$304,0))&amp;"",""))</f>
        <v/>
      </c>
      <c r="O1338" s="21">
        <f>IF(C1338="","",IFERROR(INDEX(الإعدادات!$D$7:$D$35,MATCH(C1338,الإعدادات!$A$7:$A$35,0))&amp;"",""))</f>
        <v/>
      </c>
      <c r="P1338" s="20">
        <f>IF(A1338="","",INDEX(الإعدادات!$H$7:$H$18,MONTH(A1338)))</f>
        <v/>
      </c>
      <c r="Q1338" s="20">
        <f>IF(A1338="","",INDEX(الإعدادات!$I$7:$I$18,MONTH(A1338)))</f>
        <v/>
      </c>
      <c r="R1338" s="20">
        <f>IF(A1338="","",IF(MONTH(A1338)&gt;=8,YEAR(A1338)&amp;"-"&amp;(YEAR(A1338)+1),(YEAR(A1338)-1)&amp;"-"&amp;YEAR(A1338)))</f>
        <v/>
      </c>
      <c r="S1338" s="20">
        <f>IF(OR(A1338="",B1338=""),0,IF(AND(R1338=التقارير!$C$4,OR(التقارير!$C$5="سنوي",AND(التقارير!$C$5="شهري",P1338=التقارير!$C$6),AND(التقارير!$C$5="فصلي",Q1338=التقارير!$C$7))),1,0))</f>
        <v/>
      </c>
      <c r="T1338" s="20">
        <f>IF(S1338=1,COUNTIF($S$5:S1338,1),"")</f>
        <v/>
      </c>
      <c r="U1338">
        <f>IF(AND($A1338&lt;&gt;"",$B1338&lt;&gt;"",$R1338='تقرير الفصل الأول'!$C$4,$Q1338='تقرير الفصل الأول'!$C$7),COUNT(U$4:U1337)+1,"")</f>
        <v/>
      </c>
      <c r="V1338">
        <f>IF(AND($A1338&lt;&gt;"",$B1338&lt;&gt;"",$R1338='تقرير الفصل الثاني'!$C$4,$Q1338='تقرير الفصل الثاني'!$C$7),COUNT(V$4:V1337)+1,"")</f>
        <v/>
      </c>
      <c r="W1338">
        <f>IF(AND($A1338&lt;&gt;"",$B1338&lt;&gt;"",$R1338='تقرير سبتمبر'!$C$4,$P1338='تقرير سبتمبر'!$C$6),COUNT(W$4:W1337)+1,"")</f>
        <v/>
      </c>
      <c r="X1338">
        <f>IF(AND($A1338&lt;&gt;"",$B1338&lt;&gt;"",$R1338='تقرير أكتوبر'!$C$4,$P1338='تقرير أكتوبر'!$C$6),COUNT(X$4:X1337)+1,"")</f>
        <v/>
      </c>
      <c r="Y1338">
        <f>IF(AND($A1338&lt;&gt;"",$B1338&lt;&gt;"",$R1338='تقرير نوفمبر'!$C$4,$P1338='تقرير نوفمبر'!$C$6),COUNT(Y$4:Y1337)+1,"")</f>
        <v/>
      </c>
      <c r="Z1338">
        <f>IF(AND($A1338&lt;&gt;"",$B1338&lt;&gt;"",$R1338='تقرير ديسمبر'!$C$4,$P1338='تقرير ديسمبر'!$C$6),COUNT(Z$4:Z1337)+1,"")</f>
        <v/>
      </c>
      <c r="AA1338">
        <f>IF(AND($A1338&lt;&gt;"",$B1338&lt;&gt;"",$R1338='تقرير يناير'!$C$4,$P1338='تقرير يناير'!$C$6),COUNT(AA$4:AA1337)+1,"")</f>
        <v/>
      </c>
      <c r="AB1338">
        <f>IF(AND($A1338&lt;&gt;"",$B1338&lt;&gt;"",$R1338='تقرير فبراير'!$C$4,$P1338='تقرير فبراير'!$C$6),COUNT(AB$4:AB1337)+1,"")</f>
        <v/>
      </c>
      <c r="AC1338">
        <f>IF(AND($A1338&lt;&gt;"",$B1338&lt;&gt;"",$R1338='تقرير مارس'!$C$4,$P1338='تقرير مارس'!$C$6),COUNT(AC$4:AC1337)+1,"")</f>
        <v/>
      </c>
      <c r="AD1338">
        <f>IF(AND($A1338&lt;&gt;"",$B1338&lt;&gt;"",$R1338='تقرير أبريل'!$C$4,$P1338='تقرير أبريل'!$C$6),COUNT(AD$4:AD1337)+1,"")</f>
        <v/>
      </c>
      <c r="AE1338">
        <f>IF(AND($A1338&lt;&gt;"",$B1338&lt;&gt;"",$R1338='تقرير مايو'!$C$4,$P1338='تقرير مايو'!$C$6),COUNT(AE$4:AE1337)+1,"")</f>
        <v/>
      </c>
    </row>
    <row r="1339">
      <c r="A1339" s="16" t="n"/>
      <c r="B1339" s="17" t="n"/>
      <c r="C1339" s="17" t="n"/>
      <c r="D1339" s="18" t="n"/>
      <c r="E1339" s="17" t="n"/>
      <c r="F1339" s="17" t="n"/>
      <c r="G1339" s="19" t="n"/>
      <c r="H1339" s="17" t="n"/>
      <c r="I1339" s="17" t="n"/>
      <c r="J1339" s="17" t="n"/>
      <c r="K1339" s="20">
        <f>IF($B1339="","",IFERROR(INDEX(الموظفات!$A$5:$A$304,MATCH($B1339,الموظفات!$B$5:$B$304,0))&amp;"",""))</f>
        <v/>
      </c>
      <c r="L1339" s="21">
        <f>IF($B1339="","",IFERROR(INDEX(الموظفات!$C$5:$C$304,MATCH($B1339,الموظفات!$B$5:$B$304,0))&amp;"",""))</f>
        <v/>
      </c>
      <c r="M1339" s="20">
        <f>IF($B1339="","",IFERROR(INDEX(الموظفات!$D$5:$D$304,MATCH($B1339,الموظفات!$B$5:$B$304,0))&amp;"",""))</f>
        <v/>
      </c>
      <c r="N1339" s="20">
        <f>IF($B1339="","",IFERROR(INDEX(الموظفات!$E$5:$E$304,MATCH($B1339,الموظفات!$B$5:$B$304,0))&amp;"",""))</f>
        <v/>
      </c>
      <c r="O1339" s="21">
        <f>IF(C1339="","",IFERROR(INDEX(الإعدادات!$D$7:$D$35,MATCH(C1339,الإعدادات!$A$7:$A$35,0))&amp;"",""))</f>
        <v/>
      </c>
      <c r="P1339" s="20">
        <f>IF(A1339="","",INDEX(الإعدادات!$H$7:$H$18,MONTH(A1339)))</f>
        <v/>
      </c>
      <c r="Q1339" s="20">
        <f>IF(A1339="","",INDEX(الإعدادات!$I$7:$I$18,MONTH(A1339)))</f>
        <v/>
      </c>
      <c r="R1339" s="20">
        <f>IF(A1339="","",IF(MONTH(A1339)&gt;=8,YEAR(A1339)&amp;"-"&amp;(YEAR(A1339)+1),(YEAR(A1339)-1)&amp;"-"&amp;YEAR(A1339)))</f>
        <v/>
      </c>
      <c r="S1339" s="20">
        <f>IF(OR(A1339="",B1339=""),0,IF(AND(R1339=التقارير!$C$4,OR(التقارير!$C$5="سنوي",AND(التقارير!$C$5="شهري",P1339=التقارير!$C$6),AND(التقارير!$C$5="فصلي",Q1339=التقارير!$C$7))),1,0))</f>
        <v/>
      </c>
      <c r="T1339" s="20">
        <f>IF(S1339=1,COUNTIF($S$5:S1339,1),"")</f>
        <v/>
      </c>
      <c r="U1339">
        <f>IF(AND($A1339&lt;&gt;"",$B1339&lt;&gt;"",$R1339='تقرير الفصل الأول'!$C$4,$Q1339='تقرير الفصل الأول'!$C$7),COUNT(U$4:U1338)+1,"")</f>
        <v/>
      </c>
      <c r="V1339">
        <f>IF(AND($A1339&lt;&gt;"",$B1339&lt;&gt;"",$R1339='تقرير الفصل الثاني'!$C$4,$Q1339='تقرير الفصل الثاني'!$C$7),COUNT(V$4:V1338)+1,"")</f>
        <v/>
      </c>
      <c r="W1339">
        <f>IF(AND($A1339&lt;&gt;"",$B1339&lt;&gt;"",$R1339='تقرير سبتمبر'!$C$4,$P1339='تقرير سبتمبر'!$C$6),COUNT(W$4:W1338)+1,"")</f>
        <v/>
      </c>
      <c r="X1339">
        <f>IF(AND($A1339&lt;&gt;"",$B1339&lt;&gt;"",$R1339='تقرير أكتوبر'!$C$4,$P1339='تقرير أكتوبر'!$C$6),COUNT(X$4:X1338)+1,"")</f>
        <v/>
      </c>
      <c r="Y1339">
        <f>IF(AND($A1339&lt;&gt;"",$B1339&lt;&gt;"",$R1339='تقرير نوفمبر'!$C$4,$P1339='تقرير نوفمبر'!$C$6),COUNT(Y$4:Y1338)+1,"")</f>
        <v/>
      </c>
      <c r="Z1339">
        <f>IF(AND($A1339&lt;&gt;"",$B1339&lt;&gt;"",$R1339='تقرير ديسمبر'!$C$4,$P1339='تقرير ديسمبر'!$C$6),COUNT(Z$4:Z1338)+1,"")</f>
        <v/>
      </c>
      <c r="AA1339">
        <f>IF(AND($A1339&lt;&gt;"",$B1339&lt;&gt;"",$R1339='تقرير يناير'!$C$4,$P1339='تقرير يناير'!$C$6),COUNT(AA$4:AA1338)+1,"")</f>
        <v/>
      </c>
      <c r="AB1339">
        <f>IF(AND($A1339&lt;&gt;"",$B1339&lt;&gt;"",$R1339='تقرير فبراير'!$C$4,$P1339='تقرير فبراير'!$C$6),COUNT(AB$4:AB1338)+1,"")</f>
        <v/>
      </c>
      <c r="AC1339">
        <f>IF(AND($A1339&lt;&gt;"",$B1339&lt;&gt;"",$R1339='تقرير مارس'!$C$4,$P1339='تقرير مارس'!$C$6),COUNT(AC$4:AC1338)+1,"")</f>
        <v/>
      </c>
      <c r="AD1339">
        <f>IF(AND($A1339&lt;&gt;"",$B1339&lt;&gt;"",$R1339='تقرير أبريل'!$C$4,$P1339='تقرير أبريل'!$C$6),COUNT(AD$4:AD1338)+1,"")</f>
        <v/>
      </c>
      <c r="AE1339">
        <f>IF(AND($A1339&lt;&gt;"",$B1339&lt;&gt;"",$R1339='تقرير مايو'!$C$4,$P1339='تقرير مايو'!$C$6),COUNT(AE$4:AE1338)+1,"")</f>
        <v/>
      </c>
    </row>
    <row r="1340">
      <c r="A1340" s="16" t="n"/>
      <c r="B1340" s="17" t="n"/>
      <c r="C1340" s="17" t="n"/>
      <c r="D1340" s="18" t="n"/>
      <c r="E1340" s="17" t="n"/>
      <c r="F1340" s="17" t="n"/>
      <c r="G1340" s="19" t="n"/>
      <c r="H1340" s="17" t="n"/>
      <c r="I1340" s="17" t="n"/>
      <c r="J1340" s="17" t="n"/>
      <c r="K1340" s="20">
        <f>IF($B1340="","",IFERROR(INDEX(الموظفات!$A$5:$A$304,MATCH($B1340,الموظفات!$B$5:$B$304,0))&amp;"",""))</f>
        <v/>
      </c>
      <c r="L1340" s="21">
        <f>IF($B1340="","",IFERROR(INDEX(الموظفات!$C$5:$C$304,MATCH($B1340,الموظفات!$B$5:$B$304,0))&amp;"",""))</f>
        <v/>
      </c>
      <c r="M1340" s="20">
        <f>IF($B1340="","",IFERROR(INDEX(الموظفات!$D$5:$D$304,MATCH($B1340,الموظفات!$B$5:$B$304,0))&amp;"",""))</f>
        <v/>
      </c>
      <c r="N1340" s="20">
        <f>IF($B1340="","",IFERROR(INDEX(الموظفات!$E$5:$E$304,MATCH($B1340,الموظفات!$B$5:$B$304,0))&amp;"",""))</f>
        <v/>
      </c>
      <c r="O1340" s="21">
        <f>IF(C1340="","",IFERROR(INDEX(الإعدادات!$D$7:$D$35,MATCH(C1340,الإعدادات!$A$7:$A$35,0))&amp;"",""))</f>
        <v/>
      </c>
      <c r="P1340" s="20">
        <f>IF(A1340="","",INDEX(الإعدادات!$H$7:$H$18,MONTH(A1340)))</f>
        <v/>
      </c>
      <c r="Q1340" s="20">
        <f>IF(A1340="","",INDEX(الإعدادات!$I$7:$I$18,MONTH(A1340)))</f>
        <v/>
      </c>
      <c r="R1340" s="20">
        <f>IF(A1340="","",IF(MONTH(A1340)&gt;=8,YEAR(A1340)&amp;"-"&amp;(YEAR(A1340)+1),(YEAR(A1340)-1)&amp;"-"&amp;YEAR(A1340)))</f>
        <v/>
      </c>
      <c r="S1340" s="20">
        <f>IF(OR(A1340="",B1340=""),0,IF(AND(R1340=التقارير!$C$4,OR(التقارير!$C$5="سنوي",AND(التقارير!$C$5="شهري",P1340=التقارير!$C$6),AND(التقارير!$C$5="فصلي",Q1340=التقارير!$C$7))),1,0))</f>
        <v/>
      </c>
      <c r="T1340" s="20">
        <f>IF(S1340=1,COUNTIF($S$5:S1340,1),"")</f>
        <v/>
      </c>
      <c r="U1340">
        <f>IF(AND($A1340&lt;&gt;"",$B1340&lt;&gt;"",$R1340='تقرير الفصل الأول'!$C$4,$Q1340='تقرير الفصل الأول'!$C$7),COUNT(U$4:U1339)+1,"")</f>
        <v/>
      </c>
      <c r="V1340">
        <f>IF(AND($A1340&lt;&gt;"",$B1340&lt;&gt;"",$R1340='تقرير الفصل الثاني'!$C$4,$Q1340='تقرير الفصل الثاني'!$C$7),COUNT(V$4:V1339)+1,"")</f>
        <v/>
      </c>
      <c r="W1340">
        <f>IF(AND($A1340&lt;&gt;"",$B1340&lt;&gt;"",$R1340='تقرير سبتمبر'!$C$4,$P1340='تقرير سبتمبر'!$C$6),COUNT(W$4:W1339)+1,"")</f>
        <v/>
      </c>
      <c r="X1340">
        <f>IF(AND($A1340&lt;&gt;"",$B1340&lt;&gt;"",$R1340='تقرير أكتوبر'!$C$4,$P1340='تقرير أكتوبر'!$C$6),COUNT(X$4:X1339)+1,"")</f>
        <v/>
      </c>
      <c r="Y1340">
        <f>IF(AND($A1340&lt;&gt;"",$B1340&lt;&gt;"",$R1340='تقرير نوفمبر'!$C$4,$P1340='تقرير نوفمبر'!$C$6),COUNT(Y$4:Y1339)+1,"")</f>
        <v/>
      </c>
      <c r="Z1340">
        <f>IF(AND($A1340&lt;&gt;"",$B1340&lt;&gt;"",$R1340='تقرير ديسمبر'!$C$4,$P1340='تقرير ديسمبر'!$C$6),COUNT(Z$4:Z1339)+1,"")</f>
        <v/>
      </c>
      <c r="AA1340">
        <f>IF(AND($A1340&lt;&gt;"",$B1340&lt;&gt;"",$R1340='تقرير يناير'!$C$4,$P1340='تقرير يناير'!$C$6),COUNT(AA$4:AA1339)+1,"")</f>
        <v/>
      </c>
      <c r="AB1340">
        <f>IF(AND($A1340&lt;&gt;"",$B1340&lt;&gt;"",$R1340='تقرير فبراير'!$C$4,$P1340='تقرير فبراير'!$C$6),COUNT(AB$4:AB1339)+1,"")</f>
        <v/>
      </c>
      <c r="AC1340">
        <f>IF(AND($A1340&lt;&gt;"",$B1340&lt;&gt;"",$R1340='تقرير مارس'!$C$4,$P1340='تقرير مارس'!$C$6),COUNT(AC$4:AC1339)+1,"")</f>
        <v/>
      </c>
      <c r="AD1340">
        <f>IF(AND($A1340&lt;&gt;"",$B1340&lt;&gt;"",$R1340='تقرير أبريل'!$C$4,$P1340='تقرير أبريل'!$C$6),COUNT(AD$4:AD1339)+1,"")</f>
        <v/>
      </c>
      <c r="AE1340">
        <f>IF(AND($A1340&lt;&gt;"",$B1340&lt;&gt;"",$R1340='تقرير مايو'!$C$4,$P1340='تقرير مايو'!$C$6),COUNT(AE$4:AE1339)+1,"")</f>
        <v/>
      </c>
    </row>
    <row r="1341">
      <c r="A1341" s="16" t="n"/>
      <c r="B1341" s="17" t="n"/>
      <c r="C1341" s="17" t="n"/>
      <c r="D1341" s="18" t="n"/>
      <c r="E1341" s="17" t="n"/>
      <c r="F1341" s="17" t="n"/>
      <c r="G1341" s="19" t="n"/>
      <c r="H1341" s="17" t="n"/>
      <c r="I1341" s="17" t="n"/>
      <c r="J1341" s="17" t="n"/>
      <c r="K1341" s="20">
        <f>IF($B1341="","",IFERROR(INDEX(الموظفات!$A$5:$A$304,MATCH($B1341,الموظفات!$B$5:$B$304,0))&amp;"",""))</f>
        <v/>
      </c>
      <c r="L1341" s="21">
        <f>IF($B1341="","",IFERROR(INDEX(الموظفات!$C$5:$C$304,MATCH($B1341,الموظفات!$B$5:$B$304,0))&amp;"",""))</f>
        <v/>
      </c>
      <c r="M1341" s="20">
        <f>IF($B1341="","",IFERROR(INDEX(الموظفات!$D$5:$D$304,MATCH($B1341,الموظفات!$B$5:$B$304,0))&amp;"",""))</f>
        <v/>
      </c>
      <c r="N1341" s="20">
        <f>IF($B1341="","",IFERROR(INDEX(الموظفات!$E$5:$E$304,MATCH($B1341,الموظفات!$B$5:$B$304,0))&amp;"",""))</f>
        <v/>
      </c>
      <c r="O1341" s="21">
        <f>IF(C1341="","",IFERROR(INDEX(الإعدادات!$D$7:$D$35,MATCH(C1341,الإعدادات!$A$7:$A$35,0))&amp;"",""))</f>
        <v/>
      </c>
      <c r="P1341" s="20">
        <f>IF(A1341="","",INDEX(الإعدادات!$H$7:$H$18,MONTH(A1341)))</f>
        <v/>
      </c>
      <c r="Q1341" s="20">
        <f>IF(A1341="","",INDEX(الإعدادات!$I$7:$I$18,MONTH(A1341)))</f>
        <v/>
      </c>
      <c r="R1341" s="20">
        <f>IF(A1341="","",IF(MONTH(A1341)&gt;=8,YEAR(A1341)&amp;"-"&amp;(YEAR(A1341)+1),(YEAR(A1341)-1)&amp;"-"&amp;YEAR(A1341)))</f>
        <v/>
      </c>
      <c r="S1341" s="20">
        <f>IF(OR(A1341="",B1341=""),0,IF(AND(R1341=التقارير!$C$4,OR(التقارير!$C$5="سنوي",AND(التقارير!$C$5="شهري",P1341=التقارير!$C$6),AND(التقارير!$C$5="فصلي",Q1341=التقارير!$C$7))),1,0))</f>
        <v/>
      </c>
      <c r="T1341" s="20">
        <f>IF(S1341=1,COUNTIF($S$5:S1341,1),"")</f>
        <v/>
      </c>
      <c r="U1341">
        <f>IF(AND($A1341&lt;&gt;"",$B1341&lt;&gt;"",$R1341='تقرير الفصل الأول'!$C$4,$Q1341='تقرير الفصل الأول'!$C$7),COUNT(U$4:U1340)+1,"")</f>
        <v/>
      </c>
      <c r="V1341">
        <f>IF(AND($A1341&lt;&gt;"",$B1341&lt;&gt;"",$R1341='تقرير الفصل الثاني'!$C$4,$Q1341='تقرير الفصل الثاني'!$C$7),COUNT(V$4:V1340)+1,"")</f>
        <v/>
      </c>
      <c r="W1341">
        <f>IF(AND($A1341&lt;&gt;"",$B1341&lt;&gt;"",$R1341='تقرير سبتمبر'!$C$4,$P1341='تقرير سبتمبر'!$C$6),COUNT(W$4:W1340)+1,"")</f>
        <v/>
      </c>
      <c r="X1341">
        <f>IF(AND($A1341&lt;&gt;"",$B1341&lt;&gt;"",$R1341='تقرير أكتوبر'!$C$4,$P1341='تقرير أكتوبر'!$C$6),COUNT(X$4:X1340)+1,"")</f>
        <v/>
      </c>
      <c r="Y1341">
        <f>IF(AND($A1341&lt;&gt;"",$B1341&lt;&gt;"",$R1341='تقرير نوفمبر'!$C$4,$P1341='تقرير نوفمبر'!$C$6),COUNT(Y$4:Y1340)+1,"")</f>
        <v/>
      </c>
      <c r="Z1341">
        <f>IF(AND($A1341&lt;&gt;"",$B1341&lt;&gt;"",$R1341='تقرير ديسمبر'!$C$4,$P1341='تقرير ديسمبر'!$C$6),COUNT(Z$4:Z1340)+1,"")</f>
        <v/>
      </c>
      <c r="AA1341">
        <f>IF(AND($A1341&lt;&gt;"",$B1341&lt;&gt;"",$R1341='تقرير يناير'!$C$4,$P1341='تقرير يناير'!$C$6),COUNT(AA$4:AA1340)+1,"")</f>
        <v/>
      </c>
      <c r="AB1341">
        <f>IF(AND($A1341&lt;&gt;"",$B1341&lt;&gt;"",$R1341='تقرير فبراير'!$C$4,$P1341='تقرير فبراير'!$C$6),COUNT(AB$4:AB1340)+1,"")</f>
        <v/>
      </c>
      <c r="AC1341">
        <f>IF(AND($A1341&lt;&gt;"",$B1341&lt;&gt;"",$R1341='تقرير مارس'!$C$4,$P1341='تقرير مارس'!$C$6),COUNT(AC$4:AC1340)+1,"")</f>
        <v/>
      </c>
      <c r="AD1341">
        <f>IF(AND($A1341&lt;&gt;"",$B1341&lt;&gt;"",$R1341='تقرير أبريل'!$C$4,$P1341='تقرير أبريل'!$C$6),COUNT(AD$4:AD1340)+1,"")</f>
        <v/>
      </c>
      <c r="AE1341">
        <f>IF(AND($A1341&lt;&gt;"",$B1341&lt;&gt;"",$R1341='تقرير مايو'!$C$4,$P1341='تقرير مايو'!$C$6),COUNT(AE$4:AE1340)+1,"")</f>
        <v/>
      </c>
    </row>
    <row r="1342">
      <c r="A1342" s="16" t="n"/>
      <c r="B1342" s="17" t="n"/>
      <c r="C1342" s="17" t="n"/>
      <c r="D1342" s="18" t="n"/>
      <c r="E1342" s="17" t="n"/>
      <c r="F1342" s="17" t="n"/>
      <c r="G1342" s="19" t="n"/>
      <c r="H1342" s="17" t="n"/>
      <c r="I1342" s="17" t="n"/>
      <c r="J1342" s="17" t="n"/>
      <c r="K1342" s="20">
        <f>IF($B1342="","",IFERROR(INDEX(الموظفات!$A$5:$A$304,MATCH($B1342,الموظفات!$B$5:$B$304,0))&amp;"",""))</f>
        <v/>
      </c>
      <c r="L1342" s="21">
        <f>IF($B1342="","",IFERROR(INDEX(الموظفات!$C$5:$C$304,MATCH($B1342,الموظفات!$B$5:$B$304,0))&amp;"",""))</f>
        <v/>
      </c>
      <c r="M1342" s="20">
        <f>IF($B1342="","",IFERROR(INDEX(الموظفات!$D$5:$D$304,MATCH($B1342,الموظفات!$B$5:$B$304,0))&amp;"",""))</f>
        <v/>
      </c>
      <c r="N1342" s="20">
        <f>IF($B1342="","",IFERROR(INDEX(الموظفات!$E$5:$E$304,MATCH($B1342,الموظفات!$B$5:$B$304,0))&amp;"",""))</f>
        <v/>
      </c>
      <c r="O1342" s="21">
        <f>IF(C1342="","",IFERROR(INDEX(الإعدادات!$D$7:$D$35,MATCH(C1342,الإعدادات!$A$7:$A$35,0))&amp;"",""))</f>
        <v/>
      </c>
      <c r="P1342" s="20">
        <f>IF(A1342="","",INDEX(الإعدادات!$H$7:$H$18,MONTH(A1342)))</f>
        <v/>
      </c>
      <c r="Q1342" s="20">
        <f>IF(A1342="","",INDEX(الإعدادات!$I$7:$I$18,MONTH(A1342)))</f>
        <v/>
      </c>
      <c r="R1342" s="20">
        <f>IF(A1342="","",IF(MONTH(A1342)&gt;=8,YEAR(A1342)&amp;"-"&amp;(YEAR(A1342)+1),(YEAR(A1342)-1)&amp;"-"&amp;YEAR(A1342)))</f>
        <v/>
      </c>
      <c r="S1342" s="20">
        <f>IF(OR(A1342="",B1342=""),0,IF(AND(R1342=التقارير!$C$4,OR(التقارير!$C$5="سنوي",AND(التقارير!$C$5="شهري",P1342=التقارير!$C$6),AND(التقارير!$C$5="فصلي",Q1342=التقارير!$C$7))),1,0))</f>
        <v/>
      </c>
      <c r="T1342" s="20">
        <f>IF(S1342=1,COUNTIF($S$5:S1342,1),"")</f>
        <v/>
      </c>
      <c r="U1342">
        <f>IF(AND($A1342&lt;&gt;"",$B1342&lt;&gt;"",$R1342='تقرير الفصل الأول'!$C$4,$Q1342='تقرير الفصل الأول'!$C$7),COUNT(U$4:U1341)+1,"")</f>
        <v/>
      </c>
      <c r="V1342">
        <f>IF(AND($A1342&lt;&gt;"",$B1342&lt;&gt;"",$R1342='تقرير الفصل الثاني'!$C$4,$Q1342='تقرير الفصل الثاني'!$C$7),COUNT(V$4:V1341)+1,"")</f>
        <v/>
      </c>
      <c r="W1342">
        <f>IF(AND($A1342&lt;&gt;"",$B1342&lt;&gt;"",$R1342='تقرير سبتمبر'!$C$4,$P1342='تقرير سبتمبر'!$C$6),COUNT(W$4:W1341)+1,"")</f>
        <v/>
      </c>
      <c r="X1342">
        <f>IF(AND($A1342&lt;&gt;"",$B1342&lt;&gt;"",$R1342='تقرير أكتوبر'!$C$4,$P1342='تقرير أكتوبر'!$C$6),COUNT(X$4:X1341)+1,"")</f>
        <v/>
      </c>
      <c r="Y1342">
        <f>IF(AND($A1342&lt;&gt;"",$B1342&lt;&gt;"",$R1342='تقرير نوفمبر'!$C$4,$P1342='تقرير نوفمبر'!$C$6),COUNT(Y$4:Y1341)+1,"")</f>
        <v/>
      </c>
      <c r="Z1342">
        <f>IF(AND($A1342&lt;&gt;"",$B1342&lt;&gt;"",$R1342='تقرير ديسمبر'!$C$4,$P1342='تقرير ديسمبر'!$C$6),COUNT(Z$4:Z1341)+1,"")</f>
        <v/>
      </c>
      <c r="AA1342">
        <f>IF(AND($A1342&lt;&gt;"",$B1342&lt;&gt;"",$R1342='تقرير يناير'!$C$4,$P1342='تقرير يناير'!$C$6),COUNT(AA$4:AA1341)+1,"")</f>
        <v/>
      </c>
      <c r="AB1342">
        <f>IF(AND($A1342&lt;&gt;"",$B1342&lt;&gt;"",$R1342='تقرير فبراير'!$C$4,$P1342='تقرير فبراير'!$C$6),COUNT(AB$4:AB1341)+1,"")</f>
        <v/>
      </c>
      <c r="AC1342">
        <f>IF(AND($A1342&lt;&gt;"",$B1342&lt;&gt;"",$R1342='تقرير مارس'!$C$4,$P1342='تقرير مارس'!$C$6),COUNT(AC$4:AC1341)+1,"")</f>
        <v/>
      </c>
      <c r="AD1342">
        <f>IF(AND($A1342&lt;&gt;"",$B1342&lt;&gt;"",$R1342='تقرير أبريل'!$C$4,$P1342='تقرير أبريل'!$C$6),COUNT(AD$4:AD1341)+1,"")</f>
        <v/>
      </c>
      <c r="AE1342">
        <f>IF(AND($A1342&lt;&gt;"",$B1342&lt;&gt;"",$R1342='تقرير مايو'!$C$4,$P1342='تقرير مايو'!$C$6),COUNT(AE$4:AE1341)+1,"")</f>
        <v/>
      </c>
    </row>
    <row r="1343">
      <c r="A1343" s="16" t="n"/>
      <c r="B1343" s="17" t="n"/>
      <c r="C1343" s="17" t="n"/>
      <c r="D1343" s="18" t="n"/>
      <c r="E1343" s="17" t="n"/>
      <c r="F1343" s="17" t="n"/>
      <c r="G1343" s="19" t="n"/>
      <c r="H1343" s="17" t="n"/>
      <c r="I1343" s="17" t="n"/>
      <c r="J1343" s="17" t="n"/>
      <c r="K1343" s="20">
        <f>IF($B1343="","",IFERROR(INDEX(الموظفات!$A$5:$A$304,MATCH($B1343,الموظفات!$B$5:$B$304,0))&amp;"",""))</f>
        <v/>
      </c>
      <c r="L1343" s="21">
        <f>IF($B1343="","",IFERROR(INDEX(الموظفات!$C$5:$C$304,MATCH($B1343,الموظفات!$B$5:$B$304,0))&amp;"",""))</f>
        <v/>
      </c>
      <c r="M1343" s="20">
        <f>IF($B1343="","",IFERROR(INDEX(الموظفات!$D$5:$D$304,MATCH($B1343,الموظفات!$B$5:$B$304,0))&amp;"",""))</f>
        <v/>
      </c>
      <c r="N1343" s="20">
        <f>IF($B1343="","",IFERROR(INDEX(الموظفات!$E$5:$E$304,MATCH($B1343,الموظفات!$B$5:$B$304,0))&amp;"",""))</f>
        <v/>
      </c>
      <c r="O1343" s="21">
        <f>IF(C1343="","",IFERROR(INDEX(الإعدادات!$D$7:$D$35,MATCH(C1343,الإعدادات!$A$7:$A$35,0))&amp;"",""))</f>
        <v/>
      </c>
      <c r="P1343" s="20">
        <f>IF(A1343="","",INDEX(الإعدادات!$H$7:$H$18,MONTH(A1343)))</f>
        <v/>
      </c>
      <c r="Q1343" s="20">
        <f>IF(A1343="","",INDEX(الإعدادات!$I$7:$I$18,MONTH(A1343)))</f>
        <v/>
      </c>
      <c r="R1343" s="20">
        <f>IF(A1343="","",IF(MONTH(A1343)&gt;=8,YEAR(A1343)&amp;"-"&amp;(YEAR(A1343)+1),(YEAR(A1343)-1)&amp;"-"&amp;YEAR(A1343)))</f>
        <v/>
      </c>
      <c r="S1343" s="20">
        <f>IF(OR(A1343="",B1343=""),0,IF(AND(R1343=التقارير!$C$4,OR(التقارير!$C$5="سنوي",AND(التقارير!$C$5="شهري",P1343=التقارير!$C$6),AND(التقارير!$C$5="فصلي",Q1343=التقارير!$C$7))),1,0))</f>
        <v/>
      </c>
      <c r="T1343" s="20">
        <f>IF(S1343=1,COUNTIF($S$5:S1343,1),"")</f>
        <v/>
      </c>
      <c r="U1343">
        <f>IF(AND($A1343&lt;&gt;"",$B1343&lt;&gt;"",$R1343='تقرير الفصل الأول'!$C$4,$Q1343='تقرير الفصل الأول'!$C$7),COUNT(U$4:U1342)+1,"")</f>
        <v/>
      </c>
      <c r="V1343">
        <f>IF(AND($A1343&lt;&gt;"",$B1343&lt;&gt;"",$R1343='تقرير الفصل الثاني'!$C$4,$Q1343='تقرير الفصل الثاني'!$C$7),COUNT(V$4:V1342)+1,"")</f>
        <v/>
      </c>
      <c r="W1343">
        <f>IF(AND($A1343&lt;&gt;"",$B1343&lt;&gt;"",$R1343='تقرير سبتمبر'!$C$4,$P1343='تقرير سبتمبر'!$C$6),COUNT(W$4:W1342)+1,"")</f>
        <v/>
      </c>
      <c r="X1343">
        <f>IF(AND($A1343&lt;&gt;"",$B1343&lt;&gt;"",$R1343='تقرير أكتوبر'!$C$4,$P1343='تقرير أكتوبر'!$C$6),COUNT(X$4:X1342)+1,"")</f>
        <v/>
      </c>
      <c r="Y1343">
        <f>IF(AND($A1343&lt;&gt;"",$B1343&lt;&gt;"",$R1343='تقرير نوفمبر'!$C$4,$P1343='تقرير نوفمبر'!$C$6),COUNT(Y$4:Y1342)+1,"")</f>
        <v/>
      </c>
      <c r="Z1343">
        <f>IF(AND($A1343&lt;&gt;"",$B1343&lt;&gt;"",$R1343='تقرير ديسمبر'!$C$4,$P1343='تقرير ديسمبر'!$C$6),COUNT(Z$4:Z1342)+1,"")</f>
        <v/>
      </c>
      <c r="AA1343">
        <f>IF(AND($A1343&lt;&gt;"",$B1343&lt;&gt;"",$R1343='تقرير يناير'!$C$4,$P1343='تقرير يناير'!$C$6),COUNT(AA$4:AA1342)+1,"")</f>
        <v/>
      </c>
      <c r="AB1343">
        <f>IF(AND($A1343&lt;&gt;"",$B1343&lt;&gt;"",$R1343='تقرير فبراير'!$C$4,$P1343='تقرير فبراير'!$C$6),COUNT(AB$4:AB1342)+1,"")</f>
        <v/>
      </c>
      <c r="AC1343">
        <f>IF(AND($A1343&lt;&gt;"",$B1343&lt;&gt;"",$R1343='تقرير مارس'!$C$4,$P1343='تقرير مارس'!$C$6),COUNT(AC$4:AC1342)+1,"")</f>
        <v/>
      </c>
      <c r="AD1343">
        <f>IF(AND($A1343&lt;&gt;"",$B1343&lt;&gt;"",$R1343='تقرير أبريل'!$C$4,$P1343='تقرير أبريل'!$C$6),COUNT(AD$4:AD1342)+1,"")</f>
        <v/>
      </c>
      <c r="AE1343">
        <f>IF(AND($A1343&lt;&gt;"",$B1343&lt;&gt;"",$R1343='تقرير مايو'!$C$4,$P1343='تقرير مايو'!$C$6),COUNT(AE$4:AE1342)+1,"")</f>
        <v/>
      </c>
    </row>
    <row r="1344">
      <c r="A1344" s="16" t="n"/>
      <c r="B1344" s="17" t="n"/>
      <c r="C1344" s="17" t="n"/>
      <c r="D1344" s="18" t="n"/>
      <c r="E1344" s="17" t="n"/>
      <c r="F1344" s="17" t="n"/>
      <c r="G1344" s="19" t="n"/>
      <c r="H1344" s="17" t="n"/>
      <c r="I1344" s="17" t="n"/>
      <c r="J1344" s="17" t="n"/>
      <c r="K1344" s="20">
        <f>IF($B1344="","",IFERROR(INDEX(الموظفات!$A$5:$A$304,MATCH($B1344,الموظفات!$B$5:$B$304,0))&amp;"",""))</f>
        <v/>
      </c>
      <c r="L1344" s="21">
        <f>IF($B1344="","",IFERROR(INDEX(الموظفات!$C$5:$C$304,MATCH($B1344,الموظفات!$B$5:$B$304,0))&amp;"",""))</f>
        <v/>
      </c>
      <c r="M1344" s="20">
        <f>IF($B1344="","",IFERROR(INDEX(الموظفات!$D$5:$D$304,MATCH($B1344,الموظفات!$B$5:$B$304,0))&amp;"",""))</f>
        <v/>
      </c>
      <c r="N1344" s="20">
        <f>IF($B1344="","",IFERROR(INDEX(الموظفات!$E$5:$E$304,MATCH($B1344,الموظفات!$B$5:$B$304,0))&amp;"",""))</f>
        <v/>
      </c>
      <c r="O1344" s="21">
        <f>IF(C1344="","",IFERROR(INDEX(الإعدادات!$D$7:$D$35,MATCH(C1344,الإعدادات!$A$7:$A$35,0))&amp;"",""))</f>
        <v/>
      </c>
      <c r="P1344" s="20">
        <f>IF(A1344="","",INDEX(الإعدادات!$H$7:$H$18,MONTH(A1344)))</f>
        <v/>
      </c>
      <c r="Q1344" s="20">
        <f>IF(A1344="","",INDEX(الإعدادات!$I$7:$I$18,MONTH(A1344)))</f>
        <v/>
      </c>
      <c r="R1344" s="20">
        <f>IF(A1344="","",IF(MONTH(A1344)&gt;=8,YEAR(A1344)&amp;"-"&amp;(YEAR(A1344)+1),(YEAR(A1344)-1)&amp;"-"&amp;YEAR(A1344)))</f>
        <v/>
      </c>
      <c r="S1344" s="20">
        <f>IF(OR(A1344="",B1344=""),0,IF(AND(R1344=التقارير!$C$4,OR(التقارير!$C$5="سنوي",AND(التقارير!$C$5="شهري",P1344=التقارير!$C$6),AND(التقارير!$C$5="فصلي",Q1344=التقارير!$C$7))),1,0))</f>
        <v/>
      </c>
      <c r="T1344" s="20">
        <f>IF(S1344=1,COUNTIF($S$5:S1344,1),"")</f>
        <v/>
      </c>
      <c r="U1344">
        <f>IF(AND($A1344&lt;&gt;"",$B1344&lt;&gt;"",$R1344='تقرير الفصل الأول'!$C$4,$Q1344='تقرير الفصل الأول'!$C$7),COUNT(U$4:U1343)+1,"")</f>
        <v/>
      </c>
      <c r="V1344">
        <f>IF(AND($A1344&lt;&gt;"",$B1344&lt;&gt;"",$R1344='تقرير الفصل الثاني'!$C$4,$Q1344='تقرير الفصل الثاني'!$C$7),COUNT(V$4:V1343)+1,"")</f>
        <v/>
      </c>
      <c r="W1344">
        <f>IF(AND($A1344&lt;&gt;"",$B1344&lt;&gt;"",$R1344='تقرير سبتمبر'!$C$4,$P1344='تقرير سبتمبر'!$C$6),COUNT(W$4:W1343)+1,"")</f>
        <v/>
      </c>
      <c r="X1344">
        <f>IF(AND($A1344&lt;&gt;"",$B1344&lt;&gt;"",$R1344='تقرير أكتوبر'!$C$4,$P1344='تقرير أكتوبر'!$C$6),COUNT(X$4:X1343)+1,"")</f>
        <v/>
      </c>
      <c r="Y1344">
        <f>IF(AND($A1344&lt;&gt;"",$B1344&lt;&gt;"",$R1344='تقرير نوفمبر'!$C$4,$P1344='تقرير نوفمبر'!$C$6),COUNT(Y$4:Y1343)+1,"")</f>
        <v/>
      </c>
      <c r="Z1344">
        <f>IF(AND($A1344&lt;&gt;"",$B1344&lt;&gt;"",$R1344='تقرير ديسمبر'!$C$4,$P1344='تقرير ديسمبر'!$C$6),COUNT(Z$4:Z1343)+1,"")</f>
        <v/>
      </c>
      <c r="AA1344">
        <f>IF(AND($A1344&lt;&gt;"",$B1344&lt;&gt;"",$R1344='تقرير يناير'!$C$4,$P1344='تقرير يناير'!$C$6),COUNT(AA$4:AA1343)+1,"")</f>
        <v/>
      </c>
      <c r="AB1344">
        <f>IF(AND($A1344&lt;&gt;"",$B1344&lt;&gt;"",$R1344='تقرير فبراير'!$C$4,$P1344='تقرير فبراير'!$C$6),COUNT(AB$4:AB1343)+1,"")</f>
        <v/>
      </c>
      <c r="AC1344">
        <f>IF(AND($A1344&lt;&gt;"",$B1344&lt;&gt;"",$R1344='تقرير مارس'!$C$4,$P1344='تقرير مارس'!$C$6),COUNT(AC$4:AC1343)+1,"")</f>
        <v/>
      </c>
      <c r="AD1344">
        <f>IF(AND($A1344&lt;&gt;"",$B1344&lt;&gt;"",$R1344='تقرير أبريل'!$C$4,$P1344='تقرير أبريل'!$C$6),COUNT(AD$4:AD1343)+1,"")</f>
        <v/>
      </c>
      <c r="AE1344">
        <f>IF(AND($A1344&lt;&gt;"",$B1344&lt;&gt;"",$R1344='تقرير مايو'!$C$4,$P1344='تقرير مايو'!$C$6),COUNT(AE$4:AE1343)+1,"")</f>
        <v/>
      </c>
    </row>
    <row r="1345">
      <c r="A1345" s="16" t="n"/>
      <c r="B1345" s="17" t="n"/>
      <c r="C1345" s="17" t="n"/>
      <c r="D1345" s="18" t="n"/>
      <c r="E1345" s="17" t="n"/>
      <c r="F1345" s="17" t="n"/>
      <c r="G1345" s="19" t="n"/>
      <c r="H1345" s="17" t="n"/>
      <c r="I1345" s="17" t="n"/>
      <c r="J1345" s="17" t="n"/>
      <c r="K1345" s="20">
        <f>IF($B1345="","",IFERROR(INDEX(الموظفات!$A$5:$A$304,MATCH($B1345,الموظفات!$B$5:$B$304,0))&amp;"",""))</f>
        <v/>
      </c>
      <c r="L1345" s="21">
        <f>IF($B1345="","",IFERROR(INDEX(الموظفات!$C$5:$C$304,MATCH($B1345,الموظفات!$B$5:$B$304,0))&amp;"",""))</f>
        <v/>
      </c>
      <c r="M1345" s="20">
        <f>IF($B1345="","",IFERROR(INDEX(الموظفات!$D$5:$D$304,MATCH($B1345,الموظفات!$B$5:$B$304,0))&amp;"",""))</f>
        <v/>
      </c>
      <c r="N1345" s="20">
        <f>IF($B1345="","",IFERROR(INDEX(الموظفات!$E$5:$E$304,MATCH($B1345,الموظفات!$B$5:$B$304,0))&amp;"",""))</f>
        <v/>
      </c>
      <c r="O1345" s="21">
        <f>IF(C1345="","",IFERROR(INDEX(الإعدادات!$D$7:$D$35,MATCH(C1345,الإعدادات!$A$7:$A$35,0))&amp;"",""))</f>
        <v/>
      </c>
      <c r="P1345" s="20">
        <f>IF(A1345="","",INDEX(الإعدادات!$H$7:$H$18,MONTH(A1345)))</f>
        <v/>
      </c>
      <c r="Q1345" s="20">
        <f>IF(A1345="","",INDEX(الإعدادات!$I$7:$I$18,MONTH(A1345)))</f>
        <v/>
      </c>
      <c r="R1345" s="20">
        <f>IF(A1345="","",IF(MONTH(A1345)&gt;=8,YEAR(A1345)&amp;"-"&amp;(YEAR(A1345)+1),(YEAR(A1345)-1)&amp;"-"&amp;YEAR(A1345)))</f>
        <v/>
      </c>
      <c r="S1345" s="20">
        <f>IF(OR(A1345="",B1345=""),0,IF(AND(R1345=التقارير!$C$4,OR(التقارير!$C$5="سنوي",AND(التقارير!$C$5="شهري",P1345=التقارير!$C$6),AND(التقارير!$C$5="فصلي",Q1345=التقارير!$C$7))),1,0))</f>
        <v/>
      </c>
      <c r="T1345" s="20">
        <f>IF(S1345=1,COUNTIF($S$5:S1345,1),"")</f>
        <v/>
      </c>
      <c r="U1345">
        <f>IF(AND($A1345&lt;&gt;"",$B1345&lt;&gt;"",$R1345='تقرير الفصل الأول'!$C$4,$Q1345='تقرير الفصل الأول'!$C$7),COUNT(U$4:U1344)+1,"")</f>
        <v/>
      </c>
      <c r="V1345">
        <f>IF(AND($A1345&lt;&gt;"",$B1345&lt;&gt;"",$R1345='تقرير الفصل الثاني'!$C$4,$Q1345='تقرير الفصل الثاني'!$C$7),COUNT(V$4:V1344)+1,"")</f>
        <v/>
      </c>
      <c r="W1345">
        <f>IF(AND($A1345&lt;&gt;"",$B1345&lt;&gt;"",$R1345='تقرير سبتمبر'!$C$4,$P1345='تقرير سبتمبر'!$C$6),COUNT(W$4:W1344)+1,"")</f>
        <v/>
      </c>
      <c r="X1345">
        <f>IF(AND($A1345&lt;&gt;"",$B1345&lt;&gt;"",$R1345='تقرير أكتوبر'!$C$4,$P1345='تقرير أكتوبر'!$C$6),COUNT(X$4:X1344)+1,"")</f>
        <v/>
      </c>
      <c r="Y1345">
        <f>IF(AND($A1345&lt;&gt;"",$B1345&lt;&gt;"",$R1345='تقرير نوفمبر'!$C$4,$P1345='تقرير نوفمبر'!$C$6),COUNT(Y$4:Y1344)+1,"")</f>
        <v/>
      </c>
      <c r="Z1345">
        <f>IF(AND($A1345&lt;&gt;"",$B1345&lt;&gt;"",$R1345='تقرير ديسمبر'!$C$4,$P1345='تقرير ديسمبر'!$C$6),COUNT(Z$4:Z1344)+1,"")</f>
        <v/>
      </c>
      <c r="AA1345">
        <f>IF(AND($A1345&lt;&gt;"",$B1345&lt;&gt;"",$R1345='تقرير يناير'!$C$4,$P1345='تقرير يناير'!$C$6),COUNT(AA$4:AA1344)+1,"")</f>
        <v/>
      </c>
      <c r="AB1345">
        <f>IF(AND($A1345&lt;&gt;"",$B1345&lt;&gt;"",$R1345='تقرير فبراير'!$C$4,$P1345='تقرير فبراير'!$C$6),COUNT(AB$4:AB1344)+1,"")</f>
        <v/>
      </c>
      <c r="AC1345">
        <f>IF(AND($A1345&lt;&gt;"",$B1345&lt;&gt;"",$R1345='تقرير مارس'!$C$4,$P1345='تقرير مارس'!$C$6),COUNT(AC$4:AC1344)+1,"")</f>
        <v/>
      </c>
      <c r="AD1345">
        <f>IF(AND($A1345&lt;&gt;"",$B1345&lt;&gt;"",$R1345='تقرير أبريل'!$C$4,$P1345='تقرير أبريل'!$C$6),COUNT(AD$4:AD1344)+1,"")</f>
        <v/>
      </c>
      <c r="AE1345">
        <f>IF(AND($A1345&lt;&gt;"",$B1345&lt;&gt;"",$R1345='تقرير مايو'!$C$4,$P1345='تقرير مايو'!$C$6),COUNT(AE$4:AE1344)+1,"")</f>
        <v/>
      </c>
    </row>
    <row r="1346">
      <c r="A1346" s="16" t="n"/>
      <c r="B1346" s="17" t="n"/>
      <c r="C1346" s="17" t="n"/>
      <c r="D1346" s="18" t="n"/>
      <c r="E1346" s="17" t="n"/>
      <c r="F1346" s="17" t="n"/>
      <c r="G1346" s="19" t="n"/>
      <c r="H1346" s="17" t="n"/>
      <c r="I1346" s="17" t="n"/>
      <c r="J1346" s="17" t="n"/>
      <c r="K1346" s="20">
        <f>IF($B1346="","",IFERROR(INDEX(الموظفات!$A$5:$A$304,MATCH($B1346,الموظفات!$B$5:$B$304,0))&amp;"",""))</f>
        <v/>
      </c>
      <c r="L1346" s="21">
        <f>IF($B1346="","",IFERROR(INDEX(الموظفات!$C$5:$C$304,MATCH($B1346,الموظفات!$B$5:$B$304,0))&amp;"",""))</f>
        <v/>
      </c>
      <c r="M1346" s="20">
        <f>IF($B1346="","",IFERROR(INDEX(الموظفات!$D$5:$D$304,MATCH($B1346,الموظفات!$B$5:$B$304,0))&amp;"",""))</f>
        <v/>
      </c>
      <c r="N1346" s="20">
        <f>IF($B1346="","",IFERROR(INDEX(الموظفات!$E$5:$E$304,MATCH($B1346,الموظفات!$B$5:$B$304,0))&amp;"",""))</f>
        <v/>
      </c>
      <c r="O1346" s="21">
        <f>IF(C1346="","",IFERROR(INDEX(الإعدادات!$D$7:$D$35,MATCH(C1346,الإعدادات!$A$7:$A$35,0))&amp;"",""))</f>
        <v/>
      </c>
      <c r="P1346" s="20">
        <f>IF(A1346="","",INDEX(الإعدادات!$H$7:$H$18,MONTH(A1346)))</f>
        <v/>
      </c>
      <c r="Q1346" s="20">
        <f>IF(A1346="","",INDEX(الإعدادات!$I$7:$I$18,MONTH(A1346)))</f>
        <v/>
      </c>
      <c r="R1346" s="20">
        <f>IF(A1346="","",IF(MONTH(A1346)&gt;=8,YEAR(A1346)&amp;"-"&amp;(YEAR(A1346)+1),(YEAR(A1346)-1)&amp;"-"&amp;YEAR(A1346)))</f>
        <v/>
      </c>
      <c r="S1346" s="20">
        <f>IF(OR(A1346="",B1346=""),0,IF(AND(R1346=التقارير!$C$4,OR(التقارير!$C$5="سنوي",AND(التقارير!$C$5="شهري",P1346=التقارير!$C$6),AND(التقارير!$C$5="فصلي",Q1346=التقارير!$C$7))),1,0))</f>
        <v/>
      </c>
      <c r="T1346" s="20">
        <f>IF(S1346=1,COUNTIF($S$5:S1346,1),"")</f>
        <v/>
      </c>
      <c r="U1346">
        <f>IF(AND($A1346&lt;&gt;"",$B1346&lt;&gt;"",$R1346='تقرير الفصل الأول'!$C$4,$Q1346='تقرير الفصل الأول'!$C$7),COUNT(U$4:U1345)+1,"")</f>
        <v/>
      </c>
      <c r="V1346">
        <f>IF(AND($A1346&lt;&gt;"",$B1346&lt;&gt;"",$R1346='تقرير الفصل الثاني'!$C$4,$Q1346='تقرير الفصل الثاني'!$C$7),COUNT(V$4:V1345)+1,"")</f>
        <v/>
      </c>
      <c r="W1346">
        <f>IF(AND($A1346&lt;&gt;"",$B1346&lt;&gt;"",$R1346='تقرير سبتمبر'!$C$4,$P1346='تقرير سبتمبر'!$C$6),COUNT(W$4:W1345)+1,"")</f>
        <v/>
      </c>
      <c r="X1346">
        <f>IF(AND($A1346&lt;&gt;"",$B1346&lt;&gt;"",$R1346='تقرير أكتوبر'!$C$4,$P1346='تقرير أكتوبر'!$C$6),COUNT(X$4:X1345)+1,"")</f>
        <v/>
      </c>
      <c r="Y1346">
        <f>IF(AND($A1346&lt;&gt;"",$B1346&lt;&gt;"",$R1346='تقرير نوفمبر'!$C$4,$P1346='تقرير نوفمبر'!$C$6),COUNT(Y$4:Y1345)+1,"")</f>
        <v/>
      </c>
      <c r="Z1346">
        <f>IF(AND($A1346&lt;&gt;"",$B1346&lt;&gt;"",$R1346='تقرير ديسمبر'!$C$4,$P1346='تقرير ديسمبر'!$C$6),COUNT(Z$4:Z1345)+1,"")</f>
        <v/>
      </c>
      <c r="AA1346">
        <f>IF(AND($A1346&lt;&gt;"",$B1346&lt;&gt;"",$R1346='تقرير يناير'!$C$4,$P1346='تقرير يناير'!$C$6),COUNT(AA$4:AA1345)+1,"")</f>
        <v/>
      </c>
      <c r="AB1346">
        <f>IF(AND($A1346&lt;&gt;"",$B1346&lt;&gt;"",$R1346='تقرير فبراير'!$C$4,$P1346='تقرير فبراير'!$C$6),COUNT(AB$4:AB1345)+1,"")</f>
        <v/>
      </c>
      <c r="AC1346">
        <f>IF(AND($A1346&lt;&gt;"",$B1346&lt;&gt;"",$R1346='تقرير مارس'!$C$4,$P1346='تقرير مارس'!$C$6),COUNT(AC$4:AC1345)+1,"")</f>
        <v/>
      </c>
      <c r="AD1346">
        <f>IF(AND($A1346&lt;&gt;"",$B1346&lt;&gt;"",$R1346='تقرير أبريل'!$C$4,$P1346='تقرير أبريل'!$C$6),COUNT(AD$4:AD1345)+1,"")</f>
        <v/>
      </c>
      <c r="AE1346">
        <f>IF(AND($A1346&lt;&gt;"",$B1346&lt;&gt;"",$R1346='تقرير مايو'!$C$4,$P1346='تقرير مايو'!$C$6),COUNT(AE$4:AE1345)+1,"")</f>
        <v/>
      </c>
    </row>
    <row r="1347">
      <c r="A1347" s="16" t="n"/>
      <c r="B1347" s="17" t="n"/>
      <c r="C1347" s="17" t="n"/>
      <c r="D1347" s="18" t="n"/>
      <c r="E1347" s="17" t="n"/>
      <c r="F1347" s="17" t="n"/>
      <c r="G1347" s="19" t="n"/>
      <c r="H1347" s="17" t="n"/>
      <c r="I1347" s="17" t="n"/>
      <c r="J1347" s="17" t="n"/>
      <c r="K1347" s="20">
        <f>IF($B1347="","",IFERROR(INDEX(الموظفات!$A$5:$A$304,MATCH($B1347,الموظفات!$B$5:$B$304,0))&amp;"",""))</f>
        <v/>
      </c>
      <c r="L1347" s="21">
        <f>IF($B1347="","",IFERROR(INDEX(الموظفات!$C$5:$C$304,MATCH($B1347,الموظفات!$B$5:$B$304,0))&amp;"",""))</f>
        <v/>
      </c>
      <c r="M1347" s="20">
        <f>IF($B1347="","",IFERROR(INDEX(الموظفات!$D$5:$D$304,MATCH($B1347,الموظفات!$B$5:$B$304,0))&amp;"",""))</f>
        <v/>
      </c>
      <c r="N1347" s="20">
        <f>IF($B1347="","",IFERROR(INDEX(الموظفات!$E$5:$E$304,MATCH($B1347,الموظفات!$B$5:$B$304,0))&amp;"",""))</f>
        <v/>
      </c>
      <c r="O1347" s="21">
        <f>IF(C1347="","",IFERROR(INDEX(الإعدادات!$D$7:$D$35,MATCH(C1347,الإعدادات!$A$7:$A$35,0))&amp;"",""))</f>
        <v/>
      </c>
      <c r="P1347" s="20">
        <f>IF(A1347="","",INDEX(الإعدادات!$H$7:$H$18,MONTH(A1347)))</f>
        <v/>
      </c>
      <c r="Q1347" s="20">
        <f>IF(A1347="","",INDEX(الإعدادات!$I$7:$I$18,MONTH(A1347)))</f>
        <v/>
      </c>
      <c r="R1347" s="20">
        <f>IF(A1347="","",IF(MONTH(A1347)&gt;=8,YEAR(A1347)&amp;"-"&amp;(YEAR(A1347)+1),(YEAR(A1347)-1)&amp;"-"&amp;YEAR(A1347)))</f>
        <v/>
      </c>
      <c r="S1347" s="20">
        <f>IF(OR(A1347="",B1347=""),0,IF(AND(R1347=التقارير!$C$4,OR(التقارير!$C$5="سنوي",AND(التقارير!$C$5="شهري",P1347=التقارير!$C$6),AND(التقارير!$C$5="فصلي",Q1347=التقارير!$C$7))),1,0))</f>
        <v/>
      </c>
      <c r="T1347" s="20">
        <f>IF(S1347=1,COUNTIF($S$5:S1347,1),"")</f>
        <v/>
      </c>
      <c r="U1347">
        <f>IF(AND($A1347&lt;&gt;"",$B1347&lt;&gt;"",$R1347='تقرير الفصل الأول'!$C$4,$Q1347='تقرير الفصل الأول'!$C$7),COUNT(U$4:U1346)+1,"")</f>
        <v/>
      </c>
      <c r="V1347">
        <f>IF(AND($A1347&lt;&gt;"",$B1347&lt;&gt;"",$R1347='تقرير الفصل الثاني'!$C$4,$Q1347='تقرير الفصل الثاني'!$C$7),COUNT(V$4:V1346)+1,"")</f>
        <v/>
      </c>
      <c r="W1347">
        <f>IF(AND($A1347&lt;&gt;"",$B1347&lt;&gt;"",$R1347='تقرير سبتمبر'!$C$4,$P1347='تقرير سبتمبر'!$C$6),COUNT(W$4:W1346)+1,"")</f>
        <v/>
      </c>
      <c r="X1347">
        <f>IF(AND($A1347&lt;&gt;"",$B1347&lt;&gt;"",$R1347='تقرير أكتوبر'!$C$4,$P1347='تقرير أكتوبر'!$C$6),COUNT(X$4:X1346)+1,"")</f>
        <v/>
      </c>
      <c r="Y1347">
        <f>IF(AND($A1347&lt;&gt;"",$B1347&lt;&gt;"",$R1347='تقرير نوفمبر'!$C$4,$P1347='تقرير نوفمبر'!$C$6),COUNT(Y$4:Y1346)+1,"")</f>
        <v/>
      </c>
      <c r="Z1347">
        <f>IF(AND($A1347&lt;&gt;"",$B1347&lt;&gt;"",$R1347='تقرير ديسمبر'!$C$4,$P1347='تقرير ديسمبر'!$C$6),COUNT(Z$4:Z1346)+1,"")</f>
        <v/>
      </c>
      <c r="AA1347">
        <f>IF(AND($A1347&lt;&gt;"",$B1347&lt;&gt;"",$R1347='تقرير يناير'!$C$4,$P1347='تقرير يناير'!$C$6),COUNT(AA$4:AA1346)+1,"")</f>
        <v/>
      </c>
      <c r="AB1347">
        <f>IF(AND($A1347&lt;&gt;"",$B1347&lt;&gt;"",$R1347='تقرير فبراير'!$C$4,$P1347='تقرير فبراير'!$C$6),COUNT(AB$4:AB1346)+1,"")</f>
        <v/>
      </c>
      <c r="AC1347">
        <f>IF(AND($A1347&lt;&gt;"",$B1347&lt;&gt;"",$R1347='تقرير مارس'!$C$4,$P1347='تقرير مارس'!$C$6),COUNT(AC$4:AC1346)+1,"")</f>
        <v/>
      </c>
      <c r="AD1347">
        <f>IF(AND($A1347&lt;&gt;"",$B1347&lt;&gt;"",$R1347='تقرير أبريل'!$C$4,$P1347='تقرير أبريل'!$C$6),COUNT(AD$4:AD1346)+1,"")</f>
        <v/>
      </c>
      <c r="AE1347">
        <f>IF(AND($A1347&lt;&gt;"",$B1347&lt;&gt;"",$R1347='تقرير مايو'!$C$4,$P1347='تقرير مايو'!$C$6),COUNT(AE$4:AE1346)+1,"")</f>
        <v/>
      </c>
    </row>
    <row r="1348">
      <c r="A1348" s="16" t="n"/>
      <c r="B1348" s="17" t="n"/>
      <c r="C1348" s="17" t="n"/>
      <c r="D1348" s="18" t="n"/>
      <c r="E1348" s="17" t="n"/>
      <c r="F1348" s="17" t="n"/>
      <c r="G1348" s="19" t="n"/>
      <c r="H1348" s="17" t="n"/>
      <c r="I1348" s="17" t="n"/>
      <c r="J1348" s="17" t="n"/>
      <c r="K1348" s="20">
        <f>IF($B1348="","",IFERROR(INDEX(الموظفات!$A$5:$A$304,MATCH($B1348,الموظفات!$B$5:$B$304,0))&amp;"",""))</f>
        <v/>
      </c>
      <c r="L1348" s="21">
        <f>IF($B1348="","",IFERROR(INDEX(الموظفات!$C$5:$C$304,MATCH($B1348,الموظفات!$B$5:$B$304,0))&amp;"",""))</f>
        <v/>
      </c>
      <c r="M1348" s="20">
        <f>IF($B1348="","",IFERROR(INDEX(الموظفات!$D$5:$D$304,MATCH($B1348,الموظفات!$B$5:$B$304,0))&amp;"",""))</f>
        <v/>
      </c>
      <c r="N1348" s="20">
        <f>IF($B1348="","",IFERROR(INDEX(الموظفات!$E$5:$E$304,MATCH($B1348,الموظفات!$B$5:$B$304,0))&amp;"",""))</f>
        <v/>
      </c>
      <c r="O1348" s="21">
        <f>IF(C1348="","",IFERROR(INDEX(الإعدادات!$D$7:$D$35,MATCH(C1348,الإعدادات!$A$7:$A$35,0))&amp;"",""))</f>
        <v/>
      </c>
      <c r="P1348" s="20">
        <f>IF(A1348="","",INDEX(الإعدادات!$H$7:$H$18,MONTH(A1348)))</f>
        <v/>
      </c>
      <c r="Q1348" s="20">
        <f>IF(A1348="","",INDEX(الإعدادات!$I$7:$I$18,MONTH(A1348)))</f>
        <v/>
      </c>
      <c r="R1348" s="20">
        <f>IF(A1348="","",IF(MONTH(A1348)&gt;=8,YEAR(A1348)&amp;"-"&amp;(YEAR(A1348)+1),(YEAR(A1348)-1)&amp;"-"&amp;YEAR(A1348)))</f>
        <v/>
      </c>
      <c r="S1348" s="20">
        <f>IF(OR(A1348="",B1348=""),0,IF(AND(R1348=التقارير!$C$4,OR(التقارير!$C$5="سنوي",AND(التقارير!$C$5="شهري",P1348=التقارير!$C$6),AND(التقارير!$C$5="فصلي",Q1348=التقارير!$C$7))),1,0))</f>
        <v/>
      </c>
      <c r="T1348" s="20">
        <f>IF(S1348=1,COUNTIF($S$5:S1348,1),"")</f>
        <v/>
      </c>
      <c r="U1348">
        <f>IF(AND($A1348&lt;&gt;"",$B1348&lt;&gt;"",$R1348='تقرير الفصل الأول'!$C$4,$Q1348='تقرير الفصل الأول'!$C$7),COUNT(U$4:U1347)+1,"")</f>
        <v/>
      </c>
      <c r="V1348">
        <f>IF(AND($A1348&lt;&gt;"",$B1348&lt;&gt;"",$R1348='تقرير الفصل الثاني'!$C$4,$Q1348='تقرير الفصل الثاني'!$C$7),COUNT(V$4:V1347)+1,"")</f>
        <v/>
      </c>
      <c r="W1348">
        <f>IF(AND($A1348&lt;&gt;"",$B1348&lt;&gt;"",$R1348='تقرير سبتمبر'!$C$4,$P1348='تقرير سبتمبر'!$C$6),COUNT(W$4:W1347)+1,"")</f>
        <v/>
      </c>
      <c r="X1348">
        <f>IF(AND($A1348&lt;&gt;"",$B1348&lt;&gt;"",$R1348='تقرير أكتوبر'!$C$4,$P1348='تقرير أكتوبر'!$C$6),COUNT(X$4:X1347)+1,"")</f>
        <v/>
      </c>
      <c r="Y1348">
        <f>IF(AND($A1348&lt;&gt;"",$B1348&lt;&gt;"",$R1348='تقرير نوفمبر'!$C$4,$P1348='تقرير نوفمبر'!$C$6),COUNT(Y$4:Y1347)+1,"")</f>
        <v/>
      </c>
      <c r="Z1348">
        <f>IF(AND($A1348&lt;&gt;"",$B1348&lt;&gt;"",$R1348='تقرير ديسمبر'!$C$4,$P1348='تقرير ديسمبر'!$C$6),COUNT(Z$4:Z1347)+1,"")</f>
        <v/>
      </c>
      <c r="AA1348">
        <f>IF(AND($A1348&lt;&gt;"",$B1348&lt;&gt;"",$R1348='تقرير يناير'!$C$4,$P1348='تقرير يناير'!$C$6),COUNT(AA$4:AA1347)+1,"")</f>
        <v/>
      </c>
      <c r="AB1348">
        <f>IF(AND($A1348&lt;&gt;"",$B1348&lt;&gt;"",$R1348='تقرير فبراير'!$C$4,$P1348='تقرير فبراير'!$C$6),COUNT(AB$4:AB1347)+1,"")</f>
        <v/>
      </c>
      <c r="AC1348">
        <f>IF(AND($A1348&lt;&gt;"",$B1348&lt;&gt;"",$R1348='تقرير مارس'!$C$4,$P1348='تقرير مارس'!$C$6),COUNT(AC$4:AC1347)+1,"")</f>
        <v/>
      </c>
      <c r="AD1348">
        <f>IF(AND($A1348&lt;&gt;"",$B1348&lt;&gt;"",$R1348='تقرير أبريل'!$C$4,$P1348='تقرير أبريل'!$C$6),COUNT(AD$4:AD1347)+1,"")</f>
        <v/>
      </c>
      <c r="AE1348">
        <f>IF(AND($A1348&lt;&gt;"",$B1348&lt;&gt;"",$R1348='تقرير مايو'!$C$4,$P1348='تقرير مايو'!$C$6),COUNT(AE$4:AE1347)+1,"")</f>
        <v/>
      </c>
    </row>
    <row r="1349">
      <c r="A1349" s="16" t="n"/>
      <c r="B1349" s="17" t="n"/>
      <c r="C1349" s="17" t="n"/>
      <c r="D1349" s="18" t="n"/>
      <c r="E1349" s="17" t="n"/>
      <c r="F1349" s="17" t="n"/>
      <c r="G1349" s="19" t="n"/>
      <c r="H1349" s="17" t="n"/>
      <c r="I1349" s="17" t="n"/>
      <c r="J1349" s="17" t="n"/>
      <c r="K1349" s="20">
        <f>IF($B1349="","",IFERROR(INDEX(الموظفات!$A$5:$A$304,MATCH($B1349,الموظفات!$B$5:$B$304,0))&amp;"",""))</f>
        <v/>
      </c>
      <c r="L1349" s="21">
        <f>IF($B1349="","",IFERROR(INDEX(الموظفات!$C$5:$C$304,MATCH($B1349,الموظفات!$B$5:$B$304,0))&amp;"",""))</f>
        <v/>
      </c>
      <c r="M1349" s="20">
        <f>IF($B1349="","",IFERROR(INDEX(الموظفات!$D$5:$D$304,MATCH($B1349,الموظفات!$B$5:$B$304,0))&amp;"",""))</f>
        <v/>
      </c>
      <c r="N1349" s="20">
        <f>IF($B1349="","",IFERROR(INDEX(الموظفات!$E$5:$E$304,MATCH($B1349,الموظفات!$B$5:$B$304,0))&amp;"",""))</f>
        <v/>
      </c>
      <c r="O1349" s="21">
        <f>IF(C1349="","",IFERROR(INDEX(الإعدادات!$D$7:$D$35,MATCH(C1349,الإعدادات!$A$7:$A$35,0))&amp;"",""))</f>
        <v/>
      </c>
      <c r="P1349" s="20">
        <f>IF(A1349="","",INDEX(الإعدادات!$H$7:$H$18,MONTH(A1349)))</f>
        <v/>
      </c>
      <c r="Q1349" s="20">
        <f>IF(A1349="","",INDEX(الإعدادات!$I$7:$I$18,MONTH(A1349)))</f>
        <v/>
      </c>
      <c r="R1349" s="20">
        <f>IF(A1349="","",IF(MONTH(A1349)&gt;=8,YEAR(A1349)&amp;"-"&amp;(YEAR(A1349)+1),(YEAR(A1349)-1)&amp;"-"&amp;YEAR(A1349)))</f>
        <v/>
      </c>
      <c r="S1349" s="20">
        <f>IF(OR(A1349="",B1349=""),0,IF(AND(R1349=التقارير!$C$4,OR(التقارير!$C$5="سنوي",AND(التقارير!$C$5="شهري",P1349=التقارير!$C$6),AND(التقارير!$C$5="فصلي",Q1349=التقارير!$C$7))),1,0))</f>
        <v/>
      </c>
      <c r="T1349" s="20">
        <f>IF(S1349=1,COUNTIF($S$5:S1349,1),"")</f>
        <v/>
      </c>
      <c r="U1349">
        <f>IF(AND($A1349&lt;&gt;"",$B1349&lt;&gt;"",$R1349='تقرير الفصل الأول'!$C$4,$Q1349='تقرير الفصل الأول'!$C$7),COUNT(U$4:U1348)+1,"")</f>
        <v/>
      </c>
      <c r="V1349">
        <f>IF(AND($A1349&lt;&gt;"",$B1349&lt;&gt;"",$R1349='تقرير الفصل الثاني'!$C$4,$Q1349='تقرير الفصل الثاني'!$C$7),COUNT(V$4:V1348)+1,"")</f>
        <v/>
      </c>
      <c r="W1349">
        <f>IF(AND($A1349&lt;&gt;"",$B1349&lt;&gt;"",$R1349='تقرير سبتمبر'!$C$4,$P1349='تقرير سبتمبر'!$C$6),COUNT(W$4:W1348)+1,"")</f>
        <v/>
      </c>
      <c r="X1349">
        <f>IF(AND($A1349&lt;&gt;"",$B1349&lt;&gt;"",$R1349='تقرير أكتوبر'!$C$4,$P1349='تقرير أكتوبر'!$C$6),COUNT(X$4:X1348)+1,"")</f>
        <v/>
      </c>
      <c r="Y1349">
        <f>IF(AND($A1349&lt;&gt;"",$B1349&lt;&gt;"",$R1349='تقرير نوفمبر'!$C$4,$P1349='تقرير نوفمبر'!$C$6),COUNT(Y$4:Y1348)+1,"")</f>
        <v/>
      </c>
      <c r="Z1349">
        <f>IF(AND($A1349&lt;&gt;"",$B1349&lt;&gt;"",$R1349='تقرير ديسمبر'!$C$4,$P1349='تقرير ديسمبر'!$C$6),COUNT(Z$4:Z1348)+1,"")</f>
        <v/>
      </c>
      <c r="AA1349">
        <f>IF(AND($A1349&lt;&gt;"",$B1349&lt;&gt;"",$R1349='تقرير يناير'!$C$4,$P1349='تقرير يناير'!$C$6),COUNT(AA$4:AA1348)+1,"")</f>
        <v/>
      </c>
      <c r="AB1349">
        <f>IF(AND($A1349&lt;&gt;"",$B1349&lt;&gt;"",$R1349='تقرير فبراير'!$C$4,$P1349='تقرير فبراير'!$C$6),COUNT(AB$4:AB1348)+1,"")</f>
        <v/>
      </c>
      <c r="AC1349">
        <f>IF(AND($A1349&lt;&gt;"",$B1349&lt;&gt;"",$R1349='تقرير مارس'!$C$4,$P1349='تقرير مارس'!$C$6),COUNT(AC$4:AC1348)+1,"")</f>
        <v/>
      </c>
      <c r="AD1349">
        <f>IF(AND($A1349&lt;&gt;"",$B1349&lt;&gt;"",$R1349='تقرير أبريل'!$C$4,$P1349='تقرير أبريل'!$C$6),COUNT(AD$4:AD1348)+1,"")</f>
        <v/>
      </c>
      <c r="AE1349">
        <f>IF(AND($A1349&lt;&gt;"",$B1349&lt;&gt;"",$R1349='تقرير مايو'!$C$4,$P1349='تقرير مايو'!$C$6),COUNT(AE$4:AE1348)+1,"")</f>
        <v/>
      </c>
    </row>
    <row r="1350">
      <c r="A1350" s="16" t="n"/>
      <c r="B1350" s="17" t="n"/>
      <c r="C1350" s="17" t="n"/>
      <c r="D1350" s="18" t="n"/>
      <c r="E1350" s="17" t="n"/>
      <c r="F1350" s="17" t="n"/>
      <c r="G1350" s="19" t="n"/>
      <c r="H1350" s="17" t="n"/>
      <c r="I1350" s="17" t="n"/>
      <c r="J1350" s="17" t="n"/>
      <c r="K1350" s="20">
        <f>IF($B1350="","",IFERROR(INDEX(الموظفات!$A$5:$A$304,MATCH($B1350,الموظفات!$B$5:$B$304,0))&amp;"",""))</f>
        <v/>
      </c>
      <c r="L1350" s="21">
        <f>IF($B1350="","",IFERROR(INDEX(الموظفات!$C$5:$C$304,MATCH($B1350,الموظفات!$B$5:$B$304,0))&amp;"",""))</f>
        <v/>
      </c>
      <c r="M1350" s="20">
        <f>IF($B1350="","",IFERROR(INDEX(الموظفات!$D$5:$D$304,MATCH($B1350,الموظفات!$B$5:$B$304,0))&amp;"",""))</f>
        <v/>
      </c>
      <c r="N1350" s="20">
        <f>IF($B1350="","",IFERROR(INDEX(الموظفات!$E$5:$E$304,MATCH($B1350,الموظفات!$B$5:$B$304,0))&amp;"",""))</f>
        <v/>
      </c>
      <c r="O1350" s="21">
        <f>IF(C1350="","",IFERROR(INDEX(الإعدادات!$D$7:$D$35,MATCH(C1350,الإعدادات!$A$7:$A$35,0))&amp;"",""))</f>
        <v/>
      </c>
      <c r="P1350" s="20">
        <f>IF(A1350="","",INDEX(الإعدادات!$H$7:$H$18,MONTH(A1350)))</f>
        <v/>
      </c>
      <c r="Q1350" s="20">
        <f>IF(A1350="","",INDEX(الإعدادات!$I$7:$I$18,MONTH(A1350)))</f>
        <v/>
      </c>
      <c r="R1350" s="20">
        <f>IF(A1350="","",IF(MONTH(A1350)&gt;=8,YEAR(A1350)&amp;"-"&amp;(YEAR(A1350)+1),(YEAR(A1350)-1)&amp;"-"&amp;YEAR(A1350)))</f>
        <v/>
      </c>
      <c r="S1350" s="20">
        <f>IF(OR(A1350="",B1350=""),0,IF(AND(R1350=التقارير!$C$4,OR(التقارير!$C$5="سنوي",AND(التقارير!$C$5="شهري",P1350=التقارير!$C$6),AND(التقارير!$C$5="فصلي",Q1350=التقارير!$C$7))),1,0))</f>
        <v/>
      </c>
      <c r="T1350" s="20">
        <f>IF(S1350=1,COUNTIF($S$5:S1350,1),"")</f>
        <v/>
      </c>
      <c r="U1350">
        <f>IF(AND($A1350&lt;&gt;"",$B1350&lt;&gt;"",$R1350='تقرير الفصل الأول'!$C$4,$Q1350='تقرير الفصل الأول'!$C$7),COUNT(U$4:U1349)+1,"")</f>
        <v/>
      </c>
      <c r="V1350">
        <f>IF(AND($A1350&lt;&gt;"",$B1350&lt;&gt;"",$R1350='تقرير الفصل الثاني'!$C$4,$Q1350='تقرير الفصل الثاني'!$C$7),COUNT(V$4:V1349)+1,"")</f>
        <v/>
      </c>
      <c r="W1350">
        <f>IF(AND($A1350&lt;&gt;"",$B1350&lt;&gt;"",$R1350='تقرير سبتمبر'!$C$4,$P1350='تقرير سبتمبر'!$C$6),COUNT(W$4:W1349)+1,"")</f>
        <v/>
      </c>
      <c r="X1350">
        <f>IF(AND($A1350&lt;&gt;"",$B1350&lt;&gt;"",$R1350='تقرير أكتوبر'!$C$4,$P1350='تقرير أكتوبر'!$C$6),COUNT(X$4:X1349)+1,"")</f>
        <v/>
      </c>
      <c r="Y1350">
        <f>IF(AND($A1350&lt;&gt;"",$B1350&lt;&gt;"",$R1350='تقرير نوفمبر'!$C$4,$P1350='تقرير نوفمبر'!$C$6),COUNT(Y$4:Y1349)+1,"")</f>
        <v/>
      </c>
      <c r="Z1350">
        <f>IF(AND($A1350&lt;&gt;"",$B1350&lt;&gt;"",$R1350='تقرير ديسمبر'!$C$4,$P1350='تقرير ديسمبر'!$C$6),COUNT(Z$4:Z1349)+1,"")</f>
        <v/>
      </c>
      <c r="AA1350">
        <f>IF(AND($A1350&lt;&gt;"",$B1350&lt;&gt;"",$R1350='تقرير يناير'!$C$4,$P1350='تقرير يناير'!$C$6),COUNT(AA$4:AA1349)+1,"")</f>
        <v/>
      </c>
      <c r="AB1350">
        <f>IF(AND($A1350&lt;&gt;"",$B1350&lt;&gt;"",$R1350='تقرير فبراير'!$C$4,$P1350='تقرير فبراير'!$C$6),COUNT(AB$4:AB1349)+1,"")</f>
        <v/>
      </c>
      <c r="AC1350">
        <f>IF(AND($A1350&lt;&gt;"",$B1350&lt;&gt;"",$R1350='تقرير مارس'!$C$4,$P1350='تقرير مارس'!$C$6),COUNT(AC$4:AC1349)+1,"")</f>
        <v/>
      </c>
      <c r="AD1350">
        <f>IF(AND($A1350&lt;&gt;"",$B1350&lt;&gt;"",$R1350='تقرير أبريل'!$C$4,$P1350='تقرير أبريل'!$C$6),COUNT(AD$4:AD1349)+1,"")</f>
        <v/>
      </c>
      <c r="AE1350">
        <f>IF(AND($A1350&lt;&gt;"",$B1350&lt;&gt;"",$R1350='تقرير مايو'!$C$4,$P1350='تقرير مايو'!$C$6),COUNT(AE$4:AE1349)+1,"")</f>
        <v/>
      </c>
    </row>
    <row r="1351">
      <c r="A1351" s="16" t="n"/>
      <c r="B1351" s="17" t="n"/>
      <c r="C1351" s="17" t="n"/>
      <c r="D1351" s="18" t="n"/>
      <c r="E1351" s="17" t="n"/>
      <c r="F1351" s="17" t="n"/>
      <c r="G1351" s="19" t="n"/>
      <c r="H1351" s="17" t="n"/>
      <c r="I1351" s="17" t="n"/>
      <c r="J1351" s="17" t="n"/>
      <c r="K1351" s="20">
        <f>IF($B1351="","",IFERROR(INDEX(الموظفات!$A$5:$A$304,MATCH($B1351,الموظفات!$B$5:$B$304,0))&amp;"",""))</f>
        <v/>
      </c>
      <c r="L1351" s="21">
        <f>IF($B1351="","",IFERROR(INDEX(الموظفات!$C$5:$C$304,MATCH($B1351,الموظفات!$B$5:$B$304,0))&amp;"",""))</f>
        <v/>
      </c>
      <c r="M1351" s="20">
        <f>IF($B1351="","",IFERROR(INDEX(الموظفات!$D$5:$D$304,MATCH($B1351,الموظفات!$B$5:$B$304,0))&amp;"",""))</f>
        <v/>
      </c>
      <c r="N1351" s="20">
        <f>IF($B1351="","",IFERROR(INDEX(الموظفات!$E$5:$E$304,MATCH($B1351,الموظفات!$B$5:$B$304,0))&amp;"",""))</f>
        <v/>
      </c>
      <c r="O1351" s="21">
        <f>IF(C1351="","",IFERROR(INDEX(الإعدادات!$D$7:$D$35,MATCH(C1351,الإعدادات!$A$7:$A$35,0))&amp;"",""))</f>
        <v/>
      </c>
      <c r="P1351" s="20">
        <f>IF(A1351="","",INDEX(الإعدادات!$H$7:$H$18,MONTH(A1351)))</f>
        <v/>
      </c>
      <c r="Q1351" s="20">
        <f>IF(A1351="","",INDEX(الإعدادات!$I$7:$I$18,MONTH(A1351)))</f>
        <v/>
      </c>
      <c r="R1351" s="20">
        <f>IF(A1351="","",IF(MONTH(A1351)&gt;=8,YEAR(A1351)&amp;"-"&amp;(YEAR(A1351)+1),(YEAR(A1351)-1)&amp;"-"&amp;YEAR(A1351)))</f>
        <v/>
      </c>
      <c r="S1351" s="20">
        <f>IF(OR(A1351="",B1351=""),0,IF(AND(R1351=التقارير!$C$4,OR(التقارير!$C$5="سنوي",AND(التقارير!$C$5="شهري",P1351=التقارير!$C$6),AND(التقارير!$C$5="فصلي",Q1351=التقارير!$C$7))),1,0))</f>
        <v/>
      </c>
      <c r="T1351" s="20">
        <f>IF(S1351=1,COUNTIF($S$5:S1351,1),"")</f>
        <v/>
      </c>
      <c r="U1351">
        <f>IF(AND($A1351&lt;&gt;"",$B1351&lt;&gt;"",$R1351='تقرير الفصل الأول'!$C$4,$Q1351='تقرير الفصل الأول'!$C$7),COUNT(U$4:U1350)+1,"")</f>
        <v/>
      </c>
      <c r="V1351">
        <f>IF(AND($A1351&lt;&gt;"",$B1351&lt;&gt;"",$R1351='تقرير الفصل الثاني'!$C$4,$Q1351='تقرير الفصل الثاني'!$C$7),COUNT(V$4:V1350)+1,"")</f>
        <v/>
      </c>
      <c r="W1351">
        <f>IF(AND($A1351&lt;&gt;"",$B1351&lt;&gt;"",$R1351='تقرير سبتمبر'!$C$4,$P1351='تقرير سبتمبر'!$C$6),COUNT(W$4:W1350)+1,"")</f>
        <v/>
      </c>
      <c r="X1351">
        <f>IF(AND($A1351&lt;&gt;"",$B1351&lt;&gt;"",$R1351='تقرير أكتوبر'!$C$4,$P1351='تقرير أكتوبر'!$C$6),COUNT(X$4:X1350)+1,"")</f>
        <v/>
      </c>
      <c r="Y1351">
        <f>IF(AND($A1351&lt;&gt;"",$B1351&lt;&gt;"",$R1351='تقرير نوفمبر'!$C$4,$P1351='تقرير نوفمبر'!$C$6),COUNT(Y$4:Y1350)+1,"")</f>
        <v/>
      </c>
      <c r="Z1351">
        <f>IF(AND($A1351&lt;&gt;"",$B1351&lt;&gt;"",$R1351='تقرير ديسمبر'!$C$4,$P1351='تقرير ديسمبر'!$C$6),COUNT(Z$4:Z1350)+1,"")</f>
        <v/>
      </c>
      <c r="AA1351">
        <f>IF(AND($A1351&lt;&gt;"",$B1351&lt;&gt;"",$R1351='تقرير يناير'!$C$4,$P1351='تقرير يناير'!$C$6),COUNT(AA$4:AA1350)+1,"")</f>
        <v/>
      </c>
      <c r="AB1351">
        <f>IF(AND($A1351&lt;&gt;"",$B1351&lt;&gt;"",$R1351='تقرير فبراير'!$C$4,$P1351='تقرير فبراير'!$C$6),COUNT(AB$4:AB1350)+1,"")</f>
        <v/>
      </c>
      <c r="AC1351">
        <f>IF(AND($A1351&lt;&gt;"",$B1351&lt;&gt;"",$R1351='تقرير مارس'!$C$4,$P1351='تقرير مارس'!$C$6),COUNT(AC$4:AC1350)+1,"")</f>
        <v/>
      </c>
      <c r="AD1351">
        <f>IF(AND($A1351&lt;&gt;"",$B1351&lt;&gt;"",$R1351='تقرير أبريل'!$C$4,$P1351='تقرير أبريل'!$C$6),COUNT(AD$4:AD1350)+1,"")</f>
        <v/>
      </c>
      <c r="AE1351">
        <f>IF(AND($A1351&lt;&gt;"",$B1351&lt;&gt;"",$R1351='تقرير مايو'!$C$4,$P1351='تقرير مايو'!$C$6),COUNT(AE$4:AE1350)+1,"")</f>
        <v/>
      </c>
    </row>
    <row r="1352">
      <c r="A1352" s="16" t="n"/>
      <c r="B1352" s="17" t="n"/>
      <c r="C1352" s="17" t="n"/>
      <c r="D1352" s="18" t="n"/>
      <c r="E1352" s="17" t="n"/>
      <c r="F1352" s="17" t="n"/>
      <c r="G1352" s="19" t="n"/>
      <c r="H1352" s="17" t="n"/>
      <c r="I1352" s="17" t="n"/>
      <c r="J1352" s="17" t="n"/>
      <c r="K1352" s="20">
        <f>IF($B1352="","",IFERROR(INDEX(الموظفات!$A$5:$A$304,MATCH($B1352,الموظفات!$B$5:$B$304,0))&amp;"",""))</f>
        <v/>
      </c>
      <c r="L1352" s="21">
        <f>IF($B1352="","",IFERROR(INDEX(الموظفات!$C$5:$C$304,MATCH($B1352,الموظفات!$B$5:$B$304,0))&amp;"",""))</f>
        <v/>
      </c>
      <c r="M1352" s="20">
        <f>IF($B1352="","",IFERROR(INDEX(الموظفات!$D$5:$D$304,MATCH($B1352,الموظفات!$B$5:$B$304,0))&amp;"",""))</f>
        <v/>
      </c>
      <c r="N1352" s="20">
        <f>IF($B1352="","",IFERROR(INDEX(الموظفات!$E$5:$E$304,MATCH($B1352,الموظفات!$B$5:$B$304,0))&amp;"",""))</f>
        <v/>
      </c>
      <c r="O1352" s="21">
        <f>IF(C1352="","",IFERROR(INDEX(الإعدادات!$D$7:$D$35,MATCH(C1352,الإعدادات!$A$7:$A$35,0))&amp;"",""))</f>
        <v/>
      </c>
      <c r="P1352" s="20">
        <f>IF(A1352="","",INDEX(الإعدادات!$H$7:$H$18,MONTH(A1352)))</f>
        <v/>
      </c>
      <c r="Q1352" s="20">
        <f>IF(A1352="","",INDEX(الإعدادات!$I$7:$I$18,MONTH(A1352)))</f>
        <v/>
      </c>
      <c r="R1352" s="20">
        <f>IF(A1352="","",IF(MONTH(A1352)&gt;=8,YEAR(A1352)&amp;"-"&amp;(YEAR(A1352)+1),(YEAR(A1352)-1)&amp;"-"&amp;YEAR(A1352)))</f>
        <v/>
      </c>
      <c r="S1352" s="20">
        <f>IF(OR(A1352="",B1352=""),0,IF(AND(R1352=التقارير!$C$4,OR(التقارير!$C$5="سنوي",AND(التقارير!$C$5="شهري",P1352=التقارير!$C$6),AND(التقارير!$C$5="فصلي",Q1352=التقارير!$C$7))),1,0))</f>
        <v/>
      </c>
      <c r="T1352" s="20">
        <f>IF(S1352=1,COUNTIF($S$5:S1352,1),"")</f>
        <v/>
      </c>
      <c r="U1352">
        <f>IF(AND($A1352&lt;&gt;"",$B1352&lt;&gt;"",$R1352='تقرير الفصل الأول'!$C$4,$Q1352='تقرير الفصل الأول'!$C$7),COUNT(U$4:U1351)+1,"")</f>
        <v/>
      </c>
      <c r="V1352">
        <f>IF(AND($A1352&lt;&gt;"",$B1352&lt;&gt;"",$R1352='تقرير الفصل الثاني'!$C$4,$Q1352='تقرير الفصل الثاني'!$C$7),COUNT(V$4:V1351)+1,"")</f>
        <v/>
      </c>
      <c r="W1352">
        <f>IF(AND($A1352&lt;&gt;"",$B1352&lt;&gt;"",$R1352='تقرير سبتمبر'!$C$4,$P1352='تقرير سبتمبر'!$C$6),COUNT(W$4:W1351)+1,"")</f>
        <v/>
      </c>
      <c r="X1352">
        <f>IF(AND($A1352&lt;&gt;"",$B1352&lt;&gt;"",$R1352='تقرير أكتوبر'!$C$4,$P1352='تقرير أكتوبر'!$C$6),COUNT(X$4:X1351)+1,"")</f>
        <v/>
      </c>
      <c r="Y1352">
        <f>IF(AND($A1352&lt;&gt;"",$B1352&lt;&gt;"",$R1352='تقرير نوفمبر'!$C$4,$P1352='تقرير نوفمبر'!$C$6),COUNT(Y$4:Y1351)+1,"")</f>
        <v/>
      </c>
      <c r="Z1352">
        <f>IF(AND($A1352&lt;&gt;"",$B1352&lt;&gt;"",$R1352='تقرير ديسمبر'!$C$4,$P1352='تقرير ديسمبر'!$C$6),COUNT(Z$4:Z1351)+1,"")</f>
        <v/>
      </c>
      <c r="AA1352">
        <f>IF(AND($A1352&lt;&gt;"",$B1352&lt;&gt;"",$R1352='تقرير يناير'!$C$4,$P1352='تقرير يناير'!$C$6),COUNT(AA$4:AA1351)+1,"")</f>
        <v/>
      </c>
      <c r="AB1352">
        <f>IF(AND($A1352&lt;&gt;"",$B1352&lt;&gt;"",$R1352='تقرير فبراير'!$C$4,$P1352='تقرير فبراير'!$C$6),COUNT(AB$4:AB1351)+1,"")</f>
        <v/>
      </c>
      <c r="AC1352">
        <f>IF(AND($A1352&lt;&gt;"",$B1352&lt;&gt;"",$R1352='تقرير مارس'!$C$4,$P1352='تقرير مارس'!$C$6),COUNT(AC$4:AC1351)+1,"")</f>
        <v/>
      </c>
      <c r="AD1352">
        <f>IF(AND($A1352&lt;&gt;"",$B1352&lt;&gt;"",$R1352='تقرير أبريل'!$C$4,$P1352='تقرير أبريل'!$C$6),COUNT(AD$4:AD1351)+1,"")</f>
        <v/>
      </c>
      <c r="AE1352">
        <f>IF(AND($A1352&lt;&gt;"",$B1352&lt;&gt;"",$R1352='تقرير مايو'!$C$4,$P1352='تقرير مايو'!$C$6),COUNT(AE$4:AE1351)+1,"")</f>
        <v/>
      </c>
    </row>
    <row r="1353">
      <c r="A1353" s="16" t="n"/>
      <c r="B1353" s="17" t="n"/>
      <c r="C1353" s="17" t="n"/>
      <c r="D1353" s="18" t="n"/>
      <c r="E1353" s="17" t="n"/>
      <c r="F1353" s="17" t="n"/>
      <c r="G1353" s="19" t="n"/>
      <c r="H1353" s="17" t="n"/>
      <c r="I1353" s="17" t="n"/>
      <c r="J1353" s="17" t="n"/>
      <c r="K1353" s="20">
        <f>IF($B1353="","",IFERROR(INDEX(الموظفات!$A$5:$A$304,MATCH($B1353,الموظفات!$B$5:$B$304,0))&amp;"",""))</f>
        <v/>
      </c>
      <c r="L1353" s="21">
        <f>IF($B1353="","",IFERROR(INDEX(الموظفات!$C$5:$C$304,MATCH($B1353,الموظفات!$B$5:$B$304,0))&amp;"",""))</f>
        <v/>
      </c>
      <c r="M1353" s="20">
        <f>IF($B1353="","",IFERROR(INDEX(الموظفات!$D$5:$D$304,MATCH($B1353,الموظفات!$B$5:$B$304,0))&amp;"",""))</f>
        <v/>
      </c>
      <c r="N1353" s="20">
        <f>IF($B1353="","",IFERROR(INDEX(الموظفات!$E$5:$E$304,MATCH($B1353,الموظفات!$B$5:$B$304,0))&amp;"",""))</f>
        <v/>
      </c>
      <c r="O1353" s="21">
        <f>IF(C1353="","",IFERROR(INDEX(الإعدادات!$D$7:$D$35,MATCH(C1353,الإعدادات!$A$7:$A$35,0))&amp;"",""))</f>
        <v/>
      </c>
      <c r="P1353" s="20">
        <f>IF(A1353="","",INDEX(الإعدادات!$H$7:$H$18,MONTH(A1353)))</f>
        <v/>
      </c>
      <c r="Q1353" s="20">
        <f>IF(A1353="","",INDEX(الإعدادات!$I$7:$I$18,MONTH(A1353)))</f>
        <v/>
      </c>
      <c r="R1353" s="20">
        <f>IF(A1353="","",IF(MONTH(A1353)&gt;=8,YEAR(A1353)&amp;"-"&amp;(YEAR(A1353)+1),(YEAR(A1353)-1)&amp;"-"&amp;YEAR(A1353)))</f>
        <v/>
      </c>
      <c r="S1353" s="20">
        <f>IF(OR(A1353="",B1353=""),0,IF(AND(R1353=التقارير!$C$4,OR(التقارير!$C$5="سنوي",AND(التقارير!$C$5="شهري",P1353=التقارير!$C$6),AND(التقارير!$C$5="فصلي",Q1353=التقارير!$C$7))),1,0))</f>
        <v/>
      </c>
      <c r="T1353" s="20">
        <f>IF(S1353=1,COUNTIF($S$5:S1353,1),"")</f>
        <v/>
      </c>
      <c r="U1353">
        <f>IF(AND($A1353&lt;&gt;"",$B1353&lt;&gt;"",$R1353='تقرير الفصل الأول'!$C$4,$Q1353='تقرير الفصل الأول'!$C$7),COUNT(U$4:U1352)+1,"")</f>
        <v/>
      </c>
      <c r="V1353">
        <f>IF(AND($A1353&lt;&gt;"",$B1353&lt;&gt;"",$R1353='تقرير الفصل الثاني'!$C$4,$Q1353='تقرير الفصل الثاني'!$C$7),COUNT(V$4:V1352)+1,"")</f>
        <v/>
      </c>
      <c r="W1353">
        <f>IF(AND($A1353&lt;&gt;"",$B1353&lt;&gt;"",$R1353='تقرير سبتمبر'!$C$4,$P1353='تقرير سبتمبر'!$C$6),COUNT(W$4:W1352)+1,"")</f>
        <v/>
      </c>
      <c r="X1353">
        <f>IF(AND($A1353&lt;&gt;"",$B1353&lt;&gt;"",$R1353='تقرير أكتوبر'!$C$4,$P1353='تقرير أكتوبر'!$C$6),COUNT(X$4:X1352)+1,"")</f>
        <v/>
      </c>
      <c r="Y1353">
        <f>IF(AND($A1353&lt;&gt;"",$B1353&lt;&gt;"",$R1353='تقرير نوفمبر'!$C$4,$P1353='تقرير نوفمبر'!$C$6),COUNT(Y$4:Y1352)+1,"")</f>
        <v/>
      </c>
      <c r="Z1353">
        <f>IF(AND($A1353&lt;&gt;"",$B1353&lt;&gt;"",$R1353='تقرير ديسمبر'!$C$4,$P1353='تقرير ديسمبر'!$C$6),COUNT(Z$4:Z1352)+1,"")</f>
        <v/>
      </c>
      <c r="AA1353">
        <f>IF(AND($A1353&lt;&gt;"",$B1353&lt;&gt;"",$R1353='تقرير يناير'!$C$4,$P1353='تقرير يناير'!$C$6),COUNT(AA$4:AA1352)+1,"")</f>
        <v/>
      </c>
      <c r="AB1353">
        <f>IF(AND($A1353&lt;&gt;"",$B1353&lt;&gt;"",$R1353='تقرير فبراير'!$C$4,$P1353='تقرير فبراير'!$C$6),COUNT(AB$4:AB1352)+1,"")</f>
        <v/>
      </c>
      <c r="AC1353">
        <f>IF(AND($A1353&lt;&gt;"",$B1353&lt;&gt;"",$R1353='تقرير مارس'!$C$4,$P1353='تقرير مارس'!$C$6),COUNT(AC$4:AC1352)+1,"")</f>
        <v/>
      </c>
      <c r="AD1353">
        <f>IF(AND($A1353&lt;&gt;"",$B1353&lt;&gt;"",$R1353='تقرير أبريل'!$C$4,$P1353='تقرير أبريل'!$C$6),COUNT(AD$4:AD1352)+1,"")</f>
        <v/>
      </c>
      <c r="AE1353">
        <f>IF(AND($A1353&lt;&gt;"",$B1353&lt;&gt;"",$R1353='تقرير مايو'!$C$4,$P1353='تقرير مايو'!$C$6),COUNT(AE$4:AE1352)+1,"")</f>
        <v/>
      </c>
    </row>
    <row r="1354">
      <c r="A1354" s="16" t="n"/>
      <c r="B1354" s="17" t="n"/>
      <c r="C1354" s="17" t="n"/>
      <c r="D1354" s="18" t="n"/>
      <c r="E1354" s="17" t="n"/>
      <c r="F1354" s="17" t="n"/>
      <c r="G1354" s="19" t="n"/>
      <c r="H1354" s="17" t="n"/>
      <c r="I1354" s="17" t="n"/>
      <c r="J1354" s="17" t="n"/>
      <c r="K1354" s="20">
        <f>IF($B1354="","",IFERROR(INDEX(الموظفات!$A$5:$A$304,MATCH($B1354,الموظفات!$B$5:$B$304,0))&amp;"",""))</f>
        <v/>
      </c>
      <c r="L1354" s="21">
        <f>IF($B1354="","",IFERROR(INDEX(الموظفات!$C$5:$C$304,MATCH($B1354,الموظفات!$B$5:$B$304,0))&amp;"",""))</f>
        <v/>
      </c>
      <c r="M1354" s="20">
        <f>IF($B1354="","",IFERROR(INDEX(الموظفات!$D$5:$D$304,MATCH($B1354,الموظفات!$B$5:$B$304,0))&amp;"",""))</f>
        <v/>
      </c>
      <c r="N1354" s="20">
        <f>IF($B1354="","",IFERROR(INDEX(الموظفات!$E$5:$E$304,MATCH($B1354,الموظفات!$B$5:$B$304,0))&amp;"",""))</f>
        <v/>
      </c>
      <c r="O1354" s="21">
        <f>IF(C1354="","",IFERROR(INDEX(الإعدادات!$D$7:$D$35,MATCH(C1354,الإعدادات!$A$7:$A$35,0))&amp;"",""))</f>
        <v/>
      </c>
      <c r="P1354" s="20">
        <f>IF(A1354="","",INDEX(الإعدادات!$H$7:$H$18,MONTH(A1354)))</f>
        <v/>
      </c>
      <c r="Q1354" s="20">
        <f>IF(A1354="","",INDEX(الإعدادات!$I$7:$I$18,MONTH(A1354)))</f>
        <v/>
      </c>
      <c r="R1354" s="20">
        <f>IF(A1354="","",IF(MONTH(A1354)&gt;=8,YEAR(A1354)&amp;"-"&amp;(YEAR(A1354)+1),(YEAR(A1354)-1)&amp;"-"&amp;YEAR(A1354)))</f>
        <v/>
      </c>
      <c r="S1354" s="20">
        <f>IF(OR(A1354="",B1354=""),0,IF(AND(R1354=التقارير!$C$4,OR(التقارير!$C$5="سنوي",AND(التقارير!$C$5="شهري",P1354=التقارير!$C$6),AND(التقارير!$C$5="فصلي",Q1354=التقارير!$C$7))),1,0))</f>
        <v/>
      </c>
      <c r="T1354" s="20">
        <f>IF(S1354=1,COUNTIF($S$5:S1354,1),"")</f>
        <v/>
      </c>
      <c r="U1354">
        <f>IF(AND($A1354&lt;&gt;"",$B1354&lt;&gt;"",$R1354='تقرير الفصل الأول'!$C$4,$Q1354='تقرير الفصل الأول'!$C$7),COUNT(U$4:U1353)+1,"")</f>
        <v/>
      </c>
      <c r="V1354">
        <f>IF(AND($A1354&lt;&gt;"",$B1354&lt;&gt;"",$R1354='تقرير الفصل الثاني'!$C$4,$Q1354='تقرير الفصل الثاني'!$C$7),COUNT(V$4:V1353)+1,"")</f>
        <v/>
      </c>
      <c r="W1354">
        <f>IF(AND($A1354&lt;&gt;"",$B1354&lt;&gt;"",$R1354='تقرير سبتمبر'!$C$4,$P1354='تقرير سبتمبر'!$C$6),COUNT(W$4:W1353)+1,"")</f>
        <v/>
      </c>
      <c r="X1354">
        <f>IF(AND($A1354&lt;&gt;"",$B1354&lt;&gt;"",$R1354='تقرير أكتوبر'!$C$4,$P1354='تقرير أكتوبر'!$C$6),COUNT(X$4:X1353)+1,"")</f>
        <v/>
      </c>
      <c r="Y1354">
        <f>IF(AND($A1354&lt;&gt;"",$B1354&lt;&gt;"",$R1354='تقرير نوفمبر'!$C$4,$P1354='تقرير نوفمبر'!$C$6),COUNT(Y$4:Y1353)+1,"")</f>
        <v/>
      </c>
      <c r="Z1354">
        <f>IF(AND($A1354&lt;&gt;"",$B1354&lt;&gt;"",$R1354='تقرير ديسمبر'!$C$4,$P1354='تقرير ديسمبر'!$C$6),COUNT(Z$4:Z1353)+1,"")</f>
        <v/>
      </c>
      <c r="AA1354">
        <f>IF(AND($A1354&lt;&gt;"",$B1354&lt;&gt;"",$R1354='تقرير يناير'!$C$4,$P1354='تقرير يناير'!$C$6),COUNT(AA$4:AA1353)+1,"")</f>
        <v/>
      </c>
      <c r="AB1354">
        <f>IF(AND($A1354&lt;&gt;"",$B1354&lt;&gt;"",$R1354='تقرير فبراير'!$C$4,$P1354='تقرير فبراير'!$C$6),COUNT(AB$4:AB1353)+1,"")</f>
        <v/>
      </c>
      <c r="AC1354">
        <f>IF(AND($A1354&lt;&gt;"",$B1354&lt;&gt;"",$R1354='تقرير مارس'!$C$4,$P1354='تقرير مارس'!$C$6),COUNT(AC$4:AC1353)+1,"")</f>
        <v/>
      </c>
      <c r="AD1354">
        <f>IF(AND($A1354&lt;&gt;"",$B1354&lt;&gt;"",$R1354='تقرير أبريل'!$C$4,$P1354='تقرير أبريل'!$C$6),COUNT(AD$4:AD1353)+1,"")</f>
        <v/>
      </c>
      <c r="AE1354">
        <f>IF(AND($A1354&lt;&gt;"",$B1354&lt;&gt;"",$R1354='تقرير مايو'!$C$4,$P1354='تقرير مايو'!$C$6),COUNT(AE$4:AE1353)+1,"")</f>
        <v/>
      </c>
    </row>
    <row r="1355">
      <c r="A1355" s="16" t="n"/>
      <c r="B1355" s="17" t="n"/>
      <c r="C1355" s="17" t="n"/>
      <c r="D1355" s="18" t="n"/>
      <c r="E1355" s="17" t="n"/>
      <c r="F1355" s="17" t="n"/>
      <c r="G1355" s="19" t="n"/>
      <c r="H1355" s="17" t="n"/>
      <c r="I1355" s="17" t="n"/>
      <c r="J1355" s="17" t="n"/>
      <c r="K1355" s="20">
        <f>IF($B1355="","",IFERROR(INDEX(الموظفات!$A$5:$A$304,MATCH($B1355,الموظفات!$B$5:$B$304,0))&amp;"",""))</f>
        <v/>
      </c>
      <c r="L1355" s="21">
        <f>IF($B1355="","",IFERROR(INDEX(الموظفات!$C$5:$C$304,MATCH($B1355,الموظفات!$B$5:$B$304,0))&amp;"",""))</f>
        <v/>
      </c>
      <c r="M1355" s="20">
        <f>IF($B1355="","",IFERROR(INDEX(الموظفات!$D$5:$D$304,MATCH($B1355,الموظفات!$B$5:$B$304,0))&amp;"",""))</f>
        <v/>
      </c>
      <c r="N1355" s="20">
        <f>IF($B1355="","",IFERROR(INDEX(الموظفات!$E$5:$E$304,MATCH($B1355,الموظفات!$B$5:$B$304,0))&amp;"",""))</f>
        <v/>
      </c>
      <c r="O1355" s="21">
        <f>IF(C1355="","",IFERROR(INDEX(الإعدادات!$D$7:$D$35,MATCH(C1355,الإعدادات!$A$7:$A$35,0))&amp;"",""))</f>
        <v/>
      </c>
      <c r="P1355" s="20">
        <f>IF(A1355="","",INDEX(الإعدادات!$H$7:$H$18,MONTH(A1355)))</f>
        <v/>
      </c>
      <c r="Q1355" s="20">
        <f>IF(A1355="","",INDEX(الإعدادات!$I$7:$I$18,MONTH(A1355)))</f>
        <v/>
      </c>
      <c r="R1355" s="20">
        <f>IF(A1355="","",IF(MONTH(A1355)&gt;=8,YEAR(A1355)&amp;"-"&amp;(YEAR(A1355)+1),(YEAR(A1355)-1)&amp;"-"&amp;YEAR(A1355)))</f>
        <v/>
      </c>
      <c r="S1355" s="20">
        <f>IF(OR(A1355="",B1355=""),0,IF(AND(R1355=التقارير!$C$4,OR(التقارير!$C$5="سنوي",AND(التقارير!$C$5="شهري",P1355=التقارير!$C$6),AND(التقارير!$C$5="فصلي",Q1355=التقارير!$C$7))),1,0))</f>
        <v/>
      </c>
      <c r="T1355" s="20">
        <f>IF(S1355=1,COUNTIF($S$5:S1355,1),"")</f>
        <v/>
      </c>
      <c r="U1355">
        <f>IF(AND($A1355&lt;&gt;"",$B1355&lt;&gt;"",$R1355='تقرير الفصل الأول'!$C$4,$Q1355='تقرير الفصل الأول'!$C$7),COUNT(U$4:U1354)+1,"")</f>
        <v/>
      </c>
      <c r="V1355">
        <f>IF(AND($A1355&lt;&gt;"",$B1355&lt;&gt;"",$R1355='تقرير الفصل الثاني'!$C$4,$Q1355='تقرير الفصل الثاني'!$C$7),COUNT(V$4:V1354)+1,"")</f>
        <v/>
      </c>
      <c r="W1355">
        <f>IF(AND($A1355&lt;&gt;"",$B1355&lt;&gt;"",$R1355='تقرير سبتمبر'!$C$4,$P1355='تقرير سبتمبر'!$C$6),COUNT(W$4:W1354)+1,"")</f>
        <v/>
      </c>
      <c r="X1355">
        <f>IF(AND($A1355&lt;&gt;"",$B1355&lt;&gt;"",$R1355='تقرير أكتوبر'!$C$4,$P1355='تقرير أكتوبر'!$C$6),COUNT(X$4:X1354)+1,"")</f>
        <v/>
      </c>
      <c r="Y1355">
        <f>IF(AND($A1355&lt;&gt;"",$B1355&lt;&gt;"",$R1355='تقرير نوفمبر'!$C$4,$P1355='تقرير نوفمبر'!$C$6),COUNT(Y$4:Y1354)+1,"")</f>
        <v/>
      </c>
      <c r="Z1355">
        <f>IF(AND($A1355&lt;&gt;"",$B1355&lt;&gt;"",$R1355='تقرير ديسمبر'!$C$4,$P1355='تقرير ديسمبر'!$C$6),COUNT(Z$4:Z1354)+1,"")</f>
        <v/>
      </c>
      <c r="AA1355">
        <f>IF(AND($A1355&lt;&gt;"",$B1355&lt;&gt;"",$R1355='تقرير يناير'!$C$4,$P1355='تقرير يناير'!$C$6),COUNT(AA$4:AA1354)+1,"")</f>
        <v/>
      </c>
      <c r="AB1355">
        <f>IF(AND($A1355&lt;&gt;"",$B1355&lt;&gt;"",$R1355='تقرير فبراير'!$C$4,$P1355='تقرير فبراير'!$C$6),COUNT(AB$4:AB1354)+1,"")</f>
        <v/>
      </c>
      <c r="AC1355">
        <f>IF(AND($A1355&lt;&gt;"",$B1355&lt;&gt;"",$R1355='تقرير مارس'!$C$4,$P1355='تقرير مارس'!$C$6),COUNT(AC$4:AC1354)+1,"")</f>
        <v/>
      </c>
      <c r="AD1355">
        <f>IF(AND($A1355&lt;&gt;"",$B1355&lt;&gt;"",$R1355='تقرير أبريل'!$C$4,$P1355='تقرير أبريل'!$C$6),COUNT(AD$4:AD1354)+1,"")</f>
        <v/>
      </c>
      <c r="AE1355">
        <f>IF(AND($A1355&lt;&gt;"",$B1355&lt;&gt;"",$R1355='تقرير مايو'!$C$4,$P1355='تقرير مايو'!$C$6),COUNT(AE$4:AE1354)+1,"")</f>
        <v/>
      </c>
    </row>
    <row r="1356">
      <c r="A1356" s="16" t="n"/>
      <c r="B1356" s="17" t="n"/>
      <c r="C1356" s="17" t="n"/>
      <c r="D1356" s="18" t="n"/>
      <c r="E1356" s="17" t="n"/>
      <c r="F1356" s="17" t="n"/>
      <c r="G1356" s="19" t="n"/>
      <c r="H1356" s="17" t="n"/>
      <c r="I1356" s="17" t="n"/>
      <c r="J1356" s="17" t="n"/>
      <c r="K1356" s="20">
        <f>IF($B1356="","",IFERROR(INDEX(الموظفات!$A$5:$A$304,MATCH($B1356,الموظفات!$B$5:$B$304,0))&amp;"",""))</f>
        <v/>
      </c>
      <c r="L1356" s="21">
        <f>IF($B1356="","",IFERROR(INDEX(الموظفات!$C$5:$C$304,MATCH($B1356,الموظفات!$B$5:$B$304,0))&amp;"",""))</f>
        <v/>
      </c>
      <c r="M1356" s="20">
        <f>IF($B1356="","",IFERROR(INDEX(الموظفات!$D$5:$D$304,MATCH($B1356,الموظفات!$B$5:$B$304,0))&amp;"",""))</f>
        <v/>
      </c>
      <c r="N1356" s="20">
        <f>IF($B1356="","",IFERROR(INDEX(الموظفات!$E$5:$E$304,MATCH($B1356,الموظفات!$B$5:$B$304,0))&amp;"",""))</f>
        <v/>
      </c>
      <c r="O1356" s="21">
        <f>IF(C1356="","",IFERROR(INDEX(الإعدادات!$D$7:$D$35,MATCH(C1356,الإعدادات!$A$7:$A$35,0))&amp;"",""))</f>
        <v/>
      </c>
      <c r="P1356" s="20">
        <f>IF(A1356="","",INDEX(الإعدادات!$H$7:$H$18,MONTH(A1356)))</f>
        <v/>
      </c>
      <c r="Q1356" s="20">
        <f>IF(A1356="","",INDEX(الإعدادات!$I$7:$I$18,MONTH(A1356)))</f>
        <v/>
      </c>
      <c r="R1356" s="20">
        <f>IF(A1356="","",IF(MONTH(A1356)&gt;=8,YEAR(A1356)&amp;"-"&amp;(YEAR(A1356)+1),(YEAR(A1356)-1)&amp;"-"&amp;YEAR(A1356)))</f>
        <v/>
      </c>
      <c r="S1356" s="20">
        <f>IF(OR(A1356="",B1356=""),0,IF(AND(R1356=التقارير!$C$4,OR(التقارير!$C$5="سنوي",AND(التقارير!$C$5="شهري",P1356=التقارير!$C$6),AND(التقارير!$C$5="فصلي",Q1356=التقارير!$C$7))),1,0))</f>
        <v/>
      </c>
      <c r="T1356" s="20">
        <f>IF(S1356=1,COUNTIF($S$5:S1356,1),"")</f>
        <v/>
      </c>
      <c r="U1356">
        <f>IF(AND($A1356&lt;&gt;"",$B1356&lt;&gt;"",$R1356='تقرير الفصل الأول'!$C$4,$Q1356='تقرير الفصل الأول'!$C$7),COUNT(U$4:U1355)+1,"")</f>
        <v/>
      </c>
      <c r="V1356">
        <f>IF(AND($A1356&lt;&gt;"",$B1356&lt;&gt;"",$R1356='تقرير الفصل الثاني'!$C$4,$Q1356='تقرير الفصل الثاني'!$C$7),COUNT(V$4:V1355)+1,"")</f>
        <v/>
      </c>
      <c r="W1356">
        <f>IF(AND($A1356&lt;&gt;"",$B1356&lt;&gt;"",$R1356='تقرير سبتمبر'!$C$4,$P1356='تقرير سبتمبر'!$C$6),COUNT(W$4:W1355)+1,"")</f>
        <v/>
      </c>
      <c r="X1356">
        <f>IF(AND($A1356&lt;&gt;"",$B1356&lt;&gt;"",$R1356='تقرير أكتوبر'!$C$4,$P1356='تقرير أكتوبر'!$C$6),COUNT(X$4:X1355)+1,"")</f>
        <v/>
      </c>
      <c r="Y1356">
        <f>IF(AND($A1356&lt;&gt;"",$B1356&lt;&gt;"",$R1356='تقرير نوفمبر'!$C$4,$P1356='تقرير نوفمبر'!$C$6),COUNT(Y$4:Y1355)+1,"")</f>
        <v/>
      </c>
      <c r="Z1356">
        <f>IF(AND($A1356&lt;&gt;"",$B1356&lt;&gt;"",$R1356='تقرير ديسمبر'!$C$4,$P1356='تقرير ديسمبر'!$C$6),COUNT(Z$4:Z1355)+1,"")</f>
        <v/>
      </c>
      <c r="AA1356">
        <f>IF(AND($A1356&lt;&gt;"",$B1356&lt;&gt;"",$R1356='تقرير يناير'!$C$4,$P1356='تقرير يناير'!$C$6),COUNT(AA$4:AA1355)+1,"")</f>
        <v/>
      </c>
      <c r="AB1356">
        <f>IF(AND($A1356&lt;&gt;"",$B1356&lt;&gt;"",$R1356='تقرير فبراير'!$C$4,$P1356='تقرير فبراير'!$C$6),COUNT(AB$4:AB1355)+1,"")</f>
        <v/>
      </c>
      <c r="AC1356">
        <f>IF(AND($A1356&lt;&gt;"",$B1356&lt;&gt;"",$R1356='تقرير مارس'!$C$4,$P1356='تقرير مارس'!$C$6),COUNT(AC$4:AC1355)+1,"")</f>
        <v/>
      </c>
      <c r="AD1356">
        <f>IF(AND($A1356&lt;&gt;"",$B1356&lt;&gt;"",$R1356='تقرير أبريل'!$C$4,$P1356='تقرير أبريل'!$C$6),COUNT(AD$4:AD1355)+1,"")</f>
        <v/>
      </c>
      <c r="AE1356">
        <f>IF(AND($A1356&lt;&gt;"",$B1356&lt;&gt;"",$R1356='تقرير مايو'!$C$4,$P1356='تقرير مايو'!$C$6),COUNT(AE$4:AE1355)+1,"")</f>
        <v/>
      </c>
    </row>
    <row r="1357">
      <c r="A1357" s="16" t="n"/>
      <c r="B1357" s="17" t="n"/>
      <c r="C1357" s="17" t="n"/>
      <c r="D1357" s="18" t="n"/>
      <c r="E1357" s="17" t="n"/>
      <c r="F1357" s="17" t="n"/>
      <c r="G1357" s="19" t="n"/>
      <c r="H1357" s="17" t="n"/>
      <c r="I1357" s="17" t="n"/>
      <c r="J1357" s="17" t="n"/>
      <c r="K1357" s="20">
        <f>IF($B1357="","",IFERROR(INDEX(الموظفات!$A$5:$A$304,MATCH($B1357,الموظفات!$B$5:$B$304,0))&amp;"",""))</f>
        <v/>
      </c>
      <c r="L1357" s="21">
        <f>IF($B1357="","",IFERROR(INDEX(الموظفات!$C$5:$C$304,MATCH($B1357,الموظفات!$B$5:$B$304,0))&amp;"",""))</f>
        <v/>
      </c>
      <c r="M1357" s="20">
        <f>IF($B1357="","",IFERROR(INDEX(الموظفات!$D$5:$D$304,MATCH($B1357,الموظفات!$B$5:$B$304,0))&amp;"",""))</f>
        <v/>
      </c>
      <c r="N1357" s="20">
        <f>IF($B1357="","",IFERROR(INDEX(الموظفات!$E$5:$E$304,MATCH($B1357,الموظفات!$B$5:$B$304,0))&amp;"",""))</f>
        <v/>
      </c>
      <c r="O1357" s="21">
        <f>IF(C1357="","",IFERROR(INDEX(الإعدادات!$D$7:$D$35,MATCH(C1357,الإعدادات!$A$7:$A$35,0))&amp;"",""))</f>
        <v/>
      </c>
      <c r="P1357" s="20">
        <f>IF(A1357="","",INDEX(الإعدادات!$H$7:$H$18,MONTH(A1357)))</f>
        <v/>
      </c>
      <c r="Q1357" s="20">
        <f>IF(A1357="","",INDEX(الإعدادات!$I$7:$I$18,MONTH(A1357)))</f>
        <v/>
      </c>
      <c r="R1357" s="20">
        <f>IF(A1357="","",IF(MONTH(A1357)&gt;=8,YEAR(A1357)&amp;"-"&amp;(YEAR(A1357)+1),(YEAR(A1357)-1)&amp;"-"&amp;YEAR(A1357)))</f>
        <v/>
      </c>
      <c r="S1357" s="20">
        <f>IF(OR(A1357="",B1357=""),0,IF(AND(R1357=التقارير!$C$4,OR(التقارير!$C$5="سنوي",AND(التقارير!$C$5="شهري",P1357=التقارير!$C$6),AND(التقارير!$C$5="فصلي",Q1357=التقارير!$C$7))),1,0))</f>
        <v/>
      </c>
      <c r="T1357" s="20">
        <f>IF(S1357=1,COUNTIF($S$5:S1357,1),"")</f>
        <v/>
      </c>
      <c r="U1357">
        <f>IF(AND($A1357&lt;&gt;"",$B1357&lt;&gt;"",$R1357='تقرير الفصل الأول'!$C$4,$Q1357='تقرير الفصل الأول'!$C$7),COUNT(U$4:U1356)+1,"")</f>
        <v/>
      </c>
      <c r="V1357">
        <f>IF(AND($A1357&lt;&gt;"",$B1357&lt;&gt;"",$R1357='تقرير الفصل الثاني'!$C$4,$Q1357='تقرير الفصل الثاني'!$C$7),COUNT(V$4:V1356)+1,"")</f>
        <v/>
      </c>
      <c r="W1357">
        <f>IF(AND($A1357&lt;&gt;"",$B1357&lt;&gt;"",$R1357='تقرير سبتمبر'!$C$4,$P1357='تقرير سبتمبر'!$C$6),COUNT(W$4:W1356)+1,"")</f>
        <v/>
      </c>
      <c r="X1357">
        <f>IF(AND($A1357&lt;&gt;"",$B1357&lt;&gt;"",$R1357='تقرير أكتوبر'!$C$4,$P1357='تقرير أكتوبر'!$C$6),COUNT(X$4:X1356)+1,"")</f>
        <v/>
      </c>
      <c r="Y1357">
        <f>IF(AND($A1357&lt;&gt;"",$B1357&lt;&gt;"",$R1357='تقرير نوفمبر'!$C$4,$P1357='تقرير نوفمبر'!$C$6),COUNT(Y$4:Y1356)+1,"")</f>
        <v/>
      </c>
      <c r="Z1357">
        <f>IF(AND($A1357&lt;&gt;"",$B1357&lt;&gt;"",$R1357='تقرير ديسمبر'!$C$4,$P1357='تقرير ديسمبر'!$C$6),COUNT(Z$4:Z1356)+1,"")</f>
        <v/>
      </c>
      <c r="AA1357">
        <f>IF(AND($A1357&lt;&gt;"",$B1357&lt;&gt;"",$R1357='تقرير يناير'!$C$4,$P1357='تقرير يناير'!$C$6),COUNT(AA$4:AA1356)+1,"")</f>
        <v/>
      </c>
      <c r="AB1357">
        <f>IF(AND($A1357&lt;&gt;"",$B1357&lt;&gt;"",$R1357='تقرير فبراير'!$C$4,$P1357='تقرير فبراير'!$C$6),COUNT(AB$4:AB1356)+1,"")</f>
        <v/>
      </c>
      <c r="AC1357">
        <f>IF(AND($A1357&lt;&gt;"",$B1357&lt;&gt;"",$R1357='تقرير مارس'!$C$4,$P1357='تقرير مارس'!$C$6),COUNT(AC$4:AC1356)+1,"")</f>
        <v/>
      </c>
      <c r="AD1357">
        <f>IF(AND($A1357&lt;&gt;"",$B1357&lt;&gt;"",$R1357='تقرير أبريل'!$C$4,$P1357='تقرير أبريل'!$C$6),COUNT(AD$4:AD1356)+1,"")</f>
        <v/>
      </c>
      <c r="AE1357">
        <f>IF(AND($A1357&lt;&gt;"",$B1357&lt;&gt;"",$R1357='تقرير مايو'!$C$4,$P1357='تقرير مايو'!$C$6),COUNT(AE$4:AE1356)+1,"")</f>
        <v/>
      </c>
    </row>
    <row r="1358">
      <c r="A1358" s="16" t="n"/>
      <c r="B1358" s="17" t="n"/>
      <c r="C1358" s="17" t="n"/>
      <c r="D1358" s="18" t="n"/>
      <c r="E1358" s="17" t="n"/>
      <c r="F1358" s="17" t="n"/>
      <c r="G1358" s="19" t="n"/>
      <c r="H1358" s="17" t="n"/>
      <c r="I1358" s="17" t="n"/>
      <c r="J1358" s="17" t="n"/>
      <c r="K1358" s="20">
        <f>IF($B1358="","",IFERROR(INDEX(الموظفات!$A$5:$A$304,MATCH($B1358,الموظفات!$B$5:$B$304,0))&amp;"",""))</f>
        <v/>
      </c>
      <c r="L1358" s="21">
        <f>IF($B1358="","",IFERROR(INDEX(الموظفات!$C$5:$C$304,MATCH($B1358,الموظفات!$B$5:$B$304,0))&amp;"",""))</f>
        <v/>
      </c>
      <c r="M1358" s="20">
        <f>IF($B1358="","",IFERROR(INDEX(الموظفات!$D$5:$D$304,MATCH($B1358,الموظفات!$B$5:$B$304,0))&amp;"",""))</f>
        <v/>
      </c>
      <c r="N1358" s="20">
        <f>IF($B1358="","",IFERROR(INDEX(الموظفات!$E$5:$E$304,MATCH($B1358,الموظفات!$B$5:$B$304,0))&amp;"",""))</f>
        <v/>
      </c>
      <c r="O1358" s="21">
        <f>IF(C1358="","",IFERROR(INDEX(الإعدادات!$D$7:$D$35,MATCH(C1358,الإعدادات!$A$7:$A$35,0))&amp;"",""))</f>
        <v/>
      </c>
      <c r="P1358" s="20">
        <f>IF(A1358="","",INDEX(الإعدادات!$H$7:$H$18,MONTH(A1358)))</f>
        <v/>
      </c>
      <c r="Q1358" s="20">
        <f>IF(A1358="","",INDEX(الإعدادات!$I$7:$I$18,MONTH(A1358)))</f>
        <v/>
      </c>
      <c r="R1358" s="20">
        <f>IF(A1358="","",IF(MONTH(A1358)&gt;=8,YEAR(A1358)&amp;"-"&amp;(YEAR(A1358)+1),(YEAR(A1358)-1)&amp;"-"&amp;YEAR(A1358)))</f>
        <v/>
      </c>
      <c r="S1358" s="20">
        <f>IF(OR(A1358="",B1358=""),0,IF(AND(R1358=التقارير!$C$4,OR(التقارير!$C$5="سنوي",AND(التقارير!$C$5="شهري",P1358=التقارير!$C$6),AND(التقارير!$C$5="فصلي",Q1358=التقارير!$C$7))),1,0))</f>
        <v/>
      </c>
      <c r="T1358" s="20">
        <f>IF(S1358=1,COUNTIF($S$5:S1358,1),"")</f>
        <v/>
      </c>
      <c r="U1358">
        <f>IF(AND($A1358&lt;&gt;"",$B1358&lt;&gt;"",$R1358='تقرير الفصل الأول'!$C$4,$Q1358='تقرير الفصل الأول'!$C$7),COUNT(U$4:U1357)+1,"")</f>
        <v/>
      </c>
      <c r="V1358">
        <f>IF(AND($A1358&lt;&gt;"",$B1358&lt;&gt;"",$R1358='تقرير الفصل الثاني'!$C$4,$Q1358='تقرير الفصل الثاني'!$C$7),COUNT(V$4:V1357)+1,"")</f>
        <v/>
      </c>
      <c r="W1358">
        <f>IF(AND($A1358&lt;&gt;"",$B1358&lt;&gt;"",$R1358='تقرير سبتمبر'!$C$4,$P1358='تقرير سبتمبر'!$C$6),COUNT(W$4:W1357)+1,"")</f>
        <v/>
      </c>
      <c r="X1358">
        <f>IF(AND($A1358&lt;&gt;"",$B1358&lt;&gt;"",$R1358='تقرير أكتوبر'!$C$4,$P1358='تقرير أكتوبر'!$C$6),COUNT(X$4:X1357)+1,"")</f>
        <v/>
      </c>
      <c r="Y1358">
        <f>IF(AND($A1358&lt;&gt;"",$B1358&lt;&gt;"",$R1358='تقرير نوفمبر'!$C$4,$P1358='تقرير نوفمبر'!$C$6),COUNT(Y$4:Y1357)+1,"")</f>
        <v/>
      </c>
      <c r="Z1358">
        <f>IF(AND($A1358&lt;&gt;"",$B1358&lt;&gt;"",$R1358='تقرير ديسمبر'!$C$4,$P1358='تقرير ديسمبر'!$C$6),COUNT(Z$4:Z1357)+1,"")</f>
        <v/>
      </c>
      <c r="AA1358">
        <f>IF(AND($A1358&lt;&gt;"",$B1358&lt;&gt;"",$R1358='تقرير يناير'!$C$4,$P1358='تقرير يناير'!$C$6),COUNT(AA$4:AA1357)+1,"")</f>
        <v/>
      </c>
      <c r="AB1358">
        <f>IF(AND($A1358&lt;&gt;"",$B1358&lt;&gt;"",$R1358='تقرير فبراير'!$C$4,$P1358='تقرير فبراير'!$C$6),COUNT(AB$4:AB1357)+1,"")</f>
        <v/>
      </c>
      <c r="AC1358">
        <f>IF(AND($A1358&lt;&gt;"",$B1358&lt;&gt;"",$R1358='تقرير مارس'!$C$4,$P1358='تقرير مارس'!$C$6),COUNT(AC$4:AC1357)+1,"")</f>
        <v/>
      </c>
      <c r="AD1358">
        <f>IF(AND($A1358&lt;&gt;"",$B1358&lt;&gt;"",$R1358='تقرير أبريل'!$C$4,$P1358='تقرير أبريل'!$C$6),COUNT(AD$4:AD1357)+1,"")</f>
        <v/>
      </c>
      <c r="AE1358">
        <f>IF(AND($A1358&lt;&gt;"",$B1358&lt;&gt;"",$R1358='تقرير مايو'!$C$4,$P1358='تقرير مايو'!$C$6),COUNT(AE$4:AE1357)+1,"")</f>
        <v/>
      </c>
    </row>
    <row r="1359">
      <c r="A1359" s="16" t="n"/>
      <c r="B1359" s="17" t="n"/>
      <c r="C1359" s="17" t="n"/>
      <c r="D1359" s="18" t="n"/>
      <c r="E1359" s="17" t="n"/>
      <c r="F1359" s="17" t="n"/>
      <c r="G1359" s="19" t="n"/>
      <c r="H1359" s="17" t="n"/>
      <c r="I1359" s="17" t="n"/>
      <c r="J1359" s="17" t="n"/>
      <c r="K1359" s="20">
        <f>IF($B1359="","",IFERROR(INDEX(الموظفات!$A$5:$A$304,MATCH($B1359,الموظفات!$B$5:$B$304,0))&amp;"",""))</f>
        <v/>
      </c>
      <c r="L1359" s="21">
        <f>IF($B1359="","",IFERROR(INDEX(الموظفات!$C$5:$C$304,MATCH($B1359,الموظفات!$B$5:$B$304,0))&amp;"",""))</f>
        <v/>
      </c>
      <c r="M1359" s="20">
        <f>IF($B1359="","",IFERROR(INDEX(الموظفات!$D$5:$D$304,MATCH($B1359,الموظفات!$B$5:$B$304,0))&amp;"",""))</f>
        <v/>
      </c>
      <c r="N1359" s="20">
        <f>IF($B1359="","",IFERROR(INDEX(الموظفات!$E$5:$E$304,MATCH($B1359,الموظفات!$B$5:$B$304,0))&amp;"",""))</f>
        <v/>
      </c>
      <c r="O1359" s="21">
        <f>IF(C1359="","",IFERROR(INDEX(الإعدادات!$D$7:$D$35,MATCH(C1359,الإعدادات!$A$7:$A$35,0))&amp;"",""))</f>
        <v/>
      </c>
      <c r="P1359" s="20">
        <f>IF(A1359="","",INDEX(الإعدادات!$H$7:$H$18,MONTH(A1359)))</f>
        <v/>
      </c>
      <c r="Q1359" s="20">
        <f>IF(A1359="","",INDEX(الإعدادات!$I$7:$I$18,MONTH(A1359)))</f>
        <v/>
      </c>
      <c r="R1359" s="20">
        <f>IF(A1359="","",IF(MONTH(A1359)&gt;=8,YEAR(A1359)&amp;"-"&amp;(YEAR(A1359)+1),(YEAR(A1359)-1)&amp;"-"&amp;YEAR(A1359)))</f>
        <v/>
      </c>
      <c r="S1359" s="20">
        <f>IF(OR(A1359="",B1359=""),0,IF(AND(R1359=التقارير!$C$4,OR(التقارير!$C$5="سنوي",AND(التقارير!$C$5="شهري",P1359=التقارير!$C$6),AND(التقارير!$C$5="فصلي",Q1359=التقارير!$C$7))),1,0))</f>
        <v/>
      </c>
      <c r="T1359" s="20">
        <f>IF(S1359=1,COUNTIF($S$5:S1359,1),"")</f>
        <v/>
      </c>
      <c r="U1359">
        <f>IF(AND($A1359&lt;&gt;"",$B1359&lt;&gt;"",$R1359='تقرير الفصل الأول'!$C$4,$Q1359='تقرير الفصل الأول'!$C$7),COUNT(U$4:U1358)+1,"")</f>
        <v/>
      </c>
      <c r="V1359">
        <f>IF(AND($A1359&lt;&gt;"",$B1359&lt;&gt;"",$R1359='تقرير الفصل الثاني'!$C$4,$Q1359='تقرير الفصل الثاني'!$C$7),COUNT(V$4:V1358)+1,"")</f>
        <v/>
      </c>
      <c r="W1359">
        <f>IF(AND($A1359&lt;&gt;"",$B1359&lt;&gt;"",$R1359='تقرير سبتمبر'!$C$4,$P1359='تقرير سبتمبر'!$C$6),COUNT(W$4:W1358)+1,"")</f>
        <v/>
      </c>
      <c r="X1359">
        <f>IF(AND($A1359&lt;&gt;"",$B1359&lt;&gt;"",$R1359='تقرير أكتوبر'!$C$4,$P1359='تقرير أكتوبر'!$C$6),COUNT(X$4:X1358)+1,"")</f>
        <v/>
      </c>
      <c r="Y1359">
        <f>IF(AND($A1359&lt;&gt;"",$B1359&lt;&gt;"",$R1359='تقرير نوفمبر'!$C$4,$P1359='تقرير نوفمبر'!$C$6),COUNT(Y$4:Y1358)+1,"")</f>
        <v/>
      </c>
      <c r="Z1359">
        <f>IF(AND($A1359&lt;&gt;"",$B1359&lt;&gt;"",$R1359='تقرير ديسمبر'!$C$4,$P1359='تقرير ديسمبر'!$C$6),COUNT(Z$4:Z1358)+1,"")</f>
        <v/>
      </c>
      <c r="AA1359">
        <f>IF(AND($A1359&lt;&gt;"",$B1359&lt;&gt;"",$R1359='تقرير يناير'!$C$4,$P1359='تقرير يناير'!$C$6),COUNT(AA$4:AA1358)+1,"")</f>
        <v/>
      </c>
      <c r="AB1359">
        <f>IF(AND($A1359&lt;&gt;"",$B1359&lt;&gt;"",$R1359='تقرير فبراير'!$C$4,$P1359='تقرير فبراير'!$C$6),COUNT(AB$4:AB1358)+1,"")</f>
        <v/>
      </c>
      <c r="AC1359">
        <f>IF(AND($A1359&lt;&gt;"",$B1359&lt;&gt;"",$R1359='تقرير مارس'!$C$4,$P1359='تقرير مارس'!$C$6),COUNT(AC$4:AC1358)+1,"")</f>
        <v/>
      </c>
      <c r="AD1359">
        <f>IF(AND($A1359&lt;&gt;"",$B1359&lt;&gt;"",$R1359='تقرير أبريل'!$C$4,$P1359='تقرير أبريل'!$C$6),COUNT(AD$4:AD1358)+1,"")</f>
        <v/>
      </c>
      <c r="AE1359">
        <f>IF(AND($A1359&lt;&gt;"",$B1359&lt;&gt;"",$R1359='تقرير مايو'!$C$4,$P1359='تقرير مايو'!$C$6),COUNT(AE$4:AE1358)+1,"")</f>
        <v/>
      </c>
    </row>
    <row r="1360">
      <c r="A1360" s="16" t="n"/>
      <c r="B1360" s="17" t="n"/>
      <c r="C1360" s="17" t="n"/>
      <c r="D1360" s="18" t="n"/>
      <c r="E1360" s="17" t="n"/>
      <c r="F1360" s="17" t="n"/>
      <c r="G1360" s="19" t="n"/>
      <c r="H1360" s="17" t="n"/>
      <c r="I1360" s="17" t="n"/>
      <c r="J1360" s="17" t="n"/>
      <c r="K1360" s="20">
        <f>IF($B1360="","",IFERROR(INDEX(الموظفات!$A$5:$A$304,MATCH($B1360,الموظفات!$B$5:$B$304,0))&amp;"",""))</f>
        <v/>
      </c>
      <c r="L1360" s="21">
        <f>IF($B1360="","",IFERROR(INDEX(الموظفات!$C$5:$C$304,MATCH($B1360,الموظفات!$B$5:$B$304,0))&amp;"",""))</f>
        <v/>
      </c>
      <c r="M1360" s="20">
        <f>IF($B1360="","",IFERROR(INDEX(الموظفات!$D$5:$D$304,MATCH($B1360,الموظفات!$B$5:$B$304,0))&amp;"",""))</f>
        <v/>
      </c>
      <c r="N1360" s="20">
        <f>IF($B1360="","",IFERROR(INDEX(الموظفات!$E$5:$E$304,MATCH($B1360,الموظفات!$B$5:$B$304,0))&amp;"",""))</f>
        <v/>
      </c>
      <c r="O1360" s="21">
        <f>IF(C1360="","",IFERROR(INDEX(الإعدادات!$D$7:$D$35,MATCH(C1360,الإعدادات!$A$7:$A$35,0))&amp;"",""))</f>
        <v/>
      </c>
      <c r="P1360" s="20">
        <f>IF(A1360="","",INDEX(الإعدادات!$H$7:$H$18,MONTH(A1360)))</f>
        <v/>
      </c>
      <c r="Q1360" s="20">
        <f>IF(A1360="","",INDEX(الإعدادات!$I$7:$I$18,MONTH(A1360)))</f>
        <v/>
      </c>
      <c r="R1360" s="20">
        <f>IF(A1360="","",IF(MONTH(A1360)&gt;=8,YEAR(A1360)&amp;"-"&amp;(YEAR(A1360)+1),(YEAR(A1360)-1)&amp;"-"&amp;YEAR(A1360)))</f>
        <v/>
      </c>
      <c r="S1360" s="20">
        <f>IF(OR(A1360="",B1360=""),0,IF(AND(R1360=التقارير!$C$4,OR(التقارير!$C$5="سنوي",AND(التقارير!$C$5="شهري",P1360=التقارير!$C$6),AND(التقارير!$C$5="فصلي",Q1360=التقارير!$C$7))),1,0))</f>
        <v/>
      </c>
      <c r="T1360" s="20">
        <f>IF(S1360=1,COUNTIF($S$5:S1360,1),"")</f>
        <v/>
      </c>
      <c r="U1360">
        <f>IF(AND($A1360&lt;&gt;"",$B1360&lt;&gt;"",$R1360='تقرير الفصل الأول'!$C$4,$Q1360='تقرير الفصل الأول'!$C$7),COUNT(U$4:U1359)+1,"")</f>
        <v/>
      </c>
      <c r="V1360">
        <f>IF(AND($A1360&lt;&gt;"",$B1360&lt;&gt;"",$R1360='تقرير الفصل الثاني'!$C$4,$Q1360='تقرير الفصل الثاني'!$C$7),COUNT(V$4:V1359)+1,"")</f>
        <v/>
      </c>
      <c r="W1360">
        <f>IF(AND($A1360&lt;&gt;"",$B1360&lt;&gt;"",$R1360='تقرير سبتمبر'!$C$4,$P1360='تقرير سبتمبر'!$C$6),COUNT(W$4:W1359)+1,"")</f>
        <v/>
      </c>
      <c r="X1360">
        <f>IF(AND($A1360&lt;&gt;"",$B1360&lt;&gt;"",$R1360='تقرير أكتوبر'!$C$4,$P1360='تقرير أكتوبر'!$C$6),COUNT(X$4:X1359)+1,"")</f>
        <v/>
      </c>
      <c r="Y1360">
        <f>IF(AND($A1360&lt;&gt;"",$B1360&lt;&gt;"",$R1360='تقرير نوفمبر'!$C$4,$P1360='تقرير نوفمبر'!$C$6),COUNT(Y$4:Y1359)+1,"")</f>
        <v/>
      </c>
      <c r="Z1360">
        <f>IF(AND($A1360&lt;&gt;"",$B1360&lt;&gt;"",$R1360='تقرير ديسمبر'!$C$4,$P1360='تقرير ديسمبر'!$C$6),COUNT(Z$4:Z1359)+1,"")</f>
        <v/>
      </c>
      <c r="AA1360">
        <f>IF(AND($A1360&lt;&gt;"",$B1360&lt;&gt;"",$R1360='تقرير يناير'!$C$4,$P1360='تقرير يناير'!$C$6),COUNT(AA$4:AA1359)+1,"")</f>
        <v/>
      </c>
      <c r="AB1360">
        <f>IF(AND($A1360&lt;&gt;"",$B1360&lt;&gt;"",$R1360='تقرير فبراير'!$C$4,$P1360='تقرير فبراير'!$C$6),COUNT(AB$4:AB1359)+1,"")</f>
        <v/>
      </c>
      <c r="AC1360">
        <f>IF(AND($A1360&lt;&gt;"",$B1360&lt;&gt;"",$R1360='تقرير مارس'!$C$4,$P1360='تقرير مارس'!$C$6),COUNT(AC$4:AC1359)+1,"")</f>
        <v/>
      </c>
      <c r="AD1360">
        <f>IF(AND($A1360&lt;&gt;"",$B1360&lt;&gt;"",$R1360='تقرير أبريل'!$C$4,$P1360='تقرير أبريل'!$C$6),COUNT(AD$4:AD1359)+1,"")</f>
        <v/>
      </c>
      <c r="AE1360">
        <f>IF(AND($A1360&lt;&gt;"",$B1360&lt;&gt;"",$R1360='تقرير مايو'!$C$4,$P1360='تقرير مايو'!$C$6),COUNT(AE$4:AE1359)+1,"")</f>
        <v/>
      </c>
    </row>
    <row r="1361">
      <c r="A1361" s="16" t="n"/>
      <c r="B1361" s="17" t="n"/>
      <c r="C1361" s="17" t="n"/>
      <c r="D1361" s="18" t="n"/>
      <c r="E1361" s="17" t="n"/>
      <c r="F1361" s="17" t="n"/>
      <c r="G1361" s="19" t="n"/>
      <c r="H1361" s="17" t="n"/>
      <c r="I1361" s="17" t="n"/>
      <c r="J1361" s="17" t="n"/>
      <c r="K1361" s="20">
        <f>IF($B1361="","",IFERROR(INDEX(الموظفات!$A$5:$A$304,MATCH($B1361,الموظفات!$B$5:$B$304,0))&amp;"",""))</f>
        <v/>
      </c>
      <c r="L1361" s="21">
        <f>IF($B1361="","",IFERROR(INDEX(الموظفات!$C$5:$C$304,MATCH($B1361,الموظفات!$B$5:$B$304,0))&amp;"",""))</f>
        <v/>
      </c>
      <c r="M1361" s="20">
        <f>IF($B1361="","",IFERROR(INDEX(الموظفات!$D$5:$D$304,MATCH($B1361,الموظفات!$B$5:$B$304,0))&amp;"",""))</f>
        <v/>
      </c>
      <c r="N1361" s="20">
        <f>IF($B1361="","",IFERROR(INDEX(الموظفات!$E$5:$E$304,MATCH($B1361,الموظفات!$B$5:$B$304,0))&amp;"",""))</f>
        <v/>
      </c>
      <c r="O1361" s="21">
        <f>IF(C1361="","",IFERROR(INDEX(الإعدادات!$D$7:$D$35,MATCH(C1361,الإعدادات!$A$7:$A$35,0))&amp;"",""))</f>
        <v/>
      </c>
      <c r="P1361" s="20">
        <f>IF(A1361="","",INDEX(الإعدادات!$H$7:$H$18,MONTH(A1361)))</f>
        <v/>
      </c>
      <c r="Q1361" s="20">
        <f>IF(A1361="","",INDEX(الإعدادات!$I$7:$I$18,MONTH(A1361)))</f>
        <v/>
      </c>
      <c r="R1361" s="20">
        <f>IF(A1361="","",IF(MONTH(A1361)&gt;=8,YEAR(A1361)&amp;"-"&amp;(YEAR(A1361)+1),(YEAR(A1361)-1)&amp;"-"&amp;YEAR(A1361)))</f>
        <v/>
      </c>
      <c r="S1361" s="20">
        <f>IF(OR(A1361="",B1361=""),0,IF(AND(R1361=التقارير!$C$4,OR(التقارير!$C$5="سنوي",AND(التقارير!$C$5="شهري",P1361=التقارير!$C$6),AND(التقارير!$C$5="فصلي",Q1361=التقارير!$C$7))),1,0))</f>
        <v/>
      </c>
      <c r="T1361" s="20">
        <f>IF(S1361=1,COUNTIF($S$5:S1361,1),"")</f>
        <v/>
      </c>
      <c r="U1361">
        <f>IF(AND($A1361&lt;&gt;"",$B1361&lt;&gt;"",$R1361='تقرير الفصل الأول'!$C$4,$Q1361='تقرير الفصل الأول'!$C$7),COUNT(U$4:U1360)+1,"")</f>
        <v/>
      </c>
      <c r="V1361">
        <f>IF(AND($A1361&lt;&gt;"",$B1361&lt;&gt;"",$R1361='تقرير الفصل الثاني'!$C$4,$Q1361='تقرير الفصل الثاني'!$C$7),COUNT(V$4:V1360)+1,"")</f>
        <v/>
      </c>
      <c r="W1361">
        <f>IF(AND($A1361&lt;&gt;"",$B1361&lt;&gt;"",$R1361='تقرير سبتمبر'!$C$4,$P1361='تقرير سبتمبر'!$C$6),COUNT(W$4:W1360)+1,"")</f>
        <v/>
      </c>
      <c r="X1361">
        <f>IF(AND($A1361&lt;&gt;"",$B1361&lt;&gt;"",$R1361='تقرير أكتوبر'!$C$4,$P1361='تقرير أكتوبر'!$C$6),COUNT(X$4:X1360)+1,"")</f>
        <v/>
      </c>
      <c r="Y1361">
        <f>IF(AND($A1361&lt;&gt;"",$B1361&lt;&gt;"",$R1361='تقرير نوفمبر'!$C$4,$P1361='تقرير نوفمبر'!$C$6),COUNT(Y$4:Y1360)+1,"")</f>
        <v/>
      </c>
      <c r="Z1361">
        <f>IF(AND($A1361&lt;&gt;"",$B1361&lt;&gt;"",$R1361='تقرير ديسمبر'!$C$4,$P1361='تقرير ديسمبر'!$C$6),COUNT(Z$4:Z1360)+1,"")</f>
        <v/>
      </c>
      <c r="AA1361">
        <f>IF(AND($A1361&lt;&gt;"",$B1361&lt;&gt;"",$R1361='تقرير يناير'!$C$4,$P1361='تقرير يناير'!$C$6),COUNT(AA$4:AA1360)+1,"")</f>
        <v/>
      </c>
      <c r="AB1361">
        <f>IF(AND($A1361&lt;&gt;"",$B1361&lt;&gt;"",$R1361='تقرير فبراير'!$C$4,$P1361='تقرير فبراير'!$C$6),COUNT(AB$4:AB1360)+1,"")</f>
        <v/>
      </c>
      <c r="AC1361">
        <f>IF(AND($A1361&lt;&gt;"",$B1361&lt;&gt;"",$R1361='تقرير مارس'!$C$4,$P1361='تقرير مارس'!$C$6),COUNT(AC$4:AC1360)+1,"")</f>
        <v/>
      </c>
      <c r="AD1361">
        <f>IF(AND($A1361&lt;&gt;"",$B1361&lt;&gt;"",$R1361='تقرير أبريل'!$C$4,$P1361='تقرير أبريل'!$C$6),COUNT(AD$4:AD1360)+1,"")</f>
        <v/>
      </c>
      <c r="AE1361">
        <f>IF(AND($A1361&lt;&gt;"",$B1361&lt;&gt;"",$R1361='تقرير مايو'!$C$4,$P1361='تقرير مايو'!$C$6),COUNT(AE$4:AE1360)+1,"")</f>
        <v/>
      </c>
    </row>
    <row r="1362">
      <c r="A1362" s="16" t="n"/>
      <c r="B1362" s="17" t="n"/>
      <c r="C1362" s="17" t="n"/>
      <c r="D1362" s="18" t="n"/>
      <c r="E1362" s="17" t="n"/>
      <c r="F1362" s="17" t="n"/>
      <c r="G1362" s="19" t="n"/>
      <c r="H1362" s="17" t="n"/>
      <c r="I1362" s="17" t="n"/>
      <c r="J1362" s="17" t="n"/>
      <c r="K1362" s="20">
        <f>IF($B1362="","",IFERROR(INDEX(الموظفات!$A$5:$A$304,MATCH($B1362,الموظفات!$B$5:$B$304,0))&amp;"",""))</f>
        <v/>
      </c>
      <c r="L1362" s="21">
        <f>IF($B1362="","",IFERROR(INDEX(الموظفات!$C$5:$C$304,MATCH($B1362,الموظفات!$B$5:$B$304,0))&amp;"",""))</f>
        <v/>
      </c>
      <c r="M1362" s="20">
        <f>IF($B1362="","",IFERROR(INDEX(الموظفات!$D$5:$D$304,MATCH($B1362,الموظفات!$B$5:$B$304,0))&amp;"",""))</f>
        <v/>
      </c>
      <c r="N1362" s="20">
        <f>IF($B1362="","",IFERROR(INDEX(الموظفات!$E$5:$E$304,MATCH($B1362,الموظفات!$B$5:$B$304,0))&amp;"",""))</f>
        <v/>
      </c>
      <c r="O1362" s="21">
        <f>IF(C1362="","",IFERROR(INDEX(الإعدادات!$D$7:$D$35,MATCH(C1362,الإعدادات!$A$7:$A$35,0))&amp;"",""))</f>
        <v/>
      </c>
      <c r="P1362" s="20">
        <f>IF(A1362="","",INDEX(الإعدادات!$H$7:$H$18,MONTH(A1362)))</f>
        <v/>
      </c>
      <c r="Q1362" s="20">
        <f>IF(A1362="","",INDEX(الإعدادات!$I$7:$I$18,MONTH(A1362)))</f>
        <v/>
      </c>
      <c r="R1362" s="20">
        <f>IF(A1362="","",IF(MONTH(A1362)&gt;=8,YEAR(A1362)&amp;"-"&amp;(YEAR(A1362)+1),(YEAR(A1362)-1)&amp;"-"&amp;YEAR(A1362)))</f>
        <v/>
      </c>
      <c r="S1362" s="20">
        <f>IF(OR(A1362="",B1362=""),0,IF(AND(R1362=التقارير!$C$4,OR(التقارير!$C$5="سنوي",AND(التقارير!$C$5="شهري",P1362=التقارير!$C$6),AND(التقارير!$C$5="فصلي",Q1362=التقارير!$C$7))),1,0))</f>
        <v/>
      </c>
      <c r="T1362" s="20">
        <f>IF(S1362=1,COUNTIF($S$5:S1362,1),"")</f>
        <v/>
      </c>
      <c r="U1362">
        <f>IF(AND($A1362&lt;&gt;"",$B1362&lt;&gt;"",$R1362='تقرير الفصل الأول'!$C$4,$Q1362='تقرير الفصل الأول'!$C$7),COUNT(U$4:U1361)+1,"")</f>
        <v/>
      </c>
      <c r="V1362">
        <f>IF(AND($A1362&lt;&gt;"",$B1362&lt;&gt;"",$R1362='تقرير الفصل الثاني'!$C$4,$Q1362='تقرير الفصل الثاني'!$C$7),COUNT(V$4:V1361)+1,"")</f>
        <v/>
      </c>
      <c r="W1362">
        <f>IF(AND($A1362&lt;&gt;"",$B1362&lt;&gt;"",$R1362='تقرير سبتمبر'!$C$4,$P1362='تقرير سبتمبر'!$C$6),COUNT(W$4:W1361)+1,"")</f>
        <v/>
      </c>
      <c r="X1362">
        <f>IF(AND($A1362&lt;&gt;"",$B1362&lt;&gt;"",$R1362='تقرير أكتوبر'!$C$4,$P1362='تقرير أكتوبر'!$C$6),COUNT(X$4:X1361)+1,"")</f>
        <v/>
      </c>
      <c r="Y1362">
        <f>IF(AND($A1362&lt;&gt;"",$B1362&lt;&gt;"",$R1362='تقرير نوفمبر'!$C$4,$P1362='تقرير نوفمبر'!$C$6),COUNT(Y$4:Y1361)+1,"")</f>
        <v/>
      </c>
      <c r="Z1362">
        <f>IF(AND($A1362&lt;&gt;"",$B1362&lt;&gt;"",$R1362='تقرير ديسمبر'!$C$4,$P1362='تقرير ديسمبر'!$C$6),COUNT(Z$4:Z1361)+1,"")</f>
        <v/>
      </c>
      <c r="AA1362">
        <f>IF(AND($A1362&lt;&gt;"",$B1362&lt;&gt;"",$R1362='تقرير يناير'!$C$4,$P1362='تقرير يناير'!$C$6),COUNT(AA$4:AA1361)+1,"")</f>
        <v/>
      </c>
      <c r="AB1362">
        <f>IF(AND($A1362&lt;&gt;"",$B1362&lt;&gt;"",$R1362='تقرير فبراير'!$C$4,$P1362='تقرير فبراير'!$C$6),COUNT(AB$4:AB1361)+1,"")</f>
        <v/>
      </c>
      <c r="AC1362">
        <f>IF(AND($A1362&lt;&gt;"",$B1362&lt;&gt;"",$R1362='تقرير مارس'!$C$4,$P1362='تقرير مارس'!$C$6),COUNT(AC$4:AC1361)+1,"")</f>
        <v/>
      </c>
      <c r="AD1362">
        <f>IF(AND($A1362&lt;&gt;"",$B1362&lt;&gt;"",$R1362='تقرير أبريل'!$C$4,$P1362='تقرير أبريل'!$C$6),COUNT(AD$4:AD1361)+1,"")</f>
        <v/>
      </c>
      <c r="AE1362">
        <f>IF(AND($A1362&lt;&gt;"",$B1362&lt;&gt;"",$R1362='تقرير مايو'!$C$4,$P1362='تقرير مايو'!$C$6),COUNT(AE$4:AE1361)+1,"")</f>
        <v/>
      </c>
    </row>
    <row r="1363">
      <c r="A1363" s="16" t="n"/>
      <c r="B1363" s="17" t="n"/>
      <c r="C1363" s="17" t="n"/>
      <c r="D1363" s="18" t="n"/>
      <c r="E1363" s="17" t="n"/>
      <c r="F1363" s="17" t="n"/>
      <c r="G1363" s="19" t="n"/>
      <c r="H1363" s="17" t="n"/>
      <c r="I1363" s="17" t="n"/>
      <c r="J1363" s="17" t="n"/>
      <c r="K1363" s="20">
        <f>IF($B1363="","",IFERROR(INDEX(الموظفات!$A$5:$A$304,MATCH($B1363,الموظفات!$B$5:$B$304,0))&amp;"",""))</f>
        <v/>
      </c>
      <c r="L1363" s="21">
        <f>IF($B1363="","",IFERROR(INDEX(الموظفات!$C$5:$C$304,MATCH($B1363,الموظفات!$B$5:$B$304,0))&amp;"",""))</f>
        <v/>
      </c>
      <c r="M1363" s="20">
        <f>IF($B1363="","",IFERROR(INDEX(الموظفات!$D$5:$D$304,MATCH($B1363,الموظفات!$B$5:$B$304,0))&amp;"",""))</f>
        <v/>
      </c>
      <c r="N1363" s="20">
        <f>IF($B1363="","",IFERROR(INDEX(الموظفات!$E$5:$E$304,MATCH($B1363,الموظفات!$B$5:$B$304,0))&amp;"",""))</f>
        <v/>
      </c>
      <c r="O1363" s="21">
        <f>IF(C1363="","",IFERROR(INDEX(الإعدادات!$D$7:$D$35,MATCH(C1363,الإعدادات!$A$7:$A$35,0))&amp;"",""))</f>
        <v/>
      </c>
      <c r="P1363" s="20">
        <f>IF(A1363="","",INDEX(الإعدادات!$H$7:$H$18,MONTH(A1363)))</f>
        <v/>
      </c>
      <c r="Q1363" s="20">
        <f>IF(A1363="","",INDEX(الإعدادات!$I$7:$I$18,MONTH(A1363)))</f>
        <v/>
      </c>
      <c r="R1363" s="20">
        <f>IF(A1363="","",IF(MONTH(A1363)&gt;=8,YEAR(A1363)&amp;"-"&amp;(YEAR(A1363)+1),(YEAR(A1363)-1)&amp;"-"&amp;YEAR(A1363)))</f>
        <v/>
      </c>
      <c r="S1363" s="20">
        <f>IF(OR(A1363="",B1363=""),0,IF(AND(R1363=التقارير!$C$4,OR(التقارير!$C$5="سنوي",AND(التقارير!$C$5="شهري",P1363=التقارير!$C$6),AND(التقارير!$C$5="فصلي",Q1363=التقارير!$C$7))),1,0))</f>
        <v/>
      </c>
      <c r="T1363" s="20">
        <f>IF(S1363=1,COUNTIF($S$5:S1363,1),"")</f>
        <v/>
      </c>
      <c r="U1363">
        <f>IF(AND($A1363&lt;&gt;"",$B1363&lt;&gt;"",$R1363='تقرير الفصل الأول'!$C$4,$Q1363='تقرير الفصل الأول'!$C$7),COUNT(U$4:U1362)+1,"")</f>
        <v/>
      </c>
      <c r="V1363">
        <f>IF(AND($A1363&lt;&gt;"",$B1363&lt;&gt;"",$R1363='تقرير الفصل الثاني'!$C$4,$Q1363='تقرير الفصل الثاني'!$C$7),COUNT(V$4:V1362)+1,"")</f>
        <v/>
      </c>
      <c r="W1363">
        <f>IF(AND($A1363&lt;&gt;"",$B1363&lt;&gt;"",$R1363='تقرير سبتمبر'!$C$4,$P1363='تقرير سبتمبر'!$C$6),COUNT(W$4:W1362)+1,"")</f>
        <v/>
      </c>
      <c r="X1363">
        <f>IF(AND($A1363&lt;&gt;"",$B1363&lt;&gt;"",$R1363='تقرير أكتوبر'!$C$4,$P1363='تقرير أكتوبر'!$C$6),COUNT(X$4:X1362)+1,"")</f>
        <v/>
      </c>
      <c r="Y1363">
        <f>IF(AND($A1363&lt;&gt;"",$B1363&lt;&gt;"",$R1363='تقرير نوفمبر'!$C$4,$P1363='تقرير نوفمبر'!$C$6),COUNT(Y$4:Y1362)+1,"")</f>
        <v/>
      </c>
      <c r="Z1363">
        <f>IF(AND($A1363&lt;&gt;"",$B1363&lt;&gt;"",$R1363='تقرير ديسمبر'!$C$4,$P1363='تقرير ديسمبر'!$C$6),COUNT(Z$4:Z1362)+1,"")</f>
        <v/>
      </c>
      <c r="AA1363">
        <f>IF(AND($A1363&lt;&gt;"",$B1363&lt;&gt;"",$R1363='تقرير يناير'!$C$4,$P1363='تقرير يناير'!$C$6),COUNT(AA$4:AA1362)+1,"")</f>
        <v/>
      </c>
      <c r="AB1363">
        <f>IF(AND($A1363&lt;&gt;"",$B1363&lt;&gt;"",$R1363='تقرير فبراير'!$C$4,$P1363='تقرير فبراير'!$C$6),COUNT(AB$4:AB1362)+1,"")</f>
        <v/>
      </c>
      <c r="AC1363">
        <f>IF(AND($A1363&lt;&gt;"",$B1363&lt;&gt;"",$R1363='تقرير مارس'!$C$4,$P1363='تقرير مارس'!$C$6),COUNT(AC$4:AC1362)+1,"")</f>
        <v/>
      </c>
      <c r="AD1363">
        <f>IF(AND($A1363&lt;&gt;"",$B1363&lt;&gt;"",$R1363='تقرير أبريل'!$C$4,$P1363='تقرير أبريل'!$C$6),COUNT(AD$4:AD1362)+1,"")</f>
        <v/>
      </c>
      <c r="AE1363">
        <f>IF(AND($A1363&lt;&gt;"",$B1363&lt;&gt;"",$R1363='تقرير مايو'!$C$4,$P1363='تقرير مايو'!$C$6),COUNT(AE$4:AE1362)+1,"")</f>
        <v/>
      </c>
    </row>
    <row r="1364">
      <c r="A1364" s="16" t="n"/>
      <c r="B1364" s="17" t="n"/>
      <c r="C1364" s="17" t="n"/>
      <c r="D1364" s="18" t="n"/>
      <c r="E1364" s="17" t="n"/>
      <c r="F1364" s="17" t="n"/>
      <c r="G1364" s="19" t="n"/>
      <c r="H1364" s="17" t="n"/>
      <c r="I1364" s="17" t="n"/>
      <c r="J1364" s="17" t="n"/>
      <c r="K1364" s="20">
        <f>IF($B1364="","",IFERROR(INDEX(الموظفات!$A$5:$A$304,MATCH($B1364,الموظفات!$B$5:$B$304,0))&amp;"",""))</f>
        <v/>
      </c>
      <c r="L1364" s="21">
        <f>IF($B1364="","",IFERROR(INDEX(الموظفات!$C$5:$C$304,MATCH($B1364,الموظفات!$B$5:$B$304,0))&amp;"",""))</f>
        <v/>
      </c>
      <c r="M1364" s="20">
        <f>IF($B1364="","",IFERROR(INDEX(الموظفات!$D$5:$D$304,MATCH($B1364,الموظفات!$B$5:$B$304,0))&amp;"",""))</f>
        <v/>
      </c>
      <c r="N1364" s="20">
        <f>IF($B1364="","",IFERROR(INDEX(الموظفات!$E$5:$E$304,MATCH($B1364,الموظفات!$B$5:$B$304,0))&amp;"",""))</f>
        <v/>
      </c>
      <c r="O1364" s="21">
        <f>IF(C1364="","",IFERROR(INDEX(الإعدادات!$D$7:$D$35,MATCH(C1364,الإعدادات!$A$7:$A$35,0))&amp;"",""))</f>
        <v/>
      </c>
      <c r="P1364" s="20">
        <f>IF(A1364="","",INDEX(الإعدادات!$H$7:$H$18,MONTH(A1364)))</f>
        <v/>
      </c>
      <c r="Q1364" s="20">
        <f>IF(A1364="","",INDEX(الإعدادات!$I$7:$I$18,MONTH(A1364)))</f>
        <v/>
      </c>
      <c r="R1364" s="20">
        <f>IF(A1364="","",IF(MONTH(A1364)&gt;=8,YEAR(A1364)&amp;"-"&amp;(YEAR(A1364)+1),(YEAR(A1364)-1)&amp;"-"&amp;YEAR(A1364)))</f>
        <v/>
      </c>
      <c r="S1364" s="20">
        <f>IF(OR(A1364="",B1364=""),0,IF(AND(R1364=التقارير!$C$4,OR(التقارير!$C$5="سنوي",AND(التقارير!$C$5="شهري",P1364=التقارير!$C$6),AND(التقارير!$C$5="فصلي",Q1364=التقارير!$C$7))),1,0))</f>
        <v/>
      </c>
      <c r="T1364" s="20">
        <f>IF(S1364=1,COUNTIF($S$5:S1364,1),"")</f>
        <v/>
      </c>
      <c r="U1364">
        <f>IF(AND($A1364&lt;&gt;"",$B1364&lt;&gt;"",$R1364='تقرير الفصل الأول'!$C$4,$Q1364='تقرير الفصل الأول'!$C$7),COUNT(U$4:U1363)+1,"")</f>
        <v/>
      </c>
      <c r="V1364">
        <f>IF(AND($A1364&lt;&gt;"",$B1364&lt;&gt;"",$R1364='تقرير الفصل الثاني'!$C$4,$Q1364='تقرير الفصل الثاني'!$C$7),COUNT(V$4:V1363)+1,"")</f>
        <v/>
      </c>
      <c r="W1364">
        <f>IF(AND($A1364&lt;&gt;"",$B1364&lt;&gt;"",$R1364='تقرير سبتمبر'!$C$4,$P1364='تقرير سبتمبر'!$C$6),COUNT(W$4:W1363)+1,"")</f>
        <v/>
      </c>
      <c r="X1364">
        <f>IF(AND($A1364&lt;&gt;"",$B1364&lt;&gt;"",$R1364='تقرير أكتوبر'!$C$4,$P1364='تقرير أكتوبر'!$C$6),COUNT(X$4:X1363)+1,"")</f>
        <v/>
      </c>
      <c r="Y1364">
        <f>IF(AND($A1364&lt;&gt;"",$B1364&lt;&gt;"",$R1364='تقرير نوفمبر'!$C$4,$P1364='تقرير نوفمبر'!$C$6),COUNT(Y$4:Y1363)+1,"")</f>
        <v/>
      </c>
      <c r="Z1364">
        <f>IF(AND($A1364&lt;&gt;"",$B1364&lt;&gt;"",$R1364='تقرير ديسمبر'!$C$4,$P1364='تقرير ديسمبر'!$C$6),COUNT(Z$4:Z1363)+1,"")</f>
        <v/>
      </c>
      <c r="AA1364">
        <f>IF(AND($A1364&lt;&gt;"",$B1364&lt;&gt;"",$R1364='تقرير يناير'!$C$4,$P1364='تقرير يناير'!$C$6),COUNT(AA$4:AA1363)+1,"")</f>
        <v/>
      </c>
      <c r="AB1364">
        <f>IF(AND($A1364&lt;&gt;"",$B1364&lt;&gt;"",$R1364='تقرير فبراير'!$C$4,$P1364='تقرير فبراير'!$C$6),COUNT(AB$4:AB1363)+1,"")</f>
        <v/>
      </c>
      <c r="AC1364">
        <f>IF(AND($A1364&lt;&gt;"",$B1364&lt;&gt;"",$R1364='تقرير مارس'!$C$4,$P1364='تقرير مارس'!$C$6),COUNT(AC$4:AC1363)+1,"")</f>
        <v/>
      </c>
      <c r="AD1364">
        <f>IF(AND($A1364&lt;&gt;"",$B1364&lt;&gt;"",$R1364='تقرير أبريل'!$C$4,$P1364='تقرير أبريل'!$C$6),COUNT(AD$4:AD1363)+1,"")</f>
        <v/>
      </c>
      <c r="AE1364">
        <f>IF(AND($A1364&lt;&gt;"",$B1364&lt;&gt;"",$R1364='تقرير مايو'!$C$4,$P1364='تقرير مايو'!$C$6),COUNT(AE$4:AE1363)+1,"")</f>
        <v/>
      </c>
    </row>
    <row r="1365">
      <c r="A1365" s="16" t="n"/>
      <c r="B1365" s="17" t="n"/>
      <c r="C1365" s="17" t="n"/>
      <c r="D1365" s="18" t="n"/>
      <c r="E1365" s="17" t="n"/>
      <c r="F1365" s="17" t="n"/>
      <c r="G1365" s="19" t="n"/>
      <c r="H1365" s="17" t="n"/>
      <c r="I1365" s="17" t="n"/>
      <c r="J1365" s="17" t="n"/>
      <c r="K1365" s="20">
        <f>IF($B1365="","",IFERROR(INDEX(الموظفات!$A$5:$A$304,MATCH($B1365,الموظفات!$B$5:$B$304,0))&amp;"",""))</f>
        <v/>
      </c>
      <c r="L1365" s="21">
        <f>IF($B1365="","",IFERROR(INDEX(الموظفات!$C$5:$C$304,MATCH($B1365,الموظفات!$B$5:$B$304,0))&amp;"",""))</f>
        <v/>
      </c>
      <c r="M1365" s="20">
        <f>IF($B1365="","",IFERROR(INDEX(الموظفات!$D$5:$D$304,MATCH($B1365,الموظفات!$B$5:$B$304,0))&amp;"",""))</f>
        <v/>
      </c>
      <c r="N1365" s="20">
        <f>IF($B1365="","",IFERROR(INDEX(الموظفات!$E$5:$E$304,MATCH($B1365,الموظفات!$B$5:$B$304,0))&amp;"",""))</f>
        <v/>
      </c>
      <c r="O1365" s="21">
        <f>IF(C1365="","",IFERROR(INDEX(الإعدادات!$D$7:$D$35,MATCH(C1365,الإعدادات!$A$7:$A$35,0))&amp;"",""))</f>
        <v/>
      </c>
      <c r="P1365" s="20">
        <f>IF(A1365="","",INDEX(الإعدادات!$H$7:$H$18,MONTH(A1365)))</f>
        <v/>
      </c>
      <c r="Q1365" s="20">
        <f>IF(A1365="","",INDEX(الإعدادات!$I$7:$I$18,MONTH(A1365)))</f>
        <v/>
      </c>
      <c r="R1365" s="20">
        <f>IF(A1365="","",IF(MONTH(A1365)&gt;=8,YEAR(A1365)&amp;"-"&amp;(YEAR(A1365)+1),(YEAR(A1365)-1)&amp;"-"&amp;YEAR(A1365)))</f>
        <v/>
      </c>
      <c r="S1365" s="20">
        <f>IF(OR(A1365="",B1365=""),0,IF(AND(R1365=التقارير!$C$4,OR(التقارير!$C$5="سنوي",AND(التقارير!$C$5="شهري",P1365=التقارير!$C$6),AND(التقارير!$C$5="فصلي",Q1365=التقارير!$C$7))),1,0))</f>
        <v/>
      </c>
      <c r="T1365" s="20">
        <f>IF(S1365=1,COUNTIF($S$5:S1365,1),"")</f>
        <v/>
      </c>
      <c r="U1365">
        <f>IF(AND($A1365&lt;&gt;"",$B1365&lt;&gt;"",$R1365='تقرير الفصل الأول'!$C$4,$Q1365='تقرير الفصل الأول'!$C$7),COUNT(U$4:U1364)+1,"")</f>
        <v/>
      </c>
      <c r="V1365">
        <f>IF(AND($A1365&lt;&gt;"",$B1365&lt;&gt;"",$R1365='تقرير الفصل الثاني'!$C$4,$Q1365='تقرير الفصل الثاني'!$C$7),COUNT(V$4:V1364)+1,"")</f>
        <v/>
      </c>
      <c r="W1365">
        <f>IF(AND($A1365&lt;&gt;"",$B1365&lt;&gt;"",$R1365='تقرير سبتمبر'!$C$4,$P1365='تقرير سبتمبر'!$C$6),COUNT(W$4:W1364)+1,"")</f>
        <v/>
      </c>
      <c r="X1365">
        <f>IF(AND($A1365&lt;&gt;"",$B1365&lt;&gt;"",$R1365='تقرير أكتوبر'!$C$4,$P1365='تقرير أكتوبر'!$C$6),COUNT(X$4:X1364)+1,"")</f>
        <v/>
      </c>
      <c r="Y1365">
        <f>IF(AND($A1365&lt;&gt;"",$B1365&lt;&gt;"",$R1365='تقرير نوفمبر'!$C$4,$P1365='تقرير نوفمبر'!$C$6),COUNT(Y$4:Y1364)+1,"")</f>
        <v/>
      </c>
      <c r="Z1365">
        <f>IF(AND($A1365&lt;&gt;"",$B1365&lt;&gt;"",$R1365='تقرير ديسمبر'!$C$4,$P1365='تقرير ديسمبر'!$C$6),COUNT(Z$4:Z1364)+1,"")</f>
        <v/>
      </c>
      <c r="AA1365">
        <f>IF(AND($A1365&lt;&gt;"",$B1365&lt;&gt;"",$R1365='تقرير يناير'!$C$4,$P1365='تقرير يناير'!$C$6),COUNT(AA$4:AA1364)+1,"")</f>
        <v/>
      </c>
      <c r="AB1365">
        <f>IF(AND($A1365&lt;&gt;"",$B1365&lt;&gt;"",$R1365='تقرير فبراير'!$C$4,$P1365='تقرير فبراير'!$C$6),COUNT(AB$4:AB1364)+1,"")</f>
        <v/>
      </c>
      <c r="AC1365">
        <f>IF(AND($A1365&lt;&gt;"",$B1365&lt;&gt;"",$R1365='تقرير مارس'!$C$4,$P1365='تقرير مارس'!$C$6),COUNT(AC$4:AC1364)+1,"")</f>
        <v/>
      </c>
      <c r="AD1365">
        <f>IF(AND($A1365&lt;&gt;"",$B1365&lt;&gt;"",$R1365='تقرير أبريل'!$C$4,$P1365='تقرير أبريل'!$C$6),COUNT(AD$4:AD1364)+1,"")</f>
        <v/>
      </c>
      <c r="AE1365">
        <f>IF(AND($A1365&lt;&gt;"",$B1365&lt;&gt;"",$R1365='تقرير مايو'!$C$4,$P1365='تقرير مايو'!$C$6),COUNT(AE$4:AE1364)+1,"")</f>
        <v/>
      </c>
    </row>
    <row r="1366">
      <c r="A1366" s="16" t="n"/>
      <c r="B1366" s="17" t="n"/>
      <c r="C1366" s="17" t="n"/>
      <c r="D1366" s="18" t="n"/>
      <c r="E1366" s="17" t="n"/>
      <c r="F1366" s="17" t="n"/>
      <c r="G1366" s="19" t="n"/>
      <c r="H1366" s="17" t="n"/>
      <c r="I1366" s="17" t="n"/>
      <c r="J1366" s="17" t="n"/>
      <c r="K1366" s="20">
        <f>IF($B1366="","",IFERROR(INDEX(الموظفات!$A$5:$A$304,MATCH($B1366,الموظفات!$B$5:$B$304,0))&amp;"",""))</f>
        <v/>
      </c>
      <c r="L1366" s="21">
        <f>IF($B1366="","",IFERROR(INDEX(الموظفات!$C$5:$C$304,MATCH($B1366,الموظفات!$B$5:$B$304,0))&amp;"",""))</f>
        <v/>
      </c>
      <c r="M1366" s="20">
        <f>IF($B1366="","",IFERROR(INDEX(الموظفات!$D$5:$D$304,MATCH($B1366,الموظفات!$B$5:$B$304,0))&amp;"",""))</f>
        <v/>
      </c>
      <c r="N1366" s="20">
        <f>IF($B1366="","",IFERROR(INDEX(الموظفات!$E$5:$E$304,MATCH($B1366,الموظفات!$B$5:$B$304,0))&amp;"",""))</f>
        <v/>
      </c>
      <c r="O1366" s="21">
        <f>IF(C1366="","",IFERROR(INDEX(الإعدادات!$D$7:$D$35,MATCH(C1366,الإعدادات!$A$7:$A$35,0))&amp;"",""))</f>
        <v/>
      </c>
      <c r="P1366" s="20">
        <f>IF(A1366="","",INDEX(الإعدادات!$H$7:$H$18,MONTH(A1366)))</f>
        <v/>
      </c>
      <c r="Q1366" s="20">
        <f>IF(A1366="","",INDEX(الإعدادات!$I$7:$I$18,MONTH(A1366)))</f>
        <v/>
      </c>
      <c r="R1366" s="20">
        <f>IF(A1366="","",IF(MONTH(A1366)&gt;=8,YEAR(A1366)&amp;"-"&amp;(YEAR(A1366)+1),(YEAR(A1366)-1)&amp;"-"&amp;YEAR(A1366)))</f>
        <v/>
      </c>
      <c r="S1366" s="20">
        <f>IF(OR(A1366="",B1366=""),0,IF(AND(R1366=التقارير!$C$4,OR(التقارير!$C$5="سنوي",AND(التقارير!$C$5="شهري",P1366=التقارير!$C$6),AND(التقارير!$C$5="فصلي",Q1366=التقارير!$C$7))),1,0))</f>
        <v/>
      </c>
      <c r="T1366" s="20">
        <f>IF(S1366=1,COUNTIF($S$5:S1366,1),"")</f>
        <v/>
      </c>
      <c r="U1366">
        <f>IF(AND($A1366&lt;&gt;"",$B1366&lt;&gt;"",$R1366='تقرير الفصل الأول'!$C$4,$Q1366='تقرير الفصل الأول'!$C$7),COUNT(U$4:U1365)+1,"")</f>
        <v/>
      </c>
      <c r="V1366">
        <f>IF(AND($A1366&lt;&gt;"",$B1366&lt;&gt;"",$R1366='تقرير الفصل الثاني'!$C$4,$Q1366='تقرير الفصل الثاني'!$C$7),COUNT(V$4:V1365)+1,"")</f>
        <v/>
      </c>
      <c r="W1366">
        <f>IF(AND($A1366&lt;&gt;"",$B1366&lt;&gt;"",$R1366='تقرير سبتمبر'!$C$4,$P1366='تقرير سبتمبر'!$C$6),COUNT(W$4:W1365)+1,"")</f>
        <v/>
      </c>
      <c r="X1366">
        <f>IF(AND($A1366&lt;&gt;"",$B1366&lt;&gt;"",$R1366='تقرير أكتوبر'!$C$4,$P1366='تقرير أكتوبر'!$C$6),COUNT(X$4:X1365)+1,"")</f>
        <v/>
      </c>
      <c r="Y1366">
        <f>IF(AND($A1366&lt;&gt;"",$B1366&lt;&gt;"",$R1366='تقرير نوفمبر'!$C$4,$P1366='تقرير نوفمبر'!$C$6),COUNT(Y$4:Y1365)+1,"")</f>
        <v/>
      </c>
      <c r="Z1366">
        <f>IF(AND($A1366&lt;&gt;"",$B1366&lt;&gt;"",$R1366='تقرير ديسمبر'!$C$4,$P1366='تقرير ديسمبر'!$C$6),COUNT(Z$4:Z1365)+1,"")</f>
        <v/>
      </c>
      <c r="AA1366">
        <f>IF(AND($A1366&lt;&gt;"",$B1366&lt;&gt;"",$R1366='تقرير يناير'!$C$4,$P1366='تقرير يناير'!$C$6),COUNT(AA$4:AA1365)+1,"")</f>
        <v/>
      </c>
      <c r="AB1366">
        <f>IF(AND($A1366&lt;&gt;"",$B1366&lt;&gt;"",$R1366='تقرير فبراير'!$C$4,$P1366='تقرير فبراير'!$C$6),COUNT(AB$4:AB1365)+1,"")</f>
        <v/>
      </c>
      <c r="AC1366">
        <f>IF(AND($A1366&lt;&gt;"",$B1366&lt;&gt;"",$R1366='تقرير مارس'!$C$4,$P1366='تقرير مارس'!$C$6),COUNT(AC$4:AC1365)+1,"")</f>
        <v/>
      </c>
      <c r="AD1366">
        <f>IF(AND($A1366&lt;&gt;"",$B1366&lt;&gt;"",$R1366='تقرير أبريل'!$C$4,$P1366='تقرير أبريل'!$C$6),COUNT(AD$4:AD1365)+1,"")</f>
        <v/>
      </c>
      <c r="AE1366">
        <f>IF(AND($A1366&lt;&gt;"",$B1366&lt;&gt;"",$R1366='تقرير مايو'!$C$4,$P1366='تقرير مايو'!$C$6),COUNT(AE$4:AE1365)+1,"")</f>
        <v/>
      </c>
    </row>
    <row r="1367">
      <c r="A1367" s="16" t="n"/>
      <c r="B1367" s="17" t="n"/>
      <c r="C1367" s="17" t="n"/>
      <c r="D1367" s="18" t="n"/>
      <c r="E1367" s="17" t="n"/>
      <c r="F1367" s="17" t="n"/>
      <c r="G1367" s="19" t="n"/>
      <c r="H1367" s="17" t="n"/>
      <c r="I1367" s="17" t="n"/>
      <c r="J1367" s="17" t="n"/>
      <c r="K1367" s="20">
        <f>IF($B1367="","",IFERROR(INDEX(الموظفات!$A$5:$A$304,MATCH($B1367,الموظفات!$B$5:$B$304,0))&amp;"",""))</f>
        <v/>
      </c>
      <c r="L1367" s="21">
        <f>IF($B1367="","",IFERROR(INDEX(الموظفات!$C$5:$C$304,MATCH($B1367,الموظفات!$B$5:$B$304,0))&amp;"",""))</f>
        <v/>
      </c>
      <c r="M1367" s="20">
        <f>IF($B1367="","",IFERROR(INDEX(الموظفات!$D$5:$D$304,MATCH($B1367,الموظفات!$B$5:$B$304,0))&amp;"",""))</f>
        <v/>
      </c>
      <c r="N1367" s="20">
        <f>IF($B1367="","",IFERROR(INDEX(الموظفات!$E$5:$E$304,MATCH($B1367,الموظفات!$B$5:$B$304,0))&amp;"",""))</f>
        <v/>
      </c>
      <c r="O1367" s="21">
        <f>IF(C1367="","",IFERROR(INDEX(الإعدادات!$D$7:$D$35,MATCH(C1367,الإعدادات!$A$7:$A$35,0))&amp;"",""))</f>
        <v/>
      </c>
      <c r="P1367" s="20">
        <f>IF(A1367="","",INDEX(الإعدادات!$H$7:$H$18,MONTH(A1367)))</f>
        <v/>
      </c>
      <c r="Q1367" s="20">
        <f>IF(A1367="","",INDEX(الإعدادات!$I$7:$I$18,MONTH(A1367)))</f>
        <v/>
      </c>
      <c r="R1367" s="20">
        <f>IF(A1367="","",IF(MONTH(A1367)&gt;=8,YEAR(A1367)&amp;"-"&amp;(YEAR(A1367)+1),(YEAR(A1367)-1)&amp;"-"&amp;YEAR(A1367)))</f>
        <v/>
      </c>
      <c r="S1367" s="20">
        <f>IF(OR(A1367="",B1367=""),0,IF(AND(R1367=التقارير!$C$4,OR(التقارير!$C$5="سنوي",AND(التقارير!$C$5="شهري",P1367=التقارير!$C$6),AND(التقارير!$C$5="فصلي",Q1367=التقارير!$C$7))),1,0))</f>
        <v/>
      </c>
      <c r="T1367" s="20">
        <f>IF(S1367=1,COUNTIF($S$5:S1367,1),"")</f>
        <v/>
      </c>
      <c r="U1367">
        <f>IF(AND($A1367&lt;&gt;"",$B1367&lt;&gt;"",$R1367='تقرير الفصل الأول'!$C$4,$Q1367='تقرير الفصل الأول'!$C$7),COUNT(U$4:U1366)+1,"")</f>
        <v/>
      </c>
      <c r="V1367">
        <f>IF(AND($A1367&lt;&gt;"",$B1367&lt;&gt;"",$R1367='تقرير الفصل الثاني'!$C$4,$Q1367='تقرير الفصل الثاني'!$C$7),COUNT(V$4:V1366)+1,"")</f>
        <v/>
      </c>
      <c r="W1367">
        <f>IF(AND($A1367&lt;&gt;"",$B1367&lt;&gt;"",$R1367='تقرير سبتمبر'!$C$4,$P1367='تقرير سبتمبر'!$C$6),COUNT(W$4:W1366)+1,"")</f>
        <v/>
      </c>
      <c r="X1367">
        <f>IF(AND($A1367&lt;&gt;"",$B1367&lt;&gt;"",$R1367='تقرير أكتوبر'!$C$4,$P1367='تقرير أكتوبر'!$C$6),COUNT(X$4:X1366)+1,"")</f>
        <v/>
      </c>
      <c r="Y1367">
        <f>IF(AND($A1367&lt;&gt;"",$B1367&lt;&gt;"",$R1367='تقرير نوفمبر'!$C$4,$P1367='تقرير نوفمبر'!$C$6),COUNT(Y$4:Y1366)+1,"")</f>
        <v/>
      </c>
      <c r="Z1367">
        <f>IF(AND($A1367&lt;&gt;"",$B1367&lt;&gt;"",$R1367='تقرير ديسمبر'!$C$4,$P1367='تقرير ديسمبر'!$C$6),COUNT(Z$4:Z1366)+1,"")</f>
        <v/>
      </c>
      <c r="AA1367">
        <f>IF(AND($A1367&lt;&gt;"",$B1367&lt;&gt;"",$R1367='تقرير يناير'!$C$4,$P1367='تقرير يناير'!$C$6),COUNT(AA$4:AA1366)+1,"")</f>
        <v/>
      </c>
      <c r="AB1367">
        <f>IF(AND($A1367&lt;&gt;"",$B1367&lt;&gt;"",$R1367='تقرير فبراير'!$C$4,$P1367='تقرير فبراير'!$C$6),COUNT(AB$4:AB1366)+1,"")</f>
        <v/>
      </c>
      <c r="AC1367">
        <f>IF(AND($A1367&lt;&gt;"",$B1367&lt;&gt;"",$R1367='تقرير مارس'!$C$4,$P1367='تقرير مارس'!$C$6),COUNT(AC$4:AC1366)+1,"")</f>
        <v/>
      </c>
      <c r="AD1367">
        <f>IF(AND($A1367&lt;&gt;"",$B1367&lt;&gt;"",$R1367='تقرير أبريل'!$C$4,$P1367='تقرير أبريل'!$C$6),COUNT(AD$4:AD1366)+1,"")</f>
        <v/>
      </c>
      <c r="AE1367">
        <f>IF(AND($A1367&lt;&gt;"",$B1367&lt;&gt;"",$R1367='تقرير مايو'!$C$4,$P1367='تقرير مايو'!$C$6),COUNT(AE$4:AE1366)+1,"")</f>
        <v/>
      </c>
    </row>
    <row r="1368">
      <c r="A1368" s="16" t="n"/>
      <c r="B1368" s="17" t="n"/>
      <c r="C1368" s="17" t="n"/>
      <c r="D1368" s="18" t="n"/>
      <c r="E1368" s="17" t="n"/>
      <c r="F1368" s="17" t="n"/>
      <c r="G1368" s="19" t="n"/>
      <c r="H1368" s="17" t="n"/>
      <c r="I1368" s="17" t="n"/>
      <c r="J1368" s="17" t="n"/>
      <c r="K1368" s="20">
        <f>IF($B1368="","",IFERROR(INDEX(الموظفات!$A$5:$A$304,MATCH($B1368,الموظفات!$B$5:$B$304,0))&amp;"",""))</f>
        <v/>
      </c>
      <c r="L1368" s="21">
        <f>IF($B1368="","",IFERROR(INDEX(الموظفات!$C$5:$C$304,MATCH($B1368,الموظفات!$B$5:$B$304,0))&amp;"",""))</f>
        <v/>
      </c>
      <c r="M1368" s="20">
        <f>IF($B1368="","",IFERROR(INDEX(الموظفات!$D$5:$D$304,MATCH($B1368,الموظفات!$B$5:$B$304,0))&amp;"",""))</f>
        <v/>
      </c>
      <c r="N1368" s="20">
        <f>IF($B1368="","",IFERROR(INDEX(الموظفات!$E$5:$E$304,MATCH($B1368,الموظفات!$B$5:$B$304,0))&amp;"",""))</f>
        <v/>
      </c>
      <c r="O1368" s="21">
        <f>IF(C1368="","",IFERROR(INDEX(الإعدادات!$D$7:$D$35,MATCH(C1368,الإعدادات!$A$7:$A$35,0))&amp;"",""))</f>
        <v/>
      </c>
      <c r="P1368" s="20">
        <f>IF(A1368="","",INDEX(الإعدادات!$H$7:$H$18,MONTH(A1368)))</f>
        <v/>
      </c>
      <c r="Q1368" s="20">
        <f>IF(A1368="","",INDEX(الإعدادات!$I$7:$I$18,MONTH(A1368)))</f>
        <v/>
      </c>
      <c r="R1368" s="20">
        <f>IF(A1368="","",IF(MONTH(A1368)&gt;=8,YEAR(A1368)&amp;"-"&amp;(YEAR(A1368)+1),(YEAR(A1368)-1)&amp;"-"&amp;YEAR(A1368)))</f>
        <v/>
      </c>
      <c r="S1368" s="20">
        <f>IF(OR(A1368="",B1368=""),0,IF(AND(R1368=التقارير!$C$4,OR(التقارير!$C$5="سنوي",AND(التقارير!$C$5="شهري",P1368=التقارير!$C$6),AND(التقارير!$C$5="فصلي",Q1368=التقارير!$C$7))),1,0))</f>
        <v/>
      </c>
      <c r="T1368" s="20">
        <f>IF(S1368=1,COUNTIF($S$5:S1368,1),"")</f>
        <v/>
      </c>
      <c r="U1368">
        <f>IF(AND($A1368&lt;&gt;"",$B1368&lt;&gt;"",$R1368='تقرير الفصل الأول'!$C$4,$Q1368='تقرير الفصل الأول'!$C$7),COUNT(U$4:U1367)+1,"")</f>
        <v/>
      </c>
      <c r="V1368">
        <f>IF(AND($A1368&lt;&gt;"",$B1368&lt;&gt;"",$R1368='تقرير الفصل الثاني'!$C$4,$Q1368='تقرير الفصل الثاني'!$C$7),COUNT(V$4:V1367)+1,"")</f>
        <v/>
      </c>
      <c r="W1368">
        <f>IF(AND($A1368&lt;&gt;"",$B1368&lt;&gt;"",$R1368='تقرير سبتمبر'!$C$4,$P1368='تقرير سبتمبر'!$C$6),COUNT(W$4:W1367)+1,"")</f>
        <v/>
      </c>
      <c r="X1368">
        <f>IF(AND($A1368&lt;&gt;"",$B1368&lt;&gt;"",$R1368='تقرير أكتوبر'!$C$4,$P1368='تقرير أكتوبر'!$C$6),COUNT(X$4:X1367)+1,"")</f>
        <v/>
      </c>
      <c r="Y1368">
        <f>IF(AND($A1368&lt;&gt;"",$B1368&lt;&gt;"",$R1368='تقرير نوفمبر'!$C$4,$P1368='تقرير نوفمبر'!$C$6),COUNT(Y$4:Y1367)+1,"")</f>
        <v/>
      </c>
      <c r="Z1368">
        <f>IF(AND($A1368&lt;&gt;"",$B1368&lt;&gt;"",$R1368='تقرير ديسمبر'!$C$4,$P1368='تقرير ديسمبر'!$C$6),COUNT(Z$4:Z1367)+1,"")</f>
        <v/>
      </c>
      <c r="AA1368">
        <f>IF(AND($A1368&lt;&gt;"",$B1368&lt;&gt;"",$R1368='تقرير يناير'!$C$4,$P1368='تقرير يناير'!$C$6),COUNT(AA$4:AA1367)+1,"")</f>
        <v/>
      </c>
      <c r="AB1368">
        <f>IF(AND($A1368&lt;&gt;"",$B1368&lt;&gt;"",$R1368='تقرير فبراير'!$C$4,$P1368='تقرير فبراير'!$C$6),COUNT(AB$4:AB1367)+1,"")</f>
        <v/>
      </c>
      <c r="AC1368">
        <f>IF(AND($A1368&lt;&gt;"",$B1368&lt;&gt;"",$R1368='تقرير مارس'!$C$4,$P1368='تقرير مارس'!$C$6),COUNT(AC$4:AC1367)+1,"")</f>
        <v/>
      </c>
      <c r="AD1368">
        <f>IF(AND($A1368&lt;&gt;"",$B1368&lt;&gt;"",$R1368='تقرير أبريل'!$C$4,$P1368='تقرير أبريل'!$C$6),COUNT(AD$4:AD1367)+1,"")</f>
        <v/>
      </c>
      <c r="AE1368">
        <f>IF(AND($A1368&lt;&gt;"",$B1368&lt;&gt;"",$R1368='تقرير مايو'!$C$4,$P1368='تقرير مايو'!$C$6),COUNT(AE$4:AE1367)+1,"")</f>
        <v/>
      </c>
    </row>
    <row r="1369">
      <c r="A1369" s="16" t="n"/>
      <c r="B1369" s="17" t="n"/>
      <c r="C1369" s="17" t="n"/>
      <c r="D1369" s="18" t="n"/>
      <c r="E1369" s="17" t="n"/>
      <c r="F1369" s="17" t="n"/>
      <c r="G1369" s="19" t="n"/>
      <c r="H1369" s="17" t="n"/>
      <c r="I1369" s="17" t="n"/>
      <c r="J1369" s="17" t="n"/>
      <c r="K1369" s="20">
        <f>IF($B1369="","",IFERROR(INDEX(الموظفات!$A$5:$A$304,MATCH($B1369,الموظفات!$B$5:$B$304,0))&amp;"",""))</f>
        <v/>
      </c>
      <c r="L1369" s="21">
        <f>IF($B1369="","",IFERROR(INDEX(الموظفات!$C$5:$C$304,MATCH($B1369,الموظفات!$B$5:$B$304,0))&amp;"",""))</f>
        <v/>
      </c>
      <c r="M1369" s="20">
        <f>IF($B1369="","",IFERROR(INDEX(الموظفات!$D$5:$D$304,MATCH($B1369,الموظفات!$B$5:$B$304,0))&amp;"",""))</f>
        <v/>
      </c>
      <c r="N1369" s="20">
        <f>IF($B1369="","",IFERROR(INDEX(الموظفات!$E$5:$E$304,MATCH($B1369,الموظفات!$B$5:$B$304,0))&amp;"",""))</f>
        <v/>
      </c>
      <c r="O1369" s="21">
        <f>IF(C1369="","",IFERROR(INDEX(الإعدادات!$D$7:$D$35,MATCH(C1369,الإعدادات!$A$7:$A$35,0))&amp;"",""))</f>
        <v/>
      </c>
      <c r="P1369" s="20">
        <f>IF(A1369="","",INDEX(الإعدادات!$H$7:$H$18,MONTH(A1369)))</f>
        <v/>
      </c>
      <c r="Q1369" s="20">
        <f>IF(A1369="","",INDEX(الإعدادات!$I$7:$I$18,MONTH(A1369)))</f>
        <v/>
      </c>
      <c r="R1369" s="20">
        <f>IF(A1369="","",IF(MONTH(A1369)&gt;=8,YEAR(A1369)&amp;"-"&amp;(YEAR(A1369)+1),(YEAR(A1369)-1)&amp;"-"&amp;YEAR(A1369)))</f>
        <v/>
      </c>
      <c r="S1369" s="20">
        <f>IF(OR(A1369="",B1369=""),0,IF(AND(R1369=التقارير!$C$4,OR(التقارير!$C$5="سنوي",AND(التقارير!$C$5="شهري",P1369=التقارير!$C$6),AND(التقارير!$C$5="فصلي",Q1369=التقارير!$C$7))),1,0))</f>
        <v/>
      </c>
      <c r="T1369" s="20">
        <f>IF(S1369=1,COUNTIF($S$5:S1369,1),"")</f>
        <v/>
      </c>
      <c r="U1369">
        <f>IF(AND($A1369&lt;&gt;"",$B1369&lt;&gt;"",$R1369='تقرير الفصل الأول'!$C$4,$Q1369='تقرير الفصل الأول'!$C$7),COUNT(U$4:U1368)+1,"")</f>
        <v/>
      </c>
      <c r="V1369">
        <f>IF(AND($A1369&lt;&gt;"",$B1369&lt;&gt;"",$R1369='تقرير الفصل الثاني'!$C$4,$Q1369='تقرير الفصل الثاني'!$C$7),COUNT(V$4:V1368)+1,"")</f>
        <v/>
      </c>
      <c r="W1369">
        <f>IF(AND($A1369&lt;&gt;"",$B1369&lt;&gt;"",$R1369='تقرير سبتمبر'!$C$4,$P1369='تقرير سبتمبر'!$C$6),COUNT(W$4:W1368)+1,"")</f>
        <v/>
      </c>
      <c r="X1369">
        <f>IF(AND($A1369&lt;&gt;"",$B1369&lt;&gt;"",$R1369='تقرير أكتوبر'!$C$4,$P1369='تقرير أكتوبر'!$C$6),COUNT(X$4:X1368)+1,"")</f>
        <v/>
      </c>
      <c r="Y1369">
        <f>IF(AND($A1369&lt;&gt;"",$B1369&lt;&gt;"",$R1369='تقرير نوفمبر'!$C$4,$P1369='تقرير نوفمبر'!$C$6),COUNT(Y$4:Y1368)+1,"")</f>
        <v/>
      </c>
      <c r="Z1369">
        <f>IF(AND($A1369&lt;&gt;"",$B1369&lt;&gt;"",$R1369='تقرير ديسمبر'!$C$4,$P1369='تقرير ديسمبر'!$C$6),COUNT(Z$4:Z1368)+1,"")</f>
        <v/>
      </c>
      <c r="AA1369">
        <f>IF(AND($A1369&lt;&gt;"",$B1369&lt;&gt;"",$R1369='تقرير يناير'!$C$4,$P1369='تقرير يناير'!$C$6),COUNT(AA$4:AA1368)+1,"")</f>
        <v/>
      </c>
      <c r="AB1369">
        <f>IF(AND($A1369&lt;&gt;"",$B1369&lt;&gt;"",$R1369='تقرير فبراير'!$C$4,$P1369='تقرير فبراير'!$C$6),COUNT(AB$4:AB1368)+1,"")</f>
        <v/>
      </c>
      <c r="AC1369">
        <f>IF(AND($A1369&lt;&gt;"",$B1369&lt;&gt;"",$R1369='تقرير مارس'!$C$4,$P1369='تقرير مارس'!$C$6),COUNT(AC$4:AC1368)+1,"")</f>
        <v/>
      </c>
      <c r="AD1369">
        <f>IF(AND($A1369&lt;&gt;"",$B1369&lt;&gt;"",$R1369='تقرير أبريل'!$C$4,$P1369='تقرير أبريل'!$C$6),COUNT(AD$4:AD1368)+1,"")</f>
        <v/>
      </c>
      <c r="AE1369">
        <f>IF(AND($A1369&lt;&gt;"",$B1369&lt;&gt;"",$R1369='تقرير مايو'!$C$4,$P1369='تقرير مايو'!$C$6),COUNT(AE$4:AE1368)+1,"")</f>
        <v/>
      </c>
    </row>
    <row r="1370">
      <c r="A1370" s="16" t="n"/>
      <c r="B1370" s="17" t="n"/>
      <c r="C1370" s="17" t="n"/>
      <c r="D1370" s="18" t="n"/>
      <c r="E1370" s="17" t="n"/>
      <c r="F1370" s="17" t="n"/>
      <c r="G1370" s="19" t="n"/>
      <c r="H1370" s="17" t="n"/>
      <c r="I1370" s="17" t="n"/>
      <c r="J1370" s="17" t="n"/>
      <c r="K1370" s="20">
        <f>IF($B1370="","",IFERROR(INDEX(الموظفات!$A$5:$A$304,MATCH($B1370,الموظفات!$B$5:$B$304,0))&amp;"",""))</f>
        <v/>
      </c>
      <c r="L1370" s="21">
        <f>IF($B1370="","",IFERROR(INDEX(الموظفات!$C$5:$C$304,MATCH($B1370,الموظفات!$B$5:$B$304,0))&amp;"",""))</f>
        <v/>
      </c>
      <c r="M1370" s="20">
        <f>IF($B1370="","",IFERROR(INDEX(الموظفات!$D$5:$D$304,MATCH($B1370,الموظفات!$B$5:$B$304,0))&amp;"",""))</f>
        <v/>
      </c>
      <c r="N1370" s="20">
        <f>IF($B1370="","",IFERROR(INDEX(الموظفات!$E$5:$E$304,MATCH($B1370,الموظفات!$B$5:$B$304,0))&amp;"",""))</f>
        <v/>
      </c>
      <c r="O1370" s="21">
        <f>IF(C1370="","",IFERROR(INDEX(الإعدادات!$D$7:$D$35,MATCH(C1370,الإعدادات!$A$7:$A$35,0))&amp;"",""))</f>
        <v/>
      </c>
      <c r="P1370" s="20">
        <f>IF(A1370="","",INDEX(الإعدادات!$H$7:$H$18,MONTH(A1370)))</f>
        <v/>
      </c>
      <c r="Q1370" s="20">
        <f>IF(A1370="","",INDEX(الإعدادات!$I$7:$I$18,MONTH(A1370)))</f>
        <v/>
      </c>
      <c r="R1370" s="20">
        <f>IF(A1370="","",IF(MONTH(A1370)&gt;=8,YEAR(A1370)&amp;"-"&amp;(YEAR(A1370)+1),(YEAR(A1370)-1)&amp;"-"&amp;YEAR(A1370)))</f>
        <v/>
      </c>
      <c r="S1370" s="20">
        <f>IF(OR(A1370="",B1370=""),0,IF(AND(R1370=التقارير!$C$4,OR(التقارير!$C$5="سنوي",AND(التقارير!$C$5="شهري",P1370=التقارير!$C$6),AND(التقارير!$C$5="فصلي",Q1370=التقارير!$C$7))),1,0))</f>
        <v/>
      </c>
      <c r="T1370" s="20">
        <f>IF(S1370=1,COUNTIF($S$5:S1370,1),"")</f>
        <v/>
      </c>
      <c r="U1370">
        <f>IF(AND($A1370&lt;&gt;"",$B1370&lt;&gt;"",$R1370='تقرير الفصل الأول'!$C$4,$Q1370='تقرير الفصل الأول'!$C$7),COUNT(U$4:U1369)+1,"")</f>
        <v/>
      </c>
      <c r="V1370">
        <f>IF(AND($A1370&lt;&gt;"",$B1370&lt;&gt;"",$R1370='تقرير الفصل الثاني'!$C$4,$Q1370='تقرير الفصل الثاني'!$C$7),COUNT(V$4:V1369)+1,"")</f>
        <v/>
      </c>
      <c r="W1370">
        <f>IF(AND($A1370&lt;&gt;"",$B1370&lt;&gt;"",$R1370='تقرير سبتمبر'!$C$4,$P1370='تقرير سبتمبر'!$C$6),COUNT(W$4:W1369)+1,"")</f>
        <v/>
      </c>
      <c r="X1370">
        <f>IF(AND($A1370&lt;&gt;"",$B1370&lt;&gt;"",$R1370='تقرير أكتوبر'!$C$4,$P1370='تقرير أكتوبر'!$C$6),COUNT(X$4:X1369)+1,"")</f>
        <v/>
      </c>
      <c r="Y1370">
        <f>IF(AND($A1370&lt;&gt;"",$B1370&lt;&gt;"",$R1370='تقرير نوفمبر'!$C$4,$P1370='تقرير نوفمبر'!$C$6),COUNT(Y$4:Y1369)+1,"")</f>
        <v/>
      </c>
      <c r="Z1370">
        <f>IF(AND($A1370&lt;&gt;"",$B1370&lt;&gt;"",$R1370='تقرير ديسمبر'!$C$4,$P1370='تقرير ديسمبر'!$C$6),COUNT(Z$4:Z1369)+1,"")</f>
        <v/>
      </c>
      <c r="AA1370">
        <f>IF(AND($A1370&lt;&gt;"",$B1370&lt;&gt;"",$R1370='تقرير يناير'!$C$4,$P1370='تقرير يناير'!$C$6),COUNT(AA$4:AA1369)+1,"")</f>
        <v/>
      </c>
      <c r="AB1370">
        <f>IF(AND($A1370&lt;&gt;"",$B1370&lt;&gt;"",$R1370='تقرير فبراير'!$C$4,$P1370='تقرير فبراير'!$C$6),COUNT(AB$4:AB1369)+1,"")</f>
        <v/>
      </c>
      <c r="AC1370">
        <f>IF(AND($A1370&lt;&gt;"",$B1370&lt;&gt;"",$R1370='تقرير مارس'!$C$4,$P1370='تقرير مارس'!$C$6),COUNT(AC$4:AC1369)+1,"")</f>
        <v/>
      </c>
      <c r="AD1370">
        <f>IF(AND($A1370&lt;&gt;"",$B1370&lt;&gt;"",$R1370='تقرير أبريل'!$C$4,$P1370='تقرير أبريل'!$C$6),COUNT(AD$4:AD1369)+1,"")</f>
        <v/>
      </c>
      <c r="AE1370">
        <f>IF(AND($A1370&lt;&gt;"",$B1370&lt;&gt;"",$R1370='تقرير مايو'!$C$4,$P1370='تقرير مايو'!$C$6),COUNT(AE$4:AE1369)+1,"")</f>
        <v/>
      </c>
    </row>
    <row r="1371">
      <c r="A1371" s="16" t="n"/>
      <c r="B1371" s="17" t="n"/>
      <c r="C1371" s="17" t="n"/>
      <c r="D1371" s="18" t="n"/>
      <c r="E1371" s="17" t="n"/>
      <c r="F1371" s="17" t="n"/>
      <c r="G1371" s="19" t="n"/>
      <c r="H1371" s="17" t="n"/>
      <c r="I1371" s="17" t="n"/>
      <c r="J1371" s="17" t="n"/>
      <c r="K1371" s="20">
        <f>IF($B1371="","",IFERROR(INDEX(الموظفات!$A$5:$A$304,MATCH($B1371,الموظفات!$B$5:$B$304,0))&amp;"",""))</f>
        <v/>
      </c>
      <c r="L1371" s="21">
        <f>IF($B1371="","",IFERROR(INDEX(الموظفات!$C$5:$C$304,MATCH($B1371,الموظفات!$B$5:$B$304,0))&amp;"",""))</f>
        <v/>
      </c>
      <c r="M1371" s="20">
        <f>IF($B1371="","",IFERROR(INDEX(الموظفات!$D$5:$D$304,MATCH($B1371,الموظفات!$B$5:$B$304,0))&amp;"",""))</f>
        <v/>
      </c>
      <c r="N1371" s="20">
        <f>IF($B1371="","",IFERROR(INDEX(الموظفات!$E$5:$E$304,MATCH($B1371,الموظفات!$B$5:$B$304,0))&amp;"",""))</f>
        <v/>
      </c>
      <c r="O1371" s="21">
        <f>IF(C1371="","",IFERROR(INDEX(الإعدادات!$D$7:$D$35,MATCH(C1371,الإعدادات!$A$7:$A$35,0))&amp;"",""))</f>
        <v/>
      </c>
      <c r="P1371" s="20">
        <f>IF(A1371="","",INDEX(الإعدادات!$H$7:$H$18,MONTH(A1371)))</f>
        <v/>
      </c>
      <c r="Q1371" s="20">
        <f>IF(A1371="","",INDEX(الإعدادات!$I$7:$I$18,MONTH(A1371)))</f>
        <v/>
      </c>
      <c r="R1371" s="20">
        <f>IF(A1371="","",IF(MONTH(A1371)&gt;=8,YEAR(A1371)&amp;"-"&amp;(YEAR(A1371)+1),(YEAR(A1371)-1)&amp;"-"&amp;YEAR(A1371)))</f>
        <v/>
      </c>
      <c r="S1371" s="20">
        <f>IF(OR(A1371="",B1371=""),0,IF(AND(R1371=التقارير!$C$4,OR(التقارير!$C$5="سنوي",AND(التقارير!$C$5="شهري",P1371=التقارير!$C$6),AND(التقارير!$C$5="فصلي",Q1371=التقارير!$C$7))),1,0))</f>
        <v/>
      </c>
      <c r="T1371" s="20">
        <f>IF(S1371=1,COUNTIF($S$5:S1371,1),"")</f>
        <v/>
      </c>
      <c r="U1371">
        <f>IF(AND($A1371&lt;&gt;"",$B1371&lt;&gt;"",$R1371='تقرير الفصل الأول'!$C$4,$Q1371='تقرير الفصل الأول'!$C$7),COUNT(U$4:U1370)+1,"")</f>
        <v/>
      </c>
      <c r="V1371">
        <f>IF(AND($A1371&lt;&gt;"",$B1371&lt;&gt;"",$R1371='تقرير الفصل الثاني'!$C$4,$Q1371='تقرير الفصل الثاني'!$C$7),COUNT(V$4:V1370)+1,"")</f>
        <v/>
      </c>
      <c r="W1371">
        <f>IF(AND($A1371&lt;&gt;"",$B1371&lt;&gt;"",$R1371='تقرير سبتمبر'!$C$4,$P1371='تقرير سبتمبر'!$C$6),COUNT(W$4:W1370)+1,"")</f>
        <v/>
      </c>
      <c r="X1371">
        <f>IF(AND($A1371&lt;&gt;"",$B1371&lt;&gt;"",$R1371='تقرير أكتوبر'!$C$4,$P1371='تقرير أكتوبر'!$C$6),COUNT(X$4:X1370)+1,"")</f>
        <v/>
      </c>
      <c r="Y1371">
        <f>IF(AND($A1371&lt;&gt;"",$B1371&lt;&gt;"",$R1371='تقرير نوفمبر'!$C$4,$P1371='تقرير نوفمبر'!$C$6),COUNT(Y$4:Y1370)+1,"")</f>
        <v/>
      </c>
      <c r="Z1371">
        <f>IF(AND($A1371&lt;&gt;"",$B1371&lt;&gt;"",$R1371='تقرير ديسمبر'!$C$4,$P1371='تقرير ديسمبر'!$C$6),COUNT(Z$4:Z1370)+1,"")</f>
        <v/>
      </c>
      <c r="AA1371">
        <f>IF(AND($A1371&lt;&gt;"",$B1371&lt;&gt;"",$R1371='تقرير يناير'!$C$4,$P1371='تقرير يناير'!$C$6),COUNT(AA$4:AA1370)+1,"")</f>
        <v/>
      </c>
      <c r="AB1371">
        <f>IF(AND($A1371&lt;&gt;"",$B1371&lt;&gt;"",$R1371='تقرير فبراير'!$C$4,$P1371='تقرير فبراير'!$C$6),COUNT(AB$4:AB1370)+1,"")</f>
        <v/>
      </c>
      <c r="AC1371">
        <f>IF(AND($A1371&lt;&gt;"",$B1371&lt;&gt;"",$R1371='تقرير مارس'!$C$4,$P1371='تقرير مارس'!$C$6),COUNT(AC$4:AC1370)+1,"")</f>
        <v/>
      </c>
      <c r="AD1371">
        <f>IF(AND($A1371&lt;&gt;"",$B1371&lt;&gt;"",$R1371='تقرير أبريل'!$C$4,$P1371='تقرير أبريل'!$C$6),COUNT(AD$4:AD1370)+1,"")</f>
        <v/>
      </c>
      <c r="AE1371">
        <f>IF(AND($A1371&lt;&gt;"",$B1371&lt;&gt;"",$R1371='تقرير مايو'!$C$4,$P1371='تقرير مايو'!$C$6),COUNT(AE$4:AE1370)+1,"")</f>
        <v/>
      </c>
    </row>
    <row r="1372">
      <c r="A1372" s="16" t="n"/>
      <c r="B1372" s="17" t="n"/>
      <c r="C1372" s="17" t="n"/>
      <c r="D1372" s="18" t="n"/>
      <c r="E1372" s="17" t="n"/>
      <c r="F1372" s="17" t="n"/>
      <c r="G1372" s="19" t="n"/>
      <c r="H1372" s="17" t="n"/>
      <c r="I1372" s="17" t="n"/>
      <c r="J1372" s="17" t="n"/>
      <c r="K1372" s="20">
        <f>IF($B1372="","",IFERROR(INDEX(الموظفات!$A$5:$A$304,MATCH($B1372,الموظفات!$B$5:$B$304,0))&amp;"",""))</f>
        <v/>
      </c>
      <c r="L1372" s="21">
        <f>IF($B1372="","",IFERROR(INDEX(الموظفات!$C$5:$C$304,MATCH($B1372,الموظفات!$B$5:$B$304,0))&amp;"",""))</f>
        <v/>
      </c>
      <c r="M1372" s="20">
        <f>IF($B1372="","",IFERROR(INDEX(الموظفات!$D$5:$D$304,MATCH($B1372,الموظفات!$B$5:$B$304,0))&amp;"",""))</f>
        <v/>
      </c>
      <c r="N1372" s="20">
        <f>IF($B1372="","",IFERROR(INDEX(الموظفات!$E$5:$E$304,MATCH($B1372,الموظفات!$B$5:$B$304,0))&amp;"",""))</f>
        <v/>
      </c>
      <c r="O1372" s="21">
        <f>IF(C1372="","",IFERROR(INDEX(الإعدادات!$D$7:$D$35,MATCH(C1372,الإعدادات!$A$7:$A$35,0))&amp;"",""))</f>
        <v/>
      </c>
      <c r="P1372" s="20">
        <f>IF(A1372="","",INDEX(الإعدادات!$H$7:$H$18,MONTH(A1372)))</f>
        <v/>
      </c>
      <c r="Q1372" s="20">
        <f>IF(A1372="","",INDEX(الإعدادات!$I$7:$I$18,MONTH(A1372)))</f>
        <v/>
      </c>
      <c r="R1372" s="20">
        <f>IF(A1372="","",IF(MONTH(A1372)&gt;=8,YEAR(A1372)&amp;"-"&amp;(YEAR(A1372)+1),(YEAR(A1372)-1)&amp;"-"&amp;YEAR(A1372)))</f>
        <v/>
      </c>
      <c r="S1372" s="20">
        <f>IF(OR(A1372="",B1372=""),0,IF(AND(R1372=التقارير!$C$4,OR(التقارير!$C$5="سنوي",AND(التقارير!$C$5="شهري",P1372=التقارير!$C$6),AND(التقارير!$C$5="فصلي",Q1372=التقارير!$C$7))),1,0))</f>
        <v/>
      </c>
      <c r="T1372" s="20">
        <f>IF(S1372=1,COUNTIF($S$5:S1372,1),"")</f>
        <v/>
      </c>
      <c r="U1372">
        <f>IF(AND($A1372&lt;&gt;"",$B1372&lt;&gt;"",$R1372='تقرير الفصل الأول'!$C$4,$Q1372='تقرير الفصل الأول'!$C$7),COUNT(U$4:U1371)+1,"")</f>
        <v/>
      </c>
      <c r="V1372">
        <f>IF(AND($A1372&lt;&gt;"",$B1372&lt;&gt;"",$R1372='تقرير الفصل الثاني'!$C$4,$Q1372='تقرير الفصل الثاني'!$C$7),COUNT(V$4:V1371)+1,"")</f>
        <v/>
      </c>
      <c r="W1372">
        <f>IF(AND($A1372&lt;&gt;"",$B1372&lt;&gt;"",$R1372='تقرير سبتمبر'!$C$4,$P1372='تقرير سبتمبر'!$C$6),COUNT(W$4:W1371)+1,"")</f>
        <v/>
      </c>
      <c r="X1372">
        <f>IF(AND($A1372&lt;&gt;"",$B1372&lt;&gt;"",$R1372='تقرير أكتوبر'!$C$4,$P1372='تقرير أكتوبر'!$C$6),COUNT(X$4:X1371)+1,"")</f>
        <v/>
      </c>
      <c r="Y1372">
        <f>IF(AND($A1372&lt;&gt;"",$B1372&lt;&gt;"",$R1372='تقرير نوفمبر'!$C$4,$P1372='تقرير نوفمبر'!$C$6),COUNT(Y$4:Y1371)+1,"")</f>
        <v/>
      </c>
      <c r="Z1372">
        <f>IF(AND($A1372&lt;&gt;"",$B1372&lt;&gt;"",$R1372='تقرير ديسمبر'!$C$4,$P1372='تقرير ديسمبر'!$C$6),COUNT(Z$4:Z1371)+1,"")</f>
        <v/>
      </c>
      <c r="AA1372">
        <f>IF(AND($A1372&lt;&gt;"",$B1372&lt;&gt;"",$R1372='تقرير يناير'!$C$4,$P1372='تقرير يناير'!$C$6),COUNT(AA$4:AA1371)+1,"")</f>
        <v/>
      </c>
      <c r="AB1372">
        <f>IF(AND($A1372&lt;&gt;"",$B1372&lt;&gt;"",$R1372='تقرير فبراير'!$C$4,$P1372='تقرير فبراير'!$C$6),COUNT(AB$4:AB1371)+1,"")</f>
        <v/>
      </c>
      <c r="AC1372">
        <f>IF(AND($A1372&lt;&gt;"",$B1372&lt;&gt;"",$R1372='تقرير مارس'!$C$4,$P1372='تقرير مارس'!$C$6),COUNT(AC$4:AC1371)+1,"")</f>
        <v/>
      </c>
      <c r="AD1372">
        <f>IF(AND($A1372&lt;&gt;"",$B1372&lt;&gt;"",$R1372='تقرير أبريل'!$C$4,$P1372='تقرير أبريل'!$C$6),COUNT(AD$4:AD1371)+1,"")</f>
        <v/>
      </c>
      <c r="AE1372">
        <f>IF(AND($A1372&lt;&gt;"",$B1372&lt;&gt;"",$R1372='تقرير مايو'!$C$4,$P1372='تقرير مايو'!$C$6),COUNT(AE$4:AE1371)+1,"")</f>
        <v/>
      </c>
    </row>
    <row r="1373">
      <c r="A1373" s="16" t="n"/>
      <c r="B1373" s="17" t="n"/>
      <c r="C1373" s="17" t="n"/>
      <c r="D1373" s="18" t="n"/>
      <c r="E1373" s="17" t="n"/>
      <c r="F1373" s="17" t="n"/>
      <c r="G1373" s="19" t="n"/>
      <c r="H1373" s="17" t="n"/>
      <c r="I1373" s="17" t="n"/>
      <c r="J1373" s="17" t="n"/>
      <c r="K1373" s="20">
        <f>IF($B1373="","",IFERROR(INDEX(الموظفات!$A$5:$A$304,MATCH($B1373,الموظفات!$B$5:$B$304,0))&amp;"",""))</f>
        <v/>
      </c>
      <c r="L1373" s="21">
        <f>IF($B1373="","",IFERROR(INDEX(الموظفات!$C$5:$C$304,MATCH($B1373,الموظفات!$B$5:$B$304,0))&amp;"",""))</f>
        <v/>
      </c>
      <c r="M1373" s="20">
        <f>IF($B1373="","",IFERROR(INDEX(الموظفات!$D$5:$D$304,MATCH($B1373,الموظفات!$B$5:$B$304,0))&amp;"",""))</f>
        <v/>
      </c>
      <c r="N1373" s="20">
        <f>IF($B1373="","",IFERROR(INDEX(الموظفات!$E$5:$E$304,MATCH($B1373,الموظفات!$B$5:$B$304,0))&amp;"",""))</f>
        <v/>
      </c>
      <c r="O1373" s="21">
        <f>IF(C1373="","",IFERROR(INDEX(الإعدادات!$D$7:$D$35,MATCH(C1373,الإعدادات!$A$7:$A$35,0))&amp;"",""))</f>
        <v/>
      </c>
      <c r="P1373" s="20">
        <f>IF(A1373="","",INDEX(الإعدادات!$H$7:$H$18,MONTH(A1373)))</f>
        <v/>
      </c>
      <c r="Q1373" s="20">
        <f>IF(A1373="","",INDEX(الإعدادات!$I$7:$I$18,MONTH(A1373)))</f>
        <v/>
      </c>
      <c r="R1373" s="20">
        <f>IF(A1373="","",IF(MONTH(A1373)&gt;=8,YEAR(A1373)&amp;"-"&amp;(YEAR(A1373)+1),(YEAR(A1373)-1)&amp;"-"&amp;YEAR(A1373)))</f>
        <v/>
      </c>
      <c r="S1373" s="20">
        <f>IF(OR(A1373="",B1373=""),0,IF(AND(R1373=التقارير!$C$4,OR(التقارير!$C$5="سنوي",AND(التقارير!$C$5="شهري",P1373=التقارير!$C$6),AND(التقارير!$C$5="فصلي",Q1373=التقارير!$C$7))),1,0))</f>
        <v/>
      </c>
      <c r="T1373" s="20">
        <f>IF(S1373=1,COUNTIF($S$5:S1373,1),"")</f>
        <v/>
      </c>
      <c r="U1373">
        <f>IF(AND($A1373&lt;&gt;"",$B1373&lt;&gt;"",$R1373='تقرير الفصل الأول'!$C$4,$Q1373='تقرير الفصل الأول'!$C$7),COUNT(U$4:U1372)+1,"")</f>
        <v/>
      </c>
      <c r="V1373">
        <f>IF(AND($A1373&lt;&gt;"",$B1373&lt;&gt;"",$R1373='تقرير الفصل الثاني'!$C$4,$Q1373='تقرير الفصل الثاني'!$C$7),COUNT(V$4:V1372)+1,"")</f>
        <v/>
      </c>
      <c r="W1373">
        <f>IF(AND($A1373&lt;&gt;"",$B1373&lt;&gt;"",$R1373='تقرير سبتمبر'!$C$4,$P1373='تقرير سبتمبر'!$C$6),COUNT(W$4:W1372)+1,"")</f>
        <v/>
      </c>
      <c r="X1373">
        <f>IF(AND($A1373&lt;&gt;"",$B1373&lt;&gt;"",$R1373='تقرير أكتوبر'!$C$4,$P1373='تقرير أكتوبر'!$C$6),COUNT(X$4:X1372)+1,"")</f>
        <v/>
      </c>
      <c r="Y1373">
        <f>IF(AND($A1373&lt;&gt;"",$B1373&lt;&gt;"",$R1373='تقرير نوفمبر'!$C$4,$P1373='تقرير نوفمبر'!$C$6),COUNT(Y$4:Y1372)+1,"")</f>
        <v/>
      </c>
      <c r="Z1373">
        <f>IF(AND($A1373&lt;&gt;"",$B1373&lt;&gt;"",$R1373='تقرير ديسمبر'!$C$4,$P1373='تقرير ديسمبر'!$C$6),COUNT(Z$4:Z1372)+1,"")</f>
        <v/>
      </c>
      <c r="AA1373">
        <f>IF(AND($A1373&lt;&gt;"",$B1373&lt;&gt;"",$R1373='تقرير يناير'!$C$4,$P1373='تقرير يناير'!$C$6),COUNT(AA$4:AA1372)+1,"")</f>
        <v/>
      </c>
      <c r="AB1373">
        <f>IF(AND($A1373&lt;&gt;"",$B1373&lt;&gt;"",$R1373='تقرير فبراير'!$C$4,$P1373='تقرير فبراير'!$C$6),COUNT(AB$4:AB1372)+1,"")</f>
        <v/>
      </c>
      <c r="AC1373">
        <f>IF(AND($A1373&lt;&gt;"",$B1373&lt;&gt;"",$R1373='تقرير مارس'!$C$4,$P1373='تقرير مارس'!$C$6),COUNT(AC$4:AC1372)+1,"")</f>
        <v/>
      </c>
      <c r="AD1373">
        <f>IF(AND($A1373&lt;&gt;"",$B1373&lt;&gt;"",$R1373='تقرير أبريل'!$C$4,$P1373='تقرير أبريل'!$C$6),COUNT(AD$4:AD1372)+1,"")</f>
        <v/>
      </c>
      <c r="AE1373">
        <f>IF(AND($A1373&lt;&gt;"",$B1373&lt;&gt;"",$R1373='تقرير مايو'!$C$4,$P1373='تقرير مايو'!$C$6),COUNT(AE$4:AE1372)+1,"")</f>
        <v/>
      </c>
    </row>
    <row r="1374">
      <c r="A1374" s="16" t="n"/>
      <c r="B1374" s="17" t="n"/>
      <c r="C1374" s="17" t="n"/>
      <c r="D1374" s="18" t="n"/>
      <c r="E1374" s="17" t="n"/>
      <c r="F1374" s="17" t="n"/>
      <c r="G1374" s="19" t="n"/>
      <c r="H1374" s="17" t="n"/>
      <c r="I1374" s="17" t="n"/>
      <c r="J1374" s="17" t="n"/>
      <c r="K1374" s="20">
        <f>IF($B1374="","",IFERROR(INDEX(الموظفات!$A$5:$A$304,MATCH($B1374,الموظفات!$B$5:$B$304,0))&amp;"",""))</f>
        <v/>
      </c>
      <c r="L1374" s="21">
        <f>IF($B1374="","",IFERROR(INDEX(الموظفات!$C$5:$C$304,MATCH($B1374,الموظفات!$B$5:$B$304,0))&amp;"",""))</f>
        <v/>
      </c>
      <c r="M1374" s="20">
        <f>IF($B1374="","",IFERROR(INDEX(الموظفات!$D$5:$D$304,MATCH($B1374,الموظفات!$B$5:$B$304,0))&amp;"",""))</f>
        <v/>
      </c>
      <c r="N1374" s="20">
        <f>IF($B1374="","",IFERROR(INDEX(الموظفات!$E$5:$E$304,MATCH($B1374,الموظفات!$B$5:$B$304,0))&amp;"",""))</f>
        <v/>
      </c>
      <c r="O1374" s="21">
        <f>IF(C1374="","",IFERROR(INDEX(الإعدادات!$D$7:$D$35,MATCH(C1374,الإعدادات!$A$7:$A$35,0))&amp;"",""))</f>
        <v/>
      </c>
      <c r="P1374" s="20">
        <f>IF(A1374="","",INDEX(الإعدادات!$H$7:$H$18,MONTH(A1374)))</f>
        <v/>
      </c>
      <c r="Q1374" s="20">
        <f>IF(A1374="","",INDEX(الإعدادات!$I$7:$I$18,MONTH(A1374)))</f>
        <v/>
      </c>
      <c r="R1374" s="20">
        <f>IF(A1374="","",IF(MONTH(A1374)&gt;=8,YEAR(A1374)&amp;"-"&amp;(YEAR(A1374)+1),(YEAR(A1374)-1)&amp;"-"&amp;YEAR(A1374)))</f>
        <v/>
      </c>
      <c r="S1374" s="20">
        <f>IF(OR(A1374="",B1374=""),0,IF(AND(R1374=التقارير!$C$4,OR(التقارير!$C$5="سنوي",AND(التقارير!$C$5="شهري",P1374=التقارير!$C$6),AND(التقارير!$C$5="فصلي",Q1374=التقارير!$C$7))),1,0))</f>
        <v/>
      </c>
      <c r="T1374" s="20">
        <f>IF(S1374=1,COUNTIF($S$5:S1374,1),"")</f>
        <v/>
      </c>
      <c r="U1374">
        <f>IF(AND($A1374&lt;&gt;"",$B1374&lt;&gt;"",$R1374='تقرير الفصل الأول'!$C$4,$Q1374='تقرير الفصل الأول'!$C$7),COUNT(U$4:U1373)+1,"")</f>
        <v/>
      </c>
      <c r="V1374">
        <f>IF(AND($A1374&lt;&gt;"",$B1374&lt;&gt;"",$R1374='تقرير الفصل الثاني'!$C$4,$Q1374='تقرير الفصل الثاني'!$C$7),COUNT(V$4:V1373)+1,"")</f>
        <v/>
      </c>
      <c r="W1374">
        <f>IF(AND($A1374&lt;&gt;"",$B1374&lt;&gt;"",$R1374='تقرير سبتمبر'!$C$4,$P1374='تقرير سبتمبر'!$C$6),COUNT(W$4:W1373)+1,"")</f>
        <v/>
      </c>
      <c r="X1374">
        <f>IF(AND($A1374&lt;&gt;"",$B1374&lt;&gt;"",$R1374='تقرير أكتوبر'!$C$4,$P1374='تقرير أكتوبر'!$C$6),COUNT(X$4:X1373)+1,"")</f>
        <v/>
      </c>
      <c r="Y1374">
        <f>IF(AND($A1374&lt;&gt;"",$B1374&lt;&gt;"",$R1374='تقرير نوفمبر'!$C$4,$P1374='تقرير نوفمبر'!$C$6),COUNT(Y$4:Y1373)+1,"")</f>
        <v/>
      </c>
      <c r="Z1374">
        <f>IF(AND($A1374&lt;&gt;"",$B1374&lt;&gt;"",$R1374='تقرير ديسمبر'!$C$4,$P1374='تقرير ديسمبر'!$C$6),COUNT(Z$4:Z1373)+1,"")</f>
        <v/>
      </c>
      <c r="AA1374">
        <f>IF(AND($A1374&lt;&gt;"",$B1374&lt;&gt;"",$R1374='تقرير يناير'!$C$4,$P1374='تقرير يناير'!$C$6),COUNT(AA$4:AA1373)+1,"")</f>
        <v/>
      </c>
      <c r="AB1374">
        <f>IF(AND($A1374&lt;&gt;"",$B1374&lt;&gt;"",$R1374='تقرير فبراير'!$C$4,$P1374='تقرير فبراير'!$C$6),COUNT(AB$4:AB1373)+1,"")</f>
        <v/>
      </c>
      <c r="AC1374">
        <f>IF(AND($A1374&lt;&gt;"",$B1374&lt;&gt;"",$R1374='تقرير مارس'!$C$4,$P1374='تقرير مارس'!$C$6),COUNT(AC$4:AC1373)+1,"")</f>
        <v/>
      </c>
      <c r="AD1374">
        <f>IF(AND($A1374&lt;&gt;"",$B1374&lt;&gt;"",$R1374='تقرير أبريل'!$C$4,$P1374='تقرير أبريل'!$C$6),COUNT(AD$4:AD1373)+1,"")</f>
        <v/>
      </c>
      <c r="AE1374">
        <f>IF(AND($A1374&lt;&gt;"",$B1374&lt;&gt;"",$R1374='تقرير مايو'!$C$4,$P1374='تقرير مايو'!$C$6),COUNT(AE$4:AE1373)+1,"")</f>
        <v/>
      </c>
    </row>
    <row r="1375">
      <c r="A1375" s="16" t="n"/>
      <c r="B1375" s="17" t="n"/>
      <c r="C1375" s="17" t="n"/>
      <c r="D1375" s="18" t="n"/>
      <c r="E1375" s="17" t="n"/>
      <c r="F1375" s="17" t="n"/>
      <c r="G1375" s="19" t="n"/>
      <c r="H1375" s="17" t="n"/>
      <c r="I1375" s="17" t="n"/>
      <c r="J1375" s="17" t="n"/>
      <c r="K1375" s="20">
        <f>IF($B1375="","",IFERROR(INDEX(الموظفات!$A$5:$A$304,MATCH($B1375,الموظفات!$B$5:$B$304,0))&amp;"",""))</f>
        <v/>
      </c>
      <c r="L1375" s="21">
        <f>IF($B1375="","",IFERROR(INDEX(الموظفات!$C$5:$C$304,MATCH($B1375,الموظفات!$B$5:$B$304,0))&amp;"",""))</f>
        <v/>
      </c>
      <c r="M1375" s="20">
        <f>IF($B1375="","",IFERROR(INDEX(الموظفات!$D$5:$D$304,MATCH($B1375,الموظفات!$B$5:$B$304,0))&amp;"",""))</f>
        <v/>
      </c>
      <c r="N1375" s="20">
        <f>IF($B1375="","",IFERROR(INDEX(الموظفات!$E$5:$E$304,MATCH($B1375,الموظفات!$B$5:$B$304,0))&amp;"",""))</f>
        <v/>
      </c>
      <c r="O1375" s="21">
        <f>IF(C1375="","",IFERROR(INDEX(الإعدادات!$D$7:$D$35,MATCH(C1375,الإعدادات!$A$7:$A$35,0))&amp;"",""))</f>
        <v/>
      </c>
      <c r="P1375" s="20">
        <f>IF(A1375="","",INDEX(الإعدادات!$H$7:$H$18,MONTH(A1375)))</f>
        <v/>
      </c>
      <c r="Q1375" s="20">
        <f>IF(A1375="","",INDEX(الإعدادات!$I$7:$I$18,MONTH(A1375)))</f>
        <v/>
      </c>
      <c r="R1375" s="20">
        <f>IF(A1375="","",IF(MONTH(A1375)&gt;=8,YEAR(A1375)&amp;"-"&amp;(YEAR(A1375)+1),(YEAR(A1375)-1)&amp;"-"&amp;YEAR(A1375)))</f>
        <v/>
      </c>
      <c r="S1375" s="20">
        <f>IF(OR(A1375="",B1375=""),0,IF(AND(R1375=التقارير!$C$4,OR(التقارير!$C$5="سنوي",AND(التقارير!$C$5="شهري",P1375=التقارير!$C$6),AND(التقارير!$C$5="فصلي",Q1375=التقارير!$C$7))),1,0))</f>
        <v/>
      </c>
      <c r="T1375" s="20">
        <f>IF(S1375=1,COUNTIF($S$5:S1375,1),"")</f>
        <v/>
      </c>
      <c r="U1375">
        <f>IF(AND($A1375&lt;&gt;"",$B1375&lt;&gt;"",$R1375='تقرير الفصل الأول'!$C$4,$Q1375='تقرير الفصل الأول'!$C$7),COUNT(U$4:U1374)+1,"")</f>
        <v/>
      </c>
      <c r="V1375">
        <f>IF(AND($A1375&lt;&gt;"",$B1375&lt;&gt;"",$R1375='تقرير الفصل الثاني'!$C$4,$Q1375='تقرير الفصل الثاني'!$C$7),COUNT(V$4:V1374)+1,"")</f>
        <v/>
      </c>
      <c r="W1375">
        <f>IF(AND($A1375&lt;&gt;"",$B1375&lt;&gt;"",$R1375='تقرير سبتمبر'!$C$4,$P1375='تقرير سبتمبر'!$C$6),COUNT(W$4:W1374)+1,"")</f>
        <v/>
      </c>
      <c r="X1375">
        <f>IF(AND($A1375&lt;&gt;"",$B1375&lt;&gt;"",$R1375='تقرير أكتوبر'!$C$4,$P1375='تقرير أكتوبر'!$C$6),COUNT(X$4:X1374)+1,"")</f>
        <v/>
      </c>
      <c r="Y1375">
        <f>IF(AND($A1375&lt;&gt;"",$B1375&lt;&gt;"",$R1375='تقرير نوفمبر'!$C$4,$P1375='تقرير نوفمبر'!$C$6),COUNT(Y$4:Y1374)+1,"")</f>
        <v/>
      </c>
      <c r="Z1375">
        <f>IF(AND($A1375&lt;&gt;"",$B1375&lt;&gt;"",$R1375='تقرير ديسمبر'!$C$4,$P1375='تقرير ديسمبر'!$C$6),COUNT(Z$4:Z1374)+1,"")</f>
        <v/>
      </c>
      <c r="AA1375">
        <f>IF(AND($A1375&lt;&gt;"",$B1375&lt;&gt;"",$R1375='تقرير يناير'!$C$4,$P1375='تقرير يناير'!$C$6),COUNT(AA$4:AA1374)+1,"")</f>
        <v/>
      </c>
      <c r="AB1375">
        <f>IF(AND($A1375&lt;&gt;"",$B1375&lt;&gt;"",$R1375='تقرير فبراير'!$C$4,$P1375='تقرير فبراير'!$C$6),COUNT(AB$4:AB1374)+1,"")</f>
        <v/>
      </c>
      <c r="AC1375">
        <f>IF(AND($A1375&lt;&gt;"",$B1375&lt;&gt;"",$R1375='تقرير مارس'!$C$4,$P1375='تقرير مارس'!$C$6),COUNT(AC$4:AC1374)+1,"")</f>
        <v/>
      </c>
      <c r="AD1375">
        <f>IF(AND($A1375&lt;&gt;"",$B1375&lt;&gt;"",$R1375='تقرير أبريل'!$C$4,$P1375='تقرير أبريل'!$C$6),COUNT(AD$4:AD1374)+1,"")</f>
        <v/>
      </c>
      <c r="AE1375">
        <f>IF(AND($A1375&lt;&gt;"",$B1375&lt;&gt;"",$R1375='تقرير مايو'!$C$4,$P1375='تقرير مايو'!$C$6),COUNT(AE$4:AE1374)+1,"")</f>
        <v/>
      </c>
    </row>
    <row r="1376">
      <c r="A1376" s="16" t="n"/>
      <c r="B1376" s="17" t="n"/>
      <c r="C1376" s="17" t="n"/>
      <c r="D1376" s="18" t="n"/>
      <c r="E1376" s="17" t="n"/>
      <c r="F1376" s="17" t="n"/>
      <c r="G1376" s="19" t="n"/>
      <c r="H1376" s="17" t="n"/>
      <c r="I1376" s="17" t="n"/>
      <c r="J1376" s="17" t="n"/>
      <c r="K1376" s="20">
        <f>IF($B1376="","",IFERROR(INDEX(الموظفات!$A$5:$A$304,MATCH($B1376,الموظفات!$B$5:$B$304,0))&amp;"",""))</f>
        <v/>
      </c>
      <c r="L1376" s="21">
        <f>IF($B1376="","",IFERROR(INDEX(الموظفات!$C$5:$C$304,MATCH($B1376,الموظفات!$B$5:$B$304,0))&amp;"",""))</f>
        <v/>
      </c>
      <c r="M1376" s="20">
        <f>IF($B1376="","",IFERROR(INDEX(الموظفات!$D$5:$D$304,MATCH($B1376,الموظفات!$B$5:$B$304,0))&amp;"",""))</f>
        <v/>
      </c>
      <c r="N1376" s="20">
        <f>IF($B1376="","",IFERROR(INDEX(الموظفات!$E$5:$E$304,MATCH($B1376,الموظفات!$B$5:$B$304,0))&amp;"",""))</f>
        <v/>
      </c>
      <c r="O1376" s="21">
        <f>IF(C1376="","",IFERROR(INDEX(الإعدادات!$D$7:$D$35,MATCH(C1376,الإعدادات!$A$7:$A$35,0))&amp;"",""))</f>
        <v/>
      </c>
      <c r="P1376" s="20">
        <f>IF(A1376="","",INDEX(الإعدادات!$H$7:$H$18,MONTH(A1376)))</f>
        <v/>
      </c>
      <c r="Q1376" s="20">
        <f>IF(A1376="","",INDEX(الإعدادات!$I$7:$I$18,MONTH(A1376)))</f>
        <v/>
      </c>
      <c r="R1376" s="20">
        <f>IF(A1376="","",IF(MONTH(A1376)&gt;=8,YEAR(A1376)&amp;"-"&amp;(YEAR(A1376)+1),(YEAR(A1376)-1)&amp;"-"&amp;YEAR(A1376)))</f>
        <v/>
      </c>
      <c r="S1376" s="20">
        <f>IF(OR(A1376="",B1376=""),0,IF(AND(R1376=التقارير!$C$4,OR(التقارير!$C$5="سنوي",AND(التقارير!$C$5="شهري",P1376=التقارير!$C$6),AND(التقارير!$C$5="فصلي",Q1376=التقارير!$C$7))),1,0))</f>
        <v/>
      </c>
      <c r="T1376" s="20">
        <f>IF(S1376=1,COUNTIF($S$5:S1376,1),"")</f>
        <v/>
      </c>
      <c r="U1376">
        <f>IF(AND($A1376&lt;&gt;"",$B1376&lt;&gt;"",$R1376='تقرير الفصل الأول'!$C$4,$Q1376='تقرير الفصل الأول'!$C$7),COUNT(U$4:U1375)+1,"")</f>
        <v/>
      </c>
      <c r="V1376">
        <f>IF(AND($A1376&lt;&gt;"",$B1376&lt;&gt;"",$R1376='تقرير الفصل الثاني'!$C$4,$Q1376='تقرير الفصل الثاني'!$C$7),COUNT(V$4:V1375)+1,"")</f>
        <v/>
      </c>
      <c r="W1376">
        <f>IF(AND($A1376&lt;&gt;"",$B1376&lt;&gt;"",$R1376='تقرير سبتمبر'!$C$4,$P1376='تقرير سبتمبر'!$C$6),COUNT(W$4:W1375)+1,"")</f>
        <v/>
      </c>
      <c r="X1376">
        <f>IF(AND($A1376&lt;&gt;"",$B1376&lt;&gt;"",$R1376='تقرير أكتوبر'!$C$4,$P1376='تقرير أكتوبر'!$C$6),COUNT(X$4:X1375)+1,"")</f>
        <v/>
      </c>
      <c r="Y1376">
        <f>IF(AND($A1376&lt;&gt;"",$B1376&lt;&gt;"",$R1376='تقرير نوفمبر'!$C$4,$P1376='تقرير نوفمبر'!$C$6),COUNT(Y$4:Y1375)+1,"")</f>
        <v/>
      </c>
      <c r="Z1376">
        <f>IF(AND($A1376&lt;&gt;"",$B1376&lt;&gt;"",$R1376='تقرير ديسمبر'!$C$4,$P1376='تقرير ديسمبر'!$C$6),COUNT(Z$4:Z1375)+1,"")</f>
        <v/>
      </c>
      <c r="AA1376">
        <f>IF(AND($A1376&lt;&gt;"",$B1376&lt;&gt;"",$R1376='تقرير يناير'!$C$4,$P1376='تقرير يناير'!$C$6),COUNT(AA$4:AA1375)+1,"")</f>
        <v/>
      </c>
      <c r="AB1376">
        <f>IF(AND($A1376&lt;&gt;"",$B1376&lt;&gt;"",$R1376='تقرير فبراير'!$C$4,$P1376='تقرير فبراير'!$C$6),COUNT(AB$4:AB1375)+1,"")</f>
        <v/>
      </c>
      <c r="AC1376">
        <f>IF(AND($A1376&lt;&gt;"",$B1376&lt;&gt;"",$R1376='تقرير مارس'!$C$4,$P1376='تقرير مارس'!$C$6),COUNT(AC$4:AC1375)+1,"")</f>
        <v/>
      </c>
      <c r="AD1376">
        <f>IF(AND($A1376&lt;&gt;"",$B1376&lt;&gt;"",$R1376='تقرير أبريل'!$C$4,$P1376='تقرير أبريل'!$C$6),COUNT(AD$4:AD1375)+1,"")</f>
        <v/>
      </c>
      <c r="AE1376">
        <f>IF(AND($A1376&lt;&gt;"",$B1376&lt;&gt;"",$R1376='تقرير مايو'!$C$4,$P1376='تقرير مايو'!$C$6),COUNT(AE$4:AE1375)+1,"")</f>
        <v/>
      </c>
    </row>
    <row r="1377">
      <c r="A1377" s="16" t="n"/>
      <c r="B1377" s="17" t="n"/>
      <c r="C1377" s="17" t="n"/>
      <c r="D1377" s="18" t="n"/>
      <c r="E1377" s="17" t="n"/>
      <c r="F1377" s="17" t="n"/>
      <c r="G1377" s="19" t="n"/>
      <c r="H1377" s="17" t="n"/>
      <c r="I1377" s="17" t="n"/>
      <c r="J1377" s="17" t="n"/>
      <c r="K1377" s="20">
        <f>IF($B1377="","",IFERROR(INDEX(الموظفات!$A$5:$A$304,MATCH($B1377,الموظفات!$B$5:$B$304,0))&amp;"",""))</f>
        <v/>
      </c>
      <c r="L1377" s="21">
        <f>IF($B1377="","",IFERROR(INDEX(الموظفات!$C$5:$C$304,MATCH($B1377,الموظفات!$B$5:$B$304,0))&amp;"",""))</f>
        <v/>
      </c>
      <c r="M1377" s="20">
        <f>IF($B1377="","",IFERROR(INDEX(الموظفات!$D$5:$D$304,MATCH($B1377,الموظفات!$B$5:$B$304,0))&amp;"",""))</f>
        <v/>
      </c>
      <c r="N1377" s="20">
        <f>IF($B1377="","",IFERROR(INDEX(الموظفات!$E$5:$E$304,MATCH($B1377,الموظفات!$B$5:$B$304,0))&amp;"",""))</f>
        <v/>
      </c>
      <c r="O1377" s="21">
        <f>IF(C1377="","",IFERROR(INDEX(الإعدادات!$D$7:$D$35,MATCH(C1377,الإعدادات!$A$7:$A$35,0))&amp;"",""))</f>
        <v/>
      </c>
      <c r="P1377" s="20">
        <f>IF(A1377="","",INDEX(الإعدادات!$H$7:$H$18,MONTH(A1377)))</f>
        <v/>
      </c>
      <c r="Q1377" s="20">
        <f>IF(A1377="","",INDEX(الإعدادات!$I$7:$I$18,MONTH(A1377)))</f>
        <v/>
      </c>
      <c r="R1377" s="20">
        <f>IF(A1377="","",IF(MONTH(A1377)&gt;=8,YEAR(A1377)&amp;"-"&amp;(YEAR(A1377)+1),(YEAR(A1377)-1)&amp;"-"&amp;YEAR(A1377)))</f>
        <v/>
      </c>
      <c r="S1377" s="20">
        <f>IF(OR(A1377="",B1377=""),0,IF(AND(R1377=التقارير!$C$4,OR(التقارير!$C$5="سنوي",AND(التقارير!$C$5="شهري",P1377=التقارير!$C$6),AND(التقارير!$C$5="فصلي",Q1377=التقارير!$C$7))),1,0))</f>
        <v/>
      </c>
      <c r="T1377" s="20">
        <f>IF(S1377=1,COUNTIF($S$5:S1377,1),"")</f>
        <v/>
      </c>
      <c r="U1377">
        <f>IF(AND($A1377&lt;&gt;"",$B1377&lt;&gt;"",$R1377='تقرير الفصل الأول'!$C$4,$Q1377='تقرير الفصل الأول'!$C$7),COUNT(U$4:U1376)+1,"")</f>
        <v/>
      </c>
      <c r="V1377">
        <f>IF(AND($A1377&lt;&gt;"",$B1377&lt;&gt;"",$R1377='تقرير الفصل الثاني'!$C$4,$Q1377='تقرير الفصل الثاني'!$C$7),COUNT(V$4:V1376)+1,"")</f>
        <v/>
      </c>
      <c r="W1377">
        <f>IF(AND($A1377&lt;&gt;"",$B1377&lt;&gt;"",$R1377='تقرير سبتمبر'!$C$4,$P1377='تقرير سبتمبر'!$C$6),COUNT(W$4:W1376)+1,"")</f>
        <v/>
      </c>
      <c r="X1377">
        <f>IF(AND($A1377&lt;&gt;"",$B1377&lt;&gt;"",$R1377='تقرير أكتوبر'!$C$4,$P1377='تقرير أكتوبر'!$C$6),COUNT(X$4:X1376)+1,"")</f>
        <v/>
      </c>
      <c r="Y1377">
        <f>IF(AND($A1377&lt;&gt;"",$B1377&lt;&gt;"",$R1377='تقرير نوفمبر'!$C$4,$P1377='تقرير نوفمبر'!$C$6),COUNT(Y$4:Y1376)+1,"")</f>
        <v/>
      </c>
      <c r="Z1377">
        <f>IF(AND($A1377&lt;&gt;"",$B1377&lt;&gt;"",$R1377='تقرير ديسمبر'!$C$4,$P1377='تقرير ديسمبر'!$C$6),COUNT(Z$4:Z1376)+1,"")</f>
        <v/>
      </c>
      <c r="AA1377">
        <f>IF(AND($A1377&lt;&gt;"",$B1377&lt;&gt;"",$R1377='تقرير يناير'!$C$4,$P1377='تقرير يناير'!$C$6),COUNT(AA$4:AA1376)+1,"")</f>
        <v/>
      </c>
      <c r="AB1377">
        <f>IF(AND($A1377&lt;&gt;"",$B1377&lt;&gt;"",$R1377='تقرير فبراير'!$C$4,$P1377='تقرير فبراير'!$C$6),COUNT(AB$4:AB1376)+1,"")</f>
        <v/>
      </c>
      <c r="AC1377">
        <f>IF(AND($A1377&lt;&gt;"",$B1377&lt;&gt;"",$R1377='تقرير مارس'!$C$4,$P1377='تقرير مارس'!$C$6),COUNT(AC$4:AC1376)+1,"")</f>
        <v/>
      </c>
      <c r="AD1377">
        <f>IF(AND($A1377&lt;&gt;"",$B1377&lt;&gt;"",$R1377='تقرير أبريل'!$C$4,$P1377='تقرير أبريل'!$C$6),COUNT(AD$4:AD1376)+1,"")</f>
        <v/>
      </c>
      <c r="AE1377">
        <f>IF(AND($A1377&lt;&gt;"",$B1377&lt;&gt;"",$R1377='تقرير مايو'!$C$4,$P1377='تقرير مايو'!$C$6),COUNT(AE$4:AE1376)+1,"")</f>
        <v/>
      </c>
    </row>
    <row r="1378">
      <c r="A1378" s="16" t="n"/>
      <c r="B1378" s="17" t="n"/>
      <c r="C1378" s="17" t="n"/>
      <c r="D1378" s="18" t="n"/>
      <c r="E1378" s="17" t="n"/>
      <c r="F1378" s="17" t="n"/>
      <c r="G1378" s="19" t="n"/>
      <c r="H1378" s="17" t="n"/>
      <c r="I1378" s="17" t="n"/>
      <c r="J1378" s="17" t="n"/>
      <c r="K1378" s="20">
        <f>IF($B1378="","",IFERROR(INDEX(الموظفات!$A$5:$A$304,MATCH($B1378,الموظفات!$B$5:$B$304,0))&amp;"",""))</f>
        <v/>
      </c>
      <c r="L1378" s="21">
        <f>IF($B1378="","",IFERROR(INDEX(الموظفات!$C$5:$C$304,MATCH($B1378,الموظفات!$B$5:$B$304,0))&amp;"",""))</f>
        <v/>
      </c>
      <c r="M1378" s="20">
        <f>IF($B1378="","",IFERROR(INDEX(الموظفات!$D$5:$D$304,MATCH($B1378,الموظفات!$B$5:$B$304,0))&amp;"",""))</f>
        <v/>
      </c>
      <c r="N1378" s="20">
        <f>IF($B1378="","",IFERROR(INDEX(الموظفات!$E$5:$E$304,MATCH($B1378,الموظفات!$B$5:$B$304,0))&amp;"",""))</f>
        <v/>
      </c>
      <c r="O1378" s="21">
        <f>IF(C1378="","",IFERROR(INDEX(الإعدادات!$D$7:$D$35,MATCH(C1378,الإعدادات!$A$7:$A$35,0))&amp;"",""))</f>
        <v/>
      </c>
      <c r="P1378" s="20">
        <f>IF(A1378="","",INDEX(الإعدادات!$H$7:$H$18,MONTH(A1378)))</f>
        <v/>
      </c>
      <c r="Q1378" s="20">
        <f>IF(A1378="","",INDEX(الإعدادات!$I$7:$I$18,MONTH(A1378)))</f>
        <v/>
      </c>
      <c r="R1378" s="20">
        <f>IF(A1378="","",IF(MONTH(A1378)&gt;=8,YEAR(A1378)&amp;"-"&amp;(YEAR(A1378)+1),(YEAR(A1378)-1)&amp;"-"&amp;YEAR(A1378)))</f>
        <v/>
      </c>
      <c r="S1378" s="20">
        <f>IF(OR(A1378="",B1378=""),0,IF(AND(R1378=التقارير!$C$4,OR(التقارير!$C$5="سنوي",AND(التقارير!$C$5="شهري",P1378=التقارير!$C$6),AND(التقارير!$C$5="فصلي",Q1378=التقارير!$C$7))),1,0))</f>
        <v/>
      </c>
      <c r="T1378" s="20">
        <f>IF(S1378=1,COUNTIF($S$5:S1378,1),"")</f>
        <v/>
      </c>
      <c r="U1378">
        <f>IF(AND($A1378&lt;&gt;"",$B1378&lt;&gt;"",$R1378='تقرير الفصل الأول'!$C$4,$Q1378='تقرير الفصل الأول'!$C$7),COUNT(U$4:U1377)+1,"")</f>
        <v/>
      </c>
      <c r="V1378">
        <f>IF(AND($A1378&lt;&gt;"",$B1378&lt;&gt;"",$R1378='تقرير الفصل الثاني'!$C$4,$Q1378='تقرير الفصل الثاني'!$C$7),COUNT(V$4:V1377)+1,"")</f>
        <v/>
      </c>
      <c r="W1378">
        <f>IF(AND($A1378&lt;&gt;"",$B1378&lt;&gt;"",$R1378='تقرير سبتمبر'!$C$4,$P1378='تقرير سبتمبر'!$C$6),COUNT(W$4:W1377)+1,"")</f>
        <v/>
      </c>
      <c r="X1378">
        <f>IF(AND($A1378&lt;&gt;"",$B1378&lt;&gt;"",$R1378='تقرير أكتوبر'!$C$4,$P1378='تقرير أكتوبر'!$C$6),COUNT(X$4:X1377)+1,"")</f>
        <v/>
      </c>
      <c r="Y1378">
        <f>IF(AND($A1378&lt;&gt;"",$B1378&lt;&gt;"",$R1378='تقرير نوفمبر'!$C$4,$P1378='تقرير نوفمبر'!$C$6),COUNT(Y$4:Y1377)+1,"")</f>
        <v/>
      </c>
      <c r="Z1378">
        <f>IF(AND($A1378&lt;&gt;"",$B1378&lt;&gt;"",$R1378='تقرير ديسمبر'!$C$4,$P1378='تقرير ديسمبر'!$C$6),COUNT(Z$4:Z1377)+1,"")</f>
        <v/>
      </c>
      <c r="AA1378">
        <f>IF(AND($A1378&lt;&gt;"",$B1378&lt;&gt;"",$R1378='تقرير يناير'!$C$4,$P1378='تقرير يناير'!$C$6),COUNT(AA$4:AA1377)+1,"")</f>
        <v/>
      </c>
      <c r="AB1378">
        <f>IF(AND($A1378&lt;&gt;"",$B1378&lt;&gt;"",$R1378='تقرير فبراير'!$C$4,$P1378='تقرير فبراير'!$C$6),COUNT(AB$4:AB1377)+1,"")</f>
        <v/>
      </c>
      <c r="AC1378">
        <f>IF(AND($A1378&lt;&gt;"",$B1378&lt;&gt;"",$R1378='تقرير مارس'!$C$4,$P1378='تقرير مارس'!$C$6),COUNT(AC$4:AC1377)+1,"")</f>
        <v/>
      </c>
      <c r="AD1378">
        <f>IF(AND($A1378&lt;&gt;"",$B1378&lt;&gt;"",$R1378='تقرير أبريل'!$C$4,$P1378='تقرير أبريل'!$C$6),COUNT(AD$4:AD1377)+1,"")</f>
        <v/>
      </c>
      <c r="AE1378">
        <f>IF(AND($A1378&lt;&gt;"",$B1378&lt;&gt;"",$R1378='تقرير مايو'!$C$4,$P1378='تقرير مايو'!$C$6),COUNT(AE$4:AE1377)+1,"")</f>
        <v/>
      </c>
    </row>
    <row r="1379">
      <c r="A1379" s="16" t="n"/>
      <c r="B1379" s="17" t="n"/>
      <c r="C1379" s="17" t="n"/>
      <c r="D1379" s="18" t="n"/>
      <c r="E1379" s="17" t="n"/>
      <c r="F1379" s="17" t="n"/>
      <c r="G1379" s="19" t="n"/>
      <c r="H1379" s="17" t="n"/>
      <c r="I1379" s="17" t="n"/>
      <c r="J1379" s="17" t="n"/>
      <c r="K1379" s="20">
        <f>IF($B1379="","",IFERROR(INDEX(الموظفات!$A$5:$A$304,MATCH($B1379,الموظفات!$B$5:$B$304,0))&amp;"",""))</f>
        <v/>
      </c>
      <c r="L1379" s="21">
        <f>IF($B1379="","",IFERROR(INDEX(الموظفات!$C$5:$C$304,MATCH($B1379,الموظفات!$B$5:$B$304,0))&amp;"",""))</f>
        <v/>
      </c>
      <c r="M1379" s="20">
        <f>IF($B1379="","",IFERROR(INDEX(الموظفات!$D$5:$D$304,MATCH($B1379,الموظفات!$B$5:$B$304,0))&amp;"",""))</f>
        <v/>
      </c>
      <c r="N1379" s="20">
        <f>IF($B1379="","",IFERROR(INDEX(الموظفات!$E$5:$E$304,MATCH($B1379,الموظفات!$B$5:$B$304,0))&amp;"",""))</f>
        <v/>
      </c>
      <c r="O1379" s="21">
        <f>IF(C1379="","",IFERROR(INDEX(الإعدادات!$D$7:$D$35,MATCH(C1379,الإعدادات!$A$7:$A$35,0))&amp;"",""))</f>
        <v/>
      </c>
      <c r="P1379" s="20">
        <f>IF(A1379="","",INDEX(الإعدادات!$H$7:$H$18,MONTH(A1379)))</f>
        <v/>
      </c>
      <c r="Q1379" s="20">
        <f>IF(A1379="","",INDEX(الإعدادات!$I$7:$I$18,MONTH(A1379)))</f>
        <v/>
      </c>
      <c r="R1379" s="20">
        <f>IF(A1379="","",IF(MONTH(A1379)&gt;=8,YEAR(A1379)&amp;"-"&amp;(YEAR(A1379)+1),(YEAR(A1379)-1)&amp;"-"&amp;YEAR(A1379)))</f>
        <v/>
      </c>
      <c r="S1379" s="20">
        <f>IF(OR(A1379="",B1379=""),0,IF(AND(R1379=التقارير!$C$4,OR(التقارير!$C$5="سنوي",AND(التقارير!$C$5="شهري",P1379=التقارير!$C$6),AND(التقارير!$C$5="فصلي",Q1379=التقارير!$C$7))),1,0))</f>
        <v/>
      </c>
      <c r="T1379" s="20">
        <f>IF(S1379=1,COUNTIF($S$5:S1379,1),"")</f>
        <v/>
      </c>
      <c r="U1379">
        <f>IF(AND($A1379&lt;&gt;"",$B1379&lt;&gt;"",$R1379='تقرير الفصل الأول'!$C$4,$Q1379='تقرير الفصل الأول'!$C$7),COUNT(U$4:U1378)+1,"")</f>
        <v/>
      </c>
      <c r="V1379">
        <f>IF(AND($A1379&lt;&gt;"",$B1379&lt;&gt;"",$R1379='تقرير الفصل الثاني'!$C$4,$Q1379='تقرير الفصل الثاني'!$C$7),COUNT(V$4:V1378)+1,"")</f>
        <v/>
      </c>
      <c r="W1379">
        <f>IF(AND($A1379&lt;&gt;"",$B1379&lt;&gt;"",$R1379='تقرير سبتمبر'!$C$4,$P1379='تقرير سبتمبر'!$C$6),COUNT(W$4:W1378)+1,"")</f>
        <v/>
      </c>
      <c r="X1379">
        <f>IF(AND($A1379&lt;&gt;"",$B1379&lt;&gt;"",$R1379='تقرير أكتوبر'!$C$4,$P1379='تقرير أكتوبر'!$C$6),COUNT(X$4:X1378)+1,"")</f>
        <v/>
      </c>
      <c r="Y1379">
        <f>IF(AND($A1379&lt;&gt;"",$B1379&lt;&gt;"",$R1379='تقرير نوفمبر'!$C$4,$P1379='تقرير نوفمبر'!$C$6),COUNT(Y$4:Y1378)+1,"")</f>
        <v/>
      </c>
      <c r="Z1379">
        <f>IF(AND($A1379&lt;&gt;"",$B1379&lt;&gt;"",$R1379='تقرير ديسمبر'!$C$4,$P1379='تقرير ديسمبر'!$C$6),COUNT(Z$4:Z1378)+1,"")</f>
        <v/>
      </c>
      <c r="AA1379">
        <f>IF(AND($A1379&lt;&gt;"",$B1379&lt;&gt;"",$R1379='تقرير يناير'!$C$4,$P1379='تقرير يناير'!$C$6),COUNT(AA$4:AA1378)+1,"")</f>
        <v/>
      </c>
      <c r="AB1379">
        <f>IF(AND($A1379&lt;&gt;"",$B1379&lt;&gt;"",$R1379='تقرير فبراير'!$C$4,$P1379='تقرير فبراير'!$C$6),COUNT(AB$4:AB1378)+1,"")</f>
        <v/>
      </c>
      <c r="AC1379">
        <f>IF(AND($A1379&lt;&gt;"",$B1379&lt;&gt;"",$R1379='تقرير مارس'!$C$4,$P1379='تقرير مارس'!$C$6),COUNT(AC$4:AC1378)+1,"")</f>
        <v/>
      </c>
      <c r="AD1379">
        <f>IF(AND($A1379&lt;&gt;"",$B1379&lt;&gt;"",$R1379='تقرير أبريل'!$C$4,$P1379='تقرير أبريل'!$C$6),COUNT(AD$4:AD1378)+1,"")</f>
        <v/>
      </c>
      <c r="AE1379">
        <f>IF(AND($A1379&lt;&gt;"",$B1379&lt;&gt;"",$R1379='تقرير مايو'!$C$4,$P1379='تقرير مايو'!$C$6),COUNT(AE$4:AE1378)+1,"")</f>
        <v/>
      </c>
    </row>
    <row r="1380">
      <c r="A1380" s="16" t="n"/>
      <c r="B1380" s="17" t="n"/>
      <c r="C1380" s="17" t="n"/>
      <c r="D1380" s="18" t="n"/>
      <c r="E1380" s="17" t="n"/>
      <c r="F1380" s="17" t="n"/>
      <c r="G1380" s="19" t="n"/>
      <c r="H1380" s="17" t="n"/>
      <c r="I1380" s="17" t="n"/>
      <c r="J1380" s="17" t="n"/>
      <c r="K1380" s="20">
        <f>IF($B1380="","",IFERROR(INDEX(الموظفات!$A$5:$A$304,MATCH($B1380,الموظفات!$B$5:$B$304,0))&amp;"",""))</f>
        <v/>
      </c>
      <c r="L1380" s="21">
        <f>IF($B1380="","",IFERROR(INDEX(الموظفات!$C$5:$C$304,MATCH($B1380,الموظفات!$B$5:$B$304,0))&amp;"",""))</f>
        <v/>
      </c>
      <c r="M1380" s="20">
        <f>IF($B1380="","",IFERROR(INDEX(الموظفات!$D$5:$D$304,MATCH($B1380,الموظفات!$B$5:$B$304,0))&amp;"",""))</f>
        <v/>
      </c>
      <c r="N1380" s="20">
        <f>IF($B1380="","",IFERROR(INDEX(الموظفات!$E$5:$E$304,MATCH($B1380,الموظفات!$B$5:$B$304,0))&amp;"",""))</f>
        <v/>
      </c>
      <c r="O1380" s="21">
        <f>IF(C1380="","",IFERROR(INDEX(الإعدادات!$D$7:$D$35,MATCH(C1380,الإعدادات!$A$7:$A$35,0))&amp;"",""))</f>
        <v/>
      </c>
      <c r="P1380" s="20">
        <f>IF(A1380="","",INDEX(الإعدادات!$H$7:$H$18,MONTH(A1380)))</f>
        <v/>
      </c>
      <c r="Q1380" s="20">
        <f>IF(A1380="","",INDEX(الإعدادات!$I$7:$I$18,MONTH(A1380)))</f>
        <v/>
      </c>
      <c r="R1380" s="20">
        <f>IF(A1380="","",IF(MONTH(A1380)&gt;=8,YEAR(A1380)&amp;"-"&amp;(YEAR(A1380)+1),(YEAR(A1380)-1)&amp;"-"&amp;YEAR(A1380)))</f>
        <v/>
      </c>
      <c r="S1380" s="20">
        <f>IF(OR(A1380="",B1380=""),0,IF(AND(R1380=التقارير!$C$4,OR(التقارير!$C$5="سنوي",AND(التقارير!$C$5="شهري",P1380=التقارير!$C$6),AND(التقارير!$C$5="فصلي",Q1380=التقارير!$C$7))),1,0))</f>
        <v/>
      </c>
      <c r="T1380" s="20">
        <f>IF(S1380=1,COUNTIF($S$5:S1380,1),"")</f>
        <v/>
      </c>
      <c r="U1380">
        <f>IF(AND($A1380&lt;&gt;"",$B1380&lt;&gt;"",$R1380='تقرير الفصل الأول'!$C$4,$Q1380='تقرير الفصل الأول'!$C$7),COUNT(U$4:U1379)+1,"")</f>
        <v/>
      </c>
      <c r="V1380">
        <f>IF(AND($A1380&lt;&gt;"",$B1380&lt;&gt;"",$R1380='تقرير الفصل الثاني'!$C$4,$Q1380='تقرير الفصل الثاني'!$C$7),COUNT(V$4:V1379)+1,"")</f>
        <v/>
      </c>
      <c r="W1380">
        <f>IF(AND($A1380&lt;&gt;"",$B1380&lt;&gt;"",$R1380='تقرير سبتمبر'!$C$4,$P1380='تقرير سبتمبر'!$C$6),COUNT(W$4:W1379)+1,"")</f>
        <v/>
      </c>
      <c r="X1380">
        <f>IF(AND($A1380&lt;&gt;"",$B1380&lt;&gt;"",$R1380='تقرير أكتوبر'!$C$4,$P1380='تقرير أكتوبر'!$C$6),COUNT(X$4:X1379)+1,"")</f>
        <v/>
      </c>
      <c r="Y1380">
        <f>IF(AND($A1380&lt;&gt;"",$B1380&lt;&gt;"",$R1380='تقرير نوفمبر'!$C$4,$P1380='تقرير نوفمبر'!$C$6),COUNT(Y$4:Y1379)+1,"")</f>
        <v/>
      </c>
      <c r="Z1380">
        <f>IF(AND($A1380&lt;&gt;"",$B1380&lt;&gt;"",$R1380='تقرير ديسمبر'!$C$4,$P1380='تقرير ديسمبر'!$C$6),COUNT(Z$4:Z1379)+1,"")</f>
        <v/>
      </c>
      <c r="AA1380">
        <f>IF(AND($A1380&lt;&gt;"",$B1380&lt;&gt;"",$R1380='تقرير يناير'!$C$4,$P1380='تقرير يناير'!$C$6),COUNT(AA$4:AA1379)+1,"")</f>
        <v/>
      </c>
      <c r="AB1380">
        <f>IF(AND($A1380&lt;&gt;"",$B1380&lt;&gt;"",$R1380='تقرير فبراير'!$C$4,$P1380='تقرير فبراير'!$C$6),COUNT(AB$4:AB1379)+1,"")</f>
        <v/>
      </c>
      <c r="AC1380">
        <f>IF(AND($A1380&lt;&gt;"",$B1380&lt;&gt;"",$R1380='تقرير مارس'!$C$4,$P1380='تقرير مارس'!$C$6),COUNT(AC$4:AC1379)+1,"")</f>
        <v/>
      </c>
      <c r="AD1380">
        <f>IF(AND($A1380&lt;&gt;"",$B1380&lt;&gt;"",$R1380='تقرير أبريل'!$C$4,$P1380='تقرير أبريل'!$C$6),COUNT(AD$4:AD1379)+1,"")</f>
        <v/>
      </c>
      <c r="AE1380">
        <f>IF(AND($A1380&lt;&gt;"",$B1380&lt;&gt;"",$R1380='تقرير مايو'!$C$4,$P1380='تقرير مايو'!$C$6),COUNT(AE$4:AE1379)+1,"")</f>
        <v/>
      </c>
    </row>
    <row r="1381">
      <c r="A1381" s="16" t="n"/>
      <c r="B1381" s="17" t="n"/>
      <c r="C1381" s="17" t="n"/>
      <c r="D1381" s="18" t="n"/>
      <c r="E1381" s="17" t="n"/>
      <c r="F1381" s="17" t="n"/>
      <c r="G1381" s="19" t="n"/>
      <c r="H1381" s="17" t="n"/>
      <c r="I1381" s="17" t="n"/>
      <c r="J1381" s="17" t="n"/>
      <c r="K1381" s="20">
        <f>IF($B1381="","",IFERROR(INDEX(الموظفات!$A$5:$A$304,MATCH($B1381,الموظفات!$B$5:$B$304,0))&amp;"",""))</f>
        <v/>
      </c>
      <c r="L1381" s="21">
        <f>IF($B1381="","",IFERROR(INDEX(الموظفات!$C$5:$C$304,MATCH($B1381,الموظفات!$B$5:$B$304,0))&amp;"",""))</f>
        <v/>
      </c>
      <c r="M1381" s="20">
        <f>IF($B1381="","",IFERROR(INDEX(الموظفات!$D$5:$D$304,MATCH($B1381,الموظفات!$B$5:$B$304,0))&amp;"",""))</f>
        <v/>
      </c>
      <c r="N1381" s="20">
        <f>IF($B1381="","",IFERROR(INDEX(الموظفات!$E$5:$E$304,MATCH($B1381,الموظفات!$B$5:$B$304,0))&amp;"",""))</f>
        <v/>
      </c>
      <c r="O1381" s="21">
        <f>IF(C1381="","",IFERROR(INDEX(الإعدادات!$D$7:$D$35,MATCH(C1381,الإعدادات!$A$7:$A$35,0))&amp;"",""))</f>
        <v/>
      </c>
      <c r="P1381" s="20">
        <f>IF(A1381="","",INDEX(الإعدادات!$H$7:$H$18,MONTH(A1381)))</f>
        <v/>
      </c>
      <c r="Q1381" s="20">
        <f>IF(A1381="","",INDEX(الإعدادات!$I$7:$I$18,MONTH(A1381)))</f>
        <v/>
      </c>
      <c r="R1381" s="20">
        <f>IF(A1381="","",IF(MONTH(A1381)&gt;=8,YEAR(A1381)&amp;"-"&amp;(YEAR(A1381)+1),(YEAR(A1381)-1)&amp;"-"&amp;YEAR(A1381)))</f>
        <v/>
      </c>
      <c r="S1381" s="20">
        <f>IF(OR(A1381="",B1381=""),0,IF(AND(R1381=التقارير!$C$4,OR(التقارير!$C$5="سنوي",AND(التقارير!$C$5="شهري",P1381=التقارير!$C$6),AND(التقارير!$C$5="فصلي",Q1381=التقارير!$C$7))),1,0))</f>
        <v/>
      </c>
      <c r="T1381" s="20">
        <f>IF(S1381=1,COUNTIF($S$5:S1381,1),"")</f>
        <v/>
      </c>
      <c r="U1381">
        <f>IF(AND($A1381&lt;&gt;"",$B1381&lt;&gt;"",$R1381='تقرير الفصل الأول'!$C$4,$Q1381='تقرير الفصل الأول'!$C$7),COUNT(U$4:U1380)+1,"")</f>
        <v/>
      </c>
      <c r="V1381">
        <f>IF(AND($A1381&lt;&gt;"",$B1381&lt;&gt;"",$R1381='تقرير الفصل الثاني'!$C$4,$Q1381='تقرير الفصل الثاني'!$C$7),COUNT(V$4:V1380)+1,"")</f>
        <v/>
      </c>
      <c r="W1381">
        <f>IF(AND($A1381&lt;&gt;"",$B1381&lt;&gt;"",$R1381='تقرير سبتمبر'!$C$4,$P1381='تقرير سبتمبر'!$C$6),COUNT(W$4:W1380)+1,"")</f>
        <v/>
      </c>
      <c r="X1381">
        <f>IF(AND($A1381&lt;&gt;"",$B1381&lt;&gt;"",$R1381='تقرير أكتوبر'!$C$4,$P1381='تقرير أكتوبر'!$C$6),COUNT(X$4:X1380)+1,"")</f>
        <v/>
      </c>
      <c r="Y1381">
        <f>IF(AND($A1381&lt;&gt;"",$B1381&lt;&gt;"",$R1381='تقرير نوفمبر'!$C$4,$P1381='تقرير نوفمبر'!$C$6),COUNT(Y$4:Y1380)+1,"")</f>
        <v/>
      </c>
      <c r="Z1381">
        <f>IF(AND($A1381&lt;&gt;"",$B1381&lt;&gt;"",$R1381='تقرير ديسمبر'!$C$4,$P1381='تقرير ديسمبر'!$C$6),COUNT(Z$4:Z1380)+1,"")</f>
        <v/>
      </c>
      <c r="AA1381">
        <f>IF(AND($A1381&lt;&gt;"",$B1381&lt;&gt;"",$R1381='تقرير يناير'!$C$4,$P1381='تقرير يناير'!$C$6),COUNT(AA$4:AA1380)+1,"")</f>
        <v/>
      </c>
      <c r="AB1381">
        <f>IF(AND($A1381&lt;&gt;"",$B1381&lt;&gt;"",$R1381='تقرير فبراير'!$C$4,$P1381='تقرير فبراير'!$C$6),COUNT(AB$4:AB1380)+1,"")</f>
        <v/>
      </c>
      <c r="AC1381">
        <f>IF(AND($A1381&lt;&gt;"",$B1381&lt;&gt;"",$R1381='تقرير مارس'!$C$4,$P1381='تقرير مارس'!$C$6),COUNT(AC$4:AC1380)+1,"")</f>
        <v/>
      </c>
      <c r="AD1381">
        <f>IF(AND($A1381&lt;&gt;"",$B1381&lt;&gt;"",$R1381='تقرير أبريل'!$C$4,$P1381='تقرير أبريل'!$C$6),COUNT(AD$4:AD1380)+1,"")</f>
        <v/>
      </c>
      <c r="AE1381">
        <f>IF(AND($A1381&lt;&gt;"",$B1381&lt;&gt;"",$R1381='تقرير مايو'!$C$4,$P1381='تقرير مايو'!$C$6),COUNT(AE$4:AE1380)+1,"")</f>
        <v/>
      </c>
    </row>
    <row r="1382">
      <c r="A1382" s="16" t="n"/>
      <c r="B1382" s="17" t="n"/>
      <c r="C1382" s="17" t="n"/>
      <c r="D1382" s="18" t="n"/>
      <c r="E1382" s="17" t="n"/>
      <c r="F1382" s="17" t="n"/>
      <c r="G1382" s="19" t="n"/>
      <c r="H1382" s="17" t="n"/>
      <c r="I1382" s="17" t="n"/>
      <c r="J1382" s="17" t="n"/>
      <c r="K1382" s="20">
        <f>IF($B1382="","",IFERROR(INDEX(الموظفات!$A$5:$A$304,MATCH($B1382,الموظفات!$B$5:$B$304,0))&amp;"",""))</f>
        <v/>
      </c>
      <c r="L1382" s="21">
        <f>IF($B1382="","",IFERROR(INDEX(الموظفات!$C$5:$C$304,MATCH($B1382,الموظفات!$B$5:$B$304,0))&amp;"",""))</f>
        <v/>
      </c>
      <c r="M1382" s="20">
        <f>IF($B1382="","",IFERROR(INDEX(الموظفات!$D$5:$D$304,MATCH($B1382,الموظفات!$B$5:$B$304,0))&amp;"",""))</f>
        <v/>
      </c>
      <c r="N1382" s="20">
        <f>IF($B1382="","",IFERROR(INDEX(الموظفات!$E$5:$E$304,MATCH($B1382,الموظفات!$B$5:$B$304,0))&amp;"",""))</f>
        <v/>
      </c>
      <c r="O1382" s="21">
        <f>IF(C1382="","",IFERROR(INDEX(الإعدادات!$D$7:$D$35,MATCH(C1382,الإعدادات!$A$7:$A$35,0))&amp;"",""))</f>
        <v/>
      </c>
      <c r="P1382" s="20">
        <f>IF(A1382="","",INDEX(الإعدادات!$H$7:$H$18,MONTH(A1382)))</f>
        <v/>
      </c>
      <c r="Q1382" s="20">
        <f>IF(A1382="","",INDEX(الإعدادات!$I$7:$I$18,MONTH(A1382)))</f>
        <v/>
      </c>
      <c r="R1382" s="20">
        <f>IF(A1382="","",IF(MONTH(A1382)&gt;=8,YEAR(A1382)&amp;"-"&amp;(YEAR(A1382)+1),(YEAR(A1382)-1)&amp;"-"&amp;YEAR(A1382)))</f>
        <v/>
      </c>
      <c r="S1382" s="20">
        <f>IF(OR(A1382="",B1382=""),0,IF(AND(R1382=التقارير!$C$4,OR(التقارير!$C$5="سنوي",AND(التقارير!$C$5="شهري",P1382=التقارير!$C$6),AND(التقارير!$C$5="فصلي",Q1382=التقارير!$C$7))),1,0))</f>
        <v/>
      </c>
      <c r="T1382" s="20">
        <f>IF(S1382=1,COUNTIF($S$5:S1382,1),"")</f>
        <v/>
      </c>
      <c r="U1382">
        <f>IF(AND($A1382&lt;&gt;"",$B1382&lt;&gt;"",$R1382='تقرير الفصل الأول'!$C$4,$Q1382='تقرير الفصل الأول'!$C$7),COUNT(U$4:U1381)+1,"")</f>
        <v/>
      </c>
      <c r="V1382">
        <f>IF(AND($A1382&lt;&gt;"",$B1382&lt;&gt;"",$R1382='تقرير الفصل الثاني'!$C$4,$Q1382='تقرير الفصل الثاني'!$C$7),COUNT(V$4:V1381)+1,"")</f>
        <v/>
      </c>
      <c r="W1382">
        <f>IF(AND($A1382&lt;&gt;"",$B1382&lt;&gt;"",$R1382='تقرير سبتمبر'!$C$4,$P1382='تقرير سبتمبر'!$C$6),COUNT(W$4:W1381)+1,"")</f>
        <v/>
      </c>
      <c r="X1382">
        <f>IF(AND($A1382&lt;&gt;"",$B1382&lt;&gt;"",$R1382='تقرير أكتوبر'!$C$4,$P1382='تقرير أكتوبر'!$C$6),COUNT(X$4:X1381)+1,"")</f>
        <v/>
      </c>
      <c r="Y1382">
        <f>IF(AND($A1382&lt;&gt;"",$B1382&lt;&gt;"",$R1382='تقرير نوفمبر'!$C$4,$P1382='تقرير نوفمبر'!$C$6),COUNT(Y$4:Y1381)+1,"")</f>
        <v/>
      </c>
      <c r="Z1382">
        <f>IF(AND($A1382&lt;&gt;"",$B1382&lt;&gt;"",$R1382='تقرير ديسمبر'!$C$4,$P1382='تقرير ديسمبر'!$C$6),COUNT(Z$4:Z1381)+1,"")</f>
        <v/>
      </c>
      <c r="AA1382">
        <f>IF(AND($A1382&lt;&gt;"",$B1382&lt;&gt;"",$R1382='تقرير يناير'!$C$4,$P1382='تقرير يناير'!$C$6),COUNT(AA$4:AA1381)+1,"")</f>
        <v/>
      </c>
      <c r="AB1382">
        <f>IF(AND($A1382&lt;&gt;"",$B1382&lt;&gt;"",$R1382='تقرير فبراير'!$C$4,$P1382='تقرير فبراير'!$C$6),COUNT(AB$4:AB1381)+1,"")</f>
        <v/>
      </c>
      <c r="AC1382">
        <f>IF(AND($A1382&lt;&gt;"",$B1382&lt;&gt;"",$R1382='تقرير مارس'!$C$4,$P1382='تقرير مارس'!$C$6),COUNT(AC$4:AC1381)+1,"")</f>
        <v/>
      </c>
      <c r="AD1382">
        <f>IF(AND($A1382&lt;&gt;"",$B1382&lt;&gt;"",$R1382='تقرير أبريل'!$C$4,$P1382='تقرير أبريل'!$C$6),COUNT(AD$4:AD1381)+1,"")</f>
        <v/>
      </c>
      <c r="AE1382">
        <f>IF(AND($A1382&lt;&gt;"",$B1382&lt;&gt;"",$R1382='تقرير مايو'!$C$4,$P1382='تقرير مايو'!$C$6),COUNT(AE$4:AE1381)+1,"")</f>
        <v/>
      </c>
    </row>
    <row r="1383">
      <c r="A1383" s="16" t="n"/>
      <c r="B1383" s="17" t="n"/>
      <c r="C1383" s="17" t="n"/>
      <c r="D1383" s="18" t="n"/>
      <c r="E1383" s="17" t="n"/>
      <c r="F1383" s="17" t="n"/>
      <c r="G1383" s="19" t="n"/>
      <c r="H1383" s="17" t="n"/>
      <c r="I1383" s="17" t="n"/>
      <c r="J1383" s="17" t="n"/>
      <c r="K1383" s="20">
        <f>IF($B1383="","",IFERROR(INDEX(الموظفات!$A$5:$A$304,MATCH($B1383,الموظفات!$B$5:$B$304,0))&amp;"",""))</f>
        <v/>
      </c>
      <c r="L1383" s="21">
        <f>IF($B1383="","",IFERROR(INDEX(الموظفات!$C$5:$C$304,MATCH($B1383,الموظفات!$B$5:$B$304,0))&amp;"",""))</f>
        <v/>
      </c>
      <c r="M1383" s="20">
        <f>IF($B1383="","",IFERROR(INDEX(الموظفات!$D$5:$D$304,MATCH($B1383,الموظفات!$B$5:$B$304,0))&amp;"",""))</f>
        <v/>
      </c>
      <c r="N1383" s="20">
        <f>IF($B1383="","",IFERROR(INDEX(الموظفات!$E$5:$E$304,MATCH($B1383,الموظفات!$B$5:$B$304,0))&amp;"",""))</f>
        <v/>
      </c>
      <c r="O1383" s="21">
        <f>IF(C1383="","",IFERROR(INDEX(الإعدادات!$D$7:$D$35,MATCH(C1383,الإعدادات!$A$7:$A$35,0))&amp;"",""))</f>
        <v/>
      </c>
      <c r="P1383" s="20">
        <f>IF(A1383="","",INDEX(الإعدادات!$H$7:$H$18,MONTH(A1383)))</f>
        <v/>
      </c>
      <c r="Q1383" s="20">
        <f>IF(A1383="","",INDEX(الإعدادات!$I$7:$I$18,MONTH(A1383)))</f>
        <v/>
      </c>
      <c r="R1383" s="20">
        <f>IF(A1383="","",IF(MONTH(A1383)&gt;=8,YEAR(A1383)&amp;"-"&amp;(YEAR(A1383)+1),(YEAR(A1383)-1)&amp;"-"&amp;YEAR(A1383)))</f>
        <v/>
      </c>
      <c r="S1383" s="20">
        <f>IF(OR(A1383="",B1383=""),0,IF(AND(R1383=التقارير!$C$4,OR(التقارير!$C$5="سنوي",AND(التقارير!$C$5="شهري",P1383=التقارير!$C$6),AND(التقارير!$C$5="فصلي",Q1383=التقارير!$C$7))),1,0))</f>
        <v/>
      </c>
      <c r="T1383" s="20">
        <f>IF(S1383=1,COUNTIF($S$5:S1383,1),"")</f>
        <v/>
      </c>
      <c r="U1383">
        <f>IF(AND($A1383&lt;&gt;"",$B1383&lt;&gt;"",$R1383='تقرير الفصل الأول'!$C$4,$Q1383='تقرير الفصل الأول'!$C$7),COUNT(U$4:U1382)+1,"")</f>
        <v/>
      </c>
      <c r="V1383">
        <f>IF(AND($A1383&lt;&gt;"",$B1383&lt;&gt;"",$R1383='تقرير الفصل الثاني'!$C$4,$Q1383='تقرير الفصل الثاني'!$C$7),COUNT(V$4:V1382)+1,"")</f>
        <v/>
      </c>
      <c r="W1383">
        <f>IF(AND($A1383&lt;&gt;"",$B1383&lt;&gt;"",$R1383='تقرير سبتمبر'!$C$4,$P1383='تقرير سبتمبر'!$C$6),COUNT(W$4:W1382)+1,"")</f>
        <v/>
      </c>
      <c r="X1383">
        <f>IF(AND($A1383&lt;&gt;"",$B1383&lt;&gt;"",$R1383='تقرير أكتوبر'!$C$4,$P1383='تقرير أكتوبر'!$C$6),COUNT(X$4:X1382)+1,"")</f>
        <v/>
      </c>
      <c r="Y1383">
        <f>IF(AND($A1383&lt;&gt;"",$B1383&lt;&gt;"",$R1383='تقرير نوفمبر'!$C$4,$P1383='تقرير نوفمبر'!$C$6),COUNT(Y$4:Y1382)+1,"")</f>
        <v/>
      </c>
      <c r="Z1383">
        <f>IF(AND($A1383&lt;&gt;"",$B1383&lt;&gt;"",$R1383='تقرير ديسمبر'!$C$4,$P1383='تقرير ديسمبر'!$C$6),COUNT(Z$4:Z1382)+1,"")</f>
        <v/>
      </c>
      <c r="AA1383">
        <f>IF(AND($A1383&lt;&gt;"",$B1383&lt;&gt;"",$R1383='تقرير يناير'!$C$4,$P1383='تقرير يناير'!$C$6),COUNT(AA$4:AA1382)+1,"")</f>
        <v/>
      </c>
      <c r="AB1383">
        <f>IF(AND($A1383&lt;&gt;"",$B1383&lt;&gt;"",$R1383='تقرير فبراير'!$C$4,$P1383='تقرير فبراير'!$C$6),COUNT(AB$4:AB1382)+1,"")</f>
        <v/>
      </c>
      <c r="AC1383">
        <f>IF(AND($A1383&lt;&gt;"",$B1383&lt;&gt;"",$R1383='تقرير مارس'!$C$4,$P1383='تقرير مارس'!$C$6),COUNT(AC$4:AC1382)+1,"")</f>
        <v/>
      </c>
      <c r="AD1383">
        <f>IF(AND($A1383&lt;&gt;"",$B1383&lt;&gt;"",$R1383='تقرير أبريل'!$C$4,$P1383='تقرير أبريل'!$C$6),COUNT(AD$4:AD1382)+1,"")</f>
        <v/>
      </c>
      <c r="AE1383">
        <f>IF(AND($A1383&lt;&gt;"",$B1383&lt;&gt;"",$R1383='تقرير مايو'!$C$4,$P1383='تقرير مايو'!$C$6),COUNT(AE$4:AE1382)+1,"")</f>
        <v/>
      </c>
    </row>
    <row r="1384">
      <c r="A1384" s="16" t="n"/>
      <c r="B1384" s="17" t="n"/>
      <c r="C1384" s="17" t="n"/>
      <c r="D1384" s="18" t="n"/>
      <c r="E1384" s="17" t="n"/>
      <c r="F1384" s="17" t="n"/>
      <c r="G1384" s="19" t="n"/>
      <c r="H1384" s="17" t="n"/>
      <c r="I1384" s="17" t="n"/>
      <c r="J1384" s="17" t="n"/>
      <c r="K1384" s="20">
        <f>IF($B1384="","",IFERROR(INDEX(الموظفات!$A$5:$A$304,MATCH($B1384,الموظفات!$B$5:$B$304,0))&amp;"",""))</f>
        <v/>
      </c>
      <c r="L1384" s="21">
        <f>IF($B1384="","",IFERROR(INDEX(الموظفات!$C$5:$C$304,MATCH($B1384,الموظفات!$B$5:$B$304,0))&amp;"",""))</f>
        <v/>
      </c>
      <c r="M1384" s="20">
        <f>IF($B1384="","",IFERROR(INDEX(الموظفات!$D$5:$D$304,MATCH($B1384,الموظفات!$B$5:$B$304,0))&amp;"",""))</f>
        <v/>
      </c>
      <c r="N1384" s="20">
        <f>IF($B1384="","",IFERROR(INDEX(الموظفات!$E$5:$E$304,MATCH($B1384,الموظفات!$B$5:$B$304,0))&amp;"",""))</f>
        <v/>
      </c>
      <c r="O1384" s="21">
        <f>IF(C1384="","",IFERROR(INDEX(الإعدادات!$D$7:$D$35,MATCH(C1384,الإعدادات!$A$7:$A$35,0))&amp;"",""))</f>
        <v/>
      </c>
      <c r="P1384" s="20">
        <f>IF(A1384="","",INDEX(الإعدادات!$H$7:$H$18,MONTH(A1384)))</f>
        <v/>
      </c>
      <c r="Q1384" s="20">
        <f>IF(A1384="","",INDEX(الإعدادات!$I$7:$I$18,MONTH(A1384)))</f>
        <v/>
      </c>
      <c r="R1384" s="20">
        <f>IF(A1384="","",IF(MONTH(A1384)&gt;=8,YEAR(A1384)&amp;"-"&amp;(YEAR(A1384)+1),(YEAR(A1384)-1)&amp;"-"&amp;YEAR(A1384)))</f>
        <v/>
      </c>
      <c r="S1384" s="20">
        <f>IF(OR(A1384="",B1384=""),0,IF(AND(R1384=التقارير!$C$4,OR(التقارير!$C$5="سنوي",AND(التقارير!$C$5="شهري",P1384=التقارير!$C$6),AND(التقارير!$C$5="فصلي",Q1384=التقارير!$C$7))),1,0))</f>
        <v/>
      </c>
      <c r="T1384" s="20">
        <f>IF(S1384=1,COUNTIF($S$5:S1384,1),"")</f>
        <v/>
      </c>
      <c r="U1384">
        <f>IF(AND($A1384&lt;&gt;"",$B1384&lt;&gt;"",$R1384='تقرير الفصل الأول'!$C$4,$Q1384='تقرير الفصل الأول'!$C$7),COUNT(U$4:U1383)+1,"")</f>
        <v/>
      </c>
      <c r="V1384">
        <f>IF(AND($A1384&lt;&gt;"",$B1384&lt;&gt;"",$R1384='تقرير الفصل الثاني'!$C$4,$Q1384='تقرير الفصل الثاني'!$C$7),COUNT(V$4:V1383)+1,"")</f>
        <v/>
      </c>
      <c r="W1384">
        <f>IF(AND($A1384&lt;&gt;"",$B1384&lt;&gt;"",$R1384='تقرير سبتمبر'!$C$4,$P1384='تقرير سبتمبر'!$C$6),COUNT(W$4:W1383)+1,"")</f>
        <v/>
      </c>
      <c r="X1384">
        <f>IF(AND($A1384&lt;&gt;"",$B1384&lt;&gt;"",$R1384='تقرير أكتوبر'!$C$4,$P1384='تقرير أكتوبر'!$C$6),COUNT(X$4:X1383)+1,"")</f>
        <v/>
      </c>
      <c r="Y1384">
        <f>IF(AND($A1384&lt;&gt;"",$B1384&lt;&gt;"",$R1384='تقرير نوفمبر'!$C$4,$P1384='تقرير نوفمبر'!$C$6),COUNT(Y$4:Y1383)+1,"")</f>
        <v/>
      </c>
      <c r="Z1384">
        <f>IF(AND($A1384&lt;&gt;"",$B1384&lt;&gt;"",$R1384='تقرير ديسمبر'!$C$4,$P1384='تقرير ديسمبر'!$C$6),COUNT(Z$4:Z1383)+1,"")</f>
        <v/>
      </c>
      <c r="AA1384">
        <f>IF(AND($A1384&lt;&gt;"",$B1384&lt;&gt;"",$R1384='تقرير يناير'!$C$4,$P1384='تقرير يناير'!$C$6),COUNT(AA$4:AA1383)+1,"")</f>
        <v/>
      </c>
      <c r="AB1384">
        <f>IF(AND($A1384&lt;&gt;"",$B1384&lt;&gt;"",$R1384='تقرير فبراير'!$C$4,$P1384='تقرير فبراير'!$C$6),COUNT(AB$4:AB1383)+1,"")</f>
        <v/>
      </c>
      <c r="AC1384">
        <f>IF(AND($A1384&lt;&gt;"",$B1384&lt;&gt;"",$R1384='تقرير مارس'!$C$4,$P1384='تقرير مارس'!$C$6),COUNT(AC$4:AC1383)+1,"")</f>
        <v/>
      </c>
      <c r="AD1384">
        <f>IF(AND($A1384&lt;&gt;"",$B1384&lt;&gt;"",$R1384='تقرير أبريل'!$C$4,$P1384='تقرير أبريل'!$C$6),COUNT(AD$4:AD1383)+1,"")</f>
        <v/>
      </c>
      <c r="AE1384">
        <f>IF(AND($A1384&lt;&gt;"",$B1384&lt;&gt;"",$R1384='تقرير مايو'!$C$4,$P1384='تقرير مايو'!$C$6),COUNT(AE$4:AE1383)+1,"")</f>
        <v/>
      </c>
    </row>
    <row r="1385">
      <c r="A1385" s="16" t="n"/>
      <c r="B1385" s="17" t="n"/>
      <c r="C1385" s="17" t="n"/>
      <c r="D1385" s="18" t="n"/>
      <c r="E1385" s="17" t="n"/>
      <c r="F1385" s="17" t="n"/>
      <c r="G1385" s="19" t="n"/>
      <c r="H1385" s="17" t="n"/>
      <c r="I1385" s="17" t="n"/>
      <c r="J1385" s="17" t="n"/>
      <c r="K1385" s="20">
        <f>IF($B1385="","",IFERROR(INDEX(الموظفات!$A$5:$A$304,MATCH($B1385,الموظفات!$B$5:$B$304,0))&amp;"",""))</f>
        <v/>
      </c>
      <c r="L1385" s="21">
        <f>IF($B1385="","",IFERROR(INDEX(الموظفات!$C$5:$C$304,MATCH($B1385,الموظفات!$B$5:$B$304,0))&amp;"",""))</f>
        <v/>
      </c>
      <c r="M1385" s="20">
        <f>IF($B1385="","",IFERROR(INDEX(الموظفات!$D$5:$D$304,MATCH($B1385,الموظفات!$B$5:$B$304,0))&amp;"",""))</f>
        <v/>
      </c>
      <c r="N1385" s="20">
        <f>IF($B1385="","",IFERROR(INDEX(الموظفات!$E$5:$E$304,MATCH($B1385,الموظفات!$B$5:$B$304,0))&amp;"",""))</f>
        <v/>
      </c>
      <c r="O1385" s="21">
        <f>IF(C1385="","",IFERROR(INDEX(الإعدادات!$D$7:$D$35,MATCH(C1385,الإعدادات!$A$7:$A$35,0))&amp;"",""))</f>
        <v/>
      </c>
      <c r="P1385" s="20">
        <f>IF(A1385="","",INDEX(الإعدادات!$H$7:$H$18,MONTH(A1385)))</f>
        <v/>
      </c>
      <c r="Q1385" s="20">
        <f>IF(A1385="","",INDEX(الإعدادات!$I$7:$I$18,MONTH(A1385)))</f>
        <v/>
      </c>
      <c r="R1385" s="20">
        <f>IF(A1385="","",IF(MONTH(A1385)&gt;=8,YEAR(A1385)&amp;"-"&amp;(YEAR(A1385)+1),(YEAR(A1385)-1)&amp;"-"&amp;YEAR(A1385)))</f>
        <v/>
      </c>
      <c r="S1385" s="20">
        <f>IF(OR(A1385="",B1385=""),0,IF(AND(R1385=التقارير!$C$4,OR(التقارير!$C$5="سنوي",AND(التقارير!$C$5="شهري",P1385=التقارير!$C$6),AND(التقارير!$C$5="فصلي",Q1385=التقارير!$C$7))),1,0))</f>
        <v/>
      </c>
      <c r="T1385" s="20">
        <f>IF(S1385=1,COUNTIF($S$5:S1385,1),"")</f>
        <v/>
      </c>
      <c r="U1385">
        <f>IF(AND($A1385&lt;&gt;"",$B1385&lt;&gt;"",$R1385='تقرير الفصل الأول'!$C$4,$Q1385='تقرير الفصل الأول'!$C$7),COUNT(U$4:U1384)+1,"")</f>
        <v/>
      </c>
      <c r="V1385">
        <f>IF(AND($A1385&lt;&gt;"",$B1385&lt;&gt;"",$R1385='تقرير الفصل الثاني'!$C$4,$Q1385='تقرير الفصل الثاني'!$C$7),COUNT(V$4:V1384)+1,"")</f>
        <v/>
      </c>
      <c r="W1385">
        <f>IF(AND($A1385&lt;&gt;"",$B1385&lt;&gt;"",$R1385='تقرير سبتمبر'!$C$4,$P1385='تقرير سبتمبر'!$C$6),COUNT(W$4:W1384)+1,"")</f>
        <v/>
      </c>
      <c r="X1385">
        <f>IF(AND($A1385&lt;&gt;"",$B1385&lt;&gt;"",$R1385='تقرير أكتوبر'!$C$4,$P1385='تقرير أكتوبر'!$C$6),COUNT(X$4:X1384)+1,"")</f>
        <v/>
      </c>
      <c r="Y1385">
        <f>IF(AND($A1385&lt;&gt;"",$B1385&lt;&gt;"",$R1385='تقرير نوفمبر'!$C$4,$P1385='تقرير نوفمبر'!$C$6),COUNT(Y$4:Y1384)+1,"")</f>
        <v/>
      </c>
      <c r="Z1385">
        <f>IF(AND($A1385&lt;&gt;"",$B1385&lt;&gt;"",$R1385='تقرير ديسمبر'!$C$4,$P1385='تقرير ديسمبر'!$C$6),COUNT(Z$4:Z1384)+1,"")</f>
        <v/>
      </c>
      <c r="AA1385">
        <f>IF(AND($A1385&lt;&gt;"",$B1385&lt;&gt;"",$R1385='تقرير يناير'!$C$4,$P1385='تقرير يناير'!$C$6),COUNT(AA$4:AA1384)+1,"")</f>
        <v/>
      </c>
      <c r="AB1385">
        <f>IF(AND($A1385&lt;&gt;"",$B1385&lt;&gt;"",$R1385='تقرير فبراير'!$C$4,$P1385='تقرير فبراير'!$C$6),COUNT(AB$4:AB1384)+1,"")</f>
        <v/>
      </c>
      <c r="AC1385">
        <f>IF(AND($A1385&lt;&gt;"",$B1385&lt;&gt;"",$R1385='تقرير مارس'!$C$4,$P1385='تقرير مارس'!$C$6),COUNT(AC$4:AC1384)+1,"")</f>
        <v/>
      </c>
      <c r="AD1385">
        <f>IF(AND($A1385&lt;&gt;"",$B1385&lt;&gt;"",$R1385='تقرير أبريل'!$C$4,$P1385='تقرير أبريل'!$C$6),COUNT(AD$4:AD1384)+1,"")</f>
        <v/>
      </c>
      <c r="AE1385">
        <f>IF(AND($A1385&lt;&gt;"",$B1385&lt;&gt;"",$R1385='تقرير مايو'!$C$4,$P1385='تقرير مايو'!$C$6),COUNT(AE$4:AE1384)+1,"")</f>
        <v/>
      </c>
    </row>
    <row r="1386">
      <c r="A1386" s="16" t="n"/>
      <c r="B1386" s="17" t="n"/>
      <c r="C1386" s="17" t="n"/>
      <c r="D1386" s="18" t="n"/>
      <c r="E1386" s="17" t="n"/>
      <c r="F1386" s="17" t="n"/>
      <c r="G1386" s="19" t="n"/>
      <c r="H1386" s="17" t="n"/>
      <c r="I1386" s="17" t="n"/>
      <c r="J1386" s="17" t="n"/>
      <c r="K1386" s="20">
        <f>IF($B1386="","",IFERROR(INDEX(الموظفات!$A$5:$A$304,MATCH($B1386,الموظفات!$B$5:$B$304,0))&amp;"",""))</f>
        <v/>
      </c>
      <c r="L1386" s="21">
        <f>IF($B1386="","",IFERROR(INDEX(الموظفات!$C$5:$C$304,MATCH($B1386,الموظفات!$B$5:$B$304,0))&amp;"",""))</f>
        <v/>
      </c>
      <c r="M1386" s="20">
        <f>IF($B1386="","",IFERROR(INDEX(الموظفات!$D$5:$D$304,MATCH($B1386,الموظفات!$B$5:$B$304,0))&amp;"",""))</f>
        <v/>
      </c>
      <c r="N1386" s="20">
        <f>IF($B1386="","",IFERROR(INDEX(الموظفات!$E$5:$E$304,MATCH($B1386,الموظفات!$B$5:$B$304,0))&amp;"",""))</f>
        <v/>
      </c>
      <c r="O1386" s="21">
        <f>IF(C1386="","",IFERROR(INDEX(الإعدادات!$D$7:$D$35,MATCH(C1386,الإعدادات!$A$7:$A$35,0))&amp;"",""))</f>
        <v/>
      </c>
      <c r="P1386" s="20">
        <f>IF(A1386="","",INDEX(الإعدادات!$H$7:$H$18,MONTH(A1386)))</f>
        <v/>
      </c>
      <c r="Q1386" s="20">
        <f>IF(A1386="","",INDEX(الإعدادات!$I$7:$I$18,MONTH(A1386)))</f>
        <v/>
      </c>
      <c r="R1386" s="20">
        <f>IF(A1386="","",IF(MONTH(A1386)&gt;=8,YEAR(A1386)&amp;"-"&amp;(YEAR(A1386)+1),(YEAR(A1386)-1)&amp;"-"&amp;YEAR(A1386)))</f>
        <v/>
      </c>
      <c r="S1386" s="20">
        <f>IF(OR(A1386="",B1386=""),0,IF(AND(R1386=التقارير!$C$4,OR(التقارير!$C$5="سنوي",AND(التقارير!$C$5="شهري",P1386=التقارير!$C$6),AND(التقارير!$C$5="فصلي",Q1386=التقارير!$C$7))),1,0))</f>
        <v/>
      </c>
      <c r="T1386" s="20">
        <f>IF(S1386=1,COUNTIF($S$5:S1386,1),"")</f>
        <v/>
      </c>
      <c r="U1386">
        <f>IF(AND($A1386&lt;&gt;"",$B1386&lt;&gt;"",$R1386='تقرير الفصل الأول'!$C$4,$Q1386='تقرير الفصل الأول'!$C$7),COUNT(U$4:U1385)+1,"")</f>
        <v/>
      </c>
      <c r="V1386">
        <f>IF(AND($A1386&lt;&gt;"",$B1386&lt;&gt;"",$R1386='تقرير الفصل الثاني'!$C$4,$Q1386='تقرير الفصل الثاني'!$C$7),COUNT(V$4:V1385)+1,"")</f>
        <v/>
      </c>
      <c r="W1386">
        <f>IF(AND($A1386&lt;&gt;"",$B1386&lt;&gt;"",$R1386='تقرير سبتمبر'!$C$4,$P1386='تقرير سبتمبر'!$C$6),COUNT(W$4:W1385)+1,"")</f>
        <v/>
      </c>
      <c r="X1386">
        <f>IF(AND($A1386&lt;&gt;"",$B1386&lt;&gt;"",$R1386='تقرير أكتوبر'!$C$4,$P1386='تقرير أكتوبر'!$C$6),COUNT(X$4:X1385)+1,"")</f>
        <v/>
      </c>
      <c r="Y1386">
        <f>IF(AND($A1386&lt;&gt;"",$B1386&lt;&gt;"",$R1386='تقرير نوفمبر'!$C$4,$P1386='تقرير نوفمبر'!$C$6),COUNT(Y$4:Y1385)+1,"")</f>
        <v/>
      </c>
      <c r="Z1386">
        <f>IF(AND($A1386&lt;&gt;"",$B1386&lt;&gt;"",$R1386='تقرير ديسمبر'!$C$4,$P1386='تقرير ديسمبر'!$C$6),COUNT(Z$4:Z1385)+1,"")</f>
        <v/>
      </c>
      <c r="AA1386">
        <f>IF(AND($A1386&lt;&gt;"",$B1386&lt;&gt;"",$R1386='تقرير يناير'!$C$4,$P1386='تقرير يناير'!$C$6),COUNT(AA$4:AA1385)+1,"")</f>
        <v/>
      </c>
      <c r="AB1386">
        <f>IF(AND($A1386&lt;&gt;"",$B1386&lt;&gt;"",$R1386='تقرير فبراير'!$C$4,$P1386='تقرير فبراير'!$C$6),COUNT(AB$4:AB1385)+1,"")</f>
        <v/>
      </c>
      <c r="AC1386">
        <f>IF(AND($A1386&lt;&gt;"",$B1386&lt;&gt;"",$R1386='تقرير مارس'!$C$4,$P1386='تقرير مارس'!$C$6),COUNT(AC$4:AC1385)+1,"")</f>
        <v/>
      </c>
      <c r="AD1386">
        <f>IF(AND($A1386&lt;&gt;"",$B1386&lt;&gt;"",$R1386='تقرير أبريل'!$C$4,$P1386='تقرير أبريل'!$C$6),COUNT(AD$4:AD1385)+1,"")</f>
        <v/>
      </c>
      <c r="AE1386">
        <f>IF(AND($A1386&lt;&gt;"",$B1386&lt;&gt;"",$R1386='تقرير مايو'!$C$4,$P1386='تقرير مايو'!$C$6),COUNT(AE$4:AE1385)+1,"")</f>
        <v/>
      </c>
    </row>
    <row r="1387">
      <c r="A1387" s="16" t="n"/>
      <c r="B1387" s="17" t="n"/>
      <c r="C1387" s="17" t="n"/>
      <c r="D1387" s="18" t="n"/>
      <c r="E1387" s="17" t="n"/>
      <c r="F1387" s="17" t="n"/>
      <c r="G1387" s="19" t="n"/>
      <c r="H1387" s="17" t="n"/>
      <c r="I1387" s="17" t="n"/>
      <c r="J1387" s="17" t="n"/>
      <c r="K1387" s="20">
        <f>IF($B1387="","",IFERROR(INDEX(الموظفات!$A$5:$A$304,MATCH($B1387,الموظفات!$B$5:$B$304,0))&amp;"",""))</f>
        <v/>
      </c>
      <c r="L1387" s="21">
        <f>IF($B1387="","",IFERROR(INDEX(الموظفات!$C$5:$C$304,MATCH($B1387,الموظفات!$B$5:$B$304,0))&amp;"",""))</f>
        <v/>
      </c>
      <c r="M1387" s="20">
        <f>IF($B1387="","",IFERROR(INDEX(الموظفات!$D$5:$D$304,MATCH($B1387,الموظفات!$B$5:$B$304,0))&amp;"",""))</f>
        <v/>
      </c>
      <c r="N1387" s="20">
        <f>IF($B1387="","",IFERROR(INDEX(الموظفات!$E$5:$E$304,MATCH($B1387,الموظفات!$B$5:$B$304,0))&amp;"",""))</f>
        <v/>
      </c>
      <c r="O1387" s="21">
        <f>IF(C1387="","",IFERROR(INDEX(الإعدادات!$D$7:$D$35,MATCH(C1387,الإعدادات!$A$7:$A$35,0))&amp;"",""))</f>
        <v/>
      </c>
      <c r="P1387" s="20">
        <f>IF(A1387="","",INDEX(الإعدادات!$H$7:$H$18,MONTH(A1387)))</f>
        <v/>
      </c>
      <c r="Q1387" s="20">
        <f>IF(A1387="","",INDEX(الإعدادات!$I$7:$I$18,MONTH(A1387)))</f>
        <v/>
      </c>
      <c r="R1387" s="20">
        <f>IF(A1387="","",IF(MONTH(A1387)&gt;=8,YEAR(A1387)&amp;"-"&amp;(YEAR(A1387)+1),(YEAR(A1387)-1)&amp;"-"&amp;YEAR(A1387)))</f>
        <v/>
      </c>
      <c r="S1387" s="20">
        <f>IF(OR(A1387="",B1387=""),0,IF(AND(R1387=التقارير!$C$4,OR(التقارير!$C$5="سنوي",AND(التقارير!$C$5="شهري",P1387=التقارير!$C$6),AND(التقارير!$C$5="فصلي",Q1387=التقارير!$C$7))),1,0))</f>
        <v/>
      </c>
      <c r="T1387" s="20">
        <f>IF(S1387=1,COUNTIF($S$5:S1387,1),"")</f>
        <v/>
      </c>
      <c r="U1387">
        <f>IF(AND($A1387&lt;&gt;"",$B1387&lt;&gt;"",$R1387='تقرير الفصل الأول'!$C$4,$Q1387='تقرير الفصل الأول'!$C$7),COUNT(U$4:U1386)+1,"")</f>
        <v/>
      </c>
      <c r="V1387">
        <f>IF(AND($A1387&lt;&gt;"",$B1387&lt;&gt;"",$R1387='تقرير الفصل الثاني'!$C$4,$Q1387='تقرير الفصل الثاني'!$C$7),COUNT(V$4:V1386)+1,"")</f>
        <v/>
      </c>
      <c r="W1387">
        <f>IF(AND($A1387&lt;&gt;"",$B1387&lt;&gt;"",$R1387='تقرير سبتمبر'!$C$4,$P1387='تقرير سبتمبر'!$C$6),COUNT(W$4:W1386)+1,"")</f>
        <v/>
      </c>
      <c r="X1387">
        <f>IF(AND($A1387&lt;&gt;"",$B1387&lt;&gt;"",$R1387='تقرير أكتوبر'!$C$4,$P1387='تقرير أكتوبر'!$C$6),COUNT(X$4:X1386)+1,"")</f>
        <v/>
      </c>
      <c r="Y1387">
        <f>IF(AND($A1387&lt;&gt;"",$B1387&lt;&gt;"",$R1387='تقرير نوفمبر'!$C$4,$P1387='تقرير نوفمبر'!$C$6),COUNT(Y$4:Y1386)+1,"")</f>
        <v/>
      </c>
      <c r="Z1387">
        <f>IF(AND($A1387&lt;&gt;"",$B1387&lt;&gt;"",$R1387='تقرير ديسمبر'!$C$4,$P1387='تقرير ديسمبر'!$C$6),COUNT(Z$4:Z1386)+1,"")</f>
        <v/>
      </c>
      <c r="AA1387">
        <f>IF(AND($A1387&lt;&gt;"",$B1387&lt;&gt;"",$R1387='تقرير يناير'!$C$4,$P1387='تقرير يناير'!$C$6),COUNT(AA$4:AA1386)+1,"")</f>
        <v/>
      </c>
      <c r="AB1387">
        <f>IF(AND($A1387&lt;&gt;"",$B1387&lt;&gt;"",$R1387='تقرير فبراير'!$C$4,$P1387='تقرير فبراير'!$C$6),COUNT(AB$4:AB1386)+1,"")</f>
        <v/>
      </c>
      <c r="AC1387">
        <f>IF(AND($A1387&lt;&gt;"",$B1387&lt;&gt;"",$R1387='تقرير مارس'!$C$4,$P1387='تقرير مارس'!$C$6),COUNT(AC$4:AC1386)+1,"")</f>
        <v/>
      </c>
      <c r="AD1387">
        <f>IF(AND($A1387&lt;&gt;"",$B1387&lt;&gt;"",$R1387='تقرير أبريل'!$C$4,$P1387='تقرير أبريل'!$C$6),COUNT(AD$4:AD1386)+1,"")</f>
        <v/>
      </c>
      <c r="AE1387">
        <f>IF(AND($A1387&lt;&gt;"",$B1387&lt;&gt;"",$R1387='تقرير مايو'!$C$4,$P1387='تقرير مايو'!$C$6),COUNT(AE$4:AE1386)+1,"")</f>
        <v/>
      </c>
    </row>
    <row r="1388">
      <c r="A1388" s="16" t="n"/>
      <c r="B1388" s="17" t="n"/>
      <c r="C1388" s="17" t="n"/>
      <c r="D1388" s="18" t="n"/>
      <c r="E1388" s="17" t="n"/>
      <c r="F1388" s="17" t="n"/>
      <c r="G1388" s="19" t="n"/>
      <c r="H1388" s="17" t="n"/>
      <c r="I1388" s="17" t="n"/>
      <c r="J1388" s="17" t="n"/>
      <c r="K1388" s="20">
        <f>IF($B1388="","",IFERROR(INDEX(الموظفات!$A$5:$A$304,MATCH($B1388,الموظفات!$B$5:$B$304,0))&amp;"",""))</f>
        <v/>
      </c>
      <c r="L1388" s="21">
        <f>IF($B1388="","",IFERROR(INDEX(الموظفات!$C$5:$C$304,MATCH($B1388,الموظفات!$B$5:$B$304,0))&amp;"",""))</f>
        <v/>
      </c>
      <c r="M1388" s="20">
        <f>IF($B1388="","",IFERROR(INDEX(الموظفات!$D$5:$D$304,MATCH($B1388,الموظفات!$B$5:$B$304,0))&amp;"",""))</f>
        <v/>
      </c>
      <c r="N1388" s="20">
        <f>IF($B1388="","",IFERROR(INDEX(الموظفات!$E$5:$E$304,MATCH($B1388,الموظفات!$B$5:$B$304,0))&amp;"",""))</f>
        <v/>
      </c>
      <c r="O1388" s="21">
        <f>IF(C1388="","",IFERROR(INDEX(الإعدادات!$D$7:$D$35,MATCH(C1388,الإعدادات!$A$7:$A$35,0))&amp;"",""))</f>
        <v/>
      </c>
      <c r="P1388" s="20">
        <f>IF(A1388="","",INDEX(الإعدادات!$H$7:$H$18,MONTH(A1388)))</f>
        <v/>
      </c>
      <c r="Q1388" s="20">
        <f>IF(A1388="","",INDEX(الإعدادات!$I$7:$I$18,MONTH(A1388)))</f>
        <v/>
      </c>
      <c r="R1388" s="20">
        <f>IF(A1388="","",IF(MONTH(A1388)&gt;=8,YEAR(A1388)&amp;"-"&amp;(YEAR(A1388)+1),(YEAR(A1388)-1)&amp;"-"&amp;YEAR(A1388)))</f>
        <v/>
      </c>
      <c r="S1388" s="20">
        <f>IF(OR(A1388="",B1388=""),0,IF(AND(R1388=التقارير!$C$4,OR(التقارير!$C$5="سنوي",AND(التقارير!$C$5="شهري",P1388=التقارير!$C$6),AND(التقارير!$C$5="فصلي",Q1388=التقارير!$C$7))),1,0))</f>
        <v/>
      </c>
      <c r="T1388" s="20">
        <f>IF(S1388=1,COUNTIF($S$5:S1388,1),"")</f>
        <v/>
      </c>
      <c r="U1388">
        <f>IF(AND($A1388&lt;&gt;"",$B1388&lt;&gt;"",$R1388='تقرير الفصل الأول'!$C$4,$Q1388='تقرير الفصل الأول'!$C$7),COUNT(U$4:U1387)+1,"")</f>
        <v/>
      </c>
      <c r="V1388">
        <f>IF(AND($A1388&lt;&gt;"",$B1388&lt;&gt;"",$R1388='تقرير الفصل الثاني'!$C$4,$Q1388='تقرير الفصل الثاني'!$C$7),COUNT(V$4:V1387)+1,"")</f>
        <v/>
      </c>
      <c r="W1388">
        <f>IF(AND($A1388&lt;&gt;"",$B1388&lt;&gt;"",$R1388='تقرير سبتمبر'!$C$4,$P1388='تقرير سبتمبر'!$C$6),COUNT(W$4:W1387)+1,"")</f>
        <v/>
      </c>
      <c r="X1388">
        <f>IF(AND($A1388&lt;&gt;"",$B1388&lt;&gt;"",$R1388='تقرير أكتوبر'!$C$4,$P1388='تقرير أكتوبر'!$C$6),COUNT(X$4:X1387)+1,"")</f>
        <v/>
      </c>
      <c r="Y1388">
        <f>IF(AND($A1388&lt;&gt;"",$B1388&lt;&gt;"",$R1388='تقرير نوفمبر'!$C$4,$P1388='تقرير نوفمبر'!$C$6),COUNT(Y$4:Y1387)+1,"")</f>
        <v/>
      </c>
      <c r="Z1388">
        <f>IF(AND($A1388&lt;&gt;"",$B1388&lt;&gt;"",$R1388='تقرير ديسمبر'!$C$4,$P1388='تقرير ديسمبر'!$C$6),COUNT(Z$4:Z1387)+1,"")</f>
        <v/>
      </c>
      <c r="AA1388">
        <f>IF(AND($A1388&lt;&gt;"",$B1388&lt;&gt;"",$R1388='تقرير يناير'!$C$4,$P1388='تقرير يناير'!$C$6),COUNT(AA$4:AA1387)+1,"")</f>
        <v/>
      </c>
      <c r="AB1388">
        <f>IF(AND($A1388&lt;&gt;"",$B1388&lt;&gt;"",$R1388='تقرير فبراير'!$C$4,$P1388='تقرير فبراير'!$C$6),COUNT(AB$4:AB1387)+1,"")</f>
        <v/>
      </c>
      <c r="AC1388">
        <f>IF(AND($A1388&lt;&gt;"",$B1388&lt;&gt;"",$R1388='تقرير مارس'!$C$4,$P1388='تقرير مارس'!$C$6),COUNT(AC$4:AC1387)+1,"")</f>
        <v/>
      </c>
      <c r="AD1388">
        <f>IF(AND($A1388&lt;&gt;"",$B1388&lt;&gt;"",$R1388='تقرير أبريل'!$C$4,$P1388='تقرير أبريل'!$C$6),COUNT(AD$4:AD1387)+1,"")</f>
        <v/>
      </c>
      <c r="AE1388">
        <f>IF(AND($A1388&lt;&gt;"",$B1388&lt;&gt;"",$R1388='تقرير مايو'!$C$4,$P1388='تقرير مايو'!$C$6),COUNT(AE$4:AE1387)+1,"")</f>
        <v/>
      </c>
    </row>
    <row r="1389">
      <c r="A1389" s="16" t="n"/>
      <c r="B1389" s="17" t="n"/>
      <c r="C1389" s="17" t="n"/>
      <c r="D1389" s="18" t="n"/>
      <c r="E1389" s="17" t="n"/>
      <c r="F1389" s="17" t="n"/>
      <c r="G1389" s="19" t="n"/>
      <c r="H1389" s="17" t="n"/>
      <c r="I1389" s="17" t="n"/>
      <c r="J1389" s="17" t="n"/>
      <c r="K1389" s="20">
        <f>IF($B1389="","",IFERROR(INDEX(الموظفات!$A$5:$A$304,MATCH($B1389,الموظفات!$B$5:$B$304,0))&amp;"",""))</f>
        <v/>
      </c>
      <c r="L1389" s="21">
        <f>IF($B1389="","",IFERROR(INDEX(الموظفات!$C$5:$C$304,MATCH($B1389,الموظفات!$B$5:$B$304,0))&amp;"",""))</f>
        <v/>
      </c>
      <c r="M1389" s="20">
        <f>IF($B1389="","",IFERROR(INDEX(الموظفات!$D$5:$D$304,MATCH($B1389,الموظفات!$B$5:$B$304,0))&amp;"",""))</f>
        <v/>
      </c>
      <c r="N1389" s="20">
        <f>IF($B1389="","",IFERROR(INDEX(الموظفات!$E$5:$E$304,MATCH($B1389,الموظفات!$B$5:$B$304,0))&amp;"",""))</f>
        <v/>
      </c>
      <c r="O1389" s="21">
        <f>IF(C1389="","",IFERROR(INDEX(الإعدادات!$D$7:$D$35,MATCH(C1389,الإعدادات!$A$7:$A$35,0))&amp;"",""))</f>
        <v/>
      </c>
      <c r="P1389" s="20">
        <f>IF(A1389="","",INDEX(الإعدادات!$H$7:$H$18,MONTH(A1389)))</f>
        <v/>
      </c>
      <c r="Q1389" s="20">
        <f>IF(A1389="","",INDEX(الإعدادات!$I$7:$I$18,MONTH(A1389)))</f>
        <v/>
      </c>
      <c r="R1389" s="20">
        <f>IF(A1389="","",IF(MONTH(A1389)&gt;=8,YEAR(A1389)&amp;"-"&amp;(YEAR(A1389)+1),(YEAR(A1389)-1)&amp;"-"&amp;YEAR(A1389)))</f>
        <v/>
      </c>
      <c r="S1389" s="20">
        <f>IF(OR(A1389="",B1389=""),0,IF(AND(R1389=التقارير!$C$4,OR(التقارير!$C$5="سنوي",AND(التقارير!$C$5="شهري",P1389=التقارير!$C$6),AND(التقارير!$C$5="فصلي",Q1389=التقارير!$C$7))),1,0))</f>
        <v/>
      </c>
      <c r="T1389" s="20">
        <f>IF(S1389=1,COUNTIF($S$5:S1389,1),"")</f>
        <v/>
      </c>
      <c r="U1389">
        <f>IF(AND($A1389&lt;&gt;"",$B1389&lt;&gt;"",$R1389='تقرير الفصل الأول'!$C$4,$Q1389='تقرير الفصل الأول'!$C$7),COUNT(U$4:U1388)+1,"")</f>
        <v/>
      </c>
      <c r="V1389">
        <f>IF(AND($A1389&lt;&gt;"",$B1389&lt;&gt;"",$R1389='تقرير الفصل الثاني'!$C$4,$Q1389='تقرير الفصل الثاني'!$C$7),COUNT(V$4:V1388)+1,"")</f>
        <v/>
      </c>
      <c r="W1389">
        <f>IF(AND($A1389&lt;&gt;"",$B1389&lt;&gt;"",$R1389='تقرير سبتمبر'!$C$4,$P1389='تقرير سبتمبر'!$C$6),COUNT(W$4:W1388)+1,"")</f>
        <v/>
      </c>
      <c r="X1389">
        <f>IF(AND($A1389&lt;&gt;"",$B1389&lt;&gt;"",$R1389='تقرير أكتوبر'!$C$4,$P1389='تقرير أكتوبر'!$C$6),COUNT(X$4:X1388)+1,"")</f>
        <v/>
      </c>
      <c r="Y1389">
        <f>IF(AND($A1389&lt;&gt;"",$B1389&lt;&gt;"",$R1389='تقرير نوفمبر'!$C$4,$P1389='تقرير نوفمبر'!$C$6),COUNT(Y$4:Y1388)+1,"")</f>
        <v/>
      </c>
      <c r="Z1389">
        <f>IF(AND($A1389&lt;&gt;"",$B1389&lt;&gt;"",$R1389='تقرير ديسمبر'!$C$4,$P1389='تقرير ديسمبر'!$C$6),COUNT(Z$4:Z1388)+1,"")</f>
        <v/>
      </c>
      <c r="AA1389">
        <f>IF(AND($A1389&lt;&gt;"",$B1389&lt;&gt;"",$R1389='تقرير يناير'!$C$4,$P1389='تقرير يناير'!$C$6),COUNT(AA$4:AA1388)+1,"")</f>
        <v/>
      </c>
      <c r="AB1389">
        <f>IF(AND($A1389&lt;&gt;"",$B1389&lt;&gt;"",$R1389='تقرير فبراير'!$C$4,$P1389='تقرير فبراير'!$C$6),COUNT(AB$4:AB1388)+1,"")</f>
        <v/>
      </c>
      <c r="AC1389">
        <f>IF(AND($A1389&lt;&gt;"",$B1389&lt;&gt;"",$R1389='تقرير مارس'!$C$4,$P1389='تقرير مارس'!$C$6),COUNT(AC$4:AC1388)+1,"")</f>
        <v/>
      </c>
      <c r="AD1389">
        <f>IF(AND($A1389&lt;&gt;"",$B1389&lt;&gt;"",$R1389='تقرير أبريل'!$C$4,$P1389='تقرير أبريل'!$C$6),COUNT(AD$4:AD1388)+1,"")</f>
        <v/>
      </c>
      <c r="AE1389">
        <f>IF(AND($A1389&lt;&gt;"",$B1389&lt;&gt;"",$R1389='تقرير مايو'!$C$4,$P1389='تقرير مايو'!$C$6),COUNT(AE$4:AE1388)+1,"")</f>
        <v/>
      </c>
    </row>
    <row r="1390">
      <c r="A1390" s="16" t="n"/>
      <c r="B1390" s="17" t="n"/>
      <c r="C1390" s="17" t="n"/>
      <c r="D1390" s="18" t="n"/>
      <c r="E1390" s="17" t="n"/>
      <c r="F1390" s="17" t="n"/>
      <c r="G1390" s="19" t="n"/>
      <c r="H1390" s="17" t="n"/>
      <c r="I1390" s="17" t="n"/>
      <c r="J1390" s="17" t="n"/>
      <c r="K1390" s="20">
        <f>IF($B1390="","",IFERROR(INDEX(الموظفات!$A$5:$A$304,MATCH($B1390,الموظفات!$B$5:$B$304,0))&amp;"",""))</f>
        <v/>
      </c>
      <c r="L1390" s="21">
        <f>IF($B1390="","",IFERROR(INDEX(الموظفات!$C$5:$C$304,MATCH($B1390,الموظفات!$B$5:$B$304,0))&amp;"",""))</f>
        <v/>
      </c>
      <c r="M1390" s="20">
        <f>IF($B1390="","",IFERROR(INDEX(الموظفات!$D$5:$D$304,MATCH($B1390,الموظفات!$B$5:$B$304,0))&amp;"",""))</f>
        <v/>
      </c>
      <c r="N1390" s="20">
        <f>IF($B1390="","",IFERROR(INDEX(الموظفات!$E$5:$E$304,MATCH($B1390,الموظفات!$B$5:$B$304,0))&amp;"",""))</f>
        <v/>
      </c>
      <c r="O1390" s="21">
        <f>IF(C1390="","",IFERROR(INDEX(الإعدادات!$D$7:$D$35,MATCH(C1390,الإعدادات!$A$7:$A$35,0))&amp;"",""))</f>
        <v/>
      </c>
      <c r="P1390" s="20">
        <f>IF(A1390="","",INDEX(الإعدادات!$H$7:$H$18,MONTH(A1390)))</f>
        <v/>
      </c>
      <c r="Q1390" s="20">
        <f>IF(A1390="","",INDEX(الإعدادات!$I$7:$I$18,MONTH(A1390)))</f>
        <v/>
      </c>
      <c r="R1390" s="20">
        <f>IF(A1390="","",IF(MONTH(A1390)&gt;=8,YEAR(A1390)&amp;"-"&amp;(YEAR(A1390)+1),(YEAR(A1390)-1)&amp;"-"&amp;YEAR(A1390)))</f>
        <v/>
      </c>
      <c r="S1390" s="20">
        <f>IF(OR(A1390="",B1390=""),0,IF(AND(R1390=التقارير!$C$4,OR(التقارير!$C$5="سنوي",AND(التقارير!$C$5="شهري",P1390=التقارير!$C$6),AND(التقارير!$C$5="فصلي",Q1390=التقارير!$C$7))),1,0))</f>
        <v/>
      </c>
      <c r="T1390" s="20">
        <f>IF(S1390=1,COUNTIF($S$5:S1390,1),"")</f>
        <v/>
      </c>
      <c r="U1390">
        <f>IF(AND($A1390&lt;&gt;"",$B1390&lt;&gt;"",$R1390='تقرير الفصل الأول'!$C$4,$Q1390='تقرير الفصل الأول'!$C$7),COUNT(U$4:U1389)+1,"")</f>
        <v/>
      </c>
      <c r="V1390">
        <f>IF(AND($A1390&lt;&gt;"",$B1390&lt;&gt;"",$R1390='تقرير الفصل الثاني'!$C$4,$Q1390='تقرير الفصل الثاني'!$C$7),COUNT(V$4:V1389)+1,"")</f>
        <v/>
      </c>
      <c r="W1390">
        <f>IF(AND($A1390&lt;&gt;"",$B1390&lt;&gt;"",$R1390='تقرير سبتمبر'!$C$4,$P1390='تقرير سبتمبر'!$C$6),COUNT(W$4:W1389)+1,"")</f>
        <v/>
      </c>
      <c r="X1390">
        <f>IF(AND($A1390&lt;&gt;"",$B1390&lt;&gt;"",$R1390='تقرير أكتوبر'!$C$4,$P1390='تقرير أكتوبر'!$C$6),COUNT(X$4:X1389)+1,"")</f>
        <v/>
      </c>
      <c r="Y1390">
        <f>IF(AND($A1390&lt;&gt;"",$B1390&lt;&gt;"",$R1390='تقرير نوفمبر'!$C$4,$P1390='تقرير نوفمبر'!$C$6),COUNT(Y$4:Y1389)+1,"")</f>
        <v/>
      </c>
      <c r="Z1390">
        <f>IF(AND($A1390&lt;&gt;"",$B1390&lt;&gt;"",$R1390='تقرير ديسمبر'!$C$4,$P1390='تقرير ديسمبر'!$C$6),COUNT(Z$4:Z1389)+1,"")</f>
        <v/>
      </c>
      <c r="AA1390">
        <f>IF(AND($A1390&lt;&gt;"",$B1390&lt;&gt;"",$R1390='تقرير يناير'!$C$4,$P1390='تقرير يناير'!$C$6),COUNT(AA$4:AA1389)+1,"")</f>
        <v/>
      </c>
      <c r="AB1390">
        <f>IF(AND($A1390&lt;&gt;"",$B1390&lt;&gt;"",$R1390='تقرير فبراير'!$C$4,$P1390='تقرير فبراير'!$C$6),COUNT(AB$4:AB1389)+1,"")</f>
        <v/>
      </c>
      <c r="AC1390">
        <f>IF(AND($A1390&lt;&gt;"",$B1390&lt;&gt;"",$R1390='تقرير مارس'!$C$4,$P1390='تقرير مارس'!$C$6),COUNT(AC$4:AC1389)+1,"")</f>
        <v/>
      </c>
      <c r="AD1390">
        <f>IF(AND($A1390&lt;&gt;"",$B1390&lt;&gt;"",$R1390='تقرير أبريل'!$C$4,$P1390='تقرير أبريل'!$C$6),COUNT(AD$4:AD1389)+1,"")</f>
        <v/>
      </c>
      <c r="AE1390">
        <f>IF(AND($A1390&lt;&gt;"",$B1390&lt;&gt;"",$R1390='تقرير مايو'!$C$4,$P1390='تقرير مايو'!$C$6),COUNT(AE$4:AE1389)+1,"")</f>
        <v/>
      </c>
    </row>
    <row r="1391">
      <c r="A1391" s="16" t="n"/>
      <c r="B1391" s="17" t="n"/>
      <c r="C1391" s="17" t="n"/>
      <c r="D1391" s="18" t="n"/>
      <c r="E1391" s="17" t="n"/>
      <c r="F1391" s="17" t="n"/>
      <c r="G1391" s="19" t="n"/>
      <c r="H1391" s="17" t="n"/>
      <c r="I1391" s="17" t="n"/>
      <c r="J1391" s="17" t="n"/>
      <c r="K1391" s="20">
        <f>IF($B1391="","",IFERROR(INDEX(الموظفات!$A$5:$A$304,MATCH($B1391,الموظفات!$B$5:$B$304,0))&amp;"",""))</f>
        <v/>
      </c>
      <c r="L1391" s="21">
        <f>IF($B1391="","",IFERROR(INDEX(الموظفات!$C$5:$C$304,MATCH($B1391,الموظفات!$B$5:$B$304,0))&amp;"",""))</f>
        <v/>
      </c>
      <c r="M1391" s="20">
        <f>IF($B1391="","",IFERROR(INDEX(الموظفات!$D$5:$D$304,MATCH($B1391,الموظفات!$B$5:$B$304,0))&amp;"",""))</f>
        <v/>
      </c>
      <c r="N1391" s="20">
        <f>IF($B1391="","",IFERROR(INDEX(الموظفات!$E$5:$E$304,MATCH($B1391,الموظفات!$B$5:$B$304,0))&amp;"",""))</f>
        <v/>
      </c>
      <c r="O1391" s="21">
        <f>IF(C1391="","",IFERROR(INDEX(الإعدادات!$D$7:$D$35,MATCH(C1391,الإعدادات!$A$7:$A$35,0))&amp;"",""))</f>
        <v/>
      </c>
      <c r="P1391" s="20">
        <f>IF(A1391="","",INDEX(الإعدادات!$H$7:$H$18,MONTH(A1391)))</f>
        <v/>
      </c>
      <c r="Q1391" s="20">
        <f>IF(A1391="","",INDEX(الإعدادات!$I$7:$I$18,MONTH(A1391)))</f>
        <v/>
      </c>
      <c r="R1391" s="20">
        <f>IF(A1391="","",IF(MONTH(A1391)&gt;=8,YEAR(A1391)&amp;"-"&amp;(YEAR(A1391)+1),(YEAR(A1391)-1)&amp;"-"&amp;YEAR(A1391)))</f>
        <v/>
      </c>
      <c r="S1391" s="20">
        <f>IF(OR(A1391="",B1391=""),0,IF(AND(R1391=التقارير!$C$4,OR(التقارير!$C$5="سنوي",AND(التقارير!$C$5="شهري",P1391=التقارير!$C$6),AND(التقارير!$C$5="فصلي",Q1391=التقارير!$C$7))),1,0))</f>
        <v/>
      </c>
      <c r="T1391" s="20">
        <f>IF(S1391=1,COUNTIF($S$5:S1391,1),"")</f>
        <v/>
      </c>
      <c r="U1391">
        <f>IF(AND($A1391&lt;&gt;"",$B1391&lt;&gt;"",$R1391='تقرير الفصل الأول'!$C$4,$Q1391='تقرير الفصل الأول'!$C$7),COUNT(U$4:U1390)+1,"")</f>
        <v/>
      </c>
      <c r="V1391">
        <f>IF(AND($A1391&lt;&gt;"",$B1391&lt;&gt;"",$R1391='تقرير الفصل الثاني'!$C$4,$Q1391='تقرير الفصل الثاني'!$C$7),COUNT(V$4:V1390)+1,"")</f>
        <v/>
      </c>
      <c r="W1391">
        <f>IF(AND($A1391&lt;&gt;"",$B1391&lt;&gt;"",$R1391='تقرير سبتمبر'!$C$4,$P1391='تقرير سبتمبر'!$C$6),COUNT(W$4:W1390)+1,"")</f>
        <v/>
      </c>
      <c r="X1391">
        <f>IF(AND($A1391&lt;&gt;"",$B1391&lt;&gt;"",$R1391='تقرير أكتوبر'!$C$4,$P1391='تقرير أكتوبر'!$C$6),COUNT(X$4:X1390)+1,"")</f>
        <v/>
      </c>
      <c r="Y1391">
        <f>IF(AND($A1391&lt;&gt;"",$B1391&lt;&gt;"",$R1391='تقرير نوفمبر'!$C$4,$P1391='تقرير نوفمبر'!$C$6),COUNT(Y$4:Y1390)+1,"")</f>
        <v/>
      </c>
      <c r="Z1391">
        <f>IF(AND($A1391&lt;&gt;"",$B1391&lt;&gt;"",$R1391='تقرير ديسمبر'!$C$4,$P1391='تقرير ديسمبر'!$C$6),COUNT(Z$4:Z1390)+1,"")</f>
        <v/>
      </c>
      <c r="AA1391">
        <f>IF(AND($A1391&lt;&gt;"",$B1391&lt;&gt;"",$R1391='تقرير يناير'!$C$4,$P1391='تقرير يناير'!$C$6),COUNT(AA$4:AA1390)+1,"")</f>
        <v/>
      </c>
      <c r="AB1391">
        <f>IF(AND($A1391&lt;&gt;"",$B1391&lt;&gt;"",$R1391='تقرير فبراير'!$C$4,$P1391='تقرير فبراير'!$C$6),COUNT(AB$4:AB1390)+1,"")</f>
        <v/>
      </c>
      <c r="AC1391">
        <f>IF(AND($A1391&lt;&gt;"",$B1391&lt;&gt;"",$R1391='تقرير مارس'!$C$4,$P1391='تقرير مارس'!$C$6),COUNT(AC$4:AC1390)+1,"")</f>
        <v/>
      </c>
      <c r="AD1391">
        <f>IF(AND($A1391&lt;&gt;"",$B1391&lt;&gt;"",$R1391='تقرير أبريل'!$C$4,$P1391='تقرير أبريل'!$C$6),COUNT(AD$4:AD1390)+1,"")</f>
        <v/>
      </c>
      <c r="AE1391">
        <f>IF(AND($A1391&lt;&gt;"",$B1391&lt;&gt;"",$R1391='تقرير مايو'!$C$4,$P1391='تقرير مايو'!$C$6),COUNT(AE$4:AE1390)+1,"")</f>
        <v/>
      </c>
    </row>
    <row r="1392">
      <c r="A1392" s="16" t="n"/>
      <c r="B1392" s="17" t="n"/>
      <c r="C1392" s="17" t="n"/>
      <c r="D1392" s="18" t="n"/>
      <c r="E1392" s="17" t="n"/>
      <c r="F1392" s="17" t="n"/>
      <c r="G1392" s="19" t="n"/>
      <c r="H1392" s="17" t="n"/>
      <c r="I1392" s="17" t="n"/>
      <c r="J1392" s="17" t="n"/>
      <c r="K1392" s="20">
        <f>IF($B1392="","",IFERROR(INDEX(الموظفات!$A$5:$A$304,MATCH($B1392,الموظفات!$B$5:$B$304,0))&amp;"",""))</f>
        <v/>
      </c>
      <c r="L1392" s="21">
        <f>IF($B1392="","",IFERROR(INDEX(الموظفات!$C$5:$C$304,MATCH($B1392,الموظفات!$B$5:$B$304,0))&amp;"",""))</f>
        <v/>
      </c>
      <c r="M1392" s="20">
        <f>IF($B1392="","",IFERROR(INDEX(الموظفات!$D$5:$D$304,MATCH($B1392,الموظفات!$B$5:$B$304,0))&amp;"",""))</f>
        <v/>
      </c>
      <c r="N1392" s="20">
        <f>IF($B1392="","",IFERROR(INDEX(الموظفات!$E$5:$E$304,MATCH($B1392,الموظفات!$B$5:$B$304,0))&amp;"",""))</f>
        <v/>
      </c>
      <c r="O1392" s="21">
        <f>IF(C1392="","",IFERROR(INDEX(الإعدادات!$D$7:$D$35,MATCH(C1392,الإعدادات!$A$7:$A$35,0))&amp;"",""))</f>
        <v/>
      </c>
      <c r="P1392" s="20">
        <f>IF(A1392="","",INDEX(الإعدادات!$H$7:$H$18,MONTH(A1392)))</f>
        <v/>
      </c>
      <c r="Q1392" s="20">
        <f>IF(A1392="","",INDEX(الإعدادات!$I$7:$I$18,MONTH(A1392)))</f>
        <v/>
      </c>
      <c r="R1392" s="20">
        <f>IF(A1392="","",IF(MONTH(A1392)&gt;=8,YEAR(A1392)&amp;"-"&amp;(YEAR(A1392)+1),(YEAR(A1392)-1)&amp;"-"&amp;YEAR(A1392)))</f>
        <v/>
      </c>
      <c r="S1392" s="20">
        <f>IF(OR(A1392="",B1392=""),0,IF(AND(R1392=التقارير!$C$4,OR(التقارير!$C$5="سنوي",AND(التقارير!$C$5="شهري",P1392=التقارير!$C$6),AND(التقارير!$C$5="فصلي",Q1392=التقارير!$C$7))),1,0))</f>
        <v/>
      </c>
      <c r="T1392" s="20">
        <f>IF(S1392=1,COUNTIF($S$5:S1392,1),"")</f>
        <v/>
      </c>
      <c r="U1392">
        <f>IF(AND($A1392&lt;&gt;"",$B1392&lt;&gt;"",$R1392='تقرير الفصل الأول'!$C$4,$Q1392='تقرير الفصل الأول'!$C$7),COUNT(U$4:U1391)+1,"")</f>
        <v/>
      </c>
      <c r="V1392">
        <f>IF(AND($A1392&lt;&gt;"",$B1392&lt;&gt;"",$R1392='تقرير الفصل الثاني'!$C$4,$Q1392='تقرير الفصل الثاني'!$C$7),COUNT(V$4:V1391)+1,"")</f>
        <v/>
      </c>
      <c r="W1392">
        <f>IF(AND($A1392&lt;&gt;"",$B1392&lt;&gt;"",$R1392='تقرير سبتمبر'!$C$4,$P1392='تقرير سبتمبر'!$C$6),COUNT(W$4:W1391)+1,"")</f>
        <v/>
      </c>
      <c r="X1392">
        <f>IF(AND($A1392&lt;&gt;"",$B1392&lt;&gt;"",$R1392='تقرير أكتوبر'!$C$4,$P1392='تقرير أكتوبر'!$C$6),COUNT(X$4:X1391)+1,"")</f>
        <v/>
      </c>
      <c r="Y1392">
        <f>IF(AND($A1392&lt;&gt;"",$B1392&lt;&gt;"",$R1392='تقرير نوفمبر'!$C$4,$P1392='تقرير نوفمبر'!$C$6),COUNT(Y$4:Y1391)+1,"")</f>
        <v/>
      </c>
      <c r="Z1392">
        <f>IF(AND($A1392&lt;&gt;"",$B1392&lt;&gt;"",$R1392='تقرير ديسمبر'!$C$4,$P1392='تقرير ديسمبر'!$C$6),COUNT(Z$4:Z1391)+1,"")</f>
        <v/>
      </c>
      <c r="AA1392">
        <f>IF(AND($A1392&lt;&gt;"",$B1392&lt;&gt;"",$R1392='تقرير يناير'!$C$4,$P1392='تقرير يناير'!$C$6),COUNT(AA$4:AA1391)+1,"")</f>
        <v/>
      </c>
      <c r="AB1392">
        <f>IF(AND($A1392&lt;&gt;"",$B1392&lt;&gt;"",$R1392='تقرير فبراير'!$C$4,$P1392='تقرير فبراير'!$C$6),COUNT(AB$4:AB1391)+1,"")</f>
        <v/>
      </c>
      <c r="AC1392">
        <f>IF(AND($A1392&lt;&gt;"",$B1392&lt;&gt;"",$R1392='تقرير مارس'!$C$4,$P1392='تقرير مارس'!$C$6),COUNT(AC$4:AC1391)+1,"")</f>
        <v/>
      </c>
      <c r="AD1392">
        <f>IF(AND($A1392&lt;&gt;"",$B1392&lt;&gt;"",$R1392='تقرير أبريل'!$C$4,$P1392='تقرير أبريل'!$C$6),COUNT(AD$4:AD1391)+1,"")</f>
        <v/>
      </c>
      <c r="AE1392">
        <f>IF(AND($A1392&lt;&gt;"",$B1392&lt;&gt;"",$R1392='تقرير مايو'!$C$4,$P1392='تقرير مايو'!$C$6),COUNT(AE$4:AE1391)+1,"")</f>
        <v/>
      </c>
    </row>
    <row r="1393">
      <c r="A1393" s="16" t="n"/>
      <c r="B1393" s="17" t="n"/>
      <c r="C1393" s="17" t="n"/>
      <c r="D1393" s="18" t="n"/>
      <c r="E1393" s="17" t="n"/>
      <c r="F1393" s="17" t="n"/>
      <c r="G1393" s="19" t="n"/>
      <c r="H1393" s="17" t="n"/>
      <c r="I1393" s="17" t="n"/>
      <c r="J1393" s="17" t="n"/>
      <c r="K1393" s="20">
        <f>IF($B1393="","",IFERROR(INDEX(الموظفات!$A$5:$A$304,MATCH($B1393,الموظفات!$B$5:$B$304,0))&amp;"",""))</f>
        <v/>
      </c>
      <c r="L1393" s="21">
        <f>IF($B1393="","",IFERROR(INDEX(الموظفات!$C$5:$C$304,MATCH($B1393,الموظفات!$B$5:$B$304,0))&amp;"",""))</f>
        <v/>
      </c>
      <c r="M1393" s="20">
        <f>IF($B1393="","",IFERROR(INDEX(الموظفات!$D$5:$D$304,MATCH($B1393,الموظفات!$B$5:$B$304,0))&amp;"",""))</f>
        <v/>
      </c>
      <c r="N1393" s="20">
        <f>IF($B1393="","",IFERROR(INDEX(الموظفات!$E$5:$E$304,MATCH($B1393,الموظفات!$B$5:$B$304,0))&amp;"",""))</f>
        <v/>
      </c>
      <c r="O1393" s="21">
        <f>IF(C1393="","",IFERROR(INDEX(الإعدادات!$D$7:$D$35,MATCH(C1393,الإعدادات!$A$7:$A$35,0))&amp;"",""))</f>
        <v/>
      </c>
      <c r="P1393" s="20">
        <f>IF(A1393="","",INDEX(الإعدادات!$H$7:$H$18,MONTH(A1393)))</f>
        <v/>
      </c>
      <c r="Q1393" s="20">
        <f>IF(A1393="","",INDEX(الإعدادات!$I$7:$I$18,MONTH(A1393)))</f>
        <v/>
      </c>
      <c r="R1393" s="20">
        <f>IF(A1393="","",IF(MONTH(A1393)&gt;=8,YEAR(A1393)&amp;"-"&amp;(YEAR(A1393)+1),(YEAR(A1393)-1)&amp;"-"&amp;YEAR(A1393)))</f>
        <v/>
      </c>
      <c r="S1393" s="20">
        <f>IF(OR(A1393="",B1393=""),0,IF(AND(R1393=التقارير!$C$4,OR(التقارير!$C$5="سنوي",AND(التقارير!$C$5="شهري",P1393=التقارير!$C$6),AND(التقارير!$C$5="فصلي",Q1393=التقارير!$C$7))),1,0))</f>
        <v/>
      </c>
      <c r="T1393" s="20">
        <f>IF(S1393=1,COUNTIF($S$5:S1393,1),"")</f>
        <v/>
      </c>
      <c r="U1393">
        <f>IF(AND($A1393&lt;&gt;"",$B1393&lt;&gt;"",$R1393='تقرير الفصل الأول'!$C$4,$Q1393='تقرير الفصل الأول'!$C$7),COUNT(U$4:U1392)+1,"")</f>
        <v/>
      </c>
      <c r="V1393">
        <f>IF(AND($A1393&lt;&gt;"",$B1393&lt;&gt;"",$R1393='تقرير الفصل الثاني'!$C$4,$Q1393='تقرير الفصل الثاني'!$C$7),COUNT(V$4:V1392)+1,"")</f>
        <v/>
      </c>
      <c r="W1393">
        <f>IF(AND($A1393&lt;&gt;"",$B1393&lt;&gt;"",$R1393='تقرير سبتمبر'!$C$4,$P1393='تقرير سبتمبر'!$C$6),COUNT(W$4:W1392)+1,"")</f>
        <v/>
      </c>
      <c r="X1393">
        <f>IF(AND($A1393&lt;&gt;"",$B1393&lt;&gt;"",$R1393='تقرير أكتوبر'!$C$4,$P1393='تقرير أكتوبر'!$C$6),COUNT(X$4:X1392)+1,"")</f>
        <v/>
      </c>
      <c r="Y1393">
        <f>IF(AND($A1393&lt;&gt;"",$B1393&lt;&gt;"",$R1393='تقرير نوفمبر'!$C$4,$P1393='تقرير نوفمبر'!$C$6),COUNT(Y$4:Y1392)+1,"")</f>
        <v/>
      </c>
      <c r="Z1393">
        <f>IF(AND($A1393&lt;&gt;"",$B1393&lt;&gt;"",$R1393='تقرير ديسمبر'!$C$4,$P1393='تقرير ديسمبر'!$C$6),COUNT(Z$4:Z1392)+1,"")</f>
        <v/>
      </c>
      <c r="AA1393">
        <f>IF(AND($A1393&lt;&gt;"",$B1393&lt;&gt;"",$R1393='تقرير يناير'!$C$4,$P1393='تقرير يناير'!$C$6),COUNT(AA$4:AA1392)+1,"")</f>
        <v/>
      </c>
      <c r="AB1393">
        <f>IF(AND($A1393&lt;&gt;"",$B1393&lt;&gt;"",$R1393='تقرير فبراير'!$C$4,$P1393='تقرير فبراير'!$C$6),COUNT(AB$4:AB1392)+1,"")</f>
        <v/>
      </c>
      <c r="AC1393">
        <f>IF(AND($A1393&lt;&gt;"",$B1393&lt;&gt;"",$R1393='تقرير مارس'!$C$4,$P1393='تقرير مارس'!$C$6),COUNT(AC$4:AC1392)+1,"")</f>
        <v/>
      </c>
      <c r="AD1393">
        <f>IF(AND($A1393&lt;&gt;"",$B1393&lt;&gt;"",$R1393='تقرير أبريل'!$C$4,$P1393='تقرير أبريل'!$C$6),COUNT(AD$4:AD1392)+1,"")</f>
        <v/>
      </c>
      <c r="AE1393">
        <f>IF(AND($A1393&lt;&gt;"",$B1393&lt;&gt;"",$R1393='تقرير مايو'!$C$4,$P1393='تقرير مايو'!$C$6),COUNT(AE$4:AE1392)+1,"")</f>
        <v/>
      </c>
    </row>
    <row r="1394">
      <c r="A1394" s="16" t="n"/>
      <c r="B1394" s="17" t="n"/>
      <c r="C1394" s="17" t="n"/>
      <c r="D1394" s="18" t="n"/>
      <c r="E1394" s="17" t="n"/>
      <c r="F1394" s="17" t="n"/>
      <c r="G1394" s="19" t="n"/>
      <c r="H1394" s="17" t="n"/>
      <c r="I1394" s="17" t="n"/>
      <c r="J1394" s="17" t="n"/>
      <c r="K1394" s="20">
        <f>IF($B1394="","",IFERROR(INDEX(الموظفات!$A$5:$A$304,MATCH($B1394,الموظفات!$B$5:$B$304,0))&amp;"",""))</f>
        <v/>
      </c>
      <c r="L1394" s="21">
        <f>IF($B1394="","",IFERROR(INDEX(الموظفات!$C$5:$C$304,MATCH($B1394,الموظفات!$B$5:$B$304,0))&amp;"",""))</f>
        <v/>
      </c>
      <c r="M1394" s="20">
        <f>IF($B1394="","",IFERROR(INDEX(الموظفات!$D$5:$D$304,MATCH($B1394,الموظفات!$B$5:$B$304,0))&amp;"",""))</f>
        <v/>
      </c>
      <c r="N1394" s="20">
        <f>IF($B1394="","",IFERROR(INDEX(الموظفات!$E$5:$E$304,MATCH($B1394,الموظفات!$B$5:$B$304,0))&amp;"",""))</f>
        <v/>
      </c>
      <c r="O1394" s="21">
        <f>IF(C1394="","",IFERROR(INDEX(الإعدادات!$D$7:$D$35,MATCH(C1394,الإعدادات!$A$7:$A$35,0))&amp;"",""))</f>
        <v/>
      </c>
      <c r="P1394" s="20">
        <f>IF(A1394="","",INDEX(الإعدادات!$H$7:$H$18,MONTH(A1394)))</f>
        <v/>
      </c>
      <c r="Q1394" s="20">
        <f>IF(A1394="","",INDEX(الإعدادات!$I$7:$I$18,MONTH(A1394)))</f>
        <v/>
      </c>
      <c r="R1394" s="20">
        <f>IF(A1394="","",IF(MONTH(A1394)&gt;=8,YEAR(A1394)&amp;"-"&amp;(YEAR(A1394)+1),(YEAR(A1394)-1)&amp;"-"&amp;YEAR(A1394)))</f>
        <v/>
      </c>
      <c r="S1394" s="20">
        <f>IF(OR(A1394="",B1394=""),0,IF(AND(R1394=التقارير!$C$4,OR(التقارير!$C$5="سنوي",AND(التقارير!$C$5="شهري",P1394=التقارير!$C$6),AND(التقارير!$C$5="فصلي",Q1394=التقارير!$C$7))),1,0))</f>
        <v/>
      </c>
      <c r="T1394" s="20">
        <f>IF(S1394=1,COUNTIF($S$5:S1394,1),"")</f>
        <v/>
      </c>
      <c r="U1394">
        <f>IF(AND($A1394&lt;&gt;"",$B1394&lt;&gt;"",$R1394='تقرير الفصل الأول'!$C$4,$Q1394='تقرير الفصل الأول'!$C$7),COUNT(U$4:U1393)+1,"")</f>
        <v/>
      </c>
      <c r="V1394">
        <f>IF(AND($A1394&lt;&gt;"",$B1394&lt;&gt;"",$R1394='تقرير الفصل الثاني'!$C$4,$Q1394='تقرير الفصل الثاني'!$C$7),COUNT(V$4:V1393)+1,"")</f>
        <v/>
      </c>
      <c r="W1394">
        <f>IF(AND($A1394&lt;&gt;"",$B1394&lt;&gt;"",$R1394='تقرير سبتمبر'!$C$4,$P1394='تقرير سبتمبر'!$C$6),COUNT(W$4:W1393)+1,"")</f>
        <v/>
      </c>
      <c r="X1394">
        <f>IF(AND($A1394&lt;&gt;"",$B1394&lt;&gt;"",$R1394='تقرير أكتوبر'!$C$4,$P1394='تقرير أكتوبر'!$C$6),COUNT(X$4:X1393)+1,"")</f>
        <v/>
      </c>
      <c r="Y1394">
        <f>IF(AND($A1394&lt;&gt;"",$B1394&lt;&gt;"",$R1394='تقرير نوفمبر'!$C$4,$P1394='تقرير نوفمبر'!$C$6),COUNT(Y$4:Y1393)+1,"")</f>
        <v/>
      </c>
      <c r="Z1394">
        <f>IF(AND($A1394&lt;&gt;"",$B1394&lt;&gt;"",$R1394='تقرير ديسمبر'!$C$4,$P1394='تقرير ديسمبر'!$C$6),COUNT(Z$4:Z1393)+1,"")</f>
        <v/>
      </c>
      <c r="AA1394">
        <f>IF(AND($A1394&lt;&gt;"",$B1394&lt;&gt;"",$R1394='تقرير يناير'!$C$4,$P1394='تقرير يناير'!$C$6),COUNT(AA$4:AA1393)+1,"")</f>
        <v/>
      </c>
      <c r="AB1394">
        <f>IF(AND($A1394&lt;&gt;"",$B1394&lt;&gt;"",$R1394='تقرير فبراير'!$C$4,$P1394='تقرير فبراير'!$C$6),COUNT(AB$4:AB1393)+1,"")</f>
        <v/>
      </c>
      <c r="AC1394">
        <f>IF(AND($A1394&lt;&gt;"",$B1394&lt;&gt;"",$R1394='تقرير مارس'!$C$4,$P1394='تقرير مارس'!$C$6),COUNT(AC$4:AC1393)+1,"")</f>
        <v/>
      </c>
      <c r="AD1394">
        <f>IF(AND($A1394&lt;&gt;"",$B1394&lt;&gt;"",$R1394='تقرير أبريل'!$C$4,$P1394='تقرير أبريل'!$C$6),COUNT(AD$4:AD1393)+1,"")</f>
        <v/>
      </c>
      <c r="AE1394">
        <f>IF(AND($A1394&lt;&gt;"",$B1394&lt;&gt;"",$R1394='تقرير مايو'!$C$4,$P1394='تقرير مايو'!$C$6),COUNT(AE$4:AE1393)+1,"")</f>
        <v/>
      </c>
    </row>
    <row r="1395">
      <c r="A1395" s="16" t="n"/>
      <c r="B1395" s="17" t="n"/>
      <c r="C1395" s="17" t="n"/>
      <c r="D1395" s="18" t="n"/>
      <c r="E1395" s="17" t="n"/>
      <c r="F1395" s="17" t="n"/>
      <c r="G1395" s="19" t="n"/>
      <c r="H1395" s="17" t="n"/>
      <c r="I1395" s="17" t="n"/>
      <c r="J1395" s="17" t="n"/>
      <c r="K1395" s="20">
        <f>IF($B1395="","",IFERROR(INDEX(الموظفات!$A$5:$A$304,MATCH($B1395,الموظفات!$B$5:$B$304,0))&amp;"",""))</f>
        <v/>
      </c>
      <c r="L1395" s="21">
        <f>IF($B1395="","",IFERROR(INDEX(الموظفات!$C$5:$C$304,MATCH($B1395,الموظفات!$B$5:$B$304,0))&amp;"",""))</f>
        <v/>
      </c>
      <c r="M1395" s="20">
        <f>IF($B1395="","",IFERROR(INDEX(الموظفات!$D$5:$D$304,MATCH($B1395,الموظفات!$B$5:$B$304,0))&amp;"",""))</f>
        <v/>
      </c>
      <c r="N1395" s="20">
        <f>IF($B1395="","",IFERROR(INDEX(الموظفات!$E$5:$E$304,MATCH($B1395,الموظفات!$B$5:$B$304,0))&amp;"",""))</f>
        <v/>
      </c>
      <c r="O1395" s="21">
        <f>IF(C1395="","",IFERROR(INDEX(الإعدادات!$D$7:$D$35,MATCH(C1395,الإعدادات!$A$7:$A$35,0))&amp;"",""))</f>
        <v/>
      </c>
      <c r="P1395" s="20">
        <f>IF(A1395="","",INDEX(الإعدادات!$H$7:$H$18,MONTH(A1395)))</f>
        <v/>
      </c>
      <c r="Q1395" s="20">
        <f>IF(A1395="","",INDEX(الإعدادات!$I$7:$I$18,MONTH(A1395)))</f>
        <v/>
      </c>
      <c r="R1395" s="20">
        <f>IF(A1395="","",IF(MONTH(A1395)&gt;=8,YEAR(A1395)&amp;"-"&amp;(YEAR(A1395)+1),(YEAR(A1395)-1)&amp;"-"&amp;YEAR(A1395)))</f>
        <v/>
      </c>
      <c r="S1395" s="20">
        <f>IF(OR(A1395="",B1395=""),0,IF(AND(R1395=التقارير!$C$4,OR(التقارير!$C$5="سنوي",AND(التقارير!$C$5="شهري",P1395=التقارير!$C$6),AND(التقارير!$C$5="فصلي",Q1395=التقارير!$C$7))),1,0))</f>
        <v/>
      </c>
      <c r="T1395" s="20">
        <f>IF(S1395=1,COUNTIF($S$5:S1395,1),"")</f>
        <v/>
      </c>
      <c r="U1395">
        <f>IF(AND($A1395&lt;&gt;"",$B1395&lt;&gt;"",$R1395='تقرير الفصل الأول'!$C$4,$Q1395='تقرير الفصل الأول'!$C$7),COUNT(U$4:U1394)+1,"")</f>
        <v/>
      </c>
      <c r="V1395">
        <f>IF(AND($A1395&lt;&gt;"",$B1395&lt;&gt;"",$R1395='تقرير الفصل الثاني'!$C$4,$Q1395='تقرير الفصل الثاني'!$C$7),COUNT(V$4:V1394)+1,"")</f>
        <v/>
      </c>
      <c r="W1395">
        <f>IF(AND($A1395&lt;&gt;"",$B1395&lt;&gt;"",$R1395='تقرير سبتمبر'!$C$4,$P1395='تقرير سبتمبر'!$C$6),COUNT(W$4:W1394)+1,"")</f>
        <v/>
      </c>
      <c r="X1395">
        <f>IF(AND($A1395&lt;&gt;"",$B1395&lt;&gt;"",$R1395='تقرير أكتوبر'!$C$4,$P1395='تقرير أكتوبر'!$C$6),COUNT(X$4:X1394)+1,"")</f>
        <v/>
      </c>
      <c r="Y1395">
        <f>IF(AND($A1395&lt;&gt;"",$B1395&lt;&gt;"",$R1395='تقرير نوفمبر'!$C$4,$P1395='تقرير نوفمبر'!$C$6),COUNT(Y$4:Y1394)+1,"")</f>
        <v/>
      </c>
      <c r="Z1395">
        <f>IF(AND($A1395&lt;&gt;"",$B1395&lt;&gt;"",$R1395='تقرير ديسمبر'!$C$4,$P1395='تقرير ديسمبر'!$C$6),COUNT(Z$4:Z1394)+1,"")</f>
        <v/>
      </c>
      <c r="AA1395">
        <f>IF(AND($A1395&lt;&gt;"",$B1395&lt;&gt;"",$R1395='تقرير يناير'!$C$4,$P1395='تقرير يناير'!$C$6),COUNT(AA$4:AA1394)+1,"")</f>
        <v/>
      </c>
      <c r="AB1395">
        <f>IF(AND($A1395&lt;&gt;"",$B1395&lt;&gt;"",$R1395='تقرير فبراير'!$C$4,$P1395='تقرير فبراير'!$C$6),COUNT(AB$4:AB1394)+1,"")</f>
        <v/>
      </c>
      <c r="AC1395">
        <f>IF(AND($A1395&lt;&gt;"",$B1395&lt;&gt;"",$R1395='تقرير مارس'!$C$4,$P1395='تقرير مارس'!$C$6),COUNT(AC$4:AC1394)+1,"")</f>
        <v/>
      </c>
      <c r="AD1395">
        <f>IF(AND($A1395&lt;&gt;"",$B1395&lt;&gt;"",$R1395='تقرير أبريل'!$C$4,$P1395='تقرير أبريل'!$C$6),COUNT(AD$4:AD1394)+1,"")</f>
        <v/>
      </c>
      <c r="AE1395">
        <f>IF(AND($A1395&lt;&gt;"",$B1395&lt;&gt;"",$R1395='تقرير مايو'!$C$4,$P1395='تقرير مايو'!$C$6),COUNT(AE$4:AE1394)+1,"")</f>
        <v/>
      </c>
    </row>
    <row r="1396">
      <c r="A1396" s="16" t="n"/>
      <c r="B1396" s="17" t="n"/>
      <c r="C1396" s="17" t="n"/>
      <c r="D1396" s="18" t="n"/>
      <c r="E1396" s="17" t="n"/>
      <c r="F1396" s="17" t="n"/>
      <c r="G1396" s="19" t="n"/>
      <c r="H1396" s="17" t="n"/>
      <c r="I1396" s="17" t="n"/>
      <c r="J1396" s="17" t="n"/>
      <c r="K1396" s="20">
        <f>IF($B1396="","",IFERROR(INDEX(الموظفات!$A$5:$A$304,MATCH($B1396,الموظفات!$B$5:$B$304,0))&amp;"",""))</f>
        <v/>
      </c>
      <c r="L1396" s="21">
        <f>IF($B1396="","",IFERROR(INDEX(الموظفات!$C$5:$C$304,MATCH($B1396,الموظفات!$B$5:$B$304,0))&amp;"",""))</f>
        <v/>
      </c>
      <c r="M1396" s="20">
        <f>IF($B1396="","",IFERROR(INDEX(الموظفات!$D$5:$D$304,MATCH($B1396,الموظفات!$B$5:$B$304,0))&amp;"",""))</f>
        <v/>
      </c>
      <c r="N1396" s="20">
        <f>IF($B1396="","",IFERROR(INDEX(الموظفات!$E$5:$E$304,MATCH($B1396,الموظفات!$B$5:$B$304,0))&amp;"",""))</f>
        <v/>
      </c>
      <c r="O1396" s="21">
        <f>IF(C1396="","",IFERROR(INDEX(الإعدادات!$D$7:$D$35,MATCH(C1396,الإعدادات!$A$7:$A$35,0))&amp;"",""))</f>
        <v/>
      </c>
      <c r="P1396" s="20">
        <f>IF(A1396="","",INDEX(الإعدادات!$H$7:$H$18,MONTH(A1396)))</f>
        <v/>
      </c>
      <c r="Q1396" s="20">
        <f>IF(A1396="","",INDEX(الإعدادات!$I$7:$I$18,MONTH(A1396)))</f>
        <v/>
      </c>
      <c r="R1396" s="20">
        <f>IF(A1396="","",IF(MONTH(A1396)&gt;=8,YEAR(A1396)&amp;"-"&amp;(YEAR(A1396)+1),(YEAR(A1396)-1)&amp;"-"&amp;YEAR(A1396)))</f>
        <v/>
      </c>
      <c r="S1396" s="20">
        <f>IF(OR(A1396="",B1396=""),0,IF(AND(R1396=التقارير!$C$4,OR(التقارير!$C$5="سنوي",AND(التقارير!$C$5="شهري",P1396=التقارير!$C$6),AND(التقارير!$C$5="فصلي",Q1396=التقارير!$C$7))),1,0))</f>
        <v/>
      </c>
      <c r="T1396" s="20">
        <f>IF(S1396=1,COUNTIF($S$5:S1396,1),"")</f>
        <v/>
      </c>
      <c r="U1396">
        <f>IF(AND($A1396&lt;&gt;"",$B1396&lt;&gt;"",$R1396='تقرير الفصل الأول'!$C$4,$Q1396='تقرير الفصل الأول'!$C$7),COUNT(U$4:U1395)+1,"")</f>
        <v/>
      </c>
      <c r="V1396">
        <f>IF(AND($A1396&lt;&gt;"",$B1396&lt;&gt;"",$R1396='تقرير الفصل الثاني'!$C$4,$Q1396='تقرير الفصل الثاني'!$C$7),COUNT(V$4:V1395)+1,"")</f>
        <v/>
      </c>
      <c r="W1396">
        <f>IF(AND($A1396&lt;&gt;"",$B1396&lt;&gt;"",$R1396='تقرير سبتمبر'!$C$4,$P1396='تقرير سبتمبر'!$C$6),COUNT(W$4:W1395)+1,"")</f>
        <v/>
      </c>
      <c r="X1396">
        <f>IF(AND($A1396&lt;&gt;"",$B1396&lt;&gt;"",$R1396='تقرير أكتوبر'!$C$4,$P1396='تقرير أكتوبر'!$C$6),COUNT(X$4:X1395)+1,"")</f>
        <v/>
      </c>
      <c r="Y1396">
        <f>IF(AND($A1396&lt;&gt;"",$B1396&lt;&gt;"",$R1396='تقرير نوفمبر'!$C$4,$P1396='تقرير نوفمبر'!$C$6),COUNT(Y$4:Y1395)+1,"")</f>
        <v/>
      </c>
      <c r="Z1396">
        <f>IF(AND($A1396&lt;&gt;"",$B1396&lt;&gt;"",$R1396='تقرير ديسمبر'!$C$4,$P1396='تقرير ديسمبر'!$C$6),COUNT(Z$4:Z1395)+1,"")</f>
        <v/>
      </c>
      <c r="AA1396">
        <f>IF(AND($A1396&lt;&gt;"",$B1396&lt;&gt;"",$R1396='تقرير يناير'!$C$4,$P1396='تقرير يناير'!$C$6),COUNT(AA$4:AA1395)+1,"")</f>
        <v/>
      </c>
      <c r="AB1396">
        <f>IF(AND($A1396&lt;&gt;"",$B1396&lt;&gt;"",$R1396='تقرير فبراير'!$C$4,$P1396='تقرير فبراير'!$C$6),COUNT(AB$4:AB1395)+1,"")</f>
        <v/>
      </c>
      <c r="AC1396">
        <f>IF(AND($A1396&lt;&gt;"",$B1396&lt;&gt;"",$R1396='تقرير مارس'!$C$4,$P1396='تقرير مارس'!$C$6),COUNT(AC$4:AC1395)+1,"")</f>
        <v/>
      </c>
      <c r="AD1396">
        <f>IF(AND($A1396&lt;&gt;"",$B1396&lt;&gt;"",$R1396='تقرير أبريل'!$C$4,$P1396='تقرير أبريل'!$C$6),COUNT(AD$4:AD1395)+1,"")</f>
        <v/>
      </c>
      <c r="AE1396">
        <f>IF(AND($A1396&lt;&gt;"",$B1396&lt;&gt;"",$R1396='تقرير مايو'!$C$4,$P1396='تقرير مايو'!$C$6),COUNT(AE$4:AE1395)+1,"")</f>
        <v/>
      </c>
    </row>
    <row r="1397">
      <c r="A1397" s="16" t="n"/>
      <c r="B1397" s="17" t="n"/>
      <c r="C1397" s="17" t="n"/>
      <c r="D1397" s="18" t="n"/>
      <c r="E1397" s="17" t="n"/>
      <c r="F1397" s="17" t="n"/>
      <c r="G1397" s="19" t="n"/>
      <c r="H1397" s="17" t="n"/>
      <c r="I1397" s="17" t="n"/>
      <c r="J1397" s="17" t="n"/>
      <c r="K1397" s="20">
        <f>IF($B1397="","",IFERROR(INDEX(الموظفات!$A$5:$A$304,MATCH($B1397,الموظفات!$B$5:$B$304,0))&amp;"",""))</f>
        <v/>
      </c>
      <c r="L1397" s="21">
        <f>IF($B1397="","",IFERROR(INDEX(الموظفات!$C$5:$C$304,MATCH($B1397,الموظفات!$B$5:$B$304,0))&amp;"",""))</f>
        <v/>
      </c>
      <c r="M1397" s="20">
        <f>IF($B1397="","",IFERROR(INDEX(الموظفات!$D$5:$D$304,MATCH($B1397,الموظفات!$B$5:$B$304,0))&amp;"",""))</f>
        <v/>
      </c>
      <c r="N1397" s="20">
        <f>IF($B1397="","",IFERROR(INDEX(الموظفات!$E$5:$E$304,MATCH($B1397,الموظفات!$B$5:$B$304,0))&amp;"",""))</f>
        <v/>
      </c>
      <c r="O1397" s="21">
        <f>IF(C1397="","",IFERROR(INDEX(الإعدادات!$D$7:$D$35,MATCH(C1397,الإعدادات!$A$7:$A$35,0))&amp;"",""))</f>
        <v/>
      </c>
      <c r="P1397" s="20">
        <f>IF(A1397="","",INDEX(الإعدادات!$H$7:$H$18,MONTH(A1397)))</f>
        <v/>
      </c>
      <c r="Q1397" s="20">
        <f>IF(A1397="","",INDEX(الإعدادات!$I$7:$I$18,MONTH(A1397)))</f>
        <v/>
      </c>
      <c r="R1397" s="20">
        <f>IF(A1397="","",IF(MONTH(A1397)&gt;=8,YEAR(A1397)&amp;"-"&amp;(YEAR(A1397)+1),(YEAR(A1397)-1)&amp;"-"&amp;YEAR(A1397)))</f>
        <v/>
      </c>
      <c r="S1397" s="20">
        <f>IF(OR(A1397="",B1397=""),0,IF(AND(R1397=التقارير!$C$4,OR(التقارير!$C$5="سنوي",AND(التقارير!$C$5="شهري",P1397=التقارير!$C$6),AND(التقارير!$C$5="فصلي",Q1397=التقارير!$C$7))),1,0))</f>
        <v/>
      </c>
      <c r="T1397" s="20">
        <f>IF(S1397=1,COUNTIF($S$5:S1397,1),"")</f>
        <v/>
      </c>
      <c r="U1397">
        <f>IF(AND($A1397&lt;&gt;"",$B1397&lt;&gt;"",$R1397='تقرير الفصل الأول'!$C$4,$Q1397='تقرير الفصل الأول'!$C$7),COUNT(U$4:U1396)+1,"")</f>
        <v/>
      </c>
      <c r="V1397">
        <f>IF(AND($A1397&lt;&gt;"",$B1397&lt;&gt;"",$R1397='تقرير الفصل الثاني'!$C$4,$Q1397='تقرير الفصل الثاني'!$C$7),COUNT(V$4:V1396)+1,"")</f>
        <v/>
      </c>
      <c r="W1397">
        <f>IF(AND($A1397&lt;&gt;"",$B1397&lt;&gt;"",$R1397='تقرير سبتمبر'!$C$4,$P1397='تقرير سبتمبر'!$C$6),COUNT(W$4:W1396)+1,"")</f>
        <v/>
      </c>
      <c r="X1397">
        <f>IF(AND($A1397&lt;&gt;"",$B1397&lt;&gt;"",$R1397='تقرير أكتوبر'!$C$4,$P1397='تقرير أكتوبر'!$C$6),COUNT(X$4:X1396)+1,"")</f>
        <v/>
      </c>
      <c r="Y1397">
        <f>IF(AND($A1397&lt;&gt;"",$B1397&lt;&gt;"",$R1397='تقرير نوفمبر'!$C$4,$P1397='تقرير نوفمبر'!$C$6),COUNT(Y$4:Y1396)+1,"")</f>
        <v/>
      </c>
      <c r="Z1397">
        <f>IF(AND($A1397&lt;&gt;"",$B1397&lt;&gt;"",$R1397='تقرير ديسمبر'!$C$4,$P1397='تقرير ديسمبر'!$C$6),COUNT(Z$4:Z1396)+1,"")</f>
        <v/>
      </c>
      <c r="AA1397">
        <f>IF(AND($A1397&lt;&gt;"",$B1397&lt;&gt;"",$R1397='تقرير يناير'!$C$4,$P1397='تقرير يناير'!$C$6),COUNT(AA$4:AA1396)+1,"")</f>
        <v/>
      </c>
      <c r="AB1397">
        <f>IF(AND($A1397&lt;&gt;"",$B1397&lt;&gt;"",$R1397='تقرير فبراير'!$C$4,$P1397='تقرير فبراير'!$C$6),COUNT(AB$4:AB1396)+1,"")</f>
        <v/>
      </c>
      <c r="AC1397">
        <f>IF(AND($A1397&lt;&gt;"",$B1397&lt;&gt;"",$R1397='تقرير مارس'!$C$4,$P1397='تقرير مارس'!$C$6),COUNT(AC$4:AC1396)+1,"")</f>
        <v/>
      </c>
      <c r="AD1397">
        <f>IF(AND($A1397&lt;&gt;"",$B1397&lt;&gt;"",$R1397='تقرير أبريل'!$C$4,$P1397='تقرير أبريل'!$C$6),COUNT(AD$4:AD1396)+1,"")</f>
        <v/>
      </c>
      <c r="AE1397">
        <f>IF(AND($A1397&lt;&gt;"",$B1397&lt;&gt;"",$R1397='تقرير مايو'!$C$4,$P1397='تقرير مايو'!$C$6),COUNT(AE$4:AE1396)+1,"")</f>
        <v/>
      </c>
    </row>
    <row r="1398">
      <c r="A1398" s="16" t="n"/>
      <c r="B1398" s="17" t="n"/>
      <c r="C1398" s="17" t="n"/>
      <c r="D1398" s="18" t="n"/>
      <c r="E1398" s="17" t="n"/>
      <c r="F1398" s="17" t="n"/>
      <c r="G1398" s="19" t="n"/>
      <c r="H1398" s="17" t="n"/>
      <c r="I1398" s="17" t="n"/>
      <c r="J1398" s="17" t="n"/>
      <c r="K1398" s="20">
        <f>IF($B1398="","",IFERROR(INDEX(الموظفات!$A$5:$A$304,MATCH($B1398,الموظفات!$B$5:$B$304,0))&amp;"",""))</f>
        <v/>
      </c>
      <c r="L1398" s="21">
        <f>IF($B1398="","",IFERROR(INDEX(الموظفات!$C$5:$C$304,MATCH($B1398,الموظفات!$B$5:$B$304,0))&amp;"",""))</f>
        <v/>
      </c>
      <c r="M1398" s="20">
        <f>IF($B1398="","",IFERROR(INDEX(الموظفات!$D$5:$D$304,MATCH($B1398,الموظفات!$B$5:$B$304,0))&amp;"",""))</f>
        <v/>
      </c>
      <c r="N1398" s="20">
        <f>IF($B1398="","",IFERROR(INDEX(الموظفات!$E$5:$E$304,MATCH($B1398,الموظفات!$B$5:$B$304,0))&amp;"",""))</f>
        <v/>
      </c>
      <c r="O1398" s="21">
        <f>IF(C1398="","",IFERROR(INDEX(الإعدادات!$D$7:$D$35,MATCH(C1398,الإعدادات!$A$7:$A$35,0))&amp;"",""))</f>
        <v/>
      </c>
      <c r="P1398" s="20">
        <f>IF(A1398="","",INDEX(الإعدادات!$H$7:$H$18,MONTH(A1398)))</f>
        <v/>
      </c>
      <c r="Q1398" s="20">
        <f>IF(A1398="","",INDEX(الإعدادات!$I$7:$I$18,MONTH(A1398)))</f>
        <v/>
      </c>
      <c r="R1398" s="20">
        <f>IF(A1398="","",IF(MONTH(A1398)&gt;=8,YEAR(A1398)&amp;"-"&amp;(YEAR(A1398)+1),(YEAR(A1398)-1)&amp;"-"&amp;YEAR(A1398)))</f>
        <v/>
      </c>
      <c r="S1398" s="20">
        <f>IF(OR(A1398="",B1398=""),0,IF(AND(R1398=التقارير!$C$4,OR(التقارير!$C$5="سنوي",AND(التقارير!$C$5="شهري",P1398=التقارير!$C$6),AND(التقارير!$C$5="فصلي",Q1398=التقارير!$C$7))),1,0))</f>
        <v/>
      </c>
      <c r="T1398" s="20">
        <f>IF(S1398=1,COUNTIF($S$5:S1398,1),"")</f>
        <v/>
      </c>
      <c r="U1398">
        <f>IF(AND($A1398&lt;&gt;"",$B1398&lt;&gt;"",$R1398='تقرير الفصل الأول'!$C$4,$Q1398='تقرير الفصل الأول'!$C$7),COUNT(U$4:U1397)+1,"")</f>
        <v/>
      </c>
      <c r="V1398">
        <f>IF(AND($A1398&lt;&gt;"",$B1398&lt;&gt;"",$R1398='تقرير الفصل الثاني'!$C$4,$Q1398='تقرير الفصل الثاني'!$C$7),COUNT(V$4:V1397)+1,"")</f>
        <v/>
      </c>
      <c r="W1398">
        <f>IF(AND($A1398&lt;&gt;"",$B1398&lt;&gt;"",$R1398='تقرير سبتمبر'!$C$4,$P1398='تقرير سبتمبر'!$C$6),COUNT(W$4:W1397)+1,"")</f>
        <v/>
      </c>
      <c r="X1398">
        <f>IF(AND($A1398&lt;&gt;"",$B1398&lt;&gt;"",$R1398='تقرير أكتوبر'!$C$4,$P1398='تقرير أكتوبر'!$C$6),COUNT(X$4:X1397)+1,"")</f>
        <v/>
      </c>
      <c r="Y1398">
        <f>IF(AND($A1398&lt;&gt;"",$B1398&lt;&gt;"",$R1398='تقرير نوفمبر'!$C$4,$P1398='تقرير نوفمبر'!$C$6),COUNT(Y$4:Y1397)+1,"")</f>
        <v/>
      </c>
      <c r="Z1398">
        <f>IF(AND($A1398&lt;&gt;"",$B1398&lt;&gt;"",$R1398='تقرير ديسمبر'!$C$4,$P1398='تقرير ديسمبر'!$C$6),COUNT(Z$4:Z1397)+1,"")</f>
        <v/>
      </c>
      <c r="AA1398">
        <f>IF(AND($A1398&lt;&gt;"",$B1398&lt;&gt;"",$R1398='تقرير يناير'!$C$4,$P1398='تقرير يناير'!$C$6),COUNT(AA$4:AA1397)+1,"")</f>
        <v/>
      </c>
      <c r="AB1398">
        <f>IF(AND($A1398&lt;&gt;"",$B1398&lt;&gt;"",$R1398='تقرير فبراير'!$C$4,$P1398='تقرير فبراير'!$C$6),COUNT(AB$4:AB1397)+1,"")</f>
        <v/>
      </c>
      <c r="AC1398">
        <f>IF(AND($A1398&lt;&gt;"",$B1398&lt;&gt;"",$R1398='تقرير مارس'!$C$4,$P1398='تقرير مارس'!$C$6),COUNT(AC$4:AC1397)+1,"")</f>
        <v/>
      </c>
      <c r="AD1398">
        <f>IF(AND($A1398&lt;&gt;"",$B1398&lt;&gt;"",$R1398='تقرير أبريل'!$C$4,$P1398='تقرير أبريل'!$C$6),COUNT(AD$4:AD1397)+1,"")</f>
        <v/>
      </c>
      <c r="AE1398">
        <f>IF(AND($A1398&lt;&gt;"",$B1398&lt;&gt;"",$R1398='تقرير مايو'!$C$4,$P1398='تقرير مايو'!$C$6),COUNT(AE$4:AE1397)+1,"")</f>
        <v/>
      </c>
    </row>
    <row r="1399">
      <c r="A1399" s="16" t="n"/>
      <c r="B1399" s="17" t="n"/>
      <c r="C1399" s="17" t="n"/>
      <c r="D1399" s="18" t="n"/>
      <c r="E1399" s="17" t="n"/>
      <c r="F1399" s="17" t="n"/>
      <c r="G1399" s="19" t="n"/>
      <c r="H1399" s="17" t="n"/>
      <c r="I1399" s="17" t="n"/>
      <c r="J1399" s="17" t="n"/>
      <c r="K1399" s="20">
        <f>IF($B1399="","",IFERROR(INDEX(الموظفات!$A$5:$A$304,MATCH($B1399,الموظفات!$B$5:$B$304,0))&amp;"",""))</f>
        <v/>
      </c>
      <c r="L1399" s="21">
        <f>IF($B1399="","",IFERROR(INDEX(الموظفات!$C$5:$C$304,MATCH($B1399,الموظفات!$B$5:$B$304,0))&amp;"",""))</f>
        <v/>
      </c>
      <c r="M1399" s="20">
        <f>IF($B1399="","",IFERROR(INDEX(الموظفات!$D$5:$D$304,MATCH($B1399,الموظفات!$B$5:$B$304,0))&amp;"",""))</f>
        <v/>
      </c>
      <c r="N1399" s="20">
        <f>IF($B1399="","",IFERROR(INDEX(الموظفات!$E$5:$E$304,MATCH($B1399,الموظفات!$B$5:$B$304,0))&amp;"",""))</f>
        <v/>
      </c>
      <c r="O1399" s="21">
        <f>IF(C1399="","",IFERROR(INDEX(الإعدادات!$D$7:$D$35,MATCH(C1399,الإعدادات!$A$7:$A$35,0))&amp;"",""))</f>
        <v/>
      </c>
      <c r="P1399" s="20">
        <f>IF(A1399="","",INDEX(الإعدادات!$H$7:$H$18,MONTH(A1399)))</f>
        <v/>
      </c>
      <c r="Q1399" s="20">
        <f>IF(A1399="","",INDEX(الإعدادات!$I$7:$I$18,MONTH(A1399)))</f>
        <v/>
      </c>
      <c r="R1399" s="20">
        <f>IF(A1399="","",IF(MONTH(A1399)&gt;=8,YEAR(A1399)&amp;"-"&amp;(YEAR(A1399)+1),(YEAR(A1399)-1)&amp;"-"&amp;YEAR(A1399)))</f>
        <v/>
      </c>
      <c r="S1399" s="20">
        <f>IF(OR(A1399="",B1399=""),0,IF(AND(R1399=التقارير!$C$4,OR(التقارير!$C$5="سنوي",AND(التقارير!$C$5="شهري",P1399=التقارير!$C$6),AND(التقارير!$C$5="فصلي",Q1399=التقارير!$C$7))),1,0))</f>
        <v/>
      </c>
      <c r="T1399" s="20">
        <f>IF(S1399=1,COUNTIF($S$5:S1399,1),"")</f>
        <v/>
      </c>
      <c r="U1399">
        <f>IF(AND($A1399&lt;&gt;"",$B1399&lt;&gt;"",$R1399='تقرير الفصل الأول'!$C$4,$Q1399='تقرير الفصل الأول'!$C$7),COUNT(U$4:U1398)+1,"")</f>
        <v/>
      </c>
      <c r="V1399">
        <f>IF(AND($A1399&lt;&gt;"",$B1399&lt;&gt;"",$R1399='تقرير الفصل الثاني'!$C$4,$Q1399='تقرير الفصل الثاني'!$C$7),COUNT(V$4:V1398)+1,"")</f>
        <v/>
      </c>
      <c r="W1399">
        <f>IF(AND($A1399&lt;&gt;"",$B1399&lt;&gt;"",$R1399='تقرير سبتمبر'!$C$4,$P1399='تقرير سبتمبر'!$C$6),COUNT(W$4:W1398)+1,"")</f>
        <v/>
      </c>
      <c r="X1399">
        <f>IF(AND($A1399&lt;&gt;"",$B1399&lt;&gt;"",$R1399='تقرير أكتوبر'!$C$4,$P1399='تقرير أكتوبر'!$C$6),COUNT(X$4:X1398)+1,"")</f>
        <v/>
      </c>
      <c r="Y1399">
        <f>IF(AND($A1399&lt;&gt;"",$B1399&lt;&gt;"",$R1399='تقرير نوفمبر'!$C$4,$P1399='تقرير نوفمبر'!$C$6),COUNT(Y$4:Y1398)+1,"")</f>
        <v/>
      </c>
      <c r="Z1399">
        <f>IF(AND($A1399&lt;&gt;"",$B1399&lt;&gt;"",$R1399='تقرير ديسمبر'!$C$4,$P1399='تقرير ديسمبر'!$C$6),COUNT(Z$4:Z1398)+1,"")</f>
        <v/>
      </c>
      <c r="AA1399">
        <f>IF(AND($A1399&lt;&gt;"",$B1399&lt;&gt;"",$R1399='تقرير يناير'!$C$4,$P1399='تقرير يناير'!$C$6),COUNT(AA$4:AA1398)+1,"")</f>
        <v/>
      </c>
      <c r="AB1399">
        <f>IF(AND($A1399&lt;&gt;"",$B1399&lt;&gt;"",$R1399='تقرير فبراير'!$C$4,$P1399='تقرير فبراير'!$C$6),COUNT(AB$4:AB1398)+1,"")</f>
        <v/>
      </c>
      <c r="AC1399">
        <f>IF(AND($A1399&lt;&gt;"",$B1399&lt;&gt;"",$R1399='تقرير مارس'!$C$4,$P1399='تقرير مارس'!$C$6),COUNT(AC$4:AC1398)+1,"")</f>
        <v/>
      </c>
      <c r="AD1399">
        <f>IF(AND($A1399&lt;&gt;"",$B1399&lt;&gt;"",$R1399='تقرير أبريل'!$C$4,$P1399='تقرير أبريل'!$C$6),COUNT(AD$4:AD1398)+1,"")</f>
        <v/>
      </c>
      <c r="AE1399">
        <f>IF(AND($A1399&lt;&gt;"",$B1399&lt;&gt;"",$R1399='تقرير مايو'!$C$4,$P1399='تقرير مايو'!$C$6),COUNT(AE$4:AE1398)+1,"")</f>
        <v/>
      </c>
    </row>
    <row r="1400">
      <c r="A1400" s="16" t="n"/>
      <c r="B1400" s="17" t="n"/>
      <c r="C1400" s="17" t="n"/>
      <c r="D1400" s="18" t="n"/>
      <c r="E1400" s="17" t="n"/>
      <c r="F1400" s="17" t="n"/>
      <c r="G1400" s="19" t="n"/>
      <c r="H1400" s="17" t="n"/>
      <c r="I1400" s="17" t="n"/>
      <c r="J1400" s="17" t="n"/>
      <c r="K1400" s="20">
        <f>IF($B1400="","",IFERROR(INDEX(الموظفات!$A$5:$A$304,MATCH($B1400,الموظفات!$B$5:$B$304,0))&amp;"",""))</f>
        <v/>
      </c>
      <c r="L1400" s="21">
        <f>IF($B1400="","",IFERROR(INDEX(الموظفات!$C$5:$C$304,MATCH($B1400,الموظفات!$B$5:$B$304,0))&amp;"",""))</f>
        <v/>
      </c>
      <c r="M1400" s="20">
        <f>IF($B1400="","",IFERROR(INDEX(الموظفات!$D$5:$D$304,MATCH($B1400,الموظفات!$B$5:$B$304,0))&amp;"",""))</f>
        <v/>
      </c>
      <c r="N1400" s="20">
        <f>IF($B1400="","",IFERROR(INDEX(الموظفات!$E$5:$E$304,MATCH($B1400,الموظفات!$B$5:$B$304,0))&amp;"",""))</f>
        <v/>
      </c>
      <c r="O1400" s="21">
        <f>IF(C1400="","",IFERROR(INDEX(الإعدادات!$D$7:$D$35,MATCH(C1400,الإعدادات!$A$7:$A$35,0))&amp;"",""))</f>
        <v/>
      </c>
      <c r="P1400" s="20">
        <f>IF(A1400="","",INDEX(الإعدادات!$H$7:$H$18,MONTH(A1400)))</f>
        <v/>
      </c>
      <c r="Q1400" s="20">
        <f>IF(A1400="","",INDEX(الإعدادات!$I$7:$I$18,MONTH(A1400)))</f>
        <v/>
      </c>
      <c r="R1400" s="20">
        <f>IF(A1400="","",IF(MONTH(A1400)&gt;=8,YEAR(A1400)&amp;"-"&amp;(YEAR(A1400)+1),(YEAR(A1400)-1)&amp;"-"&amp;YEAR(A1400)))</f>
        <v/>
      </c>
      <c r="S1400" s="20">
        <f>IF(OR(A1400="",B1400=""),0,IF(AND(R1400=التقارير!$C$4,OR(التقارير!$C$5="سنوي",AND(التقارير!$C$5="شهري",P1400=التقارير!$C$6),AND(التقارير!$C$5="فصلي",Q1400=التقارير!$C$7))),1,0))</f>
        <v/>
      </c>
      <c r="T1400" s="20">
        <f>IF(S1400=1,COUNTIF($S$5:S1400,1),"")</f>
        <v/>
      </c>
      <c r="U1400">
        <f>IF(AND($A1400&lt;&gt;"",$B1400&lt;&gt;"",$R1400='تقرير الفصل الأول'!$C$4,$Q1400='تقرير الفصل الأول'!$C$7),COUNT(U$4:U1399)+1,"")</f>
        <v/>
      </c>
      <c r="V1400">
        <f>IF(AND($A1400&lt;&gt;"",$B1400&lt;&gt;"",$R1400='تقرير الفصل الثاني'!$C$4,$Q1400='تقرير الفصل الثاني'!$C$7),COUNT(V$4:V1399)+1,"")</f>
        <v/>
      </c>
      <c r="W1400">
        <f>IF(AND($A1400&lt;&gt;"",$B1400&lt;&gt;"",$R1400='تقرير سبتمبر'!$C$4,$P1400='تقرير سبتمبر'!$C$6),COUNT(W$4:W1399)+1,"")</f>
        <v/>
      </c>
      <c r="X1400">
        <f>IF(AND($A1400&lt;&gt;"",$B1400&lt;&gt;"",$R1400='تقرير أكتوبر'!$C$4,$P1400='تقرير أكتوبر'!$C$6),COUNT(X$4:X1399)+1,"")</f>
        <v/>
      </c>
      <c r="Y1400">
        <f>IF(AND($A1400&lt;&gt;"",$B1400&lt;&gt;"",$R1400='تقرير نوفمبر'!$C$4,$P1400='تقرير نوفمبر'!$C$6),COUNT(Y$4:Y1399)+1,"")</f>
        <v/>
      </c>
      <c r="Z1400">
        <f>IF(AND($A1400&lt;&gt;"",$B1400&lt;&gt;"",$R1400='تقرير ديسمبر'!$C$4,$P1400='تقرير ديسمبر'!$C$6),COUNT(Z$4:Z1399)+1,"")</f>
        <v/>
      </c>
      <c r="AA1400">
        <f>IF(AND($A1400&lt;&gt;"",$B1400&lt;&gt;"",$R1400='تقرير يناير'!$C$4,$P1400='تقرير يناير'!$C$6),COUNT(AA$4:AA1399)+1,"")</f>
        <v/>
      </c>
      <c r="AB1400">
        <f>IF(AND($A1400&lt;&gt;"",$B1400&lt;&gt;"",$R1400='تقرير فبراير'!$C$4,$P1400='تقرير فبراير'!$C$6),COUNT(AB$4:AB1399)+1,"")</f>
        <v/>
      </c>
      <c r="AC1400">
        <f>IF(AND($A1400&lt;&gt;"",$B1400&lt;&gt;"",$R1400='تقرير مارس'!$C$4,$P1400='تقرير مارس'!$C$6),COUNT(AC$4:AC1399)+1,"")</f>
        <v/>
      </c>
      <c r="AD1400">
        <f>IF(AND($A1400&lt;&gt;"",$B1400&lt;&gt;"",$R1400='تقرير أبريل'!$C$4,$P1400='تقرير أبريل'!$C$6),COUNT(AD$4:AD1399)+1,"")</f>
        <v/>
      </c>
      <c r="AE1400">
        <f>IF(AND($A1400&lt;&gt;"",$B1400&lt;&gt;"",$R1400='تقرير مايو'!$C$4,$P1400='تقرير مايو'!$C$6),COUNT(AE$4:AE1399)+1,"")</f>
        <v/>
      </c>
    </row>
    <row r="1401">
      <c r="A1401" s="16" t="n"/>
      <c r="B1401" s="17" t="n"/>
      <c r="C1401" s="17" t="n"/>
      <c r="D1401" s="18" t="n"/>
      <c r="E1401" s="17" t="n"/>
      <c r="F1401" s="17" t="n"/>
      <c r="G1401" s="19" t="n"/>
      <c r="H1401" s="17" t="n"/>
      <c r="I1401" s="17" t="n"/>
      <c r="J1401" s="17" t="n"/>
      <c r="K1401" s="20">
        <f>IF($B1401="","",IFERROR(INDEX(الموظفات!$A$5:$A$304,MATCH($B1401,الموظفات!$B$5:$B$304,0))&amp;"",""))</f>
        <v/>
      </c>
      <c r="L1401" s="21">
        <f>IF($B1401="","",IFERROR(INDEX(الموظفات!$C$5:$C$304,MATCH($B1401,الموظفات!$B$5:$B$304,0))&amp;"",""))</f>
        <v/>
      </c>
      <c r="M1401" s="20">
        <f>IF($B1401="","",IFERROR(INDEX(الموظفات!$D$5:$D$304,MATCH($B1401,الموظفات!$B$5:$B$304,0))&amp;"",""))</f>
        <v/>
      </c>
      <c r="N1401" s="20">
        <f>IF($B1401="","",IFERROR(INDEX(الموظفات!$E$5:$E$304,MATCH($B1401,الموظفات!$B$5:$B$304,0))&amp;"",""))</f>
        <v/>
      </c>
      <c r="O1401" s="21">
        <f>IF(C1401="","",IFERROR(INDEX(الإعدادات!$D$7:$D$35,MATCH(C1401,الإعدادات!$A$7:$A$35,0))&amp;"",""))</f>
        <v/>
      </c>
      <c r="P1401" s="20">
        <f>IF(A1401="","",INDEX(الإعدادات!$H$7:$H$18,MONTH(A1401)))</f>
        <v/>
      </c>
      <c r="Q1401" s="20">
        <f>IF(A1401="","",INDEX(الإعدادات!$I$7:$I$18,MONTH(A1401)))</f>
        <v/>
      </c>
      <c r="R1401" s="20">
        <f>IF(A1401="","",IF(MONTH(A1401)&gt;=8,YEAR(A1401)&amp;"-"&amp;(YEAR(A1401)+1),(YEAR(A1401)-1)&amp;"-"&amp;YEAR(A1401)))</f>
        <v/>
      </c>
      <c r="S1401" s="20">
        <f>IF(OR(A1401="",B1401=""),0,IF(AND(R1401=التقارير!$C$4,OR(التقارير!$C$5="سنوي",AND(التقارير!$C$5="شهري",P1401=التقارير!$C$6),AND(التقارير!$C$5="فصلي",Q1401=التقارير!$C$7))),1,0))</f>
        <v/>
      </c>
      <c r="T1401" s="20">
        <f>IF(S1401=1,COUNTIF($S$5:S1401,1),"")</f>
        <v/>
      </c>
      <c r="U1401">
        <f>IF(AND($A1401&lt;&gt;"",$B1401&lt;&gt;"",$R1401='تقرير الفصل الأول'!$C$4,$Q1401='تقرير الفصل الأول'!$C$7),COUNT(U$4:U1400)+1,"")</f>
        <v/>
      </c>
      <c r="V1401">
        <f>IF(AND($A1401&lt;&gt;"",$B1401&lt;&gt;"",$R1401='تقرير الفصل الثاني'!$C$4,$Q1401='تقرير الفصل الثاني'!$C$7),COUNT(V$4:V1400)+1,"")</f>
        <v/>
      </c>
      <c r="W1401">
        <f>IF(AND($A1401&lt;&gt;"",$B1401&lt;&gt;"",$R1401='تقرير سبتمبر'!$C$4,$P1401='تقرير سبتمبر'!$C$6),COUNT(W$4:W1400)+1,"")</f>
        <v/>
      </c>
      <c r="X1401">
        <f>IF(AND($A1401&lt;&gt;"",$B1401&lt;&gt;"",$R1401='تقرير أكتوبر'!$C$4,$P1401='تقرير أكتوبر'!$C$6),COUNT(X$4:X1400)+1,"")</f>
        <v/>
      </c>
      <c r="Y1401">
        <f>IF(AND($A1401&lt;&gt;"",$B1401&lt;&gt;"",$R1401='تقرير نوفمبر'!$C$4,$P1401='تقرير نوفمبر'!$C$6),COUNT(Y$4:Y1400)+1,"")</f>
        <v/>
      </c>
      <c r="Z1401">
        <f>IF(AND($A1401&lt;&gt;"",$B1401&lt;&gt;"",$R1401='تقرير ديسمبر'!$C$4,$P1401='تقرير ديسمبر'!$C$6),COUNT(Z$4:Z1400)+1,"")</f>
        <v/>
      </c>
      <c r="AA1401">
        <f>IF(AND($A1401&lt;&gt;"",$B1401&lt;&gt;"",$R1401='تقرير يناير'!$C$4,$P1401='تقرير يناير'!$C$6),COUNT(AA$4:AA1400)+1,"")</f>
        <v/>
      </c>
      <c r="AB1401">
        <f>IF(AND($A1401&lt;&gt;"",$B1401&lt;&gt;"",$R1401='تقرير فبراير'!$C$4,$P1401='تقرير فبراير'!$C$6),COUNT(AB$4:AB1400)+1,"")</f>
        <v/>
      </c>
      <c r="AC1401">
        <f>IF(AND($A1401&lt;&gt;"",$B1401&lt;&gt;"",$R1401='تقرير مارس'!$C$4,$P1401='تقرير مارس'!$C$6),COUNT(AC$4:AC1400)+1,"")</f>
        <v/>
      </c>
      <c r="AD1401">
        <f>IF(AND($A1401&lt;&gt;"",$B1401&lt;&gt;"",$R1401='تقرير أبريل'!$C$4,$P1401='تقرير أبريل'!$C$6),COUNT(AD$4:AD1400)+1,"")</f>
        <v/>
      </c>
      <c r="AE1401">
        <f>IF(AND($A1401&lt;&gt;"",$B1401&lt;&gt;"",$R1401='تقرير مايو'!$C$4,$P1401='تقرير مايو'!$C$6),COUNT(AE$4:AE1400)+1,"")</f>
        <v/>
      </c>
    </row>
    <row r="1402">
      <c r="A1402" s="16" t="n"/>
      <c r="B1402" s="17" t="n"/>
      <c r="C1402" s="17" t="n"/>
      <c r="D1402" s="18" t="n"/>
      <c r="E1402" s="17" t="n"/>
      <c r="F1402" s="17" t="n"/>
      <c r="G1402" s="19" t="n"/>
      <c r="H1402" s="17" t="n"/>
      <c r="I1402" s="17" t="n"/>
      <c r="J1402" s="17" t="n"/>
      <c r="K1402" s="20">
        <f>IF($B1402="","",IFERROR(INDEX(الموظفات!$A$5:$A$304,MATCH($B1402,الموظفات!$B$5:$B$304,0))&amp;"",""))</f>
        <v/>
      </c>
      <c r="L1402" s="21">
        <f>IF($B1402="","",IFERROR(INDEX(الموظفات!$C$5:$C$304,MATCH($B1402,الموظفات!$B$5:$B$304,0))&amp;"",""))</f>
        <v/>
      </c>
      <c r="M1402" s="20">
        <f>IF($B1402="","",IFERROR(INDEX(الموظفات!$D$5:$D$304,MATCH($B1402,الموظفات!$B$5:$B$304,0))&amp;"",""))</f>
        <v/>
      </c>
      <c r="N1402" s="20">
        <f>IF($B1402="","",IFERROR(INDEX(الموظفات!$E$5:$E$304,MATCH($B1402,الموظفات!$B$5:$B$304,0))&amp;"",""))</f>
        <v/>
      </c>
      <c r="O1402" s="21">
        <f>IF(C1402="","",IFERROR(INDEX(الإعدادات!$D$7:$D$35,MATCH(C1402,الإعدادات!$A$7:$A$35,0))&amp;"",""))</f>
        <v/>
      </c>
      <c r="P1402" s="20">
        <f>IF(A1402="","",INDEX(الإعدادات!$H$7:$H$18,MONTH(A1402)))</f>
        <v/>
      </c>
      <c r="Q1402" s="20">
        <f>IF(A1402="","",INDEX(الإعدادات!$I$7:$I$18,MONTH(A1402)))</f>
        <v/>
      </c>
      <c r="R1402" s="20">
        <f>IF(A1402="","",IF(MONTH(A1402)&gt;=8,YEAR(A1402)&amp;"-"&amp;(YEAR(A1402)+1),(YEAR(A1402)-1)&amp;"-"&amp;YEAR(A1402)))</f>
        <v/>
      </c>
      <c r="S1402" s="20">
        <f>IF(OR(A1402="",B1402=""),0,IF(AND(R1402=التقارير!$C$4,OR(التقارير!$C$5="سنوي",AND(التقارير!$C$5="شهري",P1402=التقارير!$C$6),AND(التقارير!$C$5="فصلي",Q1402=التقارير!$C$7))),1,0))</f>
        <v/>
      </c>
      <c r="T1402" s="20">
        <f>IF(S1402=1,COUNTIF($S$5:S1402,1),"")</f>
        <v/>
      </c>
      <c r="U1402">
        <f>IF(AND($A1402&lt;&gt;"",$B1402&lt;&gt;"",$R1402='تقرير الفصل الأول'!$C$4,$Q1402='تقرير الفصل الأول'!$C$7),COUNT(U$4:U1401)+1,"")</f>
        <v/>
      </c>
      <c r="V1402">
        <f>IF(AND($A1402&lt;&gt;"",$B1402&lt;&gt;"",$R1402='تقرير الفصل الثاني'!$C$4,$Q1402='تقرير الفصل الثاني'!$C$7),COUNT(V$4:V1401)+1,"")</f>
        <v/>
      </c>
      <c r="W1402">
        <f>IF(AND($A1402&lt;&gt;"",$B1402&lt;&gt;"",$R1402='تقرير سبتمبر'!$C$4,$P1402='تقرير سبتمبر'!$C$6),COUNT(W$4:W1401)+1,"")</f>
        <v/>
      </c>
      <c r="X1402">
        <f>IF(AND($A1402&lt;&gt;"",$B1402&lt;&gt;"",$R1402='تقرير أكتوبر'!$C$4,$P1402='تقرير أكتوبر'!$C$6),COUNT(X$4:X1401)+1,"")</f>
        <v/>
      </c>
      <c r="Y1402">
        <f>IF(AND($A1402&lt;&gt;"",$B1402&lt;&gt;"",$R1402='تقرير نوفمبر'!$C$4,$P1402='تقرير نوفمبر'!$C$6),COUNT(Y$4:Y1401)+1,"")</f>
        <v/>
      </c>
      <c r="Z1402">
        <f>IF(AND($A1402&lt;&gt;"",$B1402&lt;&gt;"",$R1402='تقرير ديسمبر'!$C$4,$P1402='تقرير ديسمبر'!$C$6),COUNT(Z$4:Z1401)+1,"")</f>
        <v/>
      </c>
      <c r="AA1402">
        <f>IF(AND($A1402&lt;&gt;"",$B1402&lt;&gt;"",$R1402='تقرير يناير'!$C$4,$P1402='تقرير يناير'!$C$6),COUNT(AA$4:AA1401)+1,"")</f>
        <v/>
      </c>
      <c r="AB1402">
        <f>IF(AND($A1402&lt;&gt;"",$B1402&lt;&gt;"",$R1402='تقرير فبراير'!$C$4,$P1402='تقرير فبراير'!$C$6),COUNT(AB$4:AB1401)+1,"")</f>
        <v/>
      </c>
      <c r="AC1402">
        <f>IF(AND($A1402&lt;&gt;"",$B1402&lt;&gt;"",$R1402='تقرير مارس'!$C$4,$P1402='تقرير مارس'!$C$6),COUNT(AC$4:AC1401)+1,"")</f>
        <v/>
      </c>
      <c r="AD1402">
        <f>IF(AND($A1402&lt;&gt;"",$B1402&lt;&gt;"",$R1402='تقرير أبريل'!$C$4,$P1402='تقرير أبريل'!$C$6),COUNT(AD$4:AD1401)+1,"")</f>
        <v/>
      </c>
      <c r="AE1402">
        <f>IF(AND($A1402&lt;&gt;"",$B1402&lt;&gt;"",$R1402='تقرير مايو'!$C$4,$P1402='تقرير مايو'!$C$6),COUNT(AE$4:AE1401)+1,"")</f>
        <v/>
      </c>
    </row>
    <row r="1403">
      <c r="A1403" s="16" t="n"/>
      <c r="B1403" s="17" t="n"/>
      <c r="C1403" s="17" t="n"/>
      <c r="D1403" s="18" t="n"/>
      <c r="E1403" s="17" t="n"/>
      <c r="F1403" s="17" t="n"/>
      <c r="G1403" s="19" t="n"/>
      <c r="H1403" s="17" t="n"/>
      <c r="I1403" s="17" t="n"/>
      <c r="J1403" s="17" t="n"/>
      <c r="K1403" s="20">
        <f>IF($B1403="","",IFERROR(INDEX(الموظفات!$A$5:$A$304,MATCH($B1403,الموظفات!$B$5:$B$304,0))&amp;"",""))</f>
        <v/>
      </c>
      <c r="L1403" s="21">
        <f>IF($B1403="","",IFERROR(INDEX(الموظفات!$C$5:$C$304,MATCH($B1403,الموظفات!$B$5:$B$304,0))&amp;"",""))</f>
        <v/>
      </c>
      <c r="M1403" s="20">
        <f>IF($B1403="","",IFERROR(INDEX(الموظفات!$D$5:$D$304,MATCH($B1403,الموظفات!$B$5:$B$304,0))&amp;"",""))</f>
        <v/>
      </c>
      <c r="N1403" s="20">
        <f>IF($B1403="","",IFERROR(INDEX(الموظفات!$E$5:$E$304,MATCH($B1403,الموظفات!$B$5:$B$304,0))&amp;"",""))</f>
        <v/>
      </c>
      <c r="O1403" s="21">
        <f>IF(C1403="","",IFERROR(INDEX(الإعدادات!$D$7:$D$35,MATCH(C1403,الإعدادات!$A$7:$A$35,0))&amp;"",""))</f>
        <v/>
      </c>
      <c r="P1403" s="20">
        <f>IF(A1403="","",INDEX(الإعدادات!$H$7:$H$18,MONTH(A1403)))</f>
        <v/>
      </c>
      <c r="Q1403" s="20">
        <f>IF(A1403="","",INDEX(الإعدادات!$I$7:$I$18,MONTH(A1403)))</f>
        <v/>
      </c>
      <c r="R1403" s="20">
        <f>IF(A1403="","",IF(MONTH(A1403)&gt;=8,YEAR(A1403)&amp;"-"&amp;(YEAR(A1403)+1),(YEAR(A1403)-1)&amp;"-"&amp;YEAR(A1403)))</f>
        <v/>
      </c>
      <c r="S1403" s="20">
        <f>IF(OR(A1403="",B1403=""),0,IF(AND(R1403=التقارير!$C$4,OR(التقارير!$C$5="سنوي",AND(التقارير!$C$5="شهري",P1403=التقارير!$C$6),AND(التقارير!$C$5="فصلي",Q1403=التقارير!$C$7))),1,0))</f>
        <v/>
      </c>
      <c r="T1403" s="20">
        <f>IF(S1403=1,COUNTIF($S$5:S1403,1),"")</f>
        <v/>
      </c>
      <c r="U1403">
        <f>IF(AND($A1403&lt;&gt;"",$B1403&lt;&gt;"",$R1403='تقرير الفصل الأول'!$C$4,$Q1403='تقرير الفصل الأول'!$C$7),COUNT(U$4:U1402)+1,"")</f>
        <v/>
      </c>
      <c r="V1403">
        <f>IF(AND($A1403&lt;&gt;"",$B1403&lt;&gt;"",$R1403='تقرير الفصل الثاني'!$C$4,$Q1403='تقرير الفصل الثاني'!$C$7),COUNT(V$4:V1402)+1,"")</f>
        <v/>
      </c>
      <c r="W1403">
        <f>IF(AND($A1403&lt;&gt;"",$B1403&lt;&gt;"",$R1403='تقرير سبتمبر'!$C$4,$P1403='تقرير سبتمبر'!$C$6),COUNT(W$4:W1402)+1,"")</f>
        <v/>
      </c>
      <c r="X1403">
        <f>IF(AND($A1403&lt;&gt;"",$B1403&lt;&gt;"",$R1403='تقرير أكتوبر'!$C$4,$P1403='تقرير أكتوبر'!$C$6),COUNT(X$4:X1402)+1,"")</f>
        <v/>
      </c>
      <c r="Y1403">
        <f>IF(AND($A1403&lt;&gt;"",$B1403&lt;&gt;"",$R1403='تقرير نوفمبر'!$C$4,$P1403='تقرير نوفمبر'!$C$6),COUNT(Y$4:Y1402)+1,"")</f>
        <v/>
      </c>
      <c r="Z1403">
        <f>IF(AND($A1403&lt;&gt;"",$B1403&lt;&gt;"",$R1403='تقرير ديسمبر'!$C$4,$P1403='تقرير ديسمبر'!$C$6),COUNT(Z$4:Z1402)+1,"")</f>
        <v/>
      </c>
      <c r="AA1403">
        <f>IF(AND($A1403&lt;&gt;"",$B1403&lt;&gt;"",$R1403='تقرير يناير'!$C$4,$P1403='تقرير يناير'!$C$6),COUNT(AA$4:AA1402)+1,"")</f>
        <v/>
      </c>
      <c r="AB1403">
        <f>IF(AND($A1403&lt;&gt;"",$B1403&lt;&gt;"",$R1403='تقرير فبراير'!$C$4,$P1403='تقرير فبراير'!$C$6),COUNT(AB$4:AB1402)+1,"")</f>
        <v/>
      </c>
      <c r="AC1403">
        <f>IF(AND($A1403&lt;&gt;"",$B1403&lt;&gt;"",$R1403='تقرير مارس'!$C$4,$P1403='تقرير مارس'!$C$6),COUNT(AC$4:AC1402)+1,"")</f>
        <v/>
      </c>
      <c r="AD1403">
        <f>IF(AND($A1403&lt;&gt;"",$B1403&lt;&gt;"",$R1403='تقرير أبريل'!$C$4,$P1403='تقرير أبريل'!$C$6),COUNT(AD$4:AD1402)+1,"")</f>
        <v/>
      </c>
      <c r="AE1403">
        <f>IF(AND($A1403&lt;&gt;"",$B1403&lt;&gt;"",$R1403='تقرير مايو'!$C$4,$P1403='تقرير مايو'!$C$6),COUNT(AE$4:AE1402)+1,"")</f>
        <v/>
      </c>
    </row>
    <row r="1404">
      <c r="A1404" s="16" t="n"/>
      <c r="B1404" s="17" t="n"/>
      <c r="C1404" s="17" t="n"/>
      <c r="D1404" s="18" t="n"/>
      <c r="E1404" s="17" t="n"/>
      <c r="F1404" s="17" t="n"/>
      <c r="G1404" s="19" t="n"/>
      <c r="H1404" s="17" t="n"/>
      <c r="I1404" s="17" t="n"/>
      <c r="J1404" s="17" t="n"/>
      <c r="K1404" s="20">
        <f>IF($B1404="","",IFERROR(INDEX(الموظفات!$A$5:$A$304,MATCH($B1404,الموظفات!$B$5:$B$304,0))&amp;"",""))</f>
        <v/>
      </c>
      <c r="L1404" s="21">
        <f>IF($B1404="","",IFERROR(INDEX(الموظفات!$C$5:$C$304,MATCH($B1404,الموظفات!$B$5:$B$304,0))&amp;"",""))</f>
        <v/>
      </c>
      <c r="M1404" s="20">
        <f>IF($B1404="","",IFERROR(INDEX(الموظفات!$D$5:$D$304,MATCH($B1404,الموظفات!$B$5:$B$304,0))&amp;"",""))</f>
        <v/>
      </c>
      <c r="N1404" s="20">
        <f>IF($B1404="","",IFERROR(INDEX(الموظفات!$E$5:$E$304,MATCH($B1404,الموظفات!$B$5:$B$304,0))&amp;"",""))</f>
        <v/>
      </c>
      <c r="O1404" s="21">
        <f>IF(C1404="","",IFERROR(INDEX(الإعدادات!$D$7:$D$35,MATCH(C1404,الإعدادات!$A$7:$A$35,0))&amp;"",""))</f>
        <v/>
      </c>
      <c r="P1404" s="20">
        <f>IF(A1404="","",INDEX(الإعدادات!$H$7:$H$18,MONTH(A1404)))</f>
        <v/>
      </c>
      <c r="Q1404" s="20">
        <f>IF(A1404="","",INDEX(الإعدادات!$I$7:$I$18,MONTH(A1404)))</f>
        <v/>
      </c>
      <c r="R1404" s="20">
        <f>IF(A1404="","",IF(MONTH(A1404)&gt;=8,YEAR(A1404)&amp;"-"&amp;(YEAR(A1404)+1),(YEAR(A1404)-1)&amp;"-"&amp;YEAR(A1404)))</f>
        <v/>
      </c>
      <c r="S1404" s="20">
        <f>IF(OR(A1404="",B1404=""),0,IF(AND(R1404=التقارير!$C$4,OR(التقارير!$C$5="سنوي",AND(التقارير!$C$5="شهري",P1404=التقارير!$C$6),AND(التقارير!$C$5="فصلي",Q1404=التقارير!$C$7))),1,0))</f>
        <v/>
      </c>
      <c r="T1404" s="20">
        <f>IF(S1404=1,COUNTIF($S$5:S1404,1),"")</f>
        <v/>
      </c>
      <c r="U1404">
        <f>IF(AND($A1404&lt;&gt;"",$B1404&lt;&gt;"",$R1404='تقرير الفصل الأول'!$C$4,$Q1404='تقرير الفصل الأول'!$C$7),COUNT(U$4:U1403)+1,"")</f>
        <v/>
      </c>
      <c r="V1404">
        <f>IF(AND($A1404&lt;&gt;"",$B1404&lt;&gt;"",$R1404='تقرير الفصل الثاني'!$C$4,$Q1404='تقرير الفصل الثاني'!$C$7),COUNT(V$4:V1403)+1,"")</f>
        <v/>
      </c>
      <c r="W1404">
        <f>IF(AND($A1404&lt;&gt;"",$B1404&lt;&gt;"",$R1404='تقرير سبتمبر'!$C$4,$P1404='تقرير سبتمبر'!$C$6),COUNT(W$4:W1403)+1,"")</f>
        <v/>
      </c>
      <c r="X1404">
        <f>IF(AND($A1404&lt;&gt;"",$B1404&lt;&gt;"",$R1404='تقرير أكتوبر'!$C$4,$P1404='تقرير أكتوبر'!$C$6),COUNT(X$4:X1403)+1,"")</f>
        <v/>
      </c>
      <c r="Y1404">
        <f>IF(AND($A1404&lt;&gt;"",$B1404&lt;&gt;"",$R1404='تقرير نوفمبر'!$C$4,$P1404='تقرير نوفمبر'!$C$6),COUNT(Y$4:Y1403)+1,"")</f>
        <v/>
      </c>
      <c r="Z1404">
        <f>IF(AND($A1404&lt;&gt;"",$B1404&lt;&gt;"",$R1404='تقرير ديسمبر'!$C$4,$P1404='تقرير ديسمبر'!$C$6),COUNT(Z$4:Z1403)+1,"")</f>
        <v/>
      </c>
      <c r="AA1404">
        <f>IF(AND($A1404&lt;&gt;"",$B1404&lt;&gt;"",$R1404='تقرير يناير'!$C$4,$P1404='تقرير يناير'!$C$6),COUNT(AA$4:AA1403)+1,"")</f>
        <v/>
      </c>
      <c r="AB1404">
        <f>IF(AND($A1404&lt;&gt;"",$B1404&lt;&gt;"",$R1404='تقرير فبراير'!$C$4,$P1404='تقرير فبراير'!$C$6),COUNT(AB$4:AB1403)+1,"")</f>
        <v/>
      </c>
      <c r="AC1404">
        <f>IF(AND($A1404&lt;&gt;"",$B1404&lt;&gt;"",$R1404='تقرير مارس'!$C$4,$P1404='تقرير مارس'!$C$6),COUNT(AC$4:AC1403)+1,"")</f>
        <v/>
      </c>
      <c r="AD1404">
        <f>IF(AND($A1404&lt;&gt;"",$B1404&lt;&gt;"",$R1404='تقرير أبريل'!$C$4,$P1404='تقرير أبريل'!$C$6),COUNT(AD$4:AD1403)+1,"")</f>
        <v/>
      </c>
      <c r="AE1404">
        <f>IF(AND($A1404&lt;&gt;"",$B1404&lt;&gt;"",$R1404='تقرير مايو'!$C$4,$P1404='تقرير مايو'!$C$6),COUNT(AE$4:AE1403)+1,"")</f>
        <v/>
      </c>
    </row>
    <row r="1405">
      <c r="A1405" s="16" t="n"/>
      <c r="B1405" s="17" t="n"/>
      <c r="C1405" s="17" t="n"/>
      <c r="D1405" s="18" t="n"/>
      <c r="E1405" s="17" t="n"/>
      <c r="F1405" s="17" t="n"/>
      <c r="G1405" s="19" t="n"/>
      <c r="H1405" s="17" t="n"/>
      <c r="I1405" s="17" t="n"/>
      <c r="J1405" s="17" t="n"/>
      <c r="K1405" s="20">
        <f>IF($B1405="","",IFERROR(INDEX(الموظفات!$A$5:$A$304,MATCH($B1405,الموظفات!$B$5:$B$304,0))&amp;"",""))</f>
        <v/>
      </c>
      <c r="L1405" s="21">
        <f>IF($B1405="","",IFERROR(INDEX(الموظفات!$C$5:$C$304,MATCH($B1405,الموظفات!$B$5:$B$304,0))&amp;"",""))</f>
        <v/>
      </c>
      <c r="M1405" s="20">
        <f>IF($B1405="","",IFERROR(INDEX(الموظفات!$D$5:$D$304,MATCH($B1405,الموظفات!$B$5:$B$304,0))&amp;"",""))</f>
        <v/>
      </c>
      <c r="N1405" s="20">
        <f>IF($B1405="","",IFERROR(INDEX(الموظفات!$E$5:$E$304,MATCH($B1405,الموظفات!$B$5:$B$304,0))&amp;"",""))</f>
        <v/>
      </c>
      <c r="O1405" s="21">
        <f>IF(C1405="","",IFERROR(INDEX(الإعدادات!$D$7:$D$35,MATCH(C1405,الإعدادات!$A$7:$A$35,0))&amp;"",""))</f>
        <v/>
      </c>
      <c r="P1405" s="20">
        <f>IF(A1405="","",INDEX(الإعدادات!$H$7:$H$18,MONTH(A1405)))</f>
        <v/>
      </c>
      <c r="Q1405" s="20">
        <f>IF(A1405="","",INDEX(الإعدادات!$I$7:$I$18,MONTH(A1405)))</f>
        <v/>
      </c>
      <c r="R1405" s="20">
        <f>IF(A1405="","",IF(MONTH(A1405)&gt;=8,YEAR(A1405)&amp;"-"&amp;(YEAR(A1405)+1),(YEAR(A1405)-1)&amp;"-"&amp;YEAR(A1405)))</f>
        <v/>
      </c>
      <c r="S1405" s="20">
        <f>IF(OR(A1405="",B1405=""),0,IF(AND(R1405=التقارير!$C$4,OR(التقارير!$C$5="سنوي",AND(التقارير!$C$5="شهري",P1405=التقارير!$C$6),AND(التقارير!$C$5="فصلي",Q1405=التقارير!$C$7))),1,0))</f>
        <v/>
      </c>
      <c r="T1405" s="20">
        <f>IF(S1405=1,COUNTIF($S$5:S1405,1),"")</f>
        <v/>
      </c>
      <c r="U1405">
        <f>IF(AND($A1405&lt;&gt;"",$B1405&lt;&gt;"",$R1405='تقرير الفصل الأول'!$C$4,$Q1405='تقرير الفصل الأول'!$C$7),COUNT(U$4:U1404)+1,"")</f>
        <v/>
      </c>
      <c r="V1405">
        <f>IF(AND($A1405&lt;&gt;"",$B1405&lt;&gt;"",$R1405='تقرير الفصل الثاني'!$C$4,$Q1405='تقرير الفصل الثاني'!$C$7),COUNT(V$4:V1404)+1,"")</f>
        <v/>
      </c>
      <c r="W1405">
        <f>IF(AND($A1405&lt;&gt;"",$B1405&lt;&gt;"",$R1405='تقرير سبتمبر'!$C$4,$P1405='تقرير سبتمبر'!$C$6),COUNT(W$4:W1404)+1,"")</f>
        <v/>
      </c>
      <c r="X1405">
        <f>IF(AND($A1405&lt;&gt;"",$B1405&lt;&gt;"",$R1405='تقرير أكتوبر'!$C$4,$P1405='تقرير أكتوبر'!$C$6),COUNT(X$4:X1404)+1,"")</f>
        <v/>
      </c>
      <c r="Y1405">
        <f>IF(AND($A1405&lt;&gt;"",$B1405&lt;&gt;"",$R1405='تقرير نوفمبر'!$C$4,$P1405='تقرير نوفمبر'!$C$6),COUNT(Y$4:Y1404)+1,"")</f>
        <v/>
      </c>
      <c r="Z1405">
        <f>IF(AND($A1405&lt;&gt;"",$B1405&lt;&gt;"",$R1405='تقرير ديسمبر'!$C$4,$P1405='تقرير ديسمبر'!$C$6),COUNT(Z$4:Z1404)+1,"")</f>
        <v/>
      </c>
      <c r="AA1405">
        <f>IF(AND($A1405&lt;&gt;"",$B1405&lt;&gt;"",$R1405='تقرير يناير'!$C$4,$P1405='تقرير يناير'!$C$6),COUNT(AA$4:AA1404)+1,"")</f>
        <v/>
      </c>
      <c r="AB1405">
        <f>IF(AND($A1405&lt;&gt;"",$B1405&lt;&gt;"",$R1405='تقرير فبراير'!$C$4,$P1405='تقرير فبراير'!$C$6),COUNT(AB$4:AB1404)+1,"")</f>
        <v/>
      </c>
      <c r="AC1405">
        <f>IF(AND($A1405&lt;&gt;"",$B1405&lt;&gt;"",$R1405='تقرير مارس'!$C$4,$P1405='تقرير مارس'!$C$6),COUNT(AC$4:AC1404)+1,"")</f>
        <v/>
      </c>
      <c r="AD1405">
        <f>IF(AND($A1405&lt;&gt;"",$B1405&lt;&gt;"",$R1405='تقرير أبريل'!$C$4,$P1405='تقرير أبريل'!$C$6),COUNT(AD$4:AD1404)+1,"")</f>
        <v/>
      </c>
      <c r="AE1405">
        <f>IF(AND($A1405&lt;&gt;"",$B1405&lt;&gt;"",$R1405='تقرير مايو'!$C$4,$P1405='تقرير مايو'!$C$6),COUNT(AE$4:AE1404)+1,"")</f>
        <v/>
      </c>
    </row>
    <row r="1406">
      <c r="A1406" s="16" t="n"/>
      <c r="B1406" s="17" t="n"/>
      <c r="C1406" s="17" t="n"/>
      <c r="D1406" s="18" t="n"/>
      <c r="E1406" s="17" t="n"/>
      <c r="F1406" s="17" t="n"/>
      <c r="G1406" s="19" t="n"/>
      <c r="H1406" s="17" t="n"/>
      <c r="I1406" s="17" t="n"/>
      <c r="J1406" s="17" t="n"/>
      <c r="K1406" s="20">
        <f>IF($B1406="","",IFERROR(INDEX(الموظفات!$A$5:$A$304,MATCH($B1406,الموظفات!$B$5:$B$304,0))&amp;"",""))</f>
        <v/>
      </c>
      <c r="L1406" s="21">
        <f>IF($B1406="","",IFERROR(INDEX(الموظفات!$C$5:$C$304,MATCH($B1406,الموظفات!$B$5:$B$304,0))&amp;"",""))</f>
        <v/>
      </c>
      <c r="M1406" s="20">
        <f>IF($B1406="","",IFERROR(INDEX(الموظفات!$D$5:$D$304,MATCH($B1406,الموظفات!$B$5:$B$304,0))&amp;"",""))</f>
        <v/>
      </c>
      <c r="N1406" s="20">
        <f>IF($B1406="","",IFERROR(INDEX(الموظفات!$E$5:$E$304,MATCH($B1406,الموظفات!$B$5:$B$304,0))&amp;"",""))</f>
        <v/>
      </c>
      <c r="O1406" s="21">
        <f>IF(C1406="","",IFERROR(INDEX(الإعدادات!$D$7:$D$35,MATCH(C1406,الإعدادات!$A$7:$A$35,0))&amp;"",""))</f>
        <v/>
      </c>
      <c r="P1406" s="20">
        <f>IF(A1406="","",INDEX(الإعدادات!$H$7:$H$18,MONTH(A1406)))</f>
        <v/>
      </c>
      <c r="Q1406" s="20">
        <f>IF(A1406="","",INDEX(الإعدادات!$I$7:$I$18,MONTH(A1406)))</f>
        <v/>
      </c>
      <c r="R1406" s="20">
        <f>IF(A1406="","",IF(MONTH(A1406)&gt;=8,YEAR(A1406)&amp;"-"&amp;(YEAR(A1406)+1),(YEAR(A1406)-1)&amp;"-"&amp;YEAR(A1406)))</f>
        <v/>
      </c>
      <c r="S1406" s="20">
        <f>IF(OR(A1406="",B1406=""),0,IF(AND(R1406=التقارير!$C$4,OR(التقارير!$C$5="سنوي",AND(التقارير!$C$5="شهري",P1406=التقارير!$C$6),AND(التقارير!$C$5="فصلي",Q1406=التقارير!$C$7))),1,0))</f>
        <v/>
      </c>
      <c r="T1406" s="20">
        <f>IF(S1406=1,COUNTIF($S$5:S1406,1),"")</f>
        <v/>
      </c>
      <c r="U1406">
        <f>IF(AND($A1406&lt;&gt;"",$B1406&lt;&gt;"",$R1406='تقرير الفصل الأول'!$C$4,$Q1406='تقرير الفصل الأول'!$C$7),COUNT(U$4:U1405)+1,"")</f>
        <v/>
      </c>
      <c r="V1406">
        <f>IF(AND($A1406&lt;&gt;"",$B1406&lt;&gt;"",$R1406='تقرير الفصل الثاني'!$C$4,$Q1406='تقرير الفصل الثاني'!$C$7),COUNT(V$4:V1405)+1,"")</f>
        <v/>
      </c>
      <c r="W1406">
        <f>IF(AND($A1406&lt;&gt;"",$B1406&lt;&gt;"",$R1406='تقرير سبتمبر'!$C$4,$P1406='تقرير سبتمبر'!$C$6),COUNT(W$4:W1405)+1,"")</f>
        <v/>
      </c>
      <c r="X1406">
        <f>IF(AND($A1406&lt;&gt;"",$B1406&lt;&gt;"",$R1406='تقرير أكتوبر'!$C$4,$P1406='تقرير أكتوبر'!$C$6),COUNT(X$4:X1405)+1,"")</f>
        <v/>
      </c>
      <c r="Y1406">
        <f>IF(AND($A1406&lt;&gt;"",$B1406&lt;&gt;"",$R1406='تقرير نوفمبر'!$C$4,$P1406='تقرير نوفمبر'!$C$6),COUNT(Y$4:Y1405)+1,"")</f>
        <v/>
      </c>
      <c r="Z1406">
        <f>IF(AND($A1406&lt;&gt;"",$B1406&lt;&gt;"",$R1406='تقرير ديسمبر'!$C$4,$P1406='تقرير ديسمبر'!$C$6),COUNT(Z$4:Z1405)+1,"")</f>
        <v/>
      </c>
      <c r="AA1406">
        <f>IF(AND($A1406&lt;&gt;"",$B1406&lt;&gt;"",$R1406='تقرير يناير'!$C$4,$P1406='تقرير يناير'!$C$6),COUNT(AA$4:AA1405)+1,"")</f>
        <v/>
      </c>
      <c r="AB1406">
        <f>IF(AND($A1406&lt;&gt;"",$B1406&lt;&gt;"",$R1406='تقرير فبراير'!$C$4,$P1406='تقرير فبراير'!$C$6),COUNT(AB$4:AB1405)+1,"")</f>
        <v/>
      </c>
      <c r="AC1406">
        <f>IF(AND($A1406&lt;&gt;"",$B1406&lt;&gt;"",$R1406='تقرير مارس'!$C$4,$P1406='تقرير مارس'!$C$6),COUNT(AC$4:AC1405)+1,"")</f>
        <v/>
      </c>
      <c r="AD1406">
        <f>IF(AND($A1406&lt;&gt;"",$B1406&lt;&gt;"",$R1406='تقرير أبريل'!$C$4,$P1406='تقرير أبريل'!$C$6),COUNT(AD$4:AD1405)+1,"")</f>
        <v/>
      </c>
      <c r="AE1406">
        <f>IF(AND($A1406&lt;&gt;"",$B1406&lt;&gt;"",$R1406='تقرير مايو'!$C$4,$P1406='تقرير مايو'!$C$6),COUNT(AE$4:AE1405)+1,"")</f>
        <v/>
      </c>
    </row>
    <row r="1407">
      <c r="A1407" s="16" t="n"/>
      <c r="B1407" s="17" t="n"/>
      <c r="C1407" s="17" t="n"/>
      <c r="D1407" s="18" t="n"/>
      <c r="E1407" s="17" t="n"/>
      <c r="F1407" s="17" t="n"/>
      <c r="G1407" s="19" t="n"/>
      <c r="H1407" s="17" t="n"/>
      <c r="I1407" s="17" t="n"/>
      <c r="J1407" s="17" t="n"/>
      <c r="K1407" s="20">
        <f>IF($B1407="","",IFERROR(INDEX(الموظفات!$A$5:$A$304,MATCH($B1407,الموظفات!$B$5:$B$304,0))&amp;"",""))</f>
        <v/>
      </c>
      <c r="L1407" s="21">
        <f>IF($B1407="","",IFERROR(INDEX(الموظفات!$C$5:$C$304,MATCH($B1407,الموظفات!$B$5:$B$304,0))&amp;"",""))</f>
        <v/>
      </c>
      <c r="M1407" s="20">
        <f>IF($B1407="","",IFERROR(INDEX(الموظفات!$D$5:$D$304,MATCH($B1407,الموظفات!$B$5:$B$304,0))&amp;"",""))</f>
        <v/>
      </c>
      <c r="N1407" s="20">
        <f>IF($B1407="","",IFERROR(INDEX(الموظفات!$E$5:$E$304,MATCH($B1407,الموظفات!$B$5:$B$304,0))&amp;"",""))</f>
        <v/>
      </c>
      <c r="O1407" s="21">
        <f>IF(C1407="","",IFERROR(INDEX(الإعدادات!$D$7:$D$35,MATCH(C1407,الإعدادات!$A$7:$A$35,0))&amp;"",""))</f>
        <v/>
      </c>
      <c r="P1407" s="20">
        <f>IF(A1407="","",INDEX(الإعدادات!$H$7:$H$18,MONTH(A1407)))</f>
        <v/>
      </c>
      <c r="Q1407" s="20">
        <f>IF(A1407="","",INDEX(الإعدادات!$I$7:$I$18,MONTH(A1407)))</f>
        <v/>
      </c>
      <c r="R1407" s="20">
        <f>IF(A1407="","",IF(MONTH(A1407)&gt;=8,YEAR(A1407)&amp;"-"&amp;(YEAR(A1407)+1),(YEAR(A1407)-1)&amp;"-"&amp;YEAR(A1407)))</f>
        <v/>
      </c>
      <c r="S1407" s="20">
        <f>IF(OR(A1407="",B1407=""),0,IF(AND(R1407=التقارير!$C$4,OR(التقارير!$C$5="سنوي",AND(التقارير!$C$5="شهري",P1407=التقارير!$C$6),AND(التقارير!$C$5="فصلي",Q1407=التقارير!$C$7))),1,0))</f>
        <v/>
      </c>
      <c r="T1407" s="20">
        <f>IF(S1407=1,COUNTIF($S$5:S1407,1),"")</f>
        <v/>
      </c>
      <c r="U1407">
        <f>IF(AND($A1407&lt;&gt;"",$B1407&lt;&gt;"",$R1407='تقرير الفصل الأول'!$C$4,$Q1407='تقرير الفصل الأول'!$C$7),COUNT(U$4:U1406)+1,"")</f>
        <v/>
      </c>
      <c r="V1407">
        <f>IF(AND($A1407&lt;&gt;"",$B1407&lt;&gt;"",$R1407='تقرير الفصل الثاني'!$C$4,$Q1407='تقرير الفصل الثاني'!$C$7),COUNT(V$4:V1406)+1,"")</f>
        <v/>
      </c>
      <c r="W1407">
        <f>IF(AND($A1407&lt;&gt;"",$B1407&lt;&gt;"",$R1407='تقرير سبتمبر'!$C$4,$P1407='تقرير سبتمبر'!$C$6),COUNT(W$4:W1406)+1,"")</f>
        <v/>
      </c>
      <c r="X1407">
        <f>IF(AND($A1407&lt;&gt;"",$B1407&lt;&gt;"",$R1407='تقرير أكتوبر'!$C$4,$P1407='تقرير أكتوبر'!$C$6),COUNT(X$4:X1406)+1,"")</f>
        <v/>
      </c>
      <c r="Y1407">
        <f>IF(AND($A1407&lt;&gt;"",$B1407&lt;&gt;"",$R1407='تقرير نوفمبر'!$C$4,$P1407='تقرير نوفمبر'!$C$6),COUNT(Y$4:Y1406)+1,"")</f>
        <v/>
      </c>
      <c r="Z1407">
        <f>IF(AND($A1407&lt;&gt;"",$B1407&lt;&gt;"",$R1407='تقرير ديسمبر'!$C$4,$P1407='تقرير ديسمبر'!$C$6),COUNT(Z$4:Z1406)+1,"")</f>
        <v/>
      </c>
      <c r="AA1407">
        <f>IF(AND($A1407&lt;&gt;"",$B1407&lt;&gt;"",$R1407='تقرير يناير'!$C$4,$P1407='تقرير يناير'!$C$6),COUNT(AA$4:AA1406)+1,"")</f>
        <v/>
      </c>
      <c r="AB1407">
        <f>IF(AND($A1407&lt;&gt;"",$B1407&lt;&gt;"",$R1407='تقرير فبراير'!$C$4,$P1407='تقرير فبراير'!$C$6),COUNT(AB$4:AB1406)+1,"")</f>
        <v/>
      </c>
      <c r="AC1407">
        <f>IF(AND($A1407&lt;&gt;"",$B1407&lt;&gt;"",$R1407='تقرير مارس'!$C$4,$P1407='تقرير مارس'!$C$6),COUNT(AC$4:AC1406)+1,"")</f>
        <v/>
      </c>
      <c r="AD1407">
        <f>IF(AND($A1407&lt;&gt;"",$B1407&lt;&gt;"",$R1407='تقرير أبريل'!$C$4,$P1407='تقرير أبريل'!$C$6),COUNT(AD$4:AD1406)+1,"")</f>
        <v/>
      </c>
      <c r="AE1407">
        <f>IF(AND($A1407&lt;&gt;"",$B1407&lt;&gt;"",$R1407='تقرير مايو'!$C$4,$P1407='تقرير مايو'!$C$6),COUNT(AE$4:AE1406)+1,"")</f>
        <v/>
      </c>
    </row>
    <row r="1408">
      <c r="A1408" s="16" t="n"/>
      <c r="B1408" s="17" t="n"/>
      <c r="C1408" s="17" t="n"/>
      <c r="D1408" s="18" t="n"/>
      <c r="E1408" s="17" t="n"/>
      <c r="F1408" s="17" t="n"/>
      <c r="G1408" s="19" t="n"/>
      <c r="H1408" s="17" t="n"/>
      <c r="I1408" s="17" t="n"/>
      <c r="J1408" s="17" t="n"/>
      <c r="K1408" s="20">
        <f>IF($B1408="","",IFERROR(INDEX(الموظفات!$A$5:$A$304,MATCH($B1408,الموظفات!$B$5:$B$304,0))&amp;"",""))</f>
        <v/>
      </c>
      <c r="L1408" s="21">
        <f>IF($B1408="","",IFERROR(INDEX(الموظفات!$C$5:$C$304,MATCH($B1408,الموظفات!$B$5:$B$304,0))&amp;"",""))</f>
        <v/>
      </c>
      <c r="M1408" s="20">
        <f>IF($B1408="","",IFERROR(INDEX(الموظفات!$D$5:$D$304,MATCH($B1408,الموظفات!$B$5:$B$304,0))&amp;"",""))</f>
        <v/>
      </c>
      <c r="N1408" s="20">
        <f>IF($B1408="","",IFERROR(INDEX(الموظفات!$E$5:$E$304,MATCH($B1408,الموظفات!$B$5:$B$304,0))&amp;"",""))</f>
        <v/>
      </c>
      <c r="O1408" s="21">
        <f>IF(C1408="","",IFERROR(INDEX(الإعدادات!$D$7:$D$35,MATCH(C1408,الإعدادات!$A$7:$A$35,0))&amp;"",""))</f>
        <v/>
      </c>
      <c r="P1408" s="20">
        <f>IF(A1408="","",INDEX(الإعدادات!$H$7:$H$18,MONTH(A1408)))</f>
        <v/>
      </c>
      <c r="Q1408" s="20">
        <f>IF(A1408="","",INDEX(الإعدادات!$I$7:$I$18,MONTH(A1408)))</f>
        <v/>
      </c>
      <c r="R1408" s="20">
        <f>IF(A1408="","",IF(MONTH(A1408)&gt;=8,YEAR(A1408)&amp;"-"&amp;(YEAR(A1408)+1),(YEAR(A1408)-1)&amp;"-"&amp;YEAR(A1408)))</f>
        <v/>
      </c>
      <c r="S1408" s="20">
        <f>IF(OR(A1408="",B1408=""),0,IF(AND(R1408=التقارير!$C$4,OR(التقارير!$C$5="سنوي",AND(التقارير!$C$5="شهري",P1408=التقارير!$C$6),AND(التقارير!$C$5="فصلي",Q1408=التقارير!$C$7))),1,0))</f>
        <v/>
      </c>
      <c r="T1408" s="20">
        <f>IF(S1408=1,COUNTIF($S$5:S1408,1),"")</f>
        <v/>
      </c>
      <c r="U1408">
        <f>IF(AND($A1408&lt;&gt;"",$B1408&lt;&gt;"",$R1408='تقرير الفصل الأول'!$C$4,$Q1408='تقرير الفصل الأول'!$C$7),COUNT(U$4:U1407)+1,"")</f>
        <v/>
      </c>
      <c r="V1408">
        <f>IF(AND($A1408&lt;&gt;"",$B1408&lt;&gt;"",$R1408='تقرير الفصل الثاني'!$C$4,$Q1408='تقرير الفصل الثاني'!$C$7),COUNT(V$4:V1407)+1,"")</f>
        <v/>
      </c>
      <c r="W1408">
        <f>IF(AND($A1408&lt;&gt;"",$B1408&lt;&gt;"",$R1408='تقرير سبتمبر'!$C$4,$P1408='تقرير سبتمبر'!$C$6),COUNT(W$4:W1407)+1,"")</f>
        <v/>
      </c>
      <c r="X1408">
        <f>IF(AND($A1408&lt;&gt;"",$B1408&lt;&gt;"",$R1408='تقرير أكتوبر'!$C$4,$P1408='تقرير أكتوبر'!$C$6),COUNT(X$4:X1407)+1,"")</f>
        <v/>
      </c>
      <c r="Y1408">
        <f>IF(AND($A1408&lt;&gt;"",$B1408&lt;&gt;"",$R1408='تقرير نوفمبر'!$C$4,$P1408='تقرير نوفمبر'!$C$6),COUNT(Y$4:Y1407)+1,"")</f>
        <v/>
      </c>
      <c r="Z1408">
        <f>IF(AND($A1408&lt;&gt;"",$B1408&lt;&gt;"",$R1408='تقرير ديسمبر'!$C$4,$P1408='تقرير ديسمبر'!$C$6),COUNT(Z$4:Z1407)+1,"")</f>
        <v/>
      </c>
      <c r="AA1408">
        <f>IF(AND($A1408&lt;&gt;"",$B1408&lt;&gt;"",$R1408='تقرير يناير'!$C$4,$P1408='تقرير يناير'!$C$6),COUNT(AA$4:AA1407)+1,"")</f>
        <v/>
      </c>
      <c r="AB1408">
        <f>IF(AND($A1408&lt;&gt;"",$B1408&lt;&gt;"",$R1408='تقرير فبراير'!$C$4,$P1408='تقرير فبراير'!$C$6),COUNT(AB$4:AB1407)+1,"")</f>
        <v/>
      </c>
      <c r="AC1408">
        <f>IF(AND($A1408&lt;&gt;"",$B1408&lt;&gt;"",$R1408='تقرير مارس'!$C$4,$P1408='تقرير مارس'!$C$6),COUNT(AC$4:AC1407)+1,"")</f>
        <v/>
      </c>
      <c r="AD1408">
        <f>IF(AND($A1408&lt;&gt;"",$B1408&lt;&gt;"",$R1408='تقرير أبريل'!$C$4,$P1408='تقرير أبريل'!$C$6),COUNT(AD$4:AD1407)+1,"")</f>
        <v/>
      </c>
      <c r="AE1408">
        <f>IF(AND($A1408&lt;&gt;"",$B1408&lt;&gt;"",$R1408='تقرير مايو'!$C$4,$P1408='تقرير مايو'!$C$6),COUNT(AE$4:AE1407)+1,"")</f>
        <v/>
      </c>
    </row>
    <row r="1409">
      <c r="A1409" s="16" t="n"/>
      <c r="B1409" s="17" t="n"/>
      <c r="C1409" s="17" t="n"/>
      <c r="D1409" s="18" t="n"/>
      <c r="E1409" s="17" t="n"/>
      <c r="F1409" s="17" t="n"/>
      <c r="G1409" s="19" t="n"/>
      <c r="H1409" s="17" t="n"/>
      <c r="I1409" s="17" t="n"/>
      <c r="J1409" s="17" t="n"/>
      <c r="K1409" s="20">
        <f>IF($B1409="","",IFERROR(INDEX(الموظفات!$A$5:$A$304,MATCH($B1409,الموظفات!$B$5:$B$304,0))&amp;"",""))</f>
        <v/>
      </c>
      <c r="L1409" s="21">
        <f>IF($B1409="","",IFERROR(INDEX(الموظفات!$C$5:$C$304,MATCH($B1409,الموظفات!$B$5:$B$304,0))&amp;"",""))</f>
        <v/>
      </c>
      <c r="M1409" s="20">
        <f>IF($B1409="","",IFERROR(INDEX(الموظفات!$D$5:$D$304,MATCH($B1409,الموظفات!$B$5:$B$304,0))&amp;"",""))</f>
        <v/>
      </c>
      <c r="N1409" s="20">
        <f>IF($B1409="","",IFERROR(INDEX(الموظفات!$E$5:$E$304,MATCH($B1409,الموظفات!$B$5:$B$304,0))&amp;"",""))</f>
        <v/>
      </c>
      <c r="O1409" s="21">
        <f>IF(C1409="","",IFERROR(INDEX(الإعدادات!$D$7:$D$35,MATCH(C1409,الإعدادات!$A$7:$A$35,0))&amp;"",""))</f>
        <v/>
      </c>
      <c r="P1409" s="20">
        <f>IF(A1409="","",INDEX(الإعدادات!$H$7:$H$18,MONTH(A1409)))</f>
        <v/>
      </c>
      <c r="Q1409" s="20">
        <f>IF(A1409="","",INDEX(الإعدادات!$I$7:$I$18,MONTH(A1409)))</f>
        <v/>
      </c>
      <c r="R1409" s="20">
        <f>IF(A1409="","",IF(MONTH(A1409)&gt;=8,YEAR(A1409)&amp;"-"&amp;(YEAR(A1409)+1),(YEAR(A1409)-1)&amp;"-"&amp;YEAR(A1409)))</f>
        <v/>
      </c>
      <c r="S1409" s="20">
        <f>IF(OR(A1409="",B1409=""),0,IF(AND(R1409=التقارير!$C$4,OR(التقارير!$C$5="سنوي",AND(التقارير!$C$5="شهري",P1409=التقارير!$C$6),AND(التقارير!$C$5="فصلي",Q1409=التقارير!$C$7))),1,0))</f>
        <v/>
      </c>
      <c r="T1409" s="20">
        <f>IF(S1409=1,COUNTIF($S$5:S1409,1),"")</f>
        <v/>
      </c>
      <c r="U1409">
        <f>IF(AND($A1409&lt;&gt;"",$B1409&lt;&gt;"",$R1409='تقرير الفصل الأول'!$C$4,$Q1409='تقرير الفصل الأول'!$C$7),COUNT(U$4:U1408)+1,"")</f>
        <v/>
      </c>
      <c r="V1409">
        <f>IF(AND($A1409&lt;&gt;"",$B1409&lt;&gt;"",$R1409='تقرير الفصل الثاني'!$C$4,$Q1409='تقرير الفصل الثاني'!$C$7),COUNT(V$4:V1408)+1,"")</f>
        <v/>
      </c>
      <c r="W1409">
        <f>IF(AND($A1409&lt;&gt;"",$B1409&lt;&gt;"",$R1409='تقرير سبتمبر'!$C$4,$P1409='تقرير سبتمبر'!$C$6),COUNT(W$4:W1408)+1,"")</f>
        <v/>
      </c>
      <c r="X1409">
        <f>IF(AND($A1409&lt;&gt;"",$B1409&lt;&gt;"",$R1409='تقرير أكتوبر'!$C$4,$P1409='تقرير أكتوبر'!$C$6),COUNT(X$4:X1408)+1,"")</f>
        <v/>
      </c>
      <c r="Y1409">
        <f>IF(AND($A1409&lt;&gt;"",$B1409&lt;&gt;"",$R1409='تقرير نوفمبر'!$C$4,$P1409='تقرير نوفمبر'!$C$6),COUNT(Y$4:Y1408)+1,"")</f>
        <v/>
      </c>
      <c r="Z1409">
        <f>IF(AND($A1409&lt;&gt;"",$B1409&lt;&gt;"",$R1409='تقرير ديسمبر'!$C$4,$P1409='تقرير ديسمبر'!$C$6),COUNT(Z$4:Z1408)+1,"")</f>
        <v/>
      </c>
      <c r="AA1409">
        <f>IF(AND($A1409&lt;&gt;"",$B1409&lt;&gt;"",$R1409='تقرير يناير'!$C$4,$P1409='تقرير يناير'!$C$6),COUNT(AA$4:AA1408)+1,"")</f>
        <v/>
      </c>
      <c r="AB1409">
        <f>IF(AND($A1409&lt;&gt;"",$B1409&lt;&gt;"",$R1409='تقرير فبراير'!$C$4,$P1409='تقرير فبراير'!$C$6),COUNT(AB$4:AB1408)+1,"")</f>
        <v/>
      </c>
      <c r="AC1409">
        <f>IF(AND($A1409&lt;&gt;"",$B1409&lt;&gt;"",$R1409='تقرير مارس'!$C$4,$P1409='تقرير مارس'!$C$6),COUNT(AC$4:AC1408)+1,"")</f>
        <v/>
      </c>
      <c r="AD1409">
        <f>IF(AND($A1409&lt;&gt;"",$B1409&lt;&gt;"",$R1409='تقرير أبريل'!$C$4,$P1409='تقرير أبريل'!$C$6),COUNT(AD$4:AD1408)+1,"")</f>
        <v/>
      </c>
      <c r="AE1409">
        <f>IF(AND($A1409&lt;&gt;"",$B1409&lt;&gt;"",$R1409='تقرير مايو'!$C$4,$P1409='تقرير مايو'!$C$6),COUNT(AE$4:AE1408)+1,"")</f>
        <v/>
      </c>
    </row>
    <row r="1410">
      <c r="A1410" s="16" t="n"/>
      <c r="B1410" s="17" t="n"/>
      <c r="C1410" s="17" t="n"/>
      <c r="D1410" s="18" t="n"/>
      <c r="E1410" s="17" t="n"/>
      <c r="F1410" s="17" t="n"/>
      <c r="G1410" s="19" t="n"/>
      <c r="H1410" s="17" t="n"/>
      <c r="I1410" s="17" t="n"/>
      <c r="J1410" s="17" t="n"/>
      <c r="K1410" s="20">
        <f>IF($B1410="","",IFERROR(INDEX(الموظفات!$A$5:$A$304,MATCH($B1410,الموظفات!$B$5:$B$304,0))&amp;"",""))</f>
        <v/>
      </c>
      <c r="L1410" s="21">
        <f>IF($B1410="","",IFERROR(INDEX(الموظفات!$C$5:$C$304,MATCH($B1410,الموظفات!$B$5:$B$304,0))&amp;"",""))</f>
        <v/>
      </c>
      <c r="M1410" s="20">
        <f>IF($B1410="","",IFERROR(INDEX(الموظفات!$D$5:$D$304,MATCH($B1410,الموظفات!$B$5:$B$304,0))&amp;"",""))</f>
        <v/>
      </c>
      <c r="N1410" s="20">
        <f>IF($B1410="","",IFERROR(INDEX(الموظفات!$E$5:$E$304,MATCH($B1410,الموظفات!$B$5:$B$304,0))&amp;"",""))</f>
        <v/>
      </c>
      <c r="O1410" s="21">
        <f>IF(C1410="","",IFERROR(INDEX(الإعدادات!$D$7:$D$35,MATCH(C1410,الإعدادات!$A$7:$A$35,0))&amp;"",""))</f>
        <v/>
      </c>
      <c r="P1410" s="20">
        <f>IF(A1410="","",INDEX(الإعدادات!$H$7:$H$18,MONTH(A1410)))</f>
        <v/>
      </c>
      <c r="Q1410" s="20">
        <f>IF(A1410="","",INDEX(الإعدادات!$I$7:$I$18,MONTH(A1410)))</f>
        <v/>
      </c>
      <c r="R1410" s="20">
        <f>IF(A1410="","",IF(MONTH(A1410)&gt;=8,YEAR(A1410)&amp;"-"&amp;(YEAR(A1410)+1),(YEAR(A1410)-1)&amp;"-"&amp;YEAR(A1410)))</f>
        <v/>
      </c>
      <c r="S1410" s="20">
        <f>IF(OR(A1410="",B1410=""),0,IF(AND(R1410=التقارير!$C$4,OR(التقارير!$C$5="سنوي",AND(التقارير!$C$5="شهري",P1410=التقارير!$C$6),AND(التقارير!$C$5="فصلي",Q1410=التقارير!$C$7))),1,0))</f>
        <v/>
      </c>
      <c r="T1410" s="20">
        <f>IF(S1410=1,COUNTIF($S$5:S1410,1),"")</f>
        <v/>
      </c>
      <c r="U1410">
        <f>IF(AND($A1410&lt;&gt;"",$B1410&lt;&gt;"",$R1410='تقرير الفصل الأول'!$C$4,$Q1410='تقرير الفصل الأول'!$C$7),COUNT(U$4:U1409)+1,"")</f>
        <v/>
      </c>
      <c r="V1410">
        <f>IF(AND($A1410&lt;&gt;"",$B1410&lt;&gt;"",$R1410='تقرير الفصل الثاني'!$C$4,$Q1410='تقرير الفصل الثاني'!$C$7),COUNT(V$4:V1409)+1,"")</f>
        <v/>
      </c>
      <c r="W1410">
        <f>IF(AND($A1410&lt;&gt;"",$B1410&lt;&gt;"",$R1410='تقرير سبتمبر'!$C$4,$P1410='تقرير سبتمبر'!$C$6),COUNT(W$4:W1409)+1,"")</f>
        <v/>
      </c>
      <c r="X1410">
        <f>IF(AND($A1410&lt;&gt;"",$B1410&lt;&gt;"",$R1410='تقرير أكتوبر'!$C$4,$P1410='تقرير أكتوبر'!$C$6),COUNT(X$4:X1409)+1,"")</f>
        <v/>
      </c>
      <c r="Y1410">
        <f>IF(AND($A1410&lt;&gt;"",$B1410&lt;&gt;"",$R1410='تقرير نوفمبر'!$C$4,$P1410='تقرير نوفمبر'!$C$6),COUNT(Y$4:Y1409)+1,"")</f>
        <v/>
      </c>
      <c r="Z1410">
        <f>IF(AND($A1410&lt;&gt;"",$B1410&lt;&gt;"",$R1410='تقرير ديسمبر'!$C$4,$P1410='تقرير ديسمبر'!$C$6),COUNT(Z$4:Z1409)+1,"")</f>
        <v/>
      </c>
      <c r="AA1410">
        <f>IF(AND($A1410&lt;&gt;"",$B1410&lt;&gt;"",$R1410='تقرير يناير'!$C$4,$P1410='تقرير يناير'!$C$6),COUNT(AA$4:AA1409)+1,"")</f>
        <v/>
      </c>
      <c r="AB1410">
        <f>IF(AND($A1410&lt;&gt;"",$B1410&lt;&gt;"",$R1410='تقرير فبراير'!$C$4,$P1410='تقرير فبراير'!$C$6),COUNT(AB$4:AB1409)+1,"")</f>
        <v/>
      </c>
      <c r="AC1410">
        <f>IF(AND($A1410&lt;&gt;"",$B1410&lt;&gt;"",$R1410='تقرير مارس'!$C$4,$P1410='تقرير مارس'!$C$6),COUNT(AC$4:AC1409)+1,"")</f>
        <v/>
      </c>
      <c r="AD1410">
        <f>IF(AND($A1410&lt;&gt;"",$B1410&lt;&gt;"",$R1410='تقرير أبريل'!$C$4,$P1410='تقرير أبريل'!$C$6),COUNT(AD$4:AD1409)+1,"")</f>
        <v/>
      </c>
      <c r="AE1410">
        <f>IF(AND($A1410&lt;&gt;"",$B1410&lt;&gt;"",$R1410='تقرير مايو'!$C$4,$P1410='تقرير مايو'!$C$6),COUNT(AE$4:AE1409)+1,"")</f>
        <v/>
      </c>
    </row>
    <row r="1411">
      <c r="A1411" s="16" t="n"/>
      <c r="B1411" s="17" t="n"/>
      <c r="C1411" s="17" t="n"/>
      <c r="D1411" s="18" t="n"/>
      <c r="E1411" s="17" t="n"/>
      <c r="F1411" s="17" t="n"/>
      <c r="G1411" s="19" t="n"/>
      <c r="H1411" s="17" t="n"/>
      <c r="I1411" s="17" t="n"/>
      <c r="J1411" s="17" t="n"/>
      <c r="K1411" s="20">
        <f>IF($B1411="","",IFERROR(INDEX(الموظفات!$A$5:$A$304,MATCH($B1411,الموظفات!$B$5:$B$304,0))&amp;"",""))</f>
        <v/>
      </c>
      <c r="L1411" s="21">
        <f>IF($B1411="","",IFERROR(INDEX(الموظفات!$C$5:$C$304,MATCH($B1411,الموظفات!$B$5:$B$304,0))&amp;"",""))</f>
        <v/>
      </c>
      <c r="M1411" s="20">
        <f>IF($B1411="","",IFERROR(INDEX(الموظفات!$D$5:$D$304,MATCH($B1411,الموظفات!$B$5:$B$304,0))&amp;"",""))</f>
        <v/>
      </c>
      <c r="N1411" s="20">
        <f>IF($B1411="","",IFERROR(INDEX(الموظفات!$E$5:$E$304,MATCH($B1411,الموظفات!$B$5:$B$304,0))&amp;"",""))</f>
        <v/>
      </c>
      <c r="O1411" s="21">
        <f>IF(C1411="","",IFERROR(INDEX(الإعدادات!$D$7:$D$35,MATCH(C1411,الإعدادات!$A$7:$A$35,0))&amp;"",""))</f>
        <v/>
      </c>
      <c r="P1411" s="20">
        <f>IF(A1411="","",INDEX(الإعدادات!$H$7:$H$18,MONTH(A1411)))</f>
        <v/>
      </c>
      <c r="Q1411" s="20">
        <f>IF(A1411="","",INDEX(الإعدادات!$I$7:$I$18,MONTH(A1411)))</f>
        <v/>
      </c>
      <c r="R1411" s="20">
        <f>IF(A1411="","",IF(MONTH(A1411)&gt;=8,YEAR(A1411)&amp;"-"&amp;(YEAR(A1411)+1),(YEAR(A1411)-1)&amp;"-"&amp;YEAR(A1411)))</f>
        <v/>
      </c>
      <c r="S1411" s="20">
        <f>IF(OR(A1411="",B1411=""),0,IF(AND(R1411=التقارير!$C$4,OR(التقارير!$C$5="سنوي",AND(التقارير!$C$5="شهري",P1411=التقارير!$C$6),AND(التقارير!$C$5="فصلي",Q1411=التقارير!$C$7))),1,0))</f>
        <v/>
      </c>
      <c r="T1411" s="20">
        <f>IF(S1411=1,COUNTIF($S$5:S1411,1),"")</f>
        <v/>
      </c>
      <c r="U1411">
        <f>IF(AND($A1411&lt;&gt;"",$B1411&lt;&gt;"",$R1411='تقرير الفصل الأول'!$C$4,$Q1411='تقرير الفصل الأول'!$C$7),COUNT(U$4:U1410)+1,"")</f>
        <v/>
      </c>
      <c r="V1411">
        <f>IF(AND($A1411&lt;&gt;"",$B1411&lt;&gt;"",$R1411='تقرير الفصل الثاني'!$C$4,$Q1411='تقرير الفصل الثاني'!$C$7),COUNT(V$4:V1410)+1,"")</f>
        <v/>
      </c>
      <c r="W1411">
        <f>IF(AND($A1411&lt;&gt;"",$B1411&lt;&gt;"",$R1411='تقرير سبتمبر'!$C$4,$P1411='تقرير سبتمبر'!$C$6),COUNT(W$4:W1410)+1,"")</f>
        <v/>
      </c>
      <c r="X1411">
        <f>IF(AND($A1411&lt;&gt;"",$B1411&lt;&gt;"",$R1411='تقرير أكتوبر'!$C$4,$P1411='تقرير أكتوبر'!$C$6),COUNT(X$4:X1410)+1,"")</f>
        <v/>
      </c>
      <c r="Y1411">
        <f>IF(AND($A1411&lt;&gt;"",$B1411&lt;&gt;"",$R1411='تقرير نوفمبر'!$C$4,$P1411='تقرير نوفمبر'!$C$6),COUNT(Y$4:Y1410)+1,"")</f>
        <v/>
      </c>
      <c r="Z1411">
        <f>IF(AND($A1411&lt;&gt;"",$B1411&lt;&gt;"",$R1411='تقرير ديسمبر'!$C$4,$P1411='تقرير ديسمبر'!$C$6),COUNT(Z$4:Z1410)+1,"")</f>
        <v/>
      </c>
      <c r="AA1411">
        <f>IF(AND($A1411&lt;&gt;"",$B1411&lt;&gt;"",$R1411='تقرير يناير'!$C$4,$P1411='تقرير يناير'!$C$6),COUNT(AA$4:AA1410)+1,"")</f>
        <v/>
      </c>
      <c r="AB1411">
        <f>IF(AND($A1411&lt;&gt;"",$B1411&lt;&gt;"",$R1411='تقرير فبراير'!$C$4,$P1411='تقرير فبراير'!$C$6),COUNT(AB$4:AB1410)+1,"")</f>
        <v/>
      </c>
      <c r="AC1411">
        <f>IF(AND($A1411&lt;&gt;"",$B1411&lt;&gt;"",$R1411='تقرير مارس'!$C$4,$P1411='تقرير مارس'!$C$6),COUNT(AC$4:AC1410)+1,"")</f>
        <v/>
      </c>
      <c r="AD1411">
        <f>IF(AND($A1411&lt;&gt;"",$B1411&lt;&gt;"",$R1411='تقرير أبريل'!$C$4,$P1411='تقرير أبريل'!$C$6),COUNT(AD$4:AD1410)+1,"")</f>
        <v/>
      </c>
      <c r="AE1411">
        <f>IF(AND($A1411&lt;&gt;"",$B1411&lt;&gt;"",$R1411='تقرير مايو'!$C$4,$P1411='تقرير مايو'!$C$6),COUNT(AE$4:AE1410)+1,"")</f>
        <v/>
      </c>
    </row>
    <row r="1412">
      <c r="A1412" s="16" t="n"/>
      <c r="B1412" s="17" t="n"/>
      <c r="C1412" s="17" t="n"/>
      <c r="D1412" s="18" t="n"/>
      <c r="E1412" s="17" t="n"/>
      <c r="F1412" s="17" t="n"/>
      <c r="G1412" s="19" t="n"/>
      <c r="H1412" s="17" t="n"/>
      <c r="I1412" s="17" t="n"/>
      <c r="J1412" s="17" t="n"/>
      <c r="K1412" s="20">
        <f>IF($B1412="","",IFERROR(INDEX(الموظفات!$A$5:$A$304,MATCH($B1412,الموظفات!$B$5:$B$304,0))&amp;"",""))</f>
        <v/>
      </c>
      <c r="L1412" s="21">
        <f>IF($B1412="","",IFERROR(INDEX(الموظفات!$C$5:$C$304,MATCH($B1412,الموظفات!$B$5:$B$304,0))&amp;"",""))</f>
        <v/>
      </c>
      <c r="M1412" s="20">
        <f>IF($B1412="","",IFERROR(INDEX(الموظفات!$D$5:$D$304,MATCH($B1412,الموظفات!$B$5:$B$304,0))&amp;"",""))</f>
        <v/>
      </c>
      <c r="N1412" s="20">
        <f>IF($B1412="","",IFERROR(INDEX(الموظفات!$E$5:$E$304,MATCH($B1412,الموظفات!$B$5:$B$304,0))&amp;"",""))</f>
        <v/>
      </c>
      <c r="O1412" s="21">
        <f>IF(C1412="","",IFERROR(INDEX(الإعدادات!$D$7:$D$35,MATCH(C1412,الإعدادات!$A$7:$A$35,0))&amp;"",""))</f>
        <v/>
      </c>
      <c r="P1412" s="20">
        <f>IF(A1412="","",INDEX(الإعدادات!$H$7:$H$18,MONTH(A1412)))</f>
        <v/>
      </c>
      <c r="Q1412" s="20">
        <f>IF(A1412="","",INDEX(الإعدادات!$I$7:$I$18,MONTH(A1412)))</f>
        <v/>
      </c>
      <c r="R1412" s="20">
        <f>IF(A1412="","",IF(MONTH(A1412)&gt;=8,YEAR(A1412)&amp;"-"&amp;(YEAR(A1412)+1),(YEAR(A1412)-1)&amp;"-"&amp;YEAR(A1412)))</f>
        <v/>
      </c>
      <c r="S1412" s="20">
        <f>IF(OR(A1412="",B1412=""),0,IF(AND(R1412=التقارير!$C$4,OR(التقارير!$C$5="سنوي",AND(التقارير!$C$5="شهري",P1412=التقارير!$C$6),AND(التقارير!$C$5="فصلي",Q1412=التقارير!$C$7))),1,0))</f>
        <v/>
      </c>
      <c r="T1412" s="20">
        <f>IF(S1412=1,COUNTIF($S$5:S1412,1),"")</f>
        <v/>
      </c>
      <c r="U1412">
        <f>IF(AND($A1412&lt;&gt;"",$B1412&lt;&gt;"",$R1412='تقرير الفصل الأول'!$C$4,$Q1412='تقرير الفصل الأول'!$C$7),COUNT(U$4:U1411)+1,"")</f>
        <v/>
      </c>
      <c r="V1412">
        <f>IF(AND($A1412&lt;&gt;"",$B1412&lt;&gt;"",$R1412='تقرير الفصل الثاني'!$C$4,$Q1412='تقرير الفصل الثاني'!$C$7),COUNT(V$4:V1411)+1,"")</f>
        <v/>
      </c>
      <c r="W1412">
        <f>IF(AND($A1412&lt;&gt;"",$B1412&lt;&gt;"",$R1412='تقرير سبتمبر'!$C$4,$P1412='تقرير سبتمبر'!$C$6),COUNT(W$4:W1411)+1,"")</f>
        <v/>
      </c>
      <c r="X1412">
        <f>IF(AND($A1412&lt;&gt;"",$B1412&lt;&gt;"",$R1412='تقرير أكتوبر'!$C$4,$P1412='تقرير أكتوبر'!$C$6),COUNT(X$4:X1411)+1,"")</f>
        <v/>
      </c>
      <c r="Y1412">
        <f>IF(AND($A1412&lt;&gt;"",$B1412&lt;&gt;"",$R1412='تقرير نوفمبر'!$C$4,$P1412='تقرير نوفمبر'!$C$6),COUNT(Y$4:Y1411)+1,"")</f>
        <v/>
      </c>
      <c r="Z1412">
        <f>IF(AND($A1412&lt;&gt;"",$B1412&lt;&gt;"",$R1412='تقرير ديسمبر'!$C$4,$P1412='تقرير ديسمبر'!$C$6),COUNT(Z$4:Z1411)+1,"")</f>
        <v/>
      </c>
      <c r="AA1412">
        <f>IF(AND($A1412&lt;&gt;"",$B1412&lt;&gt;"",$R1412='تقرير يناير'!$C$4,$P1412='تقرير يناير'!$C$6),COUNT(AA$4:AA1411)+1,"")</f>
        <v/>
      </c>
      <c r="AB1412">
        <f>IF(AND($A1412&lt;&gt;"",$B1412&lt;&gt;"",$R1412='تقرير فبراير'!$C$4,$P1412='تقرير فبراير'!$C$6),COUNT(AB$4:AB1411)+1,"")</f>
        <v/>
      </c>
      <c r="AC1412">
        <f>IF(AND($A1412&lt;&gt;"",$B1412&lt;&gt;"",$R1412='تقرير مارس'!$C$4,$P1412='تقرير مارس'!$C$6),COUNT(AC$4:AC1411)+1,"")</f>
        <v/>
      </c>
      <c r="AD1412">
        <f>IF(AND($A1412&lt;&gt;"",$B1412&lt;&gt;"",$R1412='تقرير أبريل'!$C$4,$P1412='تقرير أبريل'!$C$6),COUNT(AD$4:AD1411)+1,"")</f>
        <v/>
      </c>
      <c r="AE1412">
        <f>IF(AND($A1412&lt;&gt;"",$B1412&lt;&gt;"",$R1412='تقرير مايو'!$C$4,$P1412='تقرير مايو'!$C$6),COUNT(AE$4:AE1411)+1,"")</f>
        <v/>
      </c>
    </row>
    <row r="1413">
      <c r="A1413" s="16" t="n"/>
      <c r="B1413" s="17" t="n"/>
      <c r="C1413" s="17" t="n"/>
      <c r="D1413" s="18" t="n"/>
      <c r="E1413" s="17" t="n"/>
      <c r="F1413" s="17" t="n"/>
      <c r="G1413" s="19" t="n"/>
      <c r="H1413" s="17" t="n"/>
      <c r="I1413" s="17" t="n"/>
      <c r="J1413" s="17" t="n"/>
      <c r="K1413" s="20">
        <f>IF($B1413="","",IFERROR(INDEX(الموظفات!$A$5:$A$304,MATCH($B1413,الموظفات!$B$5:$B$304,0))&amp;"",""))</f>
        <v/>
      </c>
      <c r="L1413" s="21">
        <f>IF($B1413="","",IFERROR(INDEX(الموظفات!$C$5:$C$304,MATCH($B1413,الموظفات!$B$5:$B$304,0))&amp;"",""))</f>
        <v/>
      </c>
      <c r="M1413" s="20">
        <f>IF($B1413="","",IFERROR(INDEX(الموظفات!$D$5:$D$304,MATCH($B1413,الموظفات!$B$5:$B$304,0))&amp;"",""))</f>
        <v/>
      </c>
      <c r="N1413" s="20">
        <f>IF($B1413="","",IFERROR(INDEX(الموظفات!$E$5:$E$304,MATCH($B1413,الموظفات!$B$5:$B$304,0))&amp;"",""))</f>
        <v/>
      </c>
      <c r="O1413" s="21">
        <f>IF(C1413="","",IFERROR(INDEX(الإعدادات!$D$7:$D$35,MATCH(C1413,الإعدادات!$A$7:$A$35,0))&amp;"",""))</f>
        <v/>
      </c>
      <c r="P1413" s="20">
        <f>IF(A1413="","",INDEX(الإعدادات!$H$7:$H$18,MONTH(A1413)))</f>
        <v/>
      </c>
      <c r="Q1413" s="20">
        <f>IF(A1413="","",INDEX(الإعدادات!$I$7:$I$18,MONTH(A1413)))</f>
        <v/>
      </c>
      <c r="R1413" s="20">
        <f>IF(A1413="","",IF(MONTH(A1413)&gt;=8,YEAR(A1413)&amp;"-"&amp;(YEAR(A1413)+1),(YEAR(A1413)-1)&amp;"-"&amp;YEAR(A1413)))</f>
        <v/>
      </c>
      <c r="S1413" s="20">
        <f>IF(OR(A1413="",B1413=""),0,IF(AND(R1413=التقارير!$C$4,OR(التقارير!$C$5="سنوي",AND(التقارير!$C$5="شهري",P1413=التقارير!$C$6),AND(التقارير!$C$5="فصلي",Q1413=التقارير!$C$7))),1,0))</f>
        <v/>
      </c>
      <c r="T1413" s="20">
        <f>IF(S1413=1,COUNTIF($S$5:S1413,1),"")</f>
        <v/>
      </c>
      <c r="U1413">
        <f>IF(AND($A1413&lt;&gt;"",$B1413&lt;&gt;"",$R1413='تقرير الفصل الأول'!$C$4,$Q1413='تقرير الفصل الأول'!$C$7),COUNT(U$4:U1412)+1,"")</f>
        <v/>
      </c>
      <c r="V1413">
        <f>IF(AND($A1413&lt;&gt;"",$B1413&lt;&gt;"",$R1413='تقرير الفصل الثاني'!$C$4,$Q1413='تقرير الفصل الثاني'!$C$7),COUNT(V$4:V1412)+1,"")</f>
        <v/>
      </c>
      <c r="W1413">
        <f>IF(AND($A1413&lt;&gt;"",$B1413&lt;&gt;"",$R1413='تقرير سبتمبر'!$C$4,$P1413='تقرير سبتمبر'!$C$6),COUNT(W$4:W1412)+1,"")</f>
        <v/>
      </c>
      <c r="X1413">
        <f>IF(AND($A1413&lt;&gt;"",$B1413&lt;&gt;"",$R1413='تقرير أكتوبر'!$C$4,$P1413='تقرير أكتوبر'!$C$6),COUNT(X$4:X1412)+1,"")</f>
        <v/>
      </c>
      <c r="Y1413">
        <f>IF(AND($A1413&lt;&gt;"",$B1413&lt;&gt;"",$R1413='تقرير نوفمبر'!$C$4,$P1413='تقرير نوفمبر'!$C$6),COUNT(Y$4:Y1412)+1,"")</f>
        <v/>
      </c>
      <c r="Z1413">
        <f>IF(AND($A1413&lt;&gt;"",$B1413&lt;&gt;"",$R1413='تقرير ديسمبر'!$C$4,$P1413='تقرير ديسمبر'!$C$6),COUNT(Z$4:Z1412)+1,"")</f>
        <v/>
      </c>
      <c r="AA1413">
        <f>IF(AND($A1413&lt;&gt;"",$B1413&lt;&gt;"",$R1413='تقرير يناير'!$C$4,$P1413='تقرير يناير'!$C$6),COUNT(AA$4:AA1412)+1,"")</f>
        <v/>
      </c>
      <c r="AB1413">
        <f>IF(AND($A1413&lt;&gt;"",$B1413&lt;&gt;"",$R1413='تقرير فبراير'!$C$4,$P1413='تقرير فبراير'!$C$6),COUNT(AB$4:AB1412)+1,"")</f>
        <v/>
      </c>
      <c r="AC1413">
        <f>IF(AND($A1413&lt;&gt;"",$B1413&lt;&gt;"",$R1413='تقرير مارس'!$C$4,$P1413='تقرير مارس'!$C$6),COUNT(AC$4:AC1412)+1,"")</f>
        <v/>
      </c>
      <c r="AD1413">
        <f>IF(AND($A1413&lt;&gt;"",$B1413&lt;&gt;"",$R1413='تقرير أبريل'!$C$4,$P1413='تقرير أبريل'!$C$6),COUNT(AD$4:AD1412)+1,"")</f>
        <v/>
      </c>
      <c r="AE1413">
        <f>IF(AND($A1413&lt;&gt;"",$B1413&lt;&gt;"",$R1413='تقرير مايو'!$C$4,$P1413='تقرير مايو'!$C$6),COUNT(AE$4:AE1412)+1,"")</f>
        <v/>
      </c>
    </row>
    <row r="1414">
      <c r="A1414" s="16" t="n"/>
      <c r="B1414" s="17" t="n"/>
      <c r="C1414" s="17" t="n"/>
      <c r="D1414" s="18" t="n"/>
      <c r="E1414" s="17" t="n"/>
      <c r="F1414" s="17" t="n"/>
      <c r="G1414" s="19" t="n"/>
      <c r="H1414" s="17" t="n"/>
      <c r="I1414" s="17" t="n"/>
      <c r="J1414" s="17" t="n"/>
      <c r="K1414" s="20">
        <f>IF($B1414="","",IFERROR(INDEX(الموظفات!$A$5:$A$304,MATCH($B1414,الموظفات!$B$5:$B$304,0))&amp;"",""))</f>
        <v/>
      </c>
      <c r="L1414" s="21">
        <f>IF($B1414="","",IFERROR(INDEX(الموظفات!$C$5:$C$304,MATCH($B1414,الموظفات!$B$5:$B$304,0))&amp;"",""))</f>
        <v/>
      </c>
      <c r="M1414" s="20">
        <f>IF($B1414="","",IFERROR(INDEX(الموظفات!$D$5:$D$304,MATCH($B1414,الموظفات!$B$5:$B$304,0))&amp;"",""))</f>
        <v/>
      </c>
      <c r="N1414" s="20">
        <f>IF($B1414="","",IFERROR(INDEX(الموظفات!$E$5:$E$304,MATCH($B1414,الموظفات!$B$5:$B$304,0))&amp;"",""))</f>
        <v/>
      </c>
      <c r="O1414" s="21">
        <f>IF(C1414="","",IFERROR(INDEX(الإعدادات!$D$7:$D$35,MATCH(C1414,الإعدادات!$A$7:$A$35,0))&amp;"",""))</f>
        <v/>
      </c>
      <c r="P1414" s="20">
        <f>IF(A1414="","",INDEX(الإعدادات!$H$7:$H$18,MONTH(A1414)))</f>
        <v/>
      </c>
      <c r="Q1414" s="20">
        <f>IF(A1414="","",INDEX(الإعدادات!$I$7:$I$18,MONTH(A1414)))</f>
        <v/>
      </c>
      <c r="R1414" s="20">
        <f>IF(A1414="","",IF(MONTH(A1414)&gt;=8,YEAR(A1414)&amp;"-"&amp;(YEAR(A1414)+1),(YEAR(A1414)-1)&amp;"-"&amp;YEAR(A1414)))</f>
        <v/>
      </c>
      <c r="S1414" s="20">
        <f>IF(OR(A1414="",B1414=""),0,IF(AND(R1414=التقارير!$C$4,OR(التقارير!$C$5="سنوي",AND(التقارير!$C$5="شهري",P1414=التقارير!$C$6),AND(التقارير!$C$5="فصلي",Q1414=التقارير!$C$7))),1,0))</f>
        <v/>
      </c>
      <c r="T1414" s="20">
        <f>IF(S1414=1,COUNTIF($S$5:S1414,1),"")</f>
        <v/>
      </c>
      <c r="U1414">
        <f>IF(AND($A1414&lt;&gt;"",$B1414&lt;&gt;"",$R1414='تقرير الفصل الأول'!$C$4,$Q1414='تقرير الفصل الأول'!$C$7),COUNT(U$4:U1413)+1,"")</f>
        <v/>
      </c>
      <c r="V1414">
        <f>IF(AND($A1414&lt;&gt;"",$B1414&lt;&gt;"",$R1414='تقرير الفصل الثاني'!$C$4,$Q1414='تقرير الفصل الثاني'!$C$7),COUNT(V$4:V1413)+1,"")</f>
        <v/>
      </c>
      <c r="W1414">
        <f>IF(AND($A1414&lt;&gt;"",$B1414&lt;&gt;"",$R1414='تقرير سبتمبر'!$C$4,$P1414='تقرير سبتمبر'!$C$6),COUNT(W$4:W1413)+1,"")</f>
        <v/>
      </c>
      <c r="X1414">
        <f>IF(AND($A1414&lt;&gt;"",$B1414&lt;&gt;"",$R1414='تقرير أكتوبر'!$C$4,$P1414='تقرير أكتوبر'!$C$6),COUNT(X$4:X1413)+1,"")</f>
        <v/>
      </c>
      <c r="Y1414">
        <f>IF(AND($A1414&lt;&gt;"",$B1414&lt;&gt;"",$R1414='تقرير نوفمبر'!$C$4,$P1414='تقرير نوفمبر'!$C$6),COUNT(Y$4:Y1413)+1,"")</f>
        <v/>
      </c>
      <c r="Z1414">
        <f>IF(AND($A1414&lt;&gt;"",$B1414&lt;&gt;"",$R1414='تقرير ديسمبر'!$C$4,$P1414='تقرير ديسمبر'!$C$6),COUNT(Z$4:Z1413)+1,"")</f>
        <v/>
      </c>
      <c r="AA1414">
        <f>IF(AND($A1414&lt;&gt;"",$B1414&lt;&gt;"",$R1414='تقرير يناير'!$C$4,$P1414='تقرير يناير'!$C$6),COUNT(AA$4:AA1413)+1,"")</f>
        <v/>
      </c>
      <c r="AB1414">
        <f>IF(AND($A1414&lt;&gt;"",$B1414&lt;&gt;"",$R1414='تقرير فبراير'!$C$4,$P1414='تقرير فبراير'!$C$6),COUNT(AB$4:AB1413)+1,"")</f>
        <v/>
      </c>
      <c r="AC1414">
        <f>IF(AND($A1414&lt;&gt;"",$B1414&lt;&gt;"",$R1414='تقرير مارس'!$C$4,$P1414='تقرير مارس'!$C$6),COUNT(AC$4:AC1413)+1,"")</f>
        <v/>
      </c>
      <c r="AD1414">
        <f>IF(AND($A1414&lt;&gt;"",$B1414&lt;&gt;"",$R1414='تقرير أبريل'!$C$4,$P1414='تقرير أبريل'!$C$6),COUNT(AD$4:AD1413)+1,"")</f>
        <v/>
      </c>
      <c r="AE1414">
        <f>IF(AND($A1414&lt;&gt;"",$B1414&lt;&gt;"",$R1414='تقرير مايو'!$C$4,$P1414='تقرير مايو'!$C$6),COUNT(AE$4:AE1413)+1,"")</f>
        <v/>
      </c>
    </row>
    <row r="1415">
      <c r="A1415" s="16" t="n"/>
      <c r="B1415" s="17" t="n"/>
      <c r="C1415" s="17" t="n"/>
      <c r="D1415" s="18" t="n"/>
      <c r="E1415" s="17" t="n"/>
      <c r="F1415" s="17" t="n"/>
      <c r="G1415" s="19" t="n"/>
      <c r="H1415" s="17" t="n"/>
      <c r="I1415" s="17" t="n"/>
      <c r="J1415" s="17" t="n"/>
      <c r="K1415" s="20">
        <f>IF($B1415="","",IFERROR(INDEX(الموظفات!$A$5:$A$304,MATCH($B1415,الموظفات!$B$5:$B$304,0))&amp;"",""))</f>
        <v/>
      </c>
      <c r="L1415" s="21">
        <f>IF($B1415="","",IFERROR(INDEX(الموظفات!$C$5:$C$304,MATCH($B1415,الموظفات!$B$5:$B$304,0))&amp;"",""))</f>
        <v/>
      </c>
      <c r="M1415" s="20">
        <f>IF($B1415="","",IFERROR(INDEX(الموظفات!$D$5:$D$304,MATCH($B1415,الموظفات!$B$5:$B$304,0))&amp;"",""))</f>
        <v/>
      </c>
      <c r="N1415" s="20">
        <f>IF($B1415="","",IFERROR(INDEX(الموظفات!$E$5:$E$304,MATCH($B1415,الموظفات!$B$5:$B$304,0))&amp;"",""))</f>
        <v/>
      </c>
      <c r="O1415" s="21">
        <f>IF(C1415="","",IFERROR(INDEX(الإعدادات!$D$7:$D$35,MATCH(C1415,الإعدادات!$A$7:$A$35,0))&amp;"",""))</f>
        <v/>
      </c>
      <c r="P1415" s="20">
        <f>IF(A1415="","",INDEX(الإعدادات!$H$7:$H$18,MONTH(A1415)))</f>
        <v/>
      </c>
      <c r="Q1415" s="20">
        <f>IF(A1415="","",INDEX(الإعدادات!$I$7:$I$18,MONTH(A1415)))</f>
        <v/>
      </c>
      <c r="R1415" s="20">
        <f>IF(A1415="","",IF(MONTH(A1415)&gt;=8,YEAR(A1415)&amp;"-"&amp;(YEAR(A1415)+1),(YEAR(A1415)-1)&amp;"-"&amp;YEAR(A1415)))</f>
        <v/>
      </c>
      <c r="S1415" s="20">
        <f>IF(OR(A1415="",B1415=""),0,IF(AND(R1415=التقارير!$C$4,OR(التقارير!$C$5="سنوي",AND(التقارير!$C$5="شهري",P1415=التقارير!$C$6),AND(التقارير!$C$5="فصلي",Q1415=التقارير!$C$7))),1,0))</f>
        <v/>
      </c>
      <c r="T1415" s="20">
        <f>IF(S1415=1,COUNTIF($S$5:S1415,1),"")</f>
        <v/>
      </c>
      <c r="U1415">
        <f>IF(AND($A1415&lt;&gt;"",$B1415&lt;&gt;"",$R1415='تقرير الفصل الأول'!$C$4,$Q1415='تقرير الفصل الأول'!$C$7),COUNT(U$4:U1414)+1,"")</f>
        <v/>
      </c>
      <c r="V1415">
        <f>IF(AND($A1415&lt;&gt;"",$B1415&lt;&gt;"",$R1415='تقرير الفصل الثاني'!$C$4,$Q1415='تقرير الفصل الثاني'!$C$7),COUNT(V$4:V1414)+1,"")</f>
        <v/>
      </c>
      <c r="W1415">
        <f>IF(AND($A1415&lt;&gt;"",$B1415&lt;&gt;"",$R1415='تقرير سبتمبر'!$C$4,$P1415='تقرير سبتمبر'!$C$6),COUNT(W$4:W1414)+1,"")</f>
        <v/>
      </c>
      <c r="X1415">
        <f>IF(AND($A1415&lt;&gt;"",$B1415&lt;&gt;"",$R1415='تقرير أكتوبر'!$C$4,$P1415='تقرير أكتوبر'!$C$6),COUNT(X$4:X1414)+1,"")</f>
        <v/>
      </c>
      <c r="Y1415">
        <f>IF(AND($A1415&lt;&gt;"",$B1415&lt;&gt;"",$R1415='تقرير نوفمبر'!$C$4,$P1415='تقرير نوفمبر'!$C$6),COUNT(Y$4:Y1414)+1,"")</f>
        <v/>
      </c>
      <c r="Z1415">
        <f>IF(AND($A1415&lt;&gt;"",$B1415&lt;&gt;"",$R1415='تقرير ديسمبر'!$C$4,$P1415='تقرير ديسمبر'!$C$6),COUNT(Z$4:Z1414)+1,"")</f>
        <v/>
      </c>
      <c r="AA1415">
        <f>IF(AND($A1415&lt;&gt;"",$B1415&lt;&gt;"",$R1415='تقرير يناير'!$C$4,$P1415='تقرير يناير'!$C$6),COUNT(AA$4:AA1414)+1,"")</f>
        <v/>
      </c>
      <c r="AB1415">
        <f>IF(AND($A1415&lt;&gt;"",$B1415&lt;&gt;"",$R1415='تقرير فبراير'!$C$4,$P1415='تقرير فبراير'!$C$6),COUNT(AB$4:AB1414)+1,"")</f>
        <v/>
      </c>
      <c r="AC1415">
        <f>IF(AND($A1415&lt;&gt;"",$B1415&lt;&gt;"",$R1415='تقرير مارس'!$C$4,$P1415='تقرير مارس'!$C$6),COUNT(AC$4:AC1414)+1,"")</f>
        <v/>
      </c>
      <c r="AD1415">
        <f>IF(AND($A1415&lt;&gt;"",$B1415&lt;&gt;"",$R1415='تقرير أبريل'!$C$4,$P1415='تقرير أبريل'!$C$6),COUNT(AD$4:AD1414)+1,"")</f>
        <v/>
      </c>
      <c r="AE1415">
        <f>IF(AND($A1415&lt;&gt;"",$B1415&lt;&gt;"",$R1415='تقرير مايو'!$C$4,$P1415='تقرير مايو'!$C$6),COUNT(AE$4:AE1414)+1,"")</f>
        <v/>
      </c>
    </row>
    <row r="1416">
      <c r="A1416" s="16" t="n"/>
      <c r="B1416" s="17" t="n"/>
      <c r="C1416" s="17" t="n"/>
      <c r="D1416" s="18" t="n"/>
      <c r="E1416" s="17" t="n"/>
      <c r="F1416" s="17" t="n"/>
      <c r="G1416" s="19" t="n"/>
      <c r="H1416" s="17" t="n"/>
      <c r="I1416" s="17" t="n"/>
      <c r="J1416" s="17" t="n"/>
      <c r="K1416" s="20">
        <f>IF($B1416="","",IFERROR(INDEX(الموظفات!$A$5:$A$304,MATCH($B1416,الموظفات!$B$5:$B$304,0))&amp;"",""))</f>
        <v/>
      </c>
      <c r="L1416" s="21">
        <f>IF($B1416="","",IFERROR(INDEX(الموظفات!$C$5:$C$304,MATCH($B1416,الموظفات!$B$5:$B$304,0))&amp;"",""))</f>
        <v/>
      </c>
      <c r="M1416" s="20">
        <f>IF($B1416="","",IFERROR(INDEX(الموظفات!$D$5:$D$304,MATCH($B1416,الموظفات!$B$5:$B$304,0))&amp;"",""))</f>
        <v/>
      </c>
      <c r="N1416" s="20">
        <f>IF($B1416="","",IFERROR(INDEX(الموظفات!$E$5:$E$304,MATCH($B1416,الموظفات!$B$5:$B$304,0))&amp;"",""))</f>
        <v/>
      </c>
      <c r="O1416" s="21">
        <f>IF(C1416="","",IFERROR(INDEX(الإعدادات!$D$7:$D$35,MATCH(C1416,الإعدادات!$A$7:$A$35,0))&amp;"",""))</f>
        <v/>
      </c>
      <c r="P1416" s="20">
        <f>IF(A1416="","",INDEX(الإعدادات!$H$7:$H$18,MONTH(A1416)))</f>
        <v/>
      </c>
      <c r="Q1416" s="20">
        <f>IF(A1416="","",INDEX(الإعدادات!$I$7:$I$18,MONTH(A1416)))</f>
        <v/>
      </c>
      <c r="R1416" s="20">
        <f>IF(A1416="","",IF(MONTH(A1416)&gt;=8,YEAR(A1416)&amp;"-"&amp;(YEAR(A1416)+1),(YEAR(A1416)-1)&amp;"-"&amp;YEAR(A1416)))</f>
        <v/>
      </c>
      <c r="S1416" s="20">
        <f>IF(OR(A1416="",B1416=""),0,IF(AND(R1416=التقارير!$C$4,OR(التقارير!$C$5="سنوي",AND(التقارير!$C$5="شهري",P1416=التقارير!$C$6),AND(التقارير!$C$5="فصلي",Q1416=التقارير!$C$7))),1,0))</f>
        <v/>
      </c>
      <c r="T1416" s="20">
        <f>IF(S1416=1,COUNTIF($S$5:S1416,1),"")</f>
        <v/>
      </c>
      <c r="U1416">
        <f>IF(AND($A1416&lt;&gt;"",$B1416&lt;&gt;"",$R1416='تقرير الفصل الأول'!$C$4,$Q1416='تقرير الفصل الأول'!$C$7),COUNT(U$4:U1415)+1,"")</f>
        <v/>
      </c>
      <c r="V1416">
        <f>IF(AND($A1416&lt;&gt;"",$B1416&lt;&gt;"",$R1416='تقرير الفصل الثاني'!$C$4,$Q1416='تقرير الفصل الثاني'!$C$7),COUNT(V$4:V1415)+1,"")</f>
        <v/>
      </c>
      <c r="W1416">
        <f>IF(AND($A1416&lt;&gt;"",$B1416&lt;&gt;"",$R1416='تقرير سبتمبر'!$C$4,$P1416='تقرير سبتمبر'!$C$6),COUNT(W$4:W1415)+1,"")</f>
        <v/>
      </c>
      <c r="X1416">
        <f>IF(AND($A1416&lt;&gt;"",$B1416&lt;&gt;"",$R1416='تقرير أكتوبر'!$C$4,$P1416='تقرير أكتوبر'!$C$6),COUNT(X$4:X1415)+1,"")</f>
        <v/>
      </c>
      <c r="Y1416">
        <f>IF(AND($A1416&lt;&gt;"",$B1416&lt;&gt;"",$R1416='تقرير نوفمبر'!$C$4,$P1416='تقرير نوفمبر'!$C$6),COUNT(Y$4:Y1415)+1,"")</f>
        <v/>
      </c>
      <c r="Z1416">
        <f>IF(AND($A1416&lt;&gt;"",$B1416&lt;&gt;"",$R1416='تقرير ديسمبر'!$C$4,$P1416='تقرير ديسمبر'!$C$6),COUNT(Z$4:Z1415)+1,"")</f>
        <v/>
      </c>
      <c r="AA1416">
        <f>IF(AND($A1416&lt;&gt;"",$B1416&lt;&gt;"",$R1416='تقرير يناير'!$C$4,$P1416='تقرير يناير'!$C$6),COUNT(AA$4:AA1415)+1,"")</f>
        <v/>
      </c>
      <c r="AB1416">
        <f>IF(AND($A1416&lt;&gt;"",$B1416&lt;&gt;"",$R1416='تقرير فبراير'!$C$4,$P1416='تقرير فبراير'!$C$6),COUNT(AB$4:AB1415)+1,"")</f>
        <v/>
      </c>
      <c r="AC1416">
        <f>IF(AND($A1416&lt;&gt;"",$B1416&lt;&gt;"",$R1416='تقرير مارس'!$C$4,$P1416='تقرير مارس'!$C$6),COUNT(AC$4:AC1415)+1,"")</f>
        <v/>
      </c>
      <c r="AD1416">
        <f>IF(AND($A1416&lt;&gt;"",$B1416&lt;&gt;"",$R1416='تقرير أبريل'!$C$4,$P1416='تقرير أبريل'!$C$6),COUNT(AD$4:AD1415)+1,"")</f>
        <v/>
      </c>
      <c r="AE1416">
        <f>IF(AND($A1416&lt;&gt;"",$B1416&lt;&gt;"",$R1416='تقرير مايو'!$C$4,$P1416='تقرير مايو'!$C$6),COUNT(AE$4:AE1415)+1,"")</f>
        <v/>
      </c>
    </row>
    <row r="1417">
      <c r="A1417" s="16" t="n"/>
      <c r="B1417" s="17" t="n"/>
      <c r="C1417" s="17" t="n"/>
      <c r="D1417" s="18" t="n"/>
      <c r="E1417" s="17" t="n"/>
      <c r="F1417" s="17" t="n"/>
      <c r="G1417" s="19" t="n"/>
      <c r="H1417" s="17" t="n"/>
      <c r="I1417" s="17" t="n"/>
      <c r="J1417" s="17" t="n"/>
      <c r="K1417" s="20">
        <f>IF($B1417="","",IFERROR(INDEX(الموظفات!$A$5:$A$304,MATCH($B1417,الموظفات!$B$5:$B$304,0))&amp;"",""))</f>
        <v/>
      </c>
      <c r="L1417" s="21">
        <f>IF($B1417="","",IFERROR(INDEX(الموظفات!$C$5:$C$304,MATCH($B1417,الموظفات!$B$5:$B$304,0))&amp;"",""))</f>
        <v/>
      </c>
      <c r="M1417" s="20">
        <f>IF($B1417="","",IFERROR(INDEX(الموظفات!$D$5:$D$304,MATCH($B1417,الموظفات!$B$5:$B$304,0))&amp;"",""))</f>
        <v/>
      </c>
      <c r="N1417" s="20">
        <f>IF($B1417="","",IFERROR(INDEX(الموظفات!$E$5:$E$304,MATCH($B1417,الموظفات!$B$5:$B$304,0))&amp;"",""))</f>
        <v/>
      </c>
      <c r="O1417" s="21">
        <f>IF(C1417="","",IFERROR(INDEX(الإعدادات!$D$7:$D$35,MATCH(C1417,الإعدادات!$A$7:$A$35,0))&amp;"",""))</f>
        <v/>
      </c>
      <c r="P1417" s="20">
        <f>IF(A1417="","",INDEX(الإعدادات!$H$7:$H$18,MONTH(A1417)))</f>
        <v/>
      </c>
      <c r="Q1417" s="20">
        <f>IF(A1417="","",INDEX(الإعدادات!$I$7:$I$18,MONTH(A1417)))</f>
        <v/>
      </c>
      <c r="R1417" s="20">
        <f>IF(A1417="","",IF(MONTH(A1417)&gt;=8,YEAR(A1417)&amp;"-"&amp;(YEAR(A1417)+1),(YEAR(A1417)-1)&amp;"-"&amp;YEAR(A1417)))</f>
        <v/>
      </c>
      <c r="S1417" s="20">
        <f>IF(OR(A1417="",B1417=""),0,IF(AND(R1417=التقارير!$C$4,OR(التقارير!$C$5="سنوي",AND(التقارير!$C$5="شهري",P1417=التقارير!$C$6),AND(التقارير!$C$5="فصلي",Q1417=التقارير!$C$7))),1,0))</f>
        <v/>
      </c>
      <c r="T1417" s="20">
        <f>IF(S1417=1,COUNTIF($S$5:S1417,1),"")</f>
        <v/>
      </c>
      <c r="U1417">
        <f>IF(AND($A1417&lt;&gt;"",$B1417&lt;&gt;"",$R1417='تقرير الفصل الأول'!$C$4,$Q1417='تقرير الفصل الأول'!$C$7),COUNT(U$4:U1416)+1,"")</f>
        <v/>
      </c>
      <c r="V1417">
        <f>IF(AND($A1417&lt;&gt;"",$B1417&lt;&gt;"",$R1417='تقرير الفصل الثاني'!$C$4,$Q1417='تقرير الفصل الثاني'!$C$7),COUNT(V$4:V1416)+1,"")</f>
        <v/>
      </c>
      <c r="W1417">
        <f>IF(AND($A1417&lt;&gt;"",$B1417&lt;&gt;"",$R1417='تقرير سبتمبر'!$C$4,$P1417='تقرير سبتمبر'!$C$6),COUNT(W$4:W1416)+1,"")</f>
        <v/>
      </c>
      <c r="X1417">
        <f>IF(AND($A1417&lt;&gt;"",$B1417&lt;&gt;"",$R1417='تقرير أكتوبر'!$C$4,$P1417='تقرير أكتوبر'!$C$6),COUNT(X$4:X1416)+1,"")</f>
        <v/>
      </c>
      <c r="Y1417">
        <f>IF(AND($A1417&lt;&gt;"",$B1417&lt;&gt;"",$R1417='تقرير نوفمبر'!$C$4,$P1417='تقرير نوفمبر'!$C$6),COUNT(Y$4:Y1416)+1,"")</f>
        <v/>
      </c>
      <c r="Z1417">
        <f>IF(AND($A1417&lt;&gt;"",$B1417&lt;&gt;"",$R1417='تقرير ديسمبر'!$C$4,$P1417='تقرير ديسمبر'!$C$6),COUNT(Z$4:Z1416)+1,"")</f>
        <v/>
      </c>
      <c r="AA1417">
        <f>IF(AND($A1417&lt;&gt;"",$B1417&lt;&gt;"",$R1417='تقرير يناير'!$C$4,$P1417='تقرير يناير'!$C$6),COUNT(AA$4:AA1416)+1,"")</f>
        <v/>
      </c>
      <c r="AB1417">
        <f>IF(AND($A1417&lt;&gt;"",$B1417&lt;&gt;"",$R1417='تقرير فبراير'!$C$4,$P1417='تقرير فبراير'!$C$6),COUNT(AB$4:AB1416)+1,"")</f>
        <v/>
      </c>
      <c r="AC1417">
        <f>IF(AND($A1417&lt;&gt;"",$B1417&lt;&gt;"",$R1417='تقرير مارس'!$C$4,$P1417='تقرير مارس'!$C$6),COUNT(AC$4:AC1416)+1,"")</f>
        <v/>
      </c>
      <c r="AD1417">
        <f>IF(AND($A1417&lt;&gt;"",$B1417&lt;&gt;"",$R1417='تقرير أبريل'!$C$4,$P1417='تقرير أبريل'!$C$6),COUNT(AD$4:AD1416)+1,"")</f>
        <v/>
      </c>
      <c r="AE1417">
        <f>IF(AND($A1417&lt;&gt;"",$B1417&lt;&gt;"",$R1417='تقرير مايو'!$C$4,$P1417='تقرير مايو'!$C$6),COUNT(AE$4:AE1416)+1,"")</f>
        <v/>
      </c>
    </row>
    <row r="1418">
      <c r="A1418" s="16" t="n"/>
      <c r="B1418" s="17" t="n"/>
      <c r="C1418" s="17" t="n"/>
      <c r="D1418" s="18" t="n"/>
      <c r="E1418" s="17" t="n"/>
      <c r="F1418" s="17" t="n"/>
      <c r="G1418" s="19" t="n"/>
      <c r="H1418" s="17" t="n"/>
      <c r="I1418" s="17" t="n"/>
      <c r="J1418" s="17" t="n"/>
      <c r="K1418" s="20">
        <f>IF($B1418="","",IFERROR(INDEX(الموظفات!$A$5:$A$304,MATCH($B1418,الموظفات!$B$5:$B$304,0))&amp;"",""))</f>
        <v/>
      </c>
      <c r="L1418" s="21">
        <f>IF($B1418="","",IFERROR(INDEX(الموظفات!$C$5:$C$304,MATCH($B1418,الموظفات!$B$5:$B$304,0))&amp;"",""))</f>
        <v/>
      </c>
      <c r="M1418" s="20">
        <f>IF($B1418="","",IFERROR(INDEX(الموظفات!$D$5:$D$304,MATCH($B1418,الموظفات!$B$5:$B$304,0))&amp;"",""))</f>
        <v/>
      </c>
      <c r="N1418" s="20">
        <f>IF($B1418="","",IFERROR(INDEX(الموظفات!$E$5:$E$304,MATCH($B1418,الموظفات!$B$5:$B$304,0))&amp;"",""))</f>
        <v/>
      </c>
      <c r="O1418" s="21">
        <f>IF(C1418="","",IFERROR(INDEX(الإعدادات!$D$7:$D$35,MATCH(C1418,الإعدادات!$A$7:$A$35,0))&amp;"",""))</f>
        <v/>
      </c>
      <c r="P1418" s="20">
        <f>IF(A1418="","",INDEX(الإعدادات!$H$7:$H$18,MONTH(A1418)))</f>
        <v/>
      </c>
      <c r="Q1418" s="20">
        <f>IF(A1418="","",INDEX(الإعدادات!$I$7:$I$18,MONTH(A1418)))</f>
        <v/>
      </c>
      <c r="R1418" s="20">
        <f>IF(A1418="","",IF(MONTH(A1418)&gt;=8,YEAR(A1418)&amp;"-"&amp;(YEAR(A1418)+1),(YEAR(A1418)-1)&amp;"-"&amp;YEAR(A1418)))</f>
        <v/>
      </c>
      <c r="S1418" s="20">
        <f>IF(OR(A1418="",B1418=""),0,IF(AND(R1418=التقارير!$C$4,OR(التقارير!$C$5="سنوي",AND(التقارير!$C$5="شهري",P1418=التقارير!$C$6),AND(التقارير!$C$5="فصلي",Q1418=التقارير!$C$7))),1,0))</f>
        <v/>
      </c>
      <c r="T1418" s="20">
        <f>IF(S1418=1,COUNTIF($S$5:S1418,1),"")</f>
        <v/>
      </c>
      <c r="U1418">
        <f>IF(AND($A1418&lt;&gt;"",$B1418&lt;&gt;"",$R1418='تقرير الفصل الأول'!$C$4,$Q1418='تقرير الفصل الأول'!$C$7),COUNT(U$4:U1417)+1,"")</f>
        <v/>
      </c>
      <c r="V1418">
        <f>IF(AND($A1418&lt;&gt;"",$B1418&lt;&gt;"",$R1418='تقرير الفصل الثاني'!$C$4,$Q1418='تقرير الفصل الثاني'!$C$7),COUNT(V$4:V1417)+1,"")</f>
        <v/>
      </c>
      <c r="W1418">
        <f>IF(AND($A1418&lt;&gt;"",$B1418&lt;&gt;"",$R1418='تقرير سبتمبر'!$C$4,$P1418='تقرير سبتمبر'!$C$6),COUNT(W$4:W1417)+1,"")</f>
        <v/>
      </c>
      <c r="X1418">
        <f>IF(AND($A1418&lt;&gt;"",$B1418&lt;&gt;"",$R1418='تقرير أكتوبر'!$C$4,$P1418='تقرير أكتوبر'!$C$6),COUNT(X$4:X1417)+1,"")</f>
        <v/>
      </c>
      <c r="Y1418">
        <f>IF(AND($A1418&lt;&gt;"",$B1418&lt;&gt;"",$R1418='تقرير نوفمبر'!$C$4,$P1418='تقرير نوفمبر'!$C$6),COUNT(Y$4:Y1417)+1,"")</f>
        <v/>
      </c>
      <c r="Z1418">
        <f>IF(AND($A1418&lt;&gt;"",$B1418&lt;&gt;"",$R1418='تقرير ديسمبر'!$C$4,$P1418='تقرير ديسمبر'!$C$6),COUNT(Z$4:Z1417)+1,"")</f>
        <v/>
      </c>
      <c r="AA1418">
        <f>IF(AND($A1418&lt;&gt;"",$B1418&lt;&gt;"",$R1418='تقرير يناير'!$C$4,$P1418='تقرير يناير'!$C$6),COUNT(AA$4:AA1417)+1,"")</f>
        <v/>
      </c>
      <c r="AB1418">
        <f>IF(AND($A1418&lt;&gt;"",$B1418&lt;&gt;"",$R1418='تقرير فبراير'!$C$4,$P1418='تقرير فبراير'!$C$6),COUNT(AB$4:AB1417)+1,"")</f>
        <v/>
      </c>
      <c r="AC1418">
        <f>IF(AND($A1418&lt;&gt;"",$B1418&lt;&gt;"",$R1418='تقرير مارس'!$C$4,$P1418='تقرير مارس'!$C$6),COUNT(AC$4:AC1417)+1,"")</f>
        <v/>
      </c>
      <c r="AD1418">
        <f>IF(AND($A1418&lt;&gt;"",$B1418&lt;&gt;"",$R1418='تقرير أبريل'!$C$4,$P1418='تقرير أبريل'!$C$6),COUNT(AD$4:AD1417)+1,"")</f>
        <v/>
      </c>
      <c r="AE1418">
        <f>IF(AND($A1418&lt;&gt;"",$B1418&lt;&gt;"",$R1418='تقرير مايو'!$C$4,$P1418='تقرير مايو'!$C$6),COUNT(AE$4:AE1417)+1,"")</f>
        <v/>
      </c>
    </row>
    <row r="1419">
      <c r="A1419" s="16" t="n"/>
      <c r="B1419" s="17" t="n"/>
      <c r="C1419" s="17" t="n"/>
      <c r="D1419" s="18" t="n"/>
      <c r="E1419" s="17" t="n"/>
      <c r="F1419" s="17" t="n"/>
      <c r="G1419" s="19" t="n"/>
      <c r="H1419" s="17" t="n"/>
      <c r="I1419" s="17" t="n"/>
      <c r="J1419" s="17" t="n"/>
      <c r="K1419" s="20">
        <f>IF($B1419="","",IFERROR(INDEX(الموظفات!$A$5:$A$304,MATCH($B1419,الموظفات!$B$5:$B$304,0))&amp;"",""))</f>
        <v/>
      </c>
      <c r="L1419" s="21">
        <f>IF($B1419="","",IFERROR(INDEX(الموظفات!$C$5:$C$304,MATCH($B1419,الموظفات!$B$5:$B$304,0))&amp;"",""))</f>
        <v/>
      </c>
      <c r="M1419" s="20">
        <f>IF($B1419="","",IFERROR(INDEX(الموظفات!$D$5:$D$304,MATCH($B1419,الموظفات!$B$5:$B$304,0))&amp;"",""))</f>
        <v/>
      </c>
      <c r="N1419" s="20">
        <f>IF($B1419="","",IFERROR(INDEX(الموظفات!$E$5:$E$304,MATCH($B1419,الموظفات!$B$5:$B$304,0))&amp;"",""))</f>
        <v/>
      </c>
      <c r="O1419" s="21">
        <f>IF(C1419="","",IFERROR(INDEX(الإعدادات!$D$7:$D$35,MATCH(C1419,الإعدادات!$A$7:$A$35,0))&amp;"",""))</f>
        <v/>
      </c>
      <c r="P1419" s="20">
        <f>IF(A1419="","",INDEX(الإعدادات!$H$7:$H$18,MONTH(A1419)))</f>
        <v/>
      </c>
      <c r="Q1419" s="20">
        <f>IF(A1419="","",INDEX(الإعدادات!$I$7:$I$18,MONTH(A1419)))</f>
        <v/>
      </c>
      <c r="R1419" s="20">
        <f>IF(A1419="","",IF(MONTH(A1419)&gt;=8,YEAR(A1419)&amp;"-"&amp;(YEAR(A1419)+1),(YEAR(A1419)-1)&amp;"-"&amp;YEAR(A1419)))</f>
        <v/>
      </c>
      <c r="S1419" s="20">
        <f>IF(OR(A1419="",B1419=""),0,IF(AND(R1419=التقارير!$C$4,OR(التقارير!$C$5="سنوي",AND(التقارير!$C$5="شهري",P1419=التقارير!$C$6),AND(التقارير!$C$5="فصلي",Q1419=التقارير!$C$7))),1,0))</f>
        <v/>
      </c>
      <c r="T1419" s="20">
        <f>IF(S1419=1,COUNTIF($S$5:S1419,1),"")</f>
        <v/>
      </c>
      <c r="U1419">
        <f>IF(AND($A1419&lt;&gt;"",$B1419&lt;&gt;"",$R1419='تقرير الفصل الأول'!$C$4,$Q1419='تقرير الفصل الأول'!$C$7),COUNT(U$4:U1418)+1,"")</f>
        <v/>
      </c>
      <c r="V1419">
        <f>IF(AND($A1419&lt;&gt;"",$B1419&lt;&gt;"",$R1419='تقرير الفصل الثاني'!$C$4,$Q1419='تقرير الفصل الثاني'!$C$7),COUNT(V$4:V1418)+1,"")</f>
        <v/>
      </c>
      <c r="W1419">
        <f>IF(AND($A1419&lt;&gt;"",$B1419&lt;&gt;"",$R1419='تقرير سبتمبر'!$C$4,$P1419='تقرير سبتمبر'!$C$6),COUNT(W$4:W1418)+1,"")</f>
        <v/>
      </c>
      <c r="X1419">
        <f>IF(AND($A1419&lt;&gt;"",$B1419&lt;&gt;"",$R1419='تقرير أكتوبر'!$C$4,$P1419='تقرير أكتوبر'!$C$6),COUNT(X$4:X1418)+1,"")</f>
        <v/>
      </c>
      <c r="Y1419">
        <f>IF(AND($A1419&lt;&gt;"",$B1419&lt;&gt;"",$R1419='تقرير نوفمبر'!$C$4,$P1419='تقرير نوفمبر'!$C$6),COUNT(Y$4:Y1418)+1,"")</f>
        <v/>
      </c>
      <c r="Z1419">
        <f>IF(AND($A1419&lt;&gt;"",$B1419&lt;&gt;"",$R1419='تقرير ديسمبر'!$C$4,$P1419='تقرير ديسمبر'!$C$6),COUNT(Z$4:Z1418)+1,"")</f>
        <v/>
      </c>
      <c r="AA1419">
        <f>IF(AND($A1419&lt;&gt;"",$B1419&lt;&gt;"",$R1419='تقرير يناير'!$C$4,$P1419='تقرير يناير'!$C$6),COUNT(AA$4:AA1418)+1,"")</f>
        <v/>
      </c>
      <c r="AB1419">
        <f>IF(AND($A1419&lt;&gt;"",$B1419&lt;&gt;"",$R1419='تقرير فبراير'!$C$4,$P1419='تقرير فبراير'!$C$6),COUNT(AB$4:AB1418)+1,"")</f>
        <v/>
      </c>
      <c r="AC1419">
        <f>IF(AND($A1419&lt;&gt;"",$B1419&lt;&gt;"",$R1419='تقرير مارس'!$C$4,$P1419='تقرير مارس'!$C$6),COUNT(AC$4:AC1418)+1,"")</f>
        <v/>
      </c>
      <c r="AD1419">
        <f>IF(AND($A1419&lt;&gt;"",$B1419&lt;&gt;"",$R1419='تقرير أبريل'!$C$4,$P1419='تقرير أبريل'!$C$6),COUNT(AD$4:AD1418)+1,"")</f>
        <v/>
      </c>
      <c r="AE1419">
        <f>IF(AND($A1419&lt;&gt;"",$B1419&lt;&gt;"",$R1419='تقرير مايو'!$C$4,$P1419='تقرير مايو'!$C$6),COUNT(AE$4:AE1418)+1,"")</f>
        <v/>
      </c>
    </row>
    <row r="1420">
      <c r="A1420" s="16" t="n"/>
      <c r="B1420" s="17" t="n"/>
      <c r="C1420" s="17" t="n"/>
      <c r="D1420" s="18" t="n"/>
      <c r="E1420" s="17" t="n"/>
      <c r="F1420" s="17" t="n"/>
      <c r="G1420" s="19" t="n"/>
      <c r="H1420" s="17" t="n"/>
      <c r="I1420" s="17" t="n"/>
      <c r="J1420" s="17" t="n"/>
      <c r="K1420" s="20">
        <f>IF($B1420="","",IFERROR(INDEX(الموظفات!$A$5:$A$304,MATCH($B1420,الموظفات!$B$5:$B$304,0))&amp;"",""))</f>
        <v/>
      </c>
      <c r="L1420" s="21">
        <f>IF($B1420="","",IFERROR(INDEX(الموظفات!$C$5:$C$304,MATCH($B1420,الموظفات!$B$5:$B$304,0))&amp;"",""))</f>
        <v/>
      </c>
      <c r="M1420" s="20">
        <f>IF($B1420="","",IFERROR(INDEX(الموظفات!$D$5:$D$304,MATCH($B1420,الموظفات!$B$5:$B$304,0))&amp;"",""))</f>
        <v/>
      </c>
      <c r="N1420" s="20">
        <f>IF($B1420="","",IFERROR(INDEX(الموظفات!$E$5:$E$304,MATCH($B1420,الموظفات!$B$5:$B$304,0))&amp;"",""))</f>
        <v/>
      </c>
      <c r="O1420" s="21">
        <f>IF(C1420="","",IFERROR(INDEX(الإعدادات!$D$7:$D$35,MATCH(C1420,الإعدادات!$A$7:$A$35,0))&amp;"",""))</f>
        <v/>
      </c>
      <c r="P1420" s="20">
        <f>IF(A1420="","",INDEX(الإعدادات!$H$7:$H$18,MONTH(A1420)))</f>
        <v/>
      </c>
      <c r="Q1420" s="20">
        <f>IF(A1420="","",INDEX(الإعدادات!$I$7:$I$18,MONTH(A1420)))</f>
        <v/>
      </c>
      <c r="R1420" s="20">
        <f>IF(A1420="","",IF(MONTH(A1420)&gt;=8,YEAR(A1420)&amp;"-"&amp;(YEAR(A1420)+1),(YEAR(A1420)-1)&amp;"-"&amp;YEAR(A1420)))</f>
        <v/>
      </c>
      <c r="S1420" s="20">
        <f>IF(OR(A1420="",B1420=""),0,IF(AND(R1420=التقارير!$C$4,OR(التقارير!$C$5="سنوي",AND(التقارير!$C$5="شهري",P1420=التقارير!$C$6),AND(التقارير!$C$5="فصلي",Q1420=التقارير!$C$7))),1,0))</f>
        <v/>
      </c>
      <c r="T1420" s="20">
        <f>IF(S1420=1,COUNTIF($S$5:S1420,1),"")</f>
        <v/>
      </c>
      <c r="U1420">
        <f>IF(AND($A1420&lt;&gt;"",$B1420&lt;&gt;"",$R1420='تقرير الفصل الأول'!$C$4,$Q1420='تقرير الفصل الأول'!$C$7),COUNT(U$4:U1419)+1,"")</f>
        <v/>
      </c>
      <c r="V1420">
        <f>IF(AND($A1420&lt;&gt;"",$B1420&lt;&gt;"",$R1420='تقرير الفصل الثاني'!$C$4,$Q1420='تقرير الفصل الثاني'!$C$7),COUNT(V$4:V1419)+1,"")</f>
        <v/>
      </c>
      <c r="W1420">
        <f>IF(AND($A1420&lt;&gt;"",$B1420&lt;&gt;"",$R1420='تقرير سبتمبر'!$C$4,$P1420='تقرير سبتمبر'!$C$6),COUNT(W$4:W1419)+1,"")</f>
        <v/>
      </c>
      <c r="X1420">
        <f>IF(AND($A1420&lt;&gt;"",$B1420&lt;&gt;"",$R1420='تقرير أكتوبر'!$C$4,$P1420='تقرير أكتوبر'!$C$6),COUNT(X$4:X1419)+1,"")</f>
        <v/>
      </c>
      <c r="Y1420">
        <f>IF(AND($A1420&lt;&gt;"",$B1420&lt;&gt;"",$R1420='تقرير نوفمبر'!$C$4,$P1420='تقرير نوفمبر'!$C$6),COUNT(Y$4:Y1419)+1,"")</f>
        <v/>
      </c>
      <c r="Z1420">
        <f>IF(AND($A1420&lt;&gt;"",$B1420&lt;&gt;"",$R1420='تقرير ديسمبر'!$C$4,$P1420='تقرير ديسمبر'!$C$6),COUNT(Z$4:Z1419)+1,"")</f>
        <v/>
      </c>
      <c r="AA1420">
        <f>IF(AND($A1420&lt;&gt;"",$B1420&lt;&gt;"",$R1420='تقرير يناير'!$C$4,$P1420='تقرير يناير'!$C$6),COUNT(AA$4:AA1419)+1,"")</f>
        <v/>
      </c>
      <c r="AB1420">
        <f>IF(AND($A1420&lt;&gt;"",$B1420&lt;&gt;"",$R1420='تقرير فبراير'!$C$4,$P1420='تقرير فبراير'!$C$6),COUNT(AB$4:AB1419)+1,"")</f>
        <v/>
      </c>
      <c r="AC1420">
        <f>IF(AND($A1420&lt;&gt;"",$B1420&lt;&gt;"",$R1420='تقرير مارس'!$C$4,$P1420='تقرير مارس'!$C$6),COUNT(AC$4:AC1419)+1,"")</f>
        <v/>
      </c>
      <c r="AD1420">
        <f>IF(AND($A1420&lt;&gt;"",$B1420&lt;&gt;"",$R1420='تقرير أبريل'!$C$4,$P1420='تقرير أبريل'!$C$6),COUNT(AD$4:AD1419)+1,"")</f>
        <v/>
      </c>
      <c r="AE1420">
        <f>IF(AND($A1420&lt;&gt;"",$B1420&lt;&gt;"",$R1420='تقرير مايو'!$C$4,$P1420='تقرير مايو'!$C$6),COUNT(AE$4:AE1419)+1,"")</f>
        <v/>
      </c>
    </row>
    <row r="1421">
      <c r="A1421" s="16" t="n"/>
      <c r="B1421" s="17" t="n"/>
      <c r="C1421" s="17" t="n"/>
      <c r="D1421" s="18" t="n"/>
      <c r="E1421" s="17" t="n"/>
      <c r="F1421" s="17" t="n"/>
      <c r="G1421" s="19" t="n"/>
      <c r="H1421" s="17" t="n"/>
      <c r="I1421" s="17" t="n"/>
      <c r="J1421" s="17" t="n"/>
      <c r="K1421" s="20">
        <f>IF($B1421="","",IFERROR(INDEX(الموظفات!$A$5:$A$304,MATCH($B1421,الموظفات!$B$5:$B$304,0))&amp;"",""))</f>
        <v/>
      </c>
      <c r="L1421" s="21">
        <f>IF($B1421="","",IFERROR(INDEX(الموظفات!$C$5:$C$304,MATCH($B1421,الموظفات!$B$5:$B$304,0))&amp;"",""))</f>
        <v/>
      </c>
      <c r="M1421" s="20">
        <f>IF($B1421="","",IFERROR(INDEX(الموظفات!$D$5:$D$304,MATCH($B1421,الموظفات!$B$5:$B$304,0))&amp;"",""))</f>
        <v/>
      </c>
      <c r="N1421" s="20">
        <f>IF($B1421="","",IFERROR(INDEX(الموظفات!$E$5:$E$304,MATCH($B1421,الموظفات!$B$5:$B$304,0))&amp;"",""))</f>
        <v/>
      </c>
      <c r="O1421" s="21">
        <f>IF(C1421="","",IFERROR(INDEX(الإعدادات!$D$7:$D$35,MATCH(C1421,الإعدادات!$A$7:$A$35,0))&amp;"",""))</f>
        <v/>
      </c>
      <c r="P1421" s="20">
        <f>IF(A1421="","",INDEX(الإعدادات!$H$7:$H$18,MONTH(A1421)))</f>
        <v/>
      </c>
      <c r="Q1421" s="20">
        <f>IF(A1421="","",INDEX(الإعدادات!$I$7:$I$18,MONTH(A1421)))</f>
        <v/>
      </c>
      <c r="R1421" s="20">
        <f>IF(A1421="","",IF(MONTH(A1421)&gt;=8,YEAR(A1421)&amp;"-"&amp;(YEAR(A1421)+1),(YEAR(A1421)-1)&amp;"-"&amp;YEAR(A1421)))</f>
        <v/>
      </c>
      <c r="S1421" s="20">
        <f>IF(OR(A1421="",B1421=""),0,IF(AND(R1421=التقارير!$C$4,OR(التقارير!$C$5="سنوي",AND(التقارير!$C$5="شهري",P1421=التقارير!$C$6),AND(التقارير!$C$5="فصلي",Q1421=التقارير!$C$7))),1,0))</f>
        <v/>
      </c>
      <c r="T1421" s="20">
        <f>IF(S1421=1,COUNTIF($S$5:S1421,1),"")</f>
        <v/>
      </c>
      <c r="U1421">
        <f>IF(AND($A1421&lt;&gt;"",$B1421&lt;&gt;"",$R1421='تقرير الفصل الأول'!$C$4,$Q1421='تقرير الفصل الأول'!$C$7),COUNT(U$4:U1420)+1,"")</f>
        <v/>
      </c>
      <c r="V1421">
        <f>IF(AND($A1421&lt;&gt;"",$B1421&lt;&gt;"",$R1421='تقرير الفصل الثاني'!$C$4,$Q1421='تقرير الفصل الثاني'!$C$7),COUNT(V$4:V1420)+1,"")</f>
        <v/>
      </c>
      <c r="W1421">
        <f>IF(AND($A1421&lt;&gt;"",$B1421&lt;&gt;"",$R1421='تقرير سبتمبر'!$C$4,$P1421='تقرير سبتمبر'!$C$6),COUNT(W$4:W1420)+1,"")</f>
        <v/>
      </c>
      <c r="X1421">
        <f>IF(AND($A1421&lt;&gt;"",$B1421&lt;&gt;"",$R1421='تقرير أكتوبر'!$C$4,$P1421='تقرير أكتوبر'!$C$6),COUNT(X$4:X1420)+1,"")</f>
        <v/>
      </c>
      <c r="Y1421">
        <f>IF(AND($A1421&lt;&gt;"",$B1421&lt;&gt;"",$R1421='تقرير نوفمبر'!$C$4,$P1421='تقرير نوفمبر'!$C$6),COUNT(Y$4:Y1420)+1,"")</f>
        <v/>
      </c>
      <c r="Z1421">
        <f>IF(AND($A1421&lt;&gt;"",$B1421&lt;&gt;"",$R1421='تقرير ديسمبر'!$C$4,$P1421='تقرير ديسمبر'!$C$6),COUNT(Z$4:Z1420)+1,"")</f>
        <v/>
      </c>
      <c r="AA1421">
        <f>IF(AND($A1421&lt;&gt;"",$B1421&lt;&gt;"",$R1421='تقرير يناير'!$C$4,$P1421='تقرير يناير'!$C$6),COUNT(AA$4:AA1420)+1,"")</f>
        <v/>
      </c>
      <c r="AB1421">
        <f>IF(AND($A1421&lt;&gt;"",$B1421&lt;&gt;"",$R1421='تقرير فبراير'!$C$4,$P1421='تقرير فبراير'!$C$6),COUNT(AB$4:AB1420)+1,"")</f>
        <v/>
      </c>
      <c r="AC1421">
        <f>IF(AND($A1421&lt;&gt;"",$B1421&lt;&gt;"",$R1421='تقرير مارس'!$C$4,$P1421='تقرير مارس'!$C$6),COUNT(AC$4:AC1420)+1,"")</f>
        <v/>
      </c>
      <c r="AD1421">
        <f>IF(AND($A1421&lt;&gt;"",$B1421&lt;&gt;"",$R1421='تقرير أبريل'!$C$4,$P1421='تقرير أبريل'!$C$6),COUNT(AD$4:AD1420)+1,"")</f>
        <v/>
      </c>
      <c r="AE1421">
        <f>IF(AND($A1421&lt;&gt;"",$B1421&lt;&gt;"",$R1421='تقرير مايو'!$C$4,$P1421='تقرير مايو'!$C$6),COUNT(AE$4:AE1420)+1,"")</f>
        <v/>
      </c>
    </row>
    <row r="1422">
      <c r="A1422" s="16" t="n"/>
      <c r="B1422" s="17" t="n"/>
      <c r="C1422" s="17" t="n"/>
      <c r="D1422" s="18" t="n"/>
      <c r="E1422" s="17" t="n"/>
      <c r="F1422" s="17" t="n"/>
      <c r="G1422" s="19" t="n"/>
      <c r="H1422" s="17" t="n"/>
      <c r="I1422" s="17" t="n"/>
      <c r="J1422" s="17" t="n"/>
      <c r="K1422" s="20">
        <f>IF($B1422="","",IFERROR(INDEX(الموظفات!$A$5:$A$304,MATCH($B1422,الموظفات!$B$5:$B$304,0))&amp;"",""))</f>
        <v/>
      </c>
      <c r="L1422" s="21">
        <f>IF($B1422="","",IFERROR(INDEX(الموظفات!$C$5:$C$304,MATCH($B1422,الموظفات!$B$5:$B$304,0))&amp;"",""))</f>
        <v/>
      </c>
      <c r="M1422" s="20">
        <f>IF($B1422="","",IFERROR(INDEX(الموظفات!$D$5:$D$304,MATCH($B1422,الموظفات!$B$5:$B$304,0))&amp;"",""))</f>
        <v/>
      </c>
      <c r="N1422" s="20">
        <f>IF($B1422="","",IFERROR(INDEX(الموظفات!$E$5:$E$304,MATCH($B1422,الموظفات!$B$5:$B$304,0))&amp;"",""))</f>
        <v/>
      </c>
      <c r="O1422" s="21">
        <f>IF(C1422="","",IFERROR(INDEX(الإعدادات!$D$7:$D$35,MATCH(C1422,الإعدادات!$A$7:$A$35,0))&amp;"",""))</f>
        <v/>
      </c>
      <c r="P1422" s="20">
        <f>IF(A1422="","",INDEX(الإعدادات!$H$7:$H$18,MONTH(A1422)))</f>
        <v/>
      </c>
      <c r="Q1422" s="20">
        <f>IF(A1422="","",INDEX(الإعدادات!$I$7:$I$18,MONTH(A1422)))</f>
        <v/>
      </c>
      <c r="R1422" s="20">
        <f>IF(A1422="","",IF(MONTH(A1422)&gt;=8,YEAR(A1422)&amp;"-"&amp;(YEAR(A1422)+1),(YEAR(A1422)-1)&amp;"-"&amp;YEAR(A1422)))</f>
        <v/>
      </c>
      <c r="S1422" s="20">
        <f>IF(OR(A1422="",B1422=""),0,IF(AND(R1422=التقارير!$C$4,OR(التقارير!$C$5="سنوي",AND(التقارير!$C$5="شهري",P1422=التقارير!$C$6),AND(التقارير!$C$5="فصلي",Q1422=التقارير!$C$7))),1,0))</f>
        <v/>
      </c>
      <c r="T1422" s="20">
        <f>IF(S1422=1,COUNTIF($S$5:S1422,1),"")</f>
        <v/>
      </c>
      <c r="U1422">
        <f>IF(AND($A1422&lt;&gt;"",$B1422&lt;&gt;"",$R1422='تقرير الفصل الأول'!$C$4,$Q1422='تقرير الفصل الأول'!$C$7),COUNT(U$4:U1421)+1,"")</f>
        <v/>
      </c>
      <c r="V1422">
        <f>IF(AND($A1422&lt;&gt;"",$B1422&lt;&gt;"",$R1422='تقرير الفصل الثاني'!$C$4,$Q1422='تقرير الفصل الثاني'!$C$7),COUNT(V$4:V1421)+1,"")</f>
        <v/>
      </c>
      <c r="W1422">
        <f>IF(AND($A1422&lt;&gt;"",$B1422&lt;&gt;"",$R1422='تقرير سبتمبر'!$C$4,$P1422='تقرير سبتمبر'!$C$6),COUNT(W$4:W1421)+1,"")</f>
        <v/>
      </c>
      <c r="X1422">
        <f>IF(AND($A1422&lt;&gt;"",$B1422&lt;&gt;"",$R1422='تقرير أكتوبر'!$C$4,$P1422='تقرير أكتوبر'!$C$6),COUNT(X$4:X1421)+1,"")</f>
        <v/>
      </c>
      <c r="Y1422">
        <f>IF(AND($A1422&lt;&gt;"",$B1422&lt;&gt;"",$R1422='تقرير نوفمبر'!$C$4,$P1422='تقرير نوفمبر'!$C$6),COUNT(Y$4:Y1421)+1,"")</f>
        <v/>
      </c>
      <c r="Z1422">
        <f>IF(AND($A1422&lt;&gt;"",$B1422&lt;&gt;"",$R1422='تقرير ديسمبر'!$C$4,$P1422='تقرير ديسمبر'!$C$6),COUNT(Z$4:Z1421)+1,"")</f>
        <v/>
      </c>
      <c r="AA1422">
        <f>IF(AND($A1422&lt;&gt;"",$B1422&lt;&gt;"",$R1422='تقرير يناير'!$C$4,$P1422='تقرير يناير'!$C$6),COUNT(AA$4:AA1421)+1,"")</f>
        <v/>
      </c>
      <c r="AB1422">
        <f>IF(AND($A1422&lt;&gt;"",$B1422&lt;&gt;"",$R1422='تقرير فبراير'!$C$4,$P1422='تقرير فبراير'!$C$6),COUNT(AB$4:AB1421)+1,"")</f>
        <v/>
      </c>
      <c r="AC1422">
        <f>IF(AND($A1422&lt;&gt;"",$B1422&lt;&gt;"",$R1422='تقرير مارس'!$C$4,$P1422='تقرير مارس'!$C$6),COUNT(AC$4:AC1421)+1,"")</f>
        <v/>
      </c>
      <c r="AD1422">
        <f>IF(AND($A1422&lt;&gt;"",$B1422&lt;&gt;"",$R1422='تقرير أبريل'!$C$4,$P1422='تقرير أبريل'!$C$6),COUNT(AD$4:AD1421)+1,"")</f>
        <v/>
      </c>
      <c r="AE1422">
        <f>IF(AND($A1422&lt;&gt;"",$B1422&lt;&gt;"",$R1422='تقرير مايو'!$C$4,$P1422='تقرير مايو'!$C$6),COUNT(AE$4:AE1421)+1,"")</f>
        <v/>
      </c>
    </row>
    <row r="1423">
      <c r="A1423" s="16" t="n"/>
      <c r="B1423" s="17" t="n"/>
      <c r="C1423" s="17" t="n"/>
      <c r="D1423" s="18" t="n"/>
      <c r="E1423" s="17" t="n"/>
      <c r="F1423" s="17" t="n"/>
      <c r="G1423" s="19" t="n"/>
      <c r="H1423" s="17" t="n"/>
      <c r="I1423" s="17" t="n"/>
      <c r="J1423" s="17" t="n"/>
      <c r="K1423" s="20">
        <f>IF($B1423="","",IFERROR(INDEX(الموظفات!$A$5:$A$304,MATCH($B1423,الموظفات!$B$5:$B$304,0))&amp;"",""))</f>
        <v/>
      </c>
      <c r="L1423" s="21">
        <f>IF($B1423="","",IFERROR(INDEX(الموظفات!$C$5:$C$304,MATCH($B1423,الموظفات!$B$5:$B$304,0))&amp;"",""))</f>
        <v/>
      </c>
      <c r="M1423" s="20">
        <f>IF($B1423="","",IFERROR(INDEX(الموظفات!$D$5:$D$304,MATCH($B1423,الموظفات!$B$5:$B$304,0))&amp;"",""))</f>
        <v/>
      </c>
      <c r="N1423" s="20">
        <f>IF($B1423="","",IFERROR(INDEX(الموظفات!$E$5:$E$304,MATCH($B1423,الموظفات!$B$5:$B$304,0))&amp;"",""))</f>
        <v/>
      </c>
      <c r="O1423" s="21">
        <f>IF(C1423="","",IFERROR(INDEX(الإعدادات!$D$7:$D$35,MATCH(C1423,الإعدادات!$A$7:$A$35,0))&amp;"",""))</f>
        <v/>
      </c>
      <c r="P1423" s="20">
        <f>IF(A1423="","",INDEX(الإعدادات!$H$7:$H$18,MONTH(A1423)))</f>
        <v/>
      </c>
      <c r="Q1423" s="20">
        <f>IF(A1423="","",INDEX(الإعدادات!$I$7:$I$18,MONTH(A1423)))</f>
        <v/>
      </c>
      <c r="R1423" s="20">
        <f>IF(A1423="","",IF(MONTH(A1423)&gt;=8,YEAR(A1423)&amp;"-"&amp;(YEAR(A1423)+1),(YEAR(A1423)-1)&amp;"-"&amp;YEAR(A1423)))</f>
        <v/>
      </c>
      <c r="S1423" s="20">
        <f>IF(OR(A1423="",B1423=""),0,IF(AND(R1423=التقارير!$C$4,OR(التقارير!$C$5="سنوي",AND(التقارير!$C$5="شهري",P1423=التقارير!$C$6),AND(التقارير!$C$5="فصلي",Q1423=التقارير!$C$7))),1,0))</f>
        <v/>
      </c>
      <c r="T1423" s="20">
        <f>IF(S1423=1,COUNTIF($S$5:S1423,1),"")</f>
        <v/>
      </c>
      <c r="U1423">
        <f>IF(AND($A1423&lt;&gt;"",$B1423&lt;&gt;"",$R1423='تقرير الفصل الأول'!$C$4,$Q1423='تقرير الفصل الأول'!$C$7),COUNT(U$4:U1422)+1,"")</f>
        <v/>
      </c>
      <c r="V1423">
        <f>IF(AND($A1423&lt;&gt;"",$B1423&lt;&gt;"",$R1423='تقرير الفصل الثاني'!$C$4,$Q1423='تقرير الفصل الثاني'!$C$7),COUNT(V$4:V1422)+1,"")</f>
        <v/>
      </c>
      <c r="W1423">
        <f>IF(AND($A1423&lt;&gt;"",$B1423&lt;&gt;"",$R1423='تقرير سبتمبر'!$C$4,$P1423='تقرير سبتمبر'!$C$6),COUNT(W$4:W1422)+1,"")</f>
        <v/>
      </c>
      <c r="X1423">
        <f>IF(AND($A1423&lt;&gt;"",$B1423&lt;&gt;"",$R1423='تقرير أكتوبر'!$C$4,$P1423='تقرير أكتوبر'!$C$6),COUNT(X$4:X1422)+1,"")</f>
        <v/>
      </c>
      <c r="Y1423">
        <f>IF(AND($A1423&lt;&gt;"",$B1423&lt;&gt;"",$R1423='تقرير نوفمبر'!$C$4,$P1423='تقرير نوفمبر'!$C$6),COUNT(Y$4:Y1422)+1,"")</f>
        <v/>
      </c>
      <c r="Z1423">
        <f>IF(AND($A1423&lt;&gt;"",$B1423&lt;&gt;"",$R1423='تقرير ديسمبر'!$C$4,$P1423='تقرير ديسمبر'!$C$6),COUNT(Z$4:Z1422)+1,"")</f>
        <v/>
      </c>
      <c r="AA1423">
        <f>IF(AND($A1423&lt;&gt;"",$B1423&lt;&gt;"",$R1423='تقرير يناير'!$C$4,$P1423='تقرير يناير'!$C$6),COUNT(AA$4:AA1422)+1,"")</f>
        <v/>
      </c>
      <c r="AB1423">
        <f>IF(AND($A1423&lt;&gt;"",$B1423&lt;&gt;"",$R1423='تقرير فبراير'!$C$4,$P1423='تقرير فبراير'!$C$6),COUNT(AB$4:AB1422)+1,"")</f>
        <v/>
      </c>
      <c r="AC1423">
        <f>IF(AND($A1423&lt;&gt;"",$B1423&lt;&gt;"",$R1423='تقرير مارس'!$C$4,$P1423='تقرير مارس'!$C$6),COUNT(AC$4:AC1422)+1,"")</f>
        <v/>
      </c>
      <c r="AD1423">
        <f>IF(AND($A1423&lt;&gt;"",$B1423&lt;&gt;"",$R1423='تقرير أبريل'!$C$4,$P1423='تقرير أبريل'!$C$6),COUNT(AD$4:AD1422)+1,"")</f>
        <v/>
      </c>
      <c r="AE1423">
        <f>IF(AND($A1423&lt;&gt;"",$B1423&lt;&gt;"",$R1423='تقرير مايو'!$C$4,$P1423='تقرير مايو'!$C$6),COUNT(AE$4:AE1422)+1,"")</f>
        <v/>
      </c>
    </row>
    <row r="1424">
      <c r="A1424" s="16" t="n"/>
      <c r="B1424" s="17" t="n"/>
      <c r="C1424" s="17" t="n"/>
      <c r="D1424" s="18" t="n"/>
      <c r="E1424" s="17" t="n"/>
      <c r="F1424" s="17" t="n"/>
      <c r="G1424" s="19" t="n"/>
      <c r="H1424" s="17" t="n"/>
      <c r="I1424" s="17" t="n"/>
      <c r="J1424" s="17" t="n"/>
      <c r="K1424" s="20">
        <f>IF($B1424="","",IFERROR(INDEX(الموظفات!$A$5:$A$304,MATCH($B1424,الموظفات!$B$5:$B$304,0))&amp;"",""))</f>
        <v/>
      </c>
      <c r="L1424" s="21">
        <f>IF($B1424="","",IFERROR(INDEX(الموظفات!$C$5:$C$304,MATCH($B1424,الموظفات!$B$5:$B$304,0))&amp;"",""))</f>
        <v/>
      </c>
      <c r="M1424" s="20">
        <f>IF($B1424="","",IFERROR(INDEX(الموظفات!$D$5:$D$304,MATCH($B1424,الموظفات!$B$5:$B$304,0))&amp;"",""))</f>
        <v/>
      </c>
      <c r="N1424" s="20">
        <f>IF($B1424="","",IFERROR(INDEX(الموظفات!$E$5:$E$304,MATCH($B1424,الموظفات!$B$5:$B$304,0))&amp;"",""))</f>
        <v/>
      </c>
      <c r="O1424" s="21">
        <f>IF(C1424="","",IFERROR(INDEX(الإعدادات!$D$7:$D$35,MATCH(C1424,الإعدادات!$A$7:$A$35,0))&amp;"",""))</f>
        <v/>
      </c>
      <c r="P1424" s="20">
        <f>IF(A1424="","",INDEX(الإعدادات!$H$7:$H$18,MONTH(A1424)))</f>
        <v/>
      </c>
      <c r="Q1424" s="20">
        <f>IF(A1424="","",INDEX(الإعدادات!$I$7:$I$18,MONTH(A1424)))</f>
        <v/>
      </c>
      <c r="R1424" s="20">
        <f>IF(A1424="","",IF(MONTH(A1424)&gt;=8,YEAR(A1424)&amp;"-"&amp;(YEAR(A1424)+1),(YEAR(A1424)-1)&amp;"-"&amp;YEAR(A1424)))</f>
        <v/>
      </c>
      <c r="S1424" s="20">
        <f>IF(OR(A1424="",B1424=""),0,IF(AND(R1424=التقارير!$C$4,OR(التقارير!$C$5="سنوي",AND(التقارير!$C$5="شهري",P1424=التقارير!$C$6),AND(التقارير!$C$5="فصلي",Q1424=التقارير!$C$7))),1,0))</f>
        <v/>
      </c>
      <c r="T1424" s="20">
        <f>IF(S1424=1,COUNTIF($S$5:S1424,1),"")</f>
        <v/>
      </c>
      <c r="U1424">
        <f>IF(AND($A1424&lt;&gt;"",$B1424&lt;&gt;"",$R1424='تقرير الفصل الأول'!$C$4,$Q1424='تقرير الفصل الأول'!$C$7),COUNT(U$4:U1423)+1,"")</f>
        <v/>
      </c>
      <c r="V1424">
        <f>IF(AND($A1424&lt;&gt;"",$B1424&lt;&gt;"",$R1424='تقرير الفصل الثاني'!$C$4,$Q1424='تقرير الفصل الثاني'!$C$7),COUNT(V$4:V1423)+1,"")</f>
        <v/>
      </c>
      <c r="W1424">
        <f>IF(AND($A1424&lt;&gt;"",$B1424&lt;&gt;"",$R1424='تقرير سبتمبر'!$C$4,$P1424='تقرير سبتمبر'!$C$6),COUNT(W$4:W1423)+1,"")</f>
        <v/>
      </c>
      <c r="X1424">
        <f>IF(AND($A1424&lt;&gt;"",$B1424&lt;&gt;"",$R1424='تقرير أكتوبر'!$C$4,$P1424='تقرير أكتوبر'!$C$6),COUNT(X$4:X1423)+1,"")</f>
        <v/>
      </c>
      <c r="Y1424">
        <f>IF(AND($A1424&lt;&gt;"",$B1424&lt;&gt;"",$R1424='تقرير نوفمبر'!$C$4,$P1424='تقرير نوفمبر'!$C$6),COUNT(Y$4:Y1423)+1,"")</f>
        <v/>
      </c>
      <c r="Z1424">
        <f>IF(AND($A1424&lt;&gt;"",$B1424&lt;&gt;"",$R1424='تقرير ديسمبر'!$C$4,$P1424='تقرير ديسمبر'!$C$6),COUNT(Z$4:Z1423)+1,"")</f>
        <v/>
      </c>
      <c r="AA1424">
        <f>IF(AND($A1424&lt;&gt;"",$B1424&lt;&gt;"",$R1424='تقرير يناير'!$C$4,$P1424='تقرير يناير'!$C$6),COUNT(AA$4:AA1423)+1,"")</f>
        <v/>
      </c>
      <c r="AB1424">
        <f>IF(AND($A1424&lt;&gt;"",$B1424&lt;&gt;"",$R1424='تقرير فبراير'!$C$4,$P1424='تقرير فبراير'!$C$6),COUNT(AB$4:AB1423)+1,"")</f>
        <v/>
      </c>
      <c r="AC1424">
        <f>IF(AND($A1424&lt;&gt;"",$B1424&lt;&gt;"",$R1424='تقرير مارس'!$C$4,$P1424='تقرير مارس'!$C$6),COUNT(AC$4:AC1423)+1,"")</f>
        <v/>
      </c>
      <c r="AD1424">
        <f>IF(AND($A1424&lt;&gt;"",$B1424&lt;&gt;"",$R1424='تقرير أبريل'!$C$4,$P1424='تقرير أبريل'!$C$6),COUNT(AD$4:AD1423)+1,"")</f>
        <v/>
      </c>
      <c r="AE1424">
        <f>IF(AND($A1424&lt;&gt;"",$B1424&lt;&gt;"",$R1424='تقرير مايو'!$C$4,$P1424='تقرير مايو'!$C$6),COUNT(AE$4:AE1423)+1,"")</f>
        <v/>
      </c>
    </row>
    <row r="1425">
      <c r="A1425" s="16" t="n"/>
      <c r="B1425" s="17" t="n"/>
      <c r="C1425" s="17" t="n"/>
      <c r="D1425" s="18" t="n"/>
      <c r="E1425" s="17" t="n"/>
      <c r="F1425" s="17" t="n"/>
      <c r="G1425" s="19" t="n"/>
      <c r="H1425" s="17" t="n"/>
      <c r="I1425" s="17" t="n"/>
      <c r="J1425" s="17" t="n"/>
      <c r="K1425" s="20">
        <f>IF($B1425="","",IFERROR(INDEX(الموظفات!$A$5:$A$304,MATCH($B1425,الموظفات!$B$5:$B$304,0))&amp;"",""))</f>
        <v/>
      </c>
      <c r="L1425" s="21">
        <f>IF($B1425="","",IFERROR(INDEX(الموظفات!$C$5:$C$304,MATCH($B1425,الموظفات!$B$5:$B$304,0))&amp;"",""))</f>
        <v/>
      </c>
      <c r="M1425" s="20">
        <f>IF($B1425="","",IFERROR(INDEX(الموظفات!$D$5:$D$304,MATCH($B1425,الموظفات!$B$5:$B$304,0))&amp;"",""))</f>
        <v/>
      </c>
      <c r="N1425" s="20">
        <f>IF($B1425="","",IFERROR(INDEX(الموظفات!$E$5:$E$304,MATCH($B1425,الموظفات!$B$5:$B$304,0))&amp;"",""))</f>
        <v/>
      </c>
      <c r="O1425" s="21">
        <f>IF(C1425="","",IFERROR(INDEX(الإعدادات!$D$7:$D$35,MATCH(C1425,الإعدادات!$A$7:$A$35,0))&amp;"",""))</f>
        <v/>
      </c>
      <c r="P1425" s="20">
        <f>IF(A1425="","",INDEX(الإعدادات!$H$7:$H$18,MONTH(A1425)))</f>
        <v/>
      </c>
      <c r="Q1425" s="20">
        <f>IF(A1425="","",INDEX(الإعدادات!$I$7:$I$18,MONTH(A1425)))</f>
        <v/>
      </c>
      <c r="R1425" s="20">
        <f>IF(A1425="","",IF(MONTH(A1425)&gt;=8,YEAR(A1425)&amp;"-"&amp;(YEAR(A1425)+1),(YEAR(A1425)-1)&amp;"-"&amp;YEAR(A1425)))</f>
        <v/>
      </c>
      <c r="S1425" s="20">
        <f>IF(OR(A1425="",B1425=""),0,IF(AND(R1425=التقارير!$C$4,OR(التقارير!$C$5="سنوي",AND(التقارير!$C$5="شهري",P1425=التقارير!$C$6),AND(التقارير!$C$5="فصلي",Q1425=التقارير!$C$7))),1,0))</f>
        <v/>
      </c>
      <c r="T1425" s="20">
        <f>IF(S1425=1,COUNTIF($S$5:S1425,1),"")</f>
        <v/>
      </c>
      <c r="U1425">
        <f>IF(AND($A1425&lt;&gt;"",$B1425&lt;&gt;"",$R1425='تقرير الفصل الأول'!$C$4,$Q1425='تقرير الفصل الأول'!$C$7),COUNT(U$4:U1424)+1,"")</f>
        <v/>
      </c>
      <c r="V1425">
        <f>IF(AND($A1425&lt;&gt;"",$B1425&lt;&gt;"",$R1425='تقرير الفصل الثاني'!$C$4,$Q1425='تقرير الفصل الثاني'!$C$7),COUNT(V$4:V1424)+1,"")</f>
        <v/>
      </c>
      <c r="W1425">
        <f>IF(AND($A1425&lt;&gt;"",$B1425&lt;&gt;"",$R1425='تقرير سبتمبر'!$C$4,$P1425='تقرير سبتمبر'!$C$6),COUNT(W$4:W1424)+1,"")</f>
        <v/>
      </c>
      <c r="X1425">
        <f>IF(AND($A1425&lt;&gt;"",$B1425&lt;&gt;"",$R1425='تقرير أكتوبر'!$C$4,$P1425='تقرير أكتوبر'!$C$6),COUNT(X$4:X1424)+1,"")</f>
        <v/>
      </c>
      <c r="Y1425">
        <f>IF(AND($A1425&lt;&gt;"",$B1425&lt;&gt;"",$R1425='تقرير نوفمبر'!$C$4,$P1425='تقرير نوفمبر'!$C$6),COUNT(Y$4:Y1424)+1,"")</f>
        <v/>
      </c>
      <c r="Z1425">
        <f>IF(AND($A1425&lt;&gt;"",$B1425&lt;&gt;"",$R1425='تقرير ديسمبر'!$C$4,$P1425='تقرير ديسمبر'!$C$6),COUNT(Z$4:Z1424)+1,"")</f>
        <v/>
      </c>
      <c r="AA1425">
        <f>IF(AND($A1425&lt;&gt;"",$B1425&lt;&gt;"",$R1425='تقرير يناير'!$C$4,$P1425='تقرير يناير'!$C$6),COUNT(AA$4:AA1424)+1,"")</f>
        <v/>
      </c>
      <c r="AB1425">
        <f>IF(AND($A1425&lt;&gt;"",$B1425&lt;&gt;"",$R1425='تقرير فبراير'!$C$4,$P1425='تقرير فبراير'!$C$6),COUNT(AB$4:AB1424)+1,"")</f>
        <v/>
      </c>
      <c r="AC1425">
        <f>IF(AND($A1425&lt;&gt;"",$B1425&lt;&gt;"",$R1425='تقرير مارس'!$C$4,$P1425='تقرير مارس'!$C$6),COUNT(AC$4:AC1424)+1,"")</f>
        <v/>
      </c>
      <c r="AD1425">
        <f>IF(AND($A1425&lt;&gt;"",$B1425&lt;&gt;"",$R1425='تقرير أبريل'!$C$4,$P1425='تقرير أبريل'!$C$6),COUNT(AD$4:AD1424)+1,"")</f>
        <v/>
      </c>
      <c r="AE1425">
        <f>IF(AND($A1425&lt;&gt;"",$B1425&lt;&gt;"",$R1425='تقرير مايو'!$C$4,$P1425='تقرير مايو'!$C$6),COUNT(AE$4:AE1424)+1,"")</f>
        <v/>
      </c>
    </row>
    <row r="1426">
      <c r="A1426" s="16" t="n"/>
      <c r="B1426" s="17" t="n"/>
      <c r="C1426" s="17" t="n"/>
      <c r="D1426" s="18" t="n"/>
      <c r="E1426" s="17" t="n"/>
      <c r="F1426" s="17" t="n"/>
      <c r="G1426" s="19" t="n"/>
      <c r="H1426" s="17" t="n"/>
      <c r="I1426" s="17" t="n"/>
      <c r="J1426" s="17" t="n"/>
      <c r="K1426" s="20">
        <f>IF($B1426="","",IFERROR(INDEX(الموظفات!$A$5:$A$304,MATCH($B1426,الموظفات!$B$5:$B$304,0))&amp;"",""))</f>
        <v/>
      </c>
      <c r="L1426" s="21">
        <f>IF($B1426="","",IFERROR(INDEX(الموظفات!$C$5:$C$304,MATCH($B1426,الموظفات!$B$5:$B$304,0))&amp;"",""))</f>
        <v/>
      </c>
      <c r="M1426" s="20">
        <f>IF($B1426="","",IFERROR(INDEX(الموظفات!$D$5:$D$304,MATCH($B1426,الموظفات!$B$5:$B$304,0))&amp;"",""))</f>
        <v/>
      </c>
      <c r="N1426" s="20">
        <f>IF($B1426="","",IFERROR(INDEX(الموظفات!$E$5:$E$304,MATCH($B1426,الموظفات!$B$5:$B$304,0))&amp;"",""))</f>
        <v/>
      </c>
      <c r="O1426" s="21">
        <f>IF(C1426="","",IFERROR(INDEX(الإعدادات!$D$7:$D$35,MATCH(C1426,الإعدادات!$A$7:$A$35,0))&amp;"",""))</f>
        <v/>
      </c>
      <c r="P1426" s="20">
        <f>IF(A1426="","",INDEX(الإعدادات!$H$7:$H$18,MONTH(A1426)))</f>
        <v/>
      </c>
      <c r="Q1426" s="20">
        <f>IF(A1426="","",INDEX(الإعدادات!$I$7:$I$18,MONTH(A1426)))</f>
        <v/>
      </c>
      <c r="R1426" s="20">
        <f>IF(A1426="","",IF(MONTH(A1426)&gt;=8,YEAR(A1426)&amp;"-"&amp;(YEAR(A1426)+1),(YEAR(A1426)-1)&amp;"-"&amp;YEAR(A1426)))</f>
        <v/>
      </c>
      <c r="S1426" s="20">
        <f>IF(OR(A1426="",B1426=""),0,IF(AND(R1426=التقارير!$C$4,OR(التقارير!$C$5="سنوي",AND(التقارير!$C$5="شهري",P1426=التقارير!$C$6),AND(التقارير!$C$5="فصلي",Q1426=التقارير!$C$7))),1,0))</f>
        <v/>
      </c>
      <c r="T1426" s="20">
        <f>IF(S1426=1,COUNTIF($S$5:S1426,1),"")</f>
        <v/>
      </c>
      <c r="U1426">
        <f>IF(AND($A1426&lt;&gt;"",$B1426&lt;&gt;"",$R1426='تقرير الفصل الأول'!$C$4,$Q1426='تقرير الفصل الأول'!$C$7),COUNT(U$4:U1425)+1,"")</f>
        <v/>
      </c>
      <c r="V1426">
        <f>IF(AND($A1426&lt;&gt;"",$B1426&lt;&gt;"",$R1426='تقرير الفصل الثاني'!$C$4,$Q1426='تقرير الفصل الثاني'!$C$7),COUNT(V$4:V1425)+1,"")</f>
        <v/>
      </c>
      <c r="W1426">
        <f>IF(AND($A1426&lt;&gt;"",$B1426&lt;&gt;"",$R1426='تقرير سبتمبر'!$C$4,$P1426='تقرير سبتمبر'!$C$6),COUNT(W$4:W1425)+1,"")</f>
        <v/>
      </c>
      <c r="X1426">
        <f>IF(AND($A1426&lt;&gt;"",$B1426&lt;&gt;"",$R1426='تقرير أكتوبر'!$C$4,$P1426='تقرير أكتوبر'!$C$6),COUNT(X$4:X1425)+1,"")</f>
        <v/>
      </c>
      <c r="Y1426">
        <f>IF(AND($A1426&lt;&gt;"",$B1426&lt;&gt;"",$R1426='تقرير نوفمبر'!$C$4,$P1426='تقرير نوفمبر'!$C$6),COUNT(Y$4:Y1425)+1,"")</f>
        <v/>
      </c>
      <c r="Z1426">
        <f>IF(AND($A1426&lt;&gt;"",$B1426&lt;&gt;"",$R1426='تقرير ديسمبر'!$C$4,$P1426='تقرير ديسمبر'!$C$6),COUNT(Z$4:Z1425)+1,"")</f>
        <v/>
      </c>
      <c r="AA1426">
        <f>IF(AND($A1426&lt;&gt;"",$B1426&lt;&gt;"",$R1426='تقرير يناير'!$C$4,$P1426='تقرير يناير'!$C$6),COUNT(AA$4:AA1425)+1,"")</f>
        <v/>
      </c>
      <c r="AB1426">
        <f>IF(AND($A1426&lt;&gt;"",$B1426&lt;&gt;"",$R1426='تقرير فبراير'!$C$4,$P1426='تقرير فبراير'!$C$6),COUNT(AB$4:AB1425)+1,"")</f>
        <v/>
      </c>
      <c r="AC1426">
        <f>IF(AND($A1426&lt;&gt;"",$B1426&lt;&gt;"",$R1426='تقرير مارس'!$C$4,$P1426='تقرير مارس'!$C$6),COUNT(AC$4:AC1425)+1,"")</f>
        <v/>
      </c>
      <c r="AD1426">
        <f>IF(AND($A1426&lt;&gt;"",$B1426&lt;&gt;"",$R1426='تقرير أبريل'!$C$4,$P1426='تقرير أبريل'!$C$6),COUNT(AD$4:AD1425)+1,"")</f>
        <v/>
      </c>
      <c r="AE1426">
        <f>IF(AND($A1426&lt;&gt;"",$B1426&lt;&gt;"",$R1426='تقرير مايو'!$C$4,$P1426='تقرير مايو'!$C$6),COUNT(AE$4:AE1425)+1,"")</f>
        <v/>
      </c>
    </row>
    <row r="1427">
      <c r="A1427" s="16" t="n"/>
      <c r="B1427" s="17" t="n"/>
      <c r="C1427" s="17" t="n"/>
      <c r="D1427" s="18" t="n"/>
      <c r="E1427" s="17" t="n"/>
      <c r="F1427" s="17" t="n"/>
      <c r="G1427" s="19" t="n"/>
      <c r="H1427" s="17" t="n"/>
      <c r="I1427" s="17" t="n"/>
      <c r="J1427" s="17" t="n"/>
      <c r="K1427" s="20">
        <f>IF($B1427="","",IFERROR(INDEX(الموظفات!$A$5:$A$304,MATCH($B1427,الموظفات!$B$5:$B$304,0))&amp;"",""))</f>
        <v/>
      </c>
      <c r="L1427" s="21">
        <f>IF($B1427="","",IFERROR(INDEX(الموظفات!$C$5:$C$304,MATCH($B1427,الموظفات!$B$5:$B$304,0))&amp;"",""))</f>
        <v/>
      </c>
      <c r="M1427" s="20">
        <f>IF($B1427="","",IFERROR(INDEX(الموظفات!$D$5:$D$304,MATCH($B1427,الموظفات!$B$5:$B$304,0))&amp;"",""))</f>
        <v/>
      </c>
      <c r="N1427" s="20">
        <f>IF($B1427="","",IFERROR(INDEX(الموظفات!$E$5:$E$304,MATCH($B1427,الموظفات!$B$5:$B$304,0))&amp;"",""))</f>
        <v/>
      </c>
      <c r="O1427" s="21">
        <f>IF(C1427="","",IFERROR(INDEX(الإعدادات!$D$7:$D$35,MATCH(C1427,الإعدادات!$A$7:$A$35,0))&amp;"",""))</f>
        <v/>
      </c>
      <c r="P1427" s="20">
        <f>IF(A1427="","",INDEX(الإعدادات!$H$7:$H$18,MONTH(A1427)))</f>
        <v/>
      </c>
      <c r="Q1427" s="20">
        <f>IF(A1427="","",INDEX(الإعدادات!$I$7:$I$18,MONTH(A1427)))</f>
        <v/>
      </c>
      <c r="R1427" s="20">
        <f>IF(A1427="","",IF(MONTH(A1427)&gt;=8,YEAR(A1427)&amp;"-"&amp;(YEAR(A1427)+1),(YEAR(A1427)-1)&amp;"-"&amp;YEAR(A1427)))</f>
        <v/>
      </c>
      <c r="S1427" s="20">
        <f>IF(OR(A1427="",B1427=""),0,IF(AND(R1427=التقارير!$C$4,OR(التقارير!$C$5="سنوي",AND(التقارير!$C$5="شهري",P1427=التقارير!$C$6),AND(التقارير!$C$5="فصلي",Q1427=التقارير!$C$7))),1,0))</f>
        <v/>
      </c>
      <c r="T1427" s="20">
        <f>IF(S1427=1,COUNTIF($S$5:S1427,1),"")</f>
        <v/>
      </c>
      <c r="U1427">
        <f>IF(AND($A1427&lt;&gt;"",$B1427&lt;&gt;"",$R1427='تقرير الفصل الأول'!$C$4,$Q1427='تقرير الفصل الأول'!$C$7),COUNT(U$4:U1426)+1,"")</f>
        <v/>
      </c>
      <c r="V1427">
        <f>IF(AND($A1427&lt;&gt;"",$B1427&lt;&gt;"",$R1427='تقرير الفصل الثاني'!$C$4,$Q1427='تقرير الفصل الثاني'!$C$7),COUNT(V$4:V1426)+1,"")</f>
        <v/>
      </c>
      <c r="W1427">
        <f>IF(AND($A1427&lt;&gt;"",$B1427&lt;&gt;"",$R1427='تقرير سبتمبر'!$C$4,$P1427='تقرير سبتمبر'!$C$6),COUNT(W$4:W1426)+1,"")</f>
        <v/>
      </c>
      <c r="X1427">
        <f>IF(AND($A1427&lt;&gt;"",$B1427&lt;&gt;"",$R1427='تقرير أكتوبر'!$C$4,$P1427='تقرير أكتوبر'!$C$6),COUNT(X$4:X1426)+1,"")</f>
        <v/>
      </c>
      <c r="Y1427">
        <f>IF(AND($A1427&lt;&gt;"",$B1427&lt;&gt;"",$R1427='تقرير نوفمبر'!$C$4,$P1427='تقرير نوفمبر'!$C$6),COUNT(Y$4:Y1426)+1,"")</f>
        <v/>
      </c>
      <c r="Z1427">
        <f>IF(AND($A1427&lt;&gt;"",$B1427&lt;&gt;"",$R1427='تقرير ديسمبر'!$C$4,$P1427='تقرير ديسمبر'!$C$6),COUNT(Z$4:Z1426)+1,"")</f>
        <v/>
      </c>
      <c r="AA1427">
        <f>IF(AND($A1427&lt;&gt;"",$B1427&lt;&gt;"",$R1427='تقرير يناير'!$C$4,$P1427='تقرير يناير'!$C$6),COUNT(AA$4:AA1426)+1,"")</f>
        <v/>
      </c>
      <c r="AB1427">
        <f>IF(AND($A1427&lt;&gt;"",$B1427&lt;&gt;"",$R1427='تقرير فبراير'!$C$4,$P1427='تقرير فبراير'!$C$6),COUNT(AB$4:AB1426)+1,"")</f>
        <v/>
      </c>
      <c r="AC1427">
        <f>IF(AND($A1427&lt;&gt;"",$B1427&lt;&gt;"",$R1427='تقرير مارس'!$C$4,$P1427='تقرير مارس'!$C$6),COUNT(AC$4:AC1426)+1,"")</f>
        <v/>
      </c>
      <c r="AD1427">
        <f>IF(AND($A1427&lt;&gt;"",$B1427&lt;&gt;"",$R1427='تقرير أبريل'!$C$4,$P1427='تقرير أبريل'!$C$6),COUNT(AD$4:AD1426)+1,"")</f>
        <v/>
      </c>
      <c r="AE1427">
        <f>IF(AND($A1427&lt;&gt;"",$B1427&lt;&gt;"",$R1427='تقرير مايو'!$C$4,$P1427='تقرير مايو'!$C$6),COUNT(AE$4:AE1426)+1,"")</f>
        <v/>
      </c>
    </row>
    <row r="1428">
      <c r="A1428" s="16" t="n"/>
      <c r="B1428" s="17" t="n"/>
      <c r="C1428" s="17" t="n"/>
      <c r="D1428" s="18" t="n"/>
      <c r="E1428" s="17" t="n"/>
      <c r="F1428" s="17" t="n"/>
      <c r="G1428" s="19" t="n"/>
      <c r="H1428" s="17" t="n"/>
      <c r="I1428" s="17" t="n"/>
      <c r="J1428" s="17" t="n"/>
      <c r="K1428" s="20">
        <f>IF($B1428="","",IFERROR(INDEX(الموظفات!$A$5:$A$304,MATCH($B1428,الموظفات!$B$5:$B$304,0))&amp;"",""))</f>
        <v/>
      </c>
      <c r="L1428" s="21">
        <f>IF($B1428="","",IFERROR(INDEX(الموظفات!$C$5:$C$304,MATCH($B1428,الموظفات!$B$5:$B$304,0))&amp;"",""))</f>
        <v/>
      </c>
      <c r="M1428" s="20">
        <f>IF($B1428="","",IFERROR(INDEX(الموظفات!$D$5:$D$304,MATCH($B1428,الموظفات!$B$5:$B$304,0))&amp;"",""))</f>
        <v/>
      </c>
      <c r="N1428" s="20">
        <f>IF($B1428="","",IFERROR(INDEX(الموظفات!$E$5:$E$304,MATCH($B1428,الموظفات!$B$5:$B$304,0))&amp;"",""))</f>
        <v/>
      </c>
      <c r="O1428" s="21">
        <f>IF(C1428="","",IFERROR(INDEX(الإعدادات!$D$7:$D$35,MATCH(C1428,الإعدادات!$A$7:$A$35,0))&amp;"",""))</f>
        <v/>
      </c>
      <c r="P1428" s="20">
        <f>IF(A1428="","",INDEX(الإعدادات!$H$7:$H$18,MONTH(A1428)))</f>
        <v/>
      </c>
      <c r="Q1428" s="20">
        <f>IF(A1428="","",INDEX(الإعدادات!$I$7:$I$18,MONTH(A1428)))</f>
        <v/>
      </c>
      <c r="R1428" s="20">
        <f>IF(A1428="","",IF(MONTH(A1428)&gt;=8,YEAR(A1428)&amp;"-"&amp;(YEAR(A1428)+1),(YEAR(A1428)-1)&amp;"-"&amp;YEAR(A1428)))</f>
        <v/>
      </c>
      <c r="S1428" s="20">
        <f>IF(OR(A1428="",B1428=""),0,IF(AND(R1428=التقارير!$C$4,OR(التقارير!$C$5="سنوي",AND(التقارير!$C$5="شهري",P1428=التقارير!$C$6),AND(التقارير!$C$5="فصلي",Q1428=التقارير!$C$7))),1,0))</f>
        <v/>
      </c>
      <c r="T1428" s="20">
        <f>IF(S1428=1,COUNTIF($S$5:S1428,1),"")</f>
        <v/>
      </c>
      <c r="U1428">
        <f>IF(AND($A1428&lt;&gt;"",$B1428&lt;&gt;"",$R1428='تقرير الفصل الأول'!$C$4,$Q1428='تقرير الفصل الأول'!$C$7),COUNT(U$4:U1427)+1,"")</f>
        <v/>
      </c>
      <c r="V1428">
        <f>IF(AND($A1428&lt;&gt;"",$B1428&lt;&gt;"",$R1428='تقرير الفصل الثاني'!$C$4,$Q1428='تقرير الفصل الثاني'!$C$7),COUNT(V$4:V1427)+1,"")</f>
        <v/>
      </c>
      <c r="W1428">
        <f>IF(AND($A1428&lt;&gt;"",$B1428&lt;&gt;"",$R1428='تقرير سبتمبر'!$C$4,$P1428='تقرير سبتمبر'!$C$6),COUNT(W$4:W1427)+1,"")</f>
        <v/>
      </c>
      <c r="X1428">
        <f>IF(AND($A1428&lt;&gt;"",$B1428&lt;&gt;"",$R1428='تقرير أكتوبر'!$C$4,$P1428='تقرير أكتوبر'!$C$6),COUNT(X$4:X1427)+1,"")</f>
        <v/>
      </c>
      <c r="Y1428">
        <f>IF(AND($A1428&lt;&gt;"",$B1428&lt;&gt;"",$R1428='تقرير نوفمبر'!$C$4,$P1428='تقرير نوفمبر'!$C$6),COUNT(Y$4:Y1427)+1,"")</f>
        <v/>
      </c>
      <c r="Z1428">
        <f>IF(AND($A1428&lt;&gt;"",$B1428&lt;&gt;"",$R1428='تقرير ديسمبر'!$C$4,$P1428='تقرير ديسمبر'!$C$6),COUNT(Z$4:Z1427)+1,"")</f>
        <v/>
      </c>
      <c r="AA1428">
        <f>IF(AND($A1428&lt;&gt;"",$B1428&lt;&gt;"",$R1428='تقرير يناير'!$C$4,$P1428='تقرير يناير'!$C$6),COUNT(AA$4:AA1427)+1,"")</f>
        <v/>
      </c>
      <c r="AB1428">
        <f>IF(AND($A1428&lt;&gt;"",$B1428&lt;&gt;"",$R1428='تقرير فبراير'!$C$4,$P1428='تقرير فبراير'!$C$6),COUNT(AB$4:AB1427)+1,"")</f>
        <v/>
      </c>
      <c r="AC1428">
        <f>IF(AND($A1428&lt;&gt;"",$B1428&lt;&gt;"",$R1428='تقرير مارس'!$C$4,$P1428='تقرير مارس'!$C$6),COUNT(AC$4:AC1427)+1,"")</f>
        <v/>
      </c>
      <c r="AD1428">
        <f>IF(AND($A1428&lt;&gt;"",$B1428&lt;&gt;"",$R1428='تقرير أبريل'!$C$4,$P1428='تقرير أبريل'!$C$6),COUNT(AD$4:AD1427)+1,"")</f>
        <v/>
      </c>
      <c r="AE1428">
        <f>IF(AND($A1428&lt;&gt;"",$B1428&lt;&gt;"",$R1428='تقرير مايو'!$C$4,$P1428='تقرير مايو'!$C$6),COUNT(AE$4:AE1427)+1,"")</f>
        <v/>
      </c>
    </row>
    <row r="1429">
      <c r="A1429" s="16" t="n"/>
      <c r="B1429" s="17" t="n"/>
      <c r="C1429" s="17" t="n"/>
      <c r="D1429" s="18" t="n"/>
      <c r="E1429" s="17" t="n"/>
      <c r="F1429" s="17" t="n"/>
      <c r="G1429" s="19" t="n"/>
      <c r="H1429" s="17" t="n"/>
      <c r="I1429" s="17" t="n"/>
      <c r="J1429" s="17" t="n"/>
      <c r="K1429" s="20">
        <f>IF($B1429="","",IFERROR(INDEX(الموظفات!$A$5:$A$304,MATCH($B1429,الموظفات!$B$5:$B$304,0))&amp;"",""))</f>
        <v/>
      </c>
      <c r="L1429" s="21">
        <f>IF($B1429="","",IFERROR(INDEX(الموظفات!$C$5:$C$304,MATCH($B1429,الموظفات!$B$5:$B$304,0))&amp;"",""))</f>
        <v/>
      </c>
      <c r="M1429" s="20">
        <f>IF($B1429="","",IFERROR(INDEX(الموظفات!$D$5:$D$304,MATCH($B1429,الموظفات!$B$5:$B$304,0))&amp;"",""))</f>
        <v/>
      </c>
      <c r="N1429" s="20">
        <f>IF($B1429="","",IFERROR(INDEX(الموظفات!$E$5:$E$304,MATCH($B1429,الموظفات!$B$5:$B$304,0))&amp;"",""))</f>
        <v/>
      </c>
      <c r="O1429" s="21">
        <f>IF(C1429="","",IFERROR(INDEX(الإعدادات!$D$7:$D$35,MATCH(C1429,الإعدادات!$A$7:$A$35,0))&amp;"",""))</f>
        <v/>
      </c>
      <c r="P1429" s="20">
        <f>IF(A1429="","",INDEX(الإعدادات!$H$7:$H$18,MONTH(A1429)))</f>
        <v/>
      </c>
      <c r="Q1429" s="20">
        <f>IF(A1429="","",INDEX(الإعدادات!$I$7:$I$18,MONTH(A1429)))</f>
        <v/>
      </c>
      <c r="R1429" s="20">
        <f>IF(A1429="","",IF(MONTH(A1429)&gt;=8,YEAR(A1429)&amp;"-"&amp;(YEAR(A1429)+1),(YEAR(A1429)-1)&amp;"-"&amp;YEAR(A1429)))</f>
        <v/>
      </c>
      <c r="S1429" s="20">
        <f>IF(OR(A1429="",B1429=""),0,IF(AND(R1429=التقارير!$C$4,OR(التقارير!$C$5="سنوي",AND(التقارير!$C$5="شهري",P1429=التقارير!$C$6),AND(التقارير!$C$5="فصلي",Q1429=التقارير!$C$7))),1,0))</f>
        <v/>
      </c>
      <c r="T1429" s="20">
        <f>IF(S1429=1,COUNTIF($S$5:S1429,1),"")</f>
        <v/>
      </c>
      <c r="U1429">
        <f>IF(AND($A1429&lt;&gt;"",$B1429&lt;&gt;"",$R1429='تقرير الفصل الأول'!$C$4,$Q1429='تقرير الفصل الأول'!$C$7),COUNT(U$4:U1428)+1,"")</f>
        <v/>
      </c>
      <c r="V1429">
        <f>IF(AND($A1429&lt;&gt;"",$B1429&lt;&gt;"",$R1429='تقرير الفصل الثاني'!$C$4,$Q1429='تقرير الفصل الثاني'!$C$7),COUNT(V$4:V1428)+1,"")</f>
        <v/>
      </c>
      <c r="W1429">
        <f>IF(AND($A1429&lt;&gt;"",$B1429&lt;&gt;"",$R1429='تقرير سبتمبر'!$C$4,$P1429='تقرير سبتمبر'!$C$6),COUNT(W$4:W1428)+1,"")</f>
        <v/>
      </c>
      <c r="X1429">
        <f>IF(AND($A1429&lt;&gt;"",$B1429&lt;&gt;"",$R1429='تقرير أكتوبر'!$C$4,$P1429='تقرير أكتوبر'!$C$6),COUNT(X$4:X1428)+1,"")</f>
        <v/>
      </c>
      <c r="Y1429">
        <f>IF(AND($A1429&lt;&gt;"",$B1429&lt;&gt;"",$R1429='تقرير نوفمبر'!$C$4,$P1429='تقرير نوفمبر'!$C$6),COUNT(Y$4:Y1428)+1,"")</f>
        <v/>
      </c>
      <c r="Z1429">
        <f>IF(AND($A1429&lt;&gt;"",$B1429&lt;&gt;"",$R1429='تقرير ديسمبر'!$C$4,$P1429='تقرير ديسمبر'!$C$6),COUNT(Z$4:Z1428)+1,"")</f>
        <v/>
      </c>
      <c r="AA1429">
        <f>IF(AND($A1429&lt;&gt;"",$B1429&lt;&gt;"",$R1429='تقرير يناير'!$C$4,$P1429='تقرير يناير'!$C$6),COUNT(AA$4:AA1428)+1,"")</f>
        <v/>
      </c>
      <c r="AB1429">
        <f>IF(AND($A1429&lt;&gt;"",$B1429&lt;&gt;"",$R1429='تقرير فبراير'!$C$4,$P1429='تقرير فبراير'!$C$6),COUNT(AB$4:AB1428)+1,"")</f>
        <v/>
      </c>
      <c r="AC1429">
        <f>IF(AND($A1429&lt;&gt;"",$B1429&lt;&gt;"",$R1429='تقرير مارس'!$C$4,$P1429='تقرير مارس'!$C$6),COUNT(AC$4:AC1428)+1,"")</f>
        <v/>
      </c>
      <c r="AD1429">
        <f>IF(AND($A1429&lt;&gt;"",$B1429&lt;&gt;"",$R1429='تقرير أبريل'!$C$4,$P1429='تقرير أبريل'!$C$6),COUNT(AD$4:AD1428)+1,"")</f>
        <v/>
      </c>
      <c r="AE1429">
        <f>IF(AND($A1429&lt;&gt;"",$B1429&lt;&gt;"",$R1429='تقرير مايو'!$C$4,$P1429='تقرير مايو'!$C$6),COUNT(AE$4:AE1428)+1,"")</f>
        <v/>
      </c>
    </row>
    <row r="1430">
      <c r="A1430" s="16" t="n"/>
      <c r="B1430" s="17" t="n"/>
      <c r="C1430" s="17" t="n"/>
      <c r="D1430" s="18" t="n"/>
      <c r="E1430" s="17" t="n"/>
      <c r="F1430" s="17" t="n"/>
      <c r="G1430" s="19" t="n"/>
      <c r="H1430" s="17" t="n"/>
      <c r="I1430" s="17" t="n"/>
      <c r="J1430" s="17" t="n"/>
      <c r="K1430" s="20">
        <f>IF($B1430="","",IFERROR(INDEX(الموظفات!$A$5:$A$304,MATCH($B1430,الموظفات!$B$5:$B$304,0))&amp;"",""))</f>
        <v/>
      </c>
      <c r="L1430" s="21">
        <f>IF($B1430="","",IFERROR(INDEX(الموظفات!$C$5:$C$304,MATCH($B1430,الموظفات!$B$5:$B$304,0))&amp;"",""))</f>
        <v/>
      </c>
      <c r="M1430" s="20">
        <f>IF($B1430="","",IFERROR(INDEX(الموظفات!$D$5:$D$304,MATCH($B1430,الموظفات!$B$5:$B$304,0))&amp;"",""))</f>
        <v/>
      </c>
      <c r="N1430" s="20">
        <f>IF($B1430="","",IFERROR(INDEX(الموظفات!$E$5:$E$304,MATCH($B1430,الموظفات!$B$5:$B$304,0))&amp;"",""))</f>
        <v/>
      </c>
      <c r="O1430" s="21">
        <f>IF(C1430="","",IFERROR(INDEX(الإعدادات!$D$7:$D$35,MATCH(C1430,الإعدادات!$A$7:$A$35,0))&amp;"",""))</f>
        <v/>
      </c>
      <c r="P1430" s="20">
        <f>IF(A1430="","",INDEX(الإعدادات!$H$7:$H$18,MONTH(A1430)))</f>
        <v/>
      </c>
      <c r="Q1430" s="20">
        <f>IF(A1430="","",INDEX(الإعدادات!$I$7:$I$18,MONTH(A1430)))</f>
        <v/>
      </c>
      <c r="R1430" s="20">
        <f>IF(A1430="","",IF(MONTH(A1430)&gt;=8,YEAR(A1430)&amp;"-"&amp;(YEAR(A1430)+1),(YEAR(A1430)-1)&amp;"-"&amp;YEAR(A1430)))</f>
        <v/>
      </c>
      <c r="S1430" s="20">
        <f>IF(OR(A1430="",B1430=""),0,IF(AND(R1430=التقارير!$C$4,OR(التقارير!$C$5="سنوي",AND(التقارير!$C$5="شهري",P1430=التقارير!$C$6),AND(التقارير!$C$5="فصلي",Q1430=التقارير!$C$7))),1,0))</f>
        <v/>
      </c>
      <c r="T1430" s="20">
        <f>IF(S1430=1,COUNTIF($S$5:S1430,1),"")</f>
        <v/>
      </c>
      <c r="U1430">
        <f>IF(AND($A1430&lt;&gt;"",$B1430&lt;&gt;"",$R1430='تقرير الفصل الأول'!$C$4,$Q1430='تقرير الفصل الأول'!$C$7),COUNT(U$4:U1429)+1,"")</f>
        <v/>
      </c>
      <c r="V1430">
        <f>IF(AND($A1430&lt;&gt;"",$B1430&lt;&gt;"",$R1430='تقرير الفصل الثاني'!$C$4,$Q1430='تقرير الفصل الثاني'!$C$7),COUNT(V$4:V1429)+1,"")</f>
        <v/>
      </c>
      <c r="W1430">
        <f>IF(AND($A1430&lt;&gt;"",$B1430&lt;&gt;"",$R1430='تقرير سبتمبر'!$C$4,$P1430='تقرير سبتمبر'!$C$6),COUNT(W$4:W1429)+1,"")</f>
        <v/>
      </c>
      <c r="X1430">
        <f>IF(AND($A1430&lt;&gt;"",$B1430&lt;&gt;"",$R1430='تقرير أكتوبر'!$C$4,$P1430='تقرير أكتوبر'!$C$6),COUNT(X$4:X1429)+1,"")</f>
        <v/>
      </c>
      <c r="Y1430">
        <f>IF(AND($A1430&lt;&gt;"",$B1430&lt;&gt;"",$R1430='تقرير نوفمبر'!$C$4,$P1430='تقرير نوفمبر'!$C$6),COUNT(Y$4:Y1429)+1,"")</f>
        <v/>
      </c>
      <c r="Z1430">
        <f>IF(AND($A1430&lt;&gt;"",$B1430&lt;&gt;"",$R1430='تقرير ديسمبر'!$C$4,$P1430='تقرير ديسمبر'!$C$6),COUNT(Z$4:Z1429)+1,"")</f>
        <v/>
      </c>
      <c r="AA1430">
        <f>IF(AND($A1430&lt;&gt;"",$B1430&lt;&gt;"",$R1430='تقرير يناير'!$C$4,$P1430='تقرير يناير'!$C$6),COUNT(AA$4:AA1429)+1,"")</f>
        <v/>
      </c>
      <c r="AB1430">
        <f>IF(AND($A1430&lt;&gt;"",$B1430&lt;&gt;"",$R1430='تقرير فبراير'!$C$4,$P1430='تقرير فبراير'!$C$6),COUNT(AB$4:AB1429)+1,"")</f>
        <v/>
      </c>
      <c r="AC1430">
        <f>IF(AND($A1430&lt;&gt;"",$B1430&lt;&gt;"",$R1430='تقرير مارس'!$C$4,$P1430='تقرير مارس'!$C$6),COUNT(AC$4:AC1429)+1,"")</f>
        <v/>
      </c>
      <c r="AD1430">
        <f>IF(AND($A1430&lt;&gt;"",$B1430&lt;&gt;"",$R1430='تقرير أبريل'!$C$4,$P1430='تقرير أبريل'!$C$6),COUNT(AD$4:AD1429)+1,"")</f>
        <v/>
      </c>
      <c r="AE1430">
        <f>IF(AND($A1430&lt;&gt;"",$B1430&lt;&gt;"",$R1430='تقرير مايو'!$C$4,$P1430='تقرير مايو'!$C$6),COUNT(AE$4:AE1429)+1,"")</f>
        <v/>
      </c>
    </row>
    <row r="1431">
      <c r="A1431" s="16" t="n"/>
      <c r="B1431" s="17" t="n"/>
      <c r="C1431" s="17" t="n"/>
      <c r="D1431" s="18" t="n"/>
      <c r="E1431" s="17" t="n"/>
      <c r="F1431" s="17" t="n"/>
      <c r="G1431" s="19" t="n"/>
      <c r="H1431" s="17" t="n"/>
      <c r="I1431" s="17" t="n"/>
      <c r="J1431" s="17" t="n"/>
      <c r="K1431" s="20">
        <f>IF($B1431="","",IFERROR(INDEX(الموظفات!$A$5:$A$304,MATCH($B1431,الموظفات!$B$5:$B$304,0))&amp;"",""))</f>
        <v/>
      </c>
      <c r="L1431" s="21">
        <f>IF($B1431="","",IFERROR(INDEX(الموظفات!$C$5:$C$304,MATCH($B1431,الموظفات!$B$5:$B$304,0))&amp;"",""))</f>
        <v/>
      </c>
      <c r="M1431" s="20">
        <f>IF($B1431="","",IFERROR(INDEX(الموظفات!$D$5:$D$304,MATCH($B1431,الموظفات!$B$5:$B$304,0))&amp;"",""))</f>
        <v/>
      </c>
      <c r="N1431" s="20">
        <f>IF($B1431="","",IFERROR(INDEX(الموظفات!$E$5:$E$304,MATCH($B1431,الموظفات!$B$5:$B$304,0))&amp;"",""))</f>
        <v/>
      </c>
      <c r="O1431" s="21">
        <f>IF(C1431="","",IFERROR(INDEX(الإعدادات!$D$7:$D$35,MATCH(C1431,الإعدادات!$A$7:$A$35,0))&amp;"",""))</f>
        <v/>
      </c>
      <c r="P1431" s="20">
        <f>IF(A1431="","",INDEX(الإعدادات!$H$7:$H$18,MONTH(A1431)))</f>
        <v/>
      </c>
      <c r="Q1431" s="20">
        <f>IF(A1431="","",INDEX(الإعدادات!$I$7:$I$18,MONTH(A1431)))</f>
        <v/>
      </c>
      <c r="R1431" s="20">
        <f>IF(A1431="","",IF(MONTH(A1431)&gt;=8,YEAR(A1431)&amp;"-"&amp;(YEAR(A1431)+1),(YEAR(A1431)-1)&amp;"-"&amp;YEAR(A1431)))</f>
        <v/>
      </c>
      <c r="S1431" s="20">
        <f>IF(OR(A1431="",B1431=""),0,IF(AND(R1431=التقارير!$C$4,OR(التقارير!$C$5="سنوي",AND(التقارير!$C$5="شهري",P1431=التقارير!$C$6),AND(التقارير!$C$5="فصلي",Q1431=التقارير!$C$7))),1,0))</f>
        <v/>
      </c>
      <c r="T1431" s="20">
        <f>IF(S1431=1,COUNTIF($S$5:S1431,1),"")</f>
        <v/>
      </c>
      <c r="U1431">
        <f>IF(AND($A1431&lt;&gt;"",$B1431&lt;&gt;"",$R1431='تقرير الفصل الأول'!$C$4,$Q1431='تقرير الفصل الأول'!$C$7),COUNT(U$4:U1430)+1,"")</f>
        <v/>
      </c>
      <c r="V1431">
        <f>IF(AND($A1431&lt;&gt;"",$B1431&lt;&gt;"",$R1431='تقرير الفصل الثاني'!$C$4,$Q1431='تقرير الفصل الثاني'!$C$7),COUNT(V$4:V1430)+1,"")</f>
        <v/>
      </c>
      <c r="W1431">
        <f>IF(AND($A1431&lt;&gt;"",$B1431&lt;&gt;"",$R1431='تقرير سبتمبر'!$C$4,$P1431='تقرير سبتمبر'!$C$6),COUNT(W$4:W1430)+1,"")</f>
        <v/>
      </c>
      <c r="X1431">
        <f>IF(AND($A1431&lt;&gt;"",$B1431&lt;&gt;"",$R1431='تقرير أكتوبر'!$C$4,$P1431='تقرير أكتوبر'!$C$6),COUNT(X$4:X1430)+1,"")</f>
        <v/>
      </c>
      <c r="Y1431">
        <f>IF(AND($A1431&lt;&gt;"",$B1431&lt;&gt;"",$R1431='تقرير نوفمبر'!$C$4,$P1431='تقرير نوفمبر'!$C$6),COUNT(Y$4:Y1430)+1,"")</f>
        <v/>
      </c>
      <c r="Z1431">
        <f>IF(AND($A1431&lt;&gt;"",$B1431&lt;&gt;"",$R1431='تقرير ديسمبر'!$C$4,$P1431='تقرير ديسمبر'!$C$6),COUNT(Z$4:Z1430)+1,"")</f>
        <v/>
      </c>
      <c r="AA1431">
        <f>IF(AND($A1431&lt;&gt;"",$B1431&lt;&gt;"",$R1431='تقرير يناير'!$C$4,$P1431='تقرير يناير'!$C$6),COUNT(AA$4:AA1430)+1,"")</f>
        <v/>
      </c>
      <c r="AB1431">
        <f>IF(AND($A1431&lt;&gt;"",$B1431&lt;&gt;"",$R1431='تقرير فبراير'!$C$4,$P1431='تقرير فبراير'!$C$6),COUNT(AB$4:AB1430)+1,"")</f>
        <v/>
      </c>
      <c r="AC1431">
        <f>IF(AND($A1431&lt;&gt;"",$B1431&lt;&gt;"",$R1431='تقرير مارس'!$C$4,$P1431='تقرير مارس'!$C$6),COUNT(AC$4:AC1430)+1,"")</f>
        <v/>
      </c>
      <c r="AD1431">
        <f>IF(AND($A1431&lt;&gt;"",$B1431&lt;&gt;"",$R1431='تقرير أبريل'!$C$4,$P1431='تقرير أبريل'!$C$6),COUNT(AD$4:AD1430)+1,"")</f>
        <v/>
      </c>
      <c r="AE1431">
        <f>IF(AND($A1431&lt;&gt;"",$B1431&lt;&gt;"",$R1431='تقرير مايو'!$C$4,$P1431='تقرير مايو'!$C$6),COUNT(AE$4:AE1430)+1,"")</f>
        <v/>
      </c>
    </row>
    <row r="1432">
      <c r="A1432" s="16" t="n"/>
      <c r="B1432" s="17" t="n"/>
      <c r="C1432" s="17" t="n"/>
      <c r="D1432" s="18" t="n"/>
      <c r="E1432" s="17" t="n"/>
      <c r="F1432" s="17" t="n"/>
      <c r="G1432" s="19" t="n"/>
      <c r="H1432" s="17" t="n"/>
      <c r="I1432" s="17" t="n"/>
      <c r="J1432" s="17" t="n"/>
      <c r="K1432" s="20">
        <f>IF($B1432="","",IFERROR(INDEX(الموظفات!$A$5:$A$304,MATCH($B1432,الموظفات!$B$5:$B$304,0))&amp;"",""))</f>
        <v/>
      </c>
      <c r="L1432" s="21">
        <f>IF($B1432="","",IFERROR(INDEX(الموظفات!$C$5:$C$304,MATCH($B1432,الموظفات!$B$5:$B$304,0))&amp;"",""))</f>
        <v/>
      </c>
      <c r="M1432" s="20">
        <f>IF($B1432="","",IFERROR(INDEX(الموظفات!$D$5:$D$304,MATCH($B1432,الموظفات!$B$5:$B$304,0))&amp;"",""))</f>
        <v/>
      </c>
      <c r="N1432" s="20">
        <f>IF($B1432="","",IFERROR(INDEX(الموظفات!$E$5:$E$304,MATCH($B1432,الموظفات!$B$5:$B$304,0))&amp;"",""))</f>
        <v/>
      </c>
      <c r="O1432" s="21">
        <f>IF(C1432="","",IFERROR(INDEX(الإعدادات!$D$7:$D$35,MATCH(C1432,الإعدادات!$A$7:$A$35,0))&amp;"",""))</f>
        <v/>
      </c>
      <c r="P1432" s="20">
        <f>IF(A1432="","",INDEX(الإعدادات!$H$7:$H$18,MONTH(A1432)))</f>
        <v/>
      </c>
      <c r="Q1432" s="20">
        <f>IF(A1432="","",INDEX(الإعدادات!$I$7:$I$18,MONTH(A1432)))</f>
        <v/>
      </c>
      <c r="R1432" s="20">
        <f>IF(A1432="","",IF(MONTH(A1432)&gt;=8,YEAR(A1432)&amp;"-"&amp;(YEAR(A1432)+1),(YEAR(A1432)-1)&amp;"-"&amp;YEAR(A1432)))</f>
        <v/>
      </c>
      <c r="S1432" s="20">
        <f>IF(OR(A1432="",B1432=""),0,IF(AND(R1432=التقارير!$C$4,OR(التقارير!$C$5="سنوي",AND(التقارير!$C$5="شهري",P1432=التقارير!$C$6),AND(التقارير!$C$5="فصلي",Q1432=التقارير!$C$7))),1,0))</f>
        <v/>
      </c>
      <c r="T1432" s="20">
        <f>IF(S1432=1,COUNTIF($S$5:S1432,1),"")</f>
        <v/>
      </c>
      <c r="U1432">
        <f>IF(AND($A1432&lt;&gt;"",$B1432&lt;&gt;"",$R1432='تقرير الفصل الأول'!$C$4,$Q1432='تقرير الفصل الأول'!$C$7),COUNT(U$4:U1431)+1,"")</f>
        <v/>
      </c>
      <c r="V1432">
        <f>IF(AND($A1432&lt;&gt;"",$B1432&lt;&gt;"",$R1432='تقرير الفصل الثاني'!$C$4,$Q1432='تقرير الفصل الثاني'!$C$7),COUNT(V$4:V1431)+1,"")</f>
        <v/>
      </c>
      <c r="W1432">
        <f>IF(AND($A1432&lt;&gt;"",$B1432&lt;&gt;"",$R1432='تقرير سبتمبر'!$C$4,$P1432='تقرير سبتمبر'!$C$6),COUNT(W$4:W1431)+1,"")</f>
        <v/>
      </c>
      <c r="X1432">
        <f>IF(AND($A1432&lt;&gt;"",$B1432&lt;&gt;"",$R1432='تقرير أكتوبر'!$C$4,$P1432='تقرير أكتوبر'!$C$6),COUNT(X$4:X1431)+1,"")</f>
        <v/>
      </c>
      <c r="Y1432">
        <f>IF(AND($A1432&lt;&gt;"",$B1432&lt;&gt;"",$R1432='تقرير نوفمبر'!$C$4,$P1432='تقرير نوفمبر'!$C$6),COUNT(Y$4:Y1431)+1,"")</f>
        <v/>
      </c>
      <c r="Z1432">
        <f>IF(AND($A1432&lt;&gt;"",$B1432&lt;&gt;"",$R1432='تقرير ديسمبر'!$C$4,$P1432='تقرير ديسمبر'!$C$6),COUNT(Z$4:Z1431)+1,"")</f>
        <v/>
      </c>
      <c r="AA1432">
        <f>IF(AND($A1432&lt;&gt;"",$B1432&lt;&gt;"",$R1432='تقرير يناير'!$C$4,$P1432='تقرير يناير'!$C$6),COUNT(AA$4:AA1431)+1,"")</f>
        <v/>
      </c>
      <c r="AB1432">
        <f>IF(AND($A1432&lt;&gt;"",$B1432&lt;&gt;"",$R1432='تقرير فبراير'!$C$4,$P1432='تقرير فبراير'!$C$6),COUNT(AB$4:AB1431)+1,"")</f>
        <v/>
      </c>
      <c r="AC1432">
        <f>IF(AND($A1432&lt;&gt;"",$B1432&lt;&gt;"",$R1432='تقرير مارس'!$C$4,$P1432='تقرير مارس'!$C$6),COUNT(AC$4:AC1431)+1,"")</f>
        <v/>
      </c>
      <c r="AD1432">
        <f>IF(AND($A1432&lt;&gt;"",$B1432&lt;&gt;"",$R1432='تقرير أبريل'!$C$4,$P1432='تقرير أبريل'!$C$6),COUNT(AD$4:AD1431)+1,"")</f>
        <v/>
      </c>
      <c r="AE1432">
        <f>IF(AND($A1432&lt;&gt;"",$B1432&lt;&gt;"",$R1432='تقرير مايو'!$C$4,$P1432='تقرير مايو'!$C$6),COUNT(AE$4:AE1431)+1,"")</f>
        <v/>
      </c>
    </row>
    <row r="1433">
      <c r="A1433" s="16" t="n"/>
      <c r="B1433" s="17" t="n"/>
      <c r="C1433" s="17" t="n"/>
      <c r="D1433" s="18" t="n"/>
      <c r="E1433" s="17" t="n"/>
      <c r="F1433" s="17" t="n"/>
      <c r="G1433" s="19" t="n"/>
      <c r="H1433" s="17" t="n"/>
      <c r="I1433" s="17" t="n"/>
      <c r="J1433" s="17" t="n"/>
      <c r="K1433" s="20">
        <f>IF($B1433="","",IFERROR(INDEX(الموظفات!$A$5:$A$304,MATCH($B1433,الموظفات!$B$5:$B$304,0))&amp;"",""))</f>
        <v/>
      </c>
      <c r="L1433" s="21">
        <f>IF($B1433="","",IFERROR(INDEX(الموظفات!$C$5:$C$304,MATCH($B1433,الموظفات!$B$5:$B$304,0))&amp;"",""))</f>
        <v/>
      </c>
      <c r="M1433" s="20">
        <f>IF($B1433="","",IFERROR(INDEX(الموظفات!$D$5:$D$304,MATCH($B1433,الموظفات!$B$5:$B$304,0))&amp;"",""))</f>
        <v/>
      </c>
      <c r="N1433" s="20">
        <f>IF($B1433="","",IFERROR(INDEX(الموظفات!$E$5:$E$304,MATCH($B1433,الموظفات!$B$5:$B$304,0))&amp;"",""))</f>
        <v/>
      </c>
      <c r="O1433" s="21">
        <f>IF(C1433="","",IFERROR(INDEX(الإعدادات!$D$7:$D$35,MATCH(C1433,الإعدادات!$A$7:$A$35,0))&amp;"",""))</f>
        <v/>
      </c>
      <c r="P1433" s="20">
        <f>IF(A1433="","",INDEX(الإعدادات!$H$7:$H$18,MONTH(A1433)))</f>
        <v/>
      </c>
      <c r="Q1433" s="20">
        <f>IF(A1433="","",INDEX(الإعدادات!$I$7:$I$18,MONTH(A1433)))</f>
        <v/>
      </c>
      <c r="R1433" s="20">
        <f>IF(A1433="","",IF(MONTH(A1433)&gt;=8,YEAR(A1433)&amp;"-"&amp;(YEAR(A1433)+1),(YEAR(A1433)-1)&amp;"-"&amp;YEAR(A1433)))</f>
        <v/>
      </c>
      <c r="S1433" s="20">
        <f>IF(OR(A1433="",B1433=""),0,IF(AND(R1433=التقارير!$C$4,OR(التقارير!$C$5="سنوي",AND(التقارير!$C$5="شهري",P1433=التقارير!$C$6),AND(التقارير!$C$5="فصلي",Q1433=التقارير!$C$7))),1,0))</f>
        <v/>
      </c>
      <c r="T1433" s="20">
        <f>IF(S1433=1,COUNTIF($S$5:S1433,1),"")</f>
        <v/>
      </c>
      <c r="U1433">
        <f>IF(AND($A1433&lt;&gt;"",$B1433&lt;&gt;"",$R1433='تقرير الفصل الأول'!$C$4,$Q1433='تقرير الفصل الأول'!$C$7),COUNT(U$4:U1432)+1,"")</f>
        <v/>
      </c>
      <c r="V1433">
        <f>IF(AND($A1433&lt;&gt;"",$B1433&lt;&gt;"",$R1433='تقرير الفصل الثاني'!$C$4,$Q1433='تقرير الفصل الثاني'!$C$7),COUNT(V$4:V1432)+1,"")</f>
        <v/>
      </c>
      <c r="W1433">
        <f>IF(AND($A1433&lt;&gt;"",$B1433&lt;&gt;"",$R1433='تقرير سبتمبر'!$C$4,$P1433='تقرير سبتمبر'!$C$6),COUNT(W$4:W1432)+1,"")</f>
        <v/>
      </c>
      <c r="X1433">
        <f>IF(AND($A1433&lt;&gt;"",$B1433&lt;&gt;"",$R1433='تقرير أكتوبر'!$C$4,$P1433='تقرير أكتوبر'!$C$6),COUNT(X$4:X1432)+1,"")</f>
        <v/>
      </c>
      <c r="Y1433">
        <f>IF(AND($A1433&lt;&gt;"",$B1433&lt;&gt;"",$R1433='تقرير نوفمبر'!$C$4,$P1433='تقرير نوفمبر'!$C$6),COUNT(Y$4:Y1432)+1,"")</f>
        <v/>
      </c>
      <c r="Z1433">
        <f>IF(AND($A1433&lt;&gt;"",$B1433&lt;&gt;"",$R1433='تقرير ديسمبر'!$C$4,$P1433='تقرير ديسمبر'!$C$6),COUNT(Z$4:Z1432)+1,"")</f>
        <v/>
      </c>
      <c r="AA1433">
        <f>IF(AND($A1433&lt;&gt;"",$B1433&lt;&gt;"",$R1433='تقرير يناير'!$C$4,$P1433='تقرير يناير'!$C$6),COUNT(AA$4:AA1432)+1,"")</f>
        <v/>
      </c>
      <c r="AB1433">
        <f>IF(AND($A1433&lt;&gt;"",$B1433&lt;&gt;"",$R1433='تقرير فبراير'!$C$4,$P1433='تقرير فبراير'!$C$6),COUNT(AB$4:AB1432)+1,"")</f>
        <v/>
      </c>
      <c r="AC1433">
        <f>IF(AND($A1433&lt;&gt;"",$B1433&lt;&gt;"",$R1433='تقرير مارس'!$C$4,$P1433='تقرير مارس'!$C$6),COUNT(AC$4:AC1432)+1,"")</f>
        <v/>
      </c>
      <c r="AD1433">
        <f>IF(AND($A1433&lt;&gt;"",$B1433&lt;&gt;"",$R1433='تقرير أبريل'!$C$4,$P1433='تقرير أبريل'!$C$6),COUNT(AD$4:AD1432)+1,"")</f>
        <v/>
      </c>
      <c r="AE1433">
        <f>IF(AND($A1433&lt;&gt;"",$B1433&lt;&gt;"",$R1433='تقرير مايو'!$C$4,$P1433='تقرير مايو'!$C$6),COUNT(AE$4:AE1432)+1,"")</f>
        <v/>
      </c>
    </row>
    <row r="1434">
      <c r="A1434" s="16" t="n"/>
      <c r="B1434" s="17" t="n"/>
      <c r="C1434" s="17" t="n"/>
      <c r="D1434" s="18" t="n"/>
      <c r="E1434" s="17" t="n"/>
      <c r="F1434" s="17" t="n"/>
      <c r="G1434" s="19" t="n"/>
      <c r="H1434" s="17" t="n"/>
      <c r="I1434" s="17" t="n"/>
      <c r="J1434" s="17" t="n"/>
      <c r="K1434" s="20">
        <f>IF($B1434="","",IFERROR(INDEX(الموظفات!$A$5:$A$304,MATCH($B1434,الموظفات!$B$5:$B$304,0))&amp;"",""))</f>
        <v/>
      </c>
      <c r="L1434" s="21">
        <f>IF($B1434="","",IFERROR(INDEX(الموظفات!$C$5:$C$304,MATCH($B1434,الموظفات!$B$5:$B$304,0))&amp;"",""))</f>
        <v/>
      </c>
      <c r="M1434" s="20">
        <f>IF($B1434="","",IFERROR(INDEX(الموظفات!$D$5:$D$304,MATCH($B1434,الموظفات!$B$5:$B$304,0))&amp;"",""))</f>
        <v/>
      </c>
      <c r="N1434" s="20">
        <f>IF($B1434="","",IFERROR(INDEX(الموظفات!$E$5:$E$304,MATCH($B1434,الموظفات!$B$5:$B$304,0))&amp;"",""))</f>
        <v/>
      </c>
      <c r="O1434" s="21">
        <f>IF(C1434="","",IFERROR(INDEX(الإعدادات!$D$7:$D$35,MATCH(C1434,الإعدادات!$A$7:$A$35,0))&amp;"",""))</f>
        <v/>
      </c>
      <c r="P1434" s="20">
        <f>IF(A1434="","",INDEX(الإعدادات!$H$7:$H$18,MONTH(A1434)))</f>
        <v/>
      </c>
      <c r="Q1434" s="20">
        <f>IF(A1434="","",INDEX(الإعدادات!$I$7:$I$18,MONTH(A1434)))</f>
        <v/>
      </c>
      <c r="R1434" s="20">
        <f>IF(A1434="","",IF(MONTH(A1434)&gt;=8,YEAR(A1434)&amp;"-"&amp;(YEAR(A1434)+1),(YEAR(A1434)-1)&amp;"-"&amp;YEAR(A1434)))</f>
        <v/>
      </c>
      <c r="S1434" s="20">
        <f>IF(OR(A1434="",B1434=""),0,IF(AND(R1434=التقارير!$C$4,OR(التقارير!$C$5="سنوي",AND(التقارير!$C$5="شهري",P1434=التقارير!$C$6),AND(التقارير!$C$5="فصلي",Q1434=التقارير!$C$7))),1,0))</f>
        <v/>
      </c>
      <c r="T1434" s="20">
        <f>IF(S1434=1,COUNTIF($S$5:S1434,1),"")</f>
        <v/>
      </c>
      <c r="U1434">
        <f>IF(AND($A1434&lt;&gt;"",$B1434&lt;&gt;"",$R1434='تقرير الفصل الأول'!$C$4,$Q1434='تقرير الفصل الأول'!$C$7),COUNT(U$4:U1433)+1,"")</f>
        <v/>
      </c>
      <c r="V1434">
        <f>IF(AND($A1434&lt;&gt;"",$B1434&lt;&gt;"",$R1434='تقرير الفصل الثاني'!$C$4,$Q1434='تقرير الفصل الثاني'!$C$7),COUNT(V$4:V1433)+1,"")</f>
        <v/>
      </c>
      <c r="W1434">
        <f>IF(AND($A1434&lt;&gt;"",$B1434&lt;&gt;"",$R1434='تقرير سبتمبر'!$C$4,$P1434='تقرير سبتمبر'!$C$6),COUNT(W$4:W1433)+1,"")</f>
        <v/>
      </c>
      <c r="X1434">
        <f>IF(AND($A1434&lt;&gt;"",$B1434&lt;&gt;"",$R1434='تقرير أكتوبر'!$C$4,$P1434='تقرير أكتوبر'!$C$6),COUNT(X$4:X1433)+1,"")</f>
        <v/>
      </c>
      <c r="Y1434">
        <f>IF(AND($A1434&lt;&gt;"",$B1434&lt;&gt;"",$R1434='تقرير نوفمبر'!$C$4,$P1434='تقرير نوفمبر'!$C$6),COUNT(Y$4:Y1433)+1,"")</f>
        <v/>
      </c>
      <c r="Z1434">
        <f>IF(AND($A1434&lt;&gt;"",$B1434&lt;&gt;"",$R1434='تقرير ديسمبر'!$C$4,$P1434='تقرير ديسمبر'!$C$6),COUNT(Z$4:Z1433)+1,"")</f>
        <v/>
      </c>
      <c r="AA1434">
        <f>IF(AND($A1434&lt;&gt;"",$B1434&lt;&gt;"",$R1434='تقرير يناير'!$C$4,$P1434='تقرير يناير'!$C$6),COUNT(AA$4:AA1433)+1,"")</f>
        <v/>
      </c>
      <c r="AB1434">
        <f>IF(AND($A1434&lt;&gt;"",$B1434&lt;&gt;"",$R1434='تقرير فبراير'!$C$4,$P1434='تقرير فبراير'!$C$6),COUNT(AB$4:AB1433)+1,"")</f>
        <v/>
      </c>
      <c r="AC1434">
        <f>IF(AND($A1434&lt;&gt;"",$B1434&lt;&gt;"",$R1434='تقرير مارس'!$C$4,$P1434='تقرير مارس'!$C$6),COUNT(AC$4:AC1433)+1,"")</f>
        <v/>
      </c>
      <c r="AD1434">
        <f>IF(AND($A1434&lt;&gt;"",$B1434&lt;&gt;"",$R1434='تقرير أبريل'!$C$4,$P1434='تقرير أبريل'!$C$6),COUNT(AD$4:AD1433)+1,"")</f>
        <v/>
      </c>
      <c r="AE1434">
        <f>IF(AND($A1434&lt;&gt;"",$B1434&lt;&gt;"",$R1434='تقرير مايو'!$C$4,$P1434='تقرير مايو'!$C$6),COUNT(AE$4:AE1433)+1,"")</f>
        <v/>
      </c>
    </row>
    <row r="1435">
      <c r="A1435" s="16" t="n"/>
      <c r="B1435" s="17" t="n"/>
      <c r="C1435" s="17" t="n"/>
      <c r="D1435" s="18" t="n"/>
      <c r="E1435" s="17" t="n"/>
      <c r="F1435" s="17" t="n"/>
      <c r="G1435" s="19" t="n"/>
      <c r="H1435" s="17" t="n"/>
      <c r="I1435" s="17" t="n"/>
      <c r="J1435" s="17" t="n"/>
      <c r="K1435" s="20">
        <f>IF($B1435="","",IFERROR(INDEX(الموظفات!$A$5:$A$304,MATCH($B1435,الموظفات!$B$5:$B$304,0))&amp;"",""))</f>
        <v/>
      </c>
      <c r="L1435" s="21">
        <f>IF($B1435="","",IFERROR(INDEX(الموظفات!$C$5:$C$304,MATCH($B1435,الموظفات!$B$5:$B$304,0))&amp;"",""))</f>
        <v/>
      </c>
      <c r="M1435" s="20">
        <f>IF($B1435="","",IFERROR(INDEX(الموظفات!$D$5:$D$304,MATCH($B1435,الموظفات!$B$5:$B$304,0))&amp;"",""))</f>
        <v/>
      </c>
      <c r="N1435" s="20">
        <f>IF($B1435="","",IFERROR(INDEX(الموظفات!$E$5:$E$304,MATCH($B1435,الموظفات!$B$5:$B$304,0))&amp;"",""))</f>
        <v/>
      </c>
      <c r="O1435" s="21">
        <f>IF(C1435="","",IFERROR(INDEX(الإعدادات!$D$7:$D$35,MATCH(C1435,الإعدادات!$A$7:$A$35,0))&amp;"",""))</f>
        <v/>
      </c>
      <c r="P1435" s="20">
        <f>IF(A1435="","",INDEX(الإعدادات!$H$7:$H$18,MONTH(A1435)))</f>
        <v/>
      </c>
      <c r="Q1435" s="20">
        <f>IF(A1435="","",INDEX(الإعدادات!$I$7:$I$18,MONTH(A1435)))</f>
        <v/>
      </c>
      <c r="R1435" s="20">
        <f>IF(A1435="","",IF(MONTH(A1435)&gt;=8,YEAR(A1435)&amp;"-"&amp;(YEAR(A1435)+1),(YEAR(A1435)-1)&amp;"-"&amp;YEAR(A1435)))</f>
        <v/>
      </c>
      <c r="S1435" s="20">
        <f>IF(OR(A1435="",B1435=""),0,IF(AND(R1435=التقارير!$C$4,OR(التقارير!$C$5="سنوي",AND(التقارير!$C$5="شهري",P1435=التقارير!$C$6),AND(التقارير!$C$5="فصلي",Q1435=التقارير!$C$7))),1,0))</f>
        <v/>
      </c>
      <c r="T1435" s="20">
        <f>IF(S1435=1,COUNTIF($S$5:S1435,1),"")</f>
        <v/>
      </c>
      <c r="U1435">
        <f>IF(AND($A1435&lt;&gt;"",$B1435&lt;&gt;"",$R1435='تقرير الفصل الأول'!$C$4,$Q1435='تقرير الفصل الأول'!$C$7),COUNT(U$4:U1434)+1,"")</f>
        <v/>
      </c>
      <c r="V1435">
        <f>IF(AND($A1435&lt;&gt;"",$B1435&lt;&gt;"",$R1435='تقرير الفصل الثاني'!$C$4,$Q1435='تقرير الفصل الثاني'!$C$7),COUNT(V$4:V1434)+1,"")</f>
        <v/>
      </c>
      <c r="W1435">
        <f>IF(AND($A1435&lt;&gt;"",$B1435&lt;&gt;"",$R1435='تقرير سبتمبر'!$C$4,$P1435='تقرير سبتمبر'!$C$6),COUNT(W$4:W1434)+1,"")</f>
        <v/>
      </c>
      <c r="X1435">
        <f>IF(AND($A1435&lt;&gt;"",$B1435&lt;&gt;"",$R1435='تقرير أكتوبر'!$C$4,$P1435='تقرير أكتوبر'!$C$6),COUNT(X$4:X1434)+1,"")</f>
        <v/>
      </c>
      <c r="Y1435">
        <f>IF(AND($A1435&lt;&gt;"",$B1435&lt;&gt;"",$R1435='تقرير نوفمبر'!$C$4,$P1435='تقرير نوفمبر'!$C$6),COUNT(Y$4:Y1434)+1,"")</f>
        <v/>
      </c>
      <c r="Z1435">
        <f>IF(AND($A1435&lt;&gt;"",$B1435&lt;&gt;"",$R1435='تقرير ديسمبر'!$C$4,$P1435='تقرير ديسمبر'!$C$6),COUNT(Z$4:Z1434)+1,"")</f>
        <v/>
      </c>
      <c r="AA1435">
        <f>IF(AND($A1435&lt;&gt;"",$B1435&lt;&gt;"",$R1435='تقرير يناير'!$C$4,$P1435='تقرير يناير'!$C$6),COUNT(AA$4:AA1434)+1,"")</f>
        <v/>
      </c>
      <c r="AB1435">
        <f>IF(AND($A1435&lt;&gt;"",$B1435&lt;&gt;"",$R1435='تقرير فبراير'!$C$4,$P1435='تقرير فبراير'!$C$6),COUNT(AB$4:AB1434)+1,"")</f>
        <v/>
      </c>
      <c r="AC1435">
        <f>IF(AND($A1435&lt;&gt;"",$B1435&lt;&gt;"",$R1435='تقرير مارس'!$C$4,$P1435='تقرير مارس'!$C$6),COUNT(AC$4:AC1434)+1,"")</f>
        <v/>
      </c>
      <c r="AD1435">
        <f>IF(AND($A1435&lt;&gt;"",$B1435&lt;&gt;"",$R1435='تقرير أبريل'!$C$4,$P1435='تقرير أبريل'!$C$6),COUNT(AD$4:AD1434)+1,"")</f>
        <v/>
      </c>
      <c r="AE1435">
        <f>IF(AND($A1435&lt;&gt;"",$B1435&lt;&gt;"",$R1435='تقرير مايو'!$C$4,$P1435='تقرير مايو'!$C$6),COUNT(AE$4:AE1434)+1,"")</f>
        <v/>
      </c>
    </row>
    <row r="1436">
      <c r="A1436" s="16" t="n"/>
      <c r="B1436" s="17" t="n"/>
      <c r="C1436" s="17" t="n"/>
      <c r="D1436" s="18" t="n"/>
      <c r="E1436" s="17" t="n"/>
      <c r="F1436" s="17" t="n"/>
      <c r="G1436" s="19" t="n"/>
      <c r="H1436" s="17" t="n"/>
      <c r="I1436" s="17" t="n"/>
      <c r="J1436" s="17" t="n"/>
      <c r="K1436" s="20">
        <f>IF($B1436="","",IFERROR(INDEX(الموظفات!$A$5:$A$304,MATCH($B1436,الموظفات!$B$5:$B$304,0))&amp;"",""))</f>
        <v/>
      </c>
      <c r="L1436" s="21">
        <f>IF($B1436="","",IFERROR(INDEX(الموظفات!$C$5:$C$304,MATCH($B1436,الموظفات!$B$5:$B$304,0))&amp;"",""))</f>
        <v/>
      </c>
      <c r="M1436" s="20">
        <f>IF($B1436="","",IFERROR(INDEX(الموظفات!$D$5:$D$304,MATCH($B1436,الموظفات!$B$5:$B$304,0))&amp;"",""))</f>
        <v/>
      </c>
      <c r="N1436" s="20">
        <f>IF($B1436="","",IFERROR(INDEX(الموظفات!$E$5:$E$304,MATCH($B1436,الموظفات!$B$5:$B$304,0))&amp;"",""))</f>
        <v/>
      </c>
      <c r="O1436" s="21">
        <f>IF(C1436="","",IFERROR(INDEX(الإعدادات!$D$7:$D$35,MATCH(C1436,الإعدادات!$A$7:$A$35,0))&amp;"",""))</f>
        <v/>
      </c>
      <c r="P1436" s="20">
        <f>IF(A1436="","",INDEX(الإعدادات!$H$7:$H$18,MONTH(A1436)))</f>
        <v/>
      </c>
      <c r="Q1436" s="20">
        <f>IF(A1436="","",INDEX(الإعدادات!$I$7:$I$18,MONTH(A1436)))</f>
        <v/>
      </c>
      <c r="R1436" s="20">
        <f>IF(A1436="","",IF(MONTH(A1436)&gt;=8,YEAR(A1436)&amp;"-"&amp;(YEAR(A1436)+1),(YEAR(A1436)-1)&amp;"-"&amp;YEAR(A1436)))</f>
        <v/>
      </c>
      <c r="S1436" s="20">
        <f>IF(OR(A1436="",B1436=""),0,IF(AND(R1436=التقارير!$C$4,OR(التقارير!$C$5="سنوي",AND(التقارير!$C$5="شهري",P1436=التقارير!$C$6),AND(التقارير!$C$5="فصلي",Q1436=التقارير!$C$7))),1,0))</f>
        <v/>
      </c>
      <c r="T1436" s="20">
        <f>IF(S1436=1,COUNTIF($S$5:S1436,1),"")</f>
        <v/>
      </c>
      <c r="U1436">
        <f>IF(AND($A1436&lt;&gt;"",$B1436&lt;&gt;"",$R1436='تقرير الفصل الأول'!$C$4,$Q1436='تقرير الفصل الأول'!$C$7),COUNT(U$4:U1435)+1,"")</f>
        <v/>
      </c>
      <c r="V1436">
        <f>IF(AND($A1436&lt;&gt;"",$B1436&lt;&gt;"",$R1436='تقرير الفصل الثاني'!$C$4,$Q1436='تقرير الفصل الثاني'!$C$7),COUNT(V$4:V1435)+1,"")</f>
        <v/>
      </c>
      <c r="W1436">
        <f>IF(AND($A1436&lt;&gt;"",$B1436&lt;&gt;"",$R1436='تقرير سبتمبر'!$C$4,$P1436='تقرير سبتمبر'!$C$6),COUNT(W$4:W1435)+1,"")</f>
        <v/>
      </c>
      <c r="X1436">
        <f>IF(AND($A1436&lt;&gt;"",$B1436&lt;&gt;"",$R1436='تقرير أكتوبر'!$C$4,$P1436='تقرير أكتوبر'!$C$6),COUNT(X$4:X1435)+1,"")</f>
        <v/>
      </c>
      <c r="Y1436">
        <f>IF(AND($A1436&lt;&gt;"",$B1436&lt;&gt;"",$R1436='تقرير نوفمبر'!$C$4,$P1436='تقرير نوفمبر'!$C$6),COUNT(Y$4:Y1435)+1,"")</f>
        <v/>
      </c>
      <c r="Z1436">
        <f>IF(AND($A1436&lt;&gt;"",$B1436&lt;&gt;"",$R1436='تقرير ديسمبر'!$C$4,$P1436='تقرير ديسمبر'!$C$6),COUNT(Z$4:Z1435)+1,"")</f>
        <v/>
      </c>
      <c r="AA1436">
        <f>IF(AND($A1436&lt;&gt;"",$B1436&lt;&gt;"",$R1436='تقرير يناير'!$C$4,$P1436='تقرير يناير'!$C$6),COUNT(AA$4:AA1435)+1,"")</f>
        <v/>
      </c>
      <c r="AB1436">
        <f>IF(AND($A1436&lt;&gt;"",$B1436&lt;&gt;"",$R1436='تقرير فبراير'!$C$4,$P1436='تقرير فبراير'!$C$6),COUNT(AB$4:AB1435)+1,"")</f>
        <v/>
      </c>
      <c r="AC1436">
        <f>IF(AND($A1436&lt;&gt;"",$B1436&lt;&gt;"",$R1436='تقرير مارس'!$C$4,$P1436='تقرير مارس'!$C$6),COUNT(AC$4:AC1435)+1,"")</f>
        <v/>
      </c>
      <c r="AD1436">
        <f>IF(AND($A1436&lt;&gt;"",$B1436&lt;&gt;"",$R1436='تقرير أبريل'!$C$4,$P1436='تقرير أبريل'!$C$6),COUNT(AD$4:AD1435)+1,"")</f>
        <v/>
      </c>
      <c r="AE1436">
        <f>IF(AND($A1436&lt;&gt;"",$B1436&lt;&gt;"",$R1436='تقرير مايو'!$C$4,$P1436='تقرير مايو'!$C$6),COUNT(AE$4:AE1435)+1,"")</f>
        <v/>
      </c>
    </row>
    <row r="1437">
      <c r="A1437" s="16" t="n"/>
      <c r="B1437" s="17" t="n"/>
      <c r="C1437" s="17" t="n"/>
      <c r="D1437" s="18" t="n"/>
      <c r="E1437" s="17" t="n"/>
      <c r="F1437" s="17" t="n"/>
      <c r="G1437" s="19" t="n"/>
      <c r="H1437" s="17" t="n"/>
      <c r="I1437" s="17" t="n"/>
      <c r="J1437" s="17" t="n"/>
      <c r="K1437" s="20">
        <f>IF($B1437="","",IFERROR(INDEX(الموظفات!$A$5:$A$304,MATCH($B1437,الموظفات!$B$5:$B$304,0))&amp;"",""))</f>
        <v/>
      </c>
      <c r="L1437" s="21">
        <f>IF($B1437="","",IFERROR(INDEX(الموظفات!$C$5:$C$304,MATCH($B1437,الموظفات!$B$5:$B$304,0))&amp;"",""))</f>
        <v/>
      </c>
      <c r="M1437" s="20">
        <f>IF($B1437="","",IFERROR(INDEX(الموظفات!$D$5:$D$304,MATCH($B1437,الموظفات!$B$5:$B$304,0))&amp;"",""))</f>
        <v/>
      </c>
      <c r="N1437" s="20">
        <f>IF($B1437="","",IFERROR(INDEX(الموظفات!$E$5:$E$304,MATCH($B1437,الموظفات!$B$5:$B$304,0))&amp;"",""))</f>
        <v/>
      </c>
      <c r="O1437" s="21">
        <f>IF(C1437="","",IFERROR(INDEX(الإعدادات!$D$7:$D$35,MATCH(C1437,الإعدادات!$A$7:$A$35,0))&amp;"",""))</f>
        <v/>
      </c>
      <c r="P1437" s="20">
        <f>IF(A1437="","",INDEX(الإعدادات!$H$7:$H$18,MONTH(A1437)))</f>
        <v/>
      </c>
      <c r="Q1437" s="20">
        <f>IF(A1437="","",INDEX(الإعدادات!$I$7:$I$18,MONTH(A1437)))</f>
        <v/>
      </c>
      <c r="R1437" s="20">
        <f>IF(A1437="","",IF(MONTH(A1437)&gt;=8,YEAR(A1437)&amp;"-"&amp;(YEAR(A1437)+1),(YEAR(A1437)-1)&amp;"-"&amp;YEAR(A1437)))</f>
        <v/>
      </c>
      <c r="S1437" s="20">
        <f>IF(OR(A1437="",B1437=""),0,IF(AND(R1437=التقارير!$C$4,OR(التقارير!$C$5="سنوي",AND(التقارير!$C$5="شهري",P1437=التقارير!$C$6),AND(التقارير!$C$5="فصلي",Q1437=التقارير!$C$7))),1,0))</f>
        <v/>
      </c>
      <c r="T1437" s="20">
        <f>IF(S1437=1,COUNTIF($S$5:S1437,1),"")</f>
        <v/>
      </c>
      <c r="U1437">
        <f>IF(AND($A1437&lt;&gt;"",$B1437&lt;&gt;"",$R1437='تقرير الفصل الأول'!$C$4,$Q1437='تقرير الفصل الأول'!$C$7),COUNT(U$4:U1436)+1,"")</f>
        <v/>
      </c>
      <c r="V1437">
        <f>IF(AND($A1437&lt;&gt;"",$B1437&lt;&gt;"",$R1437='تقرير الفصل الثاني'!$C$4,$Q1437='تقرير الفصل الثاني'!$C$7),COUNT(V$4:V1436)+1,"")</f>
        <v/>
      </c>
      <c r="W1437">
        <f>IF(AND($A1437&lt;&gt;"",$B1437&lt;&gt;"",$R1437='تقرير سبتمبر'!$C$4,$P1437='تقرير سبتمبر'!$C$6),COUNT(W$4:W1436)+1,"")</f>
        <v/>
      </c>
      <c r="X1437">
        <f>IF(AND($A1437&lt;&gt;"",$B1437&lt;&gt;"",$R1437='تقرير أكتوبر'!$C$4,$P1437='تقرير أكتوبر'!$C$6),COUNT(X$4:X1436)+1,"")</f>
        <v/>
      </c>
      <c r="Y1437">
        <f>IF(AND($A1437&lt;&gt;"",$B1437&lt;&gt;"",$R1437='تقرير نوفمبر'!$C$4,$P1437='تقرير نوفمبر'!$C$6),COUNT(Y$4:Y1436)+1,"")</f>
        <v/>
      </c>
      <c r="Z1437">
        <f>IF(AND($A1437&lt;&gt;"",$B1437&lt;&gt;"",$R1437='تقرير ديسمبر'!$C$4,$P1437='تقرير ديسمبر'!$C$6),COUNT(Z$4:Z1436)+1,"")</f>
        <v/>
      </c>
      <c r="AA1437">
        <f>IF(AND($A1437&lt;&gt;"",$B1437&lt;&gt;"",$R1437='تقرير يناير'!$C$4,$P1437='تقرير يناير'!$C$6),COUNT(AA$4:AA1436)+1,"")</f>
        <v/>
      </c>
      <c r="AB1437">
        <f>IF(AND($A1437&lt;&gt;"",$B1437&lt;&gt;"",$R1437='تقرير فبراير'!$C$4,$P1437='تقرير فبراير'!$C$6),COUNT(AB$4:AB1436)+1,"")</f>
        <v/>
      </c>
      <c r="AC1437">
        <f>IF(AND($A1437&lt;&gt;"",$B1437&lt;&gt;"",$R1437='تقرير مارس'!$C$4,$P1437='تقرير مارس'!$C$6),COUNT(AC$4:AC1436)+1,"")</f>
        <v/>
      </c>
      <c r="AD1437">
        <f>IF(AND($A1437&lt;&gt;"",$B1437&lt;&gt;"",$R1437='تقرير أبريل'!$C$4,$P1437='تقرير أبريل'!$C$6),COUNT(AD$4:AD1436)+1,"")</f>
        <v/>
      </c>
      <c r="AE1437">
        <f>IF(AND($A1437&lt;&gt;"",$B1437&lt;&gt;"",$R1437='تقرير مايو'!$C$4,$P1437='تقرير مايو'!$C$6),COUNT(AE$4:AE1436)+1,"")</f>
        <v/>
      </c>
    </row>
    <row r="1438">
      <c r="A1438" s="16" t="n"/>
      <c r="B1438" s="17" t="n"/>
      <c r="C1438" s="17" t="n"/>
      <c r="D1438" s="18" t="n"/>
      <c r="E1438" s="17" t="n"/>
      <c r="F1438" s="17" t="n"/>
      <c r="G1438" s="19" t="n"/>
      <c r="H1438" s="17" t="n"/>
      <c r="I1438" s="17" t="n"/>
      <c r="J1438" s="17" t="n"/>
      <c r="K1438" s="20">
        <f>IF($B1438="","",IFERROR(INDEX(الموظفات!$A$5:$A$304,MATCH($B1438,الموظفات!$B$5:$B$304,0))&amp;"",""))</f>
        <v/>
      </c>
      <c r="L1438" s="21">
        <f>IF($B1438="","",IFERROR(INDEX(الموظفات!$C$5:$C$304,MATCH($B1438,الموظفات!$B$5:$B$304,0))&amp;"",""))</f>
        <v/>
      </c>
      <c r="M1438" s="20">
        <f>IF($B1438="","",IFERROR(INDEX(الموظفات!$D$5:$D$304,MATCH($B1438,الموظفات!$B$5:$B$304,0))&amp;"",""))</f>
        <v/>
      </c>
      <c r="N1438" s="20">
        <f>IF($B1438="","",IFERROR(INDEX(الموظفات!$E$5:$E$304,MATCH($B1438,الموظفات!$B$5:$B$304,0))&amp;"",""))</f>
        <v/>
      </c>
      <c r="O1438" s="21">
        <f>IF(C1438="","",IFERROR(INDEX(الإعدادات!$D$7:$D$35,MATCH(C1438,الإعدادات!$A$7:$A$35,0))&amp;"",""))</f>
        <v/>
      </c>
      <c r="P1438" s="20">
        <f>IF(A1438="","",INDEX(الإعدادات!$H$7:$H$18,MONTH(A1438)))</f>
        <v/>
      </c>
      <c r="Q1438" s="20">
        <f>IF(A1438="","",INDEX(الإعدادات!$I$7:$I$18,MONTH(A1438)))</f>
        <v/>
      </c>
      <c r="R1438" s="20">
        <f>IF(A1438="","",IF(MONTH(A1438)&gt;=8,YEAR(A1438)&amp;"-"&amp;(YEAR(A1438)+1),(YEAR(A1438)-1)&amp;"-"&amp;YEAR(A1438)))</f>
        <v/>
      </c>
      <c r="S1438" s="20">
        <f>IF(OR(A1438="",B1438=""),0,IF(AND(R1438=التقارير!$C$4,OR(التقارير!$C$5="سنوي",AND(التقارير!$C$5="شهري",P1438=التقارير!$C$6),AND(التقارير!$C$5="فصلي",Q1438=التقارير!$C$7))),1,0))</f>
        <v/>
      </c>
      <c r="T1438" s="20">
        <f>IF(S1438=1,COUNTIF($S$5:S1438,1),"")</f>
        <v/>
      </c>
      <c r="U1438">
        <f>IF(AND($A1438&lt;&gt;"",$B1438&lt;&gt;"",$R1438='تقرير الفصل الأول'!$C$4,$Q1438='تقرير الفصل الأول'!$C$7),COUNT(U$4:U1437)+1,"")</f>
        <v/>
      </c>
      <c r="V1438">
        <f>IF(AND($A1438&lt;&gt;"",$B1438&lt;&gt;"",$R1438='تقرير الفصل الثاني'!$C$4,$Q1438='تقرير الفصل الثاني'!$C$7),COUNT(V$4:V1437)+1,"")</f>
        <v/>
      </c>
      <c r="W1438">
        <f>IF(AND($A1438&lt;&gt;"",$B1438&lt;&gt;"",$R1438='تقرير سبتمبر'!$C$4,$P1438='تقرير سبتمبر'!$C$6),COUNT(W$4:W1437)+1,"")</f>
        <v/>
      </c>
      <c r="X1438">
        <f>IF(AND($A1438&lt;&gt;"",$B1438&lt;&gt;"",$R1438='تقرير أكتوبر'!$C$4,$P1438='تقرير أكتوبر'!$C$6),COUNT(X$4:X1437)+1,"")</f>
        <v/>
      </c>
      <c r="Y1438">
        <f>IF(AND($A1438&lt;&gt;"",$B1438&lt;&gt;"",$R1438='تقرير نوفمبر'!$C$4,$P1438='تقرير نوفمبر'!$C$6),COUNT(Y$4:Y1437)+1,"")</f>
        <v/>
      </c>
      <c r="Z1438">
        <f>IF(AND($A1438&lt;&gt;"",$B1438&lt;&gt;"",$R1438='تقرير ديسمبر'!$C$4,$P1438='تقرير ديسمبر'!$C$6),COUNT(Z$4:Z1437)+1,"")</f>
        <v/>
      </c>
      <c r="AA1438">
        <f>IF(AND($A1438&lt;&gt;"",$B1438&lt;&gt;"",$R1438='تقرير يناير'!$C$4,$P1438='تقرير يناير'!$C$6),COUNT(AA$4:AA1437)+1,"")</f>
        <v/>
      </c>
      <c r="AB1438">
        <f>IF(AND($A1438&lt;&gt;"",$B1438&lt;&gt;"",$R1438='تقرير فبراير'!$C$4,$P1438='تقرير فبراير'!$C$6),COUNT(AB$4:AB1437)+1,"")</f>
        <v/>
      </c>
      <c r="AC1438">
        <f>IF(AND($A1438&lt;&gt;"",$B1438&lt;&gt;"",$R1438='تقرير مارس'!$C$4,$P1438='تقرير مارس'!$C$6),COUNT(AC$4:AC1437)+1,"")</f>
        <v/>
      </c>
      <c r="AD1438">
        <f>IF(AND($A1438&lt;&gt;"",$B1438&lt;&gt;"",$R1438='تقرير أبريل'!$C$4,$P1438='تقرير أبريل'!$C$6),COUNT(AD$4:AD1437)+1,"")</f>
        <v/>
      </c>
      <c r="AE1438">
        <f>IF(AND($A1438&lt;&gt;"",$B1438&lt;&gt;"",$R1438='تقرير مايو'!$C$4,$P1438='تقرير مايو'!$C$6),COUNT(AE$4:AE1437)+1,"")</f>
        <v/>
      </c>
    </row>
    <row r="1439">
      <c r="A1439" s="16" t="n"/>
      <c r="B1439" s="17" t="n"/>
      <c r="C1439" s="17" t="n"/>
      <c r="D1439" s="18" t="n"/>
      <c r="E1439" s="17" t="n"/>
      <c r="F1439" s="17" t="n"/>
      <c r="G1439" s="19" t="n"/>
      <c r="H1439" s="17" t="n"/>
      <c r="I1439" s="17" t="n"/>
      <c r="J1439" s="17" t="n"/>
      <c r="K1439" s="20">
        <f>IF($B1439="","",IFERROR(INDEX(الموظفات!$A$5:$A$304,MATCH($B1439,الموظفات!$B$5:$B$304,0))&amp;"",""))</f>
        <v/>
      </c>
      <c r="L1439" s="21">
        <f>IF($B1439="","",IFERROR(INDEX(الموظفات!$C$5:$C$304,MATCH($B1439,الموظفات!$B$5:$B$304,0))&amp;"",""))</f>
        <v/>
      </c>
      <c r="M1439" s="20">
        <f>IF($B1439="","",IFERROR(INDEX(الموظفات!$D$5:$D$304,MATCH($B1439,الموظفات!$B$5:$B$304,0))&amp;"",""))</f>
        <v/>
      </c>
      <c r="N1439" s="20">
        <f>IF($B1439="","",IFERROR(INDEX(الموظفات!$E$5:$E$304,MATCH($B1439,الموظفات!$B$5:$B$304,0))&amp;"",""))</f>
        <v/>
      </c>
      <c r="O1439" s="21">
        <f>IF(C1439="","",IFERROR(INDEX(الإعدادات!$D$7:$D$35,MATCH(C1439,الإعدادات!$A$7:$A$35,0))&amp;"",""))</f>
        <v/>
      </c>
      <c r="P1439" s="20">
        <f>IF(A1439="","",INDEX(الإعدادات!$H$7:$H$18,MONTH(A1439)))</f>
        <v/>
      </c>
      <c r="Q1439" s="20">
        <f>IF(A1439="","",INDEX(الإعدادات!$I$7:$I$18,MONTH(A1439)))</f>
        <v/>
      </c>
      <c r="R1439" s="20">
        <f>IF(A1439="","",IF(MONTH(A1439)&gt;=8,YEAR(A1439)&amp;"-"&amp;(YEAR(A1439)+1),(YEAR(A1439)-1)&amp;"-"&amp;YEAR(A1439)))</f>
        <v/>
      </c>
      <c r="S1439" s="20">
        <f>IF(OR(A1439="",B1439=""),0,IF(AND(R1439=التقارير!$C$4,OR(التقارير!$C$5="سنوي",AND(التقارير!$C$5="شهري",P1439=التقارير!$C$6),AND(التقارير!$C$5="فصلي",Q1439=التقارير!$C$7))),1,0))</f>
        <v/>
      </c>
      <c r="T1439" s="20">
        <f>IF(S1439=1,COUNTIF($S$5:S1439,1),"")</f>
        <v/>
      </c>
      <c r="U1439">
        <f>IF(AND($A1439&lt;&gt;"",$B1439&lt;&gt;"",$R1439='تقرير الفصل الأول'!$C$4,$Q1439='تقرير الفصل الأول'!$C$7),COUNT(U$4:U1438)+1,"")</f>
        <v/>
      </c>
      <c r="V1439">
        <f>IF(AND($A1439&lt;&gt;"",$B1439&lt;&gt;"",$R1439='تقرير الفصل الثاني'!$C$4,$Q1439='تقرير الفصل الثاني'!$C$7),COUNT(V$4:V1438)+1,"")</f>
        <v/>
      </c>
      <c r="W1439">
        <f>IF(AND($A1439&lt;&gt;"",$B1439&lt;&gt;"",$R1439='تقرير سبتمبر'!$C$4,$P1439='تقرير سبتمبر'!$C$6),COUNT(W$4:W1438)+1,"")</f>
        <v/>
      </c>
      <c r="X1439">
        <f>IF(AND($A1439&lt;&gt;"",$B1439&lt;&gt;"",$R1439='تقرير أكتوبر'!$C$4,$P1439='تقرير أكتوبر'!$C$6),COUNT(X$4:X1438)+1,"")</f>
        <v/>
      </c>
      <c r="Y1439">
        <f>IF(AND($A1439&lt;&gt;"",$B1439&lt;&gt;"",$R1439='تقرير نوفمبر'!$C$4,$P1439='تقرير نوفمبر'!$C$6),COUNT(Y$4:Y1438)+1,"")</f>
        <v/>
      </c>
      <c r="Z1439">
        <f>IF(AND($A1439&lt;&gt;"",$B1439&lt;&gt;"",$R1439='تقرير ديسمبر'!$C$4,$P1439='تقرير ديسمبر'!$C$6),COUNT(Z$4:Z1438)+1,"")</f>
        <v/>
      </c>
      <c r="AA1439">
        <f>IF(AND($A1439&lt;&gt;"",$B1439&lt;&gt;"",$R1439='تقرير يناير'!$C$4,$P1439='تقرير يناير'!$C$6),COUNT(AA$4:AA1438)+1,"")</f>
        <v/>
      </c>
      <c r="AB1439">
        <f>IF(AND($A1439&lt;&gt;"",$B1439&lt;&gt;"",$R1439='تقرير فبراير'!$C$4,$P1439='تقرير فبراير'!$C$6),COUNT(AB$4:AB1438)+1,"")</f>
        <v/>
      </c>
      <c r="AC1439">
        <f>IF(AND($A1439&lt;&gt;"",$B1439&lt;&gt;"",$R1439='تقرير مارس'!$C$4,$P1439='تقرير مارس'!$C$6),COUNT(AC$4:AC1438)+1,"")</f>
        <v/>
      </c>
      <c r="AD1439">
        <f>IF(AND($A1439&lt;&gt;"",$B1439&lt;&gt;"",$R1439='تقرير أبريل'!$C$4,$P1439='تقرير أبريل'!$C$6),COUNT(AD$4:AD1438)+1,"")</f>
        <v/>
      </c>
      <c r="AE1439">
        <f>IF(AND($A1439&lt;&gt;"",$B1439&lt;&gt;"",$R1439='تقرير مايو'!$C$4,$P1439='تقرير مايو'!$C$6),COUNT(AE$4:AE1438)+1,"")</f>
        <v/>
      </c>
    </row>
    <row r="1440">
      <c r="A1440" s="16" t="n"/>
      <c r="B1440" s="17" t="n"/>
      <c r="C1440" s="17" t="n"/>
      <c r="D1440" s="18" t="n"/>
      <c r="E1440" s="17" t="n"/>
      <c r="F1440" s="17" t="n"/>
      <c r="G1440" s="19" t="n"/>
      <c r="H1440" s="17" t="n"/>
      <c r="I1440" s="17" t="n"/>
      <c r="J1440" s="17" t="n"/>
      <c r="K1440" s="20">
        <f>IF($B1440="","",IFERROR(INDEX(الموظفات!$A$5:$A$304,MATCH($B1440,الموظفات!$B$5:$B$304,0))&amp;"",""))</f>
        <v/>
      </c>
      <c r="L1440" s="21">
        <f>IF($B1440="","",IFERROR(INDEX(الموظفات!$C$5:$C$304,MATCH($B1440,الموظفات!$B$5:$B$304,0))&amp;"",""))</f>
        <v/>
      </c>
      <c r="M1440" s="20">
        <f>IF($B1440="","",IFERROR(INDEX(الموظفات!$D$5:$D$304,MATCH($B1440,الموظفات!$B$5:$B$304,0))&amp;"",""))</f>
        <v/>
      </c>
      <c r="N1440" s="20">
        <f>IF($B1440="","",IFERROR(INDEX(الموظفات!$E$5:$E$304,MATCH($B1440,الموظفات!$B$5:$B$304,0))&amp;"",""))</f>
        <v/>
      </c>
      <c r="O1440" s="21">
        <f>IF(C1440="","",IFERROR(INDEX(الإعدادات!$D$7:$D$35,MATCH(C1440,الإعدادات!$A$7:$A$35,0))&amp;"",""))</f>
        <v/>
      </c>
      <c r="P1440" s="20">
        <f>IF(A1440="","",INDEX(الإعدادات!$H$7:$H$18,MONTH(A1440)))</f>
        <v/>
      </c>
      <c r="Q1440" s="20">
        <f>IF(A1440="","",INDEX(الإعدادات!$I$7:$I$18,MONTH(A1440)))</f>
        <v/>
      </c>
      <c r="R1440" s="20">
        <f>IF(A1440="","",IF(MONTH(A1440)&gt;=8,YEAR(A1440)&amp;"-"&amp;(YEAR(A1440)+1),(YEAR(A1440)-1)&amp;"-"&amp;YEAR(A1440)))</f>
        <v/>
      </c>
      <c r="S1440" s="20">
        <f>IF(OR(A1440="",B1440=""),0,IF(AND(R1440=التقارير!$C$4,OR(التقارير!$C$5="سنوي",AND(التقارير!$C$5="شهري",P1440=التقارير!$C$6),AND(التقارير!$C$5="فصلي",Q1440=التقارير!$C$7))),1,0))</f>
        <v/>
      </c>
      <c r="T1440" s="20">
        <f>IF(S1440=1,COUNTIF($S$5:S1440,1),"")</f>
        <v/>
      </c>
      <c r="U1440">
        <f>IF(AND($A1440&lt;&gt;"",$B1440&lt;&gt;"",$R1440='تقرير الفصل الأول'!$C$4,$Q1440='تقرير الفصل الأول'!$C$7),COUNT(U$4:U1439)+1,"")</f>
        <v/>
      </c>
      <c r="V1440">
        <f>IF(AND($A1440&lt;&gt;"",$B1440&lt;&gt;"",$R1440='تقرير الفصل الثاني'!$C$4,$Q1440='تقرير الفصل الثاني'!$C$7),COUNT(V$4:V1439)+1,"")</f>
        <v/>
      </c>
      <c r="W1440">
        <f>IF(AND($A1440&lt;&gt;"",$B1440&lt;&gt;"",$R1440='تقرير سبتمبر'!$C$4,$P1440='تقرير سبتمبر'!$C$6),COUNT(W$4:W1439)+1,"")</f>
        <v/>
      </c>
      <c r="X1440">
        <f>IF(AND($A1440&lt;&gt;"",$B1440&lt;&gt;"",$R1440='تقرير أكتوبر'!$C$4,$P1440='تقرير أكتوبر'!$C$6),COUNT(X$4:X1439)+1,"")</f>
        <v/>
      </c>
      <c r="Y1440">
        <f>IF(AND($A1440&lt;&gt;"",$B1440&lt;&gt;"",$R1440='تقرير نوفمبر'!$C$4,$P1440='تقرير نوفمبر'!$C$6),COUNT(Y$4:Y1439)+1,"")</f>
        <v/>
      </c>
      <c r="Z1440">
        <f>IF(AND($A1440&lt;&gt;"",$B1440&lt;&gt;"",$R1440='تقرير ديسمبر'!$C$4,$P1440='تقرير ديسمبر'!$C$6),COUNT(Z$4:Z1439)+1,"")</f>
        <v/>
      </c>
      <c r="AA1440">
        <f>IF(AND($A1440&lt;&gt;"",$B1440&lt;&gt;"",$R1440='تقرير يناير'!$C$4,$P1440='تقرير يناير'!$C$6),COUNT(AA$4:AA1439)+1,"")</f>
        <v/>
      </c>
      <c r="AB1440">
        <f>IF(AND($A1440&lt;&gt;"",$B1440&lt;&gt;"",$R1440='تقرير فبراير'!$C$4,$P1440='تقرير فبراير'!$C$6),COUNT(AB$4:AB1439)+1,"")</f>
        <v/>
      </c>
      <c r="AC1440">
        <f>IF(AND($A1440&lt;&gt;"",$B1440&lt;&gt;"",$R1440='تقرير مارس'!$C$4,$P1440='تقرير مارس'!$C$6),COUNT(AC$4:AC1439)+1,"")</f>
        <v/>
      </c>
      <c r="AD1440">
        <f>IF(AND($A1440&lt;&gt;"",$B1440&lt;&gt;"",$R1440='تقرير أبريل'!$C$4,$P1440='تقرير أبريل'!$C$6),COUNT(AD$4:AD1439)+1,"")</f>
        <v/>
      </c>
      <c r="AE1440">
        <f>IF(AND($A1440&lt;&gt;"",$B1440&lt;&gt;"",$R1440='تقرير مايو'!$C$4,$P1440='تقرير مايو'!$C$6),COUNT(AE$4:AE1439)+1,"")</f>
        <v/>
      </c>
    </row>
    <row r="1441">
      <c r="A1441" s="16" t="n"/>
      <c r="B1441" s="17" t="n"/>
      <c r="C1441" s="17" t="n"/>
      <c r="D1441" s="18" t="n"/>
      <c r="E1441" s="17" t="n"/>
      <c r="F1441" s="17" t="n"/>
      <c r="G1441" s="19" t="n"/>
      <c r="H1441" s="17" t="n"/>
      <c r="I1441" s="17" t="n"/>
      <c r="J1441" s="17" t="n"/>
      <c r="K1441" s="20">
        <f>IF($B1441="","",IFERROR(INDEX(الموظفات!$A$5:$A$304,MATCH($B1441,الموظفات!$B$5:$B$304,0))&amp;"",""))</f>
        <v/>
      </c>
      <c r="L1441" s="21">
        <f>IF($B1441="","",IFERROR(INDEX(الموظفات!$C$5:$C$304,MATCH($B1441,الموظفات!$B$5:$B$304,0))&amp;"",""))</f>
        <v/>
      </c>
      <c r="M1441" s="20">
        <f>IF($B1441="","",IFERROR(INDEX(الموظفات!$D$5:$D$304,MATCH($B1441,الموظفات!$B$5:$B$304,0))&amp;"",""))</f>
        <v/>
      </c>
      <c r="N1441" s="20">
        <f>IF($B1441="","",IFERROR(INDEX(الموظفات!$E$5:$E$304,MATCH($B1441,الموظفات!$B$5:$B$304,0))&amp;"",""))</f>
        <v/>
      </c>
      <c r="O1441" s="21">
        <f>IF(C1441="","",IFERROR(INDEX(الإعدادات!$D$7:$D$35,MATCH(C1441,الإعدادات!$A$7:$A$35,0))&amp;"",""))</f>
        <v/>
      </c>
      <c r="P1441" s="20">
        <f>IF(A1441="","",INDEX(الإعدادات!$H$7:$H$18,MONTH(A1441)))</f>
        <v/>
      </c>
      <c r="Q1441" s="20">
        <f>IF(A1441="","",INDEX(الإعدادات!$I$7:$I$18,MONTH(A1441)))</f>
        <v/>
      </c>
      <c r="R1441" s="20">
        <f>IF(A1441="","",IF(MONTH(A1441)&gt;=8,YEAR(A1441)&amp;"-"&amp;(YEAR(A1441)+1),(YEAR(A1441)-1)&amp;"-"&amp;YEAR(A1441)))</f>
        <v/>
      </c>
      <c r="S1441" s="20">
        <f>IF(OR(A1441="",B1441=""),0,IF(AND(R1441=التقارير!$C$4,OR(التقارير!$C$5="سنوي",AND(التقارير!$C$5="شهري",P1441=التقارير!$C$6),AND(التقارير!$C$5="فصلي",Q1441=التقارير!$C$7))),1,0))</f>
        <v/>
      </c>
      <c r="T1441" s="20">
        <f>IF(S1441=1,COUNTIF($S$5:S1441,1),"")</f>
        <v/>
      </c>
      <c r="U1441">
        <f>IF(AND($A1441&lt;&gt;"",$B1441&lt;&gt;"",$R1441='تقرير الفصل الأول'!$C$4,$Q1441='تقرير الفصل الأول'!$C$7),COUNT(U$4:U1440)+1,"")</f>
        <v/>
      </c>
      <c r="V1441">
        <f>IF(AND($A1441&lt;&gt;"",$B1441&lt;&gt;"",$R1441='تقرير الفصل الثاني'!$C$4,$Q1441='تقرير الفصل الثاني'!$C$7),COUNT(V$4:V1440)+1,"")</f>
        <v/>
      </c>
      <c r="W1441">
        <f>IF(AND($A1441&lt;&gt;"",$B1441&lt;&gt;"",$R1441='تقرير سبتمبر'!$C$4,$P1441='تقرير سبتمبر'!$C$6),COUNT(W$4:W1440)+1,"")</f>
        <v/>
      </c>
      <c r="X1441">
        <f>IF(AND($A1441&lt;&gt;"",$B1441&lt;&gt;"",$R1441='تقرير أكتوبر'!$C$4,$P1441='تقرير أكتوبر'!$C$6),COUNT(X$4:X1440)+1,"")</f>
        <v/>
      </c>
      <c r="Y1441">
        <f>IF(AND($A1441&lt;&gt;"",$B1441&lt;&gt;"",$R1441='تقرير نوفمبر'!$C$4,$P1441='تقرير نوفمبر'!$C$6),COUNT(Y$4:Y1440)+1,"")</f>
        <v/>
      </c>
      <c r="Z1441">
        <f>IF(AND($A1441&lt;&gt;"",$B1441&lt;&gt;"",$R1441='تقرير ديسمبر'!$C$4,$P1441='تقرير ديسمبر'!$C$6),COUNT(Z$4:Z1440)+1,"")</f>
        <v/>
      </c>
      <c r="AA1441">
        <f>IF(AND($A1441&lt;&gt;"",$B1441&lt;&gt;"",$R1441='تقرير يناير'!$C$4,$P1441='تقرير يناير'!$C$6),COUNT(AA$4:AA1440)+1,"")</f>
        <v/>
      </c>
      <c r="AB1441">
        <f>IF(AND($A1441&lt;&gt;"",$B1441&lt;&gt;"",$R1441='تقرير فبراير'!$C$4,$P1441='تقرير فبراير'!$C$6),COUNT(AB$4:AB1440)+1,"")</f>
        <v/>
      </c>
      <c r="AC1441">
        <f>IF(AND($A1441&lt;&gt;"",$B1441&lt;&gt;"",$R1441='تقرير مارس'!$C$4,$P1441='تقرير مارس'!$C$6),COUNT(AC$4:AC1440)+1,"")</f>
        <v/>
      </c>
      <c r="AD1441">
        <f>IF(AND($A1441&lt;&gt;"",$B1441&lt;&gt;"",$R1441='تقرير أبريل'!$C$4,$P1441='تقرير أبريل'!$C$6),COUNT(AD$4:AD1440)+1,"")</f>
        <v/>
      </c>
      <c r="AE1441">
        <f>IF(AND($A1441&lt;&gt;"",$B1441&lt;&gt;"",$R1441='تقرير مايو'!$C$4,$P1441='تقرير مايو'!$C$6),COUNT(AE$4:AE1440)+1,"")</f>
        <v/>
      </c>
    </row>
    <row r="1442">
      <c r="A1442" s="16" t="n"/>
      <c r="B1442" s="17" t="n"/>
      <c r="C1442" s="17" t="n"/>
      <c r="D1442" s="18" t="n"/>
      <c r="E1442" s="17" t="n"/>
      <c r="F1442" s="17" t="n"/>
      <c r="G1442" s="19" t="n"/>
      <c r="H1442" s="17" t="n"/>
      <c r="I1442" s="17" t="n"/>
      <c r="J1442" s="17" t="n"/>
      <c r="K1442" s="20">
        <f>IF($B1442="","",IFERROR(INDEX(الموظفات!$A$5:$A$304,MATCH($B1442,الموظفات!$B$5:$B$304,0))&amp;"",""))</f>
        <v/>
      </c>
      <c r="L1442" s="21">
        <f>IF($B1442="","",IFERROR(INDEX(الموظفات!$C$5:$C$304,MATCH($B1442,الموظفات!$B$5:$B$304,0))&amp;"",""))</f>
        <v/>
      </c>
      <c r="M1442" s="20">
        <f>IF($B1442="","",IFERROR(INDEX(الموظفات!$D$5:$D$304,MATCH($B1442,الموظفات!$B$5:$B$304,0))&amp;"",""))</f>
        <v/>
      </c>
      <c r="N1442" s="20">
        <f>IF($B1442="","",IFERROR(INDEX(الموظفات!$E$5:$E$304,MATCH($B1442,الموظفات!$B$5:$B$304,0))&amp;"",""))</f>
        <v/>
      </c>
      <c r="O1442" s="21">
        <f>IF(C1442="","",IFERROR(INDEX(الإعدادات!$D$7:$D$35,MATCH(C1442,الإعدادات!$A$7:$A$35,0))&amp;"",""))</f>
        <v/>
      </c>
      <c r="P1442" s="20">
        <f>IF(A1442="","",INDEX(الإعدادات!$H$7:$H$18,MONTH(A1442)))</f>
        <v/>
      </c>
      <c r="Q1442" s="20">
        <f>IF(A1442="","",INDEX(الإعدادات!$I$7:$I$18,MONTH(A1442)))</f>
        <v/>
      </c>
      <c r="R1442" s="20">
        <f>IF(A1442="","",IF(MONTH(A1442)&gt;=8,YEAR(A1442)&amp;"-"&amp;(YEAR(A1442)+1),(YEAR(A1442)-1)&amp;"-"&amp;YEAR(A1442)))</f>
        <v/>
      </c>
      <c r="S1442" s="20">
        <f>IF(OR(A1442="",B1442=""),0,IF(AND(R1442=التقارير!$C$4,OR(التقارير!$C$5="سنوي",AND(التقارير!$C$5="شهري",P1442=التقارير!$C$6),AND(التقارير!$C$5="فصلي",Q1442=التقارير!$C$7))),1,0))</f>
        <v/>
      </c>
      <c r="T1442" s="20">
        <f>IF(S1442=1,COUNTIF($S$5:S1442,1),"")</f>
        <v/>
      </c>
      <c r="U1442">
        <f>IF(AND($A1442&lt;&gt;"",$B1442&lt;&gt;"",$R1442='تقرير الفصل الأول'!$C$4,$Q1442='تقرير الفصل الأول'!$C$7),COUNT(U$4:U1441)+1,"")</f>
        <v/>
      </c>
      <c r="V1442">
        <f>IF(AND($A1442&lt;&gt;"",$B1442&lt;&gt;"",$R1442='تقرير الفصل الثاني'!$C$4,$Q1442='تقرير الفصل الثاني'!$C$7),COUNT(V$4:V1441)+1,"")</f>
        <v/>
      </c>
      <c r="W1442">
        <f>IF(AND($A1442&lt;&gt;"",$B1442&lt;&gt;"",$R1442='تقرير سبتمبر'!$C$4,$P1442='تقرير سبتمبر'!$C$6),COUNT(W$4:W1441)+1,"")</f>
        <v/>
      </c>
      <c r="X1442">
        <f>IF(AND($A1442&lt;&gt;"",$B1442&lt;&gt;"",$R1442='تقرير أكتوبر'!$C$4,$P1442='تقرير أكتوبر'!$C$6),COUNT(X$4:X1441)+1,"")</f>
        <v/>
      </c>
      <c r="Y1442">
        <f>IF(AND($A1442&lt;&gt;"",$B1442&lt;&gt;"",$R1442='تقرير نوفمبر'!$C$4,$P1442='تقرير نوفمبر'!$C$6),COUNT(Y$4:Y1441)+1,"")</f>
        <v/>
      </c>
      <c r="Z1442">
        <f>IF(AND($A1442&lt;&gt;"",$B1442&lt;&gt;"",$R1442='تقرير ديسمبر'!$C$4,$P1442='تقرير ديسمبر'!$C$6),COUNT(Z$4:Z1441)+1,"")</f>
        <v/>
      </c>
      <c r="AA1442">
        <f>IF(AND($A1442&lt;&gt;"",$B1442&lt;&gt;"",$R1442='تقرير يناير'!$C$4,$P1442='تقرير يناير'!$C$6),COUNT(AA$4:AA1441)+1,"")</f>
        <v/>
      </c>
      <c r="AB1442">
        <f>IF(AND($A1442&lt;&gt;"",$B1442&lt;&gt;"",$R1442='تقرير فبراير'!$C$4,$P1442='تقرير فبراير'!$C$6),COUNT(AB$4:AB1441)+1,"")</f>
        <v/>
      </c>
      <c r="AC1442">
        <f>IF(AND($A1442&lt;&gt;"",$B1442&lt;&gt;"",$R1442='تقرير مارس'!$C$4,$P1442='تقرير مارس'!$C$6),COUNT(AC$4:AC1441)+1,"")</f>
        <v/>
      </c>
      <c r="AD1442">
        <f>IF(AND($A1442&lt;&gt;"",$B1442&lt;&gt;"",$R1442='تقرير أبريل'!$C$4,$P1442='تقرير أبريل'!$C$6),COUNT(AD$4:AD1441)+1,"")</f>
        <v/>
      </c>
      <c r="AE1442">
        <f>IF(AND($A1442&lt;&gt;"",$B1442&lt;&gt;"",$R1442='تقرير مايو'!$C$4,$P1442='تقرير مايو'!$C$6),COUNT(AE$4:AE1441)+1,"")</f>
        <v/>
      </c>
    </row>
    <row r="1443">
      <c r="A1443" s="16" t="n"/>
      <c r="B1443" s="17" t="n"/>
      <c r="C1443" s="17" t="n"/>
      <c r="D1443" s="18" t="n"/>
      <c r="E1443" s="17" t="n"/>
      <c r="F1443" s="17" t="n"/>
      <c r="G1443" s="19" t="n"/>
      <c r="H1443" s="17" t="n"/>
      <c r="I1443" s="17" t="n"/>
      <c r="J1443" s="17" t="n"/>
      <c r="K1443" s="20">
        <f>IF($B1443="","",IFERROR(INDEX(الموظفات!$A$5:$A$304,MATCH($B1443,الموظفات!$B$5:$B$304,0))&amp;"",""))</f>
        <v/>
      </c>
      <c r="L1443" s="21">
        <f>IF($B1443="","",IFERROR(INDEX(الموظفات!$C$5:$C$304,MATCH($B1443,الموظفات!$B$5:$B$304,0))&amp;"",""))</f>
        <v/>
      </c>
      <c r="M1443" s="20">
        <f>IF($B1443="","",IFERROR(INDEX(الموظفات!$D$5:$D$304,MATCH($B1443,الموظفات!$B$5:$B$304,0))&amp;"",""))</f>
        <v/>
      </c>
      <c r="N1443" s="20">
        <f>IF($B1443="","",IFERROR(INDEX(الموظفات!$E$5:$E$304,MATCH($B1443,الموظفات!$B$5:$B$304,0))&amp;"",""))</f>
        <v/>
      </c>
      <c r="O1443" s="21">
        <f>IF(C1443="","",IFERROR(INDEX(الإعدادات!$D$7:$D$35,MATCH(C1443,الإعدادات!$A$7:$A$35,0))&amp;"",""))</f>
        <v/>
      </c>
      <c r="P1443" s="20">
        <f>IF(A1443="","",INDEX(الإعدادات!$H$7:$H$18,MONTH(A1443)))</f>
        <v/>
      </c>
      <c r="Q1443" s="20">
        <f>IF(A1443="","",INDEX(الإعدادات!$I$7:$I$18,MONTH(A1443)))</f>
        <v/>
      </c>
      <c r="R1443" s="20">
        <f>IF(A1443="","",IF(MONTH(A1443)&gt;=8,YEAR(A1443)&amp;"-"&amp;(YEAR(A1443)+1),(YEAR(A1443)-1)&amp;"-"&amp;YEAR(A1443)))</f>
        <v/>
      </c>
      <c r="S1443" s="20">
        <f>IF(OR(A1443="",B1443=""),0,IF(AND(R1443=التقارير!$C$4,OR(التقارير!$C$5="سنوي",AND(التقارير!$C$5="شهري",P1443=التقارير!$C$6),AND(التقارير!$C$5="فصلي",Q1443=التقارير!$C$7))),1,0))</f>
        <v/>
      </c>
      <c r="T1443" s="20">
        <f>IF(S1443=1,COUNTIF($S$5:S1443,1),"")</f>
        <v/>
      </c>
      <c r="U1443">
        <f>IF(AND($A1443&lt;&gt;"",$B1443&lt;&gt;"",$R1443='تقرير الفصل الأول'!$C$4,$Q1443='تقرير الفصل الأول'!$C$7),COUNT(U$4:U1442)+1,"")</f>
        <v/>
      </c>
      <c r="V1443">
        <f>IF(AND($A1443&lt;&gt;"",$B1443&lt;&gt;"",$R1443='تقرير الفصل الثاني'!$C$4,$Q1443='تقرير الفصل الثاني'!$C$7),COUNT(V$4:V1442)+1,"")</f>
        <v/>
      </c>
      <c r="W1443">
        <f>IF(AND($A1443&lt;&gt;"",$B1443&lt;&gt;"",$R1443='تقرير سبتمبر'!$C$4,$P1443='تقرير سبتمبر'!$C$6),COUNT(W$4:W1442)+1,"")</f>
        <v/>
      </c>
      <c r="X1443">
        <f>IF(AND($A1443&lt;&gt;"",$B1443&lt;&gt;"",$R1443='تقرير أكتوبر'!$C$4,$P1443='تقرير أكتوبر'!$C$6),COUNT(X$4:X1442)+1,"")</f>
        <v/>
      </c>
      <c r="Y1443">
        <f>IF(AND($A1443&lt;&gt;"",$B1443&lt;&gt;"",$R1443='تقرير نوفمبر'!$C$4,$P1443='تقرير نوفمبر'!$C$6),COUNT(Y$4:Y1442)+1,"")</f>
        <v/>
      </c>
      <c r="Z1443">
        <f>IF(AND($A1443&lt;&gt;"",$B1443&lt;&gt;"",$R1443='تقرير ديسمبر'!$C$4,$P1443='تقرير ديسمبر'!$C$6),COUNT(Z$4:Z1442)+1,"")</f>
        <v/>
      </c>
      <c r="AA1443">
        <f>IF(AND($A1443&lt;&gt;"",$B1443&lt;&gt;"",$R1443='تقرير يناير'!$C$4,$P1443='تقرير يناير'!$C$6),COUNT(AA$4:AA1442)+1,"")</f>
        <v/>
      </c>
      <c r="AB1443">
        <f>IF(AND($A1443&lt;&gt;"",$B1443&lt;&gt;"",$R1443='تقرير فبراير'!$C$4,$P1443='تقرير فبراير'!$C$6),COUNT(AB$4:AB1442)+1,"")</f>
        <v/>
      </c>
      <c r="AC1443">
        <f>IF(AND($A1443&lt;&gt;"",$B1443&lt;&gt;"",$R1443='تقرير مارس'!$C$4,$P1443='تقرير مارس'!$C$6),COUNT(AC$4:AC1442)+1,"")</f>
        <v/>
      </c>
      <c r="AD1443">
        <f>IF(AND($A1443&lt;&gt;"",$B1443&lt;&gt;"",$R1443='تقرير أبريل'!$C$4,$P1443='تقرير أبريل'!$C$6),COUNT(AD$4:AD1442)+1,"")</f>
        <v/>
      </c>
      <c r="AE1443">
        <f>IF(AND($A1443&lt;&gt;"",$B1443&lt;&gt;"",$R1443='تقرير مايو'!$C$4,$P1443='تقرير مايو'!$C$6),COUNT(AE$4:AE1442)+1,"")</f>
        <v/>
      </c>
    </row>
    <row r="1444">
      <c r="A1444" s="16" t="n"/>
      <c r="B1444" s="17" t="n"/>
      <c r="C1444" s="17" t="n"/>
      <c r="D1444" s="18" t="n"/>
      <c r="E1444" s="17" t="n"/>
      <c r="F1444" s="17" t="n"/>
      <c r="G1444" s="19" t="n"/>
      <c r="H1444" s="17" t="n"/>
      <c r="I1444" s="17" t="n"/>
      <c r="J1444" s="17" t="n"/>
      <c r="K1444" s="20">
        <f>IF($B1444="","",IFERROR(INDEX(الموظفات!$A$5:$A$304,MATCH($B1444,الموظفات!$B$5:$B$304,0))&amp;"",""))</f>
        <v/>
      </c>
      <c r="L1444" s="21">
        <f>IF($B1444="","",IFERROR(INDEX(الموظفات!$C$5:$C$304,MATCH($B1444,الموظفات!$B$5:$B$304,0))&amp;"",""))</f>
        <v/>
      </c>
      <c r="M1444" s="20">
        <f>IF($B1444="","",IFERROR(INDEX(الموظفات!$D$5:$D$304,MATCH($B1444,الموظفات!$B$5:$B$304,0))&amp;"",""))</f>
        <v/>
      </c>
      <c r="N1444" s="20">
        <f>IF($B1444="","",IFERROR(INDEX(الموظفات!$E$5:$E$304,MATCH($B1444,الموظفات!$B$5:$B$304,0))&amp;"",""))</f>
        <v/>
      </c>
      <c r="O1444" s="21">
        <f>IF(C1444="","",IFERROR(INDEX(الإعدادات!$D$7:$D$35,MATCH(C1444,الإعدادات!$A$7:$A$35,0))&amp;"",""))</f>
        <v/>
      </c>
      <c r="P1444" s="20">
        <f>IF(A1444="","",INDEX(الإعدادات!$H$7:$H$18,MONTH(A1444)))</f>
        <v/>
      </c>
      <c r="Q1444" s="20">
        <f>IF(A1444="","",INDEX(الإعدادات!$I$7:$I$18,MONTH(A1444)))</f>
        <v/>
      </c>
      <c r="R1444" s="20">
        <f>IF(A1444="","",IF(MONTH(A1444)&gt;=8,YEAR(A1444)&amp;"-"&amp;(YEAR(A1444)+1),(YEAR(A1444)-1)&amp;"-"&amp;YEAR(A1444)))</f>
        <v/>
      </c>
      <c r="S1444" s="20">
        <f>IF(OR(A1444="",B1444=""),0,IF(AND(R1444=التقارير!$C$4,OR(التقارير!$C$5="سنوي",AND(التقارير!$C$5="شهري",P1444=التقارير!$C$6),AND(التقارير!$C$5="فصلي",Q1444=التقارير!$C$7))),1,0))</f>
        <v/>
      </c>
      <c r="T1444" s="20">
        <f>IF(S1444=1,COUNTIF($S$5:S1444,1),"")</f>
        <v/>
      </c>
      <c r="U1444">
        <f>IF(AND($A1444&lt;&gt;"",$B1444&lt;&gt;"",$R1444='تقرير الفصل الأول'!$C$4,$Q1444='تقرير الفصل الأول'!$C$7),COUNT(U$4:U1443)+1,"")</f>
        <v/>
      </c>
      <c r="V1444">
        <f>IF(AND($A1444&lt;&gt;"",$B1444&lt;&gt;"",$R1444='تقرير الفصل الثاني'!$C$4,$Q1444='تقرير الفصل الثاني'!$C$7),COUNT(V$4:V1443)+1,"")</f>
        <v/>
      </c>
      <c r="W1444">
        <f>IF(AND($A1444&lt;&gt;"",$B1444&lt;&gt;"",$R1444='تقرير سبتمبر'!$C$4,$P1444='تقرير سبتمبر'!$C$6),COUNT(W$4:W1443)+1,"")</f>
        <v/>
      </c>
      <c r="X1444">
        <f>IF(AND($A1444&lt;&gt;"",$B1444&lt;&gt;"",$R1444='تقرير أكتوبر'!$C$4,$P1444='تقرير أكتوبر'!$C$6),COUNT(X$4:X1443)+1,"")</f>
        <v/>
      </c>
      <c r="Y1444">
        <f>IF(AND($A1444&lt;&gt;"",$B1444&lt;&gt;"",$R1444='تقرير نوفمبر'!$C$4,$P1444='تقرير نوفمبر'!$C$6),COUNT(Y$4:Y1443)+1,"")</f>
        <v/>
      </c>
      <c r="Z1444">
        <f>IF(AND($A1444&lt;&gt;"",$B1444&lt;&gt;"",$R1444='تقرير ديسمبر'!$C$4,$P1444='تقرير ديسمبر'!$C$6),COUNT(Z$4:Z1443)+1,"")</f>
        <v/>
      </c>
      <c r="AA1444">
        <f>IF(AND($A1444&lt;&gt;"",$B1444&lt;&gt;"",$R1444='تقرير يناير'!$C$4,$P1444='تقرير يناير'!$C$6),COUNT(AA$4:AA1443)+1,"")</f>
        <v/>
      </c>
      <c r="AB1444">
        <f>IF(AND($A1444&lt;&gt;"",$B1444&lt;&gt;"",$R1444='تقرير فبراير'!$C$4,$P1444='تقرير فبراير'!$C$6),COUNT(AB$4:AB1443)+1,"")</f>
        <v/>
      </c>
      <c r="AC1444">
        <f>IF(AND($A1444&lt;&gt;"",$B1444&lt;&gt;"",$R1444='تقرير مارس'!$C$4,$P1444='تقرير مارس'!$C$6),COUNT(AC$4:AC1443)+1,"")</f>
        <v/>
      </c>
      <c r="AD1444">
        <f>IF(AND($A1444&lt;&gt;"",$B1444&lt;&gt;"",$R1444='تقرير أبريل'!$C$4,$P1444='تقرير أبريل'!$C$6),COUNT(AD$4:AD1443)+1,"")</f>
        <v/>
      </c>
      <c r="AE1444">
        <f>IF(AND($A1444&lt;&gt;"",$B1444&lt;&gt;"",$R1444='تقرير مايو'!$C$4,$P1444='تقرير مايو'!$C$6),COUNT(AE$4:AE1443)+1,"")</f>
        <v/>
      </c>
    </row>
    <row r="1445">
      <c r="A1445" s="16" t="n"/>
      <c r="B1445" s="17" t="n"/>
      <c r="C1445" s="17" t="n"/>
      <c r="D1445" s="18" t="n"/>
      <c r="E1445" s="17" t="n"/>
      <c r="F1445" s="17" t="n"/>
      <c r="G1445" s="19" t="n"/>
      <c r="H1445" s="17" t="n"/>
      <c r="I1445" s="17" t="n"/>
      <c r="J1445" s="17" t="n"/>
      <c r="K1445" s="20">
        <f>IF($B1445="","",IFERROR(INDEX(الموظفات!$A$5:$A$304,MATCH($B1445,الموظفات!$B$5:$B$304,0))&amp;"",""))</f>
        <v/>
      </c>
      <c r="L1445" s="21">
        <f>IF($B1445="","",IFERROR(INDEX(الموظفات!$C$5:$C$304,MATCH($B1445,الموظفات!$B$5:$B$304,0))&amp;"",""))</f>
        <v/>
      </c>
      <c r="M1445" s="20">
        <f>IF($B1445="","",IFERROR(INDEX(الموظفات!$D$5:$D$304,MATCH($B1445,الموظفات!$B$5:$B$304,0))&amp;"",""))</f>
        <v/>
      </c>
      <c r="N1445" s="20">
        <f>IF($B1445="","",IFERROR(INDEX(الموظفات!$E$5:$E$304,MATCH($B1445,الموظفات!$B$5:$B$304,0))&amp;"",""))</f>
        <v/>
      </c>
      <c r="O1445" s="21">
        <f>IF(C1445="","",IFERROR(INDEX(الإعدادات!$D$7:$D$35,MATCH(C1445,الإعدادات!$A$7:$A$35,0))&amp;"",""))</f>
        <v/>
      </c>
      <c r="P1445" s="20">
        <f>IF(A1445="","",INDEX(الإعدادات!$H$7:$H$18,MONTH(A1445)))</f>
        <v/>
      </c>
      <c r="Q1445" s="20">
        <f>IF(A1445="","",INDEX(الإعدادات!$I$7:$I$18,MONTH(A1445)))</f>
        <v/>
      </c>
      <c r="R1445" s="20">
        <f>IF(A1445="","",IF(MONTH(A1445)&gt;=8,YEAR(A1445)&amp;"-"&amp;(YEAR(A1445)+1),(YEAR(A1445)-1)&amp;"-"&amp;YEAR(A1445)))</f>
        <v/>
      </c>
      <c r="S1445" s="20">
        <f>IF(OR(A1445="",B1445=""),0,IF(AND(R1445=التقارير!$C$4,OR(التقارير!$C$5="سنوي",AND(التقارير!$C$5="شهري",P1445=التقارير!$C$6),AND(التقارير!$C$5="فصلي",Q1445=التقارير!$C$7))),1,0))</f>
        <v/>
      </c>
      <c r="T1445" s="20">
        <f>IF(S1445=1,COUNTIF($S$5:S1445,1),"")</f>
        <v/>
      </c>
      <c r="U1445">
        <f>IF(AND($A1445&lt;&gt;"",$B1445&lt;&gt;"",$R1445='تقرير الفصل الأول'!$C$4,$Q1445='تقرير الفصل الأول'!$C$7),COUNT(U$4:U1444)+1,"")</f>
        <v/>
      </c>
      <c r="V1445">
        <f>IF(AND($A1445&lt;&gt;"",$B1445&lt;&gt;"",$R1445='تقرير الفصل الثاني'!$C$4,$Q1445='تقرير الفصل الثاني'!$C$7),COUNT(V$4:V1444)+1,"")</f>
        <v/>
      </c>
      <c r="W1445">
        <f>IF(AND($A1445&lt;&gt;"",$B1445&lt;&gt;"",$R1445='تقرير سبتمبر'!$C$4,$P1445='تقرير سبتمبر'!$C$6),COUNT(W$4:W1444)+1,"")</f>
        <v/>
      </c>
      <c r="X1445">
        <f>IF(AND($A1445&lt;&gt;"",$B1445&lt;&gt;"",$R1445='تقرير أكتوبر'!$C$4,$P1445='تقرير أكتوبر'!$C$6),COUNT(X$4:X1444)+1,"")</f>
        <v/>
      </c>
      <c r="Y1445">
        <f>IF(AND($A1445&lt;&gt;"",$B1445&lt;&gt;"",$R1445='تقرير نوفمبر'!$C$4,$P1445='تقرير نوفمبر'!$C$6),COUNT(Y$4:Y1444)+1,"")</f>
        <v/>
      </c>
      <c r="Z1445">
        <f>IF(AND($A1445&lt;&gt;"",$B1445&lt;&gt;"",$R1445='تقرير ديسمبر'!$C$4,$P1445='تقرير ديسمبر'!$C$6),COUNT(Z$4:Z1444)+1,"")</f>
        <v/>
      </c>
      <c r="AA1445">
        <f>IF(AND($A1445&lt;&gt;"",$B1445&lt;&gt;"",$R1445='تقرير يناير'!$C$4,$P1445='تقرير يناير'!$C$6),COUNT(AA$4:AA1444)+1,"")</f>
        <v/>
      </c>
      <c r="AB1445">
        <f>IF(AND($A1445&lt;&gt;"",$B1445&lt;&gt;"",$R1445='تقرير فبراير'!$C$4,$P1445='تقرير فبراير'!$C$6),COUNT(AB$4:AB1444)+1,"")</f>
        <v/>
      </c>
      <c r="AC1445">
        <f>IF(AND($A1445&lt;&gt;"",$B1445&lt;&gt;"",$R1445='تقرير مارس'!$C$4,$P1445='تقرير مارس'!$C$6),COUNT(AC$4:AC1444)+1,"")</f>
        <v/>
      </c>
      <c r="AD1445">
        <f>IF(AND($A1445&lt;&gt;"",$B1445&lt;&gt;"",$R1445='تقرير أبريل'!$C$4,$P1445='تقرير أبريل'!$C$6),COUNT(AD$4:AD1444)+1,"")</f>
        <v/>
      </c>
      <c r="AE1445">
        <f>IF(AND($A1445&lt;&gt;"",$B1445&lt;&gt;"",$R1445='تقرير مايو'!$C$4,$P1445='تقرير مايو'!$C$6),COUNT(AE$4:AE1444)+1,"")</f>
        <v/>
      </c>
    </row>
    <row r="1446">
      <c r="A1446" s="16" t="n"/>
      <c r="B1446" s="17" t="n"/>
      <c r="C1446" s="17" t="n"/>
      <c r="D1446" s="18" t="n"/>
      <c r="E1446" s="17" t="n"/>
      <c r="F1446" s="17" t="n"/>
      <c r="G1446" s="19" t="n"/>
      <c r="H1446" s="17" t="n"/>
      <c r="I1446" s="17" t="n"/>
      <c r="J1446" s="17" t="n"/>
      <c r="K1446" s="20">
        <f>IF($B1446="","",IFERROR(INDEX(الموظفات!$A$5:$A$304,MATCH($B1446,الموظفات!$B$5:$B$304,0))&amp;"",""))</f>
        <v/>
      </c>
      <c r="L1446" s="21">
        <f>IF($B1446="","",IFERROR(INDEX(الموظفات!$C$5:$C$304,MATCH($B1446,الموظفات!$B$5:$B$304,0))&amp;"",""))</f>
        <v/>
      </c>
      <c r="M1446" s="20">
        <f>IF($B1446="","",IFERROR(INDEX(الموظفات!$D$5:$D$304,MATCH($B1446,الموظفات!$B$5:$B$304,0))&amp;"",""))</f>
        <v/>
      </c>
      <c r="N1446" s="20">
        <f>IF($B1446="","",IFERROR(INDEX(الموظفات!$E$5:$E$304,MATCH($B1446,الموظفات!$B$5:$B$304,0))&amp;"",""))</f>
        <v/>
      </c>
      <c r="O1446" s="21">
        <f>IF(C1446="","",IFERROR(INDEX(الإعدادات!$D$7:$D$35,MATCH(C1446,الإعدادات!$A$7:$A$35,0))&amp;"",""))</f>
        <v/>
      </c>
      <c r="P1446" s="20">
        <f>IF(A1446="","",INDEX(الإعدادات!$H$7:$H$18,MONTH(A1446)))</f>
        <v/>
      </c>
      <c r="Q1446" s="20">
        <f>IF(A1446="","",INDEX(الإعدادات!$I$7:$I$18,MONTH(A1446)))</f>
        <v/>
      </c>
      <c r="R1446" s="20">
        <f>IF(A1446="","",IF(MONTH(A1446)&gt;=8,YEAR(A1446)&amp;"-"&amp;(YEAR(A1446)+1),(YEAR(A1446)-1)&amp;"-"&amp;YEAR(A1446)))</f>
        <v/>
      </c>
      <c r="S1446" s="20">
        <f>IF(OR(A1446="",B1446=""),0,IF(AND(R1446=التقارير!$C$4,OR(التقارير!$C$5="سنوي",AND(التقارير!$C$5="شهري",P1446=التقارير!$C$6),AND(التقارير!$C$5="فصلي",Q1446=التقارير!$C$7))),1,0))</f>
        <v/>
      </c>
      <c r="T1446" s="20">
        <f>IF(S1446=1,COUNTIF($S$5:S1446,1),"")</f>
        <v/>
      </c>
      <c r="U1446">
        <f>IF(AND($A1446&lt;&gt;"",$B1446&lt;&gt;"",$R1446='تقرير الفصل الأول'!$C$4,$Q1446='تقرير الفصل الأول'!$C$7),COUNT(U$4:U1445)+1,"")</f>
        <v/>
      </c>
      <c r="V1446">
        <f>IF(AND($A1446&lt;&gt;"",$B1446&lt;&gt;"",$R1446='تقرير الفصل الثاني'!$C$4,$Q1446='تقرير الفصل الثاني'!$C$7),COUNT(V$4:V1445)+1,"")</f>
        <v/>
      </c>
      <c r="W1446">
        <f>IF(AND($A1446&lt;&gt;"",$B1446&lt;&gt;"",$R1446='تقرير سبتمبر'!$C$4,$P1446='تقرير سبتمبر'!$C$6),COUNT(W$4:W1445)+1,"")</f>
        <v/>
      </c>
      <c r="X1446">
        <f>IF(AND($A1446&lt;&gt;"",$B1446&lt;&gt;"",$R1446='تقرير أكتوبر'!$C$4,$P1446='تقرير أكتوبر'!$C$6),COUNT(X$4:X1445)+1,"")</f>
        <v/>
      </c>
      <c r="Y1446">
        <f>IF(AND($A1446&lt;&gt;"",$B1446&lt;&gt;"",$R1446='تقرير نوفمبر'!$C$4,$P1446='تقرير نوفمبر'!$C$6),COUNT(Y$4:Y1445)+1,"")</f>
        <v/>
      </c>
      <c r="Z1446">
        <f>IF(AND($A1446&lt;&gt;"",$B1446&lt;&gt;"",$R1446='تقرير ديسمبر'!$C$4,$P1446='تقرير ديسمبر'!$C$6),COUNT(Z$4:Z1445)+1,"")</f>
        <v/>
      </c>
      <c r="AA1446">
        <f>IF(AND($A1446&lt;&gt;"",$B1446&lt;&gt;"",$R1446='تقرير يناير'!$C$4,$P1446='تقرير يناير'!$C$6),COUNT(AA$4:AA1445)+1,"")</f>
        <v/>
      </c>
      <c r="AB1446">
        <f>IF(AND($A1446&lt;&gt;"",$B1446&lt;&gt;"",$R1446='تقرير فبراير'!$C$4,$P1446='تقرير فبراير'!$C$6),COUNT(AB$4:AB1445)+1,"")</f>
        <v/>
      </c>
      <c r="AC1446">
        <f>IF(AND($A1446&lt;&gt;"",$B1446&lt;&gt;"",$R1446='تقرير مارس'!$C$4,$P1446='تقرير مارس'!$C$6),COUNT(AC$4:AC1445)+1,"")</f>
        <v/>
      </c>
      <c r="AD1446">
        <f>IF(AND($A1446&lt;&gt;"",$B1446&lt;&gt;"",$R1446='تقرير أبريل'!$C$4,$P1446='تقرير أبريل'!$C$6),COUNT(AD$4:AD1445)+1,"")</f>
        <v/>
      </c>
      <c r="AE1446">
        <f>IF(AND($A1446&lt;&gt;"",$B1446&lt;&gt;"",$R1446='تقرير مايو'!$C$4,$P1446='تقرير مايو'!$C$6),COUNT(AE$4:AE1445)+1,"")</f>
        <v/>
      </c>
    </row>
    <row r="1447">
      <c r="A1447" s="16" t="n"/>
      <c r="B1447" s="17" t="n"/>
      <c r="C1447" s="17" t="n"/>
      <c r="D1447" s="18" t="n"/>
      <c r="E1447" s="17" t="n"/>
      <c r="F1447" s="17" t="n"/>
      <c r="G1447" s="19" t="n"/>
      <c r="H1447" s="17" t="n"/>
      <c r="I1447" s="17" t="n"/>
      <c r="J1447" s="17" t="n"/>
      <c r="K1447" s="20">
        <f>IF($B1447="","",IFERROR(INDEX(الموظفات!$A$5:$A$304,MATCH($B1447,الموظفات!$B$5:$B$304,0))&amp;"",""))</f>
        <v/>
      </c>
      <c r="L1447" s="21">
        <f>IF($B1447="","",IFERROR(INDEX(الموظفات!$C$5:$C$304,MATCH($B1447,الموظفات!$B$5:$B$304,0))&amp;"",""))</f>
        <v/>
      </c>
      <c r="M1447" s="20">
        <f>IF($B1447="","",IFERROR(INDEX(الموظفات!$D$5:$D$304,MATCH($B1447,الموظفات!$B$5:$B$304,0))&amp;"",""))</f>
        <v/>
      </c>
      <c r="N1447" s="20">
        <f>IF($B1447="","",IFERROR(INDEX(الموظفات!$E$5:$E$304,MATCH($B1447,الموظفات!$B$5:$B$304,0))&amp;"",""))</f>
        <v/>
      </c>
      <c r="O1447" s="21">
        <f>IF(C1447="","",IFERROR(INDEX(الإعدادات!$D$7:$D$35,MATCH(C1447,الإعدادات!$A$7:$A$35,0))&amp;"",""))</f>
        <v/>
      </c>
      <c r="P1447" s="20">
        <f>IF(A1447="","",INDEX(الإعدادات!$H$7:$H$18,MONTH(A1447)))</f>
        <v/>
      </c>
      <c r="Q1447" s="20">
        <f>IF(A1447="","",INDEX(الإعدادات!$I$7:$I$18,MONTH(A1447)))</f>
        <v/>
      </c>
      <c r="R1447" s="20">
        <f>IF(A1447="","",IF(MONTH(A1447)&gt;=8,YEAR(A1447)&amp;"-"&amp;(YEAR(A1447)+1),(YEAR(A1447)-1)&amp;"-"&amp;YEAR(A1447)))</f>
        <v/>
      </c>
      <c r="S1447" s="20">
        <f>IF(OR(A1447="",B1447=""),0,IF(AND(R1447=التقارير!$C$4,OR(التقارير!$C$5="سنوي",AND(التقارير!$C$5="شهري",P1447=التقارير!$C$6),AND(التقارير!$C$5="فصلي",Q1447=التقارير!$C$7))),1,0))</f>
        <v/>
      </c>
      <c r="T1447" s="20">
        <f>IF(S1447=1,COUNTIF($S$5:S1447,1),"")</f>
        <v/>
      </c>
      <c r="U1447">
        <f>IF(AND($A1447&lt;&gt;"",$B1447&lt;&gt;"",$R1447='تقرير الفصل الأول'!$C$4,$Q1447='تقرير الفصل الأول'!$C$7),COUNT(U$4:U1446)+1,"")</f>
        <v/>
      </c>
      <c r="V1447">
        <f>IF(AND($A1447&lt;&gt;"",$B1447&lt;&gt;"",$R1447='تقرير الفصل الثاني'!$C$4,$Q1447='تقرير الفصل الثاني'!$C$7),COUNT(V$4:V1446)+1,"")</f>
        <v/>
      </c>
      <c r="W1447">
        <f>IF(AND($A1447&lt;&gt;"",$B1447&lt;&gt;"",$R1447='تقرير سبتمبر'!$C$4,$P1447='تقرير سبتمبر'!$C$6),COUNT(W$4:W1446)+1,"")</f>
        <v/>
      </c>
      <c r="X1447">
        <f>IF(AND($A1447&lt;&gt;"",$B1447&lt;&gt;"",$R1447='تقرير أكتوبر'!$C$4,$P1447='تقرير أكتوبر'!$C$6),COUNT(X$4:X1446)+1,"")</f>
        <v/>
      </c>
      <c r="Y1447">
        <f>IF(AND($A1447&lt;&gt;"",$B1447&lt;&gt;"",$R1447='تقرير نوفمبر'!$C$4,$P1447='تقرير نوفمبر'!$C$6),COUNT(Y$4:Y1446)+1,"")</f>
        <v/>
      </c>
      <c r="Z1447">
        <f>IF(AND($A1447&lt;&gt;"",$B1447&lt;&gt;"",$R1447='تقرير ديسمبر'!$C$4,$P1447='تقرير ديسمبر'!$C$6),COUNT(Z$4:Z1446)+1,"")</f>
        <v/>
      </c>
      <c r="AA1447">
        <f>IF(AND($A1447&lt;&gt;"",$B1447&lt;&gt;"",$R1447='تقرير يناير'!$C$4,$P1447='تقرير يناير'!$C$6),COUNT(AA$4:AA1446)+1,"")</f>
        <v/>
      </c>
      <c r="AB1447">
        <f>IF(AND($A1447&lt;&gt;"",$B1447&lt;&gt;"",$R1447='تقرير فبراير'!$C$4,$P1447='تقرير فبراير'!$C$6),COUNT(AB$4:AB1446)+1,"")</f>
        <v/>
      </c>
      <c r="AC1447">
        <f>IF(AND($A1447&lt;&gt;"",$B1447&lt;&gt;"",$R1447='تقرير مارس'!$C$4,$P1447='تقرير مارس'!$C$6),COUNT(AC$4:AC1446)+1,"")</f>
        <v/>
      </c>
      <c r="AD1447">
        <f>IF(AND($A1447&lt;&gt;"",$B1447&lt;&gt;"",$R1447='تقرير أبريل'!$C$4,$P1447='تقرير أبريل'!$C$6),COUNT(AD$4:AD1446)+1,"")</f>
        <v/>
      </c>
      <c r="AE1447">
        <f>IF(AND($A1447&lt;&gt;"",$B1447&lt;&gt;"",$R1447='تقرير مايو'!$C$4,$P1447='تقرير مايو'!$C$6),COUNT(AE$4:AE1446)+1,"")</f>
        <v/>
      </c>
    </row>
    <row r="1448">
      <c r="A1448" s="16" t="n"/>
      <c r="B1448" s="17" t="n"/>
      <c r="C1448" s="17" t="n"/>
      <c r="D1448" s="18" t="n"/>
      <c r="E1448" s="17" t="n"/>
      <c r="F1448" s="17" t="n"/>
      <c r="G1448" s="19" t="n"/>
      <c r="H1448" s="17" t="n"/>
      <c r="I1448" s="17" t="n"/>
      <c r="J1448" s="17" t="n"/>
      <c r="K1448" s="20">
        <f>IF($B1448="","",IFERROR(INDEX(الموظفات!$A$5:$A$304,MATCH($B1448,الموظفات!$B$5:$B$304,0))&amp;"",""))</f>
        <v/>
      </c>
      <c r="L1448" s="21">
        <f>IF($B1448="","",IFERROR(INDEX(الموظفات!$C$5:$C$304,MATCH($B1448,الموظفات!$B$5:$B$304,0))&amp;"",""))</f>
        <v/>
      </c>
      <c r="M1448" s="20">
        <f>IF($B1448="","",IFERROR(INDEX(الموظفات!$D$5:$D$304,MATCH($B1448,الموظفات!$B$5:$B$304,0))&amp;"",""))</f>
        <v/>
      </c>
      <c r="N1448" s="20">
        <f>IF($B1448="","",IFERROR(INDEX(الموظفات!$E$5:$E$304,MATCH($B1448,الموظفات!$B$5:$B$304,0))&amp;"",""))</f>
        <v/>
      </c>
      <c r="O1448" s="21">
        <f>IF(C1448="","",IFERROR(INDEX(الإعدادات!$D$7:$D$35,MATCH(C1448,الإعدادات!$A$7:$A$35,0))&amp;"",""))</f>
        <v/>
      </c>
      <c r="P1448" s="20">
        <f>IF(A1448="","",INDEX(الإعدادات!$H$7:$H$18,MONTH(A1448)))</f>
        <v/>
      </c>
      <c r="Q1448" s="20">
        <f>IF(A1448="","",INDEX(الإعدادات!$I$7:$I$18,MONTH(A1448)))</f>
        <v/>
      </c>
      <c r="R1448" s="20">
        <f>IF(A1448="","",IF(MONTH(A1448)&gt;=8,YEAR(A1448)&amp;"-"&amp;(YEAR(A1448)+1),(YEAR(A1448)-1)&amp;"-"&amp;YEAR(A1448)))</f>
        <v/>
      </c>
      <c r="S1448" s="20">
        <f>IF(OR(A1448="",B1448=""),0,IF(AND(R1448=التقارير!$C$4,OR(التقارير!$C$5="سنوي",AND(التقارير!$C$5="شهري",P1448=التقارير!$C$6),AND(التقارير!$C$5="فصلي",Q1448=التقارير!$C$7))),1,0))</f>
        <v/>
      </c>
      <c r="T1448" s="20">
        <f>IF(S1448=1,COUNTIF($S$5:S1448,1),"")</f>
        <v/>
      </c>
      <c r="U1448">
        <f>IF(AND($A1448&lt;&gt;"",$B1448&lt;&gt;"",$R1448='تقرير الفصل الأول'!$C$4,$Q1448='تقرير الفصل الأول'!$C$7),COUNT(U$4:U1447)+1,"")</f>
        <v/>
      </c>
      <c r="V1448">
        <f>IF(AND($A1448&lt;&gt;"",$B1448&lt;&gt;"",$R1448='تقرير الفصل الثاني'!$C$4,$Q1448='تقرير الفصل الثاني'!$C$7),COUNT(V$4:V1447)+1,"")</f>
        <v/>
      </c>
      <c r="W1448">
        <f>IF(AND($A1448&lt;&gt;"",$B1448&lt;&gt;"",$R1448='تقرير سبتمبر'!$C$4,$P1448='تقرير سبتمبر'!$C$6),COUNT(W$4:W1447)+1,"")</f>
        <v/>
      </c>
      <c r="X1448">
        <f>IF(AND($A1448&lt;&gt;"",$B1448&lt;&gt;"",$R1448='تقرير أكتوبر'!$C$4,$P1448='تقرير أكتوبر'!$C$6),COUNT(X$4:X1447)+1,"")</f>
        <v/>
      </c>
      <c r="Y1448">
        <f>IF(AND($A1448&lt;&gt;"",$B1448&lt;&gt;"",$R1448='تقرير نوفمبر'!$C$4,$P1448='تقرير نوفمبر'!$C$6),COUNT(Y$4:Y1447)+1,"")</f>
        <v/>
      </c>
      <c r="Z1448">
        <f>IF(AND($A1448&lt;&gt;"",$B1448&lt;&gt;"",$R1448='تقرير ديسمبر'!$C$4,$P1448='تقرير ديسمبر'!$C$6),COUNT(Z$4:Z1447)+1,"")</f>
        <v/>
      </c>
      <c r="AA1448">
        <f>IF(AND($A1448&lt;&gt;"",$B1448&lt;&gt;"",$R1448='تقرير يناير'!$C$4,$P1448='تقرير يناير'!$C$6),COUNT(AA$4:AA1447)+1,"")</f>
        <v/>
      </c>
      <c r="AB1448">
        <f>IF(AND($A1448&lt;&gt;"",$B1448&lt;&gt;"",$R1448='تقرير فبراير'!$C$4,$P1448='تقرير فبراير'!$C$6),COUNT(AB$4:AB1447)+1,"")</f>
        <v/>
      </c>
      <c r="AC1448">
        <f>IF(AND($A1448&lt;&gt;"",$B1448&lt;&gt;"",$R1448='تقرير مارس'!$C$4,$P1448='تقرير مارس'!$C$6),COUNT(AC$4:AC1447)+1,"")</f>
        <v/>
      </c>
      <c r="AD1448">
        <f>IF(AND($A1448&lt;&gt;"",$B1448&lt;&gt;"",$R1448='تقرير أبريل'!$C$4,$P1448='تقرير أبريل'!$C$6),COUNT(AD$4:AD1447)+1,"")</f>
        <v/>
      </c>
      <c r="AE1448">
        <f>IF(AND($A1448&lt;&gt;"",$B1448&lt;&gt;"",$R1448='تقرير مايو'!$C$4,$P1448='تقرير مايو'!$C$6),COUNT(AE$4:AE1447)+1,"")</f>
        <v/>
      </c>
    </row>
    <row r="1449">
      <c r="A1449" s="16" t="n"/>
      <c r="B1449" s="17" t="n"/>
      <c r="C1449" s="17" t="n"/>
      <c r="D1449" s="18" t="n"/>
      <c r="E1449" s="17" t="n"/>
      <c r="F1449" s="17" t="n"/>
      <c r="G1449" s="19" t="n"/>
      <c r="H1449" s="17" t="n"/>
      <c r="I1449" s="17" t="n"/>
      <c r="J1449" s="17" t="n"/>
      <c r="K1449" s="20">
        <f>IF($B1449="","",IFERROR(INDEX(الموظفات!$A$5:$A$304,MATCH($B1449,الموظفات!$B$5:$B$304,0))&amp;"",""))</f>
        <v/>
      </c>
      <c r="L1449" s="21">
        <f>IF($B1449="","",IFERROR(INDEX(الموظفات!$C$5:$C$304,MATCH($B1449,الموظفات!$B$5:$B$304,0))&amp;"",""))</f>
        <v/>
      </c>
      <c r="M1449" s="20">
        <f>IF($B1449="","",IFERROR(INDEX(الموظفات!$D$5:$D$304,MATCH($B1449,الموظفات!$B$5:$B$304,0))&amp;"",""))</f>
        <v/>
      </c>
      <c r="N1449" s="20">
        <f>IF($B1449="","",IFERROR(INDEX(الموظفات!$E$5:$E$304,MATCH($B1449,الموظفات!$B$5:$B$304,0))&amp;"",""))</f>
        <v/>
      </c>
      <c r="O1449" s="21">
        <f>IF(C1449="","",IFERROR(INDEX(الإعدادات!$D$7:$D$35,MATCH(C1449,الإعدادات!$A$7:$A$35,0))&amp;"",""))</f>
        <v/>
      </c>
      <c r="P1449" s="20">
        <f>IF(A1449="","",INDEX(الإعدادات!$H$7:$H$18,MONTH(A1449)))</f>
        <v/>
      </c>
      <c r="Q1449" s="20">
        <f>IF(A1449="","",INDEX(الإعدادات!$I$7:$I$18,MONTH(A1449)))</f>
        <v/>
      </c>
      <c r="R1449" s="20">
        <f>IF(A1449="","",IF(MONTH(A1449)&gt;=8,YEAR(A1449)&amp;"-"&amp;(YEAR(A1449)+1),(YEAR(A1449)-1)&amp;"-"&amp;YEAR(A1449)))</f>
        <v/>
      </c>
      <c r="S1449" s="20">
        <f>IF(OR(A1449="",B1449=""),0,IF(AND(R1449=التقارير!$C$4,OR(التقارير!$C$5="سنوي",AND(التقارير!$C$5="شهري",P1449=التقارير!$C$6),AND(التقارير!$C$5="فصلي",Q1449=التقارير!$C$7))),1,0))</f>
        <v/>
      </c>
      <c r="T1449" s="20">
        <f>IF(S1449=1,COUNTIF($S$5:S1449,1),"")</f>
        <v/>
      </c>
      <c r="U1449">
        <f>IF(AND($A1449&lt;&gt;"",$B1449&lt;&gt;"",$R1449='تقرير الفصل الأول'!$C$4,$Q1449='تقرير الفصل الأول'!$C$7),COUNT(U$4:U1448)+1,"")</f>
        <v/>
      </c>
      <c r="V1449">
        <f>IF(AND($A1449&lt;&gt;"",$B1449&lt;&gt;"",$R1449='تقرير الفصل الثاني'!$C$4,$Q1449='تقرير الفصل الثاني'!$C$7),COUNT(V$4:V1448)+1,"")</f>
        <v/>
      </c>
      <c r="W1449">
        <f>IF(AND($A1449&lt;&gt;"",$B1449&lt;&gt;"",$R1449='تقرير سبتمبر'!$C$4,$P1449='تقرير سبتمبر'!$C$6),COUNT(W$4:W1448)+1,"")</f>
        <v/>
      </c>
      <c r="X1449">
        <f>IF(AND($A1449&lt;&gt;"",$B1449&lt;&gt;"",$R1449='تقرير أكتوبر'!$C$4,$P1449='تقرير أكتوبر'!$C$6),COUNT(X$4:X1448)+1,"")</f>
        <v/>
      </c>
      <c r="Y1449">
        <f>IF(AND($A1449&lt;&gt;"",$B1449&lt;&gt;"",$R1449='تقرير نوفمبر'!$C$4,$P1449='تقرير نوفمبر'!$C$6),COUNT(Y$4:Y1448)+1,"")</f>
        <v/>
      </c>
      <c r="Z1449">
        <f>IF(AND($A1449&lt;&gt;"",$B1449&lt;&gt;"",$R1449='تقرير ديسمبر'!$C$4,$P1449='تقرير ديسمبر'!$C$6),COUNT(Z$4:Z1448)+1,"")</f>
        <v/>
      </c>
      <c r="AA1449">
        <f>IF(AND($A1449&lt;&gt;"",$B1449&lt;&gt;"",$R1449='تقرير يناير'!$C$4,$P1449='تقرير يناير'!$C$6),COUNT(AA$4:AA1448)+1,"")</f>
        <v/>
      </c>
      <c r="AB1449">
        <f>IF(AND($A1449&lt;&gt;"",$B1449&lt;&gt;"",$R1449='تقرير فبراير'!$C$4,$P1449='تقرير فبراير'!$C$6),COUNT(AB$4:AB1448)+1,"")</f>
        <v/>
      </c>
      <c r="AC1449">
        <f>IF(AND($A1449&lt;&gt;"",$B1449&lt;&gt;"",$R1449='تقرير مارس'!$C$4,$P1449='تقرير مارس'!$C$6),COUNT(AC$4:AC1448)+1,"")</f>
        <v/>
      </c>
      <c r="AD1449">
        <f>IF(AND($A1449&lt;&gt;"",$B1449&lt;&gt;"",$R1449='تقرير أبريل'!$C$4,$P1449='تقرير أبريل'!$C$6),COUNT(AD$4:AD1448)+1,"")</f>
        <v/>
      </c>
      <c r="AE1449">
        <f>IF(AND($A1449&lt;&gt;"",$B1449&lt;&gt;"",$R1449='تقرير مايو'!$C$4,$P1449='تقرير مايو'!$C$6),COUNT(AE$4:AE1448)+1,"")</f>
        <v/>
      </c>
    </row>
    <row r="1450">
      <c r="A1450" s="16" t="n"/>
      <c r="B1450" s="17" t="n"/>
      <c r="C1450" s="17" t="n"/>
      <c r="D1450" s="18" t="n"/>
      <c r="E1450" s="17" t="n"/>
      <c r="F1450" s="17" t="n"/>
      <c r="G1450" s="19" t="n"/>
      <c r="H1450" s="17" t="n"/>
      <c r="I1450" s="17" t="n"/>
      <c r="J1450" s="17" t="n"/>
      <c r="K1450" s="20">
        <f>IF($B1450="","",IFERROR(INDEX(الموظفات!$A$5:$A$304,MATCH($B1450,الموظفات!$B$5:$B$304,0))&amp;"",""))</f>
        <v/>
      </c>
      <c r="L1450" s="21">
        <f>IF($B1450="","",IFERROR(INDEX(الموظفات!$C$5:$C$304,MATCH($B1450,الموظفات!$B$5:$B$304,0))&amp;"",""))</f>
        <v/>
      </c>
      <c r="M1450" s="20">
        <f>IF($B1450="","",IFERROR(INDEX(الموظفات!$D$5:$D$304,MATCH($B1450,الموظفات!$B$5:$B$304,0))&amp;"",""))</f>
        <v/>
      </c>
      <c r="N1450" s="20">
        <f>IF($B1450="","",IFERROR(INDEX(الموظفات!$E$5:$E$304,MATCH($B1450,الموظفات!$B$5:$B$304,0))&amp;"",""))</f>
        <v/>
      </c>
      <c r="O1450" s="21">
        <f>IF(C1450="","",IFERROR(INDEX(الإعدادات!$D$7:$D$35,MATCH(C1450,الإعدادات!$A$7:$A$35,0))&amp;"",""))</f>
        <v/>
      </c>
      <c r="P1450" s="20">
        <f>IF(A1450="","",INDEX(الإعدادات!$H$7:$H$18,MONTH(A1450)))</f>
        <v/>
      </c>
      <c r="Q1450" s="20">
        <f>IF(A1450="","",INDEX(الإعدادات!$I$7:$I$18,MONTH(A1450)))</f>
        <v/>
      </c>
      <c r="R1450" s="20">
        <f>IF(A1450="","",IF(MONTH(A1450)&gt;=8,YEAR(A1450)&amp;"-"&amp;(YEAR(A1450)+1),(YEAR(A1450)-1)&amp;"-"&amp;YEAR(A1450)))</f>
        <v/>
      </c>
      <c r="S1450" s="20">
        <f>IF(OR(A1450="",B1450=""),0,IF(AND(R1450=التقارير!$C$4,OR(التقارير!$C$5="سنوي",AND(التقارير!$C$5="شهري",P1450=التقارير!$C$6),AND(التقارير!$C$5="فصلي",Q1450=التقارير!$C$7))),1,0))</f>
        <v/>
      </c>
      <c r="T1450" s="20">
        <f>IF(S1450=1,COUNTIF($S$5:S1450,1),"")</f>
        <v/>
      </c>
      <c r="U1450">
        <f>IF(AND($A1450&lt;&gt;"",$B1450&lt;&gt;"",$R1450='تقرير الفصل الأول'!$C$4,$Q1450='تقرير الفصل الأول'!$C$7),COUNT(U$4:U1449)+1,"")</f>
        <v/>
      </c>
      <c r="V1450">
        <f>IF(AND($A1450&lt;&gt;"",$B1450&lt;&gt;"",$R1450='تقرير الفصل الثاني'!$C$4,$Q1450='تقرير الفصل الثاني'!$C$7),COUNT(V$4:V1449)+1,"")</f>
        <v/>
      </c>
      <c r="W1450">
        <f>IF(AND($A1450&lt;&gt;"",$B1450&lt;&gt;"",$R1450='تقرير سبتمبر'!$C$4,$P1450='تقرير سبتمبر'!$C$6),COUNT(W$4:W1449)+1,"")</f>
        <v/>
      </c>
      <c r="X1450">
        <f>IF(AND($A1450&lt;&gt;"",$B1450&lt;&gt;"",$R1450='تقرير أكتوبر'!$C$4,$P1450='تقرير أكتوبر'!$C$6),COUNT(X$4:X1449)+1,"")</f>
        <v/>
      </c>
      <c r="Y1450">
        <f>IF(AND($A1450&lt;&gt;"",$B1450&lt;&gt;"",$R1450='تقرير نوفمبر'!$C$4,$P1450='تقرير نوفمبر'!$C$6),COUNT(Y$4:Y1449)+1,"")</f>
        <v/>
      </c>
      <c r="Z1450">
        <f>IF(AND($A1450&lt;&gt;"",$B1450&lt;&gt;"",$R1450='تقرير ديسمبر'!$C$4,$P1450='تقرير ديسمبر'!$C$6),COUNT(Z$4:Z1449)+1,"")</f>
        <v/>
      </c>
      <c r="AA1450">
        <f>IF(AND($A1450&lt;&gt;"",$B1450&lt;&gt;"",$R1450='تقرير يناير'!$C$4,$P1450='تقرير يناير'!$C$6),COUNT(AA$4:AA1449)+1,"")</f>
        <v/>
      </c>
      <c r="AB1450">
        <f>IF(AND($A1450&lt;&gt;"",$B1450&lt;&gt;"",$R1450='تقرير فبراير'!$C$4,$P1450='تقرير فبراير'!$C$6),COUNT(AB$4:AB1449)+1,"")</f>
        <v/>
      </c>
      <c r="AC1450">
        <f>IF(AND($A1450&lt;&gt;"",$B1450&lt;&gt;"",$R1450='تقرير مارس'!$C$4,$P1450='تقرير مارس'!$C$6),COUNT(AC$4:AC1449)+1,"")</f>
        <v/>
      </c>
      <c r="AD1450">
        <f>IF(AND($A1450&lt;&gt;"",$B1450&lt;&gt;"",$R1450='تقرير أبريل'!$C$4,$P1450='تقرير أبريل'!$C$6),COUNT(AD$4:AD1449)+1,"")</f>
        <v/>
      </c>
      <c r="AE1450">
        <f>IF(AND($A1450&lt;&gt;"",$B1450&lt;&gt;"",$R1450='تقرير مايو'!$C$4,$P1450='تقرير مايو'!$C$6),COUNT(AE$4:AE1449)+1,"")</f>
        <v/>
      </c>
    </row>
    <row r="1451">
      <c r="A1451" s="16" t="n"/>
      <c r="B1451" s="17" t="n"/>
      <c r="C1451" s="17" t="n"/>
      <c r="D1451" s="18" t="n"/>
      <c r="E1451" s="17" t="n"/>
      <c r="F1451" s="17" t="n"/>
      <c r="G1451" s="19" t="n"/>
      <c r="H1451" s="17" t="n"/>
      <c r="I1451" s="17" t="n"/>
      <c r="J1451" s="17" t="n"/>
      <c r="K1451" s="20">
        <f>IF($B1451="","",IFERROR(INDEX(الموظفات!$A$5:$A$304,MATCH($B1451,الموظفات!$B$5:$B$304,0))&amp;"",""))</f>
        <v/>
      </c>
      <c r="L1451" s="21">
        <f>IF($B1451="","",IFERROR(INDEX(الموظفات!$C$5:$C$304,MATCH($B1451,الموظفات!$B$5:$B$304,0))&amp;"",""))</f>
        <v/>
      </c>
      <c r="M1451" s="20">
        <f>IF($B1451="","",IFERROR(INDEX(الموظفات!$D$5:$D$304,MATCH($B1451,الموظفات!$B$5:$B$304,0))&amp;"",""))</f>
        <v/>
      </c>
      <c r="N1451" s="20">
        <f>IF($B1451="","",IFERROR(INDEX(الموظفات!$E$5:$E$304,MATCH($B1451,الموظفات!$B$5:$B$304,0))&amp;"",""))</f>
        <v/>
      </c>
      <c r="O1451" s="21">
        <f>IF(C1451="","",IFERROR(INDEX(الإعدادات!$D$7:$D$35,MATCH(C1451,الإعدادات!$A$7:$A$35,0))&amp;"",""))</f>
        <v/>
      </c>
      <c r="P1451" s="20">
        <f>IF(A1451="","",INDEX(الإعدادات!$H$7:$H$18,MONTH(A1451)))</f>
        <v/>
      </c>
      <c r="Q1451" s="20">
        <f>IF(A1451="","",INDEX(الإعدادات!$I$7:$I$18,MONTH(A1451)))</f>
        <v/>
      </c>
      <c r="R1451" s="20">
        <f>IF(A1451="","",IF(MONTH(A1451)&gt;=8,YEAR(A1451)&amp;"-"&amp;(YEAR(A1451)+1),(YEAR(A1451)-1)&amp;"-"&amp;YEAR(A1451)))</f>
        <v/>
      </c>
      <c r="S1451" s="20">
        <f>IF(OR(A1451="",B1451=""),0,IF(AND(R1451=التقارير!$C$4,OR(التقارير!$C$5="سنوي",AND(التقارير!$C$5="شهري",P1451=التقارير!$C$6),AND(التقارير!$C$5="فصلي",Q1451=التقارير!$C$7))),1,0))</f>
        <v/>
      </c>
      <c r="T1451" s="20">
        <f>IF(S1451=1,COUNTIF($S$5:S1451,1),"")</f>
        <v/>
      </c>
      <c r="U1451">
        <f>IF(AND($A1451&lt;&gt;"",$B1451&lt;&gt;"",$R1451='تقرير الفصل الأول'!$C$4,$Q1451='تقرير الفصل الأول'!$C$7),COUNT(U$4:U1450)+1,"")</f>
        <v/>
      </c>
      <c r="V1451">
        <f>IF(AND($A1451&lt;&gt;"",$B1451&lt;&gt;"",$R1451='تقرير الفصل الثاني'!$C$4,$Q1451='تقرير الفصل الثاني'!$C$7),COUNT(V$4:V1450)+1,"")</f>
        <v/>
      </c>
      <c r="W1451">
        <f>IF(AND($A1451&lt;&gt;"",$B1451&lt;&gt;"",$R1451='تقرير سبتمبر'!$C$4,$P1451='تقرير سبتمبر'!$C$6),COUNT(W$4:W1450)+1,"")</f>
        <v/>
      </c>
      <c r="X1451">
        <f>IF(AND($A1451&lt;&gt;"",$B1451&lt;&gt;"",$R1451='تقرير أكتوبر'!$C$4,$P1451='تقرير أكتوبر'!$C$6),COUNT(X$4:X1450)+1,"")</f>
        <v/>
      </c>
      <c r="Y1451">
        <f>IF(AND($A1451&lt;&gt;"",$B1451&lt;&gt;"",$R1451='تقرير نوفمبر'!$C$4,$P1451='تقرير نوفمبر'!$C$6),COUNT(Y$4:Y1450)+1,"")</f>
        <v/>
      </c>
      <c r="Z1451">
        <f>IF(AND($A1451&lt;&gt;"",$B1451&lt;&gt;"",$R1451='تقرير ديسمبر'!$C$4,$P1451='تقرير ديسمبر'!$C$6),COUNT(Z$4:Z1450)+1,"")</f>
        <v/>
      </c>
      <c r="AA1451">
        <f>IF(AND($A1451&lt;&gt;"",$B1451&lt;&gt;"",$R1451='تقرير يناير'!$C$4,$P1451='تقرير يناير'!$C$6),COUNT(AA$4:AA1450)+1,"")</f>
        <v/>
      </c>
      <c r="AB1451">
        <f>IF(AND($A1451&lt;&gt;"",$B1451&lt;&gt;"",$R1451='تقرير فبراير'!$C$4,$P1451='تقرير فبراير'!$C$6),COUNT(AB$4:AB1450)+1,"")</f>
        <v/>
      </c>
      <c r="AC1451">
        <f>IF(AND($A1451&lt;&gt;"",$B1451&lt;&gt;"",$R1451='تقرير مارس'!$C$4,$P1451='تقرير مارس'!$C$6),COUNT(AC$4:AC1450)+1,"")</f>
        <v/>
      </c>
      <c r="AD1451">
        <f>IF(AND($A1451&lt;&gt;"",$B1451&lt;&gt;"",$R1451='تقرير أبريل'!$C$4,$P1451='تقرير أبريل'!$C$6),COUNT(AD$4:AD1450)+1,"")</f>
        <v/>
      </c>
      <c r="AE1451">
        <f>IF(AND($A1451&lt;&gt;"",$B1451&lt;&gt;"",$R1451='تقرير مايو'!$C$4,$P1451='تقرير مايو'!$C$6),COUNT(AE$4:AE1450)+1,"")</f>
        <v/>
      </c>
    </row>
    <row r="1452">
      <c r="A1452" s="16" t="n"/>
      <c r="B1452" s="17" t="n"/>
      <c r="C1452" s="17" t="n"/>
      <c r="D1452" s="18" t="n"/>
      <c r="E1452" s="17" t="n"/>
      <c r="F1452" s="17" t="n"/>
      <c r="G1452" s="19" t="n"/>
      <c r="H1452" s="17" t="n"/>
      <c r="I1452" s="17" t="n"/>
      <c r="J1452" s="17" t="n"/>
      <c r="K1452" s="20">
        <f>IF($B1452="","",IFERROR(INDEX(الموظفات!$A$5:$A$304,MATCH($B1452,الموظفات!$B$5:$B$304,0))&amp;"",""))</f>
        <v/>
      </c>
      <c r="L1452" s="21">
        <f>IF($B1452="","",IFERROR(INDEX(الموظفات!$C$5:$C$304,MATCH($B1452,الموظفات!$B$5:$B$304,0))&amp;"",""))</f>
        <v/>
      </c>
      <c r="M1452" s="20">
        <f>IF($B1452="","",IFERROR(INDEX(الموظفات!$D$5:$D$304,MATCH($B1452,الموظفات!$B$5:$B$304,0))&amp;"",""))</f>
        <v/>
      </c>
      <c r="N1452" s="20">
        <f>IF($B1452="","",IFERROR(INDEX(الموظفات!$E$5:$E$304,MATCH($B1452,الموظفات!$B$5:$B$304,0))&amp;"",""))</f>
        <v/>
      </c>
      <c r="O1452" s="21">
        <f>IF(C1452="","",IFERROR(INDEX(الإعدادات!$D$7:$D$35,MATCH(C1452,الإعدادات!$A$7:$A$35,0))&amp;"",""))</f>
        <v/>
      </c>
      <c r="P1452" s="20">
        <f>IF(A1452="","",INDEX(الإعدادات!$H$7:$H$18,MONTH(A1452)))</f>
        <v/>
      </c>
      <c r="Q1452" s="20">
        <f>IF(A1452="","",INDEX(الإعدادات!$I$7:$I$18,MONTH(A1452)))</f>
        <v/>
      </c>
      <c r="R1452" s="20">
        <f>IF(A1452="","",IF(MONTH(A1452)&gt;=8,YEAR(A1452)&amp;"-"&amp;(YEAR(A1452)+1),(YEAR(A1452)-1)&amp;"-"&amp;YEAR(A1452)))</f>
        <v/>
      </c>
      <c r="S1452" s="20">
        <f>IF(OR(A1452="",B1452=""),0,IF(AND(R1452=التقارير!$C$4,OR(التقارير!$C$5="سنوي",AND(التقارير!$C$5="شهري",P1452=التقارير!$C$6),AND(التقارير!$C$5="فصلي",Q1452=التقارير!$C$7))),1,0))</f>
        <v/>
      </c>
      <c r="T1452" s="20">
        <f>IF(S1452=1,COUNTIF($S$5:S1452,1),"")</f>
        <v/>
      </c>
      <c r="U1452">
        <f>IF(AND($A1452&lt;&gt;"",$B1452&lt;&gt;"",$R1452='تقرير الفصل الأول'!$C$4,$Q1452='تقرير الفصل الأول'!$C$7),COUNT(U$4:U1451)+1,"")</f>
        <v/>
      </c>
      <c r="V1452">
        <f>IF(AND($A1452&lt;&gt;"",$B1452&lt;&gt;"",$R1452='تقرير الفصل الثاني'!$C$4,$Q1452='تقرير الفصل الثاني'!$C$7),COUNT(V$4:V1451)+1,"")</f>
        <v/>
      </c>
      <c r="W1452">
        <f>IF(AND($A1452&lt;&gt;"",$B1452&lt;&gt;"",$R1452='تقرير سبتمبر'!$C$4,$P1452='تقرير سبتمبر'!$C$6),COUNT(W$4:W1451)+1,"")</f>
        <v/>
      </c>
      <c r="X1452">
        <f>IF(AND($A1452&lt;&gt;"",$B1452&lt;&gt;"",$R1452='تقرير أكتوبر'!$C$4,$P1452='تقرير أكتوبر'!$C$6),COUNT(X$4:X1451)+1,"")</f>
        <v/>
      </c>
      <c r="Y1452">
        <f>IF(AND($A1452&lt;&gt;"",$B1452&lt;&gt;"",$R1452='تقرير نوفمبر'!$C$4,$P1452='تقرير نوفمبر'!$C$6),COUNT(Y$4:Y1451)+1,"")</f>
        <v/>
      </c>
      <c r="Z1452">
        <f>IF(AND($A1452&lt;&gt;"",$B1452&lt;&gt;"",$R1452='تقرير ديسمبر'!$C$4,$P1452='تقرير ديسمبر'!$C$6),COUNT(Z$4:Z1451)+1,"")</f>
        <v/>
      </c>
      <c r="AA1452">
        <f>IF(AND($A1452&lt;&gt;"",$B1452&lt;&gt;"",$R1452='تقرير يناير'!$C$4,$P1452='تقرير يناير'!$C$6),COUNT(AA$4:AA1451)+1,"")</f>
        <v/>
      </c>
      <c r="AB1452">
        <f>IF(AND($A1452&lt;&gt;"",$B1452&lt;&gt;"",$R1452='تقرير فبراير'!$C$4,$P1452='تقرير فبراير'!$C$6),COUNT(AB$4:AB1451)+1,"")</f>
        <v/>
      </c>
      <c r="AC1452">
        <f>IF(AND($A1452&lt;&gt;"",$B1452&lt;&gt;"",$R1452='تقرير مارس'!$C$4,$P1452='تقرير مارس'!$C$6),COUNT(AC$4:AC1451)+1,"")</f>
        <v/>
      </c>
      <c r="AD1452">
        <f>IF(AND($A1452&lt;&gt;"",$B1452&lt;&gt;"",$R1452='تقرير أبريل'!$C$4,$P1452='تقرير أبريل'!$C$6),COUNT(AD$4:AD1451)+1,"")</f>
        <v/>
      </c>
      <c r="AE1452">
        <f>IF(AND($A1452&lt;&gt;"",$B1452&lt;&gt;"",$R1452='تقرير مايو'!$C$4,$P1452='تقرير مايو'!$C$6),COUNT(AE$4:AE1451)+1,"")</f>
        <v/>
      </c>
    </row>
    <row r="1453">
      <c r="A1453" s="16" t="n"/>
      <c r="B1453" s="17" t="n"/>
      <c r="C1453" s="17" t="n"/>
      <c r="D1453" s="18" t="n"/>
      <c r="E1453" s="17" t="n"/>
      <c r="F1453" s="17" t="n"/>
      <c r="G1453" s="19" t="n"/>
      <c r="H1453" s="17" t="n"/>
      <c r="I1453" s="17" t="n"/>
      <c r="J1453" s="17" t="n"/>
      <c r="K1453" s="20">
        <f>IF($B1453="","",IFERROR(INDEX(الموظفات!$A$5:$A$304,MATCH($B1453,الموظفات!$B$5:$B$304,0))&amp;"",""))</f>
        <v/>
      </c>
      <c r="L1453" s="21">
        <f>IF($B1453="","",IFERROR(INDEX(الموظفات!$C$5:$C$304,MATCH($B1453,الموظفات!$B$5:$B$304,0))&amp;"",""))</f>
        <v/>
      </c>
      <c r="M1453" s="20">
        <f>IF($B1453="","",IFERROR(INDEX(الموظفات!$D$5:$D$304,MATCH($B1453,الموظفات!$B$5:$B$304,0))&amp;"",""))</f>
        <v/>
      </c>
      <c r="N1453" s="20">
        <f>IF($B1453="","",IFERROR(INDEX(الموظفات!$E$5:$E$304,MATCH($B1453,الموظفات!$B$5:$B$304,0))&amp;"",""))</f>
        <v/>
      </c>
      <c r="O1453" s="21">
        <f>IF(C1453="","",IFERROR(INDEX(الإعدادات!$D$7:$D$35,MATCH(C1453,الإعدادات!$A$7:$A$35,0))&amp;"",""))</f>
        <v/>
      </c>
      <c r="P1453" s="20">
        <f>IF(A1453="","",INDEX(الإعدادات!$H$7:$H$18,MONTH(A1453)))</f>
        <v/>
      </c>
      <c r="Q1453" s="20">
        <f>IF(A1453="","",INDEX(الإعدادات!$I$7:$I$18,MONTH(A1453)))</f>
        <v/>
      </c>
      <c r="R1453" s="20">
        <f>IF(A1453="","",IF(MONTH(A1453)&gt;=8,YEAR(A1453)&amp;"-"&amp;(YEAR(A1453)+1),(YEAR(A1453)-1)&amp;"-"&amp;YEAR(A1453)))</f>
        <v/>
      </c>
      <c r="S1453" s="20">
        <f>IF(OR(A1453="",B1453=""),0,IF(AND(R1453=التقارير!$C$4,OR(التقارير!$C$5="سنوي",AND(التقارير!$C$5="شهري",P1453=التقارير!$C$6),AND(التقارير!$C$5="فصلي",Q1453=التقارير!$C$7))),1,0))</f>
        <v/>
      </c>
      <c r="T1453" s="20">
        <f>IF(S1453=1,COUNTIF($S$5:S1453,1),"")</f>
        <v/>
      </c>
      <c r="U1453">
        <f>IF(AND($A1453&lt;&gt;"",$B1453&lt;&gt;"",$R1453='تقرير الفصل الأول'!$C$4,$Q1453='تقرير الفصل الأول'!$C$7),COUNT(U$4:U1452)+1,"")</f>
        <v/>
      </c>
      <c r="V1453">
        <f>IF(AND($A1453&lt;&gt;"",$B1453&lt;&gt;"",$R1453='تقرير الفصل الثاني'!$C$4,$Q1453='تقرير الفصل الثاني'!$C$7),COUNT(V$4:V1452)+1,"")</f>
        <v/>
      </c>
      <c r="W1453">
        <f>IF(AND($A1453&lt;&gt;"",$B1453&lt;&gt;"",$R1453='تقرير سبتمبر'!$C$4,$P1453='تقرير سبتمبر'!$C$6),COUNT(W$4:W1452)+1,"")</f>
        <v/>
      </c>
      <c r="X1453">
        <f>IF(AND($A1453&lt;&gt;"",$B1453&lt;&gt;"",$R1453='تقرير أكتوبر'!$C$4,$P1453='تقرير أكتوبر'!$C$6),COUNT(X$4:X1452)+1,"")</f>
        <v/>
      </c>
      <c r="Y1453">
        <f>IF(AND($A1453&lt;&gt;"",$B1453&lt;&gt;"",$R1453='تقرير نوفمبر'!$C$4,$P1453='تقرير نوفمبر'!$C$6),COUNT(Y$4:Y1452)+1,"")</f>
        <v/>
      </c>
      <c r="Z1453">
        <f>IF(AND($A1453&lt;&gt;"",$B1453&lt;&gt;"",$R1453='تقرير ديسمبر'!$C$4,$P1453='تقرير ديسمبر'!$C$6),COUNT(Z$4:Z1452)+1,"")</f>
        <v/>
      </c>
      <c r="AA1453">
        <f>IF(AND($A1453&lt;&gt;"",$B1453&lt;&gt;"",$R1453='تقرير يناير'!$C$4,$P1453='تقرير يناير'!$C$6),COUNT(AA$4:AA1452)+1,"")</f>
        <v/>
      </c>
      <c r="AB1453">
        <f>IF(AND($A1453&lt;&gt;"",$B1453&lt;&gt;"",$R1453='تقرير فبراير'!$C$4,$P1453='تقرير فبراير'!$C$6),COUNT(AB$4:AB1452)+1,"")</f>
        <v/>
      </c>
      <c r="AC1453">
        <f>IF(AND($A1453&lt;&gt;"",$B1453&lt;&gt;"",$R1453='تقرير مارس'!$C$4,$P1453='تقرير مارس'!$C$6),COUNT(AC$4:AC1452)+1,"")</f>
        <v/>
      </c>
      <c r="AD1453">
        <f>IF(AND($A1453&lt;&gt;"",$B1453&lt;&gt;"",$R1453='تقرير أبريل'!$C$4,$P1453='تقرير أبريل'!$C$6),COUNT(AD$4:AD1452)+1,"")</f>
        <v/>
      </c>
      <c r="AE1453">
        <f>IF(AND($A1453&lt;&gt;"",$B1453&lt;&gt;"",$R1453='تقرير مايو'!$C$4,$P1453='تقرير مايو'!$C$6),COUNT(AE$4:AE1452)+1,"")</f>
        <v/>
      </c>
    </row>
    <row r="1454">
      <c r="A1454" s="16" t="n"/>
      <c r="B1454" s="17" t="n"/>
      <c r="C1454" s="17" t="n"/>
      <c r="D1454" s="18" t="n"/>
      <c r="E1454" s="17" t="n"/>
      <c r="F1454" s="17" t="n"/>
      <c r="G1454" s="19" t="n"/>
      <c r="H1454" s="17" t="n"/>
      <c r="I1454" s="17" t="n"/>
      <c r="J1454" s="17" t="n"/>
      <c r="K1454" s="20">
        <f>IF($B1454="","",IFERROR(INDEX(الموظفات!$A$5:$A$304,MATCH($B1454,الموظفات!$B$5:$B$304,0))&amp;"",""))</f>
        <v/>
      </c>
      <c r="L1454" s="21">
        <f>IF($B1454="","",IFERROR(INDEX(الموظفات!$C$5:$C$304,MATCH($B1454,الموظفات!$B$5:$B$304,0))&amp;"",""))</f>
        <v/>
      </c>
      <c r="M1454" s="20">
        <f>IF($B1454="","",IFERROR(INDEX(الموظفات!$D$5:$D$304,MATCH($B1454,الموظفات!$B$5:$B$304,0))&amp;"",""))</f>
        <v/>
      </c>
      <c r="N1454" s="20">
        <f>IF($B1454="","",IFERROR(INDEX(الموظفات!$E$5:$E$304,MATCH($B1454,الموظفات!$B$5:$B$304,0))&amp;"",""))</f>
        <v/>
      </c>
      <c r="O1454" s="21">
        <f>IF(C1454="","",IFERROR(INDEX(الإعدادات!$D$7:$D$35,MATCH(C1454,الإعدادات!$A$7:$A$35,0))&amp;"",""))</f>
        <v/>
      </c>
      <c r="P1454" s="20">
        <f>IF(A1454="","",INDEX(الإعدادات!$H$7:$H$18,MONTH(A1454)))</f>
        <v/>
      </c>
      <c r="Q1454" s="20">
        <f>IF(A1454="","",INDEX(الإعدادات!$I$7:$I$18,MONTH(A1454)))</f>
        <v/>
      </c>
      <c r="R1454" s="20">
        <f>IF(A1454="","",IF(MONTH(A1454)&gt;=8,YEAR(A1454)&amp;"-"&amp;(YEAR(A1454)+1),(YEAR(A1454)-1)&amp;"-"&amp;YEAR(A1454)))</f>
        <v/>
      </c>
      <c r="S1454" s="20">
        <f>IF(OR(A1454="",B1454=""),0,IF(AND(R1454=التقارير!$C$4,OR(التقارير!$C$5="سنوي",AND(التقارير!$C$5="شهري",P1454=التقارير!$C$6),AND(التقارير!$C$5="فصلي",Q1454=التقارير!$C$7))),1,0))</f>
        <v/>
      </c>
      <c r="T1454" s="20">
        <f>IF(S1454=1,COUNTIF($S$5:S1454,1),"")</f>
        <v/>
      </c>
      <c r="U1454">
        <f>IF(AND($A1454&lt;&gt;"",$B1454&lt;&gt;"",$R1454='تقرير الفصل الأول'!$C$4,$Q1454='تقرير الفصل الأول'!$C$7),COUNT(U$4:U1453)+1,"")</f>
        <v/>
      </c>
      <c r="V1454">
        <f>IF(AND($A1454&lt;&gt;"",$B1454&lt;&gt;"",$R1454='تقرير الفصل الثاني'!$C$4,$Q1454='تقرير الفصل الثاني'!$C$7),COUNT(V$4:V1453)+1,"")</f>
        <v/>
      </c>
      <c r="W1454">
        <f>IF(AND($A1454&lt;&gt;"",$B1454&lt;&gt;"",$R1454='تقرير سبتمبر'!$C$4,$P1454='تقرير سبتمبر'!$C$6),COUNT(W$4:W1453)+1,"")</f>
        <v/>
      </c>
      <c r="X1454">
        <f>IF(AND($A1454&lt;&gt;"",$B1454&lt;&gt;"",$R1454='تقرير أكتوبر'!$C$4,$P1454='تقرير أكتوبر'!$C$6),COUNT(X$4:X1453)+1,"")</f>
        <v/>
      </c>
      <c r="Y1454">
        <f>IF(AND($A1454&lt;&gt;"",$B1454&lt;&gt;"",$R1454='تقرير نوفمبر'!$C$4,$P1454='تقرير نوفمبر'!$C$6),COUNT(Y$4:Y1453)+1,"")</f>
        <v/>
      </c>
      <c r="Z1454">
        <f>IF(AND($A1454&lt;&gt;"",$B1454&lt;&gt;"",$R1454='تقرير ديسمبر'!$C$4,$P1454='تقرير ديسمبر'!$C$6),COUNT(Z$4:Z1453)+1,"")</f>
        <v/>
      </c>
      <c r="AA1454">
        <f>IF(AND($A1454&lt;&gt;"",$B1454&lt;&gt;"",$R1454='تقرير يناير'!$C$4,$P1454='تقرير يناير'!$C$6),COUNT(AA$4:AA1453)+1,"")</f>
        <v/>
      </c>
      <c r="AB1454">
        <f>IF(AND($A1454&lt;&gt;"",$B1454&lt;&gt;"",$R1454='تقرير فبراير'!$C$4,$P1454='تقرير فبراير'!$C$6),COUNT(AB$4:AB1453)+1,"")</f>
        <v/>
      </c>
      <c r="AC1454">
        <f>IF(AND($A1454&lt;&gt;"",$B1454&lt;&gt;"",$R1454='تقرير مارس'!$C$4,$P1454='تقرير مارس'!$C$6),COUNT(AC$4:AC1453)+1,"")</f>
        <v/>
      </c>
      <c r="AD1454">
        <f>IF(AND($A1454&lt;&gt;"",$B1454&lt;&gt;"",$R1454='تقرير أبريل'!$C$4,$P1454='تقرير أبريل'!$C$6),COUNT(AD$4:AD1453)+1,"")</f>
        <v/>
      </c>
      <c r="AE1454">
        <f>IF(AND($A1454&lt;&gt;"",$B1454&lt;&gt;"",$R1454='تقرير مايو'!$C$4,$P1454='تقرير مايو'!$C$6),COUNT(AE$4:AE1453)+1,"")</f>
        <v/>
      </c>
    </row>
    <row r="1455">
      <c r="A1455" s="16" t="n"/>
      <c r="B1455" s="17" t="n"/>
      <c r="C1455" s="17" t="n"/>
      <c r="D1455" s="18" t="n"/>
      <c r="E1455" s="17" t="n"/>
      <c r="F1455" s="17" t="n"/>
      <c r="G1455" s="19" t="n"/>
      <c r="H1455" s="17" t="n"/>
      <c r="I1455" s="17" t="n"/>
      <c r="J1455" s="17" t="n"/>
      <c r="K1455" s="20">
        <f>IF($B1455="","",IFERROR(INDEX(الموظفات!$A$5:$A$304,MATCH($B1455,الموظفات!$B$5:$B$304,0))&amp;"",""))</f>
        <v/>
      </c>
      <c r="L1455" s="21">
        <f>IF($B1455="","",IFERROR(INDEX(الموظفات!$C$5:$C$304,MATCH($B1455,الموظفات!$B$5:$B$304,0))&amp;"",""))</f>
        <v/>
      </c>
      <c r="M1455" s="20">
        <f>IF($B1455="","",IFERROR(INDEX(الموظفات!$D$5:$D$304,MATCH($B1455,الموظفات!$B$5:$B$304,0))&amp;"",""))</f>
        <v/>
      </c>
      <c r="N1455" s="20">
        <f>IF($B1455="","",IFERROR(INDEX(الموظفات!$E$5:$E$304,MATCH($B1455,الموظفات!$B$5:$B$304,0))&amp;"",""))</f>
        <v/>
      </c>
      <c r="O1455" s="21">
        <f>IF(C1455="","",IFERROR(INDEX(الإعدادات!$D$7:$D$35,MATCH(C1455,الإعدادات!$A$7:$A$35,0))&amp;"",""))</f>
        <v/>
      </c>
      <c r="P1455" s="20">
        <f>IF(A1455="","",INDEX(الإعدادات!$H$7:$H$18,MONTH(A1455)))</f>
        <v/>
      </c>
      <c r="Q1455" s="20">
        <f>IF(A1455="","",INDEX(الإعدادات!$I$7:$I$18,MONTH(A1455)))</f>
        <v/>
      </c>
      <c r="R1455" s="20">
        <f>IF(A1455="","",IF(MONTH(A1455)&gt;=8,YEAR(A1455)&amp;"-"&amp;(YEAR(A1455)+1),(YEAR(A1455)-1)&amp;"-"&amp;YEAR(A1455)))</f>
        <v/>
      </c>
      <c r="S1455" s="20">
        <f>IF(OR(A1455="",B1455=""),0,IF(AND(R1455=التقارير!$C$4,OR(التقارير!$C$5="سنوي",AND(التقارير!$C$5="شهري",P1455=التقارير!$C$6),AND(التقارير!$C$5="فصلي",Q1455=التقارير!$C$7))),1,0))</f>
        <v/>
      </c>
      <c r="T1455" s="20">
        <f>IF(S1455=1,COUNTIF($S$5:S1455,1),"")</f>
        <v/>
      </c>
      <c r="U1455">
        <f>IF(AND($A1455&lt;&gt;"",$B1455&lt;&gt;"",$R1455='تقرير الفصل الأول'!$C$4,$Q1455='تقرير الفصل الأول'!$C$7),COUNT(U$4:U1454)+1,"")</f>
        <v/>
      </c>
      <c r="V1455">
        <f>IF(AND($A1455&lt;&gt;"",$B1455&lt;&gt;"",$R1455='تقرير الفصل الثاني'!$C$4,$Q1455='تقرير الفصل الثاني'!$C$7),COUNT(V$4:V1454)+1,"")</f>
        <v/>
      </c>
      <c r="W1455">
        <f>IF(AND($A1455&lt;&gt;"",$B1455&lt;&gt;"",$R1455='تقرير سبتمبر'!$C$4,$P1455='تقرير سبتمبر'!$C$6),COUNT(W$4:W1454)+1,"")</f>
        <v/>
      </c>
      <c r="X1455">
        <f>IF(AND($A1455&lt;&gt;"",$B1455&lt;&gt;"",$R1455='تقرير أكتوبر'!$C$4,$P1455='تقرير أكتوبر'!$C$6),COUNT(X$4:X1454)+1,"")</f>
        <v/>
      </c>
      <c r="Y1455">
        <f>IF(AND($A1455&lt;&gt;"",$B1455&lt;&gt;"",$R1455='تقرير نوفمبر'!$C$4,$P1455='تقرير نوفمبر'!$C$6),COUNT(Y$4:Y1454)+1,"")</f>
        <v/>
      </c>
      <c r="Z1455">
        <f>IF(AND($A1455&lt;&gt;"",$B1455&lt;&gt;"",$R1455='تقرير ديسمبر'!$C$4,$P1455='تقرير ديسمبر'!$C$6),COUNT(Z$4:Z1454)+1,"")</f>
        <v/>
      </c>
      <c r="AA1455">
        <f>IF(AND($A1455&lt;&gt;"",$B1455&lt;&gt;"",$R1455='تقرير يناير'!$C$4,$P1455='تقرير يناير'!$C$6),COUNT(AA$4:AA1454)+1,"")</f>
        <v/>
      </c>
      <c r="AB1455">
        <f>IF(AND($A1455&lt;&gt;"",$B1455&lt;&gt;"",$R1455='تقرير فبراير'!$C$4,$P1455='تقرير فبراير'!$C$6),COUNT(AB$4:AB1454)+1,"")</f>
        <v/>
      </c>
      <c r="AC1455">
        <f>IF(AND($A1455&lt;&gt;"",$B1455&lt;&gt;"",$R1455='تقرير مارس'!$C$4,$P1455='تقرير مارس'!$C$6),COUNT(AC$4:AC1454)+1,"")</f>
        <v/>
      </c>
      <c r="AD1455">
        <f>IF(AND($A1455&lt;&gt;"",$B1455&lt;&gt;"",$R1455='تقرير أبريل'!$C$4,$P1455='تقرير أبريل'!$C$6),COUNT(AD$4:AD1454)+1,"")</f>
        <v/>
      </c>
      <c r="AE1455">
        <f>IF(AND($A1455&lt;&gt;"",$B1455&lt;&gt;"",$R1455='تقرير مايو'!$C$4,$P1455='تقرير مايو'!$C$6),COUNT(AE$4:AE1454)+1,"")</f>
        <v/>
      </c>
    </row>
    <row r="1456">
      <c r="A1456" s="16" t="n"/>
      <c r="B1456" s="17" t="n"/>
      <c r="C1456" s="17" t="n"/>
      <c r="D1456" s="18" t="n"/>
      <c r="E1456" s="17" t="n"/>
      <c r="F1456" s="17" t="n"/>
      <c r="G1456" s="19" t="n"/>
      <c r="H1456" s="17" t="n"/>
      <c r="I1456" s="17" t="n"/>
      <c r="J1456" s="17" t="n"/>
      <c r="K1456" s="20">
        <f>IF($B1456="","",IFERROR(INDEX(الموظفات!$A$5:$A$304,MATCH($B1456,الموظفات!$B$5:$B$304,0))&amp;"",""))</f>
        <v/>
      </c>
      <c r="L1456" s="21">
        <f>IF($B1456="","",IFERROR(INDEX(الموظفات!$C$5:$C$304,MATCH($B1456,الموظفات!$B$5:$B$304,0))&amp;"",""))</f>
        <v/>
      </c>
      <c r="M1456" s="20">
        <f>IF($B1456="","",IFERROR(INDEX(الموظفات!$D$5:$D$304,MATCH($B1456,الموظفات!$B$5:$B$304,0))&amp;"",""))</f>
        <v/>
      </c>
      <c r="N1456" s="20">
        <f>IF($B1456="","",IFERROR(INDEX(الموظفات!$E$5:$E$304,MATCH($B1456,الموظفات!$B$5:$B$304,0))&amp;"",""))</f>
        <v/>
      </c>
      <c r="O1456" s="21">
        <f>IF(C1456="","",IFERROR(INDEX(الإعدادات!$D$7:$D$35,MATCH(C1456,الإعدادات!$A$7:$A$35,0))&amp;"",""))</f>
        <v/>
      </c>
      <c r="P1456" s="20">
        <f>IF(A1456="","",INDEX(الإعدادات!$H$7:$H$18,MONTH(A1456)))</f>
        <v/>
      </c>
      <c r="Q1456" s="20">
        <f>IF(A1456="","",INDEX(الإعدادات!$I$7:$I$18,MONTH(A1456)))</f>
        <v/>
      </c>
      <c r="R1456" s="20">
        <f>IF(A1456="","",IF(MONTH(A1456)&gt;=8,YEAR(A1456)&amp;"-"&amp;(YEAR(A1456)+1),(YEAR(A1456)-1)&amp;"-"&amp;YEAR(A1456)))</f>
        <v/>
      </c>
      <c r="S1456" s="20">
        <f>IF(OR(A1456="",B1456=""),0,IF(AND(R1456=التقارير!$C$4,OR(التقارير!$C$5="سنوي",AND(التقارير!$C$5="شهري",P1456=التقارير!$C$6),AND(التقارير!$C$5="فصلي",Q1456=التقارير!$C$7))),1,0))</f>
        <v/>
      </c>
      <c r="T1456" s="20">
        <f>IF(S1456=1,COUNTIF($S$5:S1456,1),"")</f>
        <v/>
      </c>
      <c r="U1456">
        <f>IF(AND($A1456&lt;&gt;"",$B1456&lt;&gt;"",$R1456='تقرير الفصل الأول'!$C$4,$Q1456='تقرير الفصل الأول'!$C$7),COUNT(U$4:U1455)+1,"")</f>
        <v/>
      </c>
      <c r="V1456">
        <f>IF(AND($A1456&lt;&gt;"",$B1456&lt;&gt;"",$R1456='تقرير الفصل الثاني'!$C$4,$Q1456='تقرير الفصل الثاني'!$C$7),COUNT(V$4:V1455)+1,"")</f>
        <v/>
      </c>
      <c r="W1456">
        <f>IF(AND($A1456&lt;&gt;"",$B1456&lt;&gt;"",$R1456='تقرير سبتمبر'!$C$4,$P1456='تقرير سبتمبر'!$C$6),COUNT(W$4:W1455)+1,"")</f>
        <v/>
      </c>
      <c r="X1456">
        <f>IF(AND($A1456&lt;&gt;"",$B1456&lt;&gt;"",$R1456='تقرير أكتوبر'!$C$4,$P1456='تقرير أكتوبر'!$C$6),COUNT(X$4:X1455)+1,"")</f>
        <v/>
      </c>
      <c r="Y1456">
        <f>IF(AND($A1456&lt;&gt;"",$B1456&lt;&gt;"",$R1456='تقرير نوفمبر'!$C$4,$P1456='تقرير نوفمبر'!$C$6),COUNT(Y$4:Y1455)+1,"")</f>
        <v/>
      </c>
      <c r="Z1456">
        <f>IF(AND($A1456&lt;&gt;"",$B1456&lt;&gt;"",$R1456='تقرير ديسمبر'!$C$4,$P1456='تقرير ديسمبر'!$C$6),COUNT(Z$4:Z1455)+1,"")</f>
        <v/>
      </c>
      <c r="AA1456">
        <f>IF(AND($A1456&lt;&gt;"",$B1456&lt;&gt;"",$R1456='تقرير يناير'!$C$4,$P1456='تقرير يناير'!$C$6),COUNT(AA$4:AA1455)+1,"")</f>
        <v/>
      </c>
      <c r="AB1456">
        <f>IF(AND($A1456&lt;&gt;"",$B1456&lt;&gt;"",$R1456='تقرير فبراير'!$C$4,$P1456='تقرير فبراير'!$C$6),COUNT(AB$4:AB1455)+1,"")</f>
        <v/>
      </c>
      <c r="AC1456">
        <f>IF(AND($A1456&lt;&gt;"",$B1456&lt;&gt;"",$R1456='تقرير مارس'!$C$4,$P1456='تقرير مارس'!$C$6),COUNT(AC$4:AC1455)+1,"")</f>
        <v/>
      </c>
      <c r="AD1456">
        <f>IF(AND($A1456&lt;&gt;"",$B1456&lt;&gt;"",$R1456='تقرير أبريل'!$C$4,$P1456='تقرير أبريل'!$C$6),COUNT(AD$4:AD1455)+1,"")</f>
        <v/>
      </c>
      <c r="AE1456">
        <f>IF(AND($A1456&lt;&gt;"",$B1456&lt;&gt;"",$R1456='تقرير مايو'!$C$4,$P1456='تقرير مايو'!$C$6),COUNT(AE$4:AE1455)+1,"")</f>
        <v/>
      </c>
    </row>
    <row r="1457">
      <c r="A1457" s="16" t="n"/>
      <c r="B1457" s="17" t="n"/>
      <c r="C1457" s="17" t="n"/>
      <c r="D1457" s="18" t="n"/>
      <c r="E1457" s="17" t="n"/>
      <c r="F1457" s="17" t="n"/>
      <c r="G1457" s="19" t="n"/>
      <c r="H1457" s="17" t="n"/>
      <c r="I1457" s="17" t="n"/>
      <c r="J1457" s="17" t="n"/>
      <c r="K1457" s="20">
        <f>IF($B1457="","",IFERROR(INDEX(الموظفات!$A$5:$A$304,MATCH($B1457,الموظفات!$B$5:$B$304,0))&amp;"",""))</f>
        <v/>
      </c>
      <c r="L1457" s="21">
        <f>IF($B1457="","",IFERROR(INDEX(الموظفات!$C$5:$C$304,MATCH($B1457,الموظفات!$B$5:$B$304,0))&amp;"",""))</f>
        <v/>
      </c>
      <c r="M1457" s="20">
        <f>IF($B1457="","",IFERROR(INDEX(الموظفات!$D$5:$D$304,MATCH($B1457,الموظفات!$B$5:$B$304,0))&amp;"",""))</f>
        <v/>
      </c>
      <c r="N1457" s="20">
        <f>IF($B1457="","",IFERROR(INDEX(الموظفات!$E$5:$E$304,MATCH($B1457,الموظفات!$B$5:$B$304,0))&amp;"",""))</f>
        <v/>
      </c>
      <c r="O1457" s="21">
        <f>IF(C1457="","",IFERROR(INDEX(الإعدادات!$D$7:$D$35,MATCH(C1457,الإعدادات!$A$7:$A$35,0))&amp;"",""))</f>
        <v/>
      </c>
      <c r="P1457" s="20">
        <f>IF(A1457="","",INDEX(الإعدادات!$H$7:$H$18,MONTH(A1457)))</f>
        <v/>
      </c>
      <c r="Q1457" s="20">
        <f>IF(A1457="","",INDEX(الإعدادات!$I$7:$I$18,MONTH(A1457)))</f>
        <v/>
      </c>
      <c r="R1457" s="20">
        <f>IF(A1457="","",IF(MONTH(A1457)&gt;=8,YEAR(A1457)&amp;"-"&amp;(YEAR(A1457)+1),(YEAR(A1457)-1)&amp;"-"&amp;YEAR(A1457)))</f>
        <v/>
      </c>
      <c r="S1457" s="20">
        <f>IF(OR(A1457="",B1457=""),0,IF(AND(R1457=التقارير!$C$4,OR(التقارير!$C$5="سنوي",AND(التقارير!$C$5="شهري",P1457=التقارير!$C$6),AND(التقارير!$C$5="فصلي",Q1457=التقارير!$C$7))),1,0))</f>
        <v/>
      </c>
      <c r="T1457" s="20">
        <f>IF(S1457=1,COUNTIF($S$5:S1457,1),"")</f>
        <v/>
      </c>
      <c r="U1457">
        <f>IF(AND($A1457&lt;&gt;"",$B1457&lt;&gt;"",$R1457='تقرير الفصل الأول'!$C$4,$Q1457='تقرير الفصل الأول'!$C$7),COUNT(U$4:U1456)+1,"")</f>
        <v/>
      </c>
      <c r="V1457">
        <f>IF(AND($A1457&lt;&gt;"",$B1457&lt;&gt;"",$R1457='تقرير الفصل الثاني'!$C$4,$Q1457='تقرير الفصل الثاني'!$C$7),COUNT(V$4:V1456)+1,"")</f>
        <v/>
      </c>
      <c r="W1457">
        <f>IF(AND($A1457&lt;&gt;"",$B1457&lt;&gt;"",$R1457='تقرير سبتمبر'!$C$4,$P1457='تقرير سبتمبر'!$C$6),COUNT(W$4:W1456)+1,"")</f>
        <v/>
      </c>
      <c r="X1457">
        <f>IF(AND($A1457&lt;&gt;"",$B1457&lt;&gt;"",$R1457='تقرير أكتوبر'!$C$4,$P1457='تقرير أكتوبر'!$C$6),COUNT(X$4:X1456)+1,"")</f>
        <v/>
      </c>
      <c r="Y1457">
        <f>IF(AND($A1457&lt;&gt;"",$B1457&lt;&gt;"",$R1457='تقرير نوفمبر'!$C$4,$P1457='تقرير نوفمبر'!$C$6),COUNT(Y$4:Y1456)+1,"")</f>
        <v/>
      </c>
      <c r="Z1457">
        <f>IF(AND($A1457&lt;&gt;"",$B1457&lt;&gt;"",$R1457='تقرير ديسمبر'!$C$4,$P1457='تقرير ديسمبر'!$C$6),COUNT(Z$4:Z1456)+1,"")</f>
        <v/>
      </c>
      <c r="AA1457">
        <f>IF(AND($A1457&lt;&gt;"",$B1457&lt;&gt;"",$R1457='تقرير يناير'!$C$4,$P1457='تقرير يناير'!$C$6),COUNT(AA$4:AA1456)+1,"")</f>
        <v/>
      </c>
      <c r="AB1457">
        <f>IF(AND($A1457&lt;&gt;"",$B1457&lt;&gt;"",$R1457='تقرير فبراير'!$C$4,$P1457='تقرير فبراير'!$C$6),COUNT(AB$4:AB1456)+1,"")</f>
        <v/>
      </c>
      <c r="AC1457">
        <f>IF(AND($A1457&lt;&gt;"",$B1457&lt;&gt;"",$R1457='تقرير مارس'!$C$4,$P1457='تقرير مارس'!$C$6),COUNT(AC$4:AC1456)+1,"")</f>
        <v/>
      </c>
      <c r="AD1457">
        <f>IF(AND($A1457&lt;&gt;"",$B1457&lt;&gt;"",$R1457='تقرير أبريل'!$C$4,$P1457='تقرير أبريل'!$C$6),COUNT(AD$4:AD1456)+1,"")</f>
        <v/>
      </c>
      <c r="AE1457">
        <f>IF(AND($A1457&lt;&gt;"",$B1457&lt;&gt;"",$R1457='تقرير مايو'!$C$4,$P1457='تقرير مايو'!$C$6),COUNT(AE$4:AE1456)+1,"")</f>
        <v/>
      </c>
    </row>
    <row r="1458">
      <c r="A1458" s="16" t="n"/>
      <c r="B1458" s="17" t="n"/>
      <c r="C1458" s="17" t="n"/>
      <c r="D1458" s="18" t="n"/>
      <c r="E1458" s="17" t="n"/>
      <c r="F1458" s="17" t="n"/>
      <c r="G1458" s="19" t="n"/>
      <c r="H1458" s="17" t="n"/>
      <c r="I1458" s="17" t="n"/>
      <c r="J1458" s="17" t="n"/>
      <c r="K1458" s="20">
        <f>IF($B1458="","",IFERROR(INDEX(الموظفات!$A$5:$A$304,MATCH($B1458,الموظفات!$B$5:$B$304,0))&amp;"",""))</f>
        <v/>
      </c>
      <c r="L1458" s="21">
        <f>IF($B1458="","",IFERROR(INDEX(الموظفات!$C$5:$C$304,MATCH($B1458,الموظفات!$B$5:$B$304,0))&amp;"",""))</f>
        <v/>
      </c>
      <c r="M1458" s="20">
        <f>IF($B1458="","",IFERROR(INDEX(الموظفات!$D$5:$D$304,MATCH($B1458,الموظفات!$B$5:$B$304,0))&amp;"",""))</f>
        <v/>
      </c>
      <c r="N1458" s="20">
        <f>IF($B1458="","",IFERROR(INDEX(الموظفات!$E$5:$E$304,MATCH($B1458,الموظفات!$B$5:$B$304,0))&amp;"",""))</f>
        <v/>
      </c>
      <c r="O1458" s="21">
        <f>IF(C1458="","",IFERROR(INDEX(الإعدادات!$D$7:$D$35,MATCH(C1458,الإعدادات!$A$7:$A$35,0))&amp;"",""))</f>
        <v/>
      </c>
      <c r="P1458" s="20">
        <f>IF(A1458="","",INDEX(الإعدادات!$H$7:$H$18,MONTH(A1458)))</f>
        <v/>
      </c>
      <c r="Q1458" s="20">
        <f>IF(A1458="","",INDEX(الإعدادات!$I$7:$I$18,MONTH(A1458)))</f>
        <v/>
      </c>
      <c r="R1458" s="20">
        <f>IF(A1458="","",IF(MONTH(A1458)&gt;=8,YEAR(A1458)&amp;"-"&amp;(YEAR(A1458)+1),(YEAR(A1458)-1)&amp;"-"&amp;YEAR(A1458)))</f>
        <v/>
      </c>
      <c r="S1458" s="20">
        <f>IF(OR(A1458="",B1458=""),0,IF(AND(R1458=التقارير!$C$4,OR(التقارير!$C$5="سنوي",AND(التقارير!$C$5="شهري",P1458=التقارير!$C$6),AND(التقارير!$C$5="فصلي",Q1458=التقارير!$C$7))),1,0))</f>
        <v/>
      </c>
      <c r="T1458" s="20">
        <f>IF(S1458=1,COUNTIF($S$5:S1458,1),"")</f>
        <v/>
      </c>
      <c r="U1458">
        <f>IF(AND($A1458&lt;&gt;"",$B1458&lt;&gt;"",$R1458='تقرير الفصل الأول'!$C$4,$Q1458='تقرير الفصل الأول'!$C$7),COUNT(U$4:U1457)+1,"")</f>
        <v/>
      </c>
      <c r="V1458">
        <f>IF(AND($A1458&lt;&gt;"",$B1458&lt;&gt;"",$R1458='تقرير الفصل الثاني'!$C$4,$Q1458='تقرير الفصل الثاني'!$C$7),COUNT(V$4:V1457)+1,"")</f>
        <v/>
      </c>
      <c r="W1458">
        <f>IF(AND($A1458&lt;&gt;"",$B1458&lt;&gt;"",$R1458='تقرير سبتمبر'!$C$4,$P1458='تقرير سبتمبر'!$C$6),COUNT(W$4:W1457)+1,"")</f>
        <v/>
      </c>
      <c r="X1458">
        <f>IF(AND($A1458&lt;&gt;"",$B1458&lt;&gt;"",$R1458='تقرير أكتوبر'!$C$4,$P1458='تقرير أكتوبر'!$C$6),COUNT(X$4:X1457)+1,"")</f>
        <v/>
      </c>
      <c r="Y1458">
        <f>IF(AND($A1458&lt;&gt;"",$B1458&lt;&gt;"",$R1458='تقرير نوفمبر'!$C$4,$P1458='تقرير نوفمبر'!$C$6),COUNT(Y$4:Y1457)+1,"")</f>
        <v/>
      </c>
      <c r="Z1458">
        <f>IF(AND($A1458&lt;&gt;"",$B1458&lt;&gt;"",$R1458='تقرير ديسمبر'!$C$4,$P1458='تقرير ديسمبر'!$C$6),COUNT(Z$4:Z1457)+1,"")</f>
        <v/>
      </c>
      <c r="AA1458">
        <f>IF(AND($A1458&lt;&gt;"",$B1458&lt;&gt;"",$R1458='تقرير يناير'!$C$4,$P1458='تقرير يناير'!$C$6),COUNT(AA$4:AA1457)+1,"")</f>
        <v/>
      </c>
      <c r="AB1458">
        <f>IF(AND($A1458&lt;&gt;"",$B1458&lt;&gt;"",$R1458='تقرير فبراير'!$C$4,$P1458='تقرير فبراير'!$C$6),COUNT(AB$4:AB1457)+1,"")</f>
        <v/>
      </c>
      <c r="AC1458">
        <f>IF(AND($A1458&lt;&gt;"",$B1458&lt;&gt;"",$R1458='تقرير مارس'!$C$4,$P1458='تقرير مارس'!$C$6),COUNT(AC$4:AC1457)+1,"")</f>
        <v/>
      </c>
      <c r="AD1458">
        <f>IF(AND($A1458&lt;&gt;"",$B1458&lt;&gt;"",$R1458='تقرير أبريل'!$C$4,$P1458='تقرير أبريل'!$C$6),COUNT(AD$4:AD1457)+1,"")</f>
        <v/>
      </c>
      <c r="AE1458">
        <f>IF(AND($A1458&lt;&gt;"",$B1458&lt;&gt;"",$R1458='تقرير مايو'!$C$4,$P1458='تقرير مايو'!$C$6),COUNT(AE$4:AE1457)+1,"")</f>
        <v/>
      </c>
    </row>
    <row r="1459">
      <c r="A1459" s="16" t="n"/>
      <c r="B1459" s="17" t="n"/>
      <c r="C1459" s="17" t="n"/>
      <c r="D1459" s="18" t="n"/>
      <c r="E1459" s="17" t="n"/>
      <c r="F1459" s="17" t="n"/>
      <c r="G1459" s="19" t="n"/>
      <c r="H1459" s="17" t="n"/>
      <c r="I1459" s="17" t="n"/>
      <c r="J1459" s="17" t="n"/>
      <c r="K1459" s="20">
        <f>IF($B1459="","",IFERROR(INDEX(الموظفات!$A$5:$A$304,MATCH($B1459,الموظفات!$B$5:$B$304,0))&amp;"",""))</f>
        <v/>
      </c>
      <c r="L1459" s="21">
        <f>IF($B1459="","",IFERROR(INDEX(الموظفات!$C$5:$C$304,MATCH($B1459,الموظفات!$B$5:$B$304,0))&amp;"",""))</f>
        <v/>
      </c>
      <c r="M1459" s="20">
        <f>IF($B1459="","",IFERROR(INDEX(الموظفات!$D$5:$D$304,MATCH($B1459,الموظفات!$B$5:$B$304,0))&amp;"",""))</f>
        <v/>
      </c>
      <c r="N1459" s="20">
        <f>IF($B1459="","",IFERROR(INDEX(الموظفات!$E$5:$E$304,MATCH($B1459,الموظفات!$B$5:$B$304,0))&amp;"",""))</f>
        <v/>
      </c>
      <c r="O1459" s="21">
        <f>IF(C1459="","",IFERROR(INDEX(الإعدادات!$D$7:$D$35,MATCH(C1459,الإعدادات!$A$7:$A$35,0))&amp;"",""))</f>
        <v/>
      </c>
      <c r="P1459" s="20">
        <f>IF(A1459="","",INDEX(الإعدادات!$H$7:$H$18,MONTH(A1459)))</f>
        <v/>
      </c>
      <c r="Q1459" s="20">
        <f>IF(A1459="","",INDEX(الإعدادات!$I$7:$I$18,MONTH(A1459)))</f>
        <v/>
      </c>
      <c r="R1459" s="20">
        <f>IF(A1459="","",IF(MONTH(A1459)&gt;=8,YEAR(A1459)&amp;"-"&amp;(YEAR(A1459)+1),(YEAR(A1459)-1)&amp;"-"&amp;YEAR(A1459)))</f>
        <v/>
      </c>
      <c r="S1459" s="20">
        <f>IF(OR(A1459="",B1459=""),0,IF(AND(R1459=التقارير!$C$4,OR(التقارير!$C$5="سنوي",AND(التقارير!$C$5="شهري",P1459=التقارير!$C$6),AND(التقارير!$C$5="فصلي",Q1459=التقارير!$C$7))),1,0))</f>
        <v/>
      </c>
      <c r="T1459" s="20">
        <f>IF(S1459=1,COUNTIF($S$5:S1459,1),"")</f>
        <v/>
      </c>
      <c r="U1459">
        <f>IF(AND($A1459&lt;&gt;"",$B1459&lt;&gt;"",$R1459='تقرير الفصل الأول'!$C$4,$Q1459='تقرير الفصل الأول'!$C$7),COUNT(U$4:U1458)+1,"")</f>
        <v/>
      </c>
      <c r="V1459">
        <f>IF(AND($A1459&lt;&gt;"",$B1459&lt;&gt;"",$R1459='تقرير الفصل الثاني'!$C$4,$Q1459='تقرير الفصل الثاني'!$C$7),COUNT(V$4:V1458)+1,"")</f>
        <v/>
      </c>
      <c r="W1459">
        <f>IF(AND($A1459&lt;&gt;"",$B1459&lt;&gt;"",$R1459='تقرير سبتمبر'!$C$4,$P1459='تقرير سبتمبر'!$C$6),COUNT(W$4:W1458)+1,"")</f>
        <v/>
      </c>
      <c r="X1459">
        <f>IF(AND($A1459&lt;&gt;"",$B1459&lt;&gt;"",$R1459='تقرير أكتوبر'!$C$4,$P1459='تقرير أكتوبر'!$C$6),COUNT(X$4:X1458)+1,"")</f>
        <v/>
      </c>
      <c r="Y1459">
        <f>IF(AND($A1459&lt;&gt;"",$B1459&lt;&gt;"",$R1459='تقرير نوفمبر'!$C$4,$P1459='تقرير نوفمبر'!$C$6),COUNT(Y$4:Y1458)+1,"")</f>
        <v/>
      </c>
      <c r="Z1459">
        <f>IF(AND($A1459&lt;&gt;"",$B1459&lt;&gt;"",$R1459='تقرير ديسمبر'!$C$4,$P1459='تقرير ديسمبر'!$C$6),COUNT(Z$4:Z1458)+1,"")</f>
        <v/>
      </c>
      <c r="AA1459">
        <f>IF(AND($A1459&lt;&gt;"",$B1459&lt;&gt;"",$R1459='تقرير يناير'!$C$4,$P1459='تقرير يناير'!$C$6),COUNT(AA$4:AA1458)+1,"")</f>
        <v/>
      </c>
      <c r="AB1459">
        <f>IF(AND($A1459&lt;&gt;"",$B1459&lt;&gt;"",$R1459='تقرير فبراير'!$C$4,$P1459='تقرير فبراير'!$C$6),COUNT(AB$4:AB1458)+1,"")</f>
        <v/>
      </c>
      <c r="AC1459">
        <f>IF(AND($A1459&lt;&gt;"",$B1459&lt;&gt;"",$R1459='تقرير مارس'!$C$4,$P1459='تقرير مارس'!$C$6),COUNT(AC$4:AC1458)+1,"")</f>
        <v/>
      </c>
      <c r="AD1459">
        <f>IF(AND($A1459&lt;&gt;"",$B1459&lt;&gt;"",$R1459='تقرير أبريل'!$C$4,$P1459='تقرير أبريل'!$C$6),COUNT(AD$4:AD1458)+1,"")</f>
        <v/>
      </c>
      <c r="AE1459">
        <f>IF(AND($A1459&lt;&gt;"",$B1459&lt;&gt;"",$R1459='تقرير مايو'!$C$4,$P1459='تقرير مايو'!$C$6),COUNT(AE$4:AE1458)+1,"")</f>
        <v/>
      </c>
    </row>
    <row r="1460">
      <c r="A1460" s="16" t="n"/>
      <c r="B1460" s="17" t="n"/>
      <c r="C1460" s="17" t="n"/>
      <c r="D1460" s="18" t="n"/>
      <c r="E1460" s="17" t="n"/>
      <c r="F1460" s="17" t="n"/>
      <c r="G1460" s="19" t="n"/>
      <c r="H1460" s="17" t="n"/>
      <c r="I1460" s="17" t="n"/>
      <c r="J1460" s="17" t="n"/>
      <c r="K1460" s="20">
        <f>IF($B1460="","",IFERROR(INDEX(الموظفات!$A$5:$A$304,MATCH($B1460,الموظفات!$B$5:$B$304,0))&amp;"",""))</f>
        <v/>
      </c>
      <c r="L1460" s="21">
        <f>IF($B1460="","",IFERROR(INDEX(الموظفات!$C$5:$C$304,MATCH($B1460,الموظفات!$B$5:$B$304,0))&amp;"",""))</f>
        <v/>
      </c>
      <c r="M1460" s="20">
        <f>IF($B1460="","",IFERROR(INDEX(الموظفات!$D$5:$D$304,MATCH($B1460,الموظفات!$B$5:$B$304,0))&amp;"",""))</f>
        <v/>
      </c>
      <c r="N1460" s="20">
        <f>IF($B1460="","",IFERROR(INDEX(الموظفات!$E$5:$E$304,MATCH($B1460,الموظفات!$B$5:$B$304,0))&amp;"",""))</f>
        <v/>
      </c>
      <c r="O1460" s="21">
        <f>IF(C1460="","",IFERROR(INDEX(الإعدادات!$D$7:$D$35,MATCH(C1460,الإعدادات!$A$7:$A$35,0))&amp;"",""))</f>
        <v/>
      </c>
      <c r="P1460" s="20">
        <f>IF(A1460="","",INDEX(الإعدادات!$H$7:$H$18,MONTH(A1460)))</f>
        <v/>
      </c>
      <c r="Q1460" s="20">
        <f>IF(A1460="","",INDEX(الإعدادات!$I$7:$I$18,MONTH(A1460)))</f>
        <v/>
      </c>
      <c r="R1460" s="20">
        <f>IF(A1460="","",IF(MONTH(A1460)&gt;=8,YEAR(A1460)&amp;"-"&amp;(YEAR(A1460)+1),(YEAR(A1460)-1)&amp;"-"&amp;YEAR(A1460)))</f>
        <v/>
      </c>
      <c r="S1460" s="20">
        <f>IF(OR(A1460="",B1460=""),0,IF(AND(R1460=التقارير!$C$4,OR(التقارير!$C$5="سنوي",AND(التقارير!$C$5="شهري",P1460=التقارير!$C$6),AND(التقارير!$C$5="فصلي",Q1460=التقارير!$C$7))),1,0))</f>
        <v/>
      </c>
      <c r="T1460" s="20">
        <f>IF(S1460=1,COUNTIF($S$5:S1460,1),"")</f>
        <v/>
      </c>
      <c r="U1460">
        <f>IF(AND($A1460&lt;&gt;"",$B1460&lt;&gt;"",$R1460='تقرير الفصل الأول'!$C$4,$Q1460='تقرير الفصل الأول'!$C$7),COUNT(U$4:U1459)+1,"")</f>
        <v/>
      </c>
      <c r="V1460">
        <f>IF(AND($A1460&lt;&gt;"",$B1460&lt;&gt;"",$R1460='تقرير الفصل الثاني'!$C$4,$Q1460='تقرير الفصل الثاني'!$C$7),COUNT(V$4:V1459)+1,"")</f>
        <v/>
      </c>
      <c r="W1460">
        <f>IF(AND($A1460&lt;&gt;"",$B1460&lt;&gt;"",$R1460='تقرير سبتمبر'!$C$4,$P1460='تقرير سبتمبر'!$C$6),COUNT(W$4:W1459)+1,"")</f>
        <v/>
      </c>
      <c r="X1460">
        <f>IF(AND($A1460&lt;&gt;"",$B1460&lt;&gt;"",$R1460='تقرير أكتوبر'!$C$4,$P1460='تقرير أكتوبر'!$C$6),COUNT(X$4:X1459)+1,"")</f>
        <v/>
      </c>
      <c r="Y1460">
        <f>IF(AND($A1460&lt;&gt;"",$B1460&lt;&gt;"",$R1460='تقرير نوفمبر'!$C$4,$P1460='تقرير نوفمبر'!$C$6),COUNT(Y$4:Y1459)+1,"")</f>
        <v/>
      </c>
      <c r="Z1460">
        <f>IF(AND($A1460&lt;&gt;"",$B1460&lt;&gt;"",$R1460='تقرير ديسمبر'!$C$4,$P1460='تقرير ديسمبر'!$C$6),COUNT(Z$4:Z1459)+1,"")</f>
        <v/>
      </c>
      <c r="AA1460">
        <f>IF(AND($A1460&lt;&gt;"",$B1460&lt;&gt;"",$R1460='تقرير يناير'!$C$4,$P1460='تقرير يناير'!$C$6),COUNT(AA$4:AA1459)+1,"")</f>
        <v/>
      </c>
      <c r="AB1460">
        <f>IF(AND($A1460&lt;&gt;"",$B1460&lt;&gt;"",$R1460='تقرير فبراير'!$C$4,$P1460='تقرير فبراير'!$C$6),COUNT(AB$4:AB1459)+1,"")</f>
        <v/>
      </c>
      <c r="AC1460">
        <f>IF(AND($A1460&lt;&gt;"",$B1460&lt;&gt;"",$R1460='تقرير مارس'!$C$4,$P1460='تقرير مارس'!$C$6),COUNT(AC$4:AC1459)+1,"")</f>
        <v/>
      </c>
      <c r="AD1460">
        <f>IF(AND($A1460&lt;&gt;"",$B1460&lt;&gt;"",$R1460='تقرير أبريل'!$C$4,$P1460='تقرير أبريل'!$C$6),COUNT(AD$4:AD1459)+1,"")</f>
        <v/>
      </c>
      <c r="AE1460">
        <f>IF(AND($A1460&lt;&gt;"",$B1460&lt;&gt;"",$R1460='تقرير مايو'!$C$4,$P1460='تقرير مايو'!$C$6),COUNT(AE$4:AE1459)+1,"")</f>
        <v/>
      </c>
    </row>
    <row r="1461">
      <c r="A1461" s="16" t="n"/>
      <c r="B1461" s="17" t="n"/>
      <c r="C1461" s="17" t="n"/>
      <c r="D1461" s="18" t="n"/>
      <c r="E1461" s="17" t="n"/>
      <c r="F1461" s="17" t="n"/>
      <c r="G1461" s="19" t="n"/>
      <c r="H1461" s="17" t="n"/>
      <c r="I1461" s="17" t="n"/>
      <c r="J1461" s="17" t="n"/>
      <c r="K1461" s="20">
        <f>IF($B1461="","",IFERROR(INDEX(الموظفات!$A$5:$A$304,MATCH($B1461,الموظفات!$B$5:$B$304,0))&amp;"",""))</f>
        <v/>
      </c>
      <c r="L1461" s="21">
        <f>IF($B1461="","",IFERROR(INDEX(الموظفات!$C$5:$C$304,MATCH($B1461,الموظفات!$B$5:$B$304,0))&amp;"",""))</f>
        <v/>
      </c>
      <c r="M1461" s="20">
        <f>IF($B1461="","",IFERROR(INDEX(الموظفات!$D$5:$D$304,MATCH($B1461,الموظفات!$B$5:$B$304,0))&amp;"",""))</f>
        <v/>
      </c>
      <c r="N1461" s="20">
        <f>IF($B1461="","",IFERROR(INDEX(الموظفات!$E$5:$E$304,MATCH($B1461,الموظفات!$B$5:$B$304,0))&amp;"",""))</f>
        <v/>
      </c>
      <c r="O1461" s="21">
        <f>IF(C1461="","",IFERROR(INDEX(الإعدادات!$D$7:$D$35,MATCH(C1461,الإعدادات!$A$7:$A$35,0))&amp;"",""))</f>
        <v/>
      </c>
      <c r="P1461" s="20">
        <f>IF(A1461="","",INDEX(الإعدادات!$H$7:$H$18,MONTH(A1461)))</f>
        <v/>
      </c>
      <c r="Q1461" s="20">
        <f>IF(A1461="","",INDEX(الإعدادات!$I$7:$I$18,MONTH(A1461)))</f>
        <v/>
      </c>
      <c r="R1461" s="20">
        <f>IF(A1461="","",IF(MONTH(A1461)&gt;=8,YEAR(A1461)&amp;"-"&amp;(YEAR(A1461)+1),(YEAR(A1461)-1)&amp;"-"&amp;YEAR(A1461)))</f>
        <v/>
      </c>
      <c r="S1461" s="20">
        <f>IF(OR(A1461="",B1461=""),0,IF(AND(R1461=التقارير!$C$4,OR(التقارير!$C$5="سنوي",AND(التقارير!$C$5="شهري",P1461=التقارير!$C$6),AND(التقارير!$C$5="فصلي",Q1461=التقارير!$C$7))),1,0))</f>
        <v/>
      </c>
      <c r="T1461" s="20">
        <f>IF(S1461=1,COUNTIF($S$5:S1461,1),"")</f>
        <v/>
      </c>
      <c r="U1461">
        <f>IF(AND($A1461&lt;&gt;"",$B1461&lt;&gt;"",$R1461='تقرير الفصل الأول'!$C$4,$Q1461='تقرير الفصل الأول'!$C$7),COUNT(U$4:U1460)+1,"")</f>
        <v/>
      </c>
      <c r="V1461">
        <f>IF(AND($A1461&lt;&gt;"",$B1461&lt;&gt;"",$R1461='تقرير الفصل الثاني'!$C$4,$Q1461='تقرير الفصل الثاني'!$C$7),COUNT(V$4:V1460)+1,"")</f>
        <v/>
      </c>
      <c r="W1461">
        <f>IF(AND($A1461&lt;&gt;"",$B1461&lt;&gt;"",$R1461='تقرير سبتمبر'!$C$4,$P1461='تقرير سبتمبر'!$C$6),COUNT(W$4:W1460)+1,"")</f>
        <v/>
      </c>
      <c r="X1461">
        <f>IF(AND($A1461&lt;&gt;"",$B1461&lt;&gt;"",$R1461='تقرير أكتوبر'!$C$4,$P1461='تقرير أكتوبر'!$C$6),COUNT(X$4:X1460)+1,"")</f>
        <v/>
      </c>
      <c r="Y1461">
        <f>IF(AND($A1461&lt;&gt;"",$B1461&lt;&gt;"",$R1461='تقرير نوفمبر'!$C$4,$P1461='تقرير نوفمبر'!$C$6),COUNT(Y$4:Y1460)+1,"")</f>
        <v/>
      </c>
      <c r="Z1461">
        <f>IF(AND($A1461&lt;&gt;"",$B1461&lt;&gt;"",$R1461='تقرير ديسمبر'!$C$4,$P1461='تقرير ديسمبر'!$C$6),COUNT(Z$4:Z1460)+1,"")</f>
        <v/>
      </c>
      <c r="AA1461">
        <f>IF(AND($A1461&lt;&gt;"",$B1461&lt;&gt;"",$R1461='تقرير يناير'!$C$4,$P1461='تقرير يناير'!$C$6),COUNT(AA$4:AA1460)+1,"")</f>
        <v/>
      </c>
      <c r="AB1461">
        <f>IF(AND($A1461&lt;&gt;"",$B1461&lt;&gt;"",$R1461='تقرير فبراير'!$C$4,$P1461='تقرير فبراير'!$C$6),COUNT(AB$4:AB1460)+1,"")</f>
        <v/>
      </c>
      <c r="AC1461">
        <f>IF(AND($A1461&lt;&gt;"",$B1461&lt;&gt;"",$R1461='تقرير مارس'!$C$4,$P1461='تقرير مارس'!$C$6),COUNT(AC$4:AC1460)+1,"")</f>
        <v/>
      </c>
      <c r="AD1461">
        <f>IF(AND($A1461&lt;&gt;"",$B1461&lt;&gt;"",$R1461='تقرير أبريل'!$C$4,$P1461='تقرير أبريل'!$C$6),COUNT(AD$4:AD1460)+1,"")</f>
        <v/>
      </c>
      <c r="AE1461">
        <f>IF(AND($A1461&lt;&gt;"",$B1461&lt;&gt;"",$R1461='تقرير مايو'!$C$4,$P1461='تقرير مايو'!$C$6),COUNT(AE$4:AE1460)+1,"")</f>
        <v/>
      </c>
    </row>
    <row r="1462">
      <c r="A1462" s="16" t="n"/>
      <c r="B1462" s="17" t="n"/>
      <c r="C1462" s="17" t="n"/>
      <c r="D1462" s="18" t="n"/>
      <c r="E1462" s="17" t="n"/>
      <c r="F1462" s="17" t="n"/>
      <c r="G1462" s="19" t="n"/>
      <c r="H1462" s="17" t="n"/>
      <c r="I1462" s="17" t="n"/>
      <c r="J1462" s="17" t="n"/>
      <c r="K1462" s="20">
        <f>IF($B1462="","",IFERROR(INDEX(الموظفات!$A$5:$A$304,MATCH($B1462,الموظفات!$B$5:$B$304,0))&amp;"",""))</f>
        <v/>
      </c>
      <c r="L1462" s="21">
        <f>IF($B1462="","",IFERROR(INDEX(الموظفات!$C$5:$C$304,MATCH($B1462,الموظفات!$B$5:$B$304,0))&amp;"",""))</f>
        <v/>
      </c>
      <c r="M1462" s="20">
        <f>IF($B1462="","",IFERROR(INDEX(الموظفات!$D$5:$D$304,MATCH($B1462,الموظفات!$B$5:$B$304,0))&amp;"",""))</f>
        <v/>
      </c>
      <c r="N1462" s="20">
        <f>IF($B1462="","",IFERROR(INDEX(الموظفات!$E$5:$E$304,MATCH($B1462,الموظفات!$B$5:$B$304,0))&amp;"",""))</f>
        <v/>
      </c>
      <c r="O1462" s="21">
        <f>IF(C1462="","",IFERROR(INDEX(الإعدادات!$D$7:$D$35,MATCH(C1462,الإعدادات!$A$7:$A$35,0))&amp;"",""))</f>
        <v/>
      </c>
      <c r="P1462" s="20">
        <f>IF(A1462="","",INDEX(الإعدادات!$H$7:$H$18,MONTH(A1462)))</f>
        <v/>
      </c>
      <c r="Q1462" s="20">
        <f>IF(A1462="","",INDEX(الإعدادات!$I$7:$I$18,MONTH(A1462)))</f>
        <v/>
      </c>
      <c r="R1462" s="20">
        <f>IF(A1462="","",IF(MONTH(A1462)&gt;=8,YEAR(A1462)&amp;"-"&amp;(YEAR(A1462)+1),(YEAR(A1462)-1)&amp;"-"&amp;YEAR(A1462)))</f>
        <v/>
      </c>
      <c r="S1462" s="20">
        <f>IF(OR(A1462="",B1462=""),0,IF(AND(R1462=التقارير!$C$4,OR(التقارير!$C$5="سنوي",AND(التقارير!$C$5="شهري",P1462=التقارير!$C$6),AND(التقارير!$C$5="فصلي",Q1462=التقارير!$C$7))),1,0))</f>
        <v/>
      </c>
      <c r="T1462" s="20">
        <f>IF(S1462=1,COUNTIF($S$5:S1462,1),"")</f>
        <v/>
      </c>
      <c r="U1462">
        <f>IF(AND($A1462&lt;&gt;"",$B1462&lt;&gt;"",$R1462='تقرير الفصل الأول'!$C$4,$Q1462='تقرير الفصل الأول'!$C$7),COUNT(U$4:U1461)+1,"")</f>
        <v/>
      </c>
      <c r="V1462">
        <f>IF(AND($A1462&lt;&gt;"",$B1462&lt;&gt;"",$R1462='تقرير الفصل الثاني'!$C$4,$Q1462='تقرير الفصل الثاني'!$C$7),COUNT(V$4:V1461)+1,"")</f>
        <v/>
      </c>
      <c r="W1462">
        <f>IF(AND($A1462&lt;&gt;"",$B1462&lt;&gt;"",$R1462='تقرير سبتمبر'!$C$4,$P1462='تقرير سبتمبر'!$C$6),COUNT(W$4:W1461)+1,"")</f>
        <v/>
      </c>
      <c r="X1462">
        <f>IF(AND($A1462&lt;&gt;"",$B1462&lt;&gt;"",$R1462='تقرير أكتوبر'!$C$4,$P1462='تقرير أكتوبر'!$C$6),COUNT(X$4:X1461)+1,"")</f>
        <v/>
      </c>
      <c r="Y1462">
        <f>IF(AND($A1462&lt;&gt;"",$B1462&lt;&gt;"",$R1462='تقرير نوفمبر'!$C$4,$P1462='تقرير نوفمبر'!$C$6),COUNT(Y$4:Y1461)+1,"")</f>
        <v/>
      </c>
      <c r="Z1462">
        <f>IF(AND($A1462&lt;&gt;"",$B1462&lt;&gt;"",$R1462='تقرير ديسمبر'!$C$4,$P1462='تقرير ديسمبر'!$C$6),COUNT(Z$4:Z1461)+1,"")</f>
        <v/>
      </c>
      <c r="AA1462">
        <f>IF(AND($A1462&lt;&gt;"",$B1462&lt;&gt;"",$R1462='تقرير يناير'!$C$4,$P1462='تقرير يناير'!$C$6),COUNT(AA$4:AA1461)+1,"")</f>
        <v/>
      </c>
      <c r="AB1462">
        <f>IF(AND($A1462&lt;&gt;"",$B1462&lt;&gt;"",$R1462='تقرير فبراير'!$C$4,$P1462='تقرير فبراير'!$C$6),COUNT(AB$4:AB1461)+1,"")</f>
        <v/>
      </c>
      <c r="AC1462">
        <f>IF(AND($A1462&lt;&gt;"",$B1462&lt;&gt;"",$R1462='تقرير مارس'!$C$4,$P1462='تقرير مارس'!$C$6),COUNT(AC$4:AC1461)+1,"")</f>
        <v/>
      </c>
      <c r="AD1462">
        <f>IF(AND($A1462&lt;&gt;"",$B1462&lt;&gt;"",$R1462='تقرير أبريل'!$C$4,$P1462='تقرير أبريل'!$C$6),COUNT(AD$4:AD1461)+1,"")</f>
        <v/>
      </c>
      <c r="AE1462">
        <f>IF(AND($A1462&lt;&gt;"",$B1462&lt;&gt;"",$R1462='تقرير مايو'!$C$4,$P1462='تقرير مايو'!$C$6),COUNT(AE$4:AE1461)+1,"")</f>
        <v/>
      </c>
    </row>
    <row r="1463">
      <c r="A1463" s="16" t="n"/>
      <c r="B1463" s="17" t="n"/>
      <c r="C1463" s="17" t="n"/>
      <c r="D1463" s="18" t="n"/>
      <c r="E1463" s="17" t="n"/>
      <c r="F1463" s="17" t="n"/>
      <c r="G1463" s="19" t="n"/>
      <c r="H1463" s="17" t="n"/>
      <c r="I1463" s="17" t="n"/>
      <c r="J1463" s="17" t="n"/>
      <c r="K1463" s="20">
        <f>IF($B1463="","",IFERROR(INDEX(الموظفات!$A$5:$A$304,MATCH($B1463,الموظفات!$B$5:$B$304,0))&amp;"",""))</f>
        <v/>
      </c>
      <c r="L1463" s="21">
        <f>IF($B1463="","",IFERROR(INDEX(الموظفات!$C$5:$C$304,MATCH($B1463,الموظفات!$B$5:$B$304,0))&amp;"",""))</f>
        <v/>
      </c>
      <c r="M1463" s="20">
        <f>IF($B1463="","",IFERROR(INDEX(الموظفات!$D$5:$D$304,MATCH($B1463,الموظفات!$B$5:$B$304,0))&amp;"",""))</f>
        <v/>
      </c>
      <c r="N1463" s="20">
        <f>IF($B1463="","",IFERROR(INDEX(الموظفات!$E$5:$E$304,MATCH($B1463,الموظفات!$B$5:$B$304,0))&amp;"",""))</f>
        <v/>
      </c>
      <c r="O1463" s="21">
        <f>IF(C1463="","",IFERROR(INDEX(الإعدادات!$D$7:$D$35,MATCH(C1463,الإعدادات!$A$7:$A$35,0))&amp;"",""))</f>
        <v/>
      </c>
      <c r="P1463" s="20">
        <f>IF(A1463="","",INDEX(الإعدادات!$H$7:$H$18,MONTH(A1463)))</f>
        <v/>
      </c>
      <c r="Q1463" s="20">
        <f>IF(A1463="","",INDEX(الإعدادات!$I$7:$I$18,MONTH(A1463)))</f>
        <v/>
      </c>
      <c r="R1463" s="20">
        <f>IF(A1463="","",IF(MONTH(A1463)&gt;=8,YEAR(A1463)&amp;"-"&amp;(YEAR(A1463)+1),(YEAR(A1463)-1)&amp;"-"&amp;YEAR(A1463)))</f>
        <v/>
      </c>
      <c r="S1463" s="20">
        <f>IF(OR(A1463="",B1463=""),0,IF(AND(R1463=التقارير!$C$4,OR(التقارير!$C$5="سنوي",AND(التقارير!$C$5="شهري",P1463=التقارير!$C$6),AND(التقارير!$C$5="فصلي",Q1463=التقارير!$C$7))),1,0))</f>
        <v/>
      </c>
      <c r="T1463" s="20">
        <f>IF(S1463=1,COUNTIF($S$5:S1463,1),"")</f>
        <v/>
      </c>
      <c r="U1463">
        <f>IF(AND($A1463&lt;&gt;"",$B1463&lt;&gt;"",$R1463='تقرير الفصل الأول'!$C$4,$Q1463='تقرير الفصل الأول'!$C$7),COUNT(U$4:U1462)+1,"")</f>
        <v/>
      </c>
      <c r="V1463">
        <f>IF(AND($A1463&lt;&gt;"",$B1463&lt;&gt;"",$R1463='تقرير الفصل الثاني'!$C$4,$Q1463='تقرير الفصل الثاني'!$C$7),COUNT(V$4:V1462)+1,"")</f>
        <v/>
      </c>
      <c r="W1463">
        <f>IF(AND($A1463&lt;&gt;"",$B1463&lt;&gt;"",$R1463='تقرير سبتمبر'!$C$4,$P1463='تقرير سبتمبر'!$C$6),COUNT(W$4:W1462)+1,"")</f>
        <v/>
      </c>
      <c r="X1463">
        <f>IF(AND($A1463&lt;&gt;"",$B1463&lt;&gt;"",$R1463='تقرير أكتوبر'!$C$4,$P1463='تقرير أكتوبر'!$C$6),COUNT(X$4:X1462)+1,"")</f>
        <v/>
      </c>
      <c r="Y1463">
        <f>IF(AND($A1463&lt;&gt;"",$B1463&lt;&gt;"",$R1463='تقرير نوفمبر'!$C$4,$P1463='تقرير نوفمبر'!$C$6),COUNT(Y$4:Y1462)+1,"")</f>
        <v/>
      </c>
      <c r="Z1463">
        <f>IF(AND($A1463&lt;&gt;"",$B1463&lt;&gt;"",$R1463='تقرير ديسمبر'!$C$4,$P1463='تقرير ديسمبر'!$C$6),COUNT(Z$4:Z1462)+1,"")</f>
        <v/>
      </c>
      <c r="AA1463">
        <f>IF(AND($A1463&lt;&gt;"",$B1463&lt;&gt;"",$R1463='تقرير يناير'!$C$4,$P1463='تقرير يناير'!$C$6),COUNT(AA$4:AA1462)+1,"")</f>
        <v/>
      </c>
      <c r="AB1463">
        <f>IF(AND($A1463&lt;&gt;"",$B1463&lt;&gt;"",$R1463='تقرير فبراير'!$C$4,$P1463='تقرير فبراير'!$C$6),COUNT(AB$4:AB1462)+1,"")</f>
        <v/>
      </c>
      <c r="AC1463">
        <f>IF(AND($A1463&lt;&gt;"",$B1463&lt;&gt;"",$R1463='تقرير مارس'!$C$4,$P1463='تقرير مارس'!$C$6),COUNT(AC$4:AC1462)+1,"")</f>
        <v/>
      </c>
      <c r="AD1463">
        <f>IF(AND($A1463&lt;&gt;"",$B1463&lt;&gt;"",$R1463='تقرير أبريل'!$C$4,$P1463='تقرير أبريل'!$C$6),COUNT(AD$4:AD1462)+1,"")</f>
        <v/>
      </c>
      <c r="AE1463">
        <f>IF(AND($A1463&lt;&gt;"",$B1463&lt;&gt;"",$R1463='تقرير مايو'!$C$4,$P1463='تقرير مايو'!$C$6),COUNT(AE$4:AE1462)+1,"")</f>
        <v/>
      </c>
    </row>
    <row r="1464">
      <c r="A1464" s="16" t="n"/>
      <c r="B1464" s="17" t="n"/>
      <c r="C1464" s="17" t="n"/>
      <c r="D1464" s="18" t="n"/>
      <c r="E1464" s="17" t="n"/>
      <c r="F1464" s="17" t="n"/>
      <c r="G1464" s="19" t="n"/>
      <c r="H1464" s="17" t="n"/>
      <c r="I1464" s="17" t="n"/>
      <c r="J1464" s="17" t="n"/>
      <c r="K1464" s="20">
        <f>IF($B1464="","",IFERROR(INDEX(الموظفات!$A$5:$A$304,MATCH($B1464,الموظفات!$B$5:$B$304,0))&amp;"",""))</f>
        <v/>
      </c>
      <c r="L1464" s="21">
        <f>IF($B1464="","",IFERROR(INDEX(الموظفات!$C$5:$C$304,MATCH($B1464,الموظفات!$B$5:$B$304,0))&amp;"",""))</f>
        <v/>
      </c>
      <c r="M1464" s="20">
        <f>IF($B1464="","",IFERROR(INDEX(الموظفات!$D$5:$D$304,MATCH($B1464,الموظفات!$B$5:$B$304,0))&amp;"",""))</f>
        <v/>
      </c>
      <c r="N1464" s="20">
        <f>IF($B1464="","",IFERROR(INDEX(الموظفات!$E$5:$E$304,MATCH($B1464,الموظفات!$B$5:$B$304,0))&amp;"",""))</f>
        <v/>
      </c>
      <c r="O1464" s="21">
        <f>IF(C1464="","",IFERROR(INDEX(الإعدادات!$D$7:$D$35,MATCH(C1464,الإعدادات!$A$7:$A$35,0))&amp;"",""))</f>
        <v/>
      </c>
      <c r="P1464" s="20">
        <f>IF(A1464="","",INDEX(الإعدادات!$H$7:$H$18,MONTH(A1464)))</f>
        <v/>
      </c>
      <c r="Q1464" s="20">
        <f>IF(A1464="","",INDEX(الإعدادات!$I$7:$I$18,MONTH(A1464)))</f>
        <v/>
      </c>
      <c r="R1464" s="20">
        <f>IF(A1464="","",IF(MONTH(A1464)&gt;=8,YEAR(A1464)&amp;"-"&amp;(YEAR(A1464)+1),(YEAR(A1464)-1)&amp;"-"&amp;YEAR(A1464)))</f>
        <v/>
      </c>
      <c r="S1464" s="20">
        <f>IF(OR(A1464="",B1464=""),0,IF(AND(R1464=التقارير!$C$4,OR(التقارير!$C$5="سنوي",AND(التقارير!$C$5="شهري",P1464=التقارير!$C$6),AND(التقارير!$C$5="فصلي",Q1464=التقارير!$C$7))),1,0))</f>
        <v/>
      </c>
      <c r="T1464" s="20">
        <f>IF(S1464=1,COUNTIF($S$5:S1464,1),"")</f>
        <v/>
      </c>
      <c r="U1464">
        <f>IF(AND($A1464&lt;&gt;"",$B1464&lt;&gt;"",$R1464='تقرير الفصل الأول'!$C$4,$Q1464='تقرير الفصل الأول'!$C$7),COUNT(U$4:U1463)+1,"")</f>
        <v/>
      </c>
      <c r="V1464">
        <f>IF(AND($A1464&lt;&gt;"",$B1464&lt;&gt;"",$R1464='تقرير الفصل الثاني'!$C$4,$Q1464='تقرير الفصل الثاني'!$C$7),COUNT(V$4:V1463)+1,"")</f>
        <v/>
      </c>
      <c r="W1464">
        <f>IF(AND($A1464&lt;&gt;"",$B1464&lt;&gt;"",$R1464='تقرير سبتمبر'!$C$4,$P1464='تقرير سبتمبر'!$C$6),COUNT(W$4:W1463)+1,"")</f>
        <v/>
      </c>
      <c r="X1464">
        <f>IF(AND($A1464&lt;&gt;"",$B1464&lt;&gt;"",$R1464='تقرير أكتوبر'!$C$4,$P1464='تقرير أكتوبر'!$C$6),COUNT(X$4:X1463)+1,"")</f>
        <v/>
      </c>
      <c r="Y1464">
        <f>IF(AND($A1464&lt;&gt;"",$B1464&lt;&gt;"",$R1464='تقرير نوفمبر'!$C$4,$P1464='تقرير نوفمبر'!$C$6),COUNT(Y$4:Y1463)+1,"")</f>
        <v/>
      </c>
      <c r="Z1464">
        <f>IF(AND($A1464&lt;&gt;"",$B1464&lt;&gt;"",$R1464='تقرير ديسمبر'!$C$4,$P1464='تقرير ديسمبر'!$C$6),COUNT(Z$4:Z1463)+1,"")</f>
        <v/>
      </c>
      <c r="AA1464">
        <f>IF(AND($A1464&lt;&gt;"",$B1464&lt;&gt;"",$R1464='تقرير يناير'!$C$4,$P1464='تقرير يناير'!$C$6),COUNT(AA$4:AA1463)+1,"")</f>
        <v/>
      </c>
      <c r="AB1464">
        <f>IF(AND($A1464&lt;&gt;"",$B1464&lt;&gt;"",$R1464='تقرير فبراير'!$C$4,$P1464='تقرير فبراير'!$C$6),COUNT(AB$4:AB1463)+1,"")</f>
        <v/>
      </c>
      <c r="AC1464">
        <f>IF(AND($A1464&lt;&gt;"",$B1464&lt;&gt;"",$R1464='تقرير مارس'!$C$4,$P1464='تقرير مارس'!$C$6),COUNT(AC$4:AC1463)+1,"")</f>
        <v/>
      </c>
      <c r="AD1464">
        <f>IF(AND($A1464&lt;&gt;"",$B1464&lt;&gt;"",$R1464='تقرير أبريل'!$C$4,$P1464='تقرير أبريل'!$C$6),COUNT(AD$4:AD1463)+1,"")</f>
        <v/>
      </c>
      <c r="AE1464">
        <f>IF(AND($A1464&lt;&gt;"",$B1464&lt;&gt;"",$R1464='تقرير مايو'!$C$4,$P1464='تقرير مايو'!$C$6),COUNT(AE$4:AE1463)+1,"")</f>
        <v/>
      </c>
    </row>
    <row r="1465">
      <c r="A1465" s="16" t="n"/>
      <c r="B1465" s="17" t="n"/>
      <c r="C1465" s="17" t="n"/>
      <c r="D1465" s="18" t="n"/>
      <c r="E1465" s="17" t="n"/>
      <c r="F1465" s="17" t="n"/>
      <c r="G1465" s="19" t="n"/>
      <c r="H1465" s="17" t="n"/>
      <c r="I1465" s="17" t="n"/>
      <c r="J1465" s="17" t="n"/>
      <c r="K1465" s="20">
        <f>IF($B1465="","",IFERROR(INDEX(الموظفات!$A$5:$A$304,MATCH($B1465,الموظفات!$B$5:$B$304,0))&amp;"",""))</f>
        <v/>
      </c>
      <c r="L1465" s="21">
        <f>IF($B1465="","",IFERROR(INDEX(الموظفات!$C$5:$C$304,MATCH($B1465,الموظفات!$B$5:$B$304,0))&amp;"",""))</f>
        <v/>
      </c>
      <c r="M1465" s="20">
        <f>IF($B1465="","",IFERROR(INDEX(الموظفات!$D$5:$D$304,MATCH($B1465,الموظفات!$B$5:$B$304,0))&amp;"",""))</f>
        <v/>
      </c>
      <c r="N1465" s="20">
        <f>IF($B1465="","",IFERROR(INDEX(الموظفات!$E$5:$E$304,MATCH($B1465,الموظفات!$B$5:$B$304,0))&amp;"",""))</f>
        <v/>
      </c>
      <c r="O1465" s="21">
        <f>IF(C1465="","",IFERROR(INDEX(الإعدادات!$D$7:$D$35,MATCH(C1465,الإعدادات!$A$7:$A$35,0))&amp;"",""))</f>
        <v/>
      </c>
      <c r="P1465" s="20">
        <f>IF(A1465="","",INDEX(الإعدادات!$H$7:$H$18,MONTH(A1465)))</f>
        <v/>
      </c>
      <c r="Q1465" s="20">
        <f>IF(A1465="","",INDEX(الإعدادات!$I$7:$I$18,MONTH(A1465)))</f>
        <v/>
      </c>
      <c r="R1465" s="20">
        <f>IF(A1465="","",IF(MONTH(A1465)&gt;=8,YEAR(A1465)&amp;"-"&amp;(YEAR(A1465)+1),(YEAR(A1465)-1)&amp;"-"&amp;YEAR(A1465)))</f>
        <v/>
      </c>
      <c r="S1465" s="20">
        <f>IF(OR(A1465="",B1465=""),0,IF(AND(R1465=التقارير!$C$4,OR(التقارير!$C$5="سنوي",AND(التقارير!$C$5="شهري",P1465=التقارير!$C$6),AND(التقارير!$C$5="فصلي",Q1465=التقارير!$C$7))),1,0))</f>
        <v/>
      </c>
      <c r="T1465" s="20">
        <f>IF(S1465=1,COUNTIF($S$5:S1465,1),"")</f>
        <v/>
      </c>
      <c r="U1465">
        <f>IF(AND($A1465&lt;&gt;"",$B1465&lt;&gt;"",$R1465='تقرير الفصل الأول'!$C$4,$Q1465='تقرير الفصل الأول'!$C$7),COUNT(U$4:U1464)+1,"")</f>
        <v/>
      </c>
      <c r="V1465">
        <f>IF(AND($A1465&lt;&gt;"",$B1465&lt;&gt;"",$R1465='تقرير الفصل الثاني'!$C$4,$Q1465='تقرير الفصل الثاني'!$C$7),COUNT(V$4:V1464)+1,"")</f>
        <v/>
      </c>
      <c r="W1465">
        <f>IF(AND($A1465&lt;&gt;"",$B1465&lt;&gt;"",$R1465='تقرير سبتمبر'!$C$4,$P1465='تقرير سبتمبر'!$C$6),COUNT(W$4:W1464)+1,"")</f>
        <v/>
      </c>
      <c r="X1465">
        <f>IF(AND($A1465&lt;&gt;"",$B1465&lt;&gt;"",$R1465='تقرير أكتوبر'!$C$4,$P1465='تقرير أكتوبر'!$C$6),COUNT(X$4:X1464)+1,"")</f>
        <v/>
      </c>
      <c r="Y1465">
        <f>IF(AND($A1465&lt;&gt;"",$B1465&lt;&gt;"",$R1465='تقرير نوفمبر'!$C$4,$P1465='تقرير نوفمبر'!$C$6),COUNT(Y$4:Y1464)+1,"")</f>
        <v/>
      </c>
      <c r="Z1465">
        <f>IF(AND($A1465&lt;&gt;"",$B1465&lt;&gt;"",$R1465='تقرير ديسمبر'!$C$4,$P1465='تقرير ديسمبر'!$C$6),COUNT(Z$4:Z1464)+1,"")</f>
        <v/>
      </c>
      <c r="AA1465">
        <f>IF(AND($A1465&lt;&gt;"",$B1465&lt;&gt;"",$R1465='تقرير يناير'!$C$4,$P1465='تقرير يناير'!$C$6),COUNT(AA$4:AA1464)+1,"")</f>
        <v/>
      </c>
      <c r="AB1465">
        <f>IF(AND($A1465&lt;&gt;"",$B1465&lt;&gt;"",$R1465='تقرير فبراير'!$C$4,$P1465='تقرير فبراير'!$C$6),COUNT(AB$4:AB1464)+1,"")</f>
        <v/>
      </c>
      <c r="AC1465">
        <f>IF(AND($A1465&lt;&gt;"",$B1465&lt;&gt;"",$R1465='تقرير مارس'!$C$4,$P1465='تقرير مارس'!$C$6),COUNT(AC$4:AC1464)+1,"")</f>
        <v/>
      </c>
      <c r="AD1465">
        <f>IF(AND($A1465&lt;&gt;"",$B1465&lt;&gt;"",$R1465='تقرير أبريل'!$C$4,$P1465='تقرير أبريل'!$C$6),COUNT(AD$4:AD1464)+1,"")</f>
        <v/>
      </c>
      <c r="AE1465">
        <f>IF(AND($A1465&lt;&gt;"",$B1465&lt;&gt;"",$R1465='تقرير مايو'!$C$4,$P1465='تقرير مايو'!$C$6),COUNT(AE$4:AE1464)+1,"")</f>
        <v/>
      </c>
    </row>
    <row r="1466">
      <c r="A1466" s="16" t="n"/>
      <c r="B1466" s="17" t="n"/>
      <c r="C1466" s="17" t="n"/>
      <c r="D1466" s="18" t="n"/>
      <c r="E1466" s="17" t="n"/>
      <c r="F1466" s="17" t="n"/>
      <c r="G1466" s="19" t="n"/>
      <c r="H1466" s="17" t="n"/>
      <c r="I1466" s="17" t="n"/>
      <c r="J1466" s="17" t="n"/>
      <c r="K1466" s="20">
        <f>IF($B1466="","",IFERROR(INDEX(الموظفات!$A$5:$A$304,MATCH($B1466,الموظفات!$B$5:$B$304,0))&amp;"",""))</f>
        <v/>
      </c>
      <c r="L1466" s="21">
        <f>IF($B1466="","",IFERROR(INDEX(الموظفات!$C$5:$C$304,MATCH($B1466,الموظفات!$B$5:$B$304,0))&amp;"",""))</f>
        <v/>
      </c>
      <c r="M1466" s="20">
        <f>IF($B1466="","",IFERROR(INDEX(الموظفات!$D$5:$D$304,MATCH($B1466,الموظفات!$B$5:$B$304,0))&amp;"",""))</f>
        <v/>
      </c>
      <c r="N1466" s="20">
        <f>IF($B1466="","",IFERROR(INDEX(الموظفات!$E$5:$E$304,MATCH($B1466,الموظفات!$B$5:$B$304,0))&amp;"",""))</f>
        <v/>
      </c>
      <c r="O1466" s="21">
        <f>IF(C1466="","",IFERROR(INDEX(الإعدادات!$D$7:$D$35,MATCH(C1466,الإعدادات!$A$7:$A$35,0))&amp;"",""))</f>
        <v/>
      </c>
      <c r="P1466" s="20">
        <f>IF(A1466="","",INDEX(الإعدادات!$H$7:$H$18,MONTH(A1466)))</f>
        <v/>
      </c>
      <c r="Q1466" s="20">
        <f>IF(A1466="","",INDEX(الإعدادات!$I$7:$I$18,MONTH(A1466)))</f>
        <v/>
      </c>
      <c r="R1466" s="20">
        <f>IF(A1466="","",IF(MONTH(A1466)&gt;=8,YEAR(A1466)&amp;"-"&amp;(YEAR(A1466)+1),(YEAR(A1466)-1)&amp;"-"&amp;YEAR(A1466)))</f>
        <v/>
      </c>
      <c r="S1466" s="20">
        <f>IF(OR(A1466="",B1466=""),0,IF(AND(R1466=التقارير!$C$4,OR(التقارير!$C$5="سنوي",AND(التقارير!$C$5="شهري",P1466=التقارير!$C$6),AND(التقارير!$C$5="فصلي",Q1466=التقارير!$C$7))),1,0))</f>
        <v/>
      </c>
      <c r="T1466" s="20">
        <f>IF(S1466=1,COUNTIF($S$5:S1466,1),"")</f>
        <v/>
      </c>
      <c r="U1466">
        <f>IF(AND($A1466&lt;&gt;"",$B1466&lt;&gt;"",$R1466='تقرير الفصل الأول'!$C$4,$Q1466='تقرير الفصل الأول'!$C$7),COUNT(U$4:U1465)+1,"")</f>
        <v/>
      </c>
      <c r="V1466">
        <f>IF(AND($A1466&lt;&gt;"",$B1466&lt;&gt;"",$R1466='تقرير الفصل الثاني'!$C$4,$Q1466='تقرير الفصل الثاني'!$C$7),COUNT(V$4:V1465)+1,"")</f>
        <v/>
      </c>
      <c r="W1466">
        <f>IF(AND($A1466&lt;&gt;"",$B1466&lt;&gt;"",$R1466='تقرير سبتمبر'!$C$4,$P1466='تقرير سبتمبر'!$C$6),COUNT(W$4:W1465)+1,"")</f>
        <v/>
      </c>
      <c r="X1466">
        <f>IF(AND($A1466&lt;&gt;"",$B1466&lt;&gt;"",$R1466='تقرير أكتوبر'!$C$4,$P1466='تقرير أكتوبر'!$C$6),COUNT(X$4:X1465)+1,"")</f>
        <v/>
      </c>
      <c r="Y1466">
        <f>IF(AND($A1466&lt;&gt;"",$B1466&lt;&gt;"",$R1466='تقرير نوفمبر'!$C$4,$P1466='تقرير نوفمبر'!$C$6),COUNT(Y$4:Y1465)+1,"")</f>
        <v/>
      </c>
      <c r="Z1466">
        <f>IF(AND($A1466&lt;&gt;"",$B1466&lt;&gt;"",$R1466='تقرير ديسمبر'!$C$4,$P1466='تقرير ديسمبر'!$C$6),COUNT(Z$4:Z1465)+1,"")</f>
        <v/>
      </c>
      <c r="AA1466">
        <f>IF(AND($A1466&lt;&gt;"",$B1466&lt;&gt;"",$R1466='تقرير يناير'!$C$4,$P1466='تقرير يناير'!$C$6),COUNT(AA$4:AA1465)+1,"")</f>
        <v/>
      </c>
      <c r="AB1466">
        <f>IF(AND($A1466&lt;&gt;"",$B1466&lt;&gt;"",$R1466='تقرير فبراير'!$C$4,$P1466='تقرير فبراير'!$C$6),COUNT(AB$4:AB1465)+1,"")</f>
        <v/>
      </c>
      <c r="AC1466">
        <f>IF(AND($A1466&lt;&gt;"",$B1466&lt;&gt;"",$R1466='تقرير مارس'!$C$4,$P1466='تقرير مارس'!$C$6),COUNT(AC$4:AC1465)+1,"")</f>
        <v/>
      </c>
      <c r="AD1466">
        <f>IF(AND($A1466&lt;&gt;"",$B1466&lt;&gt;"",$R1466='تقرير أبريل'!$C$4,$P1466='تقرير أبريل'!$C$6),COUNT(AD$4:AD1465)+1,"")</f>
        <v/>
      </c>
      <c r="AE1466">
        <f>IF(AND($A1466&lt;&gt;"",$B1466&lt;&gt;"",$R1466='تقرير مايو'!$C$4,$P1466='تقرير مايو'!$C$6),COUNT(AE$4:AE1465)+1,"")</f>
        <v/>
      </c>
    </row>
    <row r="1467">
      <c r="A1467" s="16" t="n"/>
      <c r="B1467" s="17" t="n"/>
      <c r="C1467" s="17" t="n"/>
      <c r="D1467" s="18" t="n"/>
      <c r="E1467" s="17" t="n"/>
      <c r="F1467" s="17" t="n"/>
      <c r="G1467" s="19" t="n"/>
      <c r="H1467" s="17" t="n"/>
      <c r="I1467" s="17" t="n"/>
      <c r="J1467" s="17" t="n"/>
      <c r="K1467" s="20">
        <f>IF($B1467="","",IFERROR(INDEX(الموظفات!$A$5:$A$304,MATCH($B1467,الموظفات!$B$5:$B$304,0))&amp;"",""))</f>
        <v/>
      </c>
      <c r="L1467" s="21">
        <f>IF($B1467="","",IFERROR(INDEX(الموظفات!$C$5:$C$304,MATCH($B1467,الموظفات!$B$5:$B$304,0))&amp;"",""))</f>
        <v/>
      </c>
      <c r="M1467" s="20">
        <f>IF($B1467="","",IFERROR(INDEX(الموظفات!$D$5:$D$304,MATCH($B1467,الموظفات!$B$5:$B$304,0))&amp;"",""))</f>
        <v/>
      </c>
      <c r="N1467" s="20">
        <f>IF($B1467="","",IFERROR(INDEX(الموظفات!$E$5:$E$304,MATCH($B1467,الموظفات!$B$5:$B$304,0))&amp;"",""))</f>
        <v/>
      </c>
      <c r="O1467" s="21">
        <f>IF(C1467="","",IFERROR(INDEX(الإعدادات!$D$7:$D$35,MATCH(C1467,الإعدادات!$A$7:$A$35,0))&amp;"",""))</f>
        <v/>
      </c>
      <c r="P1467" s="20">
        <f>IF(A1467="","",INDEX(الإعدادات!$H$7:$H$18,MONTH(A1467)))</f>
        <v/>
      </c>
      <c r="Q1467" s="20">
        <f>IF(A1467="","",INDEX(الإعدادات!$I$7:$I$18,MONTH(A1467)))</f>
        <v/>
      </c>
      <c r="R1467" s="20">
        <f>IF(A1467="","",IF(MONTH(A1467)&gt;=8,YEAR(A1467)&amp;"-"&amp;(YEAR(A1467)+1),(YEAR(A1467)-1)&amp;"-"&amp;YEAR(A1467)))</f>
        <v/>
      </c>
      <c r="S1467" s="20">
        <f>IF(OR(A1467="",B1467=""),0,IF(AND(R1467=التقارير!$C$4,OR(التقارير!$C$5="سنوي",AND(التقارير!$C$5="شهري",P1467=التقارير!$C$6),AND(التقارير!$C$5="فصلي",Q1467=التقارير!$C$7))),1,0))</f>
        <v/>
      </c>
      <c r="T1467" s="20">
        <f>IF(S1467=1,COUNTIF($S$5:S1467,1),"")</f>
        <v/>
      </c>
      <c r="U1467">
        <f>IF(AND($A1467&lt;&gt;"",$B1467&lt;&gt;"",$R1467='تقرير الفصل الأول'!$C$4,$Q1467='تقرير الفصل الأول'!$C$7),COUNT(U$4:U1466)+1,"")</f>
        <v/>
      </c>
      <c r="V1467">
        <f>IF(AND($A1467&lt;&gt;"",$B1467&lt;&gt;"",$R1467='تقرير الفصل الثاني'!$C$4,$Q1467='تقرير الفصل الثاني'!$C$7),COUNT(V$4:V1466)+1,"")</f>
        <v/>
      </c>
      <c r="W1467">
        <f>IF(AND($A1467&lt;&gt;"",$B1467&lt;&gt;"",$R1467='تقرير سبتمبر'!$C$4,$P1467='تقرير سبتمبر'!$C$6),COUNT(W$4:W1466)+1,"")</f>
        <v/>
      </c>
      <c r="X1467">
        <f>IF(AND($A1467&lt;&gt;"",$B1467&lt;&gt;"",$R1467='تقرير أكتوبر'!$C$4,$P1467='تقرير أكتوبر'!$C$6),COUNT(X$4:X1466)+1,"")</f>
        <v/>
      </c>
      <c r="Y1467">
        <f>IF(AND($A1467&lt;&gt;"",$B1467&lt;&gt;"",$R1467='تقرير نوفمبر'!$C$4,$P1467='تقرير نوفمبر'!$C$6),COUNT(Y$4:Y1466)+1,"")</f>
        <v/>
      </c>
      <c r="Z1467">
        <f>IF(AND($A1467&lt;&gt;"",$B1467&lt;&gt;"",$R1467='تقرير ديسمبر'!$C$4,$P1467='تقرير ديسمبر'!$C$6),COUNT(Z$4:Z1466)+1,"")</f>
        <v/>
      </c>
      <c r="AA1467">
        <f>IF(AND($A1467&lt;&gt;"",$B1467&lt;&gt;"",$R1467='تقرير يناير'!$C$4,$P1467='تقرير يناير'!$C$6),COUNT(AA$4:AA1466)+1,"")</f>
        <v/>
      </c>
      <c r="AB1467">
        <f>IF(AND($A1467&lt;&gt;"",$B1467&lt;&gt;"",$R1467='تقرير فبراير'!$C$4,$P1467='تقرير فبراير'!$C$6),COUNT(AB$4:AB1466)+1,"")</f>
        <v/>
      </c>
      <c r="AC1467">
        <f>IF(AND($A1467&lt;&gt;"",$B1467&lt;&gt;"",$R1467='تقرير مارس'!$C$4,$P1467='تقرير مارس'!$C$6),COUNT(AC$4:AC1466)+1,"")</f>
        <v/>
      </c>
      <c r="AD1467">
        <f>IF(AND($A1467&lt;&gt;"",$B1467&lt;&gt;"",$R1467='تقرير أبريل'!$C$4,$P1467='تقرير أبريل'!$C$6),COUNT(AD$4:AD1466)+1,"")</f>
        <v/>
      </c>
      <c r="AE1467">
        <f>IF(AND($A1467&lt;&gt;"",$B1467&lt;&gt;"",$R1467='تقرير مايو'!$C$4,$P1467='تقرير مايو'!$C$6),COUNT(AE$4:AE1466)+1,"")</f>
        <v/>
      </c>
    </row>
    <row r="1468">
      <c r="A1468" s="16" t="n"/>
      <c r="B1468" s="17" t="n"/>
      <c r="C1468" s="17" t="n"/>
      <c r="D1468" s="18" t="n"/>
      <c r="E1468" s="17" t="n"/>
      <c r="F1468" s="17" t="n"/>
      <c r="G1468" s="19" t="n"/>
      <c r="H1468" s="17" t="n"/>
      <c r="I1468" s="17" t="n"/>
      <c r="J1468" s="17" t="n"/>
      <c r="K1468" s="20">
        <f>IF($B1468="","",IFERROR(INDEX(الموظفات!$A$5:$A$304,MATCH($B1468,الموظفات!$B$5:$B$304,0))&amp;"",""))</f>
        <v/>
      </c>
      <c r="L1468" s="21">
        <f>IF($B1468="","",IFERROR(INDEX(الموظفات!$C$5:$C$304,MATCH($B1468,الموظفات!$B$5:$B$304,0))&amp;"",""))</f>
        <v/>
      </c>
      <c r="M1468" s="20">
        <f>IF($B1468="","",IFERROR(INDEX(الموظفات!$D$5:$D$304,MATCH($B1468,الموظفات!$B$5:$B$304,0))&amp;"",""))</f>
        <v/>
      </c>
      <c r="N1468" s="20">
        <f>IF($B1468="","",IFERROR(INDEX(الموظفات!$E$5:$E$304,MATCH($B1468,الموظفات!$B$5:$B$304,0))&amp;"",""))</f>
        <v/>
      </c>
      <c r="O1468" s="21">
        <f>IF(C1468="","",IFERROR(INDEX(الإعدادات!$D$7:$D$35,MATCH(C1468,الإعدادات!$A$7:$A$35,0))&amp;"",""))</f>
        <v/>
      </c>
      <c r="P1468" s="20">
        <f>IF(A1468="","",INDEX(الإعدادات!$H$7:$H$18,MONTH(A1468)))</f>
        <v/>
      </c>
      <c r="Q1468" s="20">
        <f>IF(A1468="","",INDEX(الإعدادات!$I$7:$I$18,MONTH(A1468)))</f>
        <v/>
      </c>
      <c r="R1468" s="20">
        <f>IF(A1468="","",IF(MONTH(A1468)&gt;=8,YEAR(A1468)&amp;"-"&amp;(YEAR(A1468)+1),(YEAR(A1468)-1)&amp;"-"&amp;YEAR(A1468)))</f>
        <v/>
      </c>
      <c r="S1468" s="20">
        <f>IF(OR(A1468="",B1468=""),0,IF(AND(R1468=التقارير!$C$4,OR(التقارير!$C$5="سنوي",AND(التقارير!$C$5="شهري",P1468=التقارير!$C$6),AND(التقارير!$C$5="فصلي",Q1468=التقارير!$C$7))),1,0))</f>
        <v/>
      </c>
      <c r="T1468" s="20">
        <f>IF(S1468=1,COUNTIF($S$5:S1468,1),"")</f>
        <v/>
      </c>
      <c r="U1468">
        <f>IF(AND($A1468&lt;&gt;"",$B1468&lt;&gt;"",$R1468='تقرير الفصل الأول'!$C$4,$Q1468='تقرير الفصل الأول'!$C$7),COUNT(U$4:U1467)+1,"")</f>
        <v/>
      </c>
      <c r="V1468">
        <f>IF(AND($A1468&lt;&gt;"",$B1468&lt;&gt;"",$R1468='تقرير الفصل الثاني'!$C$4,$Q1468='تقرير الفصل الثاني'!$C$7),COUNT(V$4:V1467)+1,"")</f>
        <v/>
      </c>
      <c r="W1468">
        <f>IF(AND($A1468&lt;&gt;"",$B1468&lt;&gt;"",$R1468='تقرير سبتمبر'!$C$4,$P1468='تقرير سبتمبر'!$C$6),COUNT(W$4:W1467)+1,"")</f>
        <v/>
      </c>
      <c r="X1468">
        <f>IF(AND($A1468&lt;&gt;"",$B1468&lt;&gt;"",$R1468='تقرير أكتوبر'!$C$4,$P1468='تقرير أكتوبر'!$C$6),COUNT(X$4:X1467)+1,"")</f>
        <v/>
      </c>
      <c r="Y1468">
        <f>IF(AND($A1468&lt;&gt;"",$B1468&lt;&gt;"",$R1468='تقرير نوفمبر'!$C$4,$P1468='تقرير نوفمبر'!$C$6),COUNT(Y$4:Y1467)+1,"")</f>
        <v/>
      </c>
      <c r="Z1468">
        <f>IF(AND($A1468&lt;&gt;"",$B1468&lt;&gt;"",$R1468='تقرير ديسمبر'!$C$4,$P1468='تقرير ديسمبر'!$C$6),COUNT(Z$4:Z1467)+1,"")</f>
        <v/>
      </c>
      <c r="AA1468">
        <f>IF(AND($A1468&lt;&gt;"",$B1468&lt;&gt;"",$R1468='تقرير يناير'!$C$4,$P1468='تقرير يناير'!$C$6),COUNT(AA$4:AA1467)+1,"")</f>
        <v/>
      </c>
      <c r="AB1468">
        <f>IF(AND($A1468&lt;&gt;"",$B1468&lt;&gt;"",$R1468='تقرير فبراير'!$C$4,$P1468='تقرير فبراير'!$C$6),COUNT(AB$4:AB1467)+1,"")</f>
        <v/>
      </c>
      <c r="AC1468">
        <f>IF(AND($A1468&lt;&gt;"",$B1468&lt;&gt;"",$R1468='تقرير مارس'!$C$4,$P1468='تقرير مارس'!$C$6),COUNT(AC$4:AC1467)+1,"")</f>
        <v/>
      </c>
      <c r="AD1468">
        <f>IF(AND($A1468&lt;&gt;"",$B1468&lt;&gt;"",$R1468='تقرير أبريل'!$C$4,$P1468='تقرير أبريل'!$C$6),COUNT(AD$4:AD1467)+1,"")</f>
        <v/>
      </c>
      <c r="AE1468">
        <f>IF(AND($A1468&lt;&gt;"",$B1468&lt;&gt;"",$R1468='تقرير مايو'!$C$4,$P1468='تقرير مايو'!$C$6),COUNT(AE$4:AE1467)+1,"")</f>
        <v/>
      </c>
    </row>
    <row r="1469">
      <c r="A1469" s="16" t="n"/>
      <c r="B1469" s="17" t="n"/>
      <c r="C1469" s="17" t="n"/>
      <c r="D1469" s="18" t="n"/>
      <c r="E1469" s="17" t="n"/>
      <c r="F1469" s="17" t="n"/>
      <c r="G1469" s="19" t="n"/>
      <c r="H1469" s="17" t="n"/>
      <c r="I1469" s="17" t="n"/>
      <c r="J1469" s="17" t="n"/>
      <c r="K1469" s="20">
        <f>IF($B1469="","",IFERROR(INDEX(الموظفات!$A$5:$A$304,MATCH($B1469,الموظفات!$B$5:$B$304,0))&amp;"",""))</f>
        <v/>
      </c>
      <c r="L1469" s="21">
        <f>IF($B1469="","",IFERROR(INDEX(الموظفات!$C$5:$C$304,MATCH($B1469,الموظفات!$B$5:$B$304,0))&amp;"",""))</f>
        <v/>
      </c>
      <c r="M1469" s="20">
        <f>IF($B1469="","",IFERROR(INDEX(الموظفات!$D$5:$D$304,MATCH($B1469,الموظفات!$B$5:$B$304,0))&amp;"",""))</f>
        <v/>
      </c>
      <c r="N1469" s="20">
        <f>IF($B1469="","",IFERROR(INDEX(الموظفات!$E$5:$E$304,MATCH($B1469,الموظفات!$B$5:$B$304,0))&amp;"",""))</f>
        <v/>
      </c>
      <c r="O1469" s="21">
        <f>IF(C1469="","",IFERROR(INDEX(الإعدادات!$D$7:$D$35,MATCH(C1469,الإعدادات!$A$7:$A$35,0))&amp;"",""))</f>
        <v/>
      </c>
      <c r="P1469" s="20">
        <f>IF(A1469="","",INDEX(الإعدادات!$H$7:$H$18,MONTH(A1469)))</f>
        <v/>
      </c>
      <c r="Q1469" s="20">
        <f>IF(A1469="","",INDEX(الإعدادات!$I$7:$I$18,MONTH(A1469)))</f>
        <v/>
      </c>
      <c r="R1469" s="20">
        <f>IF(A1469="","",IF(MONTH(A1469)&gt;=8,YEAR(A1469)&amp;"-"&amp;(YEAR(A1469)+1),(YEAR(A1469)-1)&amp;"-"&amp;YEAR(A1469)))</f>
        <v/>
      </c>
      <c r="S1469" s="20">
        <f>IF(OR(A1469="",B1469=""),0,IF(AND(R1469=التقارير!$C$4,OR(التقارير!$C$5="سنوي",AND(التقارير!$C$5="شهري",P1469=التقارير!$C$6),AND(التقارير!$C$5="فصلي",Q1469=التقارير!$C$7))),1,0))</f>
        <v/>
      </c>
      <c r="T1469" s="20">
        <f>IF(S1469=1,COUNTIF($S$5:S1469,1),"")</f>
        <v/>
      </c>
      <c r="U1469">
        <f>IF(AND($A1469&lt;&gt;"",$B1469&lt;&gt;"",$R1469='تقرير الفصل الأول'!$C$4,$Q1469='تقرير الفصل الأول'!$C$7),COUNT(U$4:U1468)+1,"")</f>
        <v/>
      </c>
      <c r="V1469">
        <f>IF(AND($A1469&lt;&gt;"",$B1469&lt;&gt;"",$R1469='تقرير الفصل الثاني'!$C$4,$Q1469='تقرير الفصل الثاني'!$C$7),COUNT(V$4:V1468)+1,"")</f>
        <v/>
      </c>
      <c r="W1469">
        <f>IF(AND($A1469&lt;&gt;"",$B1469&lt;&gt;"",$R1469='تقرير سبتمبر'!$C$4,$P1469='تقرير سبتمبر'!$C$6),COUNT(W$4:W1468)+1,"")</f>
        <v/>
      </c>
      <c r="X1469">
        <f>IF(AND($A1469&lt;&gt;"",$B1469&lt;&gt;"",$R1469='تقرير أكتوبر'!$C$4,$P1469='تقرير أكتوبر'!$C$6),COUNT(X$4:X1468)+1,"")</f>
        <v/>
      </c>
      <c r="Y1469">
        <f>IF(AND($A1469&lt;&gt;"",$B1469&lt;&gt;"",$R1469='تقرير نوفمبر'!$C$4,$P1469='تقرير نوفمبر'!$C$6),COUNT(Y$4:Y1468)+1,"")</f>
        <v/>
      </c>
      <c r="Z1469">
        <f>IF(AND($A1469&lt;&gt;"",$B1469&lt;&gt;"",$R1469='تقرير ديسمبر'!$C$4,$P1469='تقرير ديسمبر'!$C$6),COUNT(Z$4:Z1468)+1,"")</f>
        <v/>
      </c>
      <c r="AA1469">
        <f>IF(AND($A1469&lt;&gt;"",$B1469&lt;&gt;"",$R1469='تقرير يناير'!$C$4,$P1469='تقرير يناير'!$C$6),COUNT(AA$4:AA1468)+1,"")</f>
        <v/>
      </c>
      <c r="AB1469">
        <f>IF(AND($A1469&lt;&gt;"",$B1469&lt;&gt;"",$R1469='تقرير فبراير'!$C$4,$P1469='تقرير فبراير'!$C$6),COUNT(AB$4:AB1468)+1,"")</f>
        <v/>
      </c>
      <c r="AC1469">
        <f>IF(AND($A1469&lt;&gt;"",$B1469&lt;&gt;"",$R1469='تقرير مارس'!$C$4,$P1469='تقرير مارس'!$C$6),COUNT(AC$4:AC1468)+1,"")</f>
        <v/>
      </c>
      <c r="AD1469">
        <f>IF(AND($A1469&lt;&gt;"",$B1469&lt;&gt;"",$R1469='تقرير أبريل'!$C$4,$P1469='تقرير أبريل'!$C$6),COUNT(AD$4:AD1468)+1,"")</f>
        <v/>
      </c>
      <c r="AE1469">
        <f>IF(AND($A1469&lt;&gt;"",$B1469&lt;&gt;"",$R1469='تقرير مايو'!$C$4,$P1469='تقرير مايو'!$C$6),COUNT(AE$4:AE1468)+1,"")</f>
        <v/>
      </c>
    </row>
    <row r="1470">
      <c r="A1470" s="16" t="n"/>
      <c r="B1470" s="17" t="n"/>
      <c r="C1470" s="17" t="n"/>
      <c r="D1470" s="18" t="n"/>
      <c r="E1470" s="17" t="n"/>
      <c r="F1470" s="17" t="n"/>
      <c r="G1470" s="19" t="n"/>
      <c r="H1470" s="17" t="n"/>
      <c r="I1470" s="17" t="n"/>
      <c r="J1470" s="17" t="n"/>
      <c r="K1470" s="20">
        <f>IF($B1470="","",IFERROR(INDEX(الموظفات!$A$5:$A$304,MATCH($B1470,الموظفات!$B$5:$B$304,0))&amp;"",""))</f>
        <v/>
      </c>
      <c r="L1470" s="21">
        <f>IF($B1470="","",IFERROR(INDEX(الموظفات!$C$5:$C$304,MATCH($B1470,الموظفات!$B$5:$B$304,0))&amp;"",""))</f>
        <v/>
      </c>
      <c r="M1470" s="20">
        <f>IF($B1470="","",IFERROR(INDEX(الموظفات!$D$5:$D$304,MATCH($B1470,الموظفات!$B$5:$B$304,0))&amp;"",""))</f>
        <v/>
      </c>
      <c r="N1470" s="20">
        <f>IF($B1470="","",IFERROR(INDEX(الموظفات!$E$5:$E$304,MATCH($B1470,الموظفات!$B$5:$B$304,0))&amp;"",""))</f>
        <v/>
      </c>
      <c r="O1470" s="21">
        <f>IF(C1470="","",IFERROR(INDEX(الإعدادات!$D$7:$D$35,MATCH(C1470,الإعدادات!$A$7:$A$35,0))&amp;"",""))</f>
        <v/>
      </c>
      <c r="P1470" s="20">
        <f>IF(A1470="","",INDEX(الإعدادات!$H$7:$H$18,MONTH(A1470)))</f>
        <v/>
      </c>
      <c r="Q1470" s="20">
        <f>IF(A1470="","",INDEX(الإعدادات!$I$7:$I$18,MONTH(A1470)))</f>
        <v/>
      </c>
      <c r="R1470" s="20">
        <f>IF(A1470="","",IF(MONTH(A1470)&gt;=8,YEAR(A1470)&amp;"-"&amp;(YEAR(A1470)+1),(YEAR(A1470)-1)&amp;"-"&amp;YEAR(A1470)))</f>
        <v/>
      </c>
      <c r="S1470" s="20">
        <f>IF(OR(A1470="",B1470=""),0,IF(AND(R1470=التقارير!$C$4,OR(التقارير!$C$5="سنوي",AND(التقارير!$C$5="شهري",P1470=التقارير!$C$6),AND(التقارير!$C$5="فصلي",Q1470=التقارير!$C$7))),1,0))</f>
        <v/>
      </c>
      <c r="T1470" s="20">
        <f>IF(S1470=1,COUNTIF($S$5:S1470,1),"")</f>
        <v/>
      </c>
      <c r="U1470">
        <f>IF(AND($A1470&lt;&gt;"",$B1470&lt;&gt;"",$R1470='تقرير الفصل الأول'!$C$4,$Q1470='تقرير الفصل الأول'!$C$7),COUNT(U$4:U1469)+1,"")</f>
        <v/>
      </c>
      <c r="V1470">
        <f>IF(AND($A1470&lt;&gt;"",$B1470&lt;&gt;"",$R1470='تقرير الفصل الثاني'!$C$4,$Q1470='تقرير الفصل الثاني'!$C$7),COUNT(V$4:V1469)+1,"")</f>
        <v/>
      </c>
      <c r="W1470">
        <f>IF(AND($A1470&lt;&gt;"",$B1470&lt;&gt;"",$R1470='تقرير سبتمبر'!$C$4,$P1470='تقرير سبتمبر'!$C$6),COUNT(W$4:W1469)+1,"")</f>
        <v/>
      </c>
      <c r="X1470">
        <f>IF(AND($A1470&lt;&gt;"",$B1470&lt;&gt;"",$R1470='تقرير أكتوبر'!$C$4,$P1470='تقرير أكتوبر'!$C$6),COUNT(X$4:X1469)+1,"")</f>
        <v/>
      </c>
      <c r="Y1470">
        <f>IF(AND($A1470&lt;&gt;"",$B1470&lt;&gt;"",$R1470='تقرير نوفمبر'!$C$4,$P1470='تقرير نوفمبر'!$C$6),COUNT(Y$4:Y1469)+1,"")</f>
        <v/>
      </c>
      <c r="Z1470">
        <f>IF(AND($A1470&lt;&gt;"",$B1470&lt;&gt;"",$R1470='تقرير ديسمبر'!$C$4,$P1470='تقرير ديسمبر'!$C$6),COUNT(Z$4:Z1469)+1,"")</f>
        <v/>
      </c>
      <c r="AA1470">
        <f>IF(AND($A1470&lt;&gt;"",$B1470&lt;&gt;"",$R1470='تقرير يناير'!$C$4,$P1470='تقرير يناير'!$C$6),COUNT(AA$4:AA1469)+1,"")</f>
        <v/>
      </c>
      <c r="AB1470">
        <f>IF(AND($A1470&lt;&gt;"",$B1470&lt;&gt;"",$R1470='تقرير فبراير'!$C$4,$P1470='تقرير فبراير'!$C$6),COUNT(AB$4:AB1469)+1,"")</f>
        <v/>
      </c>
      <c r="AC1470">
        <f>IF(AND($A1470&lt;&gt;"",$B1470&lt;&gt;"",$R1470='تقرير مارس'!$C$4,$P1470='تقرير مارس'!$C$6),COUNT(AC$4:AC1469)+1,"")</f>
        <v/>
      </c>
      <c r="AD1470">
        <f>IF(AND($A1470&lt;&gt;"",$B1470&lt;&gt;"",$R1470='تقرير أبريل'!$C$4,$P1470='تقرير أبريل'!$C$6),COUNT(AD$4:AD1469)+1,"")</f>
        <v/>
      </c>
      <c r="AE1470">
        <f>IF(AND($A1470&lt;&gt;"",$B1470&lt;&gt;"",$R1470='تقرير مايو'!$C$4,$P1470='تقرير مايو'!$C$6),COUNT(AE$4:AE1469)+1,"")</f>
        <v/>
      </c>
    </row>
    <row r="1471">
      <c r="A1471" s="16" t="n"/>
      <c r="B1471" s="17" t="n"/>
      <c r="C1471" s="17" t="n"/>
      <c r="D1471" s="18" t="n"/>
      <c r="E1471" s="17" t="n"/>
      <c r="F1471" s="17" t="n"/>
      <c r="G1471" s="19" t="n"/>
      <c r="H1471" s="17" t="n"/>
      <c r="I1471" s="17" t="n"/>
      <c r="J1471" s="17" t="n"/>
      <c r="K1471" s="20">
        <f>IF($B1471="","",IFERROR(INDEX(الموظفات!$A$5:$A$304,MATCH($B1471,الموظفات!$B$5:$B$304,0))&amp;"",""))</f>
        <v/>
      </c>
      <c r="L1471" s="21">
        <f>IF($B1471="","",IFERROR(INDEX(الموظفات!$C$5:$C$304,MATCH($B1471,الموظفات!$B$5:$B$304,0))&amp;"",""))</f>
        <v/>
      </c>
      <c r="M1471" s="20">
        <f>IF($B1471="","",IFERROR(INDEX(الموظفات!$D$5:$D$304,MATCH($B1471,الموظفات!$B$5:$B$304,0))&amp;"",""))</f>
        <v/>
      </c>
      <c r="N1471" s="20">
        <f>IF($B1471="","",IFERROR(INDEX(الموظفات!$E$5:$E$304,MATCH($B1471,الموظفات!$B$5:$B$304,0))&amp;"",""))</f>
        <v/>
      </c>
      <c r="O1471" s="21">
        <f>IF(C1471="","",IFERROR(INDEX(الإعدادات!$D$7:$D$35,MATCH(C1471,الإعدادات!$A$7:$A$35,0))&amp;"",""))</f>
        <v/>
      </c>
      <c r="P1471" s="20">
        <f>IF(A1471="","",INDEX(الإعدادات!$H$7:$H$18,MONTH(A1471)))</f>
        <v/>
      </c>
      <c r="Q1471" s="20">
        <f>IF(A1471="","",INDEX(الإعدادات!$I$7:$I$18,MONTH(A1471)))</f>
        <v/>
      </c>
      <c r="R1471" s="20">
        <f>IF(A1471="","",IF(MONTH(A1471)&gt;=8,YEAR(A1471)&amp;"-"&amp;(YEAR(A1471)+1),(YEAR(A1471)-1)&amp;"-"&amp;YEAR(A1471)))</f>
        <v/>
      </c>
      <c r="S1471" s="20">
        <f>IF(OR(A1471="",B1471=""),0,IF(AND(R1471=التقارير!$C$4,OR(التقارير!$C$5="سنوي",AND(التقارير!$C$5="شهري",P1471=التقارير!$C$6),AND(التقارير!$C$5="فصلي",Q1471=التقارير!$C$7))),1,0))</f>
        <v/>
      </c>
      <c r="T1471" s="20">
        <f>IF(S1471=1,COUNTIF($S$5:S1471,1),"")</f>
        <v/>
      </c>
      <c r="U1471">
        <f>IF(AND($A1471&lt;&gt;"",$B1471&lt;&gt;"",$R1471='تقرير الفصل الأول'!$C$4,$Q1471='تقرير الفصل الأول'!$C$7),COUNT(U$4:U1470)+1,"")</f>
        <v/>
      </c>
      <c r="V1471">
        <f>IF(AND($A1471&lt;&gt;"",$B1471&lt;&gt;"",$R1471='تقرير الفصل الثاني'!$C$4,$Q1471='تقرير الفصل الثاني'!$C$7),COUNT(V$4:V1470)+1,"")</f>
        <v/>
      </c>
      <c r="W1471">
        <f>IF(AND($A1471&lt;&gt;"",$B1471&lt;&gt;"",$R1471='تقرير سبتمبر'!$C$4,$P1471='تقرير سبتمبر'!$C$6),COUNT(W$4:W1470)+1,"")</f>
        <v/>
      </c>
      <c r="X1471">
        <f>IF(AND($A1471&lt;&gt;"",$B1471&lt;&gt;"",$R1471='تقرير أكتوبر'!$C$4,$P1471='تقرير أكتوبر'!$C$6),COUNT(X$4:X1470)+1,"")</f>
        <v/>
      </c>
      <c r="Y1471">
        <f>IF(AND($A1471&lt;&gt;"",$B1471&lt;&gt;"",$R1471='تقرير نوفمبر'!$C$4,$P1471='تقرير نوفمبر'!$C$6),COUNT(Y$4:Y1470)+1,"")</f>
        <v/>
      </c>
      <c r="Z1471">
        <f>IF(AND($A1471&lt;&gt;"",$B1471&lt;&gt;"",$R1471='تقرير ديسمبر'!$C$4,$P1471='تقرير ديسمبر'!$C$6),COUNT(Z$4:Z1470)+1,"")</f>
        <v/>
      </c>
      <c r="AA1471">
        <f>IF(AND($A1471&lt;&gt;"",$B1471&lt;&gt;"",$R1471='تقرير يناير'!$C$4,$P1471='تقرير يناير'!$C$6),COUNT(AA$4:AA1470)+1,"")</f>
        <v/>
      </c>
      <c r="AB1471">
        <f>IF(AND($A1471&lt;&gt;"",$B1471&lt;&gt;"",$R1471='تقرير فبراير'!$C$4,$P1471='تقرير فبراير'!$C$6),COUNT(AB$4:AB1470)+1,"")</f>
        <v/>
      </c>
      <c r="AC1471">
        <f>IF(AND($A1471&lt;&gt;"",$B1471&lt;&gt;"",$R1471='تقرير مارس'!$C$4,$P1471='تقرير مارس'!$C$6),COUNT(AC$4:AC1470)+1,"")</f>
        <v/>
      </c>
      <c r="AD1471">
        <f>IF(AND($A1471&lt;&gt;"",$B1471&lt;&gt;"",$R1471='تقرير أبريل'!$C$4,$P1471='تقرير أبريل'!$C$6),COUNT(AD$4:AD1470)+1,"")</f>
        <v/>
      </c>
      <c r="AE1471">
        <f>IF(AND($A1471&lt;&gt;"",$B1471&lt;&gt;"",$R1471='تقرير مايو'!$C$4,$P1471='تقرير مايو'!$C$6),COUNT(AE$4:AE1470)+1,"")</f>
        <v/>
      </c>
    </row>
    <row r="1472">
      <c r="A1472" s="16" t="n"/>
      <c r="B1472" s="17" t="n"/>
      <c r="C1472" s="17" t="n"/>
      <c r="D1472" s="18" t="n"/>
      <c r="E1472" s="17" t="n"/>
      <c r="F1472" s="17" t="n"/>
      <c r="G1472" s="19" t="n"/>
      <c r="H1472" s="17" t="n"/>
      <c r="I1472" s="17" t="n"/>
      <c r="J1472" s="17" t="n"/>
      <c r="K1472" s="20">
        <f>IF($B1472="","",IFERROR(INDEX(الموظفات!$A$5:$A$304,MATCH($B1472,الموظفات!$B$5:$B$304,0))&amp;"",""))</f>
        <v/>
      </c>
      <c r="L1472" s="21">
        <f>IF($B1472="","",IFERROR(INDEX(الموظفات!$C$5:$C$304,MATCH($B1472,الموظفات!$B$5:$B$304,0))&amp;"",""))</f>
        <v/>
      </c>
      <c r="M1472" s="20">
        <f>IF($B1472="","",IFERROR(INDEX(الموظفات!$D$5:$D$304,MATCH($B1472,الموظفات!$B$5:$B$304,0))&amp;"",""))</f>
        <v/>
      </c>
      <c r="N1472" s="20">
        <f>IF($B1472="","",IFERROR(INDEX(الموظفات!$E$5:$E$304,MATCH($B1472,الموظفات!$B$5:$B$304,0))&amp;"",""))</f>
        <v/>
      </c>
      <c r="O1472" s="21">
        <f>IF(C1472="","",IFERROR(INDEX(الإعدادات!$D$7:$D$35,MATCH(C1472,الإعدادات!$A$7:$A$35,0))&amp;"",""))</f>
        <v/>
      </c>
      <c r="P1472" s="20">
        <f>IF(A1472="","",INDEX(الإعدادات!$H$7:$H$18,MONTH(A1472)))</f>
        <v/>
      </c>
      <c r="Q1472" s="20">
        <f>IF(A1472="","",INDEX(الإعدادات!$I$7:$I$18,MONTH(A1472)))</f>
        <v/>
      </c>
      <c r="R1472" s="20">
        <f>IF(A1472="","",IF(MONTH(A1472)&gt;=8,YEAR(A1472)&amp;"-"&amp;(YEAR(A1472)+1),(YEAR(A1472)-1)&amp;"-"&amp;YEAR(A1472)))</f>
        <v/>
      </c>
      <c r="S1472" s="20">
        <f>IF(OR(A1472="",B1472=""),0,IF(AND(R1472=التقارير!$C$4,OR(التقارير!$C$5="سنوي",AND(التقارير!$C$5="شهري",P1472=التقارير!$C$6),AND(التقارير!$C$5="فصلي",Q1472=التقارير!$C$7))),1,0))</f>
        <v/>
      </c>
      <c r="T1472" s="20">
        <f>IF(S1472=1,COUNTIF($S$5:S1472,1),"")</f>
        <v/>
      </c>
      <c r="U1472">
        <f>IF(AND($A1472&lt;&gt;"",$B1472&lt;&gt;"",$R1472='تقرير الفصل الأول'!$C$4,$Q1472='تقرير الفصل الأول'!$C$7),COUNT(U$4:U1471)+1,"")</f>
        <v/>
      </c>
      <c r="V1472">
        <f>IF(AND($A1472&lt;&gt;"",$B1472&lt;&gt;"",$R1472='تقرير الفصل الثاني'!$C$4,$Q1472='تقرير الفصل الثاني'!$C$7),COUNT(V$4:V1471)+1,"")</f>
        <v/>
      </c>
      <c r="W1472">
        <f>IF(AND($A1472&lt;&gt;"",$B1472&lt;&gt;"",$R1472='تقرير سبتمبر'!$C$4,$P1472='تقرير سبتمبر'!$C$6),COUNT(W$4:W1471)+1,"")</f>
        <v/>
      </c>
      <c r="X1472">
        <f>IF(AND($A1472&lt;&gt;"",$B1472&lt;&gt;"",$R1472='تقرير أكتوبر'!$C$4,$P1472='تقرير أكتوبر'!$C$6),COUNT(X$4:X1471)+1,"")</f>
        <v/>
      </c>
      <c r="Y1472">
        <f>IF(AND($A1472&lt;&gt;"",$B1472&lt;&gt;"",$R1472='تقرير نوفمبر'!$C$4,$P1472='تقرير نوفمبر'!$C$6),COUNT(Y$4:Y1471)+1,"")</f>
        <v/>
      </c>
      <c r="Z1472">
        <f>IF(AND($A1472&lt;&gt;"",$B1472&lt;&gt;"",$R1472='تقرير ديسمبر'!$C$4,$P1472='تقرير ديسمبر'!$C$6),COUNT(Z$4:Z1471)+1,"")</f>
        <v/>
      </c>
      <c r="AA1472">
        <f>IF(AND($A1472&lt;&gt;"",$B1472&lt;&gt;"",$R1472='تقرير يناير'!$C$4,$P1472='تقرير يناير'!$C$6),COUNT(AA$4:AA1471)+1,"")</f>
        <v/>
      </c>
      <c r="AB1472">
        <f>IF(AND($A1472&lt;&gt;"",$B1472&lt;&gt;"",$R1472='تقرير فبراير'!$C$4,$P1472='تقرير فبراير'!$C$6),COUNT(AB$4:AB1471)+1,"")</f>
        <v/>
      </c>
      <c r="AC1472">
        <f>IF(AND($A1472&lt;&gt;"",$B1472&lt;&gt;"",$R1472='تقرير مارس'!$C$4,$P1472='تقرير مارس'!$C$6),COUNT(AC$4:AC1471)+1,"")</f>
        <v/>
      </c>
      <c r="AD1472">
        <f>IF(AND($A1472&lt;&gt;"",$B1472&lt;&gt;"",$R1472='تقرير أبريل'!$C$4,$P1472='تقرير أبريل'!$C$6),COUNT(AD$4:AD1471)+1,"")</f>
        <v/>
      </c>
      <c r="AE1472">
        <f>IF(AND($A1472&lt;&gt;"",$B1472&lt;&gt;"",$R1472='تقرير مايو'!$C$4,$P1472='تقرير مايو'!$C$6),COUNT(AE$4:AE1471)+1,"")</f>
        <v/>
      </c>
    </row>
    <row r="1473">
      <c r="A1473" s="16" t="n"/>
      <c r="B1473" s="17" t="n"/>
      <c r="C1473" s="17" t="n"/>
      <c r="D1473" s="18" t="n"/>
      <c r="E1473" s="17" t="n"/>
      <c r="F1473" s="17" t="n"/>
      <c r="G1473" s="19" t="n"/>
      <c r="H1473" s="17" t="n"/>
      <c r="I1473" s="17" t="n"/>
      <c r="J1473" s="17" t="n"/>
      <c r="K1473" s="20">
        <f>IF($B1473="","",IFERROR(INDEX(الموظفات!$A$5:$A$304,MATCH($B1473,الموظفات!$B$5:$B$304,0))&amp;"",""))</f>
        <v/>
      </c>
      <c r="L1473" s="21">
        <f>IF($B1473="","",IFERROR(INDEX(الموظفات!$C$5:$C$304,MATCH($B1473,الموظفات!$B$5:$B$304,0))&amp;"",""))</f>
        <v/>
      </c>
      <c r="M1473" s="20">
        <f>IF($B1473="","",IFERROR(INDEX(الموظفات!$D$5:$D$304,MATCH($B1473,الموظفات!$B$5:$B$304,0))&amp;"",""))</f>
        <v/>
      </c>
      <c r="N1473" s="20">
        <f>IF($B1473="","",IFERROR(INDEX(الموظفات!$E$5:$E$304,MATCH($B1473,الموظفات!$B$5:$B$304,0))&amp;"",""))</f>
        <v/>
      </c>
      <c r="O1473" s="21">
        <f>IF(C1473="","",IFERROR(INDEX(الإعدادات!$D$7:$D$35,MATCH(C1473,الإعدادات!$A$7:$A$35,0))&amp;"",""))</f>
        <v/>
      </c>
      <c r="P1473" s="20">
        <f>IF(A1473="","",INDEX(الإعدادات!$H$7:$H$18,MONTH(A1473)))</f>
        <v/>
      </c>
      <c r="Q1473" s="20">
        <f>IF(A1473="","",INDEX(الإعدادات!$I$7:$I$18,MONTH(A1473)))</f>
        <v/>
      </c>
      <c r="R1473" s="20">
        <f>IF(A1473="","",IF(MONTH(A1473)&gt;=8,YEAR(A1473)&amp;"-"&amp;(YEAR(A1473)+1),(YEAR(A1473)-1)&amp;"-"&amp;YEAR(A1473)))</f>
        <v/>
      </c>
      <c r="S1473" s="20">
        <f>IF(OR(A1473="",B1473=""),0,IF(AND(R1473=التقارير!$C$4,OR(التقارير!$C$5="سنوي",AND(التقارير!$C$5="شهري",P1473=التقارير!$C$6),AND(التقارير!$C$5="فصلي",Q1473=التقارير!$C$7))),1,0))</f>
        <v/>
      </c>
      <c r="T1473" s="20">
        <f>IF(S1473=1,COUNTIF($S$5:S1473,1),"")</f>
        <v/>
      </c>
      <c r="U1473">
        <f>IF(AND($A1473&lt;&gt;"",$B1473&lt;&gt;"",$R1473='تقرير الفصل الأول'!$C$4,$Q1473='تقرير الفصل الأول'!$C$7),COUNT(U$4:U1472)+1,"")</f>
        <v/>
      </c>
      <c r="V1473">
        <f>IF(AND($A1473&lt;&gt;"",$B1473&lt;&gt;"",$R1473='تقرير الفصل الثاني'!$C$4,$Q1473='تقرير الفصل الثاني'!$C$7),COUNT(V$4:V1472)+1,"")</f>
        <v/>
      </c>
      <c r="W1473">
        <f>IF(AND($A1473&lt;&gt;"",$B1473&lt;&gt;"",$R1473='تقرير سبتمبر'!$C$4,$P1473='تقرير سبتمبر'!$C$6),COUNT(W$4:W1472)+1,"")</f>
        <v/>
      </c>
      <c r="X1473">
        <f>IF(AND($A1473&lt;&gt;"",$B1473&lt;&gt;"",$R1473='تقرير أكتوبر'!$C$4,$P1473='تقرير أكتوبر'!$C$6),COUNT(X$4:X1472)+1,"")</f>
        <v/>
      </c>
      <c r="Y1473">
        <f>IF(AND($A1473&lt;&gt;"",$B1473&lt;&gt;"",$R1473='تقرير نوفمبر'!$C$4,$P1473='تقرير نوفمبر'!$C$6),COUNT(Y$4:Y1472)+1,"")</f>
        <v/>
      </c>
      <c r="Z1473">
        <f>IF(AND($A1473&lt;&gt;"",$B1473&lt;&gt;"",$R1473='تقرير ديسمبر'!$C$4,$P1473='تقرير ديسمبر'!$C$6),COUNT(Z$4:Z1472)+1,"")</f>
        <v/>
      </c>
      <c r="AA1473">
        <f>IF(AND($A1473&lt;&gt;"",$B1473&lt;&gt;"",$R1473='تقرير يناير'!$C$4,$P1473='تقرير يناير'!$C$6),COUNT(AA$4:AA1472)+1,"")</f>
        <v/>
      </c>
      <c r="AB1473">
        <f>IF(AND($A1473&lt;&gt;"",$B1473&lt;&gt;"",$R1473='تقرير فبراير'!$C$4,$P1473='تقرير فبراير'!$C$6),COUNT(AB$4:AB1472)+1,"")</f>
        <v/>
      </c>
      <c r="AC1473">
        <f>IF(AND($A1473&lt;&gt;"",$B1473&lt;&gt;"",$R1473='تقرير مارس'!$C$4,$P1473='تقرير مارس'!$C$6),COUNT(AC$4:AC1472)+1,"")</f>
        <v/>
      </c>
      <c r="AD1473">
        <f>IF(AND($A1473&lt;&gt;"",$B1473&lt;&gt;"",$R1473='تقرير أبريل'!$C$4,$P1473='تقرير أبريل'!$C$6),COUNT(AD$4:AD1472)+1,"")</f>
        <v/>
      </c>
      <c r="AE1473">
        <f>IF(AND($A1473&lt;&gt;"",$B1473&lt;&gt;"",$R1473='تقرير مايو'!$C$4,$P1473='تقرير مايو'!$C$6),COUNT(AE$4:AE1472)+1,"")</f>
        <v/>
      </c>
    </row>
    <row r="1474">
      <c r="A1474" s="16" t="n"/>
      <c r="B1474" s="17" t="n"/>
      <c r="C1474" s="17" t="n"/>
      <c r="D1474" s="18" t="n"/>
      <c r="E1474" s="17" t="n"/>
      <c r="F1474" s="17" t="n"/>
      <c r="G1474" s="19" t="n"/>
      <c r="H1474" s="17" t="n"/>
      <c r="I1474" s="17" t="n"/>
      <c r="J1474" s="17" t="n"/>
      <c r="K1474" s="20">
        <f>IF($B1474="","",IFERROR(INDEX(الموظفات!$A$5:$A$304,MATCH($B1474,الموظفات!$B$5:$B$304,0))&amp;"",""))</f>
        <v/>
      </c>
      <c r="L1474" s="21">
        <f>IF($B1474="","",IFERROR(INDEX(الموظفات!$C$5:$C$304,MATCH($B1474,الموظفات!$B$5:$B$304,0))&amp;"",""))</f>
        <v/>
      </c>
      <c r="M1474" s="20">
        <f>IF($B1474="","",IFERROR(INDEX(الموظفات!$D$5:$D$304,MATCH($B1474,الموظفات!$B$5:$B$304,0))&amp;"",""))</f>
        <v/>
      </c>
      <c r="N1474" s="20">
        <f>IF($B1474="","",IFERROR(INDEX(الموظفات!$E$5:$E$304,MATCH($B1474,الموظفات!$B$5:$B$304,0))&amp;"",""))</f>
        <v/>
      </c>
      <c r="O1474" s="21">
        <f>IF(C1474="","",IFERROR(INDEX(الإعدادات!$D$7:$D$35,MATCH(C1474,الإعدادات!$A$7:$A$35,0))&amp;"",""))</f>
        <v/>
      </c>
      <c r="P1474" s="20">
        <f>IF(A1474="","",INDEX(الإعدادات!$H$7:$H$18,MONTH(A1474)))</f>
        <v/>
      </c>
      <c r="Q1474" s="20">
        <f>IF(A1474="","",INDEX(الإعدادات!$I$7:$I$18,MONTH(A1474)))</f>
        <v/>
      </c>
      <c r="R1474" s="20">
        <f>IF(A1474="","",IF(MONTH(A1474)&gt;=8,YEAR(A1474)&amp;"-"&amp;(YEAR(A1474)+1),(YEAR(A1474)-1)&amp;"-"&amp;YEAR(A1474)))</f>
        <v/>
      </c>
      <c r="S1474" s="20">
        <f>IF(OR(A1474="",B1474=""),0,IF(AND(R1474=التقارير!$C$4,OR(التقارير!$C$5="سنوي",AND(التقارير!$C$5="شهري",P1474=التقارير!$C$6),AND(التقارير!$C$5="فصلي",Q1474=التقارير!$C$7))),1,0))</f>
        <v/>
      </c>
      <c r="T1474" s="20">
        <f>IF(S1474=1,COUNTIF($S$5:S1474,1),"")</f>
        <v/>
      </c>
      <c r="U1474">
        <f>IF(AND($A1474&lt;&gt;"",$B1474&lt;&gt;"",$R1474='تقرير الفصل الأول'!$C$4,$Q1474='تقرير الفصل الأول'!$C$7),COUNT(U$4:U1473)+1,"")</f>
        <v/>
      </c>
      <c r="V1474">
        <f>IF(AND($A1474&lt;&gt;"",$B1474&lt;&gt;"",$R1474='تقرير الفصل الثاني'!$C$4,$Q1474='تقرير الفصل الثاني'!$C$7),COUNT(V$4:V1473)+1,"")</f>
        <v/>
      </c>
      <c r="W1474">
        <f>IF(AND($A1474&lt;&gt;"",$B1474&lt;&gt;"",$R1474='تقرير سبتمبر'!$C$4,$P1474='تقرير سبتمبر'!$C$6),COUNT(W$4:W1473)+1,"")</f>
        <v/>
      </c>
      <c r="X1474">
        <f>IF(AND($A1474&lt;&gt;"",$B1474&lt;&gt;"",$R1474='تقرير أكتوبر'!$C$4,$P1474='تقرير أكتوبر'!$C$6),COUNT(X$4:X1473)+1,"")</f>
        <v/>
      </c>
      <c r="Y1474">
        <f>IF(AND($A1474&lt;&gt;"",$B1474&lt;&gt;"",$R1474='تقرير نوفمبر'!$C$4,$P1474='تقرير نوفمبر'!$C$6),COUNT(Y$4:Y1473)+1,"")</f>
        <v/>
      </c>
      <c r="Z1474">
        <f>IF(AND($A1474&lt;&gt;"",$B1474&lt;&gt;"",$R1474='تقرير ديسمبر'!$C$4,$P1474='تقرير ديسمبر'!$C$6),COUNT(Z$4:Z1473)+1,"")</f>
        <v/>
      </c>
      <c r="AA1474">
        <f>IF(AND($A1474&lt;&gt;"",$B1474&lt;&gt;"",$R1474='تقرير يناير'!$C$4,$P1474='تقرير يناير'!$C$6),COUNT(AA$4:AA1473)+1,"")</f>
        <v/>
      </c>
      <c r="AB1474">
        <f>IF(AND($A1474&lt;&gt;"",$B1474&lt;&gt;"",$R1474='تقرير فبراير'!$C$4,$P1474='تقرير فبراير'!$C$6),COUNT(AB$4:AB1473)+1,"")</f>
        <v/>
      </c>
      <c r="AC1474">
        <f>IF(AND($A1474&lt;&gt;"",$B1474&lt;&gt;"",$R1474='تقرير مارس'!$C$4,$P1474='تقرير مارس'!$C$6),COUNT(AC$4:AC1473)+1,"")</f>
        <v/>
      </c>
      <c r="AD1474">
        <f>IF(AND($A1474&lt;&gt;"",$B1474&lt;&gt;"",$R1474='تقرير أبريل'!$C$4,$P1474='تقرير أبريل'!$C$6),COUNT(AD$4:AD1473)+1,"")</f>
        <v/>
      </c>
      <c r="AE1474">
        <f>IF(AND($A1474&lt;&gt;"",$B1474&lt;&gt;"",$R1474='تقرير مايو'!$C$4,$P1474='تقرير مايو'!$C$6),COUNT(AE$4:AE1473)+1,"")</f>
        <v/>
      </c>
    </row>
    <row r="1475">
      <c r="A1475" s="16" t="n"/>
      <c r="B1475" s="17" t="n"/>
      <c r="C1475" s="17" t="n"/>
      <c r="D1475" s="18" t="n"/>
      <c r="E1475" s="17" t="n"/>
      <c r="F1475" s="17" t="n"/>
      <c r="G1475" s="19" t="n"/>
      <c r="H1475" s="17" t="n"/>
      <c r="I1475" s="17" t="n"/>
      <c r="J1475" s="17" t="n"/>
      <c r="K1475" s="20">
        <f>IF($B1475="","",IFERROR(INDEX(الموظفات!$A$5:$A$304,MATCH($B1475,الموظفات!$B$5:$B$304,0))&amp;"",""))</f>
        <v/>
      </c>
      <c r="L1475" s="21">
        <f>IF($B1475="","",IFERROR(INDEX(الموظفات!$C$5:$C$304,MATCH($B1475,الموظفات!$B$5:$B$304,0))&amp;"",""))</f>
        <v/>
      </c>
      <c r="M1475" s="20">
        <f>IF($B1475="","",IFERROR(INDEX(الموظفات!$D$5:$D$304,MATCH($B1475,الموظفات!$B$5:$B$304,0))&amp;"",""))</f>
        <v/>
      </c>
      <c r="N1475" s="20">
        <f>IF($B1475="","",IFERROR(INDEX(الموظفات!$E$5:$E$304,MATCH($B1475,الموظفات!$B$5:$B$304,0))&amp;"",""))</f>
        <v/>
      </c>
      <c r="O1475" s="21">
        <f>IF(C1475="","",IFERROR(INDEX(الإعدادات!$D$7:$D$35,MATCH(C1475,الإعدادات!$A$7:$A$35,0))&amp;"",""))</f>
        <v/>
      </c>
      <c r="P1475" s="20">
        <f>IF(A1475="","",INDEX(الإعدادات!$H$7:$H$18,MONTH(A1475)))</f>
        <v/>
      </c>
      <c r="Q1475" s="20">
        <f>IF(A1475="","",INDEX(الإعدادات!$I$7:$I$18,MONTH(A1475)))</f>
        <v/>
      </c>
      <c r="R1475" s="20">
        <f>IF(A1475="","",IF(MONTH(A1475)&gt;=8,YEAR(A1475)&amp;"-"&amp;(YEAR(A1475)+1),(YEAR(A1475)-1)&amp;"-"&amp;YEAR(A1475)))</f>
        <v/>
      </c>
      <c r="S1475" s="20">
        <f>IF(OR(A1475="",B1475=""),0,IF(AND(R1475=التقارير!$C$4,OR(التقارير!$C$5="سنوي",AND(التقارير!$C$5="شهري",P1475=التقارير!$C$6),AND(التقارير!$C$5="فصلي",Q1475=التقارير!$C$7))),1,0))</f>
        <v/>
      </c>
      <c r="T1475" s="20">
        <f>IF(S1475=1,COUNTIF($S$5:S1475,1),"")</f>
        <v/>
      </c>
      <c r="U1475">
        <f>IF(AND($A1475&lt;&gt;"",$B1475&lt;&gt;"",$R1475='تقرير الفصل الأول'!$C$4,$Q1475='تقرير الفصل الأول'!$C$7),COUNT(U$4:U1474)+1,"")</f>
        <v/>
      </c>
      <c r="V1475">
        <f>IF(AND($A1475&lt;&gt;"",$B1475&lt;&gt;"",$R1475='تقرير الفصل الثاني'!$C$4,$Q1475='تقرير الفصل الثاني'!$C$7),COUNT(V$4:V1474)+1,"")</f>
        <v/>
      </c>
      <c r="W1475">
        <f>IF(AND($A1475&lt;&gt;"",$B1475&lt;&gt;"",$R1475='تقرير سبتمبر'!$C$4,$P1475='تقرير سبتمبر'!$C$6),COUNT(W$4:W1474)+1,"")</f>
        <v/>
      </c>
      <c r="X1475">
        <f>IF(AND($A1475&lt;&gt;"",$B1475&lt;&gt;"",$R1475='تقرير أكتوبر'!$C$4,$P1475='تقرير أكتوبر'!$C$6),COUNT(X$4:X1474)+1,"")</f>
        <v/>
      </c>
      <c r="Y1475">
        <f>IF(AND($A1475&lt;&gt;"",$B1475&lt;&gt;"",$R1475='تقرير نوفمبر'!$C$4,$P1475='تقرير نوفمبر'!$C$6),COUNT(Y$4:Y1474)+1,"")</f>
        <v/>
      </c>
      <c r="Z1475">
        <f>IF(AND($A1475&lt;&gt;"",$B1475&lt;&gt;"",$R1475='تقرير ديسمبر'!$C$4,$P1475='تقرير ديسمبر'!$C$6),COUNT(Z$4:Z1474)+1,"")</f>
        <v/>
      </c>
      <c r="AA1475">
        <f>IF(AND($A1475&lt;&gt;"",$B1475&lt;&gt;"",$R1475='تقرير يناير'!$C$4,$P1475='تقرير يناير'!$C$6),COUNT(AA$4:AA1474)+1,"")</f>
        <v/>
      </c>
      <c r="AB1475">
        <f>IF(AND($A1475&lt;&gt;"",$B1475&lt;&gt;"",$R1475='تقرير فبراير'!$C$4,$P1475='تقرير فبراير'!$C$6),COUNT(AB$4:AB1474)+1,"")</f>
        <v/>
      </c>
      <c r="AC1475">
        <f>IF(AND($A1475&lt;&gt;"",$B1475&lt;&gt;"",$R1475='تقرير مارس'!$C$4,$P1475='تقرير مارس'!$C$6),COUNT(AC$4:AC1474)+1,"")</f>
        <v/>
      </c>
      <c r="AD1475">
        <f>IF(AND($A1475&lt;&gt;"",$B1475&lt;&gt;"",$R1475='تقرير أبريل'!$C$4,$P1475='تقرير أبريل'!$C$6),COUNT(AD$4:AD1474)+1,"")</f>
        <v/>
      </c>
      <c r="AE1475">
        <f>IF(AND($A1475&lt;&gt;"",$B1475&lt;&gt;"",$R1475='تقرير مايو'!$C$4,$P1475='تقرير مايو'!$C$6),COUNT(AE$4:AE1474)+1,"")</f>
        <v/>
      </c>
    </row>
    <row r="1476">
      <c r="A1476" s="16" t="n"/>
      <c r="B1476" s="17" t="n"/>
      <c r="C1476" s="17" t="n"/>
      <c r="D1476" s="18" t="n"/>
      <c r="E1476" s="17" t="n"/>
      <c r="F1476" s="17" t="n"/>
      <c r="G1476" s="19" t="n"/>
      <c r="H1476" s="17" t="n"/>
      <c r="I1476" s="17" t="n"/>
      <c r="J1476" s="17" t="n"/>
      <c r="K1476" s="20">
        <f>IF($B1476="","",IFERROR(INDEX(الموظفات!$A$5:$A$304,MATCH($B1476,الموظفات!$B$5:$B$304,0))&amp;"",""))</f>
        <v/>
      </c>
      <c r="L1476" s="21">
        <f>IF($B1476="","",IFERROR(INDEX(الموظفات!$C$5:$C$304,MATCH($B1476,الموظفات!$B$5:$B$304,0))&amp;"",""))</f>
        <v/>
      </c>
      <c r="M1476" s="20">
        <f>IF($B1476="","",IFERROR(INDEX(الموظفات!$D$5:$D$304,MATCH($B1476,الموظفات!$B$5:$B$304,0))&amp;"",""))</f>
        <v/>
      </c>
      <c r="N1476" s="20">
        <f>IF($B1476="","",IFERROR(INDEX(الموظفات!$E$5:$E$304,MATCH($B1476,الموظفات!$B$5:$B$304,0))&amp;"",""))</f>
        <v/>
      </c>
      <c r="O1476" s="21">
        <f>IF(C1476="","",IFERROR(INDEX(الإعدادات!$D$7:$D$35,MATCH(C1476,الإعدادات!$A$7:$A$35,0))&amp;"",""))</f>
        <v/>
      </c>
      <c r="P1476" s="20">
        <f>IF(A1476="","",INDEX(الإعدادات!$H$7:$H$18,MONTH(A1476)))</f>
        <v/>
      </c>
      <c r="Q1476" s="20">
        <f>IF(A1476="","",INDEX(الإعدادات!$I$7:$I$18,MONTH(A1476)))</f>
        <v/>
      </c>
      <c r="R1476" s="20">
        <f>IF(A1476="","",IF(MONTH(A1476)&gt;=8,YEAR(A1476)&amp;"-"&amp;(YEAR(A1476)+1),(YEAR(A1476)-1)&amp;"-"&amp;YEAR(A1476)))</f>
        <v/>
      </c>
      <c r="S1476" s="20">
        <f>IF(OR(A1476="",B1476=""),0,IF(AND(R1476=التقارير!$C$4,OR(التقارير!$C$5="سنوي",AND(التقارير!$C$5="شهري",P1476=التقارير!$C$6),AND(التقارير!$C$5="فصلي",Q1476=التقارير!$C$7))),1,0))</f>
        <v/>
      </c>
      <c r="T1476" s="20">
        <f>IF(S1476=1,COUNTIF($S$5:S1476,1),"")</f>
        <v/>
      </c>
      <c r="U1476">
        <f>IF(AND($A1476&lt;&gt;"",$B1476&lt;&gt;"",$R1476='تقرير الفصل الأول'!$C$4,$Q1476='تقرير الفصل الأول'!$C$7),COUNT(U$4:U1475)+1,"")</f>
        <v/>
      </c>
      <c r="V1476">
        <f>IF(AND($A1476&lt;&gt;"",$B1476&lt;&gt;"",$R1476='تقرير الفصل الثاني'!$C$4,$Q1476='تقرير الفصل الثاني'!$C$7),COUNT(V$4:V1475)+1,"")</f>
        <v/>
      </c>
      <c r="W1476">
        <f>IF(AND($A1476&lt;&gt;"",$B1476&lt;&gt;"",$R1476='تقرير سبتمبر'!$C$4,$P1476='تقرير سبتمبر'!$C$6),COUNT(W$4:W1475)+1,"")</f>
        <v/>
      </c>
      <c r="X1476">
        <f>IF(AND($A1476&lt;&gt;"",$B1476&lt;&gt;"",$R1476='تقرير أكتوبر'!$C$4,$P1476='تقرير أكتوبر'!$C$6),COUNT(X$4:X1475)+1,"")</f>
        <v/>
      </c>
      <c r="Y1476">
        <f>IF(AND($A1476&lt;&gt;"",$B1476&lt;&gt;"",$R1476='تقرير نوفمبر'!$C$4,$P1476='تقرير نوفمبر'!$C$6),COUNT(Y$4:Y1475)+1,"")</f>
        <v/>
      </c>
      <c r="Z1476">
        <f>IF(AND($A1476&lt;&gt;"",$B1476&lt;&gt;"",$R1476='تقرير ديسمبر'!$C$4,$P1476='تقرير ديسمبر'!$C$6),COUNT(Z$4:Z1475)+1,"")</f>
        <v/>
      </c>
      <c r="AA1476">
        <f>IF(AND($A1476&lt;&gt;"",$B1476&lt;&gt;"",$R1476='تقرير يناير'!$C$4,$P1476='تقرير يناير'!$C$6),COUNT(AA$4:AA1475)+1,"")</f>
        <v/>
      </c>
      <c r="AB1476">
        <f>IF(AND($A1476&lt;&gt;"",$B1476&lt;&gt;"",$R1476='تقرير فبراير'!$C$4,$P1476='تقرير فبراير'!$C$6),COUNT(AB$4:AB1475)+1,"")</f>
        <v/>
      </c>
      <c r="AC1476">
        <f>IF(AND($A1476&lt;&gt;"",$B1476&lt;&gt;"",$R1476='تقرير مارس'!$C$4,$P1476='تقرير مارس'!$C$6),COUNT(AC$4:AC1475)+1,"")</f>
        <v/>
      </c>
      <c r="AD1476">
        <f>IF(AND($A1476&lt;&gt;"",$B1476&lt;&gt;"",$R1476='تقرير أبريل'!$C$4,$P1476='تقرير أبريل'!$C$6),COUNT(AD$4:AD1475)+1,"")</f>
        <v/>
      </c>
      <c r="AE1476">
        <f>IF(AND($A1476&lt;&gt;"",$B1476&lt;&gt;"",$R1476='تقرير مايو'!$C$4,$P1476='تقرير مايو'!$C$6),COUNT(AE$4:AE1475)+1,"")</f>
        <v/>
      </c>
    </row>
    <row r="1477">
      <c r="A1477" s="16" t="n"/>
      <c r="B1477" s="17" t="n"/>
      <c r="C1477" s="17" t="n"/>
      <c r="D1477" s="18" t="n"/>
      <c r="E1477" s="17" t="n"/>
      <c r="F1477" s="17" t="n"/>
      <c r="G1477" s="19" t="n"/>
      <c r="H1477" s="17" t="n"/>
      <c r="I1477" s="17" t="n"/>
      <c r="J1477" s="17" t="n"/>
      <c r="K1477" s="20">
        <f>IF($B1477="","",IFERROR(INDEX(الموظفات!$A$5:$A$304,MATCH($B1477,الموظفات!$B$5:$B$304,0))&amp;"",""))</f>
        <v/>
      </c>
      <c r="L1477" s="21">
        <f>IF($B1477="","",IFERROR(INDEX(الموظفات!$C$5:$C$304,MATCH($B1477,الموظفات!$B$5:$B$304,0))&amp;"",""))</f>
        <v/>
      </c>
      <c r="M1477" s="20">
        <f>IF($B1477="","",IFERROR(INDEX(الموظفات!$D$5:$D$304,MATCH($B1477,الموظفات!$B$5:$B$304,0))&amp;"",""))</f>
        <v/>
      </c>
      <c r="N1477" s="20">
        <f>IF($B1477="","",IFERROR(INDEX(الموظفات!$E$5:$E$304,MATCH($B1477,الموظفات!$B$5:$B$304,0))&amp;"",""))</f>
        <v/>
      </c>
      <c r="O1477" s="21">
        <f>IF(C1477="","",IFERROR(INDEX(الإعدادات!$D$7:$D$35,MATCH(C1477,الإعدادات!$A$7:$A$35,0))&amp;"",""))</f>
        <v/>
      </c>
      <c r="P1477" s="20">
        <f>IF(A1477="","",INDEX(الإعدادات!$H$7:$H$18,MONTH(A1477)))</f>
        <v/>
      </c>
      <c r="Q1477" s="20">
        <f>IF(A1477="","",INDEX(الإعدادات!$I$7:$I$18,MONTH(A1477)))</f>
        <v/>
      </c>
      <c r="R1477" s="20">
        <f>IF(A1477="","",IF(MONTH(A1477)&gt;=8,YEAR(A1477)&amp;"-"&amp;(YEAR(A1477)+1),(YEAR(A1477)-1)&amp;"-"&amp;YEAR(A1477)))</f>
        <v/>
      </c>
      <c r="S1477" s="20">
        <f>IF(OR(A1477="",B1477=""),0,IF(AND(R1477=التقارير!$C$4,OR(التقارير!$C$5="سنوي",AND(التقارير!$C$5="شهري",P1477=التقارير!$C$6),AND(التقارير!$C$5="فصلي",Q1477=التقارير!$C$7))),1,0))</f>
        <v/>
      </c>
      <c r="T1477" s="20">
        <f>IF(S1477=1,COUNTIF($S$5:S1477,1),"")</f>
        <v/>
      </c>
      <c r="U1477">
        <f>IF(AND($A1477&lt;&gt;"",$B1477&lt;&gt;"",$R1477='تقرير الفصل الأول'!$C$4,$Q1477='تقرير الفصل الأول'!$C$7),COUNT(U$4:U1476)+1,"")</f>
        <v/>
      </c>
      <c r="V1477">
        <f>IF(AND($A1477&lt;&gt;"",$B1477&lt;&gt;"",$R1477='تقرير الفصل الثاني'!$C$4,$Q1477='تقرير الفصل الثاني'!$C$7),COUNT(V$4:V1476)+1,"")</f>
        <v/>
      </c>
      <c r="W1477">
        <f>IF(AND($A1477&lt;&gt;"",$B1477&lt;&gt;"",$R1477='تقرير سبتمبر'!$C$4,$P1477='تقرير سبتمبر'!$C$6),COUNT(W$4:W1476)+1,"")</f>
        <v/>
      </c>
      <c r="X1477">
        <f>IF(AND($A1477&lt;&gt;"",$B1477&lt;&gt;"",$R1477='تقرير أكتوبر'!$C$4,$P1477='تقرير أكتوبر'!$C$6),COUNT(X$4:X1476)+1,"")</f>
        <v/>
      </c>
      <c r="Y1477">
        <f>IF(AND($A1477&lt;&gt;"",$B1477&lt;&gt;"",$R1477='تقرير نوفمبر'!$C$4,$P1477='تقرير نوفمبر'!$C$6),COUNT(Y$4:Y1476)+1,"")</f>
        <v/>
      </c>
      <c r="Z1477">
        <f>IF(AND($A1477&lt;&gt;"",$B1477&lt;&gt;"",$R1477='تقرير ديسمبر'!$C$4,$P1477='تقرير ديسمبر'!$C$6),COUNT(Z$4:Z1476)+1,"")</f>
        <v/>
      </c>
      <c r="AA1477">
        <f>IF(AND($A1477&lt;&gt;"",$B1477&lt;&gt;"",$R1477='تقرير يناير'!$C$4,$P1477='تقرير يناير'!$C$6),COUNT(AA$4:AA1476)+1,"")</f>
        <v/>
      </c>
      <c r="AB1477">
        <f>IF(AND($A1477&lt;&gt;"",$B1477&lt;&gt;"",$R1477='تقرير فبراير'!$C$4,$P1477='تقرير فبراير'!$C$6),COUNT(AB$4:AB1476)+1,"")</f>
        <v/>
      </c>
      <c r="AC1477">
        <f>IF(AND($A1477&lt;&gt;"",$B1477&lt;&gt;"",$R1477='تقرير مارس'!$C$4,$P1477='تقرير مارس'!$C$6),COUNT(AC$4:AC1476)+1,"")</f>
        <v/>
      </c>
      <c r="AD1477">
        <f>IF(AND($A1477&lt;&gt;"",$B1477&lt;&gt;"",$R1477='تقرير أبريل'!$C$4,$P1477='تقرير أبريل'!$C$6),COUNT(AD$4:AD1476)+1,"")</f>
        <v/>
      </c>
      <c r="AE1477">
        <f>IF(AND($A1477&lt;&gt;"",$B1477&lt;&gt;"",$R1477='تقرير مايو'!$C$4,$P1477='تقرير مايو'!$C$6),COUNT(AE$4:AE1476)+1,"")</f>
        <v/>
      </c>
    </row>
    <row r="1478">
      <c r="A1478" s="16" t="n"/>
      <c r="B1478" s="17" t="n"/>
      <c r="C1478" s="17" t="n"/>
      <c r="D1478" s="18" t="n"/>
      <c r="E1478" s="17" t="n"/>
      <c r="F1478" s="17" t="n"/>
      <c r="G1478" s="19" t="n"/>
      <c r="H1478" s="17" t="n"/>
      <c r="I1478" s="17" t="n"/>
      <c r="J1478" s="17" t="n"/>
      <c r="K1478" s="20">
        <f>IF($B1478="","",IFERROR(INDEX(الموظفات!$A$5:$A$304,MATCH($B1478,الموظفات!$B$5:$B$304,0))&amp;"",""))</f>
        <v/>
      </c>
      <c r="L1478" s="21">
        <f>IF($B1478="","",IFERROR(INDEX(الموظفات!$C$5:$C$304,MATCH($B1478,الموظفات!$B$5:$B$304,0))&amp;"",""))</f>
        <v/>
      </c>
      <c r="M1478" s="20">
        <f>IF($B1478="","",IFERROR(INDEX(الموظفات!$D$5:$D$304,MATCH($B1478,الموظفات!$B$5:$B$304,0))&amp;"",""))</f>
        <v/>
      </c>
      <c r="N1478" s="20">
        <f>IF($B1478="","",IFERROR(INDEX(الموظفات!$E$5:$E$304,MATCH($B1478,الموظفات!$B$5:$B$304,0))&amp;"",""))</f>
        <v/>
      </c>
      <c r="O1478" s="21">
        <f>IF(C1478="","",IFERROR(INDEX(الإعدادات!$D$7:$D$35,MATCH(C1478,الإعدادات!$A$7:$A$35,0))&amp;"",""))</f>
        <v/>
      </c>
      <c r="P1478" s="20">
        <f>IF(A1478="","",INDEX(الإعدادات!$H$7:$H$18,MONTH(A1478)))</f>
        <v/>
      </c>
      <c r="Q1478" s="20">
        <f>IF(A1478="","",INDEX(الإعدادات!$I$7:$I$18,MONTH(A1478)))</f>
        <v/>
      </c>
      <c r="R1478" s="20">
        <f>IF(A1478="","",IF(MONTH(A1478)&gt;=8,YEAR(A1478)&amp;"-"&amp;(YEAR(A1478)+1),(YEAR(A1478)-1)&amp;"-"&amp;YEAR(A1478)))</f>
        <v/>
      </c>
      <c r="S1478" s="20">
        <f>IF(OR(A1478="",B1478=""),0,IF(AND(R1478=التقارير!$C$4,OR(التقارير!$C$5="سنوي",AND(التقارير!$C$5="شهري",P1478=التقارير!$C$6),AND(التقارير!$C$5="فصلي",Q1478=التقارير!$C$7))),1,0))</f>
        <v/>
      </c>
      <c r="T1478" s="20">
        <f>IF(S1478=1,COUNTIF($S$5:S1478,1),"")</f>
        <v/>
      </c>
      <c r="U1478">
        <f>IF(AND($A1478&lt;&gt;"",$B1478&lt;&gt;"",$R1478='تقرير الفصل الأول'!$C$4,$Q1478='تقرير الفصل الأول'!$C$7),COUNT(U$4:U1477)+1,"")</f>
        <v/>
      </c>
      <c r="V1478">
        <f>IF(AND($A1478&lt;&gt;"",$B1478&lt;&gt;"",$R1478='تقرير الفصل الثاني'!$C$4,$Q1478='تقرير الفصل الثاني'!$C$7),COUNT(V$4:V1477)+1,"")</f>
        <v/>
      </c>
      <c r="W1478">
        <f>IF(AND($A1478&lt;&gt;"",$B1478&lt;&gt;"",$R1478='تقرير سبتمبر'!$C$4,$P1478='تقرير سبتمبر'!$C$6),COUNT(W$4:W1477)+1,"")</f>
        <v/>
      </c>
      <c r="X1478">
        <f>IF(AND($A1478&lt;&gt;"",$B1478&lt;&gt;"",$R1478='تقرير أكتوبر'!$C$4,$P1478='تقرير أكتوبر'!$C$6),COUNT(X$4:X1477)+1,"")</f>
        <v/>
      </c>
      <c r="Y1478">
        <f>IF(AND($A1478&lt;&gt;"",$B1478&lt;&gt;"",$R1478='تقرير نوفمبر'!$C$4,$P1478='تقرير نوفمبر'!$C$6),COUNT(Y$4:Y1477)+1,"")</f>
        <v/>
      </c>
      <c r="Z1478">
        <f>IF(AND($A1478&lt;&gt;"",$B1478&lt;&gt;"",$R1478='تقرير ديسمبر'!$C$4,$P1478='تقرير ديسمبر'!$C$6),COUNT(Z$4:Z1477)+1,"")</f>
        <v/>
      </c>
      <c r="AA1478">
        <f>IF(AND($A1478&lt;&gt;"",$B1478&lt;&gt;"",$R1478='تقرير يناير'!$C$4,$P1478='تقرير يناير'!$C$6),COUNT(AA$4:AA1477)+1,"")</f>
        <v/>
      </c>
      <c r="AB1478">
        <f>IF(AND($A1478&lt;&gt;"",$B1478&lt;&gt;"",$R1478='تقرير فبراير'!$C$4,$P1478='تقرير فبراير'!$C$6),COUNT(AB$4:AB1477)+1,"")</f>
        <v/>
      </c>
      <c r="AC1478">
        <f>IF(AND($A1478&lt;&gt;"",$B1478&lt;&gt;"",$R1478='تقرير مارس'!$C$4,$P1478='تقرير مارس'!$C$6),COUNT(AC$4:AC1477)+1,"")</f>
        <v/>
      </c>
      <c r="AD1478">
        <f>IF(AND($A1478&lt;&gt;"",$B1478&lt;&gt;"",$R1478='تقرير أبريل'!$C$4,$P1478='تقرير أبريل'!$C$6),COUNT(AD$4:AD1477)+1,"")</f>
        <v/>
      </c>
      <c r="AE1478">
        <f>IF(AND($A1478&lt;&gt;"",$B1478&lt;&gt;"",$R1478='تقرير مايو'!$C$4,$P1478='تقرير مايو'!$C$6),COUNT(AE$4:AE1477)+1,"")</f>
        <v/>
      </c>
    </row>
    <row r="1479">
      <c r="A1479" s="16" t="n"/>
      <c r="B1479" s="17" t="n"/>
      <c r="C1479" s="17" t="n"/>
      <c r="D1479" s="18" t="n"/>
      <c r="E1479" s="17" t="n"/>
      <c r="F1479" s="17" t="n"/>
      <c r="G1479" s="19" t="n"/>
      <c r="H1479" s="17" t="n"/>
      <c r="I1479" s="17" t="n"/>
      <c r="J1479" s="17" t="n"/>
      <c r="K1479" s="20">
        <f>IF($B1479="","",IFERROR(INDEX(الموظفات!$A$5:$A$304,MATCH($B1479,الموظفات!$B$5:$B$304,0))&amp;"",""))</f>
        <v/>
      </c>
      <c r="L1479" s="21">
        <f>IF($B1479="","",IFERROR(INDEX(الموظفات!$C$5:$C$304,MATCH($B1479,الموظفات!$B$5:$B$304,0))&amp;"",""))</f>
        <v/>
      </c>
      <c r="M1479" s="20">
        <f>IF($B1479="","",IFERROR(INDEX(الموظفات!$D$5:$D$304,MATCH($B1479,الموظفات!$B$5:$B$304,0))&amp;"",""))</f>
        <v/>
      </c>
      <c r="N1479" s="20">
        <f>IF($B1479="","",IFERROR(INDEX(الموظفات!$E$5:$E$304,MATCH($B1479,الموظفات!$B$5:$B$304,0))&amp;"",""))</f>
        <v/>
      </c>
      <c r="O1479" s="21">
        <f>IF(C1479="","",IFERROR(INDEX(الإعدادات!$D$7:$D$35,MATCH(C1479,الإعدادات!$A$7:$A$35,0))&amp;"",""))</f>
        <v/>
      </c>
      <c r="P1479" s="20">
        <f>IF(A1479="","",INDEX(الإعدادات!$H$7:$H$18,MONTH(A1479)))</f>
        <v/>
      </c>
      <c r="Q1479" s="20">
        <f>IF(A1479="","",INDEX(الإعدادات!$I$7:$I$18,MONTH(A1479)))</f>
        <v/>
      </c>
      <c r="R1479" s="20">
        <f>IF(A1479="","",IF(MONTH(A1479)&gt;=8,YEAR(A1479)&amp;"-"&amp;(YEAR(A1479)+1),(YEAR(A1479)-1)&amp;"-"&amp;YEAR(A1479)))</f>
        <v/>
      </c>
      <c r="S1479" s="20">
        <f>IF(OR(A1479="",B1479=""),0,IF(AND(R1479=التقارير!$C$4,OR(التقارير!$C$5="سنوي",AND(التقارير!$C$5="شهري",P1479=التقارير!$C$6),AND(التقارير!$C$5="فصلي",Q1479=التقارير!$C$7))),1,0))</f>
        <v/>
      </c>
      <c r="T1479" s="20">
        <f>IF(S1479=1,COUNTIF($S$5:S1479,1),"")</f>
        <v/>
      </c>
      <c r="U1479">
        <f>IF(AND($A1479&lt;&gt;"",$B1479&lt;&gt;"",$R1479='تقرير الفصل الأول'!$C$4,$Q1479='تقرير الفصل الأول'!$C$7),COUNT(U$4:U1478)+1,"")</f>
        <v/>
      </c>
      <c r="V1479">
        <f>IF(AND($A1479&lt;&gt;"",$B1479&lt;&gt;"",$R1479='تقرير الفصل الثاني'!$C$4,$Q1479='تقرير الفصل الثاني'!$C$7),COUNT(V$4:V1478)+1,"")</f>
        <v/>
      </c>
      <c r="W1479">
        <f>IF(AND($A1479&lt;&gt;"",$B1479&lt;&gt;"",$R1479='تقرير سبتمبر'!$C$4,$P1479='تقرير سبتمبر'!$C$6),COUNT(W$4:W1478)+1,"")</f>
        <v/>
      </c>
      <c r="X1479">
        <f>IF(AND($A1479&lt;&gt;"",$B1479&lt;&gt;"",$R1479='تقرير أكتوبر'!$C$4,$P1479='تقرير أكتوبر'!$C$6),COUNT(X$4:X1478)+1,"")</f>
        <v/>
      </c>
      <c r="Y1479">
        <f>IF(AND($A1479&lt;&gt;"",$B1479&lt;&gt;"",$R1479='تقرير نوفمبر'!$C$4,$P1479='تقرير نوفمبر'!$C$6),COUNT(Y$4:Y1478)+1,"")</f>
        <v/>
      </c>
      <c r="Z1479">
        <f>IF(AND($A1479&lt;&gt;"",$B1479&lt;&gt;"",$R1479='تقرير ديسمبر'!$C$4,$P1479='تقرير ديسمبر'!$C$6),COUNT(Z$4:Z1478)+1,"")</f>
        <v/>
      </c>
      <c r="AA1479">
        <f>IF(AND($A1479&lt;&gt;"",$B1479&lt;&gt;"",$R1479='تقرير يناير'!$C$4,$P1479='تقرير يناير'!$C$6),COUNT(AA$4:AA1478)+1,"")</f>
        <v/>
      </c>
      <c r="AB1479">
        <f>IF(AND($A1479&lt;&gt;"",$B1479&lt;&gt;"",$R1479='تقرير فبراير'!$C$4,$P1479='تقرير فبراير'!$C$6),COUNT(AB$4:AB1478)+1,"")</f>
        <v/>
      </c>
      <c r="AC1479">
        <f>IF(AND($A1479&lt;&gt;"",$B1479&lt;&gt;"",$R1479='تقرير مارس'!$C$4,$P1479='تقرير مارس'!$C$6),COUNT(AC$4:AC1478)+1,"")</f>
        <v/>
      </c>
      <c r="AD1479">
        <f>IF(AND($A1479&lt;&gt;"",$B1479&lt;&gt;"",$R1479='تقرير أبريل'!$C$4,$P1479='تقرير أبريل'!$C$6),COUNT(AD$4:AD1478)+1,"")</f>
        <v/>
      </c>
      <c r="AE1479">
        <f>IF(AND($A1479&lt;&gt;"",$B1479&lt;&gt;"",$R1479='تقرير مايو'!$C$4,$P1479='تقرير مايو'!$C$6),COUNT(AE$4:AE1478)+1,"")</f>
        <v/>
      </c>
    </row>
    <row r="1480">
      <c r="A1480" s="16" t="n"/>
      <c r="B1480" s="17" t="n"/>
      <c r="C1480" s="17" t="n"/>
      <c r="D1480" s="18" t="n"/>
      <c r="E1480" s="17" t="n"/>
      <c r="F1480" s="17" t="n"/>
      <c r="G1480" s="19" t="n"/>
      <c r="H1480" s="17" t="n"/>
      <c r="I1480" s="17" t="n"/>
      <c r="J1480" s="17" t="n"/>
      <c r="K1480" s="20">
        <f>IF($B1480="","",IFERROR(INDEX(الموظفات!$A$5:$A$304,MATCH($B1480,الموظفات!$B$5:$B$304,0))&amp;"",""))</f>
        <v/>
      </c>
      <c r="L1480" s="21">
        <f>IF($B1480="","",IFERROR(INDEX(الموظفات!$C$5:$C$304,MATCH($B1480,الموظفات!$B$5:$B$304,0))&amp;"",""))</f>
        <v/>
      </c>
      <c r="M1480" s="20">
        <f>IF($B1480="","",IFERROR(INDEX(الموظفات!$D$5:$D$304,MATCH($B1480,الموظفات!$B$5:$B$304,0))&amp;"",""))</f>
        <v/>
      </c>
      <c r="N1480" s="20">
        <f>IF($B1480="","",IFERROR(INDEX(الموظفات!$E$5:$E$304,MATCH($B1480,الموظفات!$B$5:$B$304,0))&amp;"",""))</f>
        <v/>
      </c>
      <c r="O1480" s="21">
        <f>IF(C1480="","",IFERROR(INDEX(الإعدادات!$D$7:$D$35,MATCH(C1480,الإعدادات!$A$7:$A$35,0))&amp;"",""))</f>
        <v/>
      </c>
      <c r="P1480" s="20">
        <f>IF(A1480="","",INDEX(الإعدادات!$H$7:$H$18,MONTH(A1480)))</f>
        <v/>
      </c>
      <c r="Q1480" s="20">
        <f>IF(A1480="","",INDEX(الإعدادات!$I$7:$I$18,MONTH(A1480)))</f>
        <v/>
      </c>
      <c r="R1480" s="20">
        <f>IF(A1480="","",IF(MONTH(A1480)&gt;=8,YEAR(A1480)&amp;"-"&amp;(YEAR(A1480)+1),(YEAR(A1480)-1)&amp;"-"&amp;YEAR(A1480)))</f>
        <v/>
      </c>
      <c r="S1480" s="20">
        <f>IF(OR(A1480="",B1480=""),0,IF(AND(R1480=التقارير!$C$4,OR(التقارير!$C$5="سنوي",AND(التقارير!$C$5="شهري",P1480=التقارير!$C$6),AND(التقارير!$C$5="فصلي",Q1480=التقارير!$C$7))),1,0))</f>
        <v/>
      </c>
      <c r="T1480" s="20">
        <f>IF(S1480=1,COUNTIF($S$5:S1480,1),"")</f>
        <v/>
      </c>
      <c r="U1480">
        <f>IF(AND($A1480&lt;&gt;"",$B1480&lt;&gt;"",$R1480='تقرير الفصل الأول'!$C$4,$Q1480='تقرير الفصل الأول'!$C$7),COUNT(U$4:U1479)+1,"")</f>
        <v/>
      </c>
      <c r="V1480">
        <f>IF(AND($A1480&lt;&gt;"",$B1480&lt;&gt;"",$R1480='تقرير الفصل الثاني'!$C$4,$Q1480='تقرير الفصل الثاني'!$C$7),COUNT(V$4:V1479)+1,"")</f>
        <v/>
      </c>
      <c r="W1480">
        <f>IF(AND($A1480&lt;&gt;"",$B1480&lt;&gt;"",$R1480='تقرير سبتمبر'!$C$4,$P1480='تقرير سبتمبر'!$C$6),COUNT(W$4:W1479)+1,"")</f>
        <v/>
      </c>
      <c r="X1480">
        <f>IF(AND($A1480&lt;&gt;"",$B1480&lt;&gt;"",$R1480='تقرير أكتوبر'!$C$4,$P1480='تقرير أكتوبر'!$C$6),COUNT(X$4:X1479)+1,"")</f>
        <v/>
      </c>
      <c r="Y1480">
        <f>IF(AND($A1480&lt;&gt;"",$B1480&lt;&gt;"",$R1480='تقرير نوفمبر'!$C$4,$P1480='تقرير نوفمبر'!$C$6),COUNT(Y$4:Y1479)+1,"")</f>
        <v/>
      </c>
      <c r="Z1480">
        <f>IF(AND($A1480&lt;&gt;"",$B1480&lt;&gt;"",$R1480='تقرير ديسمبر'!$C$4,$P1480='تقرير ديسمبر'!$C$6),COUNT(Z$4:Z1479)+1,"")</f>
        <v/>
      </c>
      <c r="AA1480">
        <f>IF(AND($A1480&lt;&gt;"",$B1480&lt;&gt;"",$R1480='تقرير يناير'!$C$4,$P1480='تقرير يناير'!$C$6),COUNT(AA$4:AA1479)+1,"")</f>
        <v/>
      </c>
      <c r="AB1480">
        <f>IF(AND($A1480&lt;&gt;"",$B1480&lt;&gt;"",$R1480='تقرير فبراير'!$C$4,$P1480='تقرير فبراير'!$C$6),COUNT(AB$4:AB1479)+1,"")</f>
        <v/>
      </c>
      <c r="AC1480">
        <f>IF(AND($A1480&lt;&gt;"",$B1480&lt;&gt;"",$R1480='تقرير مارس'!$C$4,$P1480='تقرير مارس'!$C$6),COUNT(AC$4:AC1479)+1,"")</f>
        <v/>
      </c>
      <c r="AD1480">
        <f>IF(AND($A1480&lt;&gt;"",$B1480&lt;&gt;"",$R1480='تقرير أبريل'!$C$4,$P1480='تقرير أبريل'!$C$6),COUNT(AD$4:AD1479)+1,"")</f>
        <v/>
      </c>
      <c r="AE1480">
        <f>IF(AND($A1480&lt;&gt;"",$B1480&lt;&gt;"",$R1480='تقرير مايو'!$C$4,$P1480='تقرير مايو'!$C$6),COUNT(AE$4:AE1479)+1,"")</f>
        <v/>
      </c>
    </row>
    <row r="1481">
      <c r="A1481" s="16" t="n"/>
      <c r="B1481" s="17" t="n"/>
      <c r="C1481" s="17" t="n"/>
      <c r="D1481" s="18" t="n"/>
      <c r="E1481" s="17" t="n"/>
      <c r="F1481" s="17" t="n"/>
      <c r="G1481" s="19" t="n"/>
      <c r="H1481" s="17" t="n"/>
      <c r="I1481" s="17" t="n"/>
      <c r="J1481" s="17" t="n"/>
      <c r="K1481" s="20">
        <f>IF($B1481="","",IFERROR(INDEX(الموظفات!$A$5:$A$304,MATCH($B1481,الموظفات!$B$5:$B$304,0))&amp;"",""))</f>
        <v/>
      </c>
      <c r="L1481" s="21">
        <f>IF($B1481="","",IFERROR(INDEX(الموظفات!$C$5:$C$304,MATCH($B1481,الموظفات!$B$5:$B$304,0))&amp;"",""))</f>
        <v/>
      </c>
      <c r="M1481" s="20">
        <f>IF($B1481="","",IFERROR(INDEX(الموظفات!$D$5:$D$304,MATCH($B1481,الموظفات!$B$5:$B$304,0))&amp;"",""))</f>
        <v/>
      </c>
      <c r="N1481" s="20">
        <f>IF($B1481="","",IFERROR(INDEX(الموظفات!$E$5:$E$304,MATCH($B1481,الموظفات!$B$5:$B$304,0))&amp;"",""))</f>
        <v/>
      </c>
      <c r="O1481" s="21">
        <f>IF(C1481="","",IFERROR(INDEX(الإعدادات!$D$7:$D$35,MATCH(C1481,الإعدادات!$A$7:$A$35,0))&amp;"",""))</f>
        <v/>
      </c>
      <c r="P1481" s="20">
        <f>IF(A1481="","",INDEX(الإعدادات!$H$7:$H$18,MONTH(A1481)))</f>
        <v/>
      </c>
      <c r="Q1481" s="20">
        <f>IF(A1481="","",INDEX(الإعدادات!$I$7:$I$18,MONTH(A1481)))</f>
        <v/>
      </c>
      <c r="R1481" s="20">
        <f>IF(A1481="","",IF(MONTH(A1481)&gt;=8,YEAR(A1481)&amp;"-"&amp;(YEAR(A1481)+1),(YEAR(A1481)-1)&amp;"-"&amp;YEAR(A1481)))</f>
        <v/>
      </c>
      <c r="S1481" s="20">
        <f>IF(OR(A1481="",B1481=""),0,IF(AND(R1481=التقارير!$C$4,OR(التقارير!$C$5="سنوي",AND(التقارير!$C$5="شهري",P1481=التقارير!$C$6),AND(التقارير!$C$5="فصلي",Q1481=التقارير!$C$7))),1,0))</f>
        <v/>
      </c>
      <c r="T1481" s="20">
        <f>IF(S1481=1,COUNTIF($S$5:S1481,1),"")</f>
        <v/>
      </c>
      <c r="U1481">
        <f>IF(AND($A1481&lt;&gt;"",$B1481&lt;&gt;"",$R1481='تقرير الفصل الأول'!$C$4,$Q1481='تقرير الفصل الأول'!$C$7),COUNT(U$4:U1480)+1,"")</f>
        <v/>
      </c>
      <c r="V1481">
        <f>IF(AND($A1481&lt;&gt;"",$B1481&lt;&gt;"",$R1481='تقرير الفصل الثاني'!$C$4,$Q1481='تقرير الفصل الثاني'!$C$7),COUNT(V$4:V1480)+1,"")</f>
        <v/>
      </c>
      <c r="W1481">
        <f>IF(AND($A1481&lt;&gt;"",$B1481&lt;&gt;"",$R1481='تقرير سبتمبر'!$C$4,$P1481='تقرير سبتمبر'!$C$6),COUNT(W$4:W1480)+1,"")</f>
        <v/>
      </c>
      <c r="X1481">
        <f>IF(AND($A1481&lt;&gt;"",$B1481&lt;&gt;"",$R1481='تقرير أكتوبر'!$C$4,$P1481='تقرير أكتوبر'!$C$6),COUNT(X$4:X1480)+1,"")</f>
        <v/>
      </c>
      <c r="Y1481">
        <f>IF(AND($A1481&lt;&gt;"",$B1481&lt;&gt;"",$R1481='تقرير نوفمبر'!$C$4,$P1481='تقرير نوفمبر'!$C$6),COUNT(Y$4:Y1480)+1,"")</f>
        <v/>
      </c>
      <c r="Z1481">
        <f>IF(AND($A1481&lt;&gt;"",$B1481&lt;&gt;"",$R1481='تقرير ديسمبر'!$C$4,$P1481='تقرير ديسمبر'!$C$6),COUNT(Z$4:Z1480)+1,"")</f>
        <v/>
      </c>
      <c r="AA1481">
        <f>IF(AND($A1481&lt;&gt;"",$B1481&lt;&gt;"",$R1481='تقرير يناير'!$C$4,$P1481='تقرير يناير'!$C$6),COUNT(AA$4:AA1480)+1,"")</f>
        <v/>
      </c>
      <c r="AB1481">
        <f>IF(AND($A1481&lt;&gt;"",$B1481&lt;&gt;"",$R1481='تقرير فبراير'!$C$4,$P1481='تقرير فبراير'!$C$6),COUNT(AB$4:AB1480)+1,"")</f>
        <v/>
      </c>
      <c r="AC1481">
        <f>IF(AND($A1481&lt;&gt;"",$B1481&lt;&gt;"",$R1481='تقرير مارس'!$C$4,$P1481='تقرير مارس'!$C$6),COUNT(AC$4:AC1480)+1,"")</f>
        <v/>
      </c>
      <c r="AD1481">
        <f>IF(AND($A1481&lt;&gt;"",$B1481&lt;&gt;"",$R1481='تقرير أبريل'!$C$4,$P1481='تقرير أبريل'!$C$6),COUNT(AD$4:AD1480)+1,"")</f>
        <v/>
      </c>
      <c r="AE1481">
        <f>IF(AND($A1481&lt;&gt;"",$B1481&lt;&gt;"",$R1481='تقرير مايو'!$C$4,$P1481='تقرير مايو'!$C$6),COUNT(AE$4:AE1480)+1,"")</f>
        <v/>
      </c>
    </row>
    <row r="1482">
      <c r="A1482" s="16" t="n"/>
      <c r="B1482" s="17" t="n"/>
      <c r="C1482" s="17" t="n"/>
      <c r="D1482" s="18" t="n"/>
      <c r="E1482" s="17" t="n"/>
      <c r="F1482" s="17" t="n"/>
      <c r="G1482" s="19" t="n"/>
      <c r="H1482" s="17" t="n"/>
      <c r="I1482" s="17" t="n"/>
      <c r="J1482" s="17" t="n"/>
      <c r="K1482" s="20">
        <f>IF($B1482="","",IFERROR(INDEX(الموظفات!$A$5:$A$304,MATCH($B1482,الموظفات!$B$5:$B$304,0))&amp;"",""))</f>
        <v/>
      </c>
      <c r="L1482" s="21">
        <f>IF($B1482="","",IFERROR(INDEX(الموظفات!$C$5:$C$304,MATCH($B1482,الموظفات!$B$5:$B$304,0))&amp;"",""))</f>
        <v/>
      </c>
      <c r="M1482" s="20">
        <f>IF($B1482="","",IFERROR(INDEX(الموظفات!$D$5:$D$304,MATCH($B1482,الموظفات!$B$5:$B$304,0))&amp;"",""))</f>
        <v/>
      </c>
      <c r="N1482" s="20">
        <f>IF($B1482="","",IFERROR(INDEX(الموظفات!$E$5:$E$304,MATCH($B1482,الموظفات!$B$5:$B$304,0))&amp;"",""))</f>
        <v/>
      </c>
      <c r="O1482" s="21">
        <f>IF(C1482="","",IFERROR(INDEX(الإعدادات!$D$7:$D$35,MATCH(C1482,الإعدادات!$A$7:$A$35,0))&amp;"",""))</f>
        <v/>
      </c>
      <c r="P1482" s="20">
        <f>IF(A1482="","",INDEX(الإعدادات!$H$7:$H$18,MONTH(A1482)))</f>
        <v/>
      </c>
      <c r="Q1482" s="20">
        <f>IF(A1482="","",INDEX(الإعدادات!$I$7:$I$18,MONTH(A1482)))</f>
        <v/>
      </c>
      <c r="R1482" s="20">
        <f>IF(A1482="","",IF(MONTH(A1482)&gt;=8,YEAR(A1482)&amp;"-"&amp;(YEAR(A1482)+1),(YEAR(A1482)-1)&amp;"-"&amp;YEAR(A1482)))</f>
        <v/>
      </c>
      <c r="S1482" s="20">
        <f>IF(OR(A1482="",B1482=""),0,IF(AND(R1482=التقارير!$C$4,OR(التقارير!$C$5="سنوي",AND(التقارير!$C$5="شهري",P1482=التقارير!$C$6),AND(التقارير!$C$5="فصلي",Q1482=التقارير!$C$7))),1,0))</f>
        <v/>
      </c>
      <c r="T1482" s="20">
        <f>IF(S1482=1,COUNTIF($S$5:S1482,1),"")</f>
        <v/>
      </c>
      <c r="U1482">
        <f>IF(AND($A1482&lt;&gt;"",$B1482&lt;&gt;"",$R1482='تقرير الفصل الأول'!$C$4,$Q1482='تقرير الفصل الأول'!$C$7),COUNT(U$4:U1481)+1,"")</f>
        <v/>
      </c>
      <c r="V1482">
        <f>IF(AND($A1482&lt;&gt;"",$B1482&lt;&gt;"",$R1482='تقرير الفصل الثاني'!$C$4,$Q1482='تقرير الفصل الثاني'!$C$7),COUNT(V$4:V1481)+1,"")</f>
        <v/>
      </c>
      <c r="W1482">
        <f>IF(AND($A1482&lt;&gt;"",$B1482&lt;&gt;"",$R1482='تقرير سبتمبر'!$C$4,$P1482='تقرير سبتمبر'!$C$6),COUNT(W$4:W1481)+1,"")</f>
        <v/>
      </c>
      <c r="X1482">
        <f>IF(AND($A1482&lt;&gt;"",$B1482&lt;&gt;"",$R1482='تقرير أكتوبر'!$C$4,$P1482='تقرير أكتوبر'!$C$6),COUNT(X$4:X1481)+1,"")</f>
        <v/>
      </c>
      <c r="Y1482">
        <f>IF(AND($A1482&lt;&gt;"",$B1482&lt;&gt;"",$R1482='تقرير نوفمبر'!$C$4,$P1482='تقرير نوفمبر'!$C$6),COUNT(Y$4:Y1481)+1,"")</f>
        <v/>
      </c>
      <c r="Z1482">
        <f>IF(AND($A1482&lt;&gt;"",$B1482&lt;&gt;"",$R1482='تقرير ديسمبر'!$C$4,$P1482='تقرير ديسمبر'!$C$6),COUNT(Z$4:Z1481)+1,"")</f>
        <v/>
      </c>
      <c r="AA1482">
        <f>IF(AND($A1482&lt;&gt;"",$B1482&lt;&gt;"",$R1482='تقرير يناير'!$C$4,$P1482='تقرير يناير'!$C$6),COUNT(AA$4:AA1481)+1,"")</f>
        <v/>
      </c>
      <c r="AB1482">
        <f>IF(AND($A1482&lt;&gt;"",$B1482&lt;&gt;"",$R1482='تقرير فبراير'!$C$4,$P1482='تقرير فبراير'!$C$6),COUNT(AB$4:AB1481)+1,"")</f>
        <v/>
      </c>
      <c r="AC1482">
        <f>IF(AND($A1482&lt;&gt;"",$B1482&lt;&gt;"",$R1482='تقرير مارس'!$C$4,$P1482='تقرير مارس'!$C$6),COUNT(AC$4:AC1481)+1,"")</f>
        <v/>
      </c>
      <c r="AD1482">
        <f>IF(AND($A1482&lt;&gt;"",$B1482&lt;&gt;"",$R1482='تقرير أبريل'!$C$4,$P1482='تقرير أبريل'!$C$6),COUNT(AD$4:AD1481)+1,"")</f>
        <v/>
      </c>
      <c r="AE1482">
        <f>IF(AND($A1482&lt;&gt;"",$B1482&lt;&gt;"",$R1482='تقرير مايو'!$C$4,$P1482='تقرير مايو'!$C$6),COUNT(AE$4:AE1481)+1,"")</f>
        <v/>
      </c>
    </row>
    <row r="1483">
      <c r="A1483" s="16" t="n"/>
      <c r="B1483" s="17" t="n"/>
      <c r="C1483" s="17" t="n"/>
      <c r="D1483" s="18" t="n"/>
      <c r="E1483" s="17" t="n"/>
      <c r="F1483" s="17" t="n"/>
      <c r="G1483" s="19" t="n"/>
      <c r="H1483" s="17" t="n"/>
      <c r="I1483" s="17" t="n"/>
      <c r="J1483" s="17" t="n"/>
      <c r="K1483" s="20">
        <f>IF($B1483="","",IFERROR(INDEX(الموظفات!$A$5:$A$304,MATCH($B1483,الموظفات!$B$5:$B$304,0))&amp;"",""))</f>
        <v/>
      </c>
      <c r="L1483" s="21">
        <f>IF($B1483="","",IFERROR(INDEX(الموظفات!$C$5:$C$304,MATCH($B1483,الموظفات!$B$5:$B$304,0))&amp;"",""))</f>
        <v/>
      </c>
      <c r="M1483" s="20">
        <f>IF($B1483="","",IFERROR(INDEX(الموظفات!$D$5:$D$304,MATCH($B1483,الموظفات!$B$5:$B$304,0))&amp;"",""))</f>
        <v/>
      </c>
      <c r="N1483" s="20">
        <f>IF($B1483="","",IFERROR(INDEX(الموظفات!$E$5:$E$304,MATCH($B1483,الموظفات!$B$5:$B$304,0))&amp;"",""))</f>
        <v/>
      </c>
      <c r="O1483" s="21">
        <f>IF(C1483="","",IFERROR(INDEX(الإعدادات!$D$7:$D$35,MATCH(C1483,الإعدادات!$A$7:$A$35,0))&amp;"",""))</f>
        <v/>
      </c>
      <c r="P1483" s="20">
        <f>IF(A1483="","",INDEX(الإعدادات!$H$7:$H$18,MONTH(A1483)))</f>
        <v/>
      </c>
      <c r="Q1483" s="20">
        <f>IF(A1483="","",INDEX(الإعدادات!$I$7:$I$18,MONTH(A1483)))</f>
        <v/>
      </c>
      <c r="R1483" s="20">
        <f>IF(A1483="","",IF(MONTH(A1483)&gt;=8,YEAR(A1483)&amp;"-"&amp;(YEAR(A1483)+1),(YEAR(A1483)-1)&amp;"-"&amp;YEAR(A1483)))</f>
        <v/>
      </c>
      <c r="S1483" s="20">
        <f>IF(OR(A1483="",B1483=""),0,IF(AND(R1483=التقارير!$C$4,OR(التقارير!$C$5="سنوي",AND(التقارير!$C$5="شهري",P1483=التقارير!$C$6),AND(التقارير!$C$5="فصلي",Q1483=التقارير!$C$7))),1,0))</f>
        <v/>
      </c>
      <c r="T1483" s="20">
        <f>IF(S1483=1,COUNTIF($S$5:S1483,1),"")</f>
        <v/>
      </c>
      <c r="U1483">
        <f>IF(AND($A1483&lt;&gt;"",$B1483&lt;&gt;"",$R1483='تقرير الفصل الأول'!$C$4,$Q1483='تقرير الفصل الأول'!$C$7),COUNT(U$4:U1482)+1,"")</f>
        <v/>
      </c>
      <c r="V1483">
        <f>IF(AND($A1483&lt;&gt;"",$B1483&lt;&gt;"",$R1483='تقرير الفصل الثاني'!$C$4,$Q1483='تقرير الفصل الثاني'!$C$7),COUNT(V$4:V1482)+1,"")</f>
        <v/>
      </c>
      <c r="W1483">
        <f>IF(AND($A1483&lt;&gt;"",$B1483&lt;&gt;"",$R1483='تقرير سبتمبر'!$C$4,$P1483='تقرير سبتمبر'!$C$6),COUNT(W$4:W1482)+1,"")</f>
        <v/>
      </c>
      <c r="X1483">
        <f>IF(AND($A1483&lt;&gt;"",$B1483&lt;&gt;"",$R1483='تقرير أكتوبر'!$C$4,$P1483='تقرير أكتوبر'!$C$6),COUNT(X$4:X1482)+1,"")</f>
        <v/>
      </c>
      <c r="Y1483">
        <f>IF(AND($A1483&lt;&gt;"",$B1483&lt;&gt;"",$R1483='تقرير نوفمبر'!$C$4,$P1483='تقرير نوفمبر'!$C$6),COUNT(Y$4:Y1482)+1,"")</f>
        <v/>
      </c>
      <c r="Z1483">
        <f>IF(AND($A1483&lt;&gt;"",$B1483&lt;&gt;"",$R1483='تقرير ديسمبر'!$C$4,$P1483='تقرير ديسمبر'!$C$6),COUNT(Z$4:Z1482)+1,"")</f>
        <v/>
      </c>
      <c r="AA1483">
        <f>IF(AND($A1483&lt;&gt;"",$B1483&lt;&gt;"",$R1483='تقرير يناير'!$C$4,$P1483='تقرير يناير'!$C$6),COUNT(AA$4:AA1482)+1,"")</f>
        <v/>
      </c>
      <c r="AB1483">
        <f>IF(AND($A1483&lt;&gt;"",$B1483&lt;&gt;"",$R1483='تقرير فبراير'!$C$4,$P1483='تقرير فبراير'!$C$6),COUNT(AB$4:AB1482)+1,"")</f>
        <v/>
      </c>
      <c r="AC1483">
        <f>IF(AND($A1483&lt;&gt;"",$B1483&lt;&gt;"",$R1483='تقرير مارس'!$C$4,$P1483='تقرير مارس'!$C$6),COUNT(AC$4:AC1482)+1,"")</f>
        <v/>
      </c>
      <c r="AD1483">
        <f>IF(AND($A1483&lt;&gt;"",$B1483&lt;&gt;"",$R1483='تقرير أبريل'!$C$4,$P1483='تقرير أبريل'!$C$6),COUNT(AD$4:AD1482)+1,"")</f>
        <v/>
      </c>
      <c r="AE1483">
        <f>IF(AND($A1483&lt;&gt;"",$B1483&lt;&gt;"",$R1483='تقرير مايو'!$C$4,$P1483='تقرير مايو'!$C$6),COUNT(AE$4:AE1482)+1,"")</f>
        <v/>
      </c>
    </row>
    <row r="1484">
      <c r="A1484" s="16" t="n"/>
      <c r="B1484" s="17" t="n"/>
      <c r="C1484" s="17" t="n"/>
      <c r="D1484" s="18" t="n"/>
      <c r="E1484" s="17" t="n"/>
      <c r="F1484" s="17" t="n"/>
      <c r="G1484" s="19" t="n"/>
      <c r="H1484" s="17" t="n"/>
      <c r="I1484" s="17" t="n"/>
      <c r="J1484" s="17" t="n"/>
      <c r="K1484" s="20">
        <f>IF($B1484="","",IFERROR(INDEX(الموظفات!$A$5:$A$304,MATCH($B1484,الموظفات!$B$5:$B$304,0))&amp;"",""))</f>
        <v/>
      </c>
      <c r="L1484" s="21">
        <f>IF($B1484="","",IFERROR(INDEX(الموظفات!$C$5:$C$304,MATCH($B1484,الموظفات!$B$5:$B$304,0))&amp;"",""))</f>
        <v/>
      </c>
      <c r="M1484" s="20">
        <f>IF($B1484="","",IFERROR(INDEX(الموظفات!$D$5:$D$304,MATCH($B1484,الموظفات!$B$5:$B$304,0))&amp;"",""))</f>
        <v/>
      </c>
      <c r="N1484" s="20">
        <f>IF($B1484="","",IFERROR(INDEX(الموظفات!$E$5:$E$304,MATCH($B1484,الموظفات!$B$5:$B$304,0))&amp;"",""))</f>
        <v/>
      </c>
      <c r="O1484" s="21">
        <f>IF(C1484="","",IFERROR(INDEX(الإعدادات!$D$7:$D$35,MATCH(C1484,الإعدادات!$A$7:$A$35,0))&amp;"",""))</f>
        <v/>
      </c>
      <c r="P1484" s="20">
        <f>IF(A1484="","",INDEX(الإعدادات!$H$7:$H$18,MONTH(A1484)))</f>
        <v/>
      </c>
      <c r="Q1484" s="20">
        <f>IF(A1484="","",INDEX(الإعدادات!$I$7:$I$18,MONTH(A1484)))</f>
        <v/>
      </c>
      <c r="R1484" s="20">
        <f>IF(A1484="","",IF(MONTH(A1484)&gt;=8,YEAR(A1484)&amp;"-"&amp;(YEAR(A1484)+1),(YEAR(A1484)-1)&amp;"-"&amp;YEAR(A1484)))</f>
        <v/>
      </c>
      <c r="S1484" s="20">
        <f>IF(OR(A1484="",B1484=""),0,IF(AND(R1484=التقارير!$C$4,OR(التقارير!$C$5="سنوي",AND(التقارير!$C$5="شهري",P1484=التقارير!$C$6),AND(التقارير!$C$5="فصلي",Q1484=التقارير!$C$7))),1,0))</f>
        <v/>
      </c>
      <c r="T1484" s="20">
        <f>IF(S1484=1,COUNTIF($S$5:S1484,1),"")</f>
        <v/>
      </c>
      <c r="U1484">
        <f>IF(AND($A1484&lt;&gt;"",$B1484&lt;&gt;"",$R1484='تقرير الفصل الأول'!$C$4,$Q1484='تقرير الفصل الأول'!$C$7),COUNT(U$4:U1483)+1,"")</f>
        <v/>
      </c>
      <c r="V1484">
        <f>IF(AND($A1484&lt;&gt;"",$B1484&lt;&gt;"",$R1484='تقرير الفصل الثاني'!$C$4,$Q1484='تقرير الفصل الثاني'!$C$7),COUNT(V$4:V1483)+1,"")</f>
        <v/>
      </c>
      <c r="W1484">
        <f>IF(AND($A1484&lt;&gt;"",$B1484&lt;&gt;"",$R1484='تقرير سبتمبر'!$C$4,$P1484='تقرير سبتمبر'!$C$6),COUNT(W$4:W1483)+1,"")</f>
        <v/>
      </c>
      <c r="X1484">
        <f>IF(AND($A1484&lt;&gt;"",$B1484&lt;&gt;"",$R1484='تقرير أكتوبر'!$C$4,$P1484='تقرير أكتوبر'!$C$6),COUNT(X$4:X1483)+1,"")</f>
        <v/>
      </c>
      <c r="Y1484">
        <f>IF(AND($A1484&lt;&gt;"",$B1484&lt;&gt;"",$R1484='تقرير نوفمبر'!$C$4,$P1484='تقرير نوفمبر'!$C$6),COUNT(Y$4:Y1483)+1,"")</f>
        <v/>
      </c>
      <c r="Z1484">
        <f>IF(AND($A1484&lt;&gt;"",$B1484&lt;&gt;"",$R1484='تقرير ديسمبر'!$C$4,$P1484='تقرير ديسمبر'!$C$6),COUNT(Z$4:Z1483)+1,"")</f>
        <v/>
      </c>
      <c r="AA1484">
        <f>IF(AND($A1484&lt;&gt;"",$B1484&lt;&gt;"",$R1484='تقرير يناير'!$C$4,$P1484='تقرير يناير'!$C$6),COUNT(AA$4:AA1483)+1,"")</f>
        <v/>
      </c>
      <c r="AB1484">
        <f>IF(AND($A1484&lt;&gt;"",$B1484&lt;&gt;"",$R1484='تقرير فبراير'!$C$4,$P1484='تقرير فبراير'!$C$6),COUNT(AB$4:AB1483)+1,"")</f>
        <v/>
      </c>
      <c r="AC1484">
        <f>IF(AND($A1484&lt;&gt;"",$B1484&lt;&gt;"",$R1484='تقرير مارس'!$C$4,$P1484='تقرير مارس'!$C$6),COUNT(AC$4:AC1483)+1,"")</f>
        <v/>
      </c>
      <c r="AD1484">
        <f>IF(AND($A1484&lt;&gt;"",$B1484&lt;&gt;"",$R1484='تقرير أبريل'!$C$4,$P1484='تقرير أبريل'!$C$6),COUNT(AD$4:AD1483)+1,"")</f>
        <v/>
      </c>
      <c r="AE1484">
        <f>IF(AND($A1484&lt;&gt;"",$B1484&lt;&gt;"",$R1484='تقرير مايو'!$C$4,$P1484='تقرير مايو'!$C$6),COUNT(AE$4:AE1483)+1,"")</f>
        <v/>
      </c>
    </row>
    <row r="1485">
      <c r="A1485" s="16" t="n"/>
      <c r="B1485" s="17" t="n"/>
      <c r="C1485" s="17" t="n"/>
      <c r="D1485" s="18" t="n"/>
      <c r="E1485" s="17" t="n"/>
      <c r="F1485" s="17" t="n"/>
      <c r="G1485" s="19" t="n"/>
      <c r="H1485" s="17" t="n"/>
      <c r="I1485" s="17" t="n"/>
      <c r="J1485" s="17" t="n"/>
      <c r="K1485" s="20">
        <f>IF($B1485="","",IFERROR(INDEX(الموظفات!$A$5:$A$304,MATCH($B1485,الموظفات!$B$5:$B$304,0))&amp;"",""))</f>
        <v/>
      </c>
      <c r="L1485" s="21">
        <f>IF($B1485="","",IFERROR(INDEX(الموظفات!$C$5:$C$304,MATCH($B1485,الموظفات!$B$5:$B$304,0))&amp;"",""))</f>
        <v/>
      </c>
      <c r="M1485" s="20">
        <f>IF($B1485="","",IFERROR(INDEX(الموظفات!$D$5:$D$304,MATCH($B1485,الموظفات!$B$5:$B$304,0))&amp;"",""))</f>
        <v/>
      </c>
      <c r="N1485" s="20">
        <f>IF($B1485="","",IFERROR(INDEX(الموظفات!$E$5:$E$304,MATCH($B1485,الموظفات!$B$5:$B$304,0))&amp;"",""))</f>
        <v/>
      </c>
      <c r="O1485" s="21">
        <f>IF(C1485="","",IFERROR(INDEX(الإعدادات!$D$7:$D$35,MATCH(C1485,الإعدادات!$A$7:$A$35,0))&amp;"",""))</f>
        <v/>
      </c>
      <c r="P1485" s="20">
        <f>IF(A1485="","",INDEX(الإعدادات!$H$7:$H$18,MONTH(A1485)))</f>
        <v/>
      </c>
      <c r="Q1485" s="20">
        <f>IF(A1485="","",INDEX(الإعدادات!$I$7:$I$18,MONTH(A1485)))</f>
        <v/>
      </c>
      <c r="R1485" s="20">
        <f>IF(A1485="","",IF(MONTH(A1485)&gt;=8,YEAR(A1485)&amp;"-"&amp;(YEAR(A1485)+1),(YEAR(A1485)-1)&amp;"-"&amp;YEAR(A1485)))</f>
        <v/>
      </c>
      <c r="S1485" s="20">
        <f>IF(OR(A1485="",B1485=""),0,IF(AND(R1485=التقارير!$C$4,OR(التقارير!$C$5="سنوي",AND(التقارير!$C$5="شهري",P1485=التقارير!$C$6),AND(التقارير!$C$5="فصلي",Q1485=التقارير!$C$7))),1,0))</f>
        <v/>
      </c>
      <c r="T1485" s="20">
        <f>IF(S1485=1,COUNTIF($S$5:S1485,1),"")</f>
        <v/>
      </c>
      <c r="U1485">
        <f>IF(AND($A1485&lt;&gt;"",$B1485&lt;&gt;"",$R1485='تقرير الفصل الأول'!$C$4,$Q1485='تقرير الفصل الأول'!$C$7),COUNT(U$4:U1484)+1,"")</f>
        <v/>
      </c>
      <c r="V1485">
        <f>IF(AND($A1485&lt;&gt;"",$B1485&lt;&gt;"",$R1485='تقرير الفصل الثاني'!$C$4,$Q1485='تقرير الفصل الثاني'!$C$7),COUNT(V$4:V1484)+1,"")</f>
        <v/>
      </c>
      <c r="W1485">
        <f>IF(AND($A1485&lt;&gt;"",$B1485&lt;&gt;"",$R1485='تقرير سبتمبر'!$C$4,$P1485='تقرير سبتمبر'!$C$6),COUNT(W$4:W1484)+1,"")</f>
        <v/>
      </c>
      <c r="X1485">
        <f>IF(AND($A1485&lt;&gt;"",$B1485&lt;&gt;"",$R1485='تقرير أكتوبر'!$C$4,$P1485='تقرير أكتوبر'!$C$6),COUNT(X$4:X1484)+1,"")</f>
        <v/>
      </c>
      <c r="Y1485">
        <f>IF(AND($A1485&lt;&gt;"",$B1485&lt;&gt;"",$R1485='تقرير نوفمبر'!$C$4,$P1485='تقرير نوفمبر'!$C$6),COUNT(Y$4:Y1484)+1,"")</f>
        <v/>
      </c>
      <c r="Z1485">
        <f>IF(AND($A1485&lt;&gt;"",$B1485&lt;&gt;"",$R1485='تقرير ديسمبر'!$C$4,$P1485='تقرير ديسمبر'!$C$6),COUNT(Z$4:Z1484)+1,"")</f>
        <v/>
      </c>
      <c r="AA1485">
        <f>IF(AND($A1485&lt;&gt;"",$B1485&lt;&gt;"",$R1485='تقرير يناير'!$C$4,$P1485='تقرير يناير'!$C$6),COUNT(AA$4:AA1484)+1,"")</f>
        <v/>
      </c>
      <c r="AB1485">
        <f>IF(AND($A1485&lt;&gt;"",$B1485&lt;&gt;"",$R1485='تقرير فبراير'!$C$4,$P1485='تقرير فبراير'!$C$6),COUNT(AB$4:AB1484)+1,"")</f>
        <v/>
      </c>
      <c r="AC1485">
        <f>IF(AND($A1485&lt;&gt;"",$B1485&lt;&gt;"",$R1485='تقرير مارس'!$C$4,$P1485='تقرير مارس'!$C$6),COUNT(AC$4:AC1484)+1,"")</f>
        <v/>
      </c>
      <c r="AD1485">
        <f>IF(AND($A1485&lt;&gt;"",$B1485&lt;&gt;"",$R1485='تقرير أبريل'!$C$4,$P1485='تقرير أبريل'!$C$6),COUNT(AD$4:AD1484)+1,"")</f>
        <v/>
      </c>
      <c r="AE1485">
        <f>IF(AND($A1485&lt;&gt;"",$B1485&lt;&gt;"",$R1485='تقرير مايو'!$C$4,$P1485='تقرير مايو'!$C$6),COUNT(AE$4:AE1484)+1,"")</f>
        <v/>
      </c>
    </row>
    <row r="1486">
      <c r="A1486" s="16" t="n"/>
      <c r="B1486" s="17" t="n"/>
      <c r="C1486" s="17" t="n"/>
      <c r="D1486" s="18" t="n"/>
      <c r="E1486" s="17" t="n"/>
      <c r="F1486" s="17" t="n"/>
      <c r="G1486" s="19" t="n"/>
      <c r="H1486" s="17" t="n"/>
      <c r="I1486" s="17" t="n"/>
      <c r="J1486" s="17" t="n"/>
      <c r="K1486" s="20">
        <f>IF($B1486="","",IFERROR(INDEX(الموظفات!$A$5:$A$304,MATCH($B1486,الموظفات!$B$5:$B$304,0))&amp;"",""))</f>
        <v/>
      </c>
      <c r="L1486" s="21">
        <f>IF($B1486="","",IFERROR(INDEX(الموظفات!$C$5:$C$304,MATCH($B1486,الموظفات!$B$5:$B$304,0))&amp;"",""))</f>
        <v/>
      </c>
      <c r="M1486" s="20">
        <f>IF($B1486="","",IFERROR(INDEX(الموظفات!$D$5:$D$304,MATCH($B1486,الموظفات!$B$5:$B$304,0))&amp;"",""))</f>
        <v/>
      </c>
      <c r="N1486" s="20">
        <f>IF($B1486="","",IFERROR(INDEX(الموظفات!$E$5:$E$304,MATCH($B1486,الموظفات!$B$5:$B$304,0))&amp;"",""))</f>
        <v/>
      </c>
      <c r="O1486" s="21">
        <f>IF(C1486="","",IFERROR(INDEX(الإعدادات!$D$7:$D$35,MATCH(C1486,الإعدادات!$A$7:$A$35,0))&amp;"",""))</f>
        <v/>
      </c>
      <c r="P1486" s="20">
        <f>IF(A1486="","",INDEX(الإعدادات!$H$7:$H$18,MONTH(A1486)))</f>
        <v/>
      </c>
      <c r="Q1486" s="20">
        <f>IF(A1486="","",INDEX(الإعدادات!$I$7:$I$18,MONTH(A1486)))</f>
        <v/>
      </c>
      <c r="R1486" s="20">
        <f>IF(A1486="","",IF(MONTH(A1486)&gt;=8,YEAR(A1486)&amp;"-"&amp;(YEAR(A1486)+1),(YEAR(A1486)-1)&amp;"-"&amp;YEAR(A1486)))</f>
        <v/>
      </c>
      <c r="S1486" s="20">
        <f>IF(OR(A1486="",B1486=""),0,IF(AND(R1486=التقارير!$C$4,OR(التقارير!$C$5="سنوي",AND(التقارير!$C$5="شهري",P1486=التقارير!$C$6),AND(التقارير!$C$5="فصلي",Q1486=التقارير!$C$7))),1,0))</f>
        <v/>
      </c>
      <c r="T1486" s="20">
        <f>IF(S1486=1,COUNTIF($S$5:S1486,1),"")</f>
        <v/>
      </c>
      <c r="U1486">
        <f>IF(AND($A1486&lt;&gt;"",$B1486&lt;&gt;"",$R1486='تقرير الفصل الأول'!$C$4,$Q1486='تقرير الفصل الأول'!$C$7),COUNT(U$4:U1485)+1,"")</f>
        <v/>
      </c>
      <c r="V1486">
        <f>IF(AND($A1486&lt;&gt;"",$B1486&lt;&gt;"",$R1486='تقرير الفصل الثاني'!$C$4,$Q1486='تقرير الفصل الثاني'!$C$7),COUNT(V$4:V1485)+1,"")</f>
        <v/>
      </c>
      <c r="W1486">
        <f>IF(AND($A1486&lt;&gt;"",$B1486&lt;&gt;"",$R1486='تقرير سبتمبر'!$C$4,$P1486='تقرير سبتمبر'!$C$6),COUNT(W$4:W1485)+1,"")</f>
        <v/>
      </c>
      <c r="X1486">
        <f>IF(AND($A1486&lt;&gt;"",$B1486&lt;&gt;"",$R1486='تقرير أكتوبر'!$C$4,$P1486='تقرير أكتوبر'!$C$6),COUNT(X$4:X1485)+1,"")</f>
        <v/>
      </c>
      <c r="Y1486">
        <f>IF(AND($A1486&lt;&gt;"",$B1486&lt;&gt;"",$R1486='تقرير نوفمبر'!$C$4,$P1486='تقرير نوفمبر'!$C$6),COUNT(Y$4:Y1485)+1,"")</f>
        <v/>
      </c>
      <c r="Z1486">
        <f>IF(AND($A1486&lt;&gt;"",$B1486&lt;&gt;"",$R1486='تقرير ديسمبر'!$C$4,$P1486='تقرير ديسمبر'!$C$6),COUNT(Z$4:Z1485)+1,"")</f>
        <v/>
      </c>
      <c r="AA1486">
        <f>IF(AND($A1486&lt;&gt;"",$B1486&lt;&gt;"",$R1486='تقرير يناير'!$C$4,$P1486='تقرير يناير'!$C$6),COUNT(AA$4:AA1485)+1,"")</f>
        <v/>
      </c>
      <c r="AB1486">
        <f>IF(AND($A1486&lt;&gt;"",$B1486&lt;&gt;"",$R1486='تقرير فبراير'!$C$4,$P1486='تقرير فبراير'!$C$6),COUNT(AB$4:AB1485)+1,"")</f>
        <v/>
      </c>
      <c r="AC1486">
        <f>IF(AND($A1486&lt;&gt;"",$B1486&lt;&gt;"",$R1486='تقرير مارس'!$C$4,$P1486='تقرير مارس'!$C$6),COUNT(AC$4:AC1485)+1,"")</f>
        <v/>
      </c>
      <c r="AD1486">
        <f>IF(AND($A1486&lt;&gt;"",$B1486&lt;&gt;"",$R1486='تقرير أبريل'!$C$4,$P1486='تقرير أبريل'!$C$6),COUNT(AD$4:AD1485)+1,"")</f>
        <v/>
      </c>
      <c r="AE1486">
        <f>IF(AND($A1486&lt;&gt;"",$B1486&lt;&gt;"",$R1486='تقرير مايو'!$C$4,$P1486='تقرير مايو'!$C$6),COUNT(AE$4:AE1485)+1,"")</f>
        <v/>
      </c>
    </row>
    <row r="1487">
      <c r="A1487" s="16" t="n"/>
      <c r="B1487" s="17" t="n"/>
      <c r="C1487" s="17" t="n"/>
      <c r="D1487" s="18" t="n"/>
      <c r="E1487" s="17" t="n"/>
      <c r="F1487" s="17" t="n"/>
      <c r="G1487" s="19" t="n"/>
      <c r="H1487" s="17" t="n"/>
      <c r="I1487" s="17" t="n"/>
      <c r="J1487" s="17" t="n"/>
      <c r="K1487" s="20">
        <f>IF($B1487="","",IFERROR(INDEX(الموظفات!$A$5:$A$304,MATCH($B1487,الموظفات!$B$5:$B$304,0))&amp;"",""))</f>
        <v/>
      </c>
      <c r="L1487" s="21">
        <f>IF($B1487="","",IFERROR(INDEX(الموظفات!$C$5:$C$304,MATCH($B1487,الموظفات!$B$5:$B$304,0))&amp;"",""))</f>
        <v/>
      </c>
      <c r="M1487" s="20">
        <f>IF($B1487="","",IFERROR(INDEX(الموظفات!$D$5:$D$304,MATCH($B1487,الموظفات!$B$5:$B$304,0))&amp;"",""))</f>
        <v/>
      </c>
      <c r="N1487" s="20">
        <f>IF($B1487="","",IFERROR(INDEX(الموظفات!$E$5:$E$304,MATCH($B1487,الموظفات!$B$5:$B$304,0))&amp;"",""))</f>
        <v/>
      </c>
      <c r="O1487" s="21">
        <f>IF(C1487="","",IFERROR(INDEX(الإعدادات!$D$7:$D$35,MATCH(C1487,الإعدادات!$A$7:$A$35,0))&amp;"",""))</f>
        <v/>
      </c>
      <c r="P1487" s="20">
        <f>IF(A1487="","",INDEX(الإعدادات!$H$7:$H$18,MONTH(A1487)))</f>
        <v/>
      </c>
      <c r="Q1487" s="20">
        <f>IF(A1487="","",INDEX(الإعدادات!$I$7:$I$18,MONTH(A1487)))</f>
        <v/>
      </c>
      <c r="R1487" s="20">
        <f>IF(A1487="","",IF(MONTH(A1487)&gt;=8,YEAR(A1487)&amp;"-"&amp;(YEAR(A1487)+1),(YEAR(A1487)-1)&amp;"-"&amp;YEAR(A1487)))</f>
        <v/>
      </c>
      <c r="S1487" s="20">
        <f>IF(OR(A1487="",B1487=""),0,IF(AND(R1487=التقارير!$C$4,OR(التقارير!$C$5="سنوي",AND(التقارير!$C$5="شهري",P1487=التقارير!$C$6),AND(التقارير!$C$5="فصلي",Q1487=التقارير!$C$7))),1,0))</f>
        <v/>
      </c>
      <c r="T1487" s="20">
        <f>IF(S1487=1,COUNTIF($S$5:S1487,1),"")</f>
        <v/>
      </c>
      <c r="U1487">
        <f>IF(AND($A1487&lt;&gt;"",$B1487&lt;&gt;"",$R1487='تقرير الفصل الأول'!$C$4,$Q1487='تقرير الفصل الأول'!$C$7),COUNT(U$4:U1486)+1,"")</f>
        <v/>
      </c>
      <c r="V1487">
        <f>IF(AND($A1487&lt;&gt;"",$B1487&lt;&gt;"",$R1487='تقرير الفصل الثاني'!$C$4,$Q1487='تقرير الفصل الثاني'!$C$7),COUNT(V$4:V1486)+1,"")</f>
        <v/>
      </c>
      <c r="W1487">
        <f>IF(AND($A1487&lt;&gt;"",$B1487&lt;&gt;"",$R1487='تقرير سبتمبر'!$C$4,$P1487='تقرير سبتمبر'!$C$6),COUNT(W$4:W1486)+1,"")</f>
        <v/>
      </c>
      <c r="X1487">
        <f>IF(AND($A1487&lt;&gt;"",$B1487&lt;&gt;"",$R1487='تقرير أكتوبر'!$C$4,$P1487='تقرير أكتوبر'!$C$6),COUNT(X$4:X1486)+1,"")</f>
        <v/>
      </c>
      <c r="Y1487">
        <f>IF(AND($A1487&lt;&gt;"",$B1487&lt;&gt;"",$R1487='تقرير نوفمبر'!$C$4,$P1487='تقرير نوفمبر'!$C$6),COUNT(Y$4:Y1486)+1,"")</f>
        <v/>
      </c>
      <c r="Z1487">
        <f>IF(AND($A1487&lt;&gt;"",$B1487&lt;&gt;"",$R1487='تقرير ديسمبر'!$C$4,$P1487='تقرير ديسمبر'!$C$6),COUNT(Z$4:Z1486)+1,"")</f>
        <v/>
      </c>
      <c r="AA1487">
        <f>IF(AND($A1487&lt;&gt;"",$B1487&lt;&gt;"",$R1487='تقرير يناير'!$C$4,$P1487='تقرير يناير'!$C$6),COUNT(AA$4:AA1486)+1,"")</f>
        <v/>
      </c>
      <c r="AB1487">
        <f>IF(AND($A1487&lt;&gt;"",$B1487&lt;&gt;"",$R1487='تقرير فبراير'!$C$4,$P1487='تقرير فبراير'!$C$6),COUNT(AB$4:AB1486)+1,"")</f>
        <v/>
      </c>
      <c r="AC1487">
        <f>IF(AND($A1487&lt;&gt;"",$B1487&lt;&gt;"",$R1487='تقرير مارس'!$C$4,$P1487='تقرير مارس'!$C$6),COUNT(AC$4:AC1486)+1,"")</f>
        <v/>
      </c>
      <c r="AD1487">
        <f>IF(AND($A1487&lt;&gt;"",$B1487&lt;&gt;"",$R1487='تقرير أبريل'!$C$4,$P1487='تقرير أبريل'!$C$6),COUNT(AD$4:AD1486)+1,"")</f>
        <v/>
      </c>
      <c r="AE1487">
        <f>IF(AND($A1487&lt;&gt;"",$B1487&lt;&gt;"",$R1487='تقرير مايو'!$C$4,$P1487='تقرير مايو'!$C$6),COUNT(AE$4:AE1486)+1,"")</f>
        <v/>
      </c>
    </row>
    <row r="1488">
      <c r="A1488" s="16" t="n"/>
      <c r="B1488" s="17" t="n"/>
      <c r="C1488" s="17" t="n"/>
      <c r="D1488" s="18" t="n"/>
      <c r="E1488" s="17" t="n"/>
      <c r="F1488" s="17" t="n"/>
      <c r="G1488" s="19" t="n"/>
      <c r="H1488" s="17" t="n"/>
      <c r="I1488" s="17" t="n"/>
      <c r="J1488" s="17" t="n"/>
      <c r="K1488" s="20">
        <f>IF($B1488="","",IFERROR(INDEX(الموظفات!$A$5:$A$304,MATCH($B1488,الموظفات!$B$5:$B$304,0))&amp;"",""))</f>
        <v/>
      </c>
      <c r="L1488" s="21">
        <f>IF($B1488="","",IFERROR(INDEX(الموظفات!$C$5:$C$304,MATCH($B1488,الموظفات!$B$5:$B$304,0))&amp;"",""))</f>
        <v/>
      </c>
      <c r="M1488" s="20">
        <f>IF($B1488="","",IFERROR(INDEX(الموظفات!$D$5:$D$304,MATCH($B1488,الموظفات!$B$5:$B$304,0))&amp;"",""))</f>
        <v/>
      </c>
      <c r="N1488" s="20">
        <f>IF($B1488="","",IFERROR(INDEX(الموظفات!$E$5:$E$304,MATCH($B1488,الموظفات!$B$5:$B$304,0))&amp;"",""))</f>
        <v/>
      </c>
      <c r="O1488" s="21">
        <f>IF(C1488="","",IFERROR(INDEX(الإعدادات!$D$7:$D$35,MATCH(C1488,الإعدادات!$A$7:$A$35,0))&amp;"",""))</f>
        <v/>
      </c>
      <c r="P1488" s="20">
        <f>IF(A1488="","",INDEX(الإعدادات!$H$7:$H$18,MONTH(A1488)))</f>
        <v/>
      </c>
      <c r="Q1488" s="20">
        <f>IF(A1488="","",INDEX(الإعدادات!$I$7:$I$18,MONTH(A1488)))</f>
        <v/>
      </c>
      <c r="R1488" s="20">
        <f>IF(A1488="","",IF(MONTH(A1488)&gt;=8,YEAR(A1488)&amp;"-"&amp;(YEAR(A1488)+1),(YEAR(A1488)-1)&amp;"-"&amp;YEAR(A1488)))</f>
        <v/>
      </c>
      <c r="S1488" s="20">
        <f>IF(OR(A1488="",B1488=""),0,IF(AND(R1488=التقارير!$C$4,OR(التقارير!$C$5="سنوي",AND(التقارير!$C$5="شهري",P1488=التقارير!$C$6),AND(التقارير!$C$5="فصلي",Q1488=التقارير!$C$7))),1,0))</f>
        <v/>
      </c>
      <c r="T1488" s="20">
        <f>IF(S1488=1,COUNTIF($S$5:S1488,1),"")</f>
        <v/>
      </c>
      <c r="U1488">
        <f>IF(AND($A1488&lt;&gt;"",$B1488&lt;&gt;"",$R1488='تقرير الفصل الأول'!$C$4,$Q1488='تقرير الفصل الأول'!$C$7),COUNT(U$4:U1487)+1,"")</f>
        <v/>
      </c>
      <c r="V1488">
        <f>IF(AND($A1488&lt;&gt;"",$B1488&lt;&gt;"",$R1488='تقرير الفصل الثاني'!$C$4,$Q1488='تقرير الفصل الثاني'!$C$7),COUNT(V$4:V1487)+1,"")</f>
        <v/>
      </c>
      <c r="W1488">
        <f>IF(AND($A1488&lt;&gt;"",$B1488&lt;&gt;"",$R1488='تقرير سبتمبر'!$C$4,$P1488='تقرير سبتمبر'!$C$6),COUNT(W$4:W1487)+1,"")</f>
        <v/>
      </c>
      <c r="X1488">
        <f>IF(AND($A1488&lt;&gt;"",$B1488&lt;&gt;"",$R1488='تقرير أكتوبر'!$C$4,$P1488='تقرير أكتوبر'!$C$6),COUNT(X$4:X1487)+1,"")</f>
        <v/>
      </c>
      <c r="Y1488">
        <f>IF(AND($A1488&lt;&gt;"",$B1488&lt;&gt;"",$R1488='تقرير نوفمبر'!$C$4,$P1488='تقرير نوفمبر'!$C$6),COUNT(Y$4:Y1487)+1,"")</f>
        <v/>
      </c>
      <c r="Z1488">
        <f>IF(AND($A1488&lt;&gt;"",$B1488&lt;&gt;"",$R1488='تقرير ديسمبر'!$C$4,$P1488='تقرير ديسمبر'!$C$6),COUNT(Z$4:Z1487)+1,"")</f>
        <v/>
      </c>
      <c r="AA1488">
        <f>IF(AND($A1488&lt;&gt;"",$B1488&lt;&gt;"",$R1488='تقرير يناير'!$C$4,$P1488='تقرير يناير'!$C$6),COUNT(AA$4:AA1487)+1,"")</f>
        <v/>
      </c>
      <c r="AB1488">
        <f>IF(AND($A1488&lt;&gt;"",$B1488&lt;&gt;"",$R1488='تقرير فبراير'!$C$4,$P1488='تقرير فبراير'!$C$6),COUNT(AB$4:AB1487)+1,"")</f>
        <v/>
      </c>
      <c r="AC1488">
        <f>IF(AND($A1488&lt;&gt;"",$B1488&lt;&gt;"",$R1488='تقرير مارس'!$C$4,$P1488='تقرير مارس'!$C$6),COUNT(AC$4:AC1487)+1,"")</f>
        <v/>
      </c>
      <c r="AD1488">
        <f>IF(AND($A1488&lt;&gt;"",$B1488&lt;&gt;"",$R1488='تقرير أبريل'!$C$4,$P1488='تقرير أبريل'!$C$6),COUNT(AD$4:AD1487)+1,"")</f>
        <v/>
      </c>
      <c r="AE1488">
        <f>IF(AND($A1488&lt;&gt;"",$B1488&lt;&gt;"",$R1488='تقرير مايو'!$C$4,$P1488='تقرير مايو'!$C$6),COUNT(AE$4:AE1487)+1,"")</f>
        <v/>
      </c>
    </row>
    <row r="1489">
      <c r="A1489" s="16" t="n"/>
      <c r="B1489" s="17" t="n"/>
      <c r="C1489" s="17" t="n"/>
      <c r="D1489" s="18" t="n"/>
      <c r="E1489" s="17" t="n"/>
      <c r="F1489" s="17" t="n"/>
      <c r="G1489" s="19" t="n"/>
      <c r="H1489" s="17" t="n"/>
      <c r="I1489" s="17" t="n"/>
      <c r="J1489" s="17" t="n"/>
      <c r="K1489" s="20">
        <f>IF($B1489="","",IFERROR(INDEX(الموظفات!$A$5:$A$304,MATCH($B1489,الموظفات!$B$5:$B$304,0))&amp;"",""))</f>
        <v/>
      </c>
      <c r="L1489" s="21">
        <f>IF($B1489="","",IFERROR(INDEX(الموظفات!$C$5:$C$304,MATCH($B1489,الموظفات!$B$5:$B$304,0))&amp;"",""))</f>
        <v/>
      </c>
      <c r="M1489" s="20">
        <f>IF($B1489="","",IFERROR(INDEX(الموظفات!$D$5:$D$304,MATCH($B1489,الموظفات!$B$5:$B$304,0))&amp;"",""))</f>
        <v/>
      </c>
      <c r="N1489" s="20">
        <f>IF($B1489="","",IFERROR(INDEX(الموظفات!$E$5:$E$304,MATCH($B1489,الموظفات!$B$5:$B$304,0))&amp;"",""))</f>
        <v/>
      </c>
      <c r="O1489" s="21">
        <f>IF(C1489="","",IFERROR(INDEX(الإعدادات!$D$7:$D$35,MATCH(C1489,الإعدادات!$A$7:$A$35,0))&amp;"",""))</f>
        <v/>
      </c>
      <c r="P1489" s="20">
        <f>IF(A1489="","",INDEX(الإعدادات!$H$7:$H$18,MONTH(A1489)))</f>
        <v/>
      </c>
      <c r="Q1489" s="20">
        <f>IF(A1489="","",INDEX(الإعدادات!$I$7:$I$18,MONTH(A1489)))</f>
        <v/>
      </c>
      <c r="R1489" s="20">
        <f>IF(A1489="","",IF(MONTH(A1489)&gt;=8,YEAR(A1489)&amp;"-"&amp;(YEAR(A1489)+1),(YEAR(A1489)-1)&amp;"-"&amp;YEAR(A1489)))</f>
        <v/>
      </c>
      <c r="S1489" s="20">
        <f>IF(OR(A1489="",B1489=""),0,IF(AND(R1489=التقارير!$C$4,OR(التقارير!$C$5="سنوي",AND(التقارير!$C$5="شهري",P1489=التقارير!$C$6),AND(التقارير!$C$5="فصلي",Q1489=التقارير!$C$7))),1,0))</f>
        <v/>
      </c>
      <c r="T1489" s="20">
        <f>IF(S1489=1,COUNTIF($S$5:S1489,1),"")</f>
        <v/>
      </c>
      <c r="U1489">
        <f>IF(AND($A1489&lt;&gt;"",$B1489&lt;&gt;"",$R1489='تقرير الفصل الأول'!$C$4,$Q1489='تقرير الفصل الأول'!$C$7),COUNT(U$4:U1488)+1,"")</f>
        <v/>
      </c>
      <c r="V1489">
        <f>IF(AND($A1489&lt;&gt;"",$B1489&lt;&gt;"",$R1489='تقرير الفصل الثاني'!$C$4,$Q1489='تقرير الفصل الثاني'!$C$7),COUNT(V$4:V1488)+1,"")</f>
        <v/>
      </c>
      <c r="W1489">
        <f>IF(AND($A1489&lt;&gt;"",$B1489&lt;&gt;"",$R1489='تقرير سبتمبر'!$C$4,$P1489='تقرير سبتمبر'!$C$6),COUNT(W$4:W1488)+1,"")</f>
        <v/>
      </c>
      <c r="X1489">
        <f>IF(AND($A1489&lt;&gt;"",$B1489&lt;&gt;"",$R1489='تقرير أكتوبر'!$C$4,$P1489='تقرير أكتوبر'!$C$6),COUNT(X$4:X1488)+1,"")</f>
        <v/>
      </c>
      <c r="Y1489">
        <f>IF(AND($A1489&lt;&gt;"",$B1489&lt;&gt;"",$R1489='تقرير نوفمبر'!$C$4,$P1489='تقرير نوفمبر'!$C$6),COUNT(Y$4:Y1488)+1,"")</f>
        <v/>
      </c>
      <c r="Z1489">
        <f>IF(AND($A1489&lt;&gt;"",$B1489&lt;&gt;"",$R1489='تقرير ديسمبر'!$C$4,$P1489='تقرير ديسمبر'!$C$6),COUNT(Z$4:Z1488)+1,"")</f>
        <v/>
      </c>
      <c r="AA1489">
        <f>IF(AND($A1489&lt;&gt;"",$B1489&lt;&gt;"",$R1489='تقرير يناير'!$C$4,$P1489='تقرير يناير'!$C$6),COUNT(AA$4:AA1488)+1,"")</f>
        <v/>
      </c>
      <c r="AB1489">
        <f>IF(AND($A1489&lt;&gt;"",$B1489&lt;&gt;"",$R1489='تقرير فبراير'!$C$4,$P1489='تقرير فبراير'!$C$6),COUNT(AB$4:AB1488)+1,"")</f>
        <v/>
      </c>
      <c r="AC1489">
        <f>IF(AND($A1489&lt;&gt;"",$B1489&lt;&gt;"",$R1489='تقرير مارس'!$C$4,$P1489='تقرير مارس'!$C$6),COUNT(AC$4:AC1488)+1,"")</f>
        <v/>
      </c>
      <c r="AD1489">
        <f>IF(AND($A1489&lt;&gt;"",$B1489&lt;&gt;"",$R1489='تقرير أبريل'!$C$4,$P1489='تقرير أبريل'!$C$6),COUNT(AD$4:AD1488)+1,"")</f>
        <v/>
      </c>
      <c r="AE1489">
        <f>IF(AND($A1489&lt;&gt;"",$B1489&lt;&gt;"",$R1489='تقرير مايو'!$C$4,$P1489='تقرير مايو'!$C$6),COUNT(AE$4:AE1488)+1,"")</f>
        <v/>
      </c>
    </row>
    <row r="1490">
      <c r="A1490" s="16" t="n"/>
      <c r="B1490" s="17" t="n"/>
      <c r="C1490" s="17" t="n"/>
      <c r="D1490" s="18" t="n"/>
      <c r="E1490" s="17" t="n"/>
      <c r="F1490" s="17" t="n"/>
      <c r="G1490" s="19" t="n"/>
      <c r="H1490" s="17" t="n"/>
      <c r="I1490" s="17" t="n"/>
      <c r="J1490" s="17" t="n"/>
      <c r="K1490" s="20">
        <f>IF($B1490="","",IFERROR(INDEX(الموظفات!$A$5:$A$304,MATCH($B1490,الموظفات!$B$5:$B$304,0))&amp;"",""))</f>
        <v/>
      </c>
      <c r="L1490" s="21">
        <f>IF($B1490="","",IFERROR(INDEX(الموظفات!$C$5:$C$304,MATCH($B1490,الموظفات!$B$5:$B$304,0))&amp;"",""))</f>
        <v/>
      </c>
      <c r="M1490" s="20">
        <f>IF($B1490="","",IFERROR(INDEX(الموظفات!$D$5:$D$304,MATCH($B1490,الموظفات!$B$5:$B$304,0))&amp;"",""))</f>
        <v/>
      </c>
      <c r="N1490" s="20">
        <f>IF($B1490="","",IFERROR(INDEX(الموظفات!$E$5:$E$304,MATCH($B1490,الموظفات!$B$5:$B$304,0))&amp;"",""))</f>
        <v/>
      </c>
      <c r="O1490" s="21">
        <f>IF(C1490="","",IFERROR(INDEX(الإعدادات!$D$7:$D$35,MATCH(C1490,الإعدادات!$A$7:$A$35,0))&amp;"",""))</f>
        <v/>
      </c>
      <c r="P1490" s="20">
        <f>IF(A1490="","",INDEX(الإعدادات!$H$7:$H$18,MONTH(A1490)))</f>
        <v/>
      </c>
      <c r="Q1490" s="20">
        <f>IF(A1490="","",INDEX(الإعدادات!$I$7:$I$18,MONTH(A1490)))</f>
        <v/>
      </c>
      <c r="R1490" s="20">
        <f>IF(A1490="","",IF(MONTH(A1490)&gt;=8,YEAR(A1490)&amp;"-"&amp;(YEAR(A1490)+1),(YEAR(A1490)-1)&amp;"-"&amp;YEAR(A1490)))</f>
        <v/>
      </c>
      <c r="S1490" s="20">
        <f>IF(OR(A1490="",B1490=""),0,IF(AND(R1490=التقارير!$C$4,OR(التقارير!$C$5="سنوي",AND(التقارير!$C$5="شهري",P1490=التقارير!$C$6),AND(التقارير!$C$5="فصلي",Q1490=التقارير!$C$7))),1,0))</f>
        <v/>
      </c>
      <c r="T1490" s="20">
        <f>IF(S1490=1,COUNTIF($S$5:S1490,1),"")</f>
        <v/>
      </c>
      <c r="U1490">
        <f>IF(AND($A1490&lt;&gt;"",$B1490&lt;&gt;"",$R1490='تقرير الفصل الأول'!$C$4,$Q1490='تقرير الفصل الأول'!$C$7),COUNT(U$4:U1489)+1,"")</f>
        <v/>
      </c>
      <c r="V1490">
        <f>IF(AND($A1490&lt;&gt;"",$B1490&lt;&gt;"",$R1490='تقرير الفصل الثاني'!$C$4,$Q1490='تقرير الفصل الثاني'!$C$7),COUNT(V$4:V1489)+1,"")</f>
        <v/>
      </c>
      <c r="W1490">
        <f>IF(AND($A1490&lt;&gt;"",$B1490&lt;&gt;"",$R1490='تقرير سبتمبر'!$C$4,$P1490='تقرير سبتمبر'!$C$6),COUNT(W$4:W1489)+1,"")</f>
        <v/>
      </c>
      <c r="X1490">
        <f>IF(AND($A1490&lt;&gt;"",$B1490&lt;&gt;"",$R1490='تقرير أكتوبر'!$C$4,$P1490='تقرير أكتوبر'!$C$6),COUNT(X$4:X1489)+1,"")</f>
        <v/>
      </c>
      <c r="Y1490">
        <f>IF(AND($A1490&lt;&gt;"",$B1490&lt;&gt;"",$R1490='تقرير نوفمبر'!$C$4,$P1490='تقرير نوفمبر'!$C$6),COUNT(Y$4:Y1489)+1,"")</f>
        <v/>
      </c>
      <c r="Z1490">
        <f>IF(AND($A1490&lt;&gt;"",$B1490&lt;&gt;"",$R1490='تقرير ديسمبر'!$C$4,$P1490='تقرير ديسمبر'!$C$6),COUNT(Z$4:Z1489)+1,"")</f>
        <v/>
      </c>
      <c r="AA1490">
        <f>IF(AND($A1490&lt;&gt;"",$B1490&lt;&gt;"",$R1490='تقرير يناير'!$C$4,$P1490='تقرير يناير'!$C$6),COUNT(AA$4:AA1489)+1,"")</f>
        <v/>
      </c>
      <c r="AB1490">
        <f>IF(AND($A1490&lt;&gt;"",$B1490&lt;&gt;"",$R1490='تقرير فبراير'!$C$4,$P1490='تقرير فبراير'!$C$6),COUNT(AB$4:AB1489)+1,"")</f>
        <v/>
      </c>
      <c r="AC1490">
        <f>IF(AND($A1490&lt;&gt;"",$B1490&lt;&gt;"",$R1490='تقرير مارس'!$C$4,$P1490='تقرير مارس'!$C$6),COUNT(AC$4:AC1489)+1,"")</f>
        <v/>
      </c>
      <c r="AD1490">
        <f>IF(AND($A1490&lt;&gt;"",$B1490&lt;&gt;"",$R1490='تقرير أبريل'!$C$4,$P1490='تقرير أبريل'!$C$6),COUNT(AD$4:AD1489)+1,"")</f>
        <v/>
      </c>
      <c r="AE1490">
        <f>IF(AND($A1490&lt;&gt;"",$B1490&lt;&gt;"",$R1490='تقرير مايو'!$C$4,$P1490='تقرير مايو'!$C$6),COUNT(AE$4:AE1489)+1,"")</f>
        <v/>
      </c>
    </row>
    <row r="1491">
      <c r="A1491" s="16" t="n"/>
      <c r="B1491" s="17" t="n"/>
      <c r="C1491" s="17" t="n"/>
      <c r="D1491" s="18" t="n"/>
      <c r="E1491" s="17" t="n"/>
      <c r="F1491" s="17" t="n"/>
      <c r="G1491" s="19" t="n"/>
      <c r="H1491" s="17" t="n"/>
      <c r="I1491" s="17" t="n"/>
      <c r="J1491" s="17" t="n"/>
      <c r="K1491" s="20">
        <f>IF($B1491="","",IFERROR(INDEX(الموظفات!$A$5:$A$304,MATCH($B1491,الموظفات!$B$5:$B$304,0))&amp;"",""))</f>
        <v/>
      </c>
      <c r="L1491" s="21">
        <f>IF($B1491="","",IFERROR(INDEX(الموظفات!$C$5:$C$304,MATCH($B1491,الموظفات!$B$5:$B$304,0))&amp;"",""))</f>
        <v/>
      </c>
      <c r="M1491" s="20">
        <f>IF($B1491="","",IFERROR(INDEX(الموظفات!$D$5:$D$304,MATCH($B1491,الموظفات!$B$5:$B$304,0))&amp;"",""))</f>
        <v/>
      </c>
      <c r="N1491" s="20">
        <f>IF($B1491="","",IFERROR(INDEX(الموظفات!$E$5:$E$304,MATCH($B1491,الموظفات!$B$5:$B$304,0))&amp;"",""))</f>
        <v/>
      </c>
      <c r="O1491" s="21">
        <f>IF(C1491="","",IFERROR(INDEX(الإعدادات!$D$7:$D$35,MATCH(C1491,الإعدادات!$A$7:$A$35,0))&amp;"",""))</f>
        <v/>
      </c>
      <c r="P1491" s="20">
        <f>IF(A1491="","",INDEX(الإعدادات!$H$7:$H$18,MONTH(A1491)))</f>
        <v/>
      </c>
      <c r="Q1491" s="20">
        <f>IF(A1491="","",INDEX(الإعدادات!$I$7:$I$18,MONTH(A1491)))</f>
        <v/>
      </c>
      <c r="R1491" s="20">
        <f>IF(A1491="","",IF(MONTH(A1491)&gt;=8,YEAR(A1491)&amp;"-"&amp;(YEAR(A1491)+1),(YEAR(A1491)-1)&amp;"-"&amp;YEAR(A1491)))</f>
        <v/>
      </c>
      <c r="S1491" s="20">
        <f>IF(OR(A1491="",B1491=""),0,IF(AND(R1491=التقارير!$C$4,OR(التقارير!$C$5="سنوي",AND(التقارير!$C$5="شهري",P1491=التقارير!$C$6),AND(التقارير!$C$5="فصلي",Q1491=التقارير!$C$7))),1,0))</f>
        <v/>
      </c>
      <c r="T1491" s="20">
        <f>IF(S1491=1,COUNTIF($S$5:S1491,1),"")</f>
        <v/>
      </c>
      <c r="U1491">
        <f>IF(AND($A1491&lt;&gt;"",$B1491&lt;&gt;"",$R1491='تقرير الفصل الأول'!$C$4,$Q1491='تقرير الفصل الأول'!$C$7),COUNT(U$4:U1490)+1,"")</f>
        <v/>
      </c>
      <c r="V1491">
        <f>IF(AND($A1491&lt;&gt;"",$B1491&lt;&gt;"",$R1491='تقرير الفصل الثاني'!$C$4,$Q1491='تقرير الفصل الثاني'!$C$7),COUNT(V$4:V1490)+1,"")</f>
        <v/>
      </c>
      <c r="W1491">
        <f>IF(AND($A1491&lt;&gt;"",$B1491&lt;&gt;"",$R1491='تقرير سبتمبر'!$C$4,$P1491='تقرير سبتمبر'!$C$6),COUNT(W$4:W1490)+1,"")</f>
        <v/>
      </c>
      <c r="X1491">
        <f>IF(AND($A1491&lt;&gt;"",$B1491&lt;&gt;"",$R1491='تقرير أكتوبر'!$C$4,$P1491='تقرير أكتوبر'!$C$6),COUNT(X$4:X1490)+1,"")</f>
        <v/>
      </c>
      <c r="Y1491">
        <f>IF(AND($A1491&lt;&gt;"",$B1491&lt;&gt;"",$R1491='تقرير نوفمبر'!$C$4,$P1491='تقرير نوفمبر'!$C$6),COUNT(Y$4:Y1490)+1,"")</f>
        <v/>
      </c>
      <c r="Z1491">
        <f>IF(AND($A1491&lt;&gt;"",$B1491&lt;&gt;"",$R1491='تقرير ديسمبر'!$C$4,$P1491='تقرير ديسمبر'!$C$6),COUNT(Z$4:Z1490)+1,"")</f>
        <v/>
      </c>
      <c r="AA1491">
        <f>IF(AND($A1491&lt;&gt;"",$B1491&lt;&gt;"",$R1491='تقرير يناير'!$C$4,$P1491='تقرير يناير'!$C$6),COUNT(AA$4:AA1490)+1,"")</f>
        <v/>
      </c>
      <c r="AB1491">
        <f>IF(AND($A1491&lt;&gt;"",$B1491&lt;&gt;"",$R1491='تقرير فبراير'!$C$4,$P1491='تقرير فبراير'!$C$6),COUNT(AB$4:AB1490)+1,"")</f>
        <v/>
      </c>
      <c r="AC1491">
        <f>IF(AND($A1491&lt;&gt;"",$B1491&lt;&gt;"",$R1491='تقرير مارس'!$C$4,$P1491='تقرير مارس'!$C$6),COUNT(AC$4:AC1490)+1,"")</f>
        <v/>
      </c>
      <c r="AD1491">
        <f>IF(AND($A1491&lt;&gt;"",$B1491&lt;&gt;"",$R1491='تقرير أبريل'!$C$4,$P1491='تقرير أبريل'!$C$6),COUNT(AD$4:AD1490)+1,"")</f>
        <v/>
      </c>
      <c r="AE1491">
        <f>IF(AND($A1491&lt;&gt;"",$B1491&lt;&gt;"",$R1491='تقرير مايو'!$C$4,$P1491='تقرير مايو'!$C$6),COUNT(AE$4:AE1490)+1,"")</f>
        <v/>
      </c>
    </row>
    <row r="1492">
      <c r="A1492" s="16" t="n"/>
      <c r="B1492" s="17" t="n"/>
      <c r="C1492" s="17" t="n"/>
      <c r="D1492" s="18" t="n"/>
      <c r="E1492" s="17" t="n"/>
      <c r="F1492" s="17" t="n"/>
      <c r="G1492" s="19" t="n"/>
      <c r="H1492" s="17" t="n"/>
      <c r="I1492" s="17" t="n"/>
      <c r="J1492" s="17" t="n"/>
      <c r="K1492" s="20">
        <f>IF($B1492="","",IFERROR(INDEX(الموظفات!$A$5:$A$304,MATCH($B1492,الموظفات!$B$5:$B$304,0))&amp;"",""))</f>
        <v/>
      </c>
      <c r="L1492" s="21">
        <f>IF($B1492="","",IFERROR(INDEX(الموظفات!$C$5:$C$304,MATCH($B1492,الموظفات!$B$5:$B$304,0))&amp;"",""))</f>
        <v/>
      </c>
      <c r="M1492" s="20">
        <f>IF($B1492="","",IFERROR(INDEX(الموظفات!$D$5:$D$304,MATCH($B1492,الموظفات!$B$5:$B$304,0))&amp;"",""))</f>
        <v/>
      </c>
      <c r="N1492" s="20">
        <f>IF($B1492="","",IFERROR(INDEX(الموظفات!$E$5:$E$304,MATCH($B1492,الموظفات!$B$5:$B$304,0))&amp;"",""))</f>
        <v/>
      </c>
      <c r="O1492" s="21">
        <f>IF(C1492="","",IFERROR(INDEX(الإعدادات!$D$7:$D$35,MATCH(C1492,الإعدادات!$A$7:$A$35,0))&amp;"",""))</f>
        <v/>
      </c>
      <c r="P1492" s="20">
        <f>IF(A1492="","",INDEX(الإعدادات!$H$7:$H$18,MONTH(A1492)))</f>
        <v/>
      </c>
      <c r="Q1492" s="20">
        <f>IF(A1492="","",INDEX(الإعدادات!$I$7:$I$18,MONTH(A1492)))</f>
        <v/>
      </c>
      <c r="R1492" s="20">
        <f>IF(A1492="","",IF(MONTH(A1492)&gt;=8,YEAR(A1492)&amp;"-"&amp;(YEAR(A1492)+1),(YEAR(A1492)-1)&amp;"-"&amp;YEAR(A1492)))</f>
        <v/>
      </c>
      <c r="S1492" s="20">
        <f>IF(OR(A1492="",B1492=""),0,IF(AND(R1492=التقارير!$C$4,OR(التقارير!$C$5="سنوي",AND(التقارير!$C$5="شهري",P1492=التقارير!$C$6),AND(التقارير!$C$5="فصلي",Q1492=التقارير!$C$7))),1,0))</f>
        <v/>
      </c>
      <c r="T1492" s="20">
        <f>IF(S1492=1,COUNTIF($S$5:S1492,1),"")</f>
        <v/>
      </c>
      <c r="U1492">
        <f>IF(AND($A1492&lt;&gt;"",$B1492&lt;&gt;"",$R1492='تقرير الفصل الأول'!$C$4,$Q1492='تقرير الفصل الأول'!$C$7),COUNT(U$4:U1491)+1,"")</f>
        <v/>
      </c>
      <c r="V1492">
        <f>IF(AND($A1492&lt;&gt;"",$B1492&lt;&gt;"",$R1492='تقرير الفصل الثاني'!$C$4,$Q1492='تقرير الفصل الثاني'!$C$7),COUNT(V$4:V1491)+1,"")</f>
        <v/>
      </c>
      <c r="W1492">
        <f>IF(AND($A1492&lt;&gt;"",$B1492&lt;&gt;"",$R1492='تقرير سبتمبر'!$C$4,$P1492='تقرير سبتمبر'!$C$6),COUNT(W$4:W1491)+1,"")</f>
        <v/>
      </c>
      <c r="X1492">
        <f>IF(AND($A1492&lt;&gt;"",$B1492&lt;&gt;"",$R1492='تقرير أكتوبر'!$C$4,$P1492='تقرير أكتوبر'!$C$6),COUNT(X$4:X1491)+1,"")</f>
        <v/>
      </c>
      <c r="Y1492">
        <f>IF(AND($A1492&lt;&gt;"",$B1492&lt;&gt;"",$R1492='تقرير نوفمبر'!$C$4,$P1492='تقرير نوفمبر'!$C$6),COUNT(Y$4:Y1491)+1,"")</f>
        <v/>
      </c>
      <c r="Z1492">
        <f>IF(AND($A1492&lt;&gt;"",$B1492&lt;&gt;"",$R1492='تقرير ديسمبر'!$C$4,$P1492='تقرير ديسمبر'!$C$6),COUNT(Z$4:Z1491)+1,"")</f>
        <v/>
      </c>
      <c r="AA1492">
        <f>IF(AND($A1492&lt;&gt;"",$B1492&lt;&gt;"",$R1492='تقرير يناير'!$C$4,$P1492='تقرير يناير'!$C$6),COUNT(AA$4:AA1491)+1,"")</f>
        <v/>
      </c>
      <c r="AB1492">
        <f>IF(AND($A1492&lt;&gt;"",$B1492&lt;&gt;"",$R1492='تقرير فبراير'!$C$4,$P1492='تقرير فبراير'!$C$6),COUNT(AB$4:AB1491)+1,"")</f>
        <v/>
      </c>
      <c r="AC1492">
        <f>IF(AND($A1492&lt;&gt;"",$B1492&lt;&gt;"",$R1492='تقرير مارس'!$C$4,$P1492='تقرير مارس'!$C$6),COUNT(AC$4:AC1491)+1,"")</f>
        <v/>
      </c>
      <c r="AD1492">
        <f>IF(AND($A1492&lt;&gt;"",$B1492&lt;&gt;"",$R1492='تقرير أبريل'!$C$4,$P1492='تقرير أبريل'!$C$6),COUNT(AD$4:AD1491)+1,"")</f>
        <v/>
      </c>
      <c r="AE1492">
        <f>IF(AND($A1492&lt;&gt;"",$B1492&lt;&gt;"",$R1492='تقرير مايو'!$C$4,$P1492='تقرير مايو'!$C$6),COUNT(AE$4:AE1491)+1,"")</f>
        <v/>
      </c>
    </row>
    <row r="1493">
      <c r="A1493" s="16" t="n"/>
      <c r="B1493" s="17" t="n"/>
      <c r="C1493" s="17" t="n"/>
      <c r="D1493" s="18" t="n"/>
      <c r="E1493" s="17" t="n"/>
      <c r="F1493" s="17" t="n"/>
      <c r="G1493" s="19" t="n"/>
      <c r="H1493" s="17" t="n"/>
      <c r="I1493" s="17" t="n"/>
      <c r="J1493" s="17" t="n"/>
      <c r="K1493" s="20">
        <f>IF($B1493="","",IFERROR(INDEX(الموظفات!$A$5:$A$304,MATCH($B1493,الموظفات!$B$5:$B$304,0))&amp;"",""))</f>
        <v/>
      </c>
      <c r="L1493" s="21">
        <f>IF($B1493="","",IFERROR(INDEX(الموظفات!$C$5:$C$304,MATCH($B1493,الموظفات!$B$5:$B$304,0))&amp;"",""))</f>
        <v/>
      </c>
      <c r="M1493" s="20">
        <f>IF($B1493="","",IFERROR(INDEX(الموظفات!$D$5:$D$304,MATCH($B1493,الموظفات!$B$5:$B$304,0))&amp;"",""))</f>
        <v/>
      </c>
      <c r="N1493" s="20">
        <f>IF($B1493="","",IFERROR(INDEX(الموظفات!$E$5:$E$304,MATCH($B1493,الموظفات!$B$5:$B$304,0))&amp;"",""))</f>
        <v/>
      </c>
      <c r="O1493" s="21">
        <f>IF(C1493="","",IFERROR(INDEX(الإعدادات!$D$7:$D$35,MATCH(C1493,الإعدادات!$A$7:$A$35,0))&amp;"",""))</f>
        <v/>
      </c>
      <c r="P1493" s="20">
        <f>IF(A1493="","",INDEX(الإعدادات!$H$7:$H$18,MONTH(A1493)))</f>
        <v/>
      </c>
      <c r="Q1493" s="20">
        <f>IF(A1493="","",INDEX(الإعدادات!$I$7:$I$18,MONTH(A1493)))</f>
        <v/>
      </c>
      <c r="R1493" s="20">
        <f>IF(A1493="","",IF(MONTH(A1493)&gt;=8,YEAR(A1493)&amp;"-"&amp;(YEAR(A1493)+1),(YEAR(A1493)-1)&amp;"-"&amp;YEAR(A1493)))</f>
        <v/>
      </c>
      <c r="S1493" s="20">
        <f>IF(OR(A1493="",B1493=""),0,IF(AND(R1493=التقارير!$C$4,OR(التقارير!$C$5="سنوي",AND(التقارير!$C$5="شهري",P1493=التقارير!$C$6),AND(التقارير!$C$5="فصلي",Q1493=التقارير!$C$7))),1,0))</f>
        <v/>
      </c>
      <c r="T1493" s="20">
        <f>IF(S1493=1,COUNTIF($S$5:S1493,1),"")</f>
        <v/>
      </c>
      <c r="U1493">
        <f>IF(AND($A1493&lt;&gt;"",$B1493&lt;&gt;"",$R1493='تقرير الفصل الأول'!$C$4,$Q1493='تقرير الفصل الأول'!$C$7),COUNT(U$4:U1492)+1,"")</f>
        <v/>
      </c>
      <c r="V1493">
        <f>IF(AND($A1493&lt;&gt;"",$B1493&lt;&gt;"",$R1493='تقرير الفصل الثاني'!$C$4,$Q1493='تقرير الفصل الثاني'!$C$7),COUNT(V$4:V1492)+1,"")</f>
        <v/>
      </c>
      <c r="W1493">
        <f>IF(AND($A1493&lt;&gt;"",$B1493&lt;&gt;"",$R1493='تقرير سبتمبر'!$C$4,$P1493='تقرير سبتمبر'!$C$6),COUNT(W$4:W1492)+1,"")</f>
        <v/>
      </c>
      <c r="X1493">
        <f>IF(AND($A1493&lt;&gt;"",$B1493&lt;&gt;"",$R1493='تقرير أكتوبر'!$C$4,$P1493='تقرير أكتوبر'!$C$6),COUNT(X$4:X1492)+1,"")</f>
        <v/>
      </c>
      <c r="Y1493">
        <f>IF(AND($A1493&lt;&gt;"",$B1493&lt;&gt;"",$R1493='تقرير نوفمبر'!$C$4,$P1493='تقرير نوفمبر'!$C$6),COUNT(Y$4:Y1492)+1,"")</f>
        <v/>
      </c>
      <c r="Z1493">
        <f>IF(AND($A1493&lt;&gt;"",$B1493&lt;&gt;"",$R1493='تقرير ديسمبر'!$C$4,$P1493='تقرير ديسمبر'!$C$6),COUNT(Z$4:Z1492)+1,"")</f>
        <v/>
      </c>
      <c r="AA1493">
        <f>IF(AND($A1493&lt;&gt;"",$B1493&lt;&gt;"",$R1493='تقرير يناير'!$C$4,$P1493='تقرير يناير'!$C$6),COUNT(AA$4:AA1492)+1,"")</f>
        <v/>
      </c>
      <c r="AB1493">
        <f>IF(AND($A1493&lt;&gt;"",$B1493&lt;&gt;"",$R1493='تقرير فبراير'!$C$4,$P1493='تقرير فبراير'!$C$6),COUNT(AB$4:AB1492)+1,"")</f>
        <v/>
      </c>
      <c r="AC1493">
        <f>IF(AND($A1493&lt;&gt;"",$B1493&lt;&gt;"",$R1493='تقرير مارس'!$C$4,$P1493='تقرير مارس'!$C$6),COUNT(AC$4:AC1492)+1,"")</f>
        <v/>
      </c>
      <c r="AD1493">
        <f>IF(AND($A1493&lt;&gt;"",$B1493&lt;&gt;"",$R1493='تقرير أبريل'!$C$4,$P1493='تقرير أبريل'!$C$6),COUNT(AD$4:AD1492)+1,"")</f>
        <v/>
      </c>
      <c r="AE1493">
        <f>IF(AND($A1493&lt;&gt;"",$B1493&lt;&gt;"",$R1493='تقرير مايو'!$C$4,$P1493='تقرير مايو'!$C$6),COUNT(AE$4:AE1492)+1,"")</f>
        <v/>
      </c>
    </row>
    <row r="1494">
      <c r="A1494" s="16" t="n"/>
      <c r="B1494" s="17" t="n"/>
      <c r="C1494" s="17" t="n"/>
      <c r="D1494" s="18" t="n"/>
      <c r="E1494" s="17" t="n"/>
      <c r="F1494" s="17" t="n"/>
      <c r="G1494" s="19" t="n"/>
      <c r="H1494" s="17" t="n"/>
      <c r="I1494" s="17" t="n"/>
      <c r="J1494" s="17" t="n"/>
      <c r="K1494" s="20">
        <f>IF($B1494="","",IFERROR(INDEX(الموظفات!$A$5:$A$304,MATCH($B1494,الموظفات!$B$5:$B$304,0))&amp;"",""))</f>
        <v/>
      </c>
      <c r="L1494" s="21">
        <f>IF($B1494="","",IFERROR(INDEX(الموظفات!$C$5:$C$304,MATCH($B1494,الموظفات!$B$5:$B$304,0))&amp;"",""))</f>
        <v/>
      </c>
      <c r="M1494" s="20">
        <f>IF($B1494="","",IFERROR(INDEX(الموظفات!$D$5:$D$304,MATCH($B1494,الموظفات!$B$5:$B$304,0))&amp;"",""))</f>
        <v/>
      </c>
      <c r="N1494" s="20">
        <f>IF($B1494="","",IFERROR(INDEX(الموظفات!$E$5:$E$304,MATCH($B1494,الموظفات!$B$5:$B$304,0))&amp;"",""))</f>
        <v/>
      </c>
      <c r="O1494" s="21">
        <f>IF(C1494="","",IFERROR(INDEX(الإعدادات!$D$7:$D$35,MATCH(C1494,الإعدادات!$A$7:$A$35,0))&amp;"",""))</f>
        <v/>
      </c>
      <c r="P1494" s="20">
        <f>IF(A1494="","",INDEX(الإعدادات!$H$7:$H$18,MONTH(A1494)))</f>
        <v/>
      </c>
      <c r="Q1494" s="20">
        <f>IF(A1494="","",INDEX(الإعدادات!$I$7:$I$18,MONTH(A1494)))</f>
        <v/>
      </c>
      <c r="R1494" s="20">
        <f>IF(A1494="","",IF(MONTH(A1494)&gt;=8,YEAR(A1494)&amp;"-"&amp;(YEAR(A1494)+1),(YEAR(A1494)-1)&amp;"-"&amp;YEAR(A1494)))</f>
        <v/>
      </c>
      <c r="S1494" s="20">
        <f>IF(OR(A1494="",B1494=""),0,IF(AND(R1494=التقارير!$C$4,OR(التقارير!$C$5="سنوي",AND(التقارير!$C$5="شهري",P1494=التقارير!$C$6),AND(التقارير!$C$5="فصلي",Q1494=التقارير!$C$7))),1,0))</f>
        <v/>
      </c>
      <c r="T1494" s="20">
        <f>IF(S1494=1,COUNTIF($S$5:S1494,1),"")</f>
        <v/>
      </c>
      <c r="U1494">
        <f>IF(AND($A1494&lt;&gt;"",$B1494&lt;&gt;"",$R1494='تقرير الفصل الأول'!$C$4,$Q1494='تقرير الفصل الأول'!$C$7),COUNT(U$4:U1493)+1,"")</f>
        <v/>
      </c>
      <c r="V1494">
        <f>IF(AND($A1494&lt;&gt;"",$B1494&lt;&gt;"",$R1494='تقرير الفصل الثاني'!$C$4,$Q1494='تقرير الفصل الثاني'!$C$7),COUNT(V$4:V1493)+1,"")</f>
        <v/>
      </c>
      <c r="W1494">
        <f>IF(AND($A1494&lt;&gt;"",$B1494&lt;&gt;"",$R1494='تقرير سبتمبر'!$C$4,$P1494='تقرير سبتمبر'!$C$6),COUNT(W$4:W1493)+1,"")</f>
        <v/>
      </c>
      <c r="X1494">
        <f>IF(AND($A1494&lt;&gt;"",$B1494&lt;&gt;"",$R1494='تقرير أكتوبر'!$C$4,$P1494='تقرير أكتوبر'!$C$6),COUNT(X$4:X1493)+1,"")</f>
        <v/>
      </c>
      <c r="Y1494">
        <f>IF(AND($A1494&lt;&gt;"",$B1494&lt;&gt;"",$R1494='تقرير نوفمبر'!$C$4,$P1494='تقرير نوفمبر'!$C$6),COUNT(Y$4:Y1493)+1,"")</f>
        <v/>
      </c>
      <c r="Z1494">
        <f>IF(AND($A1494&lt;&gt;"",$B1494&lt;&gt;"",$R1494='تقرير ديسمبر'!$C$4,$P1494='تقرير ديسمبر'!$C$6),COUNT(Z$4:Z1493)+1,"")</f>
        <v/>
      </c>
      <c r="AA1494">
        <f>IF(AND($A1494&lt;&gt;"",$B1494&lt;&gt;"",$R1494='تقرير يناير'!$C$4,$P1494='تقرير يناير'!$C$6),COUNT(AA$4:AA1493)+1,"")</f>
        <v/>
      </c>
      <c r="AB1494">
        <f>IF(AND($A1494&lt;&gt;"",$B1494&lt;&gt;"",$R1494='تقرير فبراير'!$C$4,$P1494='تقرير فبراير'!$C$6),COUNT(AB$4:AB1493)+1,"")</f>
        <v/>
      </c>
      <c r="AC1494">
        <f>IF(AND($A1494&lt;&gt;"",$B1494&lt;&gt;"",$R1494='تقرير مارس'!$C$4,$P1494='تقرير مارس'!$C$6),COUNT(AC$4:AC1493)+1,"")</f>
        <v/>
      </c>
      <c r="AD1494">
        <f>IF(AND($A1494&lt;&gt;"",$B1494&lt;&gt;"",$R1494='تقرير أبريل'!$C$4,$P1494='تقرير أبريل'!$C$6),COUNT(AD$4:AD1493)+1,"")</f>
        <v/>
      </c>
      <c r="AE1494">
        <f>IF(AND($A1494&lt;&gt;"",$B1494&lt;&gt;"",$R1494='تقرير مايو'!$C$4,$P1494='تقرير مايو'!$C$6),COUNT(AE$4:AE1493)+1,"")</f>
        <v/>
      </c>
    </row>
    <row r="1495">
      <c r="A1495" s="16" t="n"/>
      <c r="B1495" s="17" t="n"/>
      <c r="C1495" s="17" t="n"/>
      <c r="D1495" s="18" t="n"/>
      <c r="E1495" s="17" t="n"/>
      <c r="F1495" s="17" t="n"/>
      <c r="G1495" s="19" t="n"/>
      <c r="H1495" s="17" t="n"/>
      <c r="I1495" s="17" t="n"/>
      <c r="J1495" s="17" t="n"/>
      <c r="K1495" s="20">
        <f>IF($B1495="","",IFERROR(INDEX(الموظفات!$A$5:$A$304,MATCH($B1495,الموظفات!$B$5:$B$304,0))&amp;"",""))</f>
        <v/>
      </c>
      <c r="L1495" s="21">
        <f>IF($B1495="","",IFERROR(INDEX(الموظفات!$C$5:$C$304,MATCH($B1495,الموظفات!$B$5:$B$304,0))&amp;"",""))</f>
        <v/>
      </c>
      <c r="M1495" s="20">
        <f>IF($B1495="","",IFERROR(INDEX(الموظفات!$D$5:$D$304,MATCH($B1495,الموظفات!$B$5:$B$304,0))&amp;"",""))</f>
        <v/>
      </c>
      <c r="N1495" s="20">
        <f>IF($B1495="","",IFERROR(INDEX(الموظفات!$E$5:$E$304,MATCH($B1495,الموظفات!$B$5:$B$304,0))&amp;"",""))</f>
        <v/>
      </c>
      <c r="O1495" s="21">
        <f>IF(C1495="","",IFERROR(INDEX(الإعدادات!$D$7:$D$35,MATCH(C1495,الإعدادات!$A$7:$A$35,0))&amp;"",""))</f>
        <v/>
      </c>
      <c r="P1495" s="20">
        <f>IF(A1495="","",INDEX(الإعدادات!$H$7:$H$18,MONTH(A1495)))</f>
        <v/>
      </c>
      <c r="Q1495" s="20">
        <f>IF(A1495="","",INDEX(الإعدادات!$I$7:$I$18,MONTH(A1495)))</f>
        <v/>
      </c>
      <c r="R1495" s="20">
        <f>IF(A1495="","",IF(MONTH(A1495)&gt;=8,YEAR(A1495)&amp;"-"&amp;(YEAR(A1495)+1),(YEAR(A1495)-1)&amp;"-"&amp;YEAR(A1495)))</f>
        <v/>
      </c>
      <c r="S1495" s="20">
        <f>IF(OR(A1495="",B1495=""),0,IF(AND(R1495=التقارير!$C$4,OR(التقارير!$C$5="سنوي",AND(التقارير!$C$5="شهري",P1495=التقارير!$C$6),AND(التقارير!$C$5="فصلي",Q1495=التقارير!$C$7))),1,0))</f>
        <v/>
      </c>
      <c r="T1495" s="20">
        <f>IF(S1495=1,COUNTIF($S$5:S1495,1),"")</f>
        <v/>
      </c>
      <c r="U1495">
        <f>IF(AND($A1495&lt;&gt;"",$B1495&lt;&gt;"",$R1495='تقرير الفصل الأول'!$C$4,$Q1495='تقرير الفصل الأول'!$C$7),COUNT(U$4:U1494)+1,"")</f>
        <v/>
      </c>
      <c r="V1495">
        <f>IF(AND($A1495&lt;&gt;"",$B1495&lt;&gt;"",$R1495='تقرير الفصل الثاني'!$C$4,$Q1495='تقرير الفصل الثاني'!$C$7),COUNT(V$4:V1494)+1,"")</f>
        <v/>
      </c>
      <c r="W1495">
        <f>IF(AND($A1495&lt;&gt;"",$B1495&lt;&gt;"",$R1495='تقرير سبتمبر'!$C$4,$P1495='تقرير سبتمبر'!$C$6),COUNT(W$4:W1494)+1,"")</f>
        <v/>
      </c>
      <c r="X1495">
        <f>IF(AND($A1495&lt;&gt;"",$B1495&lt;&gt;"",$R1495='تقرير أكتوبر'!$C$4,$P1495='تقرير أكتوبر'!$C$6),COUNT(X$4:X1494)+1,"")</f>
        <v/>
      </c>
      <c r="Y1495">
        <f>IF(AND($A1495&lt;&gt;"",$B1495&lt;&gt;"",$R1495='تقرير نوفمبر'!$C$4,$P1495='تقرير نوفمبر'!$C$6),COUNT(Y$4:Y1494)+1,"")</f>
        <v/>
      </c>
      <c r="Z1495">
        <f>IF(AND($A1495&lt;&gt;"",$B1495&lt;&gt;"",$R1495='تقرير ديسمبر'!$C$4,$P1495='تقرير ديسمبر'!$C$6),COUNT(Z$4:Z1494)+1,"")</f>
        <v/>
      </c>
      <c r="AA1495">
        <f>IF(AND($A1495&lt;&gt;"",$B1495&lt;&gt;"",$R1495='تقرير يناير'!$C$4,$P1495='تقرير يناير'!$C$6),COUNT(AA$4:AA1494)+1,"")</f>
        <v/>
      </c>
      <c r="AB1495">
        <f>IF(AND($A1495&lt;&gt;"",$B1495&lt;&gt;"",$R1495='تقرير فبراير'!$C$4,$P1495='تقرير فبراير'!$C$6),COUNT(AB$4:AB1494)+1,"")</f>
        <v/>
      </c>
      <c r="AC1495">
        <f>IF(AND($A1495&lt;&gt;"",$B1495&lt;&gt;"",$R1495='تقرير مارس'!$C$4,$P1495='تقرير مارس'!$C$6),COUNT(AC$4:AC1494)+1,"")</f>
        <v/>
      </c>
      <c r="AD1495">
        <f>IF(AND($A1495&lt;&gt;"",$B1495&lt;&gt;"",$R1495='تقرير أبريل'!$C$4,$P1495='تقرير أبريل'!$C$6),COUNT(AD$4:AD1494)+1,"")</f>
        <v/>
      </c>
      <c r="AE1495">
        <f>IF(AND($A1495&lt;&gt;"",$B1495&lt;&gt;"",$R1495='تقرير مايو'!$C$4,$P1495='تقرير مايو'!$C$6),COUNT(AE$4:AE1494)+1,"")</f>
        <v/>
      </c>
    </row>
    <row r="1496">
      <c r="A1496" s="16" t="n"/>
      <c r="B1496" s="17" t="n"/>
      <c r="C1496" s="17" t="n"/>
      <c r="D1496" s="18" t="n"/>
      <c r="E1496" s="17" t="n"/>
      <c r="F1496" s="17" t="n"/>
      <c r="G1496" s="19" t="n"/>
      <c r="H1496" s="17" t="n"/>
      <c r="I1496" s="17" t="n"/>
      <c r="J1496" s="17" t="n"/>
      <c r="K1496" s="20">
        <f>IF($B1496="","",IFERROR(INDEX(الموظفات!$A$5:$A$304,MATCH($B1496,الموظفات!$B$5:$B$304,0))&amp;"",""))</f>
        <v/>
      </c>
      <c r="L1496" s="21">
        <f>IF($B1496="","",IFERROR(INDEX(الموظفات!$C$5:$C$304,MATCH($B1496,الموظفات!$B$5:$B$304,0))&amp;"",""))</f>
        <v/>
      </c>
      <c r="M1496" s="20">
        <f>IF($B1496="","",IFERROR(INDEX(الموظفات!$D$5:$D$304,MATCH($B1496,الموظفات!$B$5:$B$304,0))&amp;"",""))</f>
        <v/>
      </c>
      <c r="N1496" s="20">
        <f>IF($B1496="","",IFERROR(INDEX(الموظفات!$E$5:$E$304,MATCH($B1496,الموظفات!$B$5:$B$304,0))&amp;"",""))</f>
        <v/>
      </c>
      <c r="O1496" s="21">
        <f>IF(C1496="","",IFERROR(INDEX(الإعدادات!$D$7:$D$35,MATCH(C1496,الإعدادات!$A$7:$A$35,0))&amp;"",""))</f>
        <v/>
      </c>
      <c r="P1496" s="20">
        <f>IF(A1496="","",INDEX(الإعدادات!$H$7:$H$18,MONTH(A1496)))</f>
        <v/>
      </c>
      <c r="Q1496" s="20">
        <f>IF(A1496="","",INDEX(الإعدادات!$I$7:$I$18,MONTH(A1496)))</f>
        <v/>
      </c>
      <c r="R1496" s="20">
        <f>IF(A1496="","",IF(MONTH(A1496)&gt;=8,YEAR(A1496)&amp;"-"&amp;(YEAR(A1496)+1),(YEAR(A1496)-1)&amp;"-"&amp;YEAR(A1496)))</f>
        <v/>
      </c>
      <c r="S1496" s="20">
        <f>IF(OR(A1496="",B1496=""),0,IF(AND(R1496=التقارير!$C$4,OR(التقارير!$C$5="سنوي",AND(التقارير!$C$5="شهري",P1496=التقارير!$C$6),AND(التقارير!$C$5="فصلي",Q1496=التقارير!$C$7))),1,0))</f>
        <v/>
      </c>
      <c r="T1496" s="20">
        <f>IF(S1496=1,COUNTIF($S$5:S1496,1),"")</f>
        <v/>
      </c>
      <c r="U1496">
        <f>IF(AND($A1496&lt;&gt;"",$B1496&lt;&gt;"",$R1496='تقرير الفصل الأول'!$C$4,$Q1496='تقرير الفصل الأول'!$C$7),COUNT(U$4:U1495)+1,"")</f>
        <v/>
      </c>
      <c r="V1496">
        <f>IF(AND($A1496&lt;&gt;"",$B1496&lt;&gt;"",$R1496='تقرير الفصل الثاني'!$C$4,$Q1496='تقرير الفصل الثاني'!$C$7),COUNT(V$4:V1495)+1,"")</f>
        <v/>
      </c>
      <c r="W1496">
        <f>IF(AND($A1496&lt;&gt;"",$B1496&lt;&gt;"",$R1496='تقرير سبتمبر'!$C$4,$P1496='تقرير سبتمبر'!$C$6),COUNT(W$4:W1495)+1,"")</f>
        <v/>
      </c>
      <c r="X1496">
        <f>IF(AND($A1496&lt;&gt;"",$B1496&lt;&gt;"",$R1496='تقرير أكتوبر'!$C$4,$P1496='تقرير أكتوبر'!$C$6),COUNT(X$4:X1495)+1,"")</f>
        <v/>
      </c>
      <c r="Y1496">
        <f>IF(AND($A1496&lt;&gt;"",$B1496&lt;&gt;"",$R1496='تقرير نوفمبر'!$C$4,$P1496='تقرير نوفمبر'!$C$6),COUNT(Y$4:Y1495)+1,"")</f>
        <v/>
      </c>
      <c r="Z1496">
        <f>IF(AND($A1496&lt;&gt;"",$B1496&lt;&gt;"",$R1496='تقرير ديسمبر'!$C$4,$P1496='تقرير ديسمبر'!$C$6),COUNT(Z$4:Z1495)+1,"")</f>
        <v/>
      </c>
      <c r="AA1496">
        <f>IF(AND($A1496&lt;&gt;"",$B1496&lt;&gt;"",$R1496='تقرير يناير'!$C$4,$P1496='تقرير يناير'!$C$6),COUNT(AA$4:AA1495)+1,"")</f>
        <v/>
      </c>
      <c r="AB1496">
        <f>IF(AND($A1496&lt;&gt;"",$B1496&lt;&gt;"",$R1496='تقرير فبراير'!$C$4,$P1496='تقرير فبراير'!$C$6),COUNT(AB$4:AB1495)+1,"")</f>
        <v/>
      </c>
      <c r="AC1496">
        <f>IF(AND($A1496&lt;&gt;"",$B1496&lt;&gt;"",$R1496='تقرير مارس'!$C$4,$P1496='تقرير مارس'!$C$6),COUNT(AC$4:AC1495)+1,"")</f>
        <v/>
      </c>
      <c r="AD1496">
        <f>IF(AND($A1496&lt;&gt;"",$B1496&lt;&gt;"",$R1496='تقرير أبريل'!$C$4,$P1496='تقرير أبريل'!$C$6),COUNT(AD$4:AD1495)+1,"")</f>
        <v/>
      </c>
      <c r="AE1496">
        <f>IF(AND($A1496&lt;&gt;"",$B1496&lt;&gt;"",$R1496='تقرير مايو'!$C$4,$P1496='تقرير مايو'!$C$6),COUNT(AE$4:AE1495)+1,"")</f>
        <v/>
      </c>
    </row>
    <row r="1497">
      <c r="A1497" s="16" t="n"/>
      <c r="B1497" s="17" t="n"/>
      <c r="C1497" s="17" t="n"/>
      <c r="D1497" s="18" t="n"/>
      <c r="E1497" s="17" t="n"/>
      <c r="F1497" s="17" t="n"/>
      <c r="G1497" s="19" t="n"/>
      <c r="H1497" s="17" t="n"/>
      <c r="I1497" s="17" t="n"/>
      <c r="J1497" s="17" t="n"/>
      <c r="K1497" s="20">
        <f>IF($B1497="","",IFERROR(INDEX(الموظفات!$A$5:$A$304,MATCH($B1497,الموظفات!$B$5:$B$304,0))&amp;"",""))</f>
        <v/>
      </c>
      <c r="L1497" s="21">
        <f>IF($B1497="","",IFERROR(INDEX(الموظفات!$C$5:$C$304,MATCH($B1497,الموظفات!$B$5:$B$304,0))&amp;"",""))</f>
        <v/>
      </c>
      <c r="M1497" s="20">
        <f>IF($B1497="","",IFERROR(INDEX(الموظفات!$D$5:$D$304,MATCH($B1497,الموظفات!$B$5:$B$304,0))&amp;"",""))</f>
        <v/>
      </c>
      <c r="N1497" s="20">
        <f>IF($B1497="","",IFERROR(INDEX(الموظفات!$E$5:$E$304,MATCH($B1497,الموظفات!$B$5:$B$304,0))&amp;"",""))</f>
        <v/>
      </c>
      <c r="O1497" s="21">
        <f>IF(C1497="","",IFERROR(INDEX(الإعدادات!$D$7:$D$35,MATCH(C1497,الإعدادات!$A$7:$A$35,0))&amp;"",""))</f>
        <v/>
      </c>
      <c r="P1497" s="20">
        <f>IF(A1497="","",INDEX(الإعدادات!$H$7:$H$18,MONTH(A1497)))</f>
        <v/>
      </c>
      <c r="Q1497" s="20">
        <f>IF(A1497="","",INDEX(الإعدادات!$I$7:$I$18,MONTH(A1497)))</f>
        <v/>
      </c>
      <c r="R1497" s="20">
        <f>IF(A1497="","",IF(MONTH(A1497)&gt;=8,YEAR(A1497)&amp;"-"&amp;(YEAR(A1497)+1),(YEAR(A1497)-1)&amp;"-"&amp;YEAR(A1497)))</f>
        <v/>
      </c>
      <c r="S1497" s="20">
        <f>IF(OR(A1497="",B1497=""),0,IF(AND(R1497=التقارير!$C$4,OR(التقارير!$C$5="سنوي",AND(التقارير!$C$5="شهري",P1497=التقارير!$C$6),AND(التقارير!$C$5="فصلي",Q1497=التقارير!$C$7))),1,0))</f>
        <v/>
      </c>
      <c r="T1497" s="20">
        <f>IF(S1497=1,COUNTIF($S$5:S1497,1),"")</f>
        <v/>
      </c>
      <c r="U1497">
        <f>IF(AND($A1497&lt;&gt;"",$B1497&lt;&gt;"",$R1497='تقرير الفصل الأول'!$C$4,$Q1497='تقرير الفصل الأول'!$C$7),COUNT(U$4:U1496)+1,"")</f>
        <v/>
      </c>
      <c r="V1497">
        <f>IF(AND($A1497&lt;&gt;"",$B1497&lt;&gt;"",$R1497='تقرير الفصل الثاني'!$C$4,$Q1497='تقرير الفصل الثاني'!$C$7),COUNT(V$4:V1496)+1,"")</f>
        <v/>
      </c>
      <c r="W1497">
        <f>IF(AND($A1497&lt;&gt;"",$B1497&lt;&gt;"",$R1497='تقرير سبتمبر'!$C$4,$P1497='تقرير سبتمبر'!$C$6),COUNT(W$4:W1496)+1,"")</f>
        <v/>
      </c>
      <c r="X1497">
        <f>IF(AND($A1497&lt;&gt;"",$B1497&lt;&gt;"",$R1497='تقرير أكتوبر'!$C$4,$P1497='تقرير أكتوبر'!$C$6),COUNT(X$4:X1496)+1,"")</f>
        <v/>
      </c>
      <c r="Y1497">
        <f>IF(AND($A1497&lt;&gt;"",$B1497&lt;&gt;"",$R1497='تقرير نوفمبر'!$C$4,$P1497='تقرير نوفمبر'!$C$6),COUNT(Y$4:Y1496)+1,"")</f>
        <v/>
      </c>
      <c r="Z1497">
        <f>IF(AND($A1497&lt;&gt;"",$B1497&lt;&gt;"",$R1497='تقرير ديسمبر'!$C$4,$P1497='تقرير ديسمبر'!$C$6),COUNT(Z$4:Z1496)+1,"")</f>
        <v/>
      </c>
      <c r="AA1497">
        <f>IF(AND($A1497&lt;&gt;"",$B1497&lt;&gt;"",$R1497='تقرير يناير'!$C$4,$P1497='تقرير يناير'!$C$6),COUNT(AA$4:AA1496)+1,"")</f>
        <v/>
      </c>
      <c r="AB1497">
        <f>IF(AND($A1497&lt;&gt;"",$B1497&lt;&gt;"",$R1497='تقرير فبراير'!$C$4,$P1497='تقرير فبراير'!$C$6),COUNT(AB$4:AB1496)+1,"")</f>
        <v/>
      </c>
      <c r="AC1497">
        <f>IF(AND($A1497&lt;&gt;"",$B1497&lt;&gt;"",$R1497='تقرير مارس'!$C$4,$P1497='تقرير مارس'!$C$6),COUNT(AC$4:AC1496)+1,"")</f>
        <v/>
      </c>
      <c r="AD1497">
        <f>IF(AND($A1497&lt;&gt;"",$B1497&lt;&gt;"",$R1497='تقرير أبريل'!$C$4,$P1497='تقرير أبريل'!$C$6),COUNT(AD$4:AD1496)+1,"")</f>
        <v/>
      </c>
      <c r="AE1497">
        <f>IF(AND($A1497&lt;&gt;"",$B1497&lt;&gt;"",$R1497='تقرير مايو'!$C$4,$P1497='تقرير مايو'!$C$6),COUNT(AE$4:AE1496)+1,"")</f>
        <v/>
      </c>
    </row>
    <row r="1498">
      <c r="A1498" s="16" t="n"/>
      <c r="B1498" s="17" t="n"/>
      <c r="C1498" s="17" t="n"/>
      <c r="D1498" s="18" t="n"/>
      <c r="E1498" s="17" t="n"/>
      <c r="F1498" s="17" t="n"/>
      <c r="G1498" s="19" t="n"/>
      <c r="H1498" s="17" t="n"/>
      <c r="I1498" s="17" t="n"/>
      <c r="J1498" s="17" t="n"/>
      <c r="K1498" s="20">
        <f>IF($B1498="","",IFERROR(INDEX(الموظفات!$A$5:$A$304,MATCH($B1498,الموظفات!$B$5:$B$304,0))&amp;"",""))</f>
        <v/>
      </c>
      <c r="L1498" s="21">
        <f>IF($B1498="","",IFERROR(INDEX(الموظفات!$C$5:$C$304,MATCH($B1498,الموظفات!$B$5:$B$304,0))&amp;"",""))</f>
        <v/>
      </c>
      <c r="M1498" s="20">
        <f>IF($B1498="","",IFERROR(INDEX(الموظفات!$D$5:$D$304,MATCH($B1498,الموظفات!$B$5:$B$304,0))&amp;"",""))</f>
        <v/>
      </c>
      <c r="N1498" s="20">
        <f>IF($B1498="","",IFERROR(INDEX(الموظفات!$E$5:$E$304,MATCH($B1498,الموظفات!$B$5:$B$304,0))&amp;"",""))</f>
        <v/>
      </c>
      <c r="O1498" s="21">
        <f>IF(C1498="","",IFERROR(INDEX(الإعدادات!$D$7:$D$35,MATCH(C1498,الإعدادات!$A$7:$A$35,0))&amp;"",""))</f>
        <v/>
      </c>
      <c r="P1498" s="20">
        <f>IF(A1498="","",INDEX(الإعدادات!$H$7:$H$18,MONTH(A1498)))</f>
        <v/>
      </c>
      <c r="Q1498" s="20">
        <f>IF(A1498="","",INDEX(الإعدادات!$I$7:$I$18,MONTH(A1498)))</f>
        <v/>
      </c>
      <c r="R1498" s="20">
        <f>IF(A1498="","",IF(MONTH(A1498)&gt;=8,YEAR(A1498)&amp;"-"&amp;(YEAR(A1498)+1),(YEAR(A1498)-1)&amp;"-"&amp;YEAR(A1498)))</f>
        <v/>
      </c>
      <c r="S1498" s="20">
        <f>IF(OR(A1498="",B1498=""),0,IF(AND(R1498=التقارير!$C$4,OR(التقارير!$C$5="سنوي",AND(التقارير!$C$5="شهري",P1498=التقارير!$C$6),AND(التقارير!$C$5="فصلي",Q1498=التقارير!$C$7))),1,0))</f>
        <v/>
      </c>
      <c r="T1498" s="20">
        <f>IF(S1498=1,COUNTIF($S$5:S1498,1),"")</f>
        <v/>
      </c>
      <c r="U1498">
        <f>IF(AND($A1498&lt;&gt;"",$B1498&lt;&gt;"",$R1498='تقرير الفصل الأول'!$C$4,$Q1498='تقرير الفصل الأول'!$C$7),COUNT(U$4:U1497)+1,"")</f>
        <v/>
      </c>
      <c r="V1498">
        <f>IF(AND($A1498&lt;&gt;"",$B1498&lt;&gt;"",$R1498='تقرير الفصل الثاني'!$C$4,$Q1498='تقرير الفصل الثاني'!$C$7),COUNT(V$4:V1497)+1,"")</f>
        <v/>
      </c>
      <c r="W1498">
        <f>IF(AND($A1498&lt;&gt;"",$B1498&lt;&gt;"",$R1498='تقرير سبتمبر'!$C$4,$P1498='تقرير سبتمبر'!$C$6),COUNT(W$4:W1497)+1,"")</f>
        <v/>
      </c>
      <c r="X1498">
        <f>IF(AND($A1498&lt;&gt;"",$B1498&lt;&gt;"",$R1498='تقرير أكتوبر'!$C$4,$P1498='تقرير أكتوبر'!$C$6),COUNT(X$4:X1497)+1,"")</f>
        <v/>
      </c>
      <c r="Y1498">
        <f>IF(AND($A1498&lt;&gt;"",$B1498&lt;&gt;"",$R1498='تقرير نوفمبر'!$C$4,$P1498='تقرير نوفمبر'!$C$6),COUNT(Y$4:Y1497)+1,"")</f>
        <v/>
      </c>
      <c r="Z1498">
        <f>IF(AND($A1498&lt;&gt;"",$B1498&lt;&gt;"",$R1498='تقرير ديسمبر'!$C$4,$P1498='تقرير ديسمبر'!$C$6),COUNT(Z$4:Z1497)+1,"")</f>
        <v/>
      </c>
      <c r="AA1498">
        <f>IF(AND($A1498&lt;&gt;"",$B1498&lt;&gt;"",$R1498='تقرير يناير'!$C$4,$P1498='تقرير يناير'!$C$6),COUNT(AA$4:AA1497)+1,"")</f>
        <v/>
      </c>
      <c r="AB1498">
        <f>IF(AND($A1498&lt;&gt;"",$B1498&lt;&gt;"",$R1498='تقرير فبراير'!$C$4,$P1498='تقرير فبراير'!$C$6),COUNT(AB$4:AB1497)+1,"")</f>
        <v/>
      </c>
      <c r="AC1498">
        <f>IF(AND($A1498&lt;&gt;"",$B1498&lt;&gt;"",$R1498='تقرير مارس'!$C$4,$P1498='تقرير مارس'!$C$6),COUNT(AC$4:AC1497)+1,"")</f>
        <v/>
      </c>
      <c r="AD1498">
        <f>IF(AND($A1498&lt;&gt;"",$B1498&lt;&gt;"",$R1498='تقرير أبريل'!$C$4,$P1498='تقرير أبريل'!$C$6),COUNT(AD$4:AD1497)+1,"")</f>
        <v/>
      </c>
      <c r="AE1498">
        <f>IF(AND($A1498&lt;&gt;"",$B1498&lt;&gt;"",$R1498='تقرير مايو'!$C$4,$P1498='تقرير مايو'!$C$6),COUNT(AE$4:AE1497)+1,"")</f>
        <v/>
      </c>
    </row>
    <row r="1499">
      <c r="A1499" s="16" t="n"/>
      <c r="B1499" s="17" t="n"/>
      <c r="C1499" s="17" t="n"/>
      <c r="D1499" s="18" t="n"/>
      <c r="E1499" s="17" t="n"/>
      <c r="F1499" s="17" t="n"/>
      <c r="G1499" s="19" t="n"/>
      <c r="H1499" s="17" t="n"/>
      <c r="I1499" s="17" t="n"/>
      <c r="J1499" s="17" t="n"/>
      <c r="K1499" s="20">
        <f>IF($B1499="","",IFERROR(INDEX(الموظفات!$A$5:$A$304,MATCH($B1499,الموظفات!$B$5:$B$304,0))&amp;"",""))</f>
        <v/>
      </c>
      <c r="L1499" s="21">
        <f>IF($B1499="","",IFERROR(INDEX(الموظفات!$C$5:$C$304,MATCH($B1499,الموظفات!$B$5:$B$304,0))&amp;"",""))</f>
        <v/>
      </c>
      <c r="M1499" s="20">
        <f>IF($B1499="","",IFERROR(INDEX(الموظفات!$D$5:$D$304,MATCH($B1499,الموظفات!$B$5:$B$304,0))&amp;"",""))</f>
        <v/>
      </c>
      <c r="N1499" s="20">
        <f>IF($B1499="","",IFERROR(INDEX(الموظفات!$E$5:$E$304,MATCH($B1499,الموظفات!$B$5:$B$304,0))&amp;"",""))</f>
        <v/>
      </c>
      <c r="O1499" s="21">
        <f>IF(C1499="","",IFERROR(INDEX(الإعدادات!$D$7:$D$35,MATCH(C1499,الإعدادات!$A$7:$A$35,0))&amp;"",""))</f>
        <v/>
      </c>
      <c r="P1499" s="20">
        <f>IF(A1499="","",INDEX(الإعدادات!$H$7:$H$18,MONTH(A1499)))</f>
        <v/>
      </c>
      <c r="Q1499" s="20">
        <f>IF(A1499="","",INDEX(الإعدادات!$I$7:$I$18,MONTH(A1499)))</f>
        <v/>
      </c>
      <c r="R1499" s="20">
        <f>IF(A1499="","",IF(MONTH(A1499)&gt;=8,YEAR(A1499)&amp;"-"&amp;(YEAR(A1499)+1),(YEAR(A1499)-1)&amp;"-"&amp;YEAR(A1499)))</f>
        <v/>
      </c>
      <c r="S1499" s="20">
        <f>IF(OR(A1499="",B1499=""),0,IF(AND(R1499=التقارير!$C$4,OR(التقارير!$C$5="سنوي",AND(التقارير!$C$5="شهري",P1499=التقارير!$C$6),AND(التقارير!$C$5="فصلي",Q1499=التقارير!$C$7))),1,0))</f>
        <v/>
      </c>
      <c r="T1499" s="20">
        <f>IF(S1499=1,COUNTIF($S$5:S1499,1),"")</f>
        <v/>
      </c>
      <c r="U1499">
        <f>IF(AND($A1499&lt;&gt;"",$B1499&lt;&gt;"",$R1499='تقرير الفصل الأول'!$C$4,$Q1499='تقرير الفصل الأول'!$C$7),COUNT(U$4:U1498)+1,"")</f>
        <v/>
      </c>
      <c r="V1499">
        <f>IF(AND($A1499&lt;&gt;"",$B1499&lt;&gt;"",$R1499='تقرير الفصل الثاني'!$C$4,$Q1499='تقرير الفصل الثاني'!$C$7),COUNT(V$4:V1498)+1,"")</f>
        <v/>
      </c>
      <c r="W1499">
        <f>IF(AND($A1499&lt;&gt;"",$B1499&lt;&gt;"",$R1499='تقرير سبتمبر'!$C$4,$P1499='تقرير سبتمبر'!$C$6),COUNT(W$4:W1498)+1,"")</f>
        <v/>
      </c>
      <c r="X1499">
        <f>IF(AND($A1499&lt;&gt;"",$B1499&lt;&gt;"",$R1499='تقرير أكتوبر'!$C$4,$P1499='تقرير أكتوبر'!$C$6),COUNT(X$4:X1498)+1,"")</f>
        <v/>
      </c>
      <c r="Y1499">
        <f>IF(AND($A1499&lt;&gt;"",$B1499&lt;&gt;"",$R1499='تقرير نوفمبر'!$C$4,$P1499='تقرير نوفمبر'!$C$6),COUNT(Y$4:Y1498)+1,"")</f>
        <v/>
      </c>
      <c r="Z1499">
        <f>IF(AND($A1499&lt;&gt;"",$B1499&lt;&gt;"",$R1499='تقرير ديسمبر'!$C$4,$P1499='تقرير ديسمبر'!$C$6),COUNT(Z$4:Z1498)+1,"")</f>
        <v/>
      </c>
      <c r="AA1499">
        <f>IF(AND($A1499&lt;&gt;"",$B1499&lt;&gt;"",$R1499='تقرير يناير'!$C$4,$P1499='تقرير يناير'!$C$6),COUNT(AA$4:AA1498)+1,"")</f>
        <v/>
      </c>
      <c r="AB1499">
        <f>IF(AND($A1499&lt;&gt;"",$B1499&lt;&gt;"",$R1499='تقرير فبراير'!$C$4,$P1499='تقرير فبراير'!$C$6),COUNT(AB$4:AB1498)+1,"")</f>
        <v/>
      </c>
      <c r="AC1499">
        <f>IF(AND($A1499&lt;&gt;"",$B1499&lt;&gt;"",$R1499='تقرير مارس'!$C$4,$P1499='تقرير مارس'!$C$6),COUNT(AC$4:AC1498)+1,"")</f>
        <v/>
      </c>
      <c r="AD1499">
        <f>IF(AND($A1499&lt;&gt;"",$B1499&lt;&gt;"",$R1499='تقرير أبريل'!$C$4,$P1499='تقرير أبريل'!$C$6),COUNT(AD$4:AD1498)+1,"")</f>
        <v/>
      </c>
      <c r="AE1499">
        <f>IF(AND($A1499&lt;&gt;"",$B1499&lt;&gt;"",$R1499='تقرير مايو'!$C$4,$P1499='تقرير مايو'!$C$6),COUNT(AE$4:AE1498)+1,"")</f>
        <v/>
      </c>
    </row>
    <row r="1500">
      <c r="A1500" s="16" t="n"/>
      <c r="B1500" s="17" t="n"/>
      <c r="C1500" s="17" t="n"/>
      <c r="D1500" s="18" t="n"/>
      <c r="E1500" s="17" t="n"/>
      <c r="F1500" s="17" t="n"/>
      <c r="G1500" s="19" t="n"/>
      <c r="H1500" s="17" t="n"/>
      <c r="I1500" s="17" t="n"/>
      <c r="J1500" s="17" t="n"/>
      <c r="K1500" s="20">
        <f>IF($B1500="","",IFERROR(INDEX(الموظفات!$A$5:$A$304,MATCH($B1500,الموظفات!$B$5:$B$304,0))&amp;"",""))</f>
        <v/>
      </c>
      <c r="L1500" s="21">
        <f>IF($B1500="","",IFERROR(INDEX(الموظفات!$C$5:$C$304,MATCH($B1500,الموظفات!$B$5:$B$304,0))&amp;"",""))</f>
        <v/>
      </c>
      <c r="M1500" s="20">
        <f>IF($B1500="","",IFERROR(INDEX(الموظفات!$D$5:$D$304,MATCH($B1500,الموظفات!$B$5:$B$304,0))&amp;"",""))</f>
        <v/>
      </c>
      <c r="N1500" s="20">
        <f>IF($B1500="","",IFERROR(INDEX(الموظفات!$E$5:$E$304,MATCH($B1500,الموظفات!$B$5:$B$304,0))&amp;"",""))</f>
        <v/>
      </c>
      <c r="O1500" s="21">
        <f>IF(C1500="","",IFERROR(INDEX(الإعدادات!$D$7:$D$35,MATCH(C1500,الإعدادات!$A$7:$A$35,0))&amp;"",""))</f>
        <v/>
      </c>
      <c r="P1500" s="20">
        <f>IF(A1500="","",INDEX(الإعدادات!$H$7:$H$18,MONTH(A1500)))</f>
        <v/>
      </c>
      <c r="Q1500" s="20">
        <f>IF(A1500="","",INDEX(الإعدادات!$I$7:$I$18,MONTH(A1500)))</f>
        <v/>
      </c>
      <c r="R1500" s="20">
        <f>IF(A1500="","",IF(MONTH(A1500)&gt;=8,YEAR(A1500)&amp;"-"&amp;(YEAR(A1500)+1),(YEAR(A1500)-1)&amp;"-"&amp;YEAR(A1500)))</f>
        <v/>
      </c>
      <c r="S1500" s="20">
        <f>IF(OR(A1500="",B1500=""),0,IF(AND(R1500=التقارير!$C$4,OR(التقارير!$C$5="سنوي",AND(التقارير!$C$5="شهري",P1500=التقارير!$C$6),AND(التقارير!$C$5="فصلي",Q1500=التقارير!$C$7))),1,0))</f>
        <v/>
      </c>
      <c r="T1500" s="20">
        <f>IF(S1500=1,COUNTIF($S$5:S1500,1),"")</f>
        <v/>
      </c>
      <c r="U1500">
        <f>IF(AND($A1500&lt;&gt;"",$B1500&lt;&gt;"",$R1500='تقرير الفصل الأول'!$C$4,$Q1500='تقرير الفصل الأول'!$C$7),COUNT(U$4:U1499)+1,"")</f>
        <v/>
      </c>
      <c r="V1500">
        <f>IF(AND($A1500&lt;&gt;"",$B1500&lt;&gt;"",$R1500='تقرير الفصل الثاني'!$C$4,$Q1500='تقرير الفصل الثاني'!$C$7),COUNT(V$4:V1499)+1,"")</f>
        <v/>
      </c>
      <c r="W1500">
        <f>IF(AND($A1500&lt;&gt;"",$B1500&lt;&gt;"",$R1500='تقرير سبتمبر'!$C$4,$P1500='تقرير سبتمبر'!$C$6),COUNT(W$4:W1499)+1,"")</f>
        <v/>
      </c>
      <c r="X1500">
        <f>IF(AND($A1500&lt;&gt;"",$B1500&lt;&gt;"",$R1500='تقرير أكتوبر'!$C$4,$P1500='تقرير أكتوبر'!$C$6),COUNT(X$4:X1499)+1,"")</f>
        <v/>
      </c>
      <c r="Y1500">
        <f>IF(AND($A1500&lt;&gt;"",$B1500&lt;&gt;"",$R1500='تقرير نوفمبر'!$C$4,$P1500='تقرير نوفمبر'!$C$6),COUNT(Y$4:Y1499)+1,"")</f>
        <v/>
      </c>
      <c r="Z1500">
        <f>IF(AND($A1500&lt;&gt;"",$B1500&lt;&gt;"",$R1500='تقرير ديسمبر'!$C$4,$P1500='تقرير ديسمبر'!$C$6),COUNT(Z$4:Z1499)+1,"")</f>
        <v/>
      </c>
      <c r="AA1500">
        <f>IF(AND($A1500&lt;&gt;"",$B1500&lt;&gt;"",$R1500='تقرير يناير'!$C$4,$P1500='تقرير يناير'!$C$6),COUNT(AA$4:AA1499)+1,"")</f>
        <v/>
      </c>
      <c r="AB1500">
        <f>IF(AND($A1500&lt;&gt;"",$B1500&lt;&gt;"",$R1500='تقرير فبراير'!$C$4,$P1500='تقرير فبراير'!$C$6),COUNT(AB$4:AB1499)+1,"")</f>
        <v/>
      </c>
      <c r="AC1500">
        <f>IF(AND($A1500&lt;&gt;"",$B1500&lt;&gt;"",$R1500='تقرير مارس'!$C$4,$P1500='تقرير مارس'!$C$6),COUNT(AC$4:AC1499)+1,"")</f>
        <v/>
      </c>
      <c r="AD1500">
        <f>IF(AND($A1500&lt;&gt;"",$B1500&lt;&gt;"",$R1500='تقرير أبريل'!$C$4,$P1500='تقرير أبريل'!$C$6),COUNT(AD$4:AD1499)+1,"")</f>
        <v/>
      </c>
      <c r="AE1500">
        <f>IF(AND($A1500&lt;&gt;"",$B1500&lt;&gt;"",$R1500='تقرير مايو'!$C$4,$P1500='تقرير مايو'!$C$6),COUNT(AE$4:AE1499)+1,"")</f>
        <v/>
      </c>
    </row>
    <row r="1501">
      <c r="A1501" s="16" t="n"/>
      <c r="B1501" s="17" t="n"/>
      <c r="C1501" s="17" t="n"/>
      <c r="D1501" s="18" t="n"/>
      <c r="E1501" s="17" t="n"/>
      <c r="F1501" s="17" t="n"/>
      <c r="G1501" s="19" t="n"/>
      <c r="H1501" s="17" t="n"/>
      <c r="I1501" s="17" t="n"/>
      <c r="J1501" s="17" t="n"/>
      <c r="K1501" s="20">
        <f>IF($B1501="","",IFERROR(INDEX(الموظفات!$A$5:$A$304,MATCH($B1501,الموظفات!$B$5:$B$304,0))&amp;"",""))</f>
        <v/>
      </c>
      <c r="L1501" s="21">
        <f>IF($B1501="","",IFERROR(INDEX(الموظفات!$C$5:$C$304,MATCH($B1501,الموظفات!$B$5:$B$304,0))&amp;"",""))</f>
        <v/>
      </c>
      <c r="M1501" s="20">
        <f>IF($B1501="","",IFERROR(INDEX(الموظفات!$D$5:$D$304,MATCH($B1501,الموظفات!$B$5:$B$304,0))&amp;"",""))</f>
        <v/>
      </c>
      <c r="N1501" s="20">
        <f>IF($B1501="","",IFERROR(INDEX(الموظفات!$E$5:$E$304,MATCH($B1501,الموظفات!$B$5:$B$304,0))&amp;"",""))</f>
        <v/>
      </c>
      <c r="O1501" s="21">
        <f>IF(C1501="","",IFERROR(INDEX(الإعدادات!$D$7:$D$35,MATCH(C1501,الإعدادات!$A$7:$A$35,0))&amp;"",""))</f>
        <v/>
      </c>
      <c r="P1501" s="20">
        <f>IF(A1501="","",INDEX(الإعدادات!$H$7:$H$18,MONTH(A1501)))</f>
        <v/>
      </c>
      <c r="Q1501" s="20">
        <f>IF(A1501="","",INDEX(الإعدادات!$I$7:$I$18,MONTH(A1501)))</f>
        <v/>
      </c>
      <c r="R1501" s="20">
        <f>IF(A1501="","",IF(MONTH(A1501)&gt;=8,YEAR(A1501)&amp;"-"&amp;(YEAR(A1501)+1),(YEAR(A1501)-1)&amp;"-"&amp;YEAR(A1501)))</f>
        <v/>
      </c>
      <c r="S1501" s="20">
        <f>IF(OR(A1501="",B1501=""),0,IF(AND(R1501=التقارير!$C$4,OR(التقارير!$C$5="سنوي",AND(التقارير!$C$5="شهري",P1501=التقارير!$C$6),AND(التقارير!$C$5="فصلي",Q1501=التقارير!$C$7))),1,0))</f>
        <v/>
      </c>
      <c r="T1501" s="20">
        <f>IF(S1501=1,COUNTIF($S$5:S1501,1),"")</f>
        <v/>
      </c>
      <c r="U1501">
        <f>IF(AND($A1501&lt;&gt;"",$B1501&lt;&gt;"",$R1501='تقرير الفصل الأول'!$C$4,$Q1501='تقرير الفصل الأول'!$C$7),COUNT(U$4:U1500)+1,"")</f>
        <v/>
      </c>
      <c r="V1501">
        <f>IF(AND($A1501&lt;&gt;"",$B1501&lt;&gt;"",$R1501='تقرير الفصل الثاني'!$C$4,$Q1501='تقرير الفصل الثاني'!$C$7),COUNT(V$4:V1500)+1,"")</f>
        <v/>
      </c>
      <c r="W1501">
        <f>IF(AND($A1501&lt;&gt;"",$B1501&lt;&gt;"",$R1501='تقرير سبتمبر'!$C$4,$P1501='تقرير سبتمبر'!$C$6),COUNT(W$4:W1500)+1,"")</f>
        <v/>
      </c>
      <c r="X1501">
        <f>IF(AND($A1501&lt;&gt;"",$B1501&lt;&gt;"",$R1501='تقرير أكتوبر'!$C$4,$P1501='تقرير أكتوبر'!$C$6),COUNT(X$4:X1500)+1,"")</f>
        <v/>
      </c>
      <c r="Y1501">
        <f>IF(AND($A1501&lt;&gt;"",$B1501&lt;&gt;"",$R1501='تقرير نوفمبر'!$C$4,$P1501='تقرير نوفمبر'!$C$6),COUNT(Y$4:Y1500)+1,"")</f>
        <v/>
      </c>
      <c r="Z1501">
        <f>IF(AND($A1501&lt;&gt;"",$B1501&lt;&gt;"",$R1501='تقرير ديسمبر'!$C$4,$P1501='تقرير ديسمبر'!$C$6),COUNT(Z$4:Z1500)+1,"")</f>
        <v/>
      </c>
      <c r="AA1501">
        <f>IF(AND($A1501&lt;&gt;"",$B1501&lt;&gt;"",$R1501='تقرير يناير'!$C$4,$P1501='تقرير يناير'!$C$6),COUNT(AA$4:AA1500)+1,"")</f>
        <v/>
      </c>
      <c r="AB1501">
        <f>IF(AND($A1501&lt;&gt;"",$B1501&lt;&gt;"",$R1501='تقرير فبراير'!$C$4,$P1501='تقرير فبراير'!$C$6),COUNT(AB$4:AB1500)+1,"")</f>
        <v/>
      </c>
      <c r="AC1501">
        <f>IF(AND($A1501&lt;&gt;"",$B1501&lt;&gt;"",$R1501='تقرير مارس'!$C$4,$P1501='تقرير مارس'!$C$6),COUNT(AC$4:AC1500)+1,"")</f>
        <v/>
      </c>
      <c r="AD1501">
        <f>IF(AND($A1501&lt;&gt;"",$B1501&lt;&gt;"",$R1501='تقرير أبريل'!$C$4,$P1501='تقرير أبريل'!$C$6),COUNT(AD$4:AD1500)+1,"")</f>
        <v/>
      </c>
      <c r="AE1501">
        <f>IF(AND($A1501&lt;&gt;"",$B1501&lt;&gt;"",$R1501='تقرير مايو'!$C$4,$P1501='تقرير مايو'!$C$6),COUNT(AE$4:AE1500)+1,"")</f>
        <v/>
      </c>
    </row>
    <row r="1502">
      <c r="A1502" s="16" t="n"/>
      <c r="B1502" s="17" t="n"/>
      <c r="C1502" s="17" t="n"/>
      <c r="D1502" s="18" t="n"/>
      <c r="E1502" s="17" t="n"/>
      <c r="F1502" s="17" t="n"/>
      <c r="G1502" s="19" t="n"/>
      <c r="H1502" s="17" t="n"/>
      <c r="I1502" s="17" t="n"/>
      <c r="J1502" s="17" t="n"/>
      <c r="K1502" s="20">
        <f>IF($B1502="","",IFERROR(INDEX(الموظفات!$A$5:$A$304,MATCH($B1502,الموظفات!$B$5:$B$304,0))&amp;"",""))</f>
        <v/>
      </c>
      <c r="L1502" s="21">
        <f>IF($B1502="","",IFERROR(INDEX(الموظفات!$C$5:$C$304,MATCH($B1502,الموظفات!$B$5:$B$304,0))&amp;"",""))</f>
        <v/>
      </c>
      <c r="M1502" s="20">
        <f>IF($B1502="","",IFERROR(INDEX(الموظفات!$D$5:$D$304,MATCH($B1502,الموظفات!$B$5:$B$304,0))&amp;"",""))</f>
        <v/>
      </c>
      <c r="N1502" s="20">
        <f>IF($B1502="","",IFERROR(INDEX(الموظفات!$E$5:$E$304,MATCH($B1502,الموظفات!$B$5:$B$304,0))&amp;"",""))</f>
        <v/>
      </c>
      <c r="O1502" s="21">
        <f>IF(C1502="","",IFERROR(INDEX(الإعدادات!$D$7:$D$35,MATCH(C1502,الإعدادات!$A$7:$A$35,0))&amp;"",""))</f>
        <v/>
      </c>
      <c r="P1502" s="20">
        <f>IF(A1502="","",INDEX(الإعدادات!$H$7:$H$18,MONTH(A1502)))</f>
        <v/>
      </c>
      <c r="Q1502" s="20">
        <f>IF(A1502="","",INDEX(الإعدادات!$I$7:$I$18,MONTH(A1502)))</f>
        <v/>
      </c>
      <c r="R1502" s="20">
        <f>IF(A1502="","",IF(MONTH(A1502)&gt;=8,YEAR(A1502)&amp;"-"&amp;(YEAR(A1502)+1),(YEAR(A1502)-1)&amp;"-"&amp;YEAR(A1502)))</f>
        <v/>
      </c>
      <c r="S1502" s="20">
        <f>IF(OR(A1502="",B1502=""),0,IF(AND(R1502=التقارير!$C$4,OR(التقارير!$C$5="سنوي",AND(التقارير!$C$5="شهري",P1502=التقارير!$C$6),AND(التقارير!$C$5="فصلي",Q1502=التقارير!$C$7))),1,0))</f>
        <v/>
      </c>
      <c r="T1502" s="20">
        <f>IF(S1502=1,COUNTIF($S$5:S1502,1),"")</f>
        <v/>
      </c>
      <c r="U1502">
        <f>IF(AND($A1502&lt;&gt;"",$B1502&lt;&gt;"",$R1502='تقرير الفصل الأول'!$C$4,$Q1502='تقرير الفصل الأول'!$C$7),COUNT(U$4:U1501)+1,"")</f>
        <v/>
      </c>
      <c r="V1502">
        <f>IF(AND($A1502&lt;&gt;"",$B1502&lt;&gt;"",$R1502='تقرير الفصل الثاني'!$C$4,$Q1502='تقرير الفصل الثاني'!$C$7),COUNT(V$4:V1501)+1,"")</f>
        <v/>
      </c>
      <c r="W1502">
        <f>IF(AND($A1502&lt;&gt;"",$B1502&lt;&gt;"",$R1502='تقرير سبتمبر'!$C$4,$P1502='تقرير سبتمبر'!$C$6),COUNT(W$4:W1501)+1,"")</f>
        <v/>
      </c>
      <c r="X1502">
        <f>IF(AND($A1502&lt;&gt;"",$B1502&lt;&gt;"",$R1502='تقرير أكتوبر'!$C$4,$P1502='تقرير أكتوبر'!$C$6),COUNT(X$4:X1501)+1,"")</f>
        <v/>
      </c>
      <c r="Y1502">
        <f>IF(AND($A1502&lt;&gt;"",$B1502&lt;&gt;"",$R1502='تقرير نوفمبر'!$C$4,$P1502='تقرير نوفمبر'!$C$6),COUNT(Y$4:Y1501)+1,"")</f>
        <v/>
      </c>
      <c r="Z1502">
        <f>IF(AND($A1502&lt;&gt;"",$B1502&lt;&gt;"",$R1502='تقرير ديسمبر'!$C$4,$P1502='تقرير ديسمبر'!$C$6),COUNT(Z$4:Z1501)+1,"")</f>
        <v/>
      </c>
      <c r="AA1502">
        <f>IF(AND($A1502&lt;&gt;"",$B1502&lt;&gt;"",$R1502='تقرير يناير'!$C$4,$P1502='تقرير يناير'!$C$6),COUNT(AA$4:AA1501)+1,"")</f>
        <v/>
      </c>
      <c r="AB1502">
        <f>IF(AND($A1502&lt;&gt;"",$B1502&lt;&gt;"",$R1502='تقرير فبراير'!$C$4,$P1502='تقرير فبراير'!$C$6),COUNT(AB$4:AB1501)+1,"")</f>
        <v/>
      </c>
      <c r="AC1502">
        <f>IF(AND($A1502&lt;&gt;"",$B1502&lt;&gt;"",$R1502='تقرير مارس'!$C$4,$P1502='تقرير مارس'!$C$6),COUNT(AC$4:AC1501)+1,"")</f>
        <v/>
      </c>
      <c r="AD1502">
        <f>IF(AND($A1502&lt;&gt;"",$B1502&lt;&gt;"",$R1502='تقرير أبريل'!$C$4,$P1502='تقرير أبريل'!$C$6),COUNT(AD$4:AD1501)+1,"")</f>
        <v/>
      </c>
      <c r="AE1502">
        <f>IF(AND($A1502&lt;&gt;"",$B1502&lt;&gt;"",$R1502='تقرير مايو'!$C$4,$P1502='تقرير مايو'!$C$6),COUNT(AE$4:AE1501)+1,"")</f>
        <v/>
      </c>
    </row>
    <row r="1503">
      <c r="A1503" s="16" t="n"/>
      <c r="B1503" s="17" t="n"/>
      <c r="C1503" s="17" t="n"/>
      <c r="D1503" s="18" t="n"/>
      <c r="E1503" s="17" t="n"/>
      <c r="F1503" s="17" t="n"/>
      <c r="G1503" s="19" t="n"/>
      <c r="H1503" s="17" t="n"/>
      <c r="I1503" s="17" t="n"/>
      <c r="J1503" s="17" t="n"/>
      <c r="K1503" s="20">
        <f>IF($B1503="","",IFERROR(INDEX(الموظفات!$A$5:$A$304,MATCH($B1503,الموظفات!$B$5:$B$304,0))&amp;"",""))</f>
        <v/>
      </c>
      <c r="L1503" s="21">
        <f>IF($B1503="","",IFERROR(INDEX(الموظفات!$C$5:$C$304,MATCH($B1503,الموظفات!$B$5:$B$304,0))&amp;"",""))</f>
        <v/>
      </c>
      <c r="M1503" s="20">
        <f>IF($B1503="","",IFERROR(INDEX(الموظفات!$D$5:$D$304,MATCH($B1503,الموظفات!$B$5:$B$304,0))&amp;"",""))</f>
        <v/>
      </c>
      <c r="N1503" s="20">
        <f>IF($B1503="","",IFERROR(INDEX(الموظفات!$E$5:$E$304,MATCH($B1503,الموظفات!$B$5:$B$304,0))&amp;"",""))</f>
        <v/>
      </c>
      <c r="O1503" s="21">
        <f>IF(C1503="","",IFERROR(INDEX(الإعدادات!$D$7:$D$35,MATCH(C1503,الإعدادات!$A$7:$A$35,0))&amp;"",""))</f>
        <v/>
      </c>
      <c r="P1503" s="20">
        <f>IF(A1503="","",INDEX(الإعدادات!$H$7:$H$18,MONTH(A1503)))</f>
        <v/>
      </c>
      <c r="Q1503" s="20">
        <f>IF(A1503="","",INDEX(الإعدادات!$I$7:$I$18,MONTH(A1503)))</f>
        <v/>
      </c>
      <c r="R1503" s="20">
        <f>IF(A1503="","",IF(MONTH(A1503)&gt;=8,YEAR(A1503)&amp;"-"&amp;(YEAR(A1503)+1),(YEAR(A1503)-1)&amp;"-"&amp;YEAR(A1503)))</f>
        <v/>
      </c>
      <c r="S1503" s="20">
        <f>IF(OR(A1503="",B1503=""),0,IF(AND(R1503=التقارير!$C$4,OR(التقارير!$C$5="سنوي",AND(التقارير!$C$5="شهري",P1503=التقارير!$C$6),AND(التقارير!$C$5="فصلي",Q1503=التقارير!$C$7))),1,0))</f>
        <v/>
      </c>
      <c r="T1503" s="20">
        <f>IF(S1503=1,COUNTIF($S$5:S1503,1),"")</f>
        <v/>
      </c>
      <c r="U1503">
        <f>IF(AND($A1503&lt;&gt;"",$B1503&lt;&gt;"",$R1503='تقرير الفصل الأول'!$C$4,$Q1503='تقرير الفصل الأول'!$C$7),COUNT(U$4:U1502)+1,"")</f>
        <v/>
      </c>
      <c r="V1503">
        <f>IF(AND($A1503&lt;&gt;"",$B1503&lt;&gt;"",$R1503='تقرير الفصل الثاني'!$C$4,$Q1503='تقرير الفصل الثاني'!$C$7),COUNT(V$4:V1502)+1,"")</f>
        <v/>
      </c>
      <c r="W1503">
        <f>IF(AND($A1503&lt;&gt;"",$B1503&lt;&gt;"",$R1503='تقرير سبتمبر'!$C$4,$P1503='تقرير سبتمبر'!$C$6),COUNT(W$4:W1502)+1,"")</f>
        <v/>
      </c>
      <c r="X1503">
        <f>IF(AND($A1503&lt;&gt;"",$B1503&lt;&gt;"",$R1503='تقرير أكتوبر'!$C$4,$P1503='تقرير أكتوبر'!$C$6),COUNT(X$4:X1502)+1,"")</f>
        <v/>
      </c>
      <c r="Y1503">
        <f>IF(AND($A1503&lt;&gt;"",$B1503&lt;&gt;"",$R1503='تقرير نوفمبر'!$C$4,$P1503='تقرير نوفمبر'!$C$6),COUNT(Y$4:Y1502)+1,"")</f>
        <v/>
      </c>
      <c r="Z1503">
        <f>IF(AND($A1503&lt;&gt;"",$B1503&lt;&gt;"",$R1503='تقرير ديسمبر'!$C$4,$P1503='تقرير ديسمبر'!$C$6),COUNT(Z$4:Z1502)+1,"")</f>
        <v/>
      </c>
      <c r="AA1503">
        <f>IF(AND($A1503&lt;&gt;"",$B1503&lt;&gt;"",$R1503='تقرير يناير'!$C$4,$P1503='تقرير يناير'!$C$6),COUNT(AA$4:AA1502)+1,"")</f>
        <v/>
      </c>
      <c r="AB1503">
        <f>IF(AND($A1503&lt;&gt;"",$B1503&lt;&gt;"",$R1503='تقرير فبراير'!$C$4,$P1503='تقرير فبراير'!$C$6),COUNT(AB$4:AB1502)+1,"")</f>
        <v/>
      </c>
      <c r="AC1503">
        <f>IF(AND($A1503&lt;&gt;"",$B1503&lt;&gt;"",$R1503='تقرير مارس'!$C$4,$P1503='تقرير مارس'!$C$6),COUNT(AC$4:AC1502)+1,"")</f>
        <v/>
      </c>
      <c r="AD1503">
        <f>IF(AND($A1503&lt;&gt;"",$B1503&lt;&gt;"",$R1503='تقرير أبريل'!$C$4,$P1503='تقرير أبريل'!$C$6),COUNT(AD$4:AD1502)+1,"")</f>
        <v/>
      </c>
      <c r="AE1503">
        <f>IF(AND($A1503&lt;&gt;"",$B1503&lt;&gt;"",$R1503='تقرير مايو'!$C$4,$P1503='تقرير مايو'!$C$6),COUNT(AE$4:AE1502)+1,"")</f>
        <v/>
      </c>
    </row>
    <row r="1504">
      <c r="A1504" s="16" t="n"/>
      <c r="B1504" s="17" t="n"/>
      <c r="C1504" s="17" t="n"/>
      <c r="D1504" s="18" t="n"/>
      <c r="E1504" s="17" t="n"/>
      <c r="F1504" s="17" t="n"/>
      <c r="G1504" s="19" t="n"/>
      <c r="H1504" s="17" t="n"/>
      <c r="I1504" s="17" t="n"/>
      <c r="J1504" s="17" t="n"/>
      <c r="K1504" s="20">
        <f>IF($B1504="","",IFERROR(INDEX(الموظفات!$A$5:$A$304,MATCH($B1504,الموظفات!$B$5:$B$304,0))&amp;"",""))</f>
        <v/>
      </c>
      <c r="L1504" s="21">
        <f>IF($B1504="","",IFERROR(INDEX(الموظفات!$C$5:$C$304,MATCH($B1504,الموظفات!$B$5:$B$304,0))&amp;"",""))</f>
        <v/>
      </c>
      <c r="M1504" s="20">
        <f>IF($B1504="","",IFERROR(INDEX(الموظفات!$D$5:$D$304,MATCH($B1504,الموظفات!$B$5:$B$304,0))&amp;"",""))</f>
        <v/>
      </c>
      <c r="N1504" s="20">
        <f>IF($B1504="","",IFERROR(INDEX(الموظفات!$E$5:$E$304,MATCH($B1504,الموظفات!$B$5:$B$304,0))&amp;"",""))</f>
        <v/>
      </c>
      <c r="O1504" s="21">
        <f>IF(C1504="","",IFERROR(INDEX(الإعدادات!$D$7:$D$35,MATCH(C1504,الإعدادات!$A$7:$A$35,0))&amp;"",""))</f>
        <v/>
      </c>
      <c r="P1504" s="20">
        <f>IF(A1504="","",INDEX(الإعدادات!$H$7:$H$18,MONTH(A1504)))</f>
        <v/>
      </c>
      <c r="Q1504" s="20">
        <f>IF(A1504="","",INDEX(الإعدادات!$I$7:$I$18,MONTH(A1504)))</f>
        <v/>
      </c>
      <c r="R1504" s="20">
        <f>IF(A1504="","",IF(MONTH(A1504)&gt;=8,YEAR(A1504)&amp;"-"&amp;(YEAR(A1504)+1),(YEAR(A1504)-1)&amp;"-"&amp;YEAR(A1504)))</f>
        <v/>
      </c>
      <c r="S1504" s="20">
        <f>IF(OR(A1504="",B1504=""),0,IF(AND(R1504=التقارير!$C$4,OR(التقارير!$C$5="سنوي",AND(التقارير!$C$5="شهري",P1504=التقارير!$C$6),AND(التقارير!$C$5="فصلي",Q1504=التقارير!$C$7))),1,0))</f>
        <v/>
      </c>
      <c r="T1504" s="20">
        <f>IF(S1504=1,COUNTIF($S$5:S1504,1),"")</f>
        <v/>
      </c>
      <c r="U1504">
        <f>IF(AND($A1504&lt;&gt;"",$B1504&lt;&gt;"",$R1504='تقرير الفصل الأول'!$C$4,$Q1504='تقرير الفصل الأول'!$C$7),COUNT(U$4:U1503)+1,"")</f>
        <v/>
      </c>
      <c r="V1504">
        <f>IF(AND($A1504&lt;&gt;"",$B1504&lt;&gt;"",$R1504='تقرير الفصل الثاني'!$C$4,$Q1504='تقرير الفصل الثاني'!$C$7),COUNT(V$4:V1503)+1,"")</f>
        <v/>
      </c>
      <c r="W1504">
        <f>IF(AND($A1504&lt;&gt;"",$B1504&lt;&gt;"",$R1504='تقرير سبتمبر'!$C$4,$P1504='تقرير سبتمبر'!$C$6),COUNT(W$4:W1503)+1,"")</f>
        <v/>
      </c>
      <c r="X1504">
        <f>IF(AND($A1504&lt;&gt;"",$B1504&lt;&gt;"",$R1504='تقرير أكتوبر'!$C$4,$P1504='تقرير أكتوبر'!$C$6),COUNT(X$4:X1503)+1,"")</f>
        <v/>
      </c>
      <c r="Y1504">
        <f>IF(AND($A1504&lt;&gt;"",$B1504&lt;&gt;"",$R1504='تقرير نوفمبر'!$C$4,$P1504='تقرير نوفمبر'!$C$6),COUNT(Y$4:Y1503)+1,"")</f>
        <v/>
      </c>
      <c r="Z1504">
        <f>IF(AND($A1504&lt;&gt;"",$B1504&lt;&gt;"",$R1504='تقرير ديسمبر'!$C$4,$P1504='تقرير ديسمبر'!$C$6),COUNT(Z$4:Z1503)+1,"")</f>
        <v/>
      </c>
      <c r="AA1504">
        <f>IF(AND($A1504&lt;&gt;"",$B1504&lt;&gt;"",$R1504='تقرير يناير'!$C$4,$P1504='تقرير يناير'!$C$6),COUNT(AA$4:AA1503)+1,"")</f>
        <v/>
      </c>
      <c r="AB1504">
        <f>IF(AND($A1504&lt;&gt;"",$B1504&lt;&gt;"",$R1504='تقرير فبراير'!$C$4,$P1504='تقرير فبراير'!$C$6),COUNT(AB$4:AB1503)+1,"")</f>
        <v/>
      </c>
      <c r="AC1504">
        <f>IF(AND($A1504&lt;&gt;"",$B1504&lt;&gt;"",$R1504='تقرير مارس'!$C$4,$P1504='تقرير مارس'!$C$6),COUNT(AC$4:AC1503)+1,"")</f>
        <v/>
      </c>
      <c r="AD1504">
        <f>IF(AND($A1504&lt;&gt;"",$B1504&lt;&gt;"",$R1504='تقرير أبريل'!$C$4,$P1504='تقرير أبريل'!$C$6),COUNT(AD$4:AD1503)+1,"")</f>
        <v/>
      </c>
      <c r="AE1504">
        <f>IF(AND($A1504&lt;&gt;"",$B1504&lt;&gt;"",$R1504='تقرير مايو'!$C$4,$P1504='تقرير مايو'!$C$6),COUNT(AE$4:AE1503)+1,"")</f>
        <v/>
      </c>
    </row>
    <row r="1505">
      <c r="A1505" s="16" t="n"/>
      <c r="B1505" s="17" t="n"/>
      <c r="C1505" s="17" t="n"/>
      <c r="D1505" s="18" t="n"/>
      <c r="E1505" s="17" t="n"/>
      <c r="F1505" s="17" t="n"/>
      <c r="G1505" s="19" t="n"/>
      <c r="H1505" s="17" t="n"/>
      <c r="I1505" s="17" t="n"/>
      <c r="J1505" s="17" t="n"/>
      <c r="K1505" s="20">
        <f>IF($B1505="","",IFERROR(INDEX(الموظفات!$A$5:$A$304,MATCH($B1505,الموظفات!$B$5:$B$304,0))&amp;"",""))</f>
        <v/>
      </c>
      <c r="L1505" s="21">
        <f>IF($B1505="","",IFERROR(INDEX(الموظفات!$C$5:$C$304,MATCH($B1505,الموظفات!$B$5:$B$304,0))&amp;"",""))</f>
        <v/>
      </c>
      <c r="M1505" s="20">
        <f>IF($B1505="","",IFERROR(INDEX(الموظفات!$D$5:$D$304,MATCH($B1505,الموظفات!$B$5:$B$304,0))&amp;"",""))</f>
        <v/>
      </c>
      <c r="N1505" s="20">
        <f>IF($B1505="","",IFERROR(INDEX(الموظفات!$E$5:$E$304,MATCH($B1505,الموظفات!$B$5:$B$304,0))&amp;"",""))</f>
        <v/>
      </c>
      <c r="O1505" s="21">
        <f>IF(C1505="","",IFERROR(INDEX(الإعدادات!$D$7:$D$35,MATCH(C1505,الإعدادات!$A$7:$A$35,0))&amp;"",""))</f>
        <v/>
      </c>
      <c r="P1505" s="20">
        <f>IF(A1505="","",INDEX(الإعدادات!$H$7:$H$18,MONTH(A1505)))</f>
        <v/>
      </c>
      <c r="Q1505" s="20">
        <f>IF(A1505="","",INDEX(الإعدادات!$I$7:$I$18,MONTH(A1505)))</f>
        <v/>
      </c>
      <c r="R1505" s="20">
        <f>IF(A1505="","",IF(MONTH(A1505)&gt;=8,YEAR(A1505)&amp;"-"&amp;(YEAR(A1505)+1),(YEAR(A1505)-1)&amp;"-"&amp;YEAR(A1505)))</f>
        <v/>
      </c>
      <c r="S1505" s="20">
        <f>IF(OR(A1505="",B1505=""),0,IF(AND(R1505=التقارير!$C$4,OR(التقارير!$C$5="سنوي",AND(التقارير!$C$5="شهري",P1505=التقارير!$C$6),AND(التقارير!$C$5="فصلي",Q1505=التقارير!$C$7))),1,0))</f>
        <v/>
      </c>
      <c r="T1505" s="20">
        <f>IF(S1505=1,COUNTIF($S$5:S1505,1),"")</f>
        <v/>
      </c>
      <c r="U1505">
        <f>IF(AND($A1505&lt;&gt;"",$B1505&lt;&gt;"",$R1505='تقرير الفصل الأول'!$C$4,$Q1505='تقرير الفصل الأول'!$C$7),COUNT(U$4:U1504)+1,"")</f>
        <v/>
      </c>
      <c r="V1505">
        <f>IF(AND($A1505&lt;&gt;"",$B1505&lt;&gt;"",$R1505='تقرير الفصل الثاني'!$C$4,$Q1505='تقرير الفصل الثاني'!$C$7),COUNT(V$4:V1504)+1,"")</f>
        <v/>
      </c>
      <c r="W1505">
        <f>IF(AND($A1505&lt;&gt;"",$B1505&lt;&gt;"",$R1505='تقرير سبتمبر'!$C$4,$P1505='تقرير سبتمبر'!$C$6),COUNT(W$4:W1504)+1,"")</f>
        <v/>
      </c>
      <c r="X1505">
        <f>IF(AND($A1505&lt;&gt;"",$B1505&lt;&gt;"",$R1505='تقرير أكتوبر'!$C$4,$P1505='تقرير أكتوبر'!$C$6),COUNT(X$4:X1504)+1,"")</f>
        <v/>
      </c>
      <c r="Y1505">
        <f>IF(AND($A1505&lt;&gt;"",$B1505&lt;&gt;"",$R1505='تقرير نوفمبر'!$C$4,$P1505='تقرير نوفمبر'!$C$6),COUNT(Y$4:Y1504)+1,"")</f>
        <v/>
      </c>
      <c r="Z1505">
        <f>IF(AND($A1505&lt;&gt;"",$B1505&lt;&gt;"",$R1505='تقرير ديسمبر'!$C$4,$P1505='تقرير ديسمبر'!$C$6),COUNT(Z$4:Z1504)+1,"")</f>
        <v/>
      </c>
      <c r="AA1505">
        <f>IF(AND($A1505&lt;&gt;"",$B1505&lt;&gt;"",$R1505='تقرير يناير'!$C$4,$P1505='تقرير يناير'!$C$6),COUNT(AA$4:AA1504)+1,"")</f>
        <v/>
      </c>
      <c r="AB1505">
        <f>IF(AND($A1505&lt;&gt;"",$B1505&lt;&gt;"",$R1505='تقرير فبراير'!$C$4,$P1505='تقرير فبراير'!$C$6),COUNT(AB$4:AB1504)+1,"")</f>
        <v/>
      </c>
      <c r="AC1505">
        <f>IF(AND($A1505&lt;&gt;"",$B1505&lt;&gt;"",$R1505='تقرير مارس'!$C$4,$P1505='تقرير مارس'!$C$6),COUNT(AC$4:AC1504)+1,"")</f>
        <v/>
      </c>
      <c r="AD1505">
        <f>IF(AND($A1505&lt;&gt;"",$B1505&lt;&gt;"",$R1505='تقرير أبريل'!$C$4,$P1505='تقرير أبريل'!$C$6),COUNT(AD$4:AD1504)+1,"")</f>
        <v/>
      </c>
      <c r="AE1505">
        <f>IF(AND($A1505&lt;&gt;"",$B1505&lt;&gt;"",$R1505='تقرير مايو'!$C$4,$P1505='تقرير مايو'!$C$6),COUNT(AE$4:AE1504)+1,"")</f>
        <v/>
      </c>
    </row>
    <row r="1506">
      <c r="A1506" s="16" t="n"/>
      <c r="B1506" s="17" t="n"/>
      <c r="C1506" s="17" t="n"/>
      <c r="D1506" s="18" t="n"/>
      <c r="E1506" s="17" t="n"/>
      <c r="F1506" s="17" t="n"/>
      <c r="G1506" s="19" t="n"/>
      <c r="H1506" s="17" t="n"/>
      <c r="I1506" s="17" t="n"/>
      <c r="J1506" s="17" t="n"/>
      <c r="K1506" s="20">
        <f>IF($B1506="","",IFERROR(INDEX(الموظفات!$A$5:$A$304,MATCH($B1506,الموظفات!$B$5:$B$304,0))&amp;"",""))</f>
        <v/>
      </c>
      <c r="L1506" s="21">
        <f>IF($B1506="","",IFERROR(INDEX(الموظفات!$C$5:$C$304,MATCH($B1506,الموظفات!$B$5:$B$304,0))&amp;"",""))</f>
        <v/>
      </c>
      <c r="M1506" s="20">
        <f>IF($B1506="","",IFERROR(INDEX(الموظفات!$D$5:$D$304,MATCH($B1506,الموظفات!$B$5:$B$304,0))&amp;"",""))</f>
        <v/>
      </c>
      <c r="N1506" s="20">
        <f>IF($B1506="","",IFERROR(INDEX(الموظفات!$E$5:$E$304,MATCH($B1506,الموظفات!$B$5:$B$304,0))&amp;"",""))</f>
        <v/>
      </c>
      <c r="O1506" s="21">
        <f>IF(C1506="","",IFERROR(INDEX(الإعدادات!$D$7:$D$35,MATCH(C1506,الإعدادات!$A$7:$A$35,0))&amp;"",""))</f>
        <v/>
      </c>
      <c r="P1506" s="20">
        <f>IF(A1506="","",INDEX(الإعدادات!$H$7:$H$18,MONTH(A1506)))</f>
        <v/>
      </c>
      <c r="Q1506" s="20">
        <f>IF(A1506="","",INDEX(الإعدادات!$I$7:$I$18,MONTH(A1506)))</f>
        <v/>
      </c>
      <c r="R1506" s="20">
        <f>IF(A1506="","",IF(MONTH(A1506)&gt;=8,YEAR(A1506)&amp;"-"&amp;(YEAR(A1506)+1),(YEAR(A1506)-1)&amp;"-"&amp;YEAR(A1506)))</f>
        <v/>
      </c>
      <c r="S1506" s="20">
        <f>IF(OR(A1506="",B1506=""),0,IF(AND(R1506=التقارير!$C$4,OR(التقارير!$C$5="سنوي",AND(التقارير!$C$5="شهري",P1506=التقارير!$C$6),AND(التقارير!$C$5="فصلي",Q1506=التقارير!$C$7))),1,0))</f>
        <v/>
      </c>
      <c r="T1506" s="20">
        <f>IF(S1506=1,COUNTIF($S$5:S1506,1),"")</f>
        <v/>
      </c>
      <c r="U1506">
        <f>IF(AND($A1506&lt;&gt;"",$B1506&lt;&gt;"",$R1506='تقرير الفصل الأول'!$C$4,$Q1506='تقرير الفصل الأول'!$C$7),COUNT(U$4:U1505)+1,"")</f>
        <v/>
      </c>
      <c r="V1506">
        <f>IF(AND($A1506&lt;&gt;"",$B1506&lt;&gt;"",$R1506='تقرير الفصل الثاني'!$C$4,$Q1506='تقرير الفصل الثاني'!$C$7),COUNT(V$4:V1505)+1,"")</f>
        <v/>
      </c>
      <c r="W1506">
        <f>IF(AND($A1506&lt;&gt;"",$B1506&lt;&gt;"",$R1506='تقرير سبتمبر'!$C$4,$P1506='تقرير سبتمبر'!$C$6),COUNT(W$4:W1505)+1,"")</f>
        <v/>
      </c>
      <c r="X1506">
        <f>IF(AND($A1506&lt;&gt;"",$B1506&lt;&gt;"",$R1506='تقرير أكتوبر'!$C$4,$P1506='تقرير أكتوبر'!$C$6),COUNT(X$4:X1505)+1,"")</f>
        <v/>
      </c>
      <c r="Y1506">
        <f>IF(AND($A1506&lt;&gt;"",$B1506&lt;&gt;"",$R1506='تقرير نوفمبر'!$C$4,$P1506='تقرير نوفمبر'!$C$6),COUNT(Y$4:Y1505)+1,"")</f>
        <v/>
      </c>
      <c r="Z1506">
        <f>IF(AND($A1506&lt;&gt;"",$B1506&lt;&gt;"",$R1506='تقرير ديسمبر'!$C$4,$P1506='تقرير ديسمبر'!$C$6),COUNT(Z$4:Z1505)+1,"")</f>
        <v/>
      </c>
      <c r="AA1506">
        <f>IF(AND($A1506&lt;&gt;"",$B1506&lt;&gt;"",$R1506='تقرير يناير'!$C$4,$P1506='تقرير يناير'!$C$6),COUNT(AA$4:AA1505)+1,"")</f>
        <v/>
      </c>
      <c r="AB1506">
        <f>IF(AND($A1506&lt;&gt;"",$B1506&lt;&gt;"",$R1506='تقرير فبراير'!$C$4,$P1506='تقرير فبراير'!$C$6),COUNT(AB$4:AB1505)+1,"")</f>
        <v/>
      </c>
      <c r="AC1506">
        <f>IF(AND($A1506&lt;&gt;"",$B1506&lt;&gt;"",$R1506='تقرير مارس'!$C$4,$P1506='تقرير مارس'!$C$6),COUNT(AC$4:AC1505)+1,"")</f>
        <v/>
      </c>
      <c r="AD1506">
        <f>IF(AND($A1506&lt;&gt;"",$B1506&lt;&gt;"",$R1506='تقرير أبريل'!$C$4,$P1506='تقرير أبريل'!$C$6),COUNT(AD$4:AD1505)+1,"")</f>
        <v/>
      </c>
      <c r="AE1506">
        <f>IF(AND($A1506&lt;&gt;"",$B1506&lt;&gt;"",$R1506='تقرير مايو'!$C$4,$P1506='تقرير مايو'!$C$6),COUNT(AE$4:AE1505)+1,"")</f>
        <v/>
      </c>
    </row>
    <row r="1507">
      <c r="A1507" s="16" t="n"/>
      <c r="B1507" s="17" t="n"/>
      <c r="C1507" s="17" t="n"/>
      <c r="D1507" s="18" t="n"/>
      <c r="E1507" s="17" t="n"/>
      <c r="F1507" s="17" t="n"/>
      <c r="G1507" s="19" t="n"/>
      <c r="H1507" s="17" t="n"/>
      <c r="I1507" s="17" t="n"/>
      <c r="J1507" s="17" t="n"/>
      <c r="K1507" s="20">
        <f>IF($B1507="","",IFERROR(INDEX(الموظفات!$A$5:$A$304,MATCH($B1507,الموظفات!$B$5:$B$304,0))&amp;"",""))</f>
        <v/>
      </c>
      <c r="L1507" s="21">
        <f>IF($B1507="","",IFERROR(INDEX(الموظفات!$C$5:$C$304,MATCH($B1507,الموظفات!$B$5:$B$304,0))&amp;"",""))</f>
        <v/>
      </c>
      <c r="M1507" s="20">
        <f>IF($B1507="","",IFERROR(INDEX(الموظفات!$D$5:$D$304,MATCH($B1507,الموظفات!$B$5:$B$304,0))&amp;"",""))</f>
        <v/>
      </c>
      <c r="N1507" s="20">
        <f>IF($B1507="","",IFERROR(INDEX(الموظفات!$E$5:$E$304,MATCH($B1507,الموظفات!$B$5:$B$304,0))&amp;"",""))</f>
        <v/>
      </c>
      <c r="O1507" s="21">
        <f>IF(C1507="","",IFERROR(INDEX(الإعدادات!$D$7:$D$35,MATCH(C1507,الإعدادات!$A$7:$A$35,0))&amp;"",""))</f>
        <v/>
      </c>
      <c r="P1507" s="20">
        <f>IF(A1507="","",INDEX(الإعدادات!$H$7:$H$18,MONTH(A1507)))</f>
        <v/>
      </c>
      <c r="Q1507" s="20">
        <f>IF(A1507="","",INDEX(الإعدادات!$I$7:$I$18,MONTH(A1507)))</f>
        <v/>
      </c>
      <c r="R1507" s="20">
        <f>IF(A1507="","",IF(MONTH(A1507)&gt;=8,YEAR(A1507)&amp;"-"&amp;(YEAR(A1507)+1),(YEAR(A1507)-1)&amp;"-"&amp;YEAR(A1507)))</f>
        <v/>
      </c>
      <c r="S1507" s="20">
        <f>IF(OR(A1507="",B1507=""),0,IF(AND(R1507=التقارير!$C$4,OR(التقارير!$C$5="سنوي",AND(التقارير!$C$5="شهري",P1507=التقارير!$C$6),AND(التقارير!$C$5="فصلي",Q1507=التقارير!$C$7))),1,0))</f>
        <v/>
      </c>
      <c r="T1507" s="20">
        <f>IF(S1507=1,COUNTIF($S$5:S1507,1),"")</f>
        <v/>
      </c>
      <c r="U1507">
        <f>IF(AND($A1507&lt;&gt;"",$B1507&lt;&gt;"",$R1507='تقرير الفصل الأول'!$C$4,$Q1507='تقرير الفصل الأول'!$C$7),COUNT(U$4:U1506)+1,"")</f>
        <v/>
      </c>
      <c r="V1507">
        <f>IF(AND($A1507&lt;&gt;"",$B1507&lt;&gt;"",$R1507='تقرير الفصل الثاني'!$C$4,$Q1507='تقرير الفصل الثاني'!$C$7),COUNT(V$4:V1506)+1,"")</f>
        <v/>
      </c>
      <c r="W1507">
        <f>IF(AND($A1507&lt;&gt;"",$B1507&lt;&gt;"",$R1507='تقرير سبتمبر'!$C$4,$P1507='تقرير سبتمبر'!$C$6),COUNT(W$4:W1506)+1,"")</f>
        <v/>
      </c>
      <c r="X1507">
        <f>IF(AND($A1507&lt;&gt;"",$B1507&lt;&gt;"",$R1507='تقرير أكتوبر'!$C$4,$P1507='تقرير أكتوبر'!$C$6),COUNT(X$4:X1506)+1,"")</f>
        <v/>
      </c>
      <c r="Y1507">
        <f>IF(AND($A1507&lt;&gt;"",$B1507&lt;&gt;"",$R1507='تقرير نوفمبر'!$C$4,$P1507='تقرير نوفمبر'!$C$6),COUNT(Y$4:Y1506)+1,"")</f>
        <v/>
      </c>
      <c r="Z1507">
        <f>IF(AND($A1507&lt;&gt;"",$B1507&lt;&gt;"",$R1507='تقرير ديسمبر'!$C$4,$P1507='تقرير ديسمبر'!$C$6),COUNT(Z$4:Z1506)+1,"")</f>
        <v/>
      </c>
      <c r="AA1507">
        <f>IF(AND($A1507&lt;&gt;"",$B1507&lt;&gt;"",$R1507='تقرير يناير'!$C$4,$P1507='تقرير يناير'!$C$6),COUNT(AA$4:AA1506)+1,"")</f>
        <v/>
      </c>
      <c r="AB1507">
        <f>IF(AND($A1507&lt;&gt;"",$B1507&lt;&gt;"",$R1507='تقرير فبراير'!$C$4,$P1507='تقرير فبراير'!$C$6),COUNT(AB$4:AB1506)+1,"")</f>
        <v/>
      </c>
      <c r="AC1507">
        <f>IF(AND($A1507&lt;&gt;"",$B1507&lt;&gt;"",$R1507='تقرير مارس'!$C$4,$P1507='تقرير مارس'!$C$6),COUNT(AC$4:AC1506)+1,"")</f>
        <v/>
      </c>
      <c r="AD1507">
        <f>IF(AND($A1507&lt;&gt;"",$B1507&lt;&gt;"",$R1507='تقرير أبريل'!$C$4,$P1507='تقرير أبريل'!$C$6),COUNT(AD$4:AD1506)+1,"")</f>
        <v/>
      </c>
      <c r="AE1507">
        <f>IF(AND($A1507&lt;&gt;"",$B1507&lt;&gt;"",$R1507='تقرير مايو'!$C$4,$P1507='تقرير مايو'!$C$6),COUNT(AE$4:AE1506)+1,"")</f>
        <v/>
      </c>
    </row>
    <row r="1508">
      <c r="A1508" s="16" t="n"/>
      <c r="B1508" s="17" t="n"/>
      <c r="C1508" s="17" t="n"/>
      <c r="D1508" s="18" t="n"/>
      <c r="E1508" s="17" t="n"/>
      <c r="F1508" s="17" t="n"/>
      <c r="G1508" s="19" t="n"/>
      <c r="H1508" s="17" t="n"/>
      <c r="I1508" s="17" t="n"/>
      <c r="J1508" s="17" t="n"/>
      <c r="K1508" s="20">
        <f>IF($B1508="","",IFERROR(INDEX(الموظفات!$A$5:$A$304,MATCH($B1508,الموظفات!$B$5:$B$304,0))&amp;"",""))</f>
        <v/>
      </c>
      <c r="L1508" s="21">
        <f>IF($B1508="","",IFERROR(INDEX(الموظفات!$C$5:$C$304,MATCH($B1508,الموظفات!$B$5:$B$304,0))&amp;"",""))</f>
        <v/>
      </c>
      <c r="M1508" s="20">
        <f>IF($B1508="","",IFERROR(INDEX(الموظفات!$D$5:$D$304,MATCH($B1508,الموظفات!$B$5:$B$304,0))&amp;"",""))</f>
        <v/>
      </c>
      <c r="N1508" s="20">
        <f>IF($B1508="","",IFERROR(INDEX(الموظفات!$E$5:$E$304,MATCH($B1508,الموظفات!$B$5:$B$304,0))&amp;"",""))</f>
        <v/>
      </c>
      <c r="O1508" s="21">
        <f>IF(C1508="","",IFERROR(INDEX(الإعدادات!$D$7:$D$35,MATCH(C1508,الإعدادات!$A$7:$A$35,0))&amp;"",""))</f>
        <v/>
      </c>
      <c r="P1508" s="20">
        <f>IF(A1508="","",INDEX(الإعدادات!$H$7:$H$18,MONTH(A1508)))</f>
        <v/>
      </c>
      <c r="Q1508" s="20">
        <f>IF(A1508="","",INDEX(الإعدادات!$I$7:$I$18,MONTH(A1508)))</f>
        <v/>
      </c>
      <c r="R1508" s="20">
        <f>IF(A1508="","",IF(MONTH(A1508)&gt;=8,YEAR(A1508)&amp;"-"&amp;(YEAR(A1508)+1),(YEAR(A1508)-1)&amp;"-"&amp;YEAR(A1508)))</f>
        <v/>
      </c>
      <c r="S1508" s="20">
        <f>IF(OR(A1508="",B1508=""),0,IF(AND(R1508=التقارير!$C$4,OR(التقارير!$C$5="سنوي",AND(التقارير!$C$5="شهري",P1508=التقارير!$C$6),AND(التقارير!$C$5="فصلي",Q1508=التقارير!$C$7))),1,0))</f>
        <v/>
      </c>
      <c r="T1508" s="20">
        <f>IF(S1508=1,COUNTIF($S$5:S1508,1),"")</f>
        <v/>
      </c>
      <c r="U1508">
        <f>IF(AND($A1508&lt;&gt;"",$B1508&lt;&gt;"",$R1508='تقرير الفصل الأول'!$C$4,$Q1508='تقرير الفصل الأول'!$C$7),COUNT(U$4:U1507)+1,"")</f>
        <v/>
      </c>
      <c r="V1508">
        <f>IF(AND($A1508&lt;&gt;"",$B1508&lt;&gt;"",$R1508='تقرير الفصل الثاني'!$C$4,$Q1508='تقرير الفصل الثاني'!$C$7),COUNT(V$4:V1507)+1,"")</f>
        <v/>
      </c>
      <c r="W1508">
        <f>IF(AND($A1508&lt;&gt;"",$B1508&lt;&gt;"",$R1508='تقرير سبتمبر'!$C$4,$P1508='تقرير سبتمبر'!$C$6),COUNT(W$4:W1507)+1,"")</f>
        <v/>
      </c>
      <c r="X1508">
        <f>IF(AND($A1508&lt;&gt;"",$B1508&lt;&gt;"",$R1508='تقرير أكتوبر'!$C$4,$P1508='تقرير أكتوبر'!$C$6),COUNT(X$4:X1507)+1,"")</f>
        <v/>
      </c>
      <c r="Y1508">
        <f>IF(AND($A1508&lt;&gt;"",$B1508&lt;&gt;"",$R1508='تقرير نوفمبر'!$C$4,$P1508='تقرير نوفمبر'!$C$6),COUNT(Y$4:Y1507)+1,"")</f>
        <v/>
      </c>
      <c r="Z1508">
        <f>IF(AND($A1508&lt;&gt;"",$B1508&lt;&gt;"",$R1508='تقرير ديسمبر'!$C$4,$P1508='تقرير ديسمبر'!$C$6),COUNT(Z$4:Z1507)+1,"")</f>
        <v/>
      </c>
      <c r="AA1508">
        <f>IF(AND($A1508&lt;&gt;"",$B1508&lt;&gt;"",$R1508='تقرير يناير'!$C$4,$P1508='تقرير يناير'!$C$6),COUNT(AA$4:AA1507)+1,"")</f>
        <v/>
      </c>
      <c r="AB1508">
        <f>IF(AND($A1508&lt;&gt;"",$B1508&lt;&gt;"",$R1508='تقرير فبراير'!$C$4,$P1508='تقرير فبراير'!$C$6),COUNT(AB$4:AB1507)+1,"")</f>
        <v/>
      </c>
      <c r="AC1508">
        <f>IF(AND($A1508&lt;&gt;"",$B1508&lt;&gt;"",$R1508='تقرير مارس'!$C$4,$P1508='تقرير مارس'!$C$6),COUNT(AC$4:AC1507)+1,"")</f>
        <v/>
      </c>
      <c r="AD1508">
        <f>IF(AND($A1508&lt;&gt;"",$B1508&lt;&gt;"",$R1508='تقرير أبريل'!$C$4,$P1508='تقرير أبريل'!$C$6),COUNT(AD$4:AD1507)+1,"")</f>
        <v/>
      </c>
      <c r="AE1508">
        <f>IF(AND($A1508&lt;&gt;"",$B1508&lt;&gt;"",$R1508='تقرير مايو'!$C$4,$P1508='تقرير مايو'!$C$6),COUNT(AE$4:AE1507)+1,"")</f>
        <v/>
      </c>
    </row>
    <row r="1509">
      <c r="A1509" s="16" t="n"/>
      <c r="B1509" s="17" t="n"/>
      <c r="C1509" s="17" t="n"/>
      <c r="D1509" s="18" t="n"/>
      <c r="E1509" s="17" t="n"/>
      <c r="F1509" s="17" t="n"/>
      <c r="G1509" s="19" t="n"/>
      <c r="H1509" s="17" t="n"/>
      <c r="I1509" s="17" t="n"/>
      <c r="J1509" s="17" t="n"/>
      <c r="K1509" s="20">
        <f>IF($B1509="","",IFERROR(INDEX(الموظفات!$A$5:$A$304,MATCH($B1509,الموظفات!$B$5:$B$304,0))&amp;"",""))</f>
        <v/>
      </c>
      <c r="L1509" s="21">
        <f>IF($B1509="","",IFERROR(INDEX(الموظفات!$C$5:$C$304,MATCH($B1509,الموظفات!$B$5:$B$304,0))&amp;"",""))</f>
        <v/>
      </c>
      <c r="M1509" s="20">
        <f>IF($B1509="","",IFERROR(INDEX(الموظفات!$D$5:$D$304,MATCH($B1509,الموظفات!$B$5:$B$304,0))&amp;"",""))</f>
        <v/>
      </c>
      <c r="N1509" s="20">
        <f>IF($B1509="","",IFERROR(INDEX(الموظفات!$E$5:$E$304,MATCH($B1509,الموظفات!$B$5:$B$304,0))&amp;"",""))</f>
        <v/>
      </c>
      <c r="O1509" s="21">
        <f>IF(C1509="","",IFERROR(INDEX(الإعدادات!$D$7:$D$35,MATCH(C1509,الإعدادات!$A$7:$A$35,0))&amp;"",""))</f>
        <v/>
      </c>
      <c r="P1509" s="20">
        <f>IF(A1509="","",INDEX(الإعدادات!$H$7:$H$18,MONTH(A1509)))</f>
        <v/>
      </c>
      <c r="Q1509" s="20">
        <f>IF(A1509="","",INDEX(الإعدادات!$I$7:$I$18,MONTH(A1509)))</f>
        <v/>
      </c>
      <c r="R1509" s="20">
        <f>IF(A1509="","",IF(MONTH(A1509)&gt;=8,YEAR(A1509)&amp;"-"&amp;(YEAR(A1509)+1),(YEAR(A1509)-1)&amp;"-"&amp;YEAR(A1509)))</f>
        <v/>
      </c>
      <c r="S1509" s="20">
        <f>IF(OR(A1509="",B1509=""),0,IF(AND(R1509=التقارير!$C$4,OR(التقارير!$C$5="سنوي",AND(التقارير!$C$5="شهري",P1509=التقارير!$C$6),AND(التقارير!$C$5="فصلي",Q1509=التقارير!$C$7))),1,0))</f>
        <v/>
      </c>
      <c r="T1509" s="20">
        <f>IF(S1509=1,COUNTIF($S$5:S1509,1),"")</f>
        <v/>
      </c>
      <c r="U1509">
        <f>IF(AND($A1509&lt;&gt;"",$B1509&lt;&gt;"",$R1509='تقرير الفصل الأول'!$C$4,$Q1509='تقرير الفصل الأول'!$C$7),COUNT(U$4:U1508)+1,"")</f>
        <v/>
      </c>
      <c r="V1509">
        <f>IF(AND($A1509&lt;&gt;"",$B1509&lt;&gt;"",$R1509='تقرير الفصل الثاني'!$C$4,$Q1509='تقرير الفصل الثاني'!$C$7),COUNT(V$4:V1508)+1,"")</f>
        <v/>
      </c>
      <c r="W1509">
        <f>IF(AND($A1509&lt;&gt;"",$B1509&lt;&gt;"",$R1509='تقرير سبتمبر'!$C$4,$P1509='تقرير سبتمبر'!$C$6),COUNT(W$4:W1508)+1,"")</f>
        <v/>
      </c>
      <c r="X1509">
        <f>IF(AND($A1509&lt;&gt;"",$B1509&lt;&gt;"",$R1509='تقرير أكتوبر'!$C$4,$P1509='تقرير أكتوبر'!$C$6),COUNT(X$4:X1508)+1,"")</f>
        <v/>
      </c>
      <c r="Y1509">
        <f>IF(AND($A1509&lt;&gt;"",$B1509&lt;&gt;"",$R1509='تقرير نوفمبر'!$C$4,$P1509='تقرير نوفمبر'!$C$6),COUNT(Y$4:Y1508)+1,"")</f>
        <v/>
      </c>
      <c r="Z1509">
        <f>IF(AND($A1509&lt;&gt;"",$B1509&lt;&gt;"",$R1509='تقرير ديسمبر'!$C$4,$P1509='تقرير ديسمبر'!$C$6),COUNT(Z$4:Z1508)+1,"")</f>
        <v/>
      </c>
      <c r="AA1509">
        <f>IF(AND($A1509&lt;&gt;"",$B1509&lt;&gt;"",$R1509='تقرير يناير'!$C$4,$P1509='تقرير يناير'!$C$6),COUNT(AA$4:AA1508)+1,"")</f>
        <v/>
      </c>
      <c r="AB1509">
        <f>IF(AND($A1509&lt;&gt;"",$B1509&lt;&gt;"",$R1509='تقرير فبراير'!$C$4,$P1509='تقرير فبراير'!$C$6),COUNT(AB$4:AB1508)+1,"")</f>
        <v/>
      </c>
      <c r="AC1509">
        <f>IF(AND($A1509&lt;&gt;"",$B1509&lt;&gt;"",$R1509='تقرير مارس'!$C$4,$P1509='تقرير مارس'!$C$6),COUNT(AC$4:AC1508)+1,"")</f>
        <v/>
      </c>
      <c r="AD1509">
        <f>IF(AND($A1509&lt;&gt;"",$B1509&lt;&gt;"",$R1509='تقرير أبريل'!$C$4,$P1509='تقرير أبريل'!$C$6),COUNT(AD$4:AD1508)+1,"")</f>
        <v/>
      </c>
      <c r="AE1509">
        <f>IF(AND($A1509&lt;&gt;"",$B1509&lt;&gt;"",$R1509='تقرير مايو'!$C$4,$P1509='تقرير مايو'!$C$6),COUNT(AE$4:AE1508)+1,"")</f>
        <v/>
      </c>
    </row>
    <row r="1510">
      <c r="A1510" s="16" t="n"/>
      <c r="B1510" s="17" t="n"/>
      <c r="C1510" s="17" t="n"/>
      <c r="D1510" s="18" t="n"/>
      <c r="E1510" s="17" t="n"/>
      <c r="F1510" s="17" t="n"/>
      <c r="G1510" s="19" t="n"/>
      <c r="H1510" s="17" t="n"/>
      <c r="I1510" s="17" t="n"/>
      <c r="J1510" s="17" t="n"/>
      <c r="K1510" s="20">
        <f>IF($B1510="","",IFERROR(INDEX(الموظفات!$A$5:$A$304,MATCH($B1510,الموظفات!$B$5:$B$304,0))&amp;"",""))</f>
        <v/>
      </c>
      <c r="L1510" s="21">
        <f>IF($B1510="","",IFERROR(INDEX(الموظفات!$C$5:$C$304,MATCH($B1510,الموظفات!$B$5:$B$304,0))&amp;"",""))</f>
        <v/>
      </c>
      <c r="M1510" s="20">
        <f>IF($B1510="","",IFERROR(INDEX(الموظفات!$D$5:$D$304,MATCH($B1510,الموظفات!$B$5:$B$304,0))&amp;"",""))</f>
        <v/>
      </c>
      <c r="N1510" s="20">
        <f>IF($B1510="","",IFERROR(INDEX(الموظفات!$E$5:$E$304,MATCH($B1510,الموظفات!$B$5:$B$304,0))&amp;"",""))</f>
        <v/>
      </c>
      <c r="O1510" s="21">
        <f>IF(C1510="","",IFERROR(INDEX(الإعدادات!$D$7:$D$35,MATCH(C1510,الإعدادات!$A$7:$A$35,0))&amp;"",""))</f>
        <v/>
      </c>
      <c r="P1510" s="20">
        <f>IF(A1510="","",INDEX(الإعدادات!$H$7:$H$18,MONTH(A1510)))</f>
        <v/>
      </c>
      <c r="Q1510" s="20">
        <f>IF(A1510="","",INDEX(الإعدادات!$I$7:$I$18,MONTH(A1510)))</f>
        <v/>
      </c>
      <c r="R1510" s="20">
        <f>IF(A1510="","",IF(MONTH(A1510)&gt;=8,YEAR(A1510)&amp;"-"&amp;(YEAR(A1510)+1),(YEAR(A1510)-1)&amp;"-"&amp;YEAR(A1510)))</f>
        <v/>
      </c>
      <c r="S1510" s="20">
        <f>IF(OR(A1510="",B1510=""),0,IF(AND(R1510=التقارير!$C$4,OR(التقارير!$C$5="سنوي",AND(التقارير!$C$5="شهري",P1510=التقارير!$C$6),AND(التقارير!$C$5="فصلي",Q1510=التقارير!$C$7))),1,0))</f>
        <v/>
      </c>
      <c r="T1510" s="20">
        <f>IF(S1510=1,COUNTIF($S$5:S1510,1),"")</f>
        <v/>
      </c>
      <c r="U1510">
        <f>IF(AND($A1510&lt;&gt;"",$B1510&lt;&gt;"",$R1510='تقرير الفصل الأول'!$C$4,$Q1510='تقرير الفصل الأول'!$C$7),COUNT(U$4:U1509)+1,"")</f>
        <v/>
      </c>
      <c r="V1510">
        <f>IF(AND($A1510&lt;&gt;"",$B1510&lt;&gt;"",$R1510='تقرير الفصل الثاني'!$C$4,$Q1510='تقرير الفصل الثاني'!$C$7),COUNT(V$4:V1509)+1,"")</f>
        <v/>
      </c>
      <c r="W1510">
        <f>IF(AND($A1510&lt;&gt;"",$B1510&lt;&gt;"",$R1510='تقرير سبتمبر'!$C$4,$P1510='تقرير سبتمبر'!$C$6),COUNT(W$4:W1509)+1,"")</f>
        <v/>
      </c>
      <c r="X1510">
        <f>IF(AND($A1510&lt;&gt;"",$B1510&lt;&gt;"",$R1510='تقرير أكتوبر'!$C$4,$P1510='تقرير أكتوبر'!$C$6),COUNT(X$4:X1509)+1,"")</f>
        <v/>
      </c>
      <c r="Y1510">
        <f>IF(AND($A1510&lt;&gt;"",$B1510&lt;&gt;"",$R1510='تقرير نوفمبر'!$C$4,$P1510='تقرير نوفمبر'!$C$6),COUNT(Y$4:Y1509)+1,"")</f>
        <v/>
      </c>
      <c r="Z1510">
        <f>IF(AND($A1510&lt;&gt;"",$B1510&lt;&gt;"",$R1510='تقرير ديسمبر'!$C$4,$P1510='تقرير ديسمبر'!$C$6),COUNT(Z$4:Z1509)+1,"")</f>
        <v/>
      </c>
      <c r="AA1510">
        <f>IF(AND($A1510&lt;&gt;"",$B1510&lt;&gt;"",$R1510='تقرير يناير'!$C$4,$P1510='تقرير يناير'!$C$6),COUNT(AA$4:AA1509)+1,"")</f>
        <v/>
      </c>
      <c r="AB1510">
        <f>IF(AND($A1510&lt;&gt;"",$B1510&lt;&gt;"",$R1510='تقرير فبراير'!$C$4,$P1510='تقرير فبراير'!$C$6),COUNT(AB$4:AB1509)+1,"")</f>
        <v/>
      </c>
      <c r="AC1510">
        <f>IF(AND($A1510&lt;&gt;"",$B1510&lt;&gt;"",$R1510='تقرير مارس'!$C$4,$P1510='تقرير مارس'!$C$6),COUNT(AC$4:AC1509)+1,"")</f>
        <v/>
      </c>
      <c r="AD1510">
        <f>IF(AND($A1510&lt;&gt;"",$B1510&lt;&gt;"",$R1510='تقرير أبريل'!$C$4,$P1510='تقرير أبريل'!$C$6),COUNT(AD$4:AD1509)+1,"")</f>
        <v/>
      </c>
      <c r="AE1510">
        <f>IF(AND($A1510&lt;&gt;"",$B1510&lt;&gt;"",$R1510='تقرير مايو'!$C$4,$P1510='تقرير مايو'!$C$6),COUNT(AE$4:AE1509)+1,"")</f>
        <v/>
      </c>
    </row>
    <row r="1511">
      <c r="A1511" s="16" t="n"/>
      <c r="B1511" s="17" t="n"/>
      <c r="C1511" s="17" t="n"/>
      <c r="D1511" s="18" t="n"/>
      <c r="E1511" s="17" t="n"/>
      <c r="F1511" s="17" t="n"/>
      <c r="G1511" s="19" t="n"/>
      <c r="H1511" s="17" t="n"/>
      <c r="I1511" s="17" t="n"/>
      <c r="J1511" s="17" t="n"/>
      <c r="K1511" s="20">
        <f>IF($B1511="","",IFERROR(INDEX(الموظفات!$A$5:$A$304,MATCH($B1511,الموظفات!$B$5:$B$304,0))&amp;"",""))</f>
        <v/>
      </c>
      <c r="L1511" s="21">
        <f>IF($B1511="","",IFERROR(INDEX(الموظفات!$C$5:$C$304,MATCH($B1511,الموظفات!$B$5:$B$304,0))&amp;"",""))</f>
        <v/>
      </c>
      <c r="M1511" s="20">
        <f>IF($B1511="","",IFERROR(INDEX(الموظفات!$D$5:$D$304,MATCH($B1511,الموظفات!$B$5:$B$304,0))&amp;"",""))</f>
        <v/>
      </c>
      <c r="N1511" s="20">
        <f>IF($B1511="","",IFERROR(INDEX(الموظفات!$E$5:$E$304,MATCH($B1511,الموظفات!$B$5:$B$304,0))&amp;"",""))</f>
        <v/>
      </c>
      <c r="O1511" s="21">
        <f>IF(C1511="","",IFERROR(INDEX(الإعدادات!$D$7:$D$35,MATCH(C1511,الإعدادات!$A$7:$A$35,0))&amp;"",""))</f>
        <v/>
      </c>
      <c r="P1511" s="20">
        <f>IF(A1511="","",INDEX(الإعدادات!$H$7:$H$18,MONTH(A1511)))</f>
        <v/>
      </c>
      <c r="Q1511" s="20">
        <f>IF(A1511="","",INDEX(الإعدادات!$I$7:$I$18,MONTH(A1511)))</f>
        <v/>
      </c>
      <c r="R1511" s="20">
        <f>IF(A1511="","",IF(MONTH(A1511)&gt;=8,YEAR(A1511)&amp;"-"&amp;(YEAR(A1511)+1),(YEAR(A1511)-1)&amp;"-"&amp;YEAR(A1511)))</f>
        <v/>
      </c>
      <c r="S1511" s="20">
        <f>IF(OR(A1511="",B1511=""),0,IF(AND(R1511=التقارير!$C$4,OR(التقارير!$C$5="سنوي",AND(التقارير!$C$5="شهري",P1511=التقارير!$C$6),AND(التقارير!$C$5="فصلي",Q1511=التقارير!$C$7))),1,0))</f>
        <v/>
      </c>
      <c r="T1511" s="20">
        <f>IF(S1511=1,COUNTIF($S$5:S1511,1),"")</f>
        <v/>
      </c>
      <c r="U1511">
        <f>IF(AND($A1511&lt;&gt;"",$B1511&lt;&gt;"",$R1511='تقرير الفصل الأول'!$C$4,$Q1511='تقرير الفصل الأول'!$C$7),COUNT(U$4:U1510)+1,"")</f>
        <v/>
      </c>
      <c r="V1511">
        <f>IF(AND($A1511&lt;&gt;"",$B1511&lt;&gt;"",$R1511='تقرير الفصل الثاني'!$C$4,$Q1511='تقرير الفصل الثاني'!$C$7),COUNT(V$4:V1510)+1,"")</f>
        <v/>
      </c>
      <c r="W1511">
        <f>IF(AND($A1511&lt;&gt;"",$B1511&lt;&gt;"",$R1511='تقرير سبتمبر'!$C$4,$P1511='تقرير سبتمبر'!$C$6),COUNT(W$4:W1510)+1,"")</f>
        <v/>
      </c>
      <c r="X1511">
        <f>IF(AND($A1511&lt;&gt;"",$B1511&lt;&gt;"",$R1511='تقرير أكتوبر'!$C$4,$P1511='تقرير أكتوبر'!$C$6),COUNT(X$4:X1510)+1,"")</f>
        <v/>
      </c>
      <c r="Y1511">
        <f>IF(AND($A1511&lt;&gt;"",$B1511&lt;&gt;"",$R1511='تقرير نوفمبر'!$C$4,$P1511='تقرير نوفمبر'!$C$6),COUNT(Y$4:Y1510)+1,"")</f>
        <v/>
      </c>
      <c r="Z1511">
        <f>IF(AND($A1511&lt;&gt;"",$B1511&lt;&gt;"",$R1511='تقرير ديسمبر'!$C$4,$P1511='تقرير ديسمبر'!$C$6),COUNT(Z$4:Z1510)+1,"")</f>
        <v/>
      </c>
      <c r="AA1511">
        <f>IF(AND($A1511&lt;&gt;"",$B1511&lt;&gt;"",$R1511='تقرير يناير'!$C$4,$P1511='تقرير يناير'!$C$6),COUNT(AA$4:AA1510)+1,"")</f>
        <v/>
      </c>
      <c r="AB1511">
        <f>IF(AND($A1511&lt;&gt;"",$B1511&lt;&gt;"",$R1511='تقرير فبراير'!$C$4,$P1511='تقرير فبراير'!$C$6),COUNT(AB$4:AB1510)+1,"")</f>
        <v/>
      </c>
      <c r="AC1511">
        <f>IF(AND($A1511&lt;&gt;"",$B1511&lt;&gt;"",$R1511='تقرير مارس'!$C$4,$P1511='تقرير مارس'!$C$6),COUNT(AC$4:AC1510)+1,"")</f>
        <v/>
      </c>
      <c r="AD1511">
        <f>IF(AND($A1511&lt;&gt;"",$B1511&lt;&gt;"",$R1511='تقرير أبريل'!$C$4,$P1511='تقرير أبريل'!$C$6),COUNT(AD$4:AD1510)+1,"")</f>
        <v/>
      </c>
      <c r="AE1511">
        <f>IF(AND($A1511&lt;&gt;"",$B1511&lt;&gt;"",$R1511='تقرير مايو'!$C$4,$P1511='تقرير مايو'!$C$6),COUNT(AE$4:AE1510)+1,"")</f>
        <v/>
      </c>
    </row>
    <row r="1512">
      <c r="A1512" s="16" t="n"/>
      <c r="B1512" s="17" t="n"/>
      <c r="C1512" s="17" t="n"/>
      <c r="D1512" s="18" t="n"/>
      <c r="E1512" s="17" t="n"/>
      <c r="F1512" s="17" t="n"/>
      <c r="G1512" s="19" t="n"/>
      <c r="H1512" s="17" t="n"/>
      <c r="I1512" s="17" t="n"/>
      <c r="J1512" s="17" t="n"/>
      <c r="K1512" s="20">
        <f>IF($B1512="","",IFERROR(INDEX(الموظفات!$A$5:$A$304,MATCH($B1512,الموظفات!$B$5:$B$304,0))&amp;"",""))</f>
        <v/>
      </c>
      <c r="L1512" s="21">
        <f>IF($B1512="","",IFERROR(INDEX(الموظفات!$C$5:$C$304,MATCH($B1512,الموظفات!$B$5:$B$304,0))&amp;"",""))</f>
        <v/>
      </c>
      <c r="M1512" s="20">
        <f>IF($B1512="","",IFERROR(INDEX(الموظفات!$D$5:$D$304,MATCH($B1512,الموظفات!$B$5:$B$304,0))&amp;"",""))</f>
        <v/>
      </c>
      <c r="N1512" s="20">
        <f>IF($B1512="","",IFERROR(INDEX(الموظفات!$E$5:$E$304,MATCH($B1512,الموظفات!$B$5:$B$304,0))&amp;"",""))</f>
        <v/>
      </c>
      <c r="O1512" s="21">
        <f>IF(C1512="","",IFERROR(INDEX(الإعدادات!$D$7:$D$35,MATCH(C1512,الإعدادات!$A$7:$A$35,0))&amp;"",""))</f>
        <v/>
      </c>
      <c r="P1512" s="20">
        <f>IF(A1512="","",INDEX(الإعدادات!$H$7:$H$18,MONTH(A1512)))</f>
        <v/>
      </c>
      <c r="Q1512" s="20">
        <f>IF(A1512="","",INDEX(الإعدادات!$I$7:$I$18,MONTH(A1512)))</f>
        <v/>
      </c>
      <c r="R1512" s="20">
        <f>IF(A1512="","",IF(MONTH(A1512)&gt;=8,YEAR(A1512)&amp;"-"&amp;(YEAR(A1512)+1),(YEAR(A1512)-1)&amp;"-"&amp;YEAR(A1512)))</f>
        <v/>
      </c>
      <c r="S1512" s="20">
        <f>IF(OR(A1512="",B1512=""),0,IF(AND(R1512=التقارير!$C$4,OR(التقارير!$C$5="سنوي",AND(التقارير!$C$5="شهري",P1512=التقارير!$C$6),AND(التقارير!$C$5="فصلي",Q1512=التقارير!$C$7))),1,0))</f>
        <v/>
      </c>
      <c r="T1512" s="20">
        <f>IF(S1512=1,COUNTIF($S$5:S1512,1),"")</f>
        <v/>
      </c>
      <c r="U1512">
        <f>IF(AND($A1512&lt;&gt;"",$B1512&lt;&gt;"",$R1512='تقرير الفصل الأول'!$C$4,$Q1512='تقرير الفصل الأول'!$C$7),COUNT(U$4:U1511)+1,"")</f>
        <v/>
      </c>
      <c r="V1512">
        <f>IF(AND($A1512&lt;&gt;"",$B1512&lt;&gt;"",$R1512='تقرير الفصل الثاني'!$C$4,$Q1512='تقرير الفصل الثاني'!$C$7),COUNT(V$4:V1511)+1,"")</f>
        <v/>
      </c>
      <c r="W1512">
        <f>IF(AND($A1512&lt;&gt;"",$B1512&lt;&gt;"",$R1512='تقرير سبتمبر'!$C$4,$P1512='تقرير سبتمبر'!$C$6),COUNT(W$4:W1511)+1,"")</f>
        <v/>
      </c>
      <c r="X1512">
        <f>IF(AND($A1512&lt;&gt;"",$B1512&lt;&gt;"",$R1512='تقرير أكتوبر'!$C$4,$P1512='تقرير أكتوبر'!$C$6),COUNT(X$4:X1511)+1,"")</f>
        <v/>
      </c>
      <c r="Y1512">
        <f>IF(AND($A1512&lt;&gt;"",$B1512&lt;&gt;"",$R1512='تقرير نوفمبر'!$C$4,$P1512='تقرير نوفمبر'!$C$6),COUNT(Y$4:Y1511)+1,"")</f>
        <v/>
      </c>
      <c r="Z1512">
        <f>IF(AND($A1512&lt;&gt;"",$B1512&lt;&gt;"",$R1512='تقرير ديسمبر'!$C$4,$P1512='تقرير ديسمبر'!$C$6),COUNT(Z$4:Z1511)+1,"")</f>
        <v/>
      </c>
      <c r="AA1512">
        <f>IF(AND($A1512&lt;&gt;"",$B1512&lt;&gt;"",$R1512='تقرير يناير'!$C$4,$P1512='تقرير يناير'!$C$6),COUNT(AA$4:AA1511)+1,"")</f>
        <v/>
      </c>
      <c r="AB1512">
        <f>IF(AND($A1512&lt;&gt;"",$B1512&lt;&gt;"",$R1512='تقرير فبراير'!$C$4,$P1512='تقرير فبراير'!$C$6),COUNT(AB$4:AB1511)+1,"")</f>
        <v/>
      </c>
      <c r="AC1512">
        <f>IF(AND($A1512&lt;&gt;"",$B1512&lt;&gt;"",$R1512='تقرير مارس'!$C$4,$P1512='تقرير مارس'!$C$6),COUNT(AC$4:AC1511)+1,"")</f>
        <v/>
      </c>
      <c r="AD1512">
        <f>IF(AND($A1512&lt;&gt;"",$B1512&lt;&gt;"",$R1512='تقرير أبريل'!$C$4,$P1512='تقرير أبريل'!$C$6),COUNT(AD$4:AD1511)+1,"")</f>
        <v/>
      </c>
      <c r="AE1512">
        <f>IF(AND($A1512&lt;&gt;"",$B1512&lt;&gt;"",$R1512='تقرير مايو'!$C$4,$P1512='تقرير مايو'!$C$6),COUNT(AE$4:AE1511)+1,"")</f>
        <v/>
      </c>
    </row>
    <row r="1513">
      <c r="A1513" s="16" t="n"/>
      <c r="B1513" s="17" t="n"/>
      <c r="C1513" s="17" t="n"/>
      <c r="D1513" s="18" t="n"/>
      <c r="E1513" s="17" t="n"/>
      <c r="F1513" s="17" t="n"/>
      <c r="G1513" s="19" t="n"/>
      <c r="H1513" s="17" t="n"/>
      <c r="I1513" s="17" t="n"/>
      <c r="J1513" s="17" t="n"/>
      <c r="K1513" s="20">
        <f>IF($B1513="","",IFERROR(INDEX(الموظفات!$A$5:$A$304,MATCH($B1513,الموظفات!$B$5:$B$304,0))&amp;"",""))</f>
        <v/>
      </c>
      <c r="L1513" s="21">
        <f>IF($B1513="","",IFERROR(INDEX(الموظفات!$C$5:$C$304,MATCH($B1513,الموظفات!$B$5:$B$304,0))&amp;"",""))</f>
        <v/>
      </c>
      <c r="M1513" s="20">
        <f>IF($B1513="","",IFERROR(INDEX(الموظفات!$D$5:$D$304,MATCH($B1513,الموظفات!$B$5:$B$304,0))&amp;"",""))</f>
        <v/>
      </c>
      <c r="N1513" s="20">
        <f>IF($B1513="","",IFERROR(INDEX(الموظفات!$E$5:$E$304,MATCH($B1513,الموظفات!$B$5:$B$304,0))&amp;"",""))</f>
        <v/>
      </c>
      <c r="O1513" s="21">
        <f>IF(C1513="","",IFERROR(INDEX(الإعدادات!$D$7:$D$35,MATCH(C1513,الإعدادات!$A$7:$A$35,0))&amp;"",""))</f>
        <v/>
      </c>
      <c r="P1513" s="20">
        <f>IF(A1513="","",INDEX(الإعدادات!$H$7:$H$18,MONTH(A1513)))</f>
        <v/>
      </c>
      <c r="Q1513" s="20">
        <f>IF(A1513="","",INDEX(الإعدادات!$I$7:$I$18,MONTH(A1513)))</f>
        <v/>
      </c>
      <c r="R1513" s="20">
        <f>IF(A1513="","",IF(MONTH(A1513)&gt;=8,YEAR(A1513)&amp;"-"&amp;(YEAR(A1513)+1),(YEAR(A1513)-1)&amp;"-"&amp;YEAR(A1513)))</f>
        <v/>
      </c>
      <c r="S1513" s="20">
        <f>IF(OR(A1513="",B1513=""),0,IF(AND(R1513=التقارير!$C$4,OR(التقارير!$C$5="سنوي",AND(التقارير!$C$5="شهري",P1513=التقارير!$C$6),AND(التقارير!$C$5="فصلي",Q1513=التقارير!$C$7))),1,0))</f>
        <v/>
      </c>
      <c r="T1513" s="20">
        <f>IF(S1513=1,COUNTIF($S$5:S1513,1),"")</f>
        <v/>
      </c>
      <c r="U1513">
        <f>IF(AND($A1513&lt;&gt;"",$B1513&lt;&gt;"",$R1513='تقرير الفصل الأول'!$C$4,$Q1513='تقرير الفصل الأول'!$C$7),COUNT(U$4:U1512)+1,"")</f>
        <v/>
      </c>
      <c r="V1513">
        <f>IF(AND($A1513&lt;&gt;"",$B1513&lt;&gt;"",$R1513='تقرير الفصل الثاني'!$C$4,$Q1513='تقرير الفصل الثاني'!$C$7),COUNT(V$4:V1512)+1,"")</f>
        <v/>
      </c>
      <c r="W1513">
        <f>IF(AND($A1513&lt;&gt;"",$B1513&lt;&gt;"",$R1513='تقرير سبتمبر'!$C$4,$P1513='تقرير سبتمبر'!$C$6),COUNT(W$4:W1512)+1,"")</f>
        <v/>
      </c>
      <c r="X1513">
        <f>IF(AND($A1513&lt;&gt;"",$B1513&lt;&gt;"",$R1513='تقرير أكتوبر'!$C$4,$P1513='تقرير أكتوبر'!$C$6),COUNT(X$4:X1512)+1,"")</f>
        <v/>
      </c>
      <c r="Y1513">
        <f>IF(AND($A1513&lt;&gt;"",$B1513&lt;&gt;"",$R1513='تقرير نوفمبر'!$C$4,$P1513='تقرير نوفمبر'!$C$6),COUNT(Y$4:Y1512)+1,"")</f>
        <v/>
      </c>
      <c r="Z1513">
        <f>IF(AND($A1513&lt;&gt;"",$B1513&lt;&gt;"",$R1513='تقرير ديسمبر'!$C$4,$P1513='تقرير ديسمبر'!$C$6),COUNT(Z$4:Z1512)+1,"")</f>
        <v/>
      </c>
      <c r="AA1513">
        <f>IF(AND($A1513&lt;&gt;"",$B1513&lt;&gt;"",$R1513='تقرير يناير'!$C$4,$P1513='تقرير يناير'!$C$6),COUNT(AA$4:AA1512)+1,"")</f>
        <v/>
      </c>
      <c r="AB1513">
        <f>IF(AND($A1513&lt;&gt;"",$B1513&lt;&gt;"",$R1513='تقرير فبراير'!$C$4,$P1513='تقرير فبراير'!$C$6),COUNT(AB$4:AB1512)+1,"")</f>
        <v/>
      </c>
      <c r="AC1513">
        <f>IF(AND($A1513&lt;&gt;"",$B1513&lt;&gt;"",$R1513='تقرير مارس'!$C$4,$P1513='تقرير مارس'!$C$6),COUNT(AC$4:AC1512)+1,"")</f>
        <v/>
      </c>
      <c r="AD1513">
        <f>IF(AND($A1513&lt;&gt;"",$B1513&lt;&gt;"",$R1513='تقرير أبريل'!$C$4,$P1513='تقرير أبريل'!$C$6),COUNT(AD$4:AD1512)+1,"")</f>
        <v/>
      </c>
      <c r="AE1513">
        <f>IF(AND($A1513&lt;&gt;"",$B1513&lt;&gt;"",$R1513='تقرير مايو'!$C$4,$P1513='تقرير مايو'!$C$6),COUNT(AE$4:AE1512)+1,"")</f>
        <v/>
      </c>
    </row>
    <row r="1514">
      <c r="A1514" s="16" t="n"/>
      <c r="B1514" s="17" t="n"/>
      <c r="C1514" s="17" t="n"/>
      <c r="D1514" s="18" t="n"/>
      <c r="E1514" s="17" t="n"/>
      <c r="F1514" s="17" t="n"/>
      <c r="G1514" s="19" t="n"/>
      <c r="H1514" s="17" t="n"/>
      <c r="I1514" s="17" t="n"/>
      <c r="J1514" s="17" t="n"/>
      <c r="K1514" s="20">
        <f>IF($B1514="","",IFERROR(INDEX(الموظفات!$A$5:$A$304,MATCH($B1514,الموظفات!$B$5:$B$304,0))&amp;"",""))</f>
        <v/>
      </c>
      <c r="L1514" s="21">
        <f>IF($B1514="","",IFERROR(INDEX(الموظفات!$C$5:$C$304,MATCH($B1514,الموظفات!$B$5:$B$304,0))&amp;"",""))</f>
        <v/>
      </c>
      <c r="M1514" s="20">
        <f>IF($B1514="","",IFERROR(INDEX(الموظفات!$D$5:$D$304,MATCH($B1514,الموظفات!$B$5:$B$304,0))&amp;"",""))</f>
        <v/>
      </c>
      <c r="N1514" s="20">
        <f>IF($B1514="","",IFERROR(INDEX(الموظفات!$E$5:$E$304,MATCH($B1514,الموظفات!$B$5:$B$304,0))&amp;"",""))</f>
        <v/>
      </c>
      <c r="O1514" s="21">
        <f>IF(C1514="","",IFERROR(INDEX(الإعدادات!$D$7:$D$35,MATCH(C1514,الإعدادات!$A$7:$A$35,0))&amp;"",""))</f>
        <v/>
      </c>
      <c r="P1514" s="20">
        <f>IF(A1514="","",INDEX(الإعدادات!$H$7:$H$18,MONTH(A1514)))</f>
        <v/>
      </c>
      <c r="Q1514" s="20">
        <f>IF(A1514="","",INDEX(الإعدادات!$I$7:$I$18,MONTH(A1514)))</f>
        <v/>
      </c>
      <c r="R1514" s="20">
        <f>IF(A1514="","",IF(MONTH(A1514)&gt;=8,YEAR(A1514)&amp;"-"&amp;(YEAR(A1514)+1),(YEAR(A1514)-1)&amp;"-"&amp;YEAR(A1514)))</f>
        <v/>
      </c>
      <c r="S1514" s="20">
        <f>IF(OR(A1514="",B1514=""),0,IF(AND(R1514=التقارير!$C$4,OR(التقارير!$C$5="سنوي",AND(التقارير!$C$5="شهري",P1514=التقارير!$C$6),AND(التقارير!$C$5="فصلي",Q1514=التقارير!$C$7))),1,0))</f>
        <v/>
      </c>
      <c r="T1514" s="20">
        <f>IF(S1514=1,COUNTIF($S$5:S1514,1),"")</f>
        <v/>
      </c>
      <c r="U1514">
        <f>IF(AND($A1514&lt;&gt;"",$B1514&lt;&gt;"",$R1514='تقرير الفصل الأول'!$C$4,$Q1514='تقرير الفصل الأول'!$C$7),COUNT(U$4:U1513)+1,"")</f>
        <v/>
      </c>
      <c r="V1514">
        <f>IF(AND($A1514&lt;&gt;"",$B1514&lt;&gt;"",$R1514='تقرير الفصل الثاني'!$C$4,$Q1514='تقرير الفصل الثاني'!$C$7),COUNT(V$4:V1513)+1,"")</f>
        <v/>
      </c>
      <c r="W1514">
        <f>IF(AND($A1514&lt;&gt;"",$B1514&lt;&gt;"",$R1514='تقرير سبتمبر'!$C$4,$P1514='تقرير سبتمبر'!$C$6),COUNT(W$4:W1513)+1,"")</f>
        <v/>
      </c>
      <c r="X1514">
        <f>IF(AND($A1514&lt;&gt;"",$B1514&lt;&gt;"",$R1514='تقرير أكتوبر'!$C$4,$P1514='تقرير أكتوبر'!$C$6),COUNT(X$4:X1513)+1,"")</f>
        <v/>
      </c>
      <c r="Y1514">
        <f>IF(AND($A1514&lt;&gt;"",$B1514&lt;&gt;"",$R1514='تقرير نوفمبر'!$C$4,$P1514='تقرير نوفمبر'!$C$6),COUNT(Y$4:Y1513)+1,"")</f>
        <v/>
      </c>
      <c r="Z1514">
        <f>IF(AND($A1514&lt;&gt;"",$B1514&lt;&gt;"",$R1514='تقرير ديسمبر'!$C$4,$P1514='تقرير ديسمبر'!$C$6),COUNT(Z$4:Z1513)+1,"")</f>
        <v/>
      </c>
      <c r="AA1514">
        <f>IF(AND($A1514&lt;&gt;"",$B1514&lt;&gt;"",$R1514='تقرير يناير'!$C$4,$P1514='تقرير يناير'!$C$6),COUNT(AA$4:AA1513)+1,"")</f>
        <v/>
      </c>
      <c r="AB1514">
        <f>IF(AND($A1514&lt;&gt;"",$B1514&lt;&gt;"",$R1514='تقرير فبراير'!$C$4,$P1514='تقرير فبراير'!$C$6),COUNT(AB$4:AB1513)+1,"")</f>
        <v/>
      </c>
      <c r="AC1514">
        <f>IF(AND($A1514&lt;&gt;"",$B1514&lt;&gt;"",$R1514='تقرير مارس'!$C$4,$P1514='تقرير مارس'!$C$6),COUNT(AC$4:AC1513)+1,"")</f>
        <v/>
      </c>
      <c r="AD1514">
        <f>IF(AND($A1514&lt;&gt;"",$B1514&lt;&gt;"",$R1514='تقرير أبريل'!$C$4,$P1514='تقرير أبريل'!$C$6),COUNT(AD$4:AD1513)+1,"")</f>
        <v/>
      </c>
      <c r="AE1514">
        <f>IF(AND($A1514&lt;&gt;"",$B1514&lt;&gt;"",$R1514='تقرير مايو'!$C$4,$P1514='تقرير مايو'!$C$6),COUNT(AE$4:AE1513)+1,"")</f>
        <v/>
      </c>
    </row>
    <row r="1515">
      <c r="A1515" s="16" t="n"/>
      <c r="B1515" s="17" t="n"/>
      <c r="C1515" s="17" t="n"/>
      <c r="D1515" s="18" t="n"/>
      <c r="E1515" s="17" t="n"/>
      <c r="F1515" s="17" t="n"/>
      <c r="G1515" s="19" t="n"/>
      <c r="H1515" s="17" t="n"/>
      <c r="I1515" s="17" t="n"/>
      <c r="J1515" s="17" t="n"/>
      <c r="K1515" s="20">
        <f>IF($B1515="","",IFERROR(INDEX(الموظفات!$A$5:$A$304,MATCH($B1515,الموظفات!$B$5:$B$304,0))&amp;"",""))</f>
        <v/>
      </c>
      <c r="L1515" s="21">
        <f>IF($B1515="","",IFERROR(INDEX(الموظفات!$C$5:$C$304,MATCH($B1515,الموظفات!$B$5:$B$304,0))&amp;"",""))</f>
        <v/>
      </c>
      <c r="M1515" s="20">
        <f>IF($B1515="","",IFERROR(INDEX(الموظفات!$D$5:$D$304,MATCH($B1515,الموظفات!$B$5:$B$304,0))&amp;"",""))</f>
        <v/>
      </c>
      <c r="N1515" s="20">
        <f>IF($B1515="","",IFERROR(INDEX(الموظفات!$E$5:$E$304,MATCH($B1515,الموظفات!$B$5:$B$304,0))&amp;"",""))</f>
        <v/>
      </c>
      <c r="O1515" s="21">
        <f>IF(C1515="","",IFERROR(INDEX(الإعدادات!$D$7:$D$35,MATCH(C1515,الإعدادات!$A$7:$A$35,0))&amp;"",""))</f>
        <v/>
      </c>
      <c r="P1515" s="20">
        <f>IF(A1515="","",INDEX(الإعدادات!$H$7:$H$18,MONTH(A1515)))</f>
        <v/>
      </c>
      <c r="Q1515" s="20">
        <f>IF(A1515="","",INDEX(الإعدادات!$I$7:$I$18,MONTH(A1515)))</f>
        <v/>
      </c>
      <c r="R1515" s="20">
        <f>IF(A1515="","",IF(MONTH(A1515)&gt;=8,YEAR(A1515)&amp;"-"&amp;(YEAR(A1515)+1),(YEAR(A1515)-1)&amp;"-"&amp;YEAR(A1515)))</f>
        <v/>
      </c>
      <c r="S1515" s="20">
        <f>IF(OR(A1515="",B1515=""),0,IF(AND(R1515=التقارير!$C$4,OR(التقارير!$C$5="سنوي",AND(التقارير!$C$5="شهري",P1515=التقارير!$C$6),AND(التقارير!$C$5="فصلي",Q1515=التقارير!$C$7))),1,0))</f>
        <v/>
      </c>
      <c r="T1515" s="20">
        <f>IF(S1515=1,COUNTIF($S$5:S1515,1),"")</f>
        <v/>
      </c>
      <c r="U1515">
        <f>IF(AND($A1515&lt;&gt;"",$B1515&lt;&gt;"",$R1515='تقرير الفصل الأول'!$C$4,$Q1515='تقرير الفصل الأول'!$C$7),COUNT(U$4:U1514)+1,"")</f>
        <v/>
      </c>
      <c r="V1515">
        <f>IF(AND($A1515&lt;&gt;"",$B1515&lt;&gt;"",$R1515='تقرير الفصل الثاني'!$C$4,$Q1515='تقرير الفصل الثاني'!$C$7),COUNT(V$4:V1514)+1,"")</f>
        <v/>
      </c>
      <c r="W1515">
        <f>IF(AND($A1515&lt;&gt;"",$B1515&lt;&gt;"",$R1515='تقرير سبتمبر'!$C$4,$P1515='تقرير سبتمبر'!$C$6),COUNT(W$4:W1514)+1,"")</f>
        <v/>
      </c>
      <c r="X1515">
        <f>IF(AND($A1515&lt;&gt;"",$B1515&lt;&gt;"",$R1515='تقرير أكتوبر'!$C$4,$P1515='تقرير أكتوبر'!$C$6),COUNT(X$4:X1514)+1,"")</f>
        <v/>
      </c>
      <c r="Y1515">
        <f>IF(AND($A1515&lt;&gt;"",$B1515&lt;&gt;"",$R1515='تقرير نوفمبر'!$C$4,$P1515='تقرير نوفمبر'!$C$6),COUNT(Y$4:Y1514)+1,"")</f>
        <v/>
      </c>
      <c r="Z1515">
        <f>IF(AND($A1515&lt;&gt;"",$B1515&lt;&gt;"",$R1515='تقرير ديسمبر'!$C$4,$P1515='تقرير ديسمبر'!$C$6),COUNT(Z$4:Z1514)+1,"")</f>
        <v/>
      </c>
      <c r="AA1515">
        <f>IF(AND($A1515&lt;&gt;"",$B1515&lt;&gt;"",$R1515='تقرير يناير'!$C$4,$P1515='تقرير يناير'!$C$6),COUNT(AA$4:AA1514)+1,"")</f>
        <v/>
      </c>
      <c r="AB1515">
        <f>IF(AND($A1515&lt;&gt;"",$B1515&lt;&gt;"",$R1515='تقرير فبراير'!$C$4,$P1515='تقرير فبراير'!$C$6),COUNT(AB$4:AB1514)+1,"")</f>
        <v/>
      </c>
      <c r="AC1515">
        <f>IF(AND($A1515&lt;&gt;"",$B1515&lt;&gt;"",$R1515='تقرير مارس'!$C$4,$P1515='تقرير مارس'!$C$6),COUNT(AC$4:AC1514)+1,"")</f>
        <v/>
      </c>
      <c r="AD1515">
        <f>IF(AND($A1515&lt;&gt;"",$B1515&lt;&gt;"",$R1515='تقرير أبريل'!$C$4,$P1515='تقرير أبريل'!$C$6),COUNT(AD$4:AD1514)+1,"")</f>
        <v/>
      </c>
      <c r="AE1515">
        <f>IF(AND($A1515&lt;&gt;"",$B1515&lt;&gt;"",$R1515='تقرير مايو'!$C$4,$P1515='تقرير مايو'!$C$6),COUNT(AE$4:AE1514)+1,"")</f>
        <v/>
      </c>
    </row>
    <row r="1516">
      <c r="A1516" s="16" t="n"/>
      <c r="B1516" s="17" t="n"/>
      <c r="C1516" s="17" t="n"/>
      <c r="D1516" s="18" t="n"/>
      <c r="E1516" s="17" t="n"/>
      <c r="F1516" s="17" t="n"/>
      <c r="G1516" s="19" t="n"/>
      <c r="H1516" s="17" t="n"/>
      <c r="I1516" s="17" t="n"/>
      <c r="J1516" s="17" t="n"/>
      <c r="K1516" s="20">
        <f>IF($B1516="","",IFERROR(INDEX(الموظفات!$A$5:$A$304,MATCH($B1516,الموظفات!$B$5:$B$304,0))&amp;"",""))</f>
        <v/>
      </c>
      <c r="L1516" s="21">
        <f>IF($B1516="","",IFERROR(INDEX(الموظفات!$C$5:$C$304,MATCH($B1516,الموظفات!$B$5:$B$304,0))&amp;"",""))</f>
        <v/>
      </c>
      <c r="M1516" s="20">
        <f>IF($B1516="","",IFERROR(INDEX(الموظفات!$D$5:$D$304,MATCH($B1516,الموظفات!$B$5:$B$304,0))&amp;"",""))</f>
        <v/>
      </c>
      <c r="N1516" s="20">
        <f>IF($B1516="","",IFERROR(INDEX(الموظفات!$E$5:$E$304,MATCH($B1516,الموظفات!$B$5:$B$304,0))&amp;"",""))</f>
        <v/>
      </c>
      <c r="O1516" s="21">
        <f>IF(C1516="","",IFERROR(INDEX(الإعدادات!$D$7:$D$35,MATCH(C1516,الإعدادات!$A$7:$A$35,0))&amp;"",""))</f>
        <v/>
      </c>
      <c r="P1516" s="20">
        <f>IF(A1516="","",INDEX(الإعدادات!$H$7:$H$18,MONTH(A1516)))</f>
        <v/>
      </c>
      <c r="Q1516" s="20">
        <f>IF(A1516="","",INDEX(الإعدادات!$I$7:$I$18,MONTH(A1516)))</f>
        <v/>
      </c>
      <c r="R1516" s="20">
        <f>IF(A1516="","",IF(MONTH(A1516)&gt;=8,YEAR(A1516)&amp;"-"&amp;(YEAR(A1516)+1),(YEAR(A1516)-1)&amp;"-"&amp;YEAR(A1516)))</f>
        <v/>
      </c>
      <c r="S1516" s="20">
        <f>IF(OR(A1516="",B1516=""),0,IF(AND(R1516=التقارير!$C$4,OR(التقارير!$C$5="سنوي",AND(التقارير!$C$5="شهري",P1516=التقارير!$C$6),AND(التقارير!$C$5="فصلي",Q1516=التقارير!$C$7))),1,0))</f>
        <v/>
      </c>
      <c r="T1516" s="20">
        <f>IF(S1516=1,COUNTIF($S$5:S1516,1),"")</f>
        <v/>
      </c>
      <c r="U1516">
        <f>IF(AND($A1516&lt;&gt;"",$B1516&lt;&gt;"",$R1516='تقرير الفصل الأول'!$C$4,$Q1516='تقرير الفصل الأول'!$C$7),COUNT(U$4:U1515)+1,"")</f>
        <v/>
      </c>
      <c r="V1516">
        <f>IF(AND($A1516&lt;&gt;"",$B1516&lt;&gt;"",$R1516='تقرير الفصل الثاني'!$C$4,$Q1516='تقرير الفصل الثاني'!$C$7),COUNT(V$4:V1515)+1,"")</f>
        <v/>
      </c>
      <c r="W1516">
        <f>IF(AND($A1516&lt;&gt;"",$B1516&lt;&gt;"",$R1516='تقرير سبتمبر'!$C$4,$P1516='تقرير سبتمبر'!$C$6),COUNT(W$4:W1515)+1,"")</f>
        <v/>
      </c>
      <c r="X1516">
        <f>IF(AND($A1516&lt;&gt;"",$B1516&lt;&gt;"",$R1516='تقرير أكتوبر'!$C$4,$P1516='تقرير أكتوبر'!$C$6),COUNT(X$4:X1515)+1,"")</f>
        <v/>
      </c>
      <c r="Y1516">
        <f>IF(AND($A1516&lt;&gt;"",$B1516&lt;&gt;"",$R1516='تقرير نوفمبر'!$C$4,$P1516='تقرير نوفمبر'!$C$6),COUNT(Y$4:Y1515)+1,"")</f>
        <v/>
      </c>
      <c r="Z1516">
        <f>IF(AND($A1516&lt;&gt;"",$B1516&lt;&gt;"",$R1516='تقرير ديسمبر'!$C$4,$P1516='تقرير ديسمبر'!$C$6),COUNT(Z$4:Z1515)+1,"")</f>
        <v/>
      </c>
      <c r="AA1516">
        <f>IF(AND($A1516&lt;&gt;"",$B1516&lt;&gt;"",$R1516='تقرير يناير'!$C$4,$P1516='تقرير يناير'!$C$6),COUNT(AA$4:AA1515)+1,"")</f>
        <v/>
      </c>
      <c r="AB1516">
        <f>IF(AND($A1516&lt;&gt;"",$B1516&lt;&gt;"",$R1516='تقرير فبراير'!$C$4,$P1516='تقرير فبراير'!$C$6),COUNT(AB$4:AB1515)+1,"")</f>
        <v/>
      </c>
      <c r="AC1516">
        <f>IF(AND($A1516&lt;&gt;"",$B1516&lt;&gt;"",$R1516='تقرير مارس'!$C$4,$P1516='تقرير مارس'!$C$6),COUNT(AC$4:AC1515)+1,"")</f>
        <v/>
      </c>
      <c r="AD1516">
        <f>IF(AND($A1516&lt;&gt;"",$B1516&lt;&gt;"",$R1516='تقرير أبريل'!$C$4,$P1516='تقرير أبريل'!$C$6),COUNT(AD$4:AD1515)+1,"")</f>
        <v/>
      </c>
      <c r="AE1516">
        <f>IF(AND($A1516&lt;&gt;"",$B1516&lt;&gt;"",$R1516='تقرير مايو'!$C$4,$P1516='تقرير مايو'!$C$6),COUNT(AE$4:AE1515)+1,"")</f>
        <v/>
      </c>
    </row>
    <row r="1517">
      <c r="A1517" s="16" t="n"/>
      <c r="B1517" s="17" t="n"/>
      <c r="C1517" s="17" t="n"/>
      <c r="D1517" s="18" t="n"/>
      <c r="E1517" s="17" t="n"/>
      <c r="F1517" s="17" t="n"/>
      <c r="G1517" s="19" t="n"/>
      <c r="H1517" s="17" t="n"/>
      <c r="I1517" s="17" t="n"/>
      <c r="J1517" s="17" t="n"/>
      <c r="K1517" s="20">
        <f>IF($B1517="","",IFERROR(INDEX(الموظفات!$A$5:$A$304,MATCH($B1517,الموظفات!$B$5:$B$304,0))&amp;"",""))</f>
        <v/>
      </c>
      <c r="L1517" s="21">
        <f>IF($B1517="","",IFERROR(INDEX(الموظفات!$C$5:$C$304,MATCH($B1517,الموظفات!$B$5:$B$304,0))&amp;"",""))</f>
        <v/>
      </c>
      <c r="M1517" s="20">
        <f>IF($B1517="","",IFERROR(INDEX(الموظفات!$D$5:$D$304,MATCH($B1517,الموظفات!$B$5:$B$304,0))&amp;"",""))</f>
        <v/>
      </c>
      <c r="N1517" s="20">
        <f>IF($B1517="","",IFERROR(INDEX(الموظفات!$E$5:$E$304,MATCH($B1517,الموظفات!$B$5:$B$304,0))&amp;"",""))</f>
        <v/>
      </c>
      <c r="O1517" s="21">
        <f>IF(C1517="","",IFERROR(INDEX(الإعدادات!$D$7:$D$35,MATCH(C1517,الإعدادات!$A$7:$A$35,0))&amp;"",""))</f>
        <v/>
      </c>
      <c r="P1517" s="20">
        <f>IF(A1517="","",INDEX(الإعدادات!$H$7:$H$18,MONTH(A1517)))</f>
        <v/>
      </c>
      <c r="Q1517" s="20">
        <f>IF(A1517="","",INDEX(الإعدادات!$I$7:$I$18,MONTH(A1517)))</f>
        <v/>
      </c>
      <c r="R1517" s="20">
        <f>IF(A1517="","",IF(MONTH(A1517)&gt;=8,YEAR(A1517)&amp;"-"&amp;(YEAR(A1517)+1),(YEAR(A1517)-1)&amp;"-"&amp;YEAR(A1517)))</f>
        <v/>
      </c>
      <c r="S1517" s="20">
        <f>IF(OR(A1517="",B1517=""),0,IF(AND(R1517=التقارير!$C$4,OR(التقارير!$C$5="سنوي",AND(التقارير!$C$5="شهري",P1517=التقارير!$C$6),AND(التقارير!$C$5="فصلي",Q1517=التقارير!$C$7))),1,0))</f>
        <v/>
      </c>
      <c r="T1517" s="20">
        <f>IF(S1517=1,COUNTIF($S$5:S1517,1),"")</f>
        <v/>
      </c>
      <c r="U1517">
        <f>IF(AND($A1517&lt;&gt;"",$B1517&lt;&gt;"",$R1517='تقرير الفصل الأول'!$C$4,$Q1517='تقرير الفصل الأول'!$C$7),COUNT(U$4:U1516)+1,"")</f>
        <v/>
      </c>
      <c r="V1517">
        <f>IF(AND($A1517&lt;&gt;"",$B1517&lt;&gt;"",$R1517='تقرير الفصل الثاني'!$C$4,$Q1517='تقرير الفصل الثاني'!$C$7),COUNT(V$4:V1516)+1,"")</f>
        <v/>
      </c>
      <c r="W1517">
        <f>IF(AND($A1517&lt;&gt;"",$B1517&lt;&gt;"",$R1517='تقرير سبتمبر'!$C$4,$P1517='تقرير سبتمبر'!$C$6),COUNT(W$4:W1516)+1,"")</f>
        <v/>
      </c>
      <c r="X1517">
        <f>IF(AND($A1517&lt;&gt;"",$B1517&lt;&gt;"",$R1517='تقرير أكتوبر'!$C$4,$P1517='تقرير أكتوبر'!$C$6),COUNT(X$4:X1516)+1,"")</f>
        <v/>
      </c>
      <c r="Y1517">
        <f>IF(AND($A1517&lt;&gt;"",$B1517&lt;&gt;"",$R1517='تقرير نوفمبر'!$C$4,$P1517='تقرير نوفمبر'!$C$6),COUNT(Y$4:Y1516)+1,"")</f>
        <v/>
      </c>
      <c r="Z1517">
        <f>IF(AND($A1517&lt;&gt;"",$B1517&lt;&gt;"",$R1517='تقرير ديسمبر'!$C$4,$P1517='تقرير ديسمبر'!$C$6),COUNT(Z$4:Z1516)+1,"")</f>
        <v/>
      </c>
      <c r="AA1517">
        <f>IF(AND($A1517&lt;&gt;"",$B1517&lt;&gt;"",$R1517='تقرير يناير'!$C$4,$P1517='تقرير يناير'!$C$6),COUNT(AA$4:AA1516)+1,"")</f>
        <v/>
      </c>
      <c r="AB1517">
        <f>IF(AND($A1517&lt;&gt;"",$B1517&lt;&gt;"",$R1517='تقرير فبراير'!$C$4,$P1517='تقرير فبراير'!$C$6),COUNT(AB$4:AB1516)+1,"")</f>
        <v/>
      </c>
      <c r="AC1517">
        <f>IF(AND($A1517&lt;&gt;"",$B1517&lt;&gt;"",$R1517='تقرير مارس'!$C$4,$P1517='تقرير مارس'!$C$6),COUNT(AC$4:AC1516)+1,"")</f>
        <v/>
      </c>
      <c r="AD1517">
        <f>IF(AND($A1517&lt;&gt;"",$B1517&lt;&gt;"",$R1517='تقرير أبريل'!$C$4,$P1517='تقرير أبريل'!$C$6),COUNT(AD$4:AD1516)+1,"")</f>
        <v/>
      </c>
      <c r="AE1517">
        <f>IF(AND($A1517&lt;&gt;"",$B1517&lt;&gt;"",$R1517='تقرير مايو'!$C$4,$P1517='تقرير مايو'!$C$6),COUNT(AE$4:AE1516)+1,"")</f>
        <v/>
      </c>
    </row>
    <row r="1518">
      <c r="A1518" s="16" t="n"/>
      <c r="B1518" s="17" t="n"/>
      <c r="C1518" s="17" t="n"/>
      <c r="D1518" s="18" t="n"/>
      <c r="E1518" s="17" t="n"/>
      <c r="F1518" s="17" t="n"/>
      <c r="G1518" s="19" t="n"/>
      <c r="H1518" s="17" t="n"/>
      <c r="I1518" s="17" t="n"/>
      <c r="J1518" s="17" t="n"/>
      <c r="K1518" s="20">
        <f>IF($B1518="","",IFERROR(INDEX(الموظفات!$A$5:$A$304,MATCH($B1518,الموظفات!$B$5:$B$304,0))&amp;"",""))</f>
        <v/>
      </c>
      <c r="L1518" s="21">
        <f>IF($B1518="","",IFERROR(INDEX(الموظفات!$C$5:$C$304,MATCH($B1518,الموظفات!$B$5:$B$304,0))&amp;"",""))</f>
        <v/>
      </c>
      <c r="M1518" s="20">
        <f>IF($B1518="","",IFERROR(INDEX(الموظفات!$D$5:$D$304,MATCH($B1518,الموظفات!$B$5:$B$304,0))&amp;"",""))</f>
        <v/>
      </c>
      <c r="N1518" s="20">
        <f>IF($B1518="","",IFERROR(INDEX(الموظفات!$E$5:$E$304,MATCH($B1518,الموظفات!$B$5:$B$304,0))&amp;"",""))</f>
        <v/>
      </c>
      <c r="O1518" s="21">
        <f>IF(C1518="","",IFERROR(INDEX(الإعدادات!$D$7:$D$35,MATCH(C1518,الإعدادات!$A$7:$A$35,0))&amp;"",""))</f>
        <v/>
      </c>
      <c r="P1518" s="20">
        <f>IF(A1518="","",INDEX(الإعدادات!$H$7:$H$18,MONTH(A1518)))</f>
        <v/>
      </c>
      <c r="Q1518" s="20">
        <f>IF(A1518="","",INDEX(الإعدادات!$I$7:$I$18,MONTH(A1518)))</f>
        <v/>
      </c>
      <c r="R1518" s="20">
        <f>IF(A1518="","",IF(MONTH(A1518)&gt;=8,YEAR(A1518)&amp;"-"&amp;(YEAR(A1518)+1),(YEAR(A1518)-1)&amp;"-"&amp;YEAR(A1518)))</f>
        <v/>
      </c>
      <c r="S1518" s="20">
        <f>IF(OR(A1518="",B1518=""),0,IF(AND(R1518=التقارير!$C$4,OR(التقارير!$C$5="سنوي",AND(التقارير!$C$5="شهري",P1518=التقارير!$C$6),AND(التقارير!$C$5="فصلي",Q1518=التقارير!$C$7))),1,0))</f>
        <v/>
      </c>
      <c r="T1518" s="20">
        <f>IF(S1518=1,COUNTIF($S$5:S1518,1),"")</f>
        <v/>
      </c>
      <c r="U1518">
        <f>IF(AND($A1518&lt;&gt;"",$B1518&lt;&gt;"",$R1518='تقرير الفصل الأول'!$C$4,$Q1518='تقرير الفصل الأول'!$C$7),COUNT(U$4:U1517)+1,"")</f>
        <v/>
      </c>
      <c r="V1518">
        <f>IF(AND($A1518&lt;&gt;"",$B1518&lt;&gt;"",$R1518='تقرير الفصل الثاني'!$C$4,$Q1518='تقرير الفصل الثاني'!$C$7),COUNT(V$4:V1517)+1,"")</f>
        <v/>
      </c>
      <c r="W1518">
        <f>IF(AND($A1518&lt;&gt;"",$B1518&lt;&gt;"",$R1518='تقرير سبتمبر'!$C$4,$P1518='تقرير سبتمبر'!$C$6),COUNT(W$4:W1517)+1,"")</f>
        <v/>
      </c>
      <c r="X1518">
        <f>IF(AND($A1518&lt;&gt;"",$B1518&lt;&gt;"",$R1518='تقرير أكتوبر'!$C$4,$P1518='تقرير أكتوبر'!$C$6),COUNT(X$4:X1517)+1,"")</f>
        <v/>
      </c>
      <c r="Y1518">
        <f>IF(AND($A1518&lt;&gt;"",$B1518&lt;&gt;"",$R1518='تقرير نوفمبر'!$C$4,$P1518='تقرير نوفمبر'!$C$6),COUNT(Y$4:Y1517)+1,"")</f>
        <v/>
      </c>
      <c r="Z1518">
        <f>IF(AND($A1518&lt;&gt;"",$B1518&lt;&gt;"",$R1518='تقرير ديسمبر'!$C$4,$P1518='تقرير ديسمبر'!$C$6),COUNT(Z$4:Z1517)+1,"")</f>
        <v/>
      </c>
      <c r="AA1518">
        <f>IF(AND($A1518&lt;&gt;"",$B1518&lt;&gt;"",$R1518='تقرير يناير'!$C$4,$P1518='تقرير يناير'!$C$6),COUNT(AA$4:AA1517)+1,"")</f>
        <v/>
      </c>
      <c r="AB1518">
        <f>IF(AND($A1518&lt;&gt;"",$B1518&lt;&gt;"",$R1518='تقرير فبراير'!$C$4,$P1518='تقرير فبراير'!$C$6),COUNT(AB$4:AB1517)+1,"")</f>
        <v/>
      </c>
      <c r="AC1518">
        <f>IF(AND($A1518&lt;&gt;"",$B1518&lt;&gt;"",$R1518='تقرير مارس'!$C$4,$P1518='تقرير مارس'!$C$6),COUNT(AC$4:AC1517)+1,"")</f>
        <v/>
      </c>
      <c r="AD1518">
        <f>IF(AND($A1518&lt;&gt;"",$B1518&lt;&gt;"",$R1518='تقرير أبريل'!$C$4,$P1518='تقرير أبريل'!$C$6),COUNT(AD$4:AD1517)+1,"")</f>
        <v/>
      </c>
      <c r="AE1518">
        <f>IF(AND($A1518&lt;&gt;"",$B1518&lt;&gt;"",$R1518='تقرير مايو'!$C$4,$P1518='تقرير مايو'!$C$6),COUNT(AE$4:AE1517)+1,"")</f>
        <v/>
      </c>
    </row>
    <row r="1519">
      <c r="A1519" s="16" t="n"/>
      <c r="B1519" s="17" t="n"/>
      <c r="C1519" s="17" t="n"/>
      <c r="D1519" s="18" t="n"/>
      <c r="E1519" s="17" t="n"/>
      <c r="F1519" s="17" t="n"/>
      <c r="G1519" s="19" t="n"/>
      <c r="H1519" s="17" t="n"/>
      <c r="I1519" s="17" t="n"/>
      <c r="J1519" s="17" t="n"/>
      <c r="K1519" s="20">
        <f>IF($B1519="","",IFERROR(INDEX(الموظفات!$A$5:$A$304,MATCH($B1519,الموظفات!$B$5:$B$304,0))&amp;"",""))</f>
        <v/>
      </c>
      <c r="L1519" s="21">
        <f>IF($B1519="","",IFERROR(INDEX(الموظفات!$C$5:$C$304,MATCH($B1519,الموظفات!$B$5:$B$304,0))&amp;"",""))</f>
        <v/>
      </c>
      <c r="M1519" s="20">
        <f>IF($B1519="","",IFERROR(INDEX(الموظفات!$D$5:$D$304,MATCH($B1519,الموظفات!$B$5:$B$304,0))&amp;"",""))</f>
        <v/>
      </c>
      <c r="N1519" s="20">
        <f>IF($B1519="","",IFERROR(INDEX(الموظفات!$E$5:$E$304,MATCH($B1519,الموظفات!$B$5:$B$304,0))&amp;"",""))</f>
        <v/>
      </c>
      <c r="O1519" s="21">
        <f>IF(C1519="","",IFERROR(INDEX(الإعدادات!$D$7:$D$35,MATCH(C1519,الإعدادات!$A$7:$A$35,0))&amp;"",""))</f>
        <v/>
      </c>
      <c r="P1519" s="20">
        <f>IF(A1519="","",INDEX(الإعدادات!$H$7:$H$18,MONTH(A1519)))</f>
        <v/>
      </c>
      <c r="Q1519" s="20">
        <f>IF(A1519="","",INDEX(الإعدادات!$I$7:$I$18,MONTH(A1519)))</f>
        <v/>
      </c>
      <c r="R1519" s="20">
        <f>IF(A1519="","",IF(MONTH(A1519)&gt;=8,YEAR(A1519)&amp;"-"&amp;(YEAR(A1519)+1),(YEAR(A1519)-1)&amp;"-"&amp;YEAR(A1519)))</f>
        <v/>
      </c>
      <c r="S1519" s="20">
        <f>IF(OR(A1519="",B1519=""),0,IF(AND(R1519=التقارير!$C$4,OR(التقارير!$C$5="سنوي",AND(التقارير!$C$5="شهري",P1519=التقارير!$C$6),AND(التقارير!$C$5="فصلي",Q1519=التقارير!$C$7))),1,0))</f>
        <v/>
      </c>
      <c r="T1519" s="20">
        <f>IF(S1519=1,COUNTIF($S$5:S1519,1),"")</f>
        <v/>
      </c>
      <c r="U1519">
        <f>IF(AND($A1519&lt;&gt;"",$B1519&lt;&gt;"",$R1519='تقرير الفصل الأول'!$C$4,$Q1519='تقرير الفصل الأول'!$C$7),COUNT(U$4:U1518)+1,"")</f>
        <v/>
      </c>
      <c r="V1519">
        <f>IF(AND($A1519&lt;&gt;"",$B1519&lt;&gt;"",$R1519='تقرير الفصل الثاني'!$C$4,$Q1519='تقرير الفصل الثاني'!$C$7),COUNT(V$4:V1518)+1,"")</f>
        <v/>
      </c>
      <c r="W1519">
        <f>IF(AND($A1519&lt;&gt;"",$B1519&lt;&gt;"",$R1519='تقرير سبتمبر'!$C$4,$P1519='تقرير سبتمبر'!$C$6),COUNT(W$4:W1518)+1,"")</f>
        <v/>
      </c>
      <c r="X1519">
        <f>IF(AND($A1519&lt;&gt;"",$B1519&lt;&gt;"",$R1519='تقرير أكتوبر'!$C$4,$P1519='تقرير أكتوبر'!$C$6),COUNT(X$4:X1518)+1,"")</f>
        <v/>
      </c>
      <c r="Y1519">
        <f>IF(AND($A1519&lt;&gt;"",$B1519&lt;&gt;"",$R1519='تقرير نوفمبر'!$C$4,$P1519='تقرير نوفمبر'!$C$6),COUNT(Y$4:Y1518)+1,"")</f>
        <v/>
      </c>
      <c r="Z1519">
        <f>IF(AND($A1519&lt;&gt;"",$B1519&lt;&gt;"",$R1519='تقرير ديسمبر'!$C$4,$P1519='تقرير ديسمبر'!$C$6),COUNT(Z$4:Z1518)+1,"")</f>
        <v/>
      </c>
      <c r="AA1519">
        <f>IF(AND($A1519&lt;&gt;"",$B1519&lt;&gt;"",$R1519='تقرير يناير'!$C$4,$P1519='تقرير يناير'!$C$6),COUNT(AA$4:AA1518)+1,"")</f>
        <v/>
      </c>
      <c r="AB1519">
        <f>IF(AND($A1519&lt;&gt;"",$B1519&lt;&gt;"",$R1519='تقرير فبراير'!$C$4,$P1519='تقرير فبراير'!$C$6),COUNT(AB$4:AB1518)+1,"")</f>
        <v/>
      </c>
      <c r="AC1519">
        <f>IF(AND($A1519&lt;&gt;"",$B1519&lt;&gt;"",$R1519='تقرير مارس'!$C$4,$P1519='تقرير مارس'!$C$6),COUNT(AC$4:AC1518)+1,"")</f>
        <v/>
      </c>
      <c r="AD1519">
        <f>IF(AND($A1519&lt;&gt;"",$B1519&lt;&gt;"",$R1519='تقرير أبريل'!$C$4,$P1519='تقرير أبريل'!$C$6),COUNT(AD$4:AD1518)+1,"")</f>
        <v/>
      </c>
      <c r="AE1519">
        <f>IF(AND($A1519&lt;&gt;"",$B1519&lt;&gt;"",$R1519='تقرير مايو'!$C$4,$P1519='تقرير مايو'!$C$6),COUNT(AE$4:AE1518)+1,"")</f>
        <v/>
      </c>
    </row>
    <row r="1520">
      <c r="A1520" s="16" t="n"/>
      <c r="B1520" s="17" t="n"/>
      <c r="C1520" s="17" t="n"/>
      <c r="D1520" s="18" t="n"/>
      <c r="E1520" s="17" t="n"/>
      <c r="F1520" s="17" t="n"/>
      <c r="G1520" s="19" t="n"/>
      <c r="H1520" s="17" t="n"/>
      <c r="I1520" s="17" t="n"/>
      <c r="J1520" s="17" t="n"/>
      <c r="K1520" s="20">
        <f>IF($B1520="","",IFERROR(INDEX(الموظفات!$A$5:$A$304,MATCH($B1520,الموظفات!$B$5:$B$304,0))&amp;"",""))</f>
        <v/>
      </c>
      <c r="L1520" s="21">
        <f>IF($B1520="","",IFERROR(INDEX(الموظفات!$C$5:$C$304,MATCH($B1520,الموظفات!$B$5:$B$304,0))&amp;"",""))</f>
        <v/>
      </c>
      <c r="M1520" s="20">
        <f>IF($B1520="","",IFERROR(INDEX(الموظفات!$D$5:$D$304,MATCH($B1520,الموظفات!$B$5:$B$304,0))&amp;"",""))</f>
        <v/>
      </c>
      <c r="N1520" s="20">
        <f>IF($B1520="","",IFERROR(INDEX(الموظفات!$E$5:$E$304,MATCH($B1520,الموظفات!$B$5:$B$304,0))&amp;"",""))</f>
        <v/>
      </c>
      <c r="O1520" s="21">
        <f>IF(C1520="","",IFERROR(INDEX(الإعدادات!$D$7:$D$35,MATCH(C1520,الإعدادات!$A$7:$A$35,0))&amp;"",""))</f>
        <v/>
      </c>
      <c r="P1520" s="20">
        <f>IF(A1520="","",INDEX(الإعدادات!$H$7:$H$18,MONTH(A1520)))</f>
        <v/>
      </c>
      <c r="Q1520" s="20">
        <f>IF(A1520="","",INDEX(الإعدادات!$I$7:$I$18,MONTH(A1520)))</f>
        <v/>
      </c>
      <c r="R1520" s="20">
        <f>IF(A1520="","",IF(MONTH(A1520)&gt;=8,YEAR(A1520)&amp;"-"&amp;(YEAR(A1520)+1),(YEAR(A1520)-1)&amp;"-"&amp;YEAR(A1520)))</f>
        <v/>
      </c>
      <c r="S1520" s="20">
        <f>IF(OR(A1520="",B1520=""),0,IF(AND(R1520=التقارير!$C$4,OR(التقارير!$C$5="سنوي",AND(التقارير!$C$5="شهري",P1520=التقارير!$C$6),AND(التقارير!$C$5="فصلي",Q1520=التقارير!$C$7))),1,0))</f>
        <v/>
      </c>
      <c r="T1520" s="20">
        <f>IF(S1520=1,COUNTIF($S$5:S1520,1),"")</f>
        <v/>
      </c>
      <c r="U1520">
        <f>IF(AND($A1520&lt;&gt;"",$B1520&lt;&gt;"",$R1520='تقرير الفصل الأول'!$C$4,$Q1520='تقرير الفصل الأول'!$C$7),COUNT(U$4:U1519)+1,"")</f>
        <v/>
      </c>
      <c r="V1520">
        <f>IF(AND($A1520&lt;&gt;"",$B1520&lt;&gt;"",$R1520='تقرير الفصل الثاني'!$C$4,$Q1520='تقرير الفصل الثاني'!$C$7),COUNT(V$4:V1519)+1,"")</f>
        <v/>
      </c>
      <c r="W1520">
        <f>IF(AND($A1520&lt;&gt;"",$B1520&lt;&gt;"",$R1520='تقرير سبتمبر'!$C$4,$P1520='تقرير سبتمبر'!$C$6),COUNT(W$4:W1519)+1,"")</f>
        <v/>
      </c>
      <c r="X1520">
        <f>IF(AND($A1520&lt;&gt;"",$B1520&lt;&gt;"",$R1520='تقرير أكتوبر'!$C$4,$P1520='تقرير أكتوبر'!$C$6),COUNT(X$4:X1519)+1,"")</f>
        <v/>
      </c>
      <c r="Y1520">
        <f>IF(AND($A1520&lt;&gt;"",$B1520&lt;&gt;"",$R1520='تقرير نوفمبر'!$C$4,$P1520='تقرير نوفمبر'!$C$6),COUNT(Y$4:Y1519)+1,"")</f>
        <v/>
      </c>
      <c r="Z1520">
        <f>IF(AND($A1520&lt;&gt;"",$B1520&lt;&gt;"",$R1520='تقرير ديسمبر'!$C$4,$P1520='تقرير ديسمبر'!$C$6),COUNT(Z$4:Z1519)+1,"")</f>
        <v/>
      </c>
      <c r="AA1520">
        <f>IF(AND($A1520&lt;&gt;"",$B1520&lt;&gt;"",$R1520='تقرير يناير'!$C$4,$P1520='تقرير يناير'!$C$6),COUNT(AA$4:AA1519)+1,"")</f>
        <v/>
      </c>
      <c r="AB1520">
        <f>IF(AND($A1520&lt;&gt;"",$B1520&lt;&gt;"",$R1520='تقرير فبراير'!$C$4,$P1520='تقرير فبراير'!$C$6),COUNT(AB$4:AB1519)+1,"")</f>
        <v/>
      </c>
      <c r="AC1520">
        <f>IF(AND($A1520&lt;&gt;"",$B1520&lt;&gt;"",$R1520='تقرير مارس'!$C$4,$P1520='تقرير مارس'!$C$6),COUNT(AC$4:AC1519)+1,"")</f>
        <v/>
      </c>
      <c r="AD1520">
        <f>IF(AND($A1520&lt;&gt;"",$B1520&lt;&gt;"",$R1520='تقرير أبريل'!$C$4,$P1520='تقرير أبريل'!$C$6),COUNT(AD$4:AD1519)+1,"")</f>
        <v/>
      </c>
      <c r="AE1520">
        <f>IF(AND($A1520&lt;&gt;"",$B1520&lt;&gt;"",$R1520='تقرير مايو'!$C$4,$P1520='تقرير مايو'!$C$6),COUNT(AE$4:AE1519)+1,"")</f>
        <v/>
      </c>
    </row>
    <row r="1521">
      <c r="A1521" s="16" t="n"/>
      <c r="B1521" s="17" t="n"/>
      <c r="C1521" s="17" t="n"/>
      <c r="D1521" s="18" t="n"/>
      <c r="E1521" s="17" t="n"/>
      <c r="F1521" s="17" t="n"/>
      <c r="G1521" s="19" t="n"/>
      <c r="H1521" s="17" t="n"/>
      <c r="I1521" s="17" t="n"/>
      <c r="J1521" s="17" t="n"/>
      <c r="K1521" s="20">
        <f>IF($B1521="","",IFERROR(INDEX(الموظفات!$A$5:$A$304,MATCH($B1521,الموظفات!$B$5:$B$304,0))&amp;"",""))</f>
        <v/>
      </c>
      <c r="L1521" s="21">
        <f>IF($B1521="","",IFERROR(INDEX(الموظفات!$C$5:$C$304,MATCH($B1521,الموظفات!$B$5:$B$304,0))&amp;"",""))</f>
        <v/>
      </c>
      <c r="M1521" s="20">
        <f>IF($B1521="","",IFERROR(INDEX(الموظفات!$D$5:$D$304,MATCH($B1521,الموظفات!$B$5:$B$304,0))&amp;"",""))</f>
        <v/>
      </c>
      <c r="N1521" s="20">
        <f>IF($B1521="","",IFERROR(INDEX(الموظفات!$E$5:$E$304,MATCH($B1521,الموظفات!$B$5:$B$304,0))&amp;"",""))</f>
        <v/>
      </c>
      <c r="O1521" s="21">
        <f>IF(C1521="","",IFERROR(INDEX(الإعدادات!$D$7:$D$35,MATCH(C1521,الإعدادات!$A$7:$A$35,0))&amp;"",""))</f>
        <v/>
      </c>
      <c r="P1521" s="20">
        <f>IF(A1521="","",INDEX(الإعدادات!$H$7:$H$18,MONTH(A1521)))</f>
        <v/>
      </c>
      <c r="Q1521" s="20">
        <f>IF(A1521="","",INDEX(الإعدادات!$I$7:$I$18,MONTH(A1521)))</f>
        <v/>
      </c>
      <c r="R1521" s="20">
        <f>IF(A1521="","",IF(MONTH(A1521)&gt;=8,YEAR(A1521)&amp;"-"&amp;(YEAR(A1521)+1),(YEAR(A1521)-1)&amp;"-"&amp;YEAR(A1521)))</f>
        <v/>
      </c>
      <c r="S1521" s="20">
        <f>IF(OR(A1521="",B1521=""),0,IF(AND(R1521=التقارير!$C$4,OR(التقارير!$C$5="سنوي",AND(التقارير!$C$5="شهري",P1521=التقارير!$C$6),AND(التقارير!$C$5="فصلي",Q1521=التقارير!$C$7))),1,0))</f>
        <v/>
      </c>
      <c r="T1521" s="20">
        <f>IF(S1521=1,COUNTIF($S$5:S1521,1),"")</f>
        <v/>
      </c>
      <c r="U1521">
        <f>IF(AND($A1521&lt;&gt;"",$B1521&lt;&gt;"",$R1521='تقرير الفصل الأول'!$C$4,$Q1521='تقرير الفصل الأول'!$C$7),COUNT(U$4:U1520)+1,"")</f>
        <v/>
      </c>
      <c r="V1521">
        <f>IF(AND($A1521&lt;&gt;"",$B1521&lt;&gt;"",$R1521='تقرير الفصل الثاني'!$C$4,$Q1521='تقرير الفصل الثاني'!$C$7),COUNT(V$4:V1520)+1,"")</f>
        <v/>
      </c>
      <c r="W1521">
        <f>IF(AND($A1521&lt;&gt;"",$B1521&lt;&gt;"",$R1521='تقرير سبتمبر'!$C$4,$P1521='تقرير سبتمبر'!$C$6),COUNT(W$4:W1520)+1,"")</f>
        <v/>
      </c>
      <c r="X1521">
        <f>IF(AND($A1521&lt;&gt;"",$B1521&lt;&gt;"",$R1521='تقرير أكتوبر'!$C$4,$P1521='تقرير أكتوبر'!$C$6),COUNT(X$4:X1520)+1,"")</f>
        <v/>
      </c>
      <c r="Y1521">
        <f>IF(AND($A1521&lt;&gt;"",$B1521&lt;&gt;"",$R1521='تقرير نوفمبر'!$C$4,$P1521='تقرير نوفمبر'!$C$6),COUNT(Y$4:Y1520)+1,"")</f>
        <v/>
      </c>
      <c r="Z1521">
        <f>IF(AND($A1521&lt;&gt;"",$B1521&lt;&gt;"",$R1521='تقرير ديسمبر'!$C$4,$P1521='تقرير ديسمبر'!$C$6),COUNT(Z$4:Z1520)+1,"")</f>
        <v/>
      </c>
      <c r="AA1521">
        <f>IF(AND($A1521&lt;&gt;"",$B1521&lt;&gt;"",$R1521='تقرير يناير'!$C$4,$P1521='تقرير يناير'!$C$6),COUNT(AA$4:AA1520)+1,"")</f>
        <v/>
      </c>
      <c r="AB1521">
        <f>IF(AND($A1521&lt;&gt;"",$B1521&lt;&gt;"",$R1521='تقرير فبراير'!$C$4,$P1521='تقرير فبراير'!$C$6),COUNT(AB$4:AB1520)+1,"")</f>
        <v/>
      </c>
      <c r="AC1521">
        <f>IF(AND($A1521&lt;&gt;"",$B1521&lt;&gt;"",$R1521='تقرير مارس'!$C$4,$P1521='تقرير مارس'!$C$6),COUNT(AC$4:AC1520)+1,"")</f>
        <v/>
      </c>
      <c r="AD1521">
        <f>IF(AND($A1521&lt;&gt;"",$B1521&lt;&gt;"",$R1521='تقرير أبريل'!$C$4,$P1521='تقرير أبريل'!$C$6),COUNT(AD$4:AD1520)+1,"")</f>
        <v/>
      </c>
      <c r="AE1521">
        <f>IF(AND($A1521&lt;&gt;"",$B1521&lt;&gt;"",$R1521='تقرير مايو'!$C$4,$P1521='تقرير مايو'!$C$6),COUNT(AE$4:AE1520)+1,"")</f>
        <v/>
      </c>
    </row>
    <row r="1522">
      <c r="A1522" s="16" t="n"/>
      <c r="B1522" s="17" t="n"/>
      <c r="C1522" s="17" t="n"/>
      <c r="D1522" s="18" t="n"/>
      <c r="E1522" s="17" t="n"/>
      <c r="F1522" s="17" t="n"/>
      <c r="G1522" s="19" t="n"/>
      <c r="H1522" s="17" t="n"/>
      <c r="I1522" s="17" t="n"/>
      <c r="J1522" s="17" t="n"/>
      <c r="K1522" s="20">
        <f>IF($B1522="","",IFERROR(INDEX(الموظفات!$A$5:$A$304,MATCH($B1522,الموظفات!$B$5:$B$304,0))&amp;"",""))</f>
        <v/>
      </c>
      <c r="L1522" s="21">
        <f>IF($B1522="","",IFERROR(INDEX(الموظفات!$C$5:$C$304,MATCH($B1522,الموظفات!$B$5:$B$304,0))&amp;"",""))</f>
        <v/>
      </c>
      <c r="M1522" s="20">
        <f>IF($B1522="","",IFERROR(INDEX(الموظفات!$D$5:$D$304,MATCH($B1522,الموظفات!$B$5:$B$304,0))&amp;"",""))</f>
        <v/>
      </c>
      <c r="N1522" s="20">
        <f>IF($B1522="","",IFERROR(INDEX(الموظفات!$E$5:$E$304,MATCH($B1522,الموظفات!$B$5:$B$304,0))&amp;"",""))</f>
        <v/>
      </c>
      <c r="O1522" s="21">
        <f>IF(C1522="","",IFERROR(INDEX(الإعدادات!$D$7:$D$35,MATCH(C1522,الإعدادات!$A$7:$A$35,0))&amp;"",""))</f>
        <v/>
      </c>
      <c r="P1522" s="20">
        <f>IF(A1522="","",INDEX(الإعدادات!$H$7:$H$18,MONTH(A1522)))</f>
        <v/>
      </c>
      <c r="Q1522" s="20">
        <f>IF(A1522="","",INDEX(الإعدادات!$I$7:$I$18,MONTH(A1522)))</f>
        <v/>
      </c>
      <c r="R1522" s="20">
        <f>IF(A1522="","",IF(MONTH(A1522)&gt;=8,YEAR(A1522)&amp;"-"&amp;(YEAR(A1522)+1),(YEAR(A1522)-1)&amp;"-"&amp;YEAR(A1522)))</f>
        <v/>
      </c>
      <c r="S1522" s="20">
        <f>IF(OR(A1522="",B1522=""),0,IF(AND(R1522=التقارير!$C$4,OR(التقارير!$C$5="سنوي",AND(التقارير!$C$5="شهري",P1522=التقارير!$C$6),AND(التقارير!$C$5="فصلي",Q1522=التقارير!$C$7))),1,0))</f>
        <v/>
      </c>
      <c r="T1522" s="20">
        <f>IF(S1522=1,COUNTIF($S$5:S1522,1),"")</f>
        <v/>
      </c>
      <c r="U1522">
        <f>IF(AND($A1522&lt;&gt;"",$B1522&lt;&gt;"",$R1522='تقرير الفصل الأول'!$C$4,$Q1522='تقرير الفصل الأول'!$C$7),COUNT(U$4:U1521)+1,"")</f>
        <v/>
      </c>
      <c r="V1522">
        <f>IF(AND($A1522&lt;&gt;"",$B1522&lt;&gt;"",$R1522='تقرير الفصل الثاني'!$C$4,$Q1522='تقرير الفصل الثاني'!$C$7),COUNT(V$4:V1521)+1,"")</f>
        <v/>
      </c>
      <c r="W1522">
        <f>IF(AND($A1522&lt;&gt;"",$B1522&lt;&gt;"",$R1522='تقرير سبتمبر'!$C$4,$P1522='تقرير سبتمبر'!$C$6),COUNT(W$4:W1521)+1,"")</f>
        <v/>
      </c>
      <c r="X1522">
        <f>IF(AND($A1522&lt;&gt;"",$B1522&lt;&gt;"",$R1522='تقرير أكتوبر'!$C$4,$P1522='تقرير أكتوبر'!$C$6),COUNT(X$4:X1521)+1,"")</f>
        <v/>
      </c>
      <c r="Y1522">
        <f>IF(AND($A1522&lt;&gt;"",$B1522&lt;&gt;"",$R1522='تقرير نوفمبر'!$C$4,$P1522='تقرير نوفمبر'!$C$6),COUNT(Y$4:Y1521)+1,"")</f>
        <v/>
      </c>
      <c r="Z1522">
        <f>IF(AND($A1522&lt;&gt;"",$B1522&lt;&gt;"",$R1522='تقرير ديسمبر'!$C$4,$P1522='تقرير ديسمبر'!$C$6),COUNT(Z$4:Z1521)+1,"")</f>
        <v/>
      </c>
      <c r="AA1522">
        <f>IF(AND($A1522&lt;&gt;"",$B1522&lt;&gt;"",$R1522='تقرير يناير'!$C$4,$P1522='تقرير يناير'!$C$6),COUNT(AA$4:AA1521)+1,"")</f>
        <v/>
      </c>
      <c r="AB1522">
        <f>IF(AND($A1522&lt;&gt;"",$B1522&lt;&gt;"",$R1522='تقرير فبراير'!$C$4,$P1522='تقرير فبراير'!$C$6),COUNT(AB$4:AB1521)+1,"")</f>
        <v/>
      </c>
      <c r="AC1522">
        <f>IF(AND($A1522&lt;&gt;"",$B1522&lt;&gt;"",$R1522='تقرير مارس'!$C$4,$P1522='تقرير مارس'!$C$6),COUNT(AC$4:AC1521)+1,"")</f>
        <v/>
      </c>
      <c r="AD1522">
        <f>IF(AND($A1522&lt;&gt;"",$B1522&lt;&gt;"",$R1522='تقرير أبريل'!$C$4,$P1522='تقرير أبريل'!$C$6),COUNT(AD$4:AD1521)+1,"")</f>
        <v/>
      </c>
      <c r="AE1522">
        <f>IF(AND($A1522&lt;&gt;"",$B1522&lt;&gt;"",$R1522='تقرير مايو'!$C$4,$P1522='تقرير مايو'!$C$6),COUNT(AE$4:AE1521)+1,"")</f>
        <v/>
      </c>
    </row>
    <row r="1523">
      <c r="A1523" s="16" t="n"/>
      <c r="B1523" s="17" t="n"/>
      <c r="C1523" s="17" t="n"/>
      <c r="D1523" s="18" t="n"/>
      <c r="E1523" s="17" t="n"/>
      <c r="F1523" s="17" t="n"/>
      <c r="G1523" s="19" t="n"/>
      <c r="H1523" s="17" t="n"/>
      <c r="I1523" s="17" t="n"/>
      <c r="J1523" s="17" t="n"/>
      <c r="K1523" s="20">
        <f>IF($B1523="","",IFERROR(INDEX(الموظفات!$A$5:$A$304,MATCH($B1523,الموظفات!$B$5:$B$304,0))&amp;"",""))</f>
        <v/>
      </c>
      <c r="L1523" s="21">
        <f>IF($B1523="","",IFERROR(INDEX(الموظفات!$C$5:$C$304,MATCH($B1523,الموظفات!$B$5:$B$304,0))&amp;"",""))</f>
        <v/>
      </c>
      <c r="M1523" s="20">
        <f>IF($B1523="","",IFERROR(INDEX(الموظفات!$D$5:$D$304,MATCH($B1523,الموظفات!$B$5:$B$304,0))&amp;"",""))</f>
        <v/>
      </c>
      <c r="N1523" s="20">
        <f>IF($B1523="","",IFERROR(INDEX(الموظفات!$E$5:$E$304,MATCH($B1523,الموظفات!$B$5:$B$304,0))&amp;"",""))</f>
        <v/>
      </c>
      <c r="O1523" s="21">
        <f>IF(C1523="","",IFERROR(INDEX(الإعدادات!$D$7:$D$35,MATCH(C1523,الإعدادات!$A$7:$A$35,0))&amp;"",""))</f>
        <v/>
      </c>
      <c r="P1523" s="20">
        <f>IF(A1523="","",INDEX(الإعدادات!$H$7:$H$18,MONTH(A1523)))</f>
        <v/>
      </c>
      <c r="Q1523" s="20">
        <f>IF(A1523="","",INDEX(الإعدادات!$I$7:$I$18,MONTH(A1523)))</f>
        <v/>
      </c>
      <c r="R1523" s="20">
        <f>IF(A1523="","",IF(MONTH(A1523)&gt;=8,YEAR(A1523)&amp;"-"&amp;(YEAR(A1523)+1),(YEAR(A1523)-1)&amp;"-"&amp;YEAR(A1523)))</f>
        <v/>
      </c>
      <c r="S1523" s="20">
        <f>IF(OR(A1523="",B1523=""),0,IF(AND(R1523=التقارير!$C$4,OR(التقارير!$C$5="سنوي",AND(التقارير!$C$5="شهري",P1523=التقارير!$C$6),AND(التقارير!$C$5="فصلي",Q1523=التقارير!$C$7))),1,0))</f>
        <v/>
      </c>
      <c r="T1523" s="20">
        <f>IF(S1523=1,COUNTIF($S$5:S1523,1),"")</f>
        <v/>
      </c>
      <c r="U1523">
        <f>IF(AND($A1523&lt;&gt;"",$B1523&lt;&gt;"",$R1523='تقرير الفصل الأول'!$C$4,$Q1523='تقرير الفصل الأول'!$C$7),COUNT(U$4:U1522)+1,"")</f>
        <v/>
      </c>
      <c r="V1523">
        <f>IF(AND($A1523&lt;&gt;"",$B1523&lt;&gt;"",$R1523='تقرير الفصل الثاني'!$C$4,$Q1523='تقرير الفصل الثاني'!$C$7),COUNT(V$4:V1522)+1,"")</f>
        <v/>
      </c>
      <c r="W1523">
        <f>IF(AND($A1523&lt;&gt;"",$B1523&lt;&gt;"",$R1523='تقرير سبتمبر'!$C$4,$P1523='تقرير سبتمبر'!$C$6),COUNT(W$4:W1522)+1,"")</f>
        <v/>
      </c>
      <c r="X1523">
        <f>IF(AND($A1523&lt;&gt;"",$B1523&lt;&gt;"",$R1523='تقرير أكتوبر'!$C$4,$P1523='تقرير أكتوبر'!$C$6),COUNT(X$4:X1522)+1,"")</f>
        <v/>
      </c>
      <c r="Y1523">
        <f>IF(AND($A1523&lt;&gt;"",$B1523&lt;&gt;"",$R1523='تقرير نوفمبر'!$C$4,$P1523='تقرير نوفمبر'!$C$6),COUNT(Y$4:Y1522)+1,"")</f>
        <v/>
      </c>
      <c r="Z1523">
        <f>IF(AND($A1523&lt;&gt;"",$B1523&lt;&gt;"",$R1523='تقرير ديسمبر'!$C$4,$P1523='تقرير ديسمبر'!$C$6),COUNT(Z$4:Z1522)+1,"")</f>
        <v/>
      </c>
      <c r="AA1523">
        <f>IF(AND($A1523&lt;&gt;"",$B1523&lt;&gt;"",$R1523='تقرير يناير'!$C$4,$P1523='تقرير يناير'!$C$6),COUNT(AA$4:AA1522)+1,"")</f>
        <v/>
      </c>
      <c r="AB1523">
        <f>IF(AND($A1523&lt;&gt;"",$B1523&lt;&gt;"",$R1523='تقرير فبراير'!$C$4,$P1523='تقرير فبراير'!$C$6),COUNT(AB$4:AB1522)+1,"")</f>
        <v/>
      </c>
      <c r="AC1523">
        <f>IF(AND($A1523&lt;&gt;"",$B1523&lt;&gt;"",$R1523='تقرير مارس'!$C$4,$P1523='تقرير مارس'!$C$6),COUNT(AC$4:AC1522)+1,"")</f>
        <v/>
      </c>
      <c r="AD1523">
        <f>IF(AND($A1523&lt;&gt;"",$B1523&lt;&gt;"",$R1523='تقرير أبريل'!$C$4,$P1523='تقرير أبريل'!$C$6),COUNT(AD$4:AD1522)+1,"")</f>
        <v/>
      </c>
      <c r="AE1523">
        <f>IF(AND($A1523&lt;&gt;"",$B1523&lt;&gt;"",$R1523='تقرير مايو'!$C$4,$P1523='تقرير مايو'!$C$6),COUNT(AE$4:AE1522)+1,"")</f>
        <v/>
      </c>
    </row>
    <row r="1524">
      <c r="A1524" s="16" t="n"/>
      <c r="B1524" s="17" t="n"/>
      <c r="C1524" s="17" t="n"/>
      <c r="D1524" s="18" t="n"/>
      <c r="E1524" s="17" t="n"/>
      <c r="F1524" s="17" t="n"/>
      <c r="G1524" s="19" t="n"/>
      <c r="H1524" s="17" t="n"/>
      <c r="I1524" s="17" t="n"/>
      <c r="J1524" s="17" t="n"/>
      <c r="K1524" s="20">
        <f>IF($B1524="","",IFERROR(INDEX(الموظفات!$A$5:$A$304,MATCH($B1524,الموظفات!$B$5:$B$304,0))&amp;"",""))</f>
        <v/>
      </c>
      <c r="L1524" s="21">
        <f>IF($B1524="","",IFERROR(INDEX(الموظفات!$C$5:$C$304,MATCH($B1524,الموظفات!$B$5:$B$304,0))&amp;"",""))</f>
        <v/>
      </c>
      <c r="M1524" s="20">
        <f>IF($B1524="","",IFERROR(INDEX(الموظفات!$D$5:$D$304,MATCH($B1524,الموظفات!$B$5:$B$304,0))&amp;"",""))</f>
        <v/>
      </c>
      <c r="N1524" s="20">
        <f>IF($B1524="","",IFERROR(INDEX(الموظفات!$E$5:$E$304,MATCH($B1524,الموظفات!$B$5:$B$304,0))&amp;"",""))</f>
        <v/>
      </c>
      <c r="O1524" s="21">
        <f>IF(C1524="","",IFERROR(INDEX(الإعدادات!$D$7:$D$35,MATCH(C1524,الإعدادات!$A$7:$A$35,0))&amp;"",""))</f>
        <v/>
      </c>
      <c r="P1524" s="20">
        <f>IF(A1524="","",INDEX(الإعدادات!$H$7:$H$18,MONTH(A1524)))</f>
        <v/>
      </c>
      <c r="Q1524" s="20">
        <f>IF(A1524="","",INDEX(الإعدادات!$I$7:$I$18,MONTH(A1524)))</f>
        <v/>
      </c>
      <c r="R1524" s="20">
        <f>IF(A1524="","",IF(MONTH(A1524)&gt;=8,YEAR(A1524)&amp;"-"&amp;(YEAR(A1524)+1),(YEAR(A1524)-1)&amp;"-"&amp;YEAR(A1524)))</f>
        <v/>
      </c>
      <c r="S1524" s="20">
        <f>IF(OR(A1524="",B1524=""),0,IF(AND(R1524=التقارير!$C$4,OR(التقارير!$C$5="سنوي",AND(التقارير!$C$5="شهري",P1524=التقارير!$C$6),AND(التقارير!$C$5="فصلي",Q1524=التقارير!$C$7))),1,0))</f>
        <v/>
      </c>
      <c r="T1524" s="20">
        <f>IF(S1524=1,COUNTIF($S$5:S1524,1),"")</f>
        <v/>
      </c>
      <c r="U1524">
        <f>IF(AND($A1524&lt;&gt;"",$B1524&lt;&gt;"",$R1524='تقرير الفصل الأول'!$C$4,$Q1524='تقرير الفصل الأول'!$C$7),COUNT(U$4:U1523)+1,"")</f>
        <v/>
      </c>
      <c r="V1524">
        <f>IF(AND($A1524&lt;&gt;"",$B1524&lt;&gt;"",$R1524='تقرير الفصل الثاني'!$C$4,$Q1524='تقرير الفصل الثاني'!$C$7),COUNT(V$4:V1523)+1,"")</f>
        <v/>
      </c>
      <c r="W1524">
        <f>IF(AND($A1524&lt;&gt;"",$B1524&lt;&gt;"",$R1524='تقرير سبتمبر'!$C$4,$P1524='تقرير سبتمبر'!$C$6),COUNT(W$4:W1523)+1,"")</f>
        <v/>
      </c>
      <c r="X1524">
        <f>IF(AND($A1524&lt;&gt;"",$B1524&lt;&gt;"",$R1524='تقرير أكتوبر'!$C$4,$P1524='تقرير أكتوبر'!$C$6),COUNT(X$4:X1523)+1,"")</f>
        <v/>
      </c>
      <c r="Y1524">
        <f>IF(AND($A1524&lt;&gt;"",$B1524&lt;&gt;"",$R1524='تقرير نوفمبر'!$C$4,$P1524='تقرير نوفمبر'!$C$6),COUNT(Y$4:Y1523)+1,"")</f>
        <v/>
      </c>
      <c r="Z1524">
        <f>IF(AND($A1524&lt;&gt;"",$B1524&lt;&gt;"",$R1524='تقرير ديسمبر'!$C$4,$P1524='تقرير ديسمبر'!$C$6),COUNT(Z$4:Z1523)+1,"")</f>
        <v/>
      </c>
      <c r="AA1524">
        <f>IF(AND($A1524&lt;&gt;"",$B1524&lt;&gt;"",$R1524='تقرير يناير'!$C$4,$P1524='تقرير يناير'!$C$6),COUNT(AA$4:AA1523)+1,"")</f>
        <v/>
      </c>
      <c r="AB1524">
        <f>IF(AND($A1524&lt;&gt;"",$B1524&lt;&gt;"",$R1524='تقرير فبراير'!$C$4,$P1524='تقرير فبراير'!$C$6),COUNT(AB$4:AB1523)+1,"")</f>
        <v/>
      </c>
      <c r="AC1524">
        <f>IF(AND($A1524&lt;&gt;"",$B1524&lt;&gt;"",$R1524='تقرير مارس'!$C$4,$P1524='تقرير مارس'!$C$6),COUNT(AC$4:AC1523)+1,"")</f>
        <v/>
      </c>
      <c r="AD1524">
        <f>IF(AND($A1524&lt;&gt;"",$B1524&lt;&gt;"",$R1524='تقرير أبريل'!$C$4,$P1524='تقرير أبريل'!$C$6),COUNT(AD$4:AD1523)+1,"")</f>
        <v/>
      </c>
      <c r="AE1524">
        <f>IF(AND($A1524&lt;&gt;"",$B1524&lt;&gt;"",$R1524='تقرير مايو'!$C$4,$P1524='تقرير مايو'!$C$6),COUNT(AE$4:AE1523)+1,"")</f>
        <v/>
      </c>
    </row>
    <row r="1525">
      <c r="A1525" s="16" t="n"/>
      <c r="B1525" s="17" t="n"/>
      <c r="C1525" s="17" t="n"/>
      <c r="D1525" s="18" t="n"/>
      <c r="E1525" s="17" t="n"/>
      <c r="F1525" s="17" t="n"/>
      <c r="G1525" s="19" t="n"/>
      <c r="H1525" s="17" t="n"/>
      <c r="I1525" s="17" t="n"/>
      <c r="J1525" s="17" t="n"/>
      <c r="K1525" s="20">
        <f>IF($B1525="","",IFERROR(INDEX(الموظفات!$A$5:$A$304,MATCH($B1525,الموظفات!$B$5:$B$304,0))&amp;"",""))</f>
        <v/>
      </c>
      <c r="L1525" s="21">
        <f>IF($B1525="","",IFERROR(INDEX(الموظفات!$C$5:$C$304,MATCH($B1525,الموظفات!$B$5:$B$304,0))&amp;"",""))</f>
        <v/>
      </c>
      <c r="M1525" s="20">
        <f>IF($B1525="","",IFERROR(INDEX(الموظفات!$D$5:$D$304,MATCH($B1525,الموظفات!$B$5:$B$304,0))&amp;"",""))</f>
        <v/>
      </c>
      <c r="N1525" s="20">
        <f>IF($B1525="","",IFERROR(INDEX(الموظفات!$E$5:$E$304,MATCH($B1525,الموظفات!$B$5:$B$304,0))&amp;"",""))</f>
        <v/>
      </c>
      <c r="O1525" s="21">
        <f>IF(C1525="","",IFERROR(INDEX(الإعدادات!$D$7:$D$35,MATCH(C1525,الإعدادات!$A$7:$A$35,0))&amp;"",""))</f>
        <v/>
      </c>
      <c r="P1525" s="20">
        <f>IF(A1525="","",INDEX(الإعدادات!$H$7:$H$18,MONTH(A1525)))</f>
        <v/>
      </c>
      <c r="Q1525" s="20">
        <f>IF(A1525="","",INDEX(الإعدادات!$I$7:$I$18,MONTH(A1525)))</f>
        <v/>
      </c>
      <c r="R1525" s="20">
        <f>IF(A1525="","",IF(MONTH(A1525)&gt;=8,YEAR(A1525)&amp;"-"&amp;(YEAR(A1525)+1),(YEAR(A1525)-1)&amp;"-"&amp;YEAR(A1525)))</f>
        <v/>
      </c>
      <c r="S1525" s="20">
        <f>IF(OR(A1525="",B1525=""),0,IF(AND(R1525=التقارير!$C$4,OR(التقارير!$C$5="سنوي",AND(التقارير!$C$5="شهري",P1525=التقارير!$C$6),AND(التقارير!$C$5="فصلي",Q1525=التقارير!$C$7))),1,0))</f>
        <v/>
      </c>
      <c r="T1525" s="20">
        <f>IF(S1525=1,COUNTIF($S$5:S1525,1),"")</f>
        <v/>
      </c>
      <c r="U1525">
        <f>IF(AND($A1525&lt;&gt;"",$B1525&lt;&gt;"",$R1525='تقرير الفصل الأول'!$C$4,$Q1525='تقرير الفصل الأول'!$C$7),COUNT(U$4:U1524)+1,"")</f>
        <v/>
      </c>
      <c r="V1525">
        <f>IF(AND($A1525&lt;&gt;"",$B1525&lt;&gt;"",$R1525='تقرير الفصل الثاني'!$C$4,$Q1525='تقرير الفصل الثاني'!$C$7),COUNT(V$4:V1524)+1,"")</f>
        <v/>
      </c>
      <c r="W1525">
        <f>IF(AND($A1525&lt;&gt;"",$B1525&lt;&gt;"",$R1525='تقرير سبتمبر'!$C$4,$P1525='تقرير سبتمبر'!$C$6),COUNT(W$4:W1524)+1,"")</f>
        <v/>
      </c>
      <c r="X1525">
        <f>IF(AND($A1525&lt;&gt;"",$B1525&lt;&gt;"",$R1525='تقرير أكتوبر'!$C$4,$P1525='تقرير أكتوبر'!$C$6),COUNT(X$4:X1524)+1,"")</f>
        <v/>
      </c>
      <c r="Y1525">
        <f>IF(AND($A1525&lt;&gt;"",$B1525&lt;&gt;"",$R1525='تقرير نوفمبر'!$C$4,$P1525='تقرير نوفمبر'!$C$6),COUNT(Y$4:Y1524)+1,"")</f>
        <v/>
      </c>
      <c r="Z1525">
        <f>IF(AND($A1525&lt;&gt;"",$B1525&lt;&gt;"",$R1525='تقرير ديسمبر'!$C$4,$P1525='تقرير ديسمبر'!$C$6),COUNT(Z$4:Z1524)+1,"")</f>
        <v/>
      </c>
      <c r="AA1525">
        <f>IF(AND($A1525&lt;&gt;"",$B1525&lt;&gt;"",$R1525='تقرير يناير'!$C$4,$P1525='تقرير يناير'!$C$6),COUNT(AA$4:AA1524)+1,"")</f>
        <v/>
      </c>
      <c r="AB1525">
        <f>IF(AND($A1525&lt;&gt;"",$B1525&lt;&gt;"",$R1525='تقرير فبراير'!$C$4,$P1525='تقرير فبراير'!$C$6),COUNT(AB$4:AB1524)+1,"")</f>
        <v/>
      </c>
      <c r="AC1525">
        <f>IF(AND($A1525&lt;&gt;"",$B1525&lt;&gt;"",$R1525='تقرير مارس'!$C$4,$P1525='تقرير مارس'!$C$6),COUNT(AC$4:AC1524)+1,"")</f>
        <v/>
      </c>
      <c r="AD1525">
        <f>IF(AND($A1525&lt;&gt;"",$B1525&lt;&gt;"",$R1525='تقرير أبريل'!$C$4,$P1525='تقرير أبريل'!$C$6),COUNT(AD$4:AD1524)+1,"")</f>
        <v/>
      </c>
      <c r="AE1525">
        <f>IF(AND($A1525&lt;&gt;"",$B1525&lt;&gt;"",$R1525='تقرير مايو'!$C$4,$P1525='تقرير مايو'!$C$6),COUNT(AE$4:AE1524)+1,"")</f>
        <v/>
      </c>
    </row>
    <row r="1526">
      <c r="A1526" s="16" t="n"/>
      <c r="B1526" s="17" t="n"/>
      <c r="C1526" s="17" t="n"/>
      <c r="D1526" s="18" t="n"/>
      <c r="E1526" s="17" t="n"/>
      <c r="F1526" s="17" t="n"/>
      <c r="G1526" s="19" t="n"/>
      <c r="H1526" s="17" t="n"/>
      <c r="I1526" s="17" t="n"/>
      <c r="J1526" s="17" t="n"/>
      <c r="K1526" s="20">
        <f>IF($B1526="","",IFERROR(INDEX(الموظفات!$A$5:$A$304,MATCH($B1526,الموظفات!$B$5:$B$304,0))&amp;"",""))</f>
        <v/>
      </c>
      <c r="L1526" s="21">
        <f>IF($B1526="","",IFERROR(INDEX(الموظفات!$C$5:$C$304,MATCH($B1526,الموظفات!$B$5:$B$304,0))&amp;"",""))</f>
        <v/>
      </c>
      <c r="M1526" s="20">
        <f>IF($B1526="","",IFERROR(INDEX(الموظفات!$D$5:$D$304,MATCH($B1526,الموظفات!$B$5:$B$304,0))&amp;"",""))</f>
        <v/>
      </c>
      <c r="N1526" s="20">
        <f>IF($B1526="","",IFERROR(INDEX(الموظفات!$E$5:$E$304,MATCH($B1526,الموظفات!$B$5:$B$304,0))&amp;"",""))</f>
        <v/>
      </c>
      <c r="O1526" s="21">
        <f>IF(C1526="","",IFERROR(INDEX(الإعدادات!$D$7:$D$35,MATCH(C1526,الإعدادات!$A$7:$A$35,0))&amp;"",""))</f>
        <v/>
      </c>
      <c r="P1526" s="20">
        <f>IF(A1526="","",INDEX(الإعدادات!$H$7:$H$18,MONTH(A1526)))</f>
        <v/>
      </c>
      <c r="Q1526" s="20">
        <f>IF(A1526="","",INDEX(الإعدادات!$I$7:$I$18,MONTH(A1526)))</f>
        <v/>
      </c>
      <c r="R1526" s="20">
        <f>IF(A1526="","",IF(MONTH(A1526)&gt;=8,YEAR(A1526)&amp;"-"&amp;(YEAR(A1526)+1),(YEAR(A1526)-1)&amp;"-"&amp;YEAR(A1526)))</f>
        <v/>
      </c>
      <c r="S1526" s="20">
        <f>IF(OR(A1526="",B1526=""),0,IF(AND(R1526=التقارير!$C$4,OR(التقارير!$C$5="سنوي",AND(التقارير!$C$5="شهري",P1526=التقارير!$C$6),AND(التقارير!$C$5="فصلي",Q1526=التقارير!$C$7))),1,0))</f>
        <v/>
      </c>
      <c r="T1526" s="20">
        <f>IF(S1526=1,COUNTIF($S$5:S1526,1),"")</f>
        <v/>
      </c>
      <c r="U1526">
        <f>IF(AND($A1526&lt;&gt;"",$B1526&lt;&gt;"",$R1526='تقرير الفصل الأول'!$C$4,$Q1526='تقرير الفصل الأول'!$C$7),COUNT(U$4:U1525)+1,"")</f>
        <v/>
      </c>
      <c r="V1526">
        <f>IF(AND($A1526&lt;&gt;"",$B1526&lt;&gt;"",$R1526='تقرير الفصل الثاني'!$C$4,$Q1526='تقرير الفصل الثاني'!$C$7),COUNT(V$4:V1525)+1,"")</f>
        <v/>
      </c>
      <c r="W1526">
        <f>IF(AND($A1526&lt;&gt;"",$B1526&lt;&gt;"",$R1526='تقرير سبتمبر'!$C$4,$P1526='تقرير سبتمبر'!$C$6),COUNT(W$4:W1525)+1,"")</f>
        <v/>
      </c>
      <c r="X1526">
        <f>IF(AND($A1526&lt;&gt;"",$B1526&lt;&gt;"",$R1526='تقرير أكتوبر'!$C$4,$P1526='تقرير أكتوبر'!$C$6),COUNT(X$4:X1525)+1,"")</f>
        <v/>
      </c>
      <c r="Y1526">
        <f>IF(AND($A1526&lt;&gt;"",$B1526&lt;&gt;"",$R1526='تقرير نوفمبر'!$C$4,$P1526='تقرير نوفمبر'!$C$6),COUNT(Y$4:Y1525)+1,"")</f>
        <v/>
      </c>
      <c r="Z1526">
        <f>IF(AND($A1526&lt;&gt;"",$B1526&lt;&gt;"",$R1526='تقرير ديسمبر'!$C$4,$P1526='تقرير ديسمبر'!$C$6),COUNT(Z$4:Z1525)+1,"")</f>
        <v/>
      </c>
      <c r="AA1526">
        <f>IF(AND($A1526&lt;&gt;"",$B1526&lt;&gt;"",$R1526='تقرير يناير'!$C$4,$P1526='تقرير يناير'!$C$6),COUNT(AA$4:AA1525)+1,"")</f>
        <v/>
      </c>
      <c r="AB1526">
        <f>IF(AND($A1526&lt;&gt;"",$B1526&lt;&gt;"",$R1526='تقرير فبراير'!$C$4,$P1526='تقرير فبراير'!$C$6),COUNT(AB$4:AB1525)+1,"")</f>
        <v/>
      </c>
      <c r="AC1526">
        <f>IF(AND($A1526&lt;&gt;"",$B1526&lt;&gt;"",$R1526='تقرير مارس'!$C$4,$P1526='تقرير مارس'!$C$6),COUNT(AC$4:AC1525)+1,"")</f>
        <v/>
      </c>
      <c r="AD1526">
        <f>IF(AND($A1526&lt;&gt;"",$B1526&lt;&gt;"",$R1526='تقرير أبريل'!$C$4,$P1526='تقرير أبريل'!$C$6),COUNT(AD$4:AD1525)+1,"")</f>
        <v/>
      </c>
      <c r="AE1526">
        <f>IF(AND($A1526&lt;&gt;"",$B1526&lt;&gt;"",$R1526='تقرير مايو'!$C$4,$P1526='تقرير مايو'!$C$6),COUNT(AE$4:AE1525)+1,"")</f>
        <v/>
      </c>
    </row>
    <row r="1527">
      <c r="A1527" s="16" t="n"/>
      <c r="B1527" s="17" t="n"/>
      <c r="C1527" s="17" t="n"/>
      <c r="D1527" s="18" t="n"/>
      <c r="E1527" s="17" t="n"/>
      <c r="F1527" s="17" t="n"/>
      <c r="G1527" s="19" t="n"/>
      <c r="H1527" s="17" t="n"/>
      <c r="I1527" s="17" t="n"/>
      <c r="J1527" s="17" t="n"/>
      <c r="K1527" s="20">
        <f>IF($B1527="","",IFERROR(INDEX(الموظفات!$A$5:$A$304,MATCH($B1527,الموظفات!$B$5:$B$304,0))&amp;"",""))</f>
        <v/>
      </c>
      <c r="L1527" s="21">
        <f>IF($B1527="","",IFERROR(INDEX(الموظفات!$C$5:$C$304,MATCH($B1527,الموظفات!$B$5:$B$304,0))&amp;"",""))</f>
        <v/>
      </c>
      <c r="M1527" s="20">
        <f>IF($B1527="","",IFERROR(INDEX(الموظفات!$D$5:$D$304,MATCH($B1527,الموظفات!$B$5:$B$304,0))&amp;"",""))</f>
        <v/>
      </c>
      <c r="N1527" s="20">
        <f>IF($B1527="","",IFERROR(INDEX(الموظفات!$E$5:$E$304,MATCH($B1527,الموظفات!$B$5:$B$304,0))&amp;"",""))</f>
        <v/>
      </c>
      <c r="O1527" s="21">
        <f>IF(C1527="","",IFERROR(INDEX(الإعدادات!$D$7:$D$35,MATCH(C1527,الإعدادات!$A$7:$A$35,0))&amp;"",""))</f>
        <v/>
      </c>
      <c r="P1527" s="20">
        <f>IF(A1527="","",INDEX(الإعدادات!$H$7:$H$18,MONTH(A1527)))</f>
        <v/>
      </c>
      <c r="Q1527" s="20">
        <f>IF(A1527="","",INDEX(الإعدادات!$I$7:$I$18,MONTH(A1527)))</f>
        <v/>
      </c>
      <c r="R1527" s="20">
        <f>IF(A1527="","",IF(MONTH(A1527)&gt;=8,YEAR(A1527)&amp;"-"&amp;(YEAR(A1527)+1),(YEAR(A1527)-1)&amp;"-"&amp;YEAR(A1527)))</f>
        <v/>
      </c>
      <c r="S1527" s="20">
        <f>IF(OR(A1527="",B1527=""),0,IF(AND(R1527=التقارير!$C$4,OR(التقارير!$C$5="سنوي",AND(التقارير!$C$5="شهري",P1527=التقارير!$C$6),AND(التقارير!$C$5="فصلي",Q1527=التقارير!$C$7))),1,0))</f>
        <v/>
      </c>
      <c r="T1527" s="20">
        <f>IF(S1527=1,COUNTIF($S$5:S1527,1),"")</f>
        <v/>
      </c>
      <c r="U1527">
        <f>IF(AND($A1527&lt;&gt;"",$B1527&lt;&gt;"",$R1527='تقرير الفصل الأول'!$C$4,$Q1527='تقرير الفصل الأول'!$C$7),COUNT(U$4:U1526)+1,"")</f>
        <v/>
      </c>
      <c r="V1527">
        <f>IF(AND($A1527&lt;&gt;"",$B1527&lt;&gt;"",$R1527='تقرير الفصل الثاني'!$C$4,$Q1527='تقرير الفصل الثاني'!$C$7),COUNT(V$4:V1526)+1,"")</f>
        <v/>
      </c>
      <c r="W1527">
        <f>IF(AND($A1527&lt;&gt;"",$B1527&lt;&gt;"",$R1527='تقرير سبتمبر'!$C$4,$P1527='تقرير سبتمبر'!$C$6),COUNT(W$4:W1526)+1,"")</f>
        <v/>
      </c>
      <c r="X1527">
        <f>IF(AND($A1527&lt;&gt;"",$B1527&lt;&gt;"",$R1527='تقرير أكتوبر'!$C$4,$P1527='تقرير أكتوبر'!$C$6),COUNT(X$4:X1526)+1,"")</f>
        <v/>
      </c>
      <c r="Y1527">
        <f>IF(AND($A1527&lt;&gt;"",$B1527&lt;&gt;"",$R1527='تقرير نوفمبر'!$C$4,$P1527='تقرير نوفمبر'!$C$6),COUNT(Y$4:Y1526)+1,"")</f>
        <v/>
      </c>
      <c r="Z1527">
        <f>IF(AND($A1527&lt;&gt;"",$B1527&lt;&gt;"",$R1527='تقرير ديسمبر'!$C$4,$P1527='تقرير ديسمبر'!$C$6),COUNT(Z$4:Z1526)+1,"")</f>
        <v/>
      </c>
      <c r="AA1527">
        <f>IF(AND($A1527&lt;&gt;"",$B1527&lt;&gt;"",$R1527='تقرير يناير'!$C$4,$P1527='تقرير يناير'!$C$6),COUNT(AA$4:AA1526)+1,"")</f>
        <v/>
      </c>
      <c r="AB1527">
        <f>IF(AND($A1527&lt;&gt;"",$B1527&lt;&gt;"",$R1527='تقرير فبراير'!$C$4,$P1527='تقرير فبراير'!$C$6),COUNT(AB$4:AB1526)+1,"")</f>
        <v/>
      </c>
      <c r="AC1527">
        <f>IF(AND($A1527&lt;&gt;"",$B1527&lt;&gt;"",$R1527='تقرير مارس'!$C$4,$P1527='تقرير مارس'!$C$6),COUNT(AC$4:AC1526)+1,"")</f>
        <v/>
      </c>
      <c r="AD1527">
        <f>IF(AND($A1527&lt;&gt;"",$B1527&lt;&gt;"",$R1527='تقرير أبريل'!$C$4,$P1527='تقرير أبريل'!$C$6),COUNT(AD$4:AD1526)+1,"")</f>
        <v/>
      </c>
      <c r="AE1527">
        <f>IF(AND($A1527&lt;&gt;"",$B1527&lt;&gt;"",$R1527='تقرير مايو'!$C$4,$P1527='تقرير مايو'!$C$6),COUNT(AE$4:AE1526)+1,"")</f>
        <v/>
      </c>
    </row>
    <row r="1528">
      <c r="A1528" s="16" t="n"/>
      <c r="B1528" s="17" t="n"/>
      <c r="C1528" s="17" t="n"/>
      <c r="D1528" s="18" t="n"/>
      <c r="E1528" s="17" t="n"/>
      <c r="F1528" s="17" t="n"/>
      <c r="G1528" s="19" t="n"/>
      <c r="H1528" s="17" t="n"/>
      <c r="I1528" s="17" t="n"/>
      <c r="J1528" s="17" t="n"/>
      <c r="K1528" s="20">
        <f>IF($B1528="","",IFERROR(INDEX(الموظفات!$A$5:$A$304,MATCH($B1528,الموظفات!$B$5:$B$304,0))&amp;"",""))</f>
        <v/>
      </c>
      <c r="L1528" s="21">
        <f>IF($B1528="","",IFERROR(INDEX(الموظفات!$C$5:$C$304,MATCH($B1528,الموظفات!$B$5:$B$304,0))&amp;"",""))</f>
        <v/>
      </c>
      <c r="M1528" s="20">
        <f>IF($B1528="","",IFERROR(INDEX(الموظفات!$D$5:$D$304,MATCH($B1528,الموظفات!$B$5:$B$304,0))&amp;"",""))</f>
        <v/>
      </c>
      <c r="N1528" s="20">
        <f>IF($B1528="","",IFERROR(INDEX(الموظفات!$E$5:$E$304,MATCH($B1528,الموظفات!$B$5:$B$304,0))&amp;"",""))</f>
        <v/>
      </c>
      <c r="O1528" s="21">
        <f>IF(C1528="","",IFERROR(INDEX(الإعدادات!$D$7:$D$35,MATCH(C1528,الإعدادات!$A$7:$A$35,0))&amp;"",""))</f>
        <v/>
      </c>
      <c r="P1528" s="20">
        <f>IF(A1528="","",INDEX(الإعدادات!$H$7:$H$18,MONTH(A1528)))</f>
        <v/>
      </c>
      <c r="Q1528" s="20">
        <f>IF(A1528="","",INDEX(الإعدادات!$I$7:$I$18,MONTH(A1528)))</f>
        <v/>
      </c>
      <c r="R1528" s="20">
        <f>IF(A1528="","",IF(MONTH(A1528)&gt;=8,YEAR(A1528)&amp;"-"&amp;(YEAR(A1528)+1),(YEAR(A1528)-1)&amp;"-"&amp;YEAR(A1528)))</f>
        <v/>
      </c>
      <c r="S1528" s="20">
        <f>IF(OR(A1528="",B1528=""),0,IF(AND(R1528=التقارير!$C$4,OR(التقارير!$C$5="سنوي",AND(التقارير!$C$5="شهري",P1528=التقارير!$C$6),AND(التقارير!$C$5="فصلي",Q1528=التقارير!$C$7))),1,0))</f>
        <v/>
      </c>
      <c r="T1528" s="20">
        <f>IF(S1528=1,COUNTIF($S$5:S1528,1),"")</f>
        <v/>
      </c>
      <c r="U1528">
        <f>IF(AND($A1528&lt;&gt;"",$B1528&lt;&gt;"",$R1528='تقرير الفصل الأول'!$C$4,$Q1528='تقرير الفصل الأول'!$C$7),COUNT(U$4:U1527)+1,"")</f>
        <v/>
      </c>
      <c r="V1528">
        <f>IF(AND($A1528&lt;&gt;"",$B1528&lt;&gt;"",$R1528='تقرير الفصل الثاني'!$C$4,$Q1528='تقرير الفصل الثاني'!$C$7),COUNT(V$4:V1527)+1,"")</f>
        <v/>
      </c>
      <c r="W1528">
        <f>IF(AND($A1528&lt;&gt;"",$B1528&lt;&gt;"",$R1528='تقرير سبتمبر'!$C$4,$P1528='تقرير سبتمبر'!$C$6),COUNT(W$4:W1527)+1,"")</f>
        <v/>
      </c>
      <c r="X1528">
        <f>IF(AND($A1528&lt;&gt;"",$B1528&lt;&gt;"",$R1528='تقرير أكتوبر'!$C$4,$P1528='تقرير أكتوبر'!$C$6),COUNT(X$4:X1527)+1,"")</f>
        <v/>
      </c>
      <c r="Y1528">
        <f>IF(AND($A1528&lt;&gt;"",$B1528&lt;&gt;"",$R1528='تقرير نوفمبر'!$C$4,$P1528='تقرير نوفمبر'!$C$6),COUNT(Y$4:Y1527)+1,"")</f>
        <v/>
      </c>
      <c r="Z1528">
        <f>IF(AND($A1528&lt;&gt;"",$B1528&lt;&gt;"",$R1528='تقرير ديسمبر'!$C$4,$P1528='تقرير ديسمبر'!$C$6),COUNT(Z$4:Z1527)+1,"")</f>
        <v/>
      </c>
      <c r="AA1528">
        <f>IF(AND($A1528&lt;&gt;"",$B1528&lt;&gt;"",$R1528='تقرير يناير'!$C$4,$P1528='تقرير يناير'!$C$6),COUNT(AA$4:AA1527)+1,"")</f>
        <v/>
      </c>
      <c r="AB1528">
        <f>IF(AND($A1528&lt;&gt;"",$B1528&lt;&gt;"",$R1528='تقرير فبراير'!$C$4,$P1528='تقرير فبراير'!$C$6),COUNT(AB$4:AB1527)+1,"")</f>
        <v/>
      </c>
      <c r="AC1528">
        <f>IF(AND($A1528&lt;&gt;"",$B1528&lt;&gt;"",$R1528='تقرير مارس'!$C$4,$P1528='تقرير مارس'!$C$6),COUNT(AC$4:AC1527)+1,"")</f>
        <v/>
      </c>
      <c r="AD1528">
        <f>IF(AND($A1528&lt;&gt;"",$B1528&lt;&gt;"",$R1528='تقرير أبريل'!$C$4,$P1528='تقرير أبريل'!$C$6),COUNT(AD$4:AD1527)+1,"")</f>
        <v/>
      </c>
      <c r="AE1528">
        <f>IF(AND($A1528&lt;&gt;"",$B1528&lt;&gt;"",$R1528='تقرير مايو'!$C$4,$P1528='تقرير مايو'!$C$6),COUNT(AE$4:AE1527)+1,"")</f>
        <v/>
      </c>
    </row>
    <row r="1529">
      <c r="A1529" s="16" t="n"/>
      <c r="B1529" s="17" t="n"/>
      <c r="C1529" s="17" t="n"/>
      <c r="D1529" s="18" t="n"/>
      <c r="E1529" s="17" t="n"/>
      <c r="F1529" s="17" t="n"/>
      <c r="G1529" s="19" t="n"/>
      <c r="H1529" s="17" t="n"/>
      <c r="I1529" s="17" t="n"/>
      <c r="J1529" s="17" t="n"/>
      <c r="K1529" s="20">
        <f>IF($B1529="","",IFERROR(INDEX(الموظفات!$A$5:$A$304,MATCH($B1529,الموظفات!$B$5:$B$304,0))&amp;"",""))</f>
        <v/>
      </c>
      <c r="L1529" s="21">
        <f>IF($B1529="","",IFERROR(INDEX(الموظفات!$C$5:$C$304,MATCH($B1529,الموظفات!$B$5:$B$304,0))&amp;"",""))</f>
        <v/>
      </c>
      <c r="M1529" s="20">
        <f>IF($B1529="","",IFERROR(INDEX(الموظفات!$D$5:$D$304,MATCH($B1529,الموظفات!$B$5:$B$304,0))&amp;"",""))</f>
        <v/>
      </c>
      <c r="N1529" s="20">
        <f>IF($B1529="","",IFERROR(INDEX(الموظفات!$E$5:$E$304,MATCH($B1529,الموظفات!$B$5:$B$304,0))&amp;"",""))</f>
        <v/>
      </c>
      <c r="O1529" s="21">
        <f>IF(C1529="","",IFERROR(INDEX(الإعدادات!$D$7:$D$35,MATCH(C1529,الإعدادات!$A$7:$A$35,0))&amp;"",""))</f>
        <v/>
      </c>
      <c r="P1529" s="20">
        <f>IF(A1529="","",INDEX(الإعدادات!$H$7:$H$18,MONTH(A1529)))</f>
        <v/>
      </c>
      <c r="Q1529" s="20">
        <f>IF(A1529="","",INDEX(الإعدادات!$I$7:$I$18,MONTH(A1529)))</f>
        <v/>
      </c>
      <c r="R1529" s="20">
        <f>IF(A1529="","",IF(MONTH(A1529)&gt;=8,YEAR(A1529)&amp;"-"&amp;(YEAR(A1529)+1),(YEAR(A1529)-1)&amp;"-"&amp;YEAR(A1529)))</f>
        <v/>
      </c>
      <c r="S1529" s="20">
        <f>IF(OR(A1529="",B1529=""),0,IF(AND(R1529=التقارير!$C$4,OR(التقارير!$C$5="سنوي",AND(التقارير!$C$5="شهري",P1529=التقارير!$C$6),AND(التقارير!$C$5="فصلي",Q1529=التقارير!$C$7))),1,0))</f>
        <v/>
      </c>
      <c r="T1529" s="20">
        <f>IF(S1529=1,COUNTIF($S$5:S1529,1),"")</f>
        <v/>
      </c>
      <c r="U1529">
        <f>IF(AND($A1529&lt;&gt;"",$B1529&lt;&gt;"",$R1529='تقرير الفصل الأول'!$C$4,$Q1529='تقرير الفصل الأول'!$C$7),COUNT(U$4:U1528)+1,"")</f>
        <v/>
      </c>
      <c r="V1529">
        <f>IF(AND($A1529&lt;&gt;"",$B1529&lt;&gt;"",$R1529='تقرير الفصل الثاني'!$C$4,$Q1529='تقرير الفصل الثاني'!$C$7),COUNT(V$4:V1528)+1,"")</f>
        <v/>
      </c>
      <c r="W1529">
        <f>IF(AND($A1529&lt;&gt;"",$B1529&lt;&gt;"",$R1529='تقرير سبتمبر'!$C$4,$P1529='تقرير سبتمبر'!$C$6),COUNT(W$4:W1528)+1,"")</f>
        <v/>
      </c>
      <c r="X1529">
        <f>IF(AND($A1529&lt;&gt;"",$B1529&lt;&gt;"",$R1529='تقرير أكتوبر'!$C$4,$P1529='تقرير أكتوبر'!$C$6),COUNT(X$4:X1528)+1,"")</f>
        <v/>
      </c>
      <c r="Y1529">
        <f>IF(AND($A1529&lt;&gt;"",$B1529&lt;&gt;"",$R1529='تقرير نوفمبر'!$C$4,$P1529='تقرير نوفمبر'!$C$6),COUNT(Y$4:Y1528)+1,"")</f>
        <v/>
      </c>
      <c r="Z1529">
        <f>IF(AND($A1529&lt;&gt;"",$B1529&lt;&gt;"",$R1529='تقرير ديسمبر'!$C$4,$P1529='تقرير ديسمبر'!$C$6),COUNT(Z$4:Z1528)+1,"")</f>
        <v/>
      </c>
      <c r="AA1529">
        <f>IF(AND($A1529&lt;&gt;"",$B1529&lt;&gt;"",$R1529='تقرير يناير'!$C$4,$P1529='تقرير يناير'!$C$6),COUNT(AA$4:AA1528)+1,"")</f>
        <v/>
      </c>
      <c r="AB1529">
        <f>IF(AND($A1529&lt;&gt;"",$B1529&lt;&gt;"",$R1529='تقرير فبراير'!$C$4,$P1529='تقرير فبراير'!$C$6),COUNT(AB$4:AB1528)+1,"")</f>
        <v/>
      </c>
      <c r="AC1529">
        <f>IF(AND($A1529&lt;&gt;"",$B1529&lt;&gt;"",$R1529='تقرير مارس'!$C$4,$P1529='تقرير مارس'!$C$6),COUNT(AC$4:AC1528)+1,"")</f>
        <v/>
      </c>
      <c r="AD1529">
        <f>IF(AND($A1529&lt;&gt;"",$B1529&lt;&gt;"",$R1529='تقرير أبريل'!$C$4,$P1529='تقرير أبريل'!$C$6),COUNT(AD$4:AD1528)+1,"")</f>
        <v/>
      </c>
      <c r="AE1529">
        <f>IF(AND($A1529&lt;&gt;"",$B1529&lt;&gt;"",$R1529='تقرير مايو'!$C$4,$P1529='تقرير مايو'!$C$6),COUNT(AE$4:AE1528)+1,"")</f>
        <v/>
      </c>
    </row>
    <row r="1530">
      <c r="A1530" s="16" t="n"/>
      <c r="B1530" s="17" t="n"/>
      <c r="C1530" s="17" t="n"/>
      <c r="D1530" s="18" t="n"/>
      <c r="E1530" s="17" t="n"/>
      <c r="F1530" s="17" t="n"/>
      <c r="G1530" s="19" t="n"/>
      <c r="H1530" s="17" t="n"/>
      <c r="I1530" s="17" t="n"/>
      <c r="J1530" s="17" t="n"/>
      <c r="K1530" s="20">
        <f>IF($B1530="","",IFERROR(INDEX(الموظفات!$A$5:$A$304,MATCH($B1530,الموظفات!$B$5:$B$304,0))&amp;"",""))</f>
        <v/>
      </c>
      <c r="L1530" s="21">
        <f>IF($B1530="","",IFERROR(INDEX(الموظفات!$C$5:$C$304,MATCH($B1530,الموظفات!$B$5:$B$304,0))&amp;"",""))</f>
        <v/>
      </c>
      <c r="M1530" s="20">
        <f>IF($B1530="","",IFERROR(INDEX(الموظفات!$D$5:$D$304,MATCH($B1530,الموظفات!$B$5:$B$304,0))&amp;"",""))</f>
        <v/>
      </c>
      <c r="N1530" s="20">
        <f>IF($B1530="","",IFERROR(INDEX(الموظفات!$E$5:$E$304,MATCH($B1530,الموظفات!$B$5:$B$304,0))&amp;"",""))</f>
        <v/>
      </c>
      <c r="O1530" s="21">
        <f>IF(C1530="","",IFERROR(INDEX(الإعدادات!$D$7:$D$35,MATCH(C1530,الإعدادات!$A$7:$A$35,0))&amp;"",""))</f>
        <v/>
      </c>
      <c r="P1530" s="20">
        <f>IF(A1530="","",INDEX(الإعدادات!$H$7:$H$18,MONTH(A1530)))</f>
        <v/>
      </c>
      <c r="Q1530" s="20">
        <f>IF(A1530="","",INDEX(الإعدادات!$I$7:$I$18,MONTH(A1530)))</f>
        <v/>
      </c>
      <c r="R1530" s="20">
        <f>IF(A1530="","",IF(MONTH(A1530)&gt;=8,YEAR(A1530)&amp;"-"&amp;(YEAR(A1530)+1),(YEAR(A1530)-1)&amp;"-"&amp;YEAR(A1530)))</f>
        <v/>
      </c>
      <c r="S1530" s="20">
        <f>IF(OR(A1530="",B1530=""),0,IF(AND(R1530=التقارير!$C$4,OR(التقارير!$C$5="سنوي",AND(التقارير!$C$5="شهري",P1530=التقارير!$C$6),AND(التقارير!$C$5="فصلي",Q1530=التقارير!$C$7))),1,0))</f>
        <v/>
      </c>
      <c r="T1530" s="20">
        <f>IF(S1530=1,COUNTIF($S$5:S1530,1),"")</f>
        <v/>
      </c>
      <c r="U1530">
        <f>IF(AND($A1530&lt;&gt;"",$B1530&lt;&gt;"",$R1530='تقرير الفصل الأول'!$C$4,$Q1530='تقرير الفصل الأول'!$C$7),COUNT(U$4:U1529)+1,"")</f>
        <v/>
      </c>
      <c r="V1530">
        <f>IF(AND($A1530&lt;&gt;"",$B1530&lt;&gt;"",$R1530='تقرير الفصل الثاني'!$C$4,$Q1530='تقرير الفصل الثاني'!$C$7),COUNT(V$4:V1529)+1,"")</f>
        <v/>
      </c>
      <c r="W1530">
        <f>IF(AND($A1530&lt;&gt;"",$B1530&lt;&gt;"",$R1530='تقرير سبتمبر'!$C$4,$P1530='تقرير سبتمبر'!$C$6),COUNT(W$4:W1529)+1,"")</f>
        <v/>
      </c>
      <c r="X1530">
        <f>IF(AND($A1530&lt;&gt;"",$B1530&lt;&gt;"",$R1530='تقرير أكتوبر'!$C$4,$P1530='تقرير أكتوبر'!$C$6),COUNT(X$4:X1529)+1,"")</f>
        <v/>
      </c>
      <c r="Y1530">
        <f>IF(AND($A1530&lt;&gt;"",$B1530&lt;&gt;"",$R1530='تقرير نوفمبر'!$C$4,$P1530='تقرير نوفمبر'!$C$6),COUNT(Y$4:Y1529)+1,"")</f>
        <v/>
      </c>
      <c r="Z1530">
        <f>IF(AND($A1530&lt;&gt;"",$B1530&lt;&gt;"",$R1530='تقرير ديسمبر'!$C$4,$P1530='تقرير ديسمبر'!$C$6),COUNT(Z$4:Z1529)+1,"")</f>
        <v/>
      </c>
      <c r="AA1530">
        <f>IF(AND($A1530&lt;&gt;"",$B1530&lt;&gt;"",$R1530='تقرير يناير'!$C$4,$P1530='تقرير يناير'!$C$6),COUNT(AA$4:AA1529)+1,"")</f>
        <v/>
      </c>
      <c r="AB1530">
        <f>IF(AND($A1530&lt;&gt;"",$B1530&lt;&gt;"",$R1530='تقرير فبراير'!$C$4,$P1530='تقرير فبراير'!$C$6),COUNT(AB$4:AB1529)+1,"")</f>
        <v/>
      </c>
      <c r="AC1530">
        <f>IF(AND($A1530&lt;&gt;"",$B1530&lt;&gt;"",$R1530='تقرير مارس'!$C$4,$P1530='تقرير مارس'!$C$6),COUNT(AC$4:AC1529)+1,"")</f>
        <v/>
      </c>
      <c r="AD1530">
        <f>IF(AND($A1530&lt;&gt;"",$B1530&lt;&gt;"",$R1530='تقرير أبريل'!$C$4,$P1530='تقرير أبريل'!$C$6),COUNT(AD$4:AD1529)+1,"")</f>
        <v/>
      </c>
      <c r="AE1530">
        <f>IF(AND($A1530&lt;&gt;"",$B1530&lt;&gt;"",$R1530='تقرير مايو'!$C$4,$P1530='تقرير مايو'!$C$6),COUNT(AE$4:AE1529)+1,"")</f>
        <v/>
      </c>
    </row>
    <row r="1531">
      <c r="A1531" s="16" t="n"/>
      <c r="B1531" s="17" t="n"/>
      <c r="C1531" s="17" t="n"/>
      <c r="D1531" s="18" t="n"/>
      <c r="E1531" s="17" t="n"/>
      <c r="F1531" s="17" t="n"/>
      <c r="G1531" s="19" t="n"/>
      <c r="H1531" s="17" t="n"/>
      <c r="I1531" s="17" t="n"/>
      <c r="J1531" s="17" t="n"/>
      <c r="K1531" s="20">
        <f>IF($B1531="","",IFERROR(INDEX(الموظفات!$A$5:$A$304,MATCH($B1531,الموظفات!$B$5:$B$304,0))&amp;"",""))</f>
        <v/>
      </c>
      <c r="L1531" s="21">
        <f>IF($B1531="","",IFERROR(INDEX(الموظفات!$C$5:$C$304,MATCH($B1531,الموظفات!$B$5:$B$304,0))&amp;"",""))</f>
        <v/>
      </c>
      <c r="M1531" s="20">
        <f>IF($B1531="","",IFERROR(INDEX(الموظفات!$D$5:$D$304,MATCH($B1531,الموظفات!$B$5:$B$304,0))&amp;"",""))</f>
        <v/>
      </c>
      <c r="N1531" s="20">
        <f>IF($B1531="","",IFERROR(INDEX(الموظفات!$E$5:$E$304,MATCH($B1531,الموظفات!$B$5:$B$304,0))&amp;"",""))</f>
        <v/>
      </c>
      <c r="O1531" s="21">
        <f>IF(C1531="","",IFERROR(INDEX(الإعدادات!$D$7:$D$35,MATCH(C1531,الإعدادات!$A$7:$A$35,0))&amp;"",""))</f>
        <v/>
      </c>
      <c r="P1531" s="20">
        <f>IF(A1531="","",INDEX(الإعدادات!$H$7:$H$18,MONTH(A1531)))</f>
        <v/>
      </c>
      <c r="Q1531" s="20">
        <f>IF(A1531="","",INDEX(الإعدادات!$I$7:$I$18,MONTH(A1531)))</f>
        <v/>
      </c>
      <c r="R1531" s="20">
        <f>IF(A1531="","",IF(MONTH(A1531)&gt;=8,YEAR(A1531)&amp;"-"&amp;(YEAR(A1531)+1),(YEAR(A1531)-1)&amp;"-"&amp;YEAR(A1531)))</f>
        <v/>
      </c>
      <c r="S1531" s="20">
        <f>IF(OR(A1531="",B1531=""),0,IF(AND(R1531=التقارير!$C$4,OR(التقارير!$C$5="سنوي",AND(التقارير!$C$5="شهري",P1531=التقارير!$C$6),AND(التقارير!$C$5="فصلي",Q1531=التقارير!$C$7))),1,0))</f>
        <v/>
      </c>
      <c r="T1531" s="20">
        <f>IF(S1531=1,COUNTIF($S$5:S1531,1),"")</f>
        <v/>
      </c>
      <c r="U1531">
        <f>IF(AND($A1531&lt;&gt;"",$B1531&lt;&gt;"",$R1531='تقرير الفصل الأول'!$C$4,$Q1531='تقرير الفصل الأول'!$C$7),COUNT(U$4:U1530)+1,"")</f>
        <v/>
      </c>
      <c r="V1531">
        <f>IF(AND($A1531&lt;&gt;"",$B1531&lt;&gt;"",$R1531='تقرير الفصل الثاني'!$C$4,$Q1531='تقرير الفصل الثاني'!$C$7),COUNT(V$4:V1530)+1,"")</f>
        <v/>
      </c>
      <c r="W1531">
        <f>IF(AND($A1531&lt;&gt;"",$B1531&lt;&gt;"",$R1531='تقرير سبتمبر'!$C$4,$P1531='تقرير سبتمبر'!$C$6),COUNT(W$4:W1530)+1,"")</f>
        <v/>
      </c>
      <c r="X1531">
        <f>IF(AND($A1531&lt;&gt;"",$B1531&lt;&gt;"",$R1531='تقرير أكتوبر'!$C$4,$P1531='تقرير أكتوبر'!$C$6),COUNT(X$4:X1530)+1,"")</f>
        <v/>
      </c>
      <c r="Y1531">
        <f>IF(AND($A1531&lt;&gt;"",$B1531&lt;&gt;"",$R1531='تقرير نوفمبر'!$C$4,$P1531='تقرير نوفمبر'!$C$6),COUNT(Y$4:Y1530)+1,"")</f>
        <v/>
      </c>
      <c r="Z1531">
        <f>IF(AND($A1531&lt;&gt;"",$B1531&lt;&gt;"",$R1531='تقرير ديسمبر'!$C$4,$P1531='تقرير ديسمبر'!$C$6),COUNT(Z$4:Z1530)+1,"")</f>
        <v/>
      </c>
      <c r="AA1531">
        <f>IF(AND($A1531&lt;&gt;"",$B1531&lt;&gt;"",$R1531='تقرير يناير'!$C$4,$P1531='تقرير يناير'!$C$6),COUNT(AA$4:AA1530)+1,"")</f>
        <v/>
      </c>
      <c r="AB1531">
        <f>IF(AND($A1531&lt;&gt;"",$B1531&lt;&gt;"",$R1531='تقرير فبراير'!$C$4,$P1531='تقرير فبراير'!$C$6),COUNT(AB$4:AB1530)+1,"")</f>
        <v/>
      </c>
      <c r="AC1531">
        <f>IF(AND($A1531&lt;&gt;"",$B1531&lt;&gt;"",$R1531='تقرير مارس'!$C$4,$P1531='تقرير مارس'!$C$6),COUNT(AC$4:AC1530)+1,"")</f>
        <v/>
      </c>
      <c r="AD1531">
        <f>IF(AND($A1531&lt;&gt;"",$B1531&lt;&gt;"",$R1531='تقرير أبريل'!$C$4,$P1531='تقرير أبريل'!$C$6),COUNT(AD$4:AD1530)+1,"")</f>
        <v/>
      </c>
      <c r="AE1531">
        <f>IF(AND($A1531&lt;&gt;"",$B1531&lt;&gt;"",$R1531='تقرير مايو'!$C$4,$P1531='تقرير مايو'!$C$6),COUNT(AE$4:AE1530)+1,"")</f>
        <v/>
      </c>
    </row>
    <row r="1532">
      <c r="A1532" s="16" t="n"/>
      <c r="B1532" s="17" t="n"/>
      <c r="C1532" s="17" t="n"/>
      <c r="D1532" s="18" t="n"/>
      <c r="E1532" s="17" t="n"/>
      <c r="F1532" s="17" t="n"/>
      <c r="G1532" s="19" t="n"/>
      <c r="H1532" s="17" t="n"/>
      <c r="I1532" s="17" t="n"/>
      <c r="J1532" s="17" t="n"/>
      <c r="K1532" s="20">
        <f>IF($B1532="","",IFERROR(INDEX(الموظفات!$A$5:$A$304,MATCH($B1532,الموظفات!$B$5:$B$304,0))&amp;"",""))</f>
        <v/>
      </c>
      <c r="L1532" s="21">
        <f>IF($B1532="","",IFERROR(INDEX(الموظفات!$C$5:$C$304,MATCH($B1532,الموظفات!$B$5:$B$304,0))&amp;"",""))</f>
        <v/>
      </c>
      <c r="M1532" s="20">
        <f>IF($B1532="","",IFERROR(INDEX(الموظفات!$D$5:$D$304,MATCH($B1532,الموظفات!$B$5:$B$304,0))&amp;"",""))</f>
        <v/>
      </c>
      <c r="N1532" s="20">
        <f>IF($B1532="","",IFERROR(INDEX(الموظفات!$E$5:$E$304,MATCH($B1532,الموظفات!$B$5:$B$304,0))&amp;"",""))</f>
        <v/>
      </c>
      <c r="O1532" s="21">
        <f>IF(C1532="","",IFERROR(INDEX(الإعدادات!$D$7:$D$35,MATCH(C1532,الإعدادات!$A$7:$A$35,0))&amp;"",""))</f>
        <v/>
      </c>
      <c r="P1532" s="20">
        <f>IF(A1532="","",INDEX(الإعدادات!$H$7:$H$18,MONTH(A1532)))</f>
        <v/>
      </c>
      <c r="Q1532" s="20">
        <f>IF(A1532="","",INDEX(الإعدادات!$I$7:$I$18,MONTH(A1532)))</f>
        <v/>
      </c>
      <c r="R1532" s="20">
        <f>IF(A1532="","",IF(MONTH(A1532)&gt;=8,YEAR(A1532)&amp;"-"&amp;(YEAR(A1532)+1),(YEAR(A1532)-1)&amp;"-"&amp;YEAR(A1532)))</f>
        <v/>
      </c>
      <c r="S1532" s="20">
        <f>IF(OR(A1532="",B1532=""),0,IF(AND(R1532=التقارير!$C$4,OR(التقارير!$C$5="سنوي",AND(التقارير!$C$5="شهري",P1532=التقارير!$C$6),AND(التقارير!$C$5="فصلي",Q1532=التقارير!$C$7))),1,0))</f>
        <v/>
      </c>
      <c r="T1532" s="20">
        <f>IF(S1532=1,COUNTIF($S$5:S1532,1),"")</f>
        <v/>
      </c>
      <c r="U1532">
        <f>IF(AND($A1532&lt;&gt;"",$B1532&lt;&gt;"",$R1532='تقرير الفصل الأول'!$C$4,$Q1532='تقرير الفصل الأول'!$C$7),COUNT(U$4:U1531)+1,"")</f>
        <v/>
      </c>
      <c r="V1532">
        <f>IF(AND($A1532&lt;&gt;"",$B1532&lt;&gt;"",$R1532='تقرير الفصل الثاني'!$C$4,$Q1532='تقرير الفصل الثاني'!$C$7),COUNT(V$4:V1531)+1,"")</f>
        <v/>
      </c>
      <c r="W1532">
        <f>IF(AND($A1532&lt;&gt;"",$B1532&lt;&gt;"",$R1532='تقرير سبتمبر'!$C$4,$P1532='تقرير سبتمبر'!$C$6),COUNT(W$4:W1531)+1,"")</f>
        <v/>
      </c>
      <c r="X1532">
        <f>IF(AND($A1532&lt;&gt;"",$B1532&lt;&gt;"",$R1532='تقرير أكتوبر'!$C$4,$P1532='تقرير أكتوبر'!$C$6),COUNT(X$4:X1531)+1,"")</f>
        <v/>
      </c>
      <c r="Y1532">
        <f>IF(AND($A1532&lt;&gt;"",$B1532&lt;&gt;"",$R1532='تقرير نوفمبر'!$C$4,$P1532='تقرير نوفمبر'!$C$6),COUNT(Y$4:Y1531)+1,"")</f>
        <v/>
      </c>
      <c r="Z1532">
        <f>IF(AND($A1532&lt;&gt;"",$B1532&lt;&gt;"",$R1532='تقرير ديسمبر'!$C$4,$P1532='تقرير ديسمبر'!$C$6),COUNT(Z$4:Z1531)+1,"")</f>
        <v/>
      </c>
      <c r="AA1532">
        <f>IF(AND($A1532&lt;&gt;"",$B1532&lt;&gt;"",$R1532='تقرير يناير'!$C$4,$P1532='تقرير يناير'!$C$6),COUNT(AA$4:AA1531)+1,"")</f>
        <v/>
      </c>
      <c r="AB1532">
        <f>IF(AND($A1532&lt;&gt;"",$B1532&lt;&gt;"",$R1532='تقرير فبراير'!$C$4,$P1532='تقرير فبراير'!$C$6),COUNT(AB$4:AB1531)+1,"")</f>
        <v/>
      </c>
      <c r="AC1532">
        <f>IF(AND($A1532&lt;&gt;"",$B1532&lt;&gt;"",$R1532='تقرير مارس'!$C$4,$P1532='تقرير مارس'!$C$6),COUNT(AC$4:AC1531)+1,"")</f>
        <v/>
      </c>
      <c r="AD1532">
        <f>IF(AND($A1532&lt;&gt;"",$B1532&lt;&gt;"",$R1532='تقرير أبريل'!$C$4,$P1532='تقرير أبريل'!$C$6),COUNT(AD$4:AD1531)+1,"")</f>
        <v/>
      </c>
      <c r="AE1532">
        <f>IF(AND($A1532&lt;&gt;"",$B1532&lt;&gt;"",$R1532='تقرير مايو'!$C$4,$P1532='تقرير مايو'!$C$6),COUNT(AE$4:AE1531)+1,"")</f>
        <v/>
      </c>
    </row>
    <row r="1533">
      <c r="A1533" s="16" t="n"/>
      <c r="B1533" s="17" t="n"/>
      <c r="C1533" s="17" t="n"/>
      <c r="D1533" s="18" t="n"/>
      <c r="E1533" s="17" t="n"/>
      <c r="F1533" s="17" t="n"/>
      <c r="G1533" s="19" t="n"/>
      <c r="H1533" s="17" t="n"/>
      <c r="I1533" s="17" t="n"/>
      <c r="J1533" s="17" t="n"/>
      <c r="K1533" s="20">
        <f>IF($B1533="","",IFERROR(INDEX(الموظفات!$A$5:$A$304,MATCH($B1533,الموظفات!$B$5:$B$304,0))&amp;"",""))</f>
        <v/>
      </c>
      <c r="L1533" s="21">
        <f>IF($B1533="","",IFERROR(INDEX(الموظفات!$C$5:$C$304,MATCH($B1533,الموظفات!$B$5:$B$304,0))&amp;"",""))</f>
        <v/>
      </c>
      <c r="M1533" s="20">
        <f>IF($B1533="","",IFERROR(INDEX(الموظفات!$D$5:$D$304,MATCH($B1533,الموظفات!$B$5:$B$304,0))&amp;"",""))</f>
        <v/>
      </c>
      <c r="N1533" s="20">
        <f>IF($B1533="","",IFERROR(INDEX(الموظفات!$E$5:$E$304,MATCH($B1533,الموظفات!$B$5:$B$304,0))&amp;"",""))</f>
        <v/>
      </c>
      <c r="O1533" s="21">
        <f>IF(C1533="","",IFERROR(INDEX(الإعدادات!$D$7:$D$35,MATCH(C1533,الإعدادات!$A$7:$A$35,0))&amp;"",""))</f>
        <v/>
      </c>
      <c r="P1533" s="20">
        <f>IF(A1533="","",INDEX(الإعدادات!$H$7:$H$18,MONTH(A1533)))</f>
        <v/>
      </c>
      <c r="Q1533" s="20">
        <f>IF(A1533="","",INDEX(الإعدادات!$I$7:$I$18,MONTH(A1533)))</f>
        <v/>
      </c>
      <c r="R1533" s="20">
        <f>IF(A1533="","",IF(MONTH(A1533)&gt;=8,YEAR(A1533)&amp;"-"&amp;(YEAR(A1533)+1),(YEAR(A1533)-1)&amp;"-"&amp;YEAR(A1533)))</f>
        <v/>
      </c>
      <c r="S1533" s="20">
        <f>IF(OR(A1533="",B1533=""),0,IF(AND(R1533=التقارير!$C$4,OR(التقارير!$C$5="سنوي",AND(التقارير!$C$5="شهري",P1533=التقارير!$C$6),AND(التقارير!$C$5="فصلي",Q1533=التقارير!$C$7))),1,0))</f>
        <v/>
      </c>
      <c r="T1533" s="20">
        <f>IF(S1533=1,COUNTIF($S$5:S1533,1),"")</f>
        <v/>
      </c>
      <c r="U1533">
        <f>IF(AND($A1533&lt;&gt;"",$B1533&lt;&gt;"",$R1533='تقرير الفصل الأول'!$C$4,$Q1533='تقرير الفصل الأول'!$C$7),COUNT(U$4:U1532)+1,"")</f>
        <v/>
      </c>
      <c r="V1533">
        <f>IF(AND($A1533&lt;&gt;"",$B1533&lt;&gt;"",$R1533='تقرير الفصل الثاني'!$C$4,$Q1533='تقرير الفصل الثاني'!$C$7),COUNT(V$4:V1532)+1,"")</f>
        <v/>
      </c>
      <c r="W1533">
        <f>IF(AND($A1533&lt;&gt;"",$B1533&lt;&gt;"",$R1533='تقرير سبتمبر'!$C$4,$P1533='تقرير سبتمبر'!$C$6),COUNT(W$4:W1532)+1,"")</f>
        <v/>
      </c>
      <c r="X1533">
        <f>IF(AND($A1533&lt;&gt;"",$B1533&lt;&gt;"",$R1533='تقرير أكتوبر'!$C$4,$P1533='تقرير أكتوبر'!$C$6),COUNT(X$4:X1532)+1,"")</f>
        <v/>
      </c>
      <c r="Y1533">
        <f>IF(AND($A1533&lt;&gt;"",$B1533&lt;&gt;"",$R1533='تقرير نوفمبر'!$C$4,$P1533='تقرير نوفمبر'!$C$6),COUNT(Y$4:Y1532)+1,"")</f>
        <v/>
      </c>
      <c r="Z1533">
        <f>IF(AND($A1533&lt;&gt;"",$B1533&lt;&gt;"",$R1533='تقرير ديسمبر'!$C$4,$P1533='تقرير ديسمبر'!$C$6),COUNT(Z$4:Z1532)+1,"")</f>
        <v/>
      </c>
      <c r="AA1533">
        <f>IF(AND($A1533&lt;&gt;"",$B1533&lt;&gt;"",$R1533='تقرير يناير'!$C$4,$P1533='تقرير يناير'!$C$6),COUNT(AA$4:AA1532)+1,"")</f>
        <v/>
      </c>
      <c r="AB1533">
        <f>IF(AND($A1533&lt;&gt;"",$B1533&lt;&gt;"",$R1533='تقرير فبراير'!$C$4,$P1533='تقرير فبراير'!$C$6),COUNT(AB$4:AB1532)+1,"")</f>
        <v/>
      </c>
      <c r="AC1533">
        <f>IF(AND($A1533&lt;&gt;"",$B1533&lt;&gt;"",$R1533='تقرير مارس'!$C$4,$P1533='تقرير مارس'!$C$6),COUNT(AC$4:AC1532)+1,"")</f>
        <v/>
      </c>
      <c r="AD1533">
        <f>IF(AND($A1533&lt;&gt;"",$B1533&lt;&gt;"",$R1533='تقرير أبريل'!$C$4,$P1533='تقرير أبريل'!$C$6),COUNT(AD$4:AD1532)+1,"")</f>
        <v/>
      </c>
      <c r="AE1533">
        <f>IF(AND($A1533&lt;&gt;"",$B1533&lt;&gt;"",$R1533='تقرير مايو'!$C$4,$P1533='تقرير مايو'!$C$6),COUNT(AE$4:AE1532)+1,"")</f>
        <v/>
      </c>
    </row>
    <row r="1534">
      <c r="A1534" s="16" t="n"/>
      <c r="B1534" s="17" t="n"/>
      <c r="C1534" s="17" t="n"/>
      <c r="D1534" s="18" t="n"/>
      <c r="E1534" s="17" t="n"/>
      <c r="F1534" s="17" t="n"/>
      <c r="G1534" s="19" t="n"/>
      <c r="H1534" s="17" t="n"/>
      <c r="I1534" s="17" t="n"/>
      <c r="J1534" s="17" t="n"/>
      <c r="K1534" s="20">
        <f>IF($B1534="","",IFERROR(INDEX(الموظفات!$A$5:$A$304,MATCH($B1534,الموظفات!$B$5:$B$304,0))&amp;"",""))</f>
        <v/>
      </c>
      <c r="L1534" s="21">
        <f>IF($B1534="","",IFERROR(INDEX(الموظفات!$C$5:$C$304,MATCH($B1534,الموظفات!$B$5:$B$304,0))&amp;"",""))</f>
        <v/>
      </c>
      <c r="M1534" s="20">
        <f>IF($B1534="","",IFERROR(INDEX(الموظفات!$D$5:$D$304,MATCH($B1534,الموظفات!$B$5:$B$304,0))&amp;"",""))</f>
        <v/>
      </c>
      <c r="N1534" s="20">
        <f>IF($B1534="","",IFERROR(INDEX(الموظفات!$E$5:$E$304,MATCH($B1534,الموظفات!$B$5:$B$304,0))&amp;"",""))</f>
        <v/>
      </c>
      <c r="O1534" s="21">
        <f>IF(C1534="","",IFERROR(INDEX(الإعدادات!$D$7:$D$35,MATCH(C1534,الإعدادات!$A$7:$A$35,0))&amp;"",""))</f>
        <v/>
      </c>
      <c r="P1534" s="20">
        <f>IF(A1534="","",INDEX(الإعدادات!$H$7:$H$18,MONTH(A1534)))</f>
        <v/>
      </c>
      <c r="Q1534" s="20">
        <f>IF(A1534="","",INDEX(الإعدادات!$I$7:$I$18,MONTH(A1534)))</f>
        <v/>
      </c>
      <c r="R1534" s="20">
        <f>IF(A1534="","",IF(MONTH(A1534)&gt;=8,YEAR(A1534)&amp;"-"&amp;(YEAR(A1534)+1),(YEAR(A1534)-1)&amp;"-"&amp;YEAR(A1534)))</f>
        <v/>
      </c>
      <c r="S1534" s="20">
        <f>IF(OR(A1534="",B1534=""),0,IF(AND(R1534=التقارير!$C$4,OR(التقارير!$C$5="سنوي",AND(التقارير!$C$5="شهري",P1534=التقارير!$C$6),AND(التقارير!$C$5="فصلي",Q1534=التقارير!$C$7))),1,0))</f>
        <v/>
      </c>
      <c r="T1534" s="20">
        <f>IF(S1534=1,COUNTIF($S$5:S1534,1),"")</f>
        <v/>
      </c>
      <c r="U1534">
        <f>IF(AND($A1534&lt;&gt;"",$B1534&lt;&gt;"",$R1534='تقرير الفصل الأول'!$C$4,$Q1534='تقرير الفصل الأول'!$C$7),COUNT(U$4:U1533)+1,"")</f>
        <v/>
      </c>
      <c r="V1534">
        <f>IF(AND($A1534&lt;&gt;"",$B1534&lt;&gt;"",$R1534='تقرير الفصل الثاني'!$C$4,$Q1534='تقرير الفصل الثاني'!$C$7),COUNT(V$4:V1533)+1,"")</f>
        <v/>
      </c>
      <c r="W1534">
        <f>IF(AND($A1534&lt;&gt;"",$B1534&lt;&gt;"",$R1534='تقرير سبتمبر'!$C$4,$P1534='تقرير سبتمبر'!$C$6),COUNT(W$4:W1533)+1,"")</f>
        <v/>
      </c>
      <c r="X1534">
        <f>IF(AND($A1534&lt;&gt;"",$B1534&lt;&gt;"",$R1534='تقرير أكتوبر'!$C$4,$P1534='تقرير أكتوبر'!$C$6),COUNT(X$4:X1533)+1,"")</f>
        <v/>
      </c>
      <c r="Y1534">
        <f>IF(AND($A1534&lt;&gt;"",$B1534&lt;&gt;"",$R1534='تقرير نوفمبر'!$C$4,$P1534='تقرير نوفمبر'!$C$6),COUNT(Y$4:Y1533)+1,"")</f>
        <v/>
      </c>
      <c r="Z1534">
        <f>IF(AND($A1534&lt;&gt;"",$B1534&lt;&gt;"",$R1534='تقرير ديسمبر'!$C$4,$P1534='تقرير ديسمبر'!$C$6),COUNT(Z$4:Z1533)+1,"")</f>
        <v/>
      </c>
      <c r="AA1534">
        <f>IF(AND($A1534&lt;&gt;"",$B1534&lt;&gt;"",$R1534='تقرير يناير'!$C$4,$P1534='تقرير يناير'!$C$6),COUNT(AA$4:AA1533)+1,"")</f>
        <v/>
      </c>
      <c r="AB1534">
        <f>IF(AND($A1534&lt;&gt;"",$B1534&lt;&gt;"",$R1534='تقرير فبراير'!$C$4,$P1534='تقرير فبراير'!$C$6),COUNT(AB$4:AB1533)+1,"")</f>
        <v/>
      </c>
      <c r="AC1534">
        <f>IF(AND($A1534&lt;&gt;"",$B1534&lt;&gt;"",$R1534='تقرير مارس'!$C$4,$P1534='تقرير مارس'!$C$6),COUNT(AC$4:AC1533)+1,"")</f>
        <v/>
      </c>
      <c r="AD1534">
        <f>IF(AND($A1534&lt;&gt;"",$B1534&lt;&gt;"",$R1534='تقرير أبريل'!$C$4,$P1534='تقرير أبريل'!$C$6),COUNT(AD$4:AD1533)+1,"")</f>
        <v/>
      </c>
      <c r="AE1534">
        <f>IF(AND($A1534&lt;&gt;"",$B1534&lt;&gt;"",$R1534='تقرير مايو'!$C$4,$P1534='تقرير مايو'!$C$6),COUNT(AE$4:AE1533)+1,"")</f>
        <v/>
      </c>
    </row>
    <row r="1535">
      <c r="A1535" s="16" t="n"/>
      <c r="B1535" s="17" t="n"/>
      <c r="C1535" s="17" t="n"/>
      <c r="D1535" s="18" t="n"/>
      <c r="E1535" s="17" t="n"/>
      <c r="F1535" s="17" t="n"/>
      <c r="G1535" s="19" t="n"/>
      <c r="H1535" s="17" t="n"/>
      <c r="I1535" s="17" t="n"/>
      <c r="J1535" s="17" t="n"/>
      <c r="K1535" s="20">
        <f>IF($B1535="","",IFERROR(INDEX(الموظفات!$A$5:$A$304,MATCH($B1535,الموظفات!$B$5:$B$304,0))&amp;"",""))</f>
        <v/>
      </c>
      <c r="L1535" s="21">
        <f>IF($B1535="","",IFERROR(INDEX(الموظفات!$C$5:$C$304,MATCH($B1535,الموظفات!$B$5:$B$304,0))&amp;"",""))</f>
        <v/>
      </c>
      <c r="M1535" s="20">
        <f>IF($B1535="","",IFERROR(INDEX(الموظفات!$D$5:$D$304,MATCH($B1535,الموظفات!$B$5:$B$304,0))&amp;"",""))</f>
        <v/>
      </c>
      <c r="N1535" s="20">
        <f>IF($B1535="","",IFERROR(INDEX(الموظفات!$E$5:$E$304,MATCH($B1535,الموظفات!$B$5:$B$304,0))&amp;"",""))</f>
        <v/>
      </c>
      <c r="O1535" s="21">
        <f>IF(C1535="","",IFERROR(INDEX(الإعدادات!$D$7:$D$35,MATCH(C1535,الإعدادات!$A$7:$A$35,0))&amp;"",""))</f>
        <v/>
      </c>
      <c r="P1535" s="20">
        <f>IF(A1535="","",INDEX(الإعدادات!$H$7:$H$18,MONTH(A1535)))</f>
        <v/>
      </c>
      <c r="Q1535" s="20">
        <f>IF(A1535="","",INDEX(الإعدادات!$I$7:$I$18,MONTH(A1535)))</f>
        <v/>
      </c>
      <c r="R1535" s="20">
        <f>IF(A1535="","",IF(MONTH(A1535)&gt;=8,YEAR(A1535)&amp;"-"&amp;(YEAR(A1535)+1),(YEAR(A1535)-1)&amp;"-"&amp;YEAR(A1535)))</f>
        <v/>
      </c>
      <c r="S1535" s="20">
        <f>IF(OR(A1535="",B1535=""),0,IF(AND(R1535=التقارير!$C$4,OR(التقارير!$C$5="سنوي",AND(التقارير!$C$5="شهري",P1535=التقارير!$C$6),AND(التقارير!$C$5="فصلي",Q1535=التقارير!$C$7))),1,0))</f>
        <v/>
      </c>
      <c r="T1535" s="20">
        <f>IF(S1535=1,COUNTIF($S$5:S1535,1),"")</f>
        <v/>
      </c>
      <c r="U1535">
        <f>IF(AND($A1535&lt;&gt;"",$B1535&lt;&gt;"",$R1535='تقرير الفصل الأول'!$C$4,$Q1535='تقرير الفصل الأول'!$C$7),COUNT(U$4:U1534)+1,"")</f>
        <v/>
      </c>
      <c r="V1535">
        <f>IF(AND($A1535&lt;&gt;"",$B1535&lt;&gt;"",$R1535='تقرير الفصل الثاني'!$C$4,$Q1535='تقرير الفصل الثاني'!$C$7),COUNT(V$4:V1534)+1,"")</f>
        <v/>
      </c>
      <c r="W1535">
        <f>IF(AND($A1535&lt;&gt;"",$B1535&lt;&gt;"",$R1535='تقرير سبتمبر'!$C$4,$P1535='تقرير سبتمبر'!$C$6),COUNT(W$4:W1534)+1,"")</f>
        <v/>
      </c>
      <c r="X1535">
        <f>IF(AND($A1535&lt;&gt;"",$B1535&lt;&gt;"",$R1535='تقرير أكتوبر'!$C$4,$P1535='تقرير أكتوبر'!$C$6),COUNT(X$4:X1534)+1,"")</f>
        <v/>
      </c>
      <c r="Y1535">
        <f>IF(AND($A1535&lt;&gt;"",$B1535&lt;&gt;"",$R1535='تقرير نوفمبر'!$C$4,$P1535='تقرير نوفمبر'!$C$6),COUNT(Y$4:Y1534)+1,"")</f>
        <v/>
      </c>
      <c r="Z1535">
        <f>IF(AND($A1535&lt;&gt;"",$B1535&lt;&gt;"",$R1535='تقرير ديسمبر'!$C$4,$P1535='تقرير ديسمبر'!$C$6),COUNT(Z$4:Z1534)+1,"")</f>
        <v/>
      </c>
      <c r="AA1535">
        <f>IF(AND($A1535&lt;&gt;"",$B1535&lt;&gt;"",$R1535='تقرير يناير'!$C$4,$P1535='تقرير يناير'!$C$6),COUNT(AA$4:AA1534)+1,"")</f>
        <v/>
      </c>
      <c r="AB1535">
        <f>IF(AND($A1535&lt;&gt;"",$B1535&lt;&gt;"",$R1535='تقرير فبراير'!$C$4,$P1535='تقرير فبراير'!$C$6),COUNT(AB$4:AB1534)+1,"")</f>
        <v/>
      </c>
      <c r="AC1535">
        <f>IF(AND($A1535&lt;&gt;"",$B1535&lt;&gt;"",$R1535='تقرير مارس'!$C$4,$P1535='تقرير مارس'!$C$6),COUNT(AC$4:AC1534)+1,"")</f>
        <v/>
      </c>
      <c r="AD1535">
        <f>IF(AND($A1535&lt;&gt;"",$B1535&lt;&gt;"",$R1535='تقرير أبريل'!$C$4,$P1535='تقرير أبريل'!$C$6),COUNT(AD$4:AD1534)+1,"")</f>
        <v/>
      </c>
      <c r="AE1535">
        <f>IF(AND($A1535&lt;&gt;"",$B1535&lt;&gt;"",$R1535='تقرير مايو'!$C$4,$P1535='تقرير مايو'!$C$6),COUNT(AE$4:AE1534)+1,"")</f>
        <v/>
      </c>
    </row>
    <row r="1536">
      <c r="A1536" s="16" t="n"/>
      <c r="B1536" s="17" t="n"/>
      <c r="C1536" s="17" t="n"/>
      <c r="D1536" s="18" t="n"/>
      <c r="E1536" s="17" t="n"/>
      <c r="F1536" s="17" t="n"/>
      <c r="G1536" s="19" t="n"/>
      <c r="H1536" s="17" t="n"/>
      <c r="I1536" s="17" t="n"/>
      <c r="J1536" s="17" t="n"/>
      <c r="K1536" s="20">
        <f>IF($B1536="","",IFERROR(INDEX(الموظفات!$A$5:$A$304,MATCH($B1536,الموظفات!$B$5:$B$304,0))&amp;"",""))</f>
        <v/>
      </c>
      <c r="L1536" s="21">
        <f>IF($B1536="","",IFERROR(INDEX(الموظفات!$C$5:$C$304,MATCH($B1536,الموظفات!$B$5:$B$304,0))&amp;"",""))</f>
        <v/>
      </c>
      <c r="M1536" s="20">
        <f>IF($B1536="","",IFERROR(INDEX(الموظفات!$D$5:$D$304,MATCH($B1536,الموظفات!$B$5:$B$304,0))&amp;"",""))</f>
        <v/>
      </c>
      <c r="N1536" s="20">
        <f>IF($B1536="","",IFERROR(INDEX(الموظفات!$E$5:$E$304,MATCH($B1536,الموظفات!$B$5:$B$304,0))&amp;"",""))</f>
        <v/>
      </c>
      <c r="O1536" s="21">
        <f>IF(C1536="","",IFERROR(INDEX(الإعدادات!$D$7:$D$35,MATCH(C1536,الإعدادات!$A$7:$A$35,0))&amp;"",""))</f>
        <v/>
      </c>
      <c r="P1536" s="20">
        <f>IF(A1536="","",INDEX(الإعدادات!$H$7:$H$18,MONTH(A1536)))</f>
        <v/>
      </c>
      <c r="Q1536" s="20">
        <f>IF(A1536="","",INDEX(الإعدادات!$I$7:$I$18,MONTH(A1536)))</f>
        <v/>
      </c>
      <c r="R1536" s="20">
        <f>IF(A1536="","",IF(MONTH(A1536)&gt;=8,YEAR(A1536)&amp;"-"&amp;(YEAR(A1536)+1),(YEAR(A1536)-1)&amp;"-"&amp;YEAR(A1536)))</f>
        <v/>
      </c>
      <c r="S1536" s="20">
        <f>IF(OR(A1536="",B1536=""),0,IF(AND(R1536=التقارير!$C$4,OR(التقارير!$C$5="سنوي",AND(التقارير!$C$5="شهري",P1536=التقارير!$C$6),AND(التقارير!$C$5="فصلي",Q1536=التقارير!$C$7))),1,0))</f>
        <v/>
      </c>
      <c r="T1536" s="20">
        <f>IF(S1536=1,COUNTIF($S$5:S1536,1),"")</f>
        <v/>
      </c>
      <c r="U1536">
        <f>IF(AND($A1536&lt;&gt;"",$B1536&lt;&gt;"",$R1536='تقرير الفصل الأول'!$C$4,$Q1536='تقرير الفصل الأول'!$C$7),COUNT(U$4:U1535)+1,"")</f>
        <v/>
      </c>
      <c r="V1536">
        <f>IF(AND($A1536&lt;&gt;"",$B1536&lt;&gt;"",$R1536='تقرير الفصل الثاني'!$C$4,$Q1536='تقرير الفصل الثاني'!$C$7),COUNT(V$4:V1535)+1,"")</f>
        <v/>
      </c>
      <c r="W1536">
        <f>IF(AND($A1536&lt;&gt;"",$B1536&lt;&gt;"",$R1536='تقرير سبتمبر'!$C$4,$P1536='تقرير سبتمبر'!$C$6),COUNT(W$4:W1535)+1,"")</f>
        <v/>
      </c>
      <c r="X1536">
        <f>IF(AND($A1536&lt;&gt;"",$B1536&lt;&gt;"",$R1536='تقرير أكتوبر'!$C$4,$P1536='تقرير أكتوبر'!$C$6),COUNT(X$4:X1535)+1,"")</f>
        <v/>
      </c>
      <c r="Y1536">
        <f>IF(AND($A1536&lt;&gt;"",$B1536&lt;&gt;"",$R1536='تقرير نوفمبر'!$C$4,$P1536='تقرير نوفمبر'!$C$6),COUNT(Y$4:Y1535)+1,"")</f>
        <v/>
      </c>
      <c r="Z1536">
        <f>IF(AND($A1536&lt;&gt;"",$B1536&lt;&gt;"",$R1536='تقرير ديسمبر'!$C$4,$P1536='تقرير ديسمبر'!$C$6),COUNT(Z$4:Z1535)+1,"")</f>
        <v/>
      </c>
      <c r="AA1536">
        <f>IF(AND($A1536&lt;&gt;"",$B1536&lt;&gt;"",$R1536='تقرير يناير'!$C$4,$P1536='تقرير يناير'!$C$6),COUNT(AA$4:AA1535)+1,"")</f>
        <v/>
      </c>
      <c r="AB1536">
        <f>IF(AND($A1536&lt;&gt;"",$B1536&lt;&gt;"",$R1536='تقرير فبراير'!$C$4,$P1536='تقرير فبراير'!$C$6),COUNT(AB$4:AB1535)+1,"")</f>
        <v/>
      </c>
      <c r="AC1536">
        <f>IF(AND($A1536&lt;&gt;"",$B1536&lt;&gt;"",$R1536='تقرير مارس'!$C$4,$P1536='تقرير مارس'!$C$6),COUNT(AC$4:AC1535)+1,"")</f>
        <v/>
      </c>
      <c r="AD1536">
        <f>IF(AND($A1536&lt;&gt;"",$B1536&lt;&gt;"",$R1536='تقرير أبريل'!$C$4,$P1536='تقرير أبريل'!$C$6),COUNT(AD$4:AD1535)+1,"")</f>
        <v/>
      </c>
      <c r="AE1536">
        <f>IF(AND($A1536&lt;&gt;"",$B1536&lt;&gt;"",$R1536='تقرير مايو'!$C$4,$P1536='تقرير مايو'!$C$6),COUNT(AE$4:AE1535)+1,"")</f>
        <v/>
      </c>
    </row>
    <row r="1537">
      <c r="A1537" s="16" t="n"/>
      <c r="B1537" s="17" t="n"/>
      <c r="C1537" s="17" t="n"/>
      <c r="D1537" s="18" t="n"/>
      <c r="E1537" s="17" t="n"/>
      <c r="F1537" s="17" t="n"/>
      <c r="G1537" s="19" t="n"/>
      <c r="H1537" s="17" t="n"/>
      <c r="I1537" s="17" t="n"/>
      <c r="J1537" s="17" t="n"/>
      <c r="K1537" s="20">
        <f>IF($B1537="","",IFERROR(INDEX(الموظفات!$A$5:$A$304,MATCH($B1537,الموظفات!$B$5:$B$304,0))&amp;"",""))</f>
        <v/>
      </c>
      <c r="L1537" s="21">
        <f>IF($B1537="","",IFERROR(INDEX(الموظفات!$C$5:$C$304,MATCH($B1537,الموظفات!$B$5:$B$304,0))&amp;"",""))</f>
        <v/>
      </c>
      <c r="M1537" s="20">
        <f>IF($B1537="","",IFERROR(INDEX(الموظفات!$D$5:$D$304,MATCH($B1537,الموظفات!$B$5:$B$304,0))&amp;"",""))</f>
        <v/>
      </c>
      <c r="N1537" s="20">
        <f>IF($B1537="","",IFERROR(INDEX(الموظفات!$E$5:$E$304,MATCH($B1537,الموظفات!$B$5:$B$304,0))&amp;"",""))</f>
        <v/>
      </c>
      <c r="O1537" s="21">
        <f>IF(C1537="","",IFERROR(INDEX(الإعدادات!$D$7:$D$35,MATCH(C1537,الإعدادات!$A$7:$A$35,0))&amp;"",""))</f>
        <v/>
      </c>
      <c r="P1537" s="20">
        <f>IF(A1537="","",INDEX(الإعدادات!$H$7:$H$18,MONTH(A1537)))</f>
        <v/>
      </c>
      <c r="Q1537" s="20">
        <f>IF(A1537="","",INDEX(الإعدادات!$I$7:$I$18,MONTH(A1537)))</f>
        <v/>
      </c>
      <c r="R1537" s="20">
        <f>IF(A1537="","",IF(MONTH(A1537)&gt;=8,YEAR(A1537)&amp;"-"&amp;(YEAR(A1537)+1),(YEAR(A1537)-1)&amp;"-"&amp;YEAR(A1537)))</f>
        <v/>
      </c>
      <c r="S1537" s="20">
        <f>IF(OR(A1537="",B1537=""),0,IF(AND(R1537=التقارير!$C$4,OR(التقارير!$C$5="سنوي",AND(التقارير!$C$5="شهري",P1537=التقارير!$C$6),AND(التقارير!$C$5="فصلي",Q1537=التقارير!$C$7))),1,0))</f>
        <v/>
      </c>
      <c r="T1537" s="20">
        <f>IF(S1537=1,COUNTIF($S$5:S1537,1),"")</f>
        <v/>
      </c>
      <c r="U1537">
        <f>IF(AND($A1537&lt;&gt;"",$B1537&lt;&gt;"",$R1537='تقرير الفصل الأول'!$C$4,$Q1537='تقرير الفصل الأول'!$C$7),COUNT(U$4:U1536)+1,"")</f>
        <v/>
      </c>
      <c r="V1537">
        <f>IF(AND($A1537&lt;&gt;"",$B1537&lt;&gt;"",$R1537='تقرير الفصل الثاني'!$C$4,$Q1537='تقرير الفصل الثاني'!$C$7),COUNT(V$4:V1536)+1,"")</f>
        <v/>
      </c>
      <c r="W1537">
        <f>IF(AND($A1537&lt;&gt;"",$B1537&lt;&gt;"",$R1537='تقرير سبتمبر'!$C$4,$P1537='تقرير سبتمبر'!$C$6),COUNT(W$4:W1536)+1,"")</f>
        <v/>
      </c>
      <c r="X1537">
        <f>IF(AND($A1537&lt;&gt;"",$B1537&lt;&gt;"",$R1537='تقرير أكتوبر'!$C$4,$P1537='تقرير أكتوبر'!$C$6),COUNT(X$4:X1536)+1,"")</f>
        <v/>
      </c>
      <c r="Y1537">
        <f>IF(AND($A1537&lt;&gt;"",$B1537&lt;&gt;"",$R1537='تقرير نوفمبر'!$C$4,$P1537='تقرير نوفمبر'!$C$6),COUNT(Y$4:Y1536)+1,"")</f>
        <v/>
      </c>
      <c r="Z1537">
        <f>IF(AND($A1537&lt;&gt;"",$B1537&lt;&gt;"",$R1537='تقرير ديسمبر'!$C$4,$P1537='تقرير ديسمبر'!$C$6),COUNT(Z$4:Z1536)+1,"")</f>
        <v/>
      </c>
      <c r="AA1537">
        <f>IF(AND($A1537&lt;&gt;"",$B1537&lt;&gt;"",$R1537='تقرير يناير'!$C$4,$P1537='تقرير يناير'!$C$6),COUNT(AA$4:AA1536)+1,"")</f>
        <v/>
      </c>
      <c r="AB1537">
        <f>IF(AND($A1537&lt;&gt;"",$B1537&lt;&gt;"",$R1537='تقرير فبراير'!$C$4,$P1537='تقرير فبراير'!$C$6),COUNT(AB$4:AB1536)+1,"")</f>
        <v/>
      </c>
      <c r="AC1537">
        <f>IF(AND($A1537&lt;&gt;"",$B1537&lt;&gt;"",$R1537='تقرير مارس'!$C$4,$P1537='تقرير مارس'!$C$6),COUNT(AC$4:AC1536)+1,"")</f>
        <v/>
      </c>
      <c r="AD1537">
        <f>IF(AND($A1537&lt;&gt;"",$B1537&lt;&gt;"",$R1537='تقرير أبريل'!$C$4,$P1537='تقرير أبريل'!$C$6),COUNT(AD$4:AD1536)+1,"")</f>
        <v/>
      </c>
      <c r="AE1537">
        <f>IF(AND($A1537&lt;&gt;"",$B1537&lt;&gt;"",$R1537='تقرير مايو'!$C$4,$P1537='تقرير مايو'!$C$6),COUNT(AE$4:AE1536)+1,"")</f>
        <v/>
      </c>
    </row>
    <row r="1538">
      <c r="A1538" s="16" t="n"/>
      <c r="B1538" s="17" t="n"/>
      <c r="C1538" s="17" t="n"/>
      <c r="D1538" s="18" t="n"/>
      <c r="E1538" s="17" t="n"/>
      <c r="F1538" s="17" t="n"/>
      <c r="G1538" s="19" t="n"/>
      <c r="H1538" s="17" t="n"/>
      <c r="I1538" s="17" t="n"/>
      <c r="J1538" s="17" t="n"/>
      <c r="K1538" s="20">
        <f>IF($B1538="","",IFERROR(INDEX(الموظفات!$A$5:$A$304,MATCH($B1538,الموظفات!$B$5:$B$304,0))&amp;"",""))</f>
        <v/>
      </c>
      <c r="L1538" s="21">
        <f>IF($B1538="","",IFERROR(INDEX(الموظفات!$C$5:$C$304,MATCH($B1538,الموظفات!$B$5:$B$304,0))&amp;"",""))</f>
        <v/>
      </c>
      <c r="M1538" s="20">
        <f>IF($B1538="","",IFERROR(INDEX(الموظفات!$D$5:$D$304,MATCH($B1538,الموظفات!$B$5:$B$304,0))&amp;"",""))</f>
        <v/>
      </c>
      <c r="N1538" s="20">
        <f>IF($B1538="","",IFERROR(INDEX(الموظفات!$E$5:$E$304,MATCH($B1538,الموظفات!$B$5:$B$304,0))&amp;"",""))</f>
        <v/>
      </c>
      <c r="O1538" s="21">
        <f>IF(C1538="","",IFERROR(INDEX(الإعدادات!$D$7:$D$35,MATCH(C1538,الإعدادات!$A$7:$A$35,0))&amp;"",""))</f>
        <v/>
      </c>
      <c r="P1538" s="20">
        <f>IF(A1538="","",INDEX(الإعدادات!$H$7:$H$18,MONTH(A1538)))</f>
        <v/>
      </c>
      <c r="Q1538" s="20">
        <f>IF(A1538="","",INDEX(الإعدادات!$I$7:$I$18,MONTH(A1538)))</f>
        <v/>
      </c>
      <c r="R1538" s="20">
        <f>IF(A1538="","",IF(MONTH(A1538)&gt;=8,YEAR(A1538)&amp;"-"&amp;(YEAR(A1538)+1),(YEAR(A1538)-1)&amp;"-"&amp;YEAR(A1538)))</f>
        <v/>
      </c>
      <c r="S1538" s="20">
        <f>IF(OR(A1538="",B1538=""),0,IF(AND(R1538=التقارير!$C$4,OR(التقارير!$C$5="سنوي",AND(التقارير!$C$5="شهري",P1538=التقارير!$C$6),AND(التقارير!$C$5="فصلي",Q1538=التقارير!$C$7))),1,0))</f>
        <v/>
      </c>
      <c r="T1538" s="20">
        <f>IF(S1538=1,COUNTIF($S$5:S1538,1),"")</f>
        <v/>
      </c>
      <c r="U1538">
        <f>IF(AND($A1538&lt;&gt;"",$B1538&lt;&gt;"",$R1538='تقرير الفصل الأول'!$C$4,$Q1538='تقرير الفصل الأول'!$C$7),COUNT(U$4:U1537)+1,"")</f>
        <v/>
      </c>
      <c r="V1538">
        <f>IF(AND($A1538&lt;&gt;"",$B1538&lt;&gt;"",$R1538='تقرير الفصل الثاني'!$C$4,$Q1538='تقرير الفصل الثاني'!$C$7),COUNT(V$4:V1537)+1,"")</f>
        <v/>
      </c>
      <c r="W1538">
        <f>IF(AND($A1538&lt;&gt;"",$B1538&lt;&gt;"",$R1538='تقرير سبتمبر'!$C$4,$P1538='تقرير سبتمبر'!$C$6),COUNT(W$4:W1537)+1,"")</f>
        <v/>
      </c>
      <c r="X1538">
        <f>IF(AND($A1538&lt;&gt;"",$B1538&lt;&gt;"",$R1538='تقرير أكتوبر'!$C$4,$P1538='تقرير أكتوبر'!$C$6),COUNT(X$4:X1537)+1,"")</f>
        <v/>
      </c>
      <c r="Y1538">
        <f>IF(AND($A1538&lt;&gt;"",$B1538&lt;&gt;"",$R1538='تقرير نوفمبر'!$C$4,$P1538='تقرير نوفمبر'!$C$6),COUNT(Y$4:Y1537)+1,"")</f>
        <v/>
      </c>
      <c r="Z1538">
        <f>IF(AND($A1538&lt;&gt;"",$B1538&lt;&gt;"",$R1538='تقرير ديسمبر'!$C$4,$P1538='تقرير ديسمبر'!$C$6),COUNT(Z$4:Z1537)+1,"")</f>
        <v/>
      </c>
      <c r="AA1538">
        <f>IF(AND($A1538&lt;&gt;"",$B1538&lt;&gt;"",$R1538='تقرير يناير'!$C$4,$P1538='تقرير يناير'!$C$6),COUNT(AA$4:AA1537)+1,"")</f>
        <v/>
      </c>
      <c r="AB1538">
        <f>IF(AND($A1538&lt;&gt;"",$B1538&lt;&gt;"",$R1538='تقرير فبراير'!$C$4,$P1538='تقرير فبراير'!$C$6),COUNT(AB$4:AB1537)+1,"")</f>
        <v/>
      </c>
      <c r="AC1538">
        <f>IF(AND($A1538&lt;&gt;"",$B1538&lt;&gt;"",$R1538='تقرير مارس'!$C$4,$P1538='تقرير مارس'!$C$6),COUNT(AC$4:AC1537)+1,"")</f>
        <v/>
      </c>
      <c r="AD1538">
        <f>IF(AND($A1538&lt;&gt;"",$B1538&lt;&gt;"",$R1538='تقرير أبريل'!$C$4,$P1538='تقرير أبريل'!$C$6),COUNT(AD$4:AD1537)+1,"")</f>
        <v/>
      </c>
      <c r="AE1538">
        <f>IF(AND($A1538&lt;&gt;"",$B1538&lt;&gt;"",$R1538='تقرير مايو'!$C$4,$P1538='تقرير مايو'!$C$6),COUNT(AE$4:AE1537)+1,"")</f>
        <v/>
      </c>
    </row>
    <row r="1539">
      <c r="A1539" s="16" t="n"/>
      <c r="B1539" s="17" t="n"/>
      <c r="C1539" s="17" t="n"/>
      <c r="D1539" s="18" t="n"/>
      <c r="E1539" s="17" t="n"/>
      <c r="F1539" s="17" t="n"/>
      <c r="G1539" s="19" t="n"/>
      <c r="H1539" s="17" t="n"/>
      <c r="I1539" s="17" t="n"/>
      <c r="J1539" s="17" t="n"/>
      <c r="K1539" s="20">
        <f>IF($B1539="","",IFERROR(INDEX(الموظفات!$A$5:$A$304,MATCH($B1539,الموظفات!$B$5:$B$304,0))&amp;"",""))</f>
        <v/>
      </c>
      <c r="L1539" s="21">
        <f>IF($B1539="","",IFERROR(INDEX(الموظفات!$C$5:$C$304,MATCH($B1539,الموظفات!$B$5:$B$304,0))&amp;"",""))</f>
        <v/>
      </c>
      <c r="M1539" s="20">
        <f>IF($B1539="","",IFERROR(INDEX(الموظفات!$D$5:$D$304,MATCH($B1539,الموظفات!$B$5:$B$304,0))&amp;"",""))</f>
        <v/>
      </c>
      <c r="N1539" s="20">
        <f>IF($B1539="","",IFERROR(INDEX(الموظفات!$E$5:$E$304,MATCH($B1539,الموظفات!$B$5:$B$304,0))&amp;"",""))</f>
        <v/>
      </c>
      <c r="O1539" s="21">
        <f>IF(C1539="","",IFERROR(INDEX(الإعدادات!$D$7:$D$35,MATCH(C1539,الإعدادات!$A$7:$A$35,0))&amp;"",""))</f>
        <v/>
      </c>
      <c r="P1539" s="20">
        <f>IF(A1539="","",INDEX(الإعدادات!$H$7:$H$18,MONTH(A1539)))</f>
        <v/>
      </c>
      <c r="Q1539" s="20">
        <f>IF(A1539="","",INDEX(الإعدادات!$I$7:$I$18,MONTH(A1539)))</f>
        <v/>
      </c>
      <c r="R1539" s="20">
        <f>IF(A1539="","",IF(MONTH(A1539)&gt;=8,YEAR(A1539)&amp;"-"&amp;(YEAR(A1539)+1),(YEAR(A1539)-1)&amp;"-"&amp;YEAR(A1539)))</f>
        <v/>
      </c>
      <c r="S1539" s="20">
        <f>IF(OR(A1539="",B1539=""),0,IF(AND(R1539=التقارير!$C$4,OR(التقارير!$C$5="سنوي",AND(التقارير!$C$5="شهري",P1539=التقارير!$C$6),AND(التقارير!$C$5="فصلي",Q1539=التقارير!$C$7))),1,0))</f>
        <v/>
      </c>
      <c r="T1539" s="20">
        <f>IF(S1539=1,COUNTIF($S$5:S1539,1),"")</f>
        <v/>
      </c>
      <c r="U1539">
        <f>IF(AND($A1539&lt;&gt;"",$B1539&lt;&gt;"",$R1539='تقرير الفصل الأول'!$C$4,$Q1539='تقرير الفصل الأول'!$C$7),COUNT(U$4:U1538)+1,"")</f>
        <v/>
      </c>
      <c r="V1539">
        <f>IF(AND($A1539&lt;&gt;"",$B1539&lt;&gt;"",$R1539='تقرير الفصل الثاني'!$C$4,$Q1539='تقرير الفصل الثاني'!$C$7),COUNT(V$4:V1538)+1,"")</f>
        <v/>
      </c>
      <c r="W1539">
        <f>IF(AND($A1539&lt;&gt;"",$B1539&lt;&gt;"",$R1539='تقرير سبتمبر'!$C$4,$P1539='تقرير سبتمبر'!$C$6),COUNT(W$4:W1538)+1,"")</f>
        <v/>
      </c>
      <c r="X1539">
        <f>IF(AND($A1539&lt;&gt;"",$B1539&lt;&gt;"",$R1539='تقرير أكتوبر'!$C$4,$P1539='تقرير أكتوبر'!$C$6),COUNT(X$4:X1538)+1,"")</f>
        <v/>
      </c>
      <c r="Y1539">
        <f>IF(AND($A1539&lt;&gt;"",$B1539&lt;&gt;"",$R1539='تقرير نوفمبر'!$C$4,$P1539='تقرير نوفمبر'!$C$6),COUNT(Y$4:Y1538)+1,"")</f>
        <v/>
      </c>
      <c r="Z1539">
        <f>IF(AND($A1539&lt;&gt;"",$B1539&lt;&gt;"",$R1539='تقرير ديسمبر'!$C$4,$P1539='تقرير ديسمبر'!$C$6),COUNT(Z$4:Z1538)+1,"")</f>
        <v/>
      </c>
      <c r="AA1539">
        <f>IF(AND($A1539&lt;&gt;"",$B1539&lt;&gt;"",$R1539='تقرير يناير'!$C$4,$P1539='تقرير يناير'!$C$6),COUNT(AA$4:AA1538)+1,"")</f>
        <v/>
      </c>
      <c r="AB1539">
        <f>IF(AND($A1539&lt;&gt;"",$B1539&lt;&gt;"",$R1539='تقرير فبراير'!$C$4,$P1539='تقرير فبراير'!$C$6),COUNT(AB$4:AB1538)+1,"")</f>
        <v/>
      </c>
      <c r="AC1539">
        <f>IF(AND($A1539&lt;&gt;"",$B1539&lt;&gt;"",$R1539='تقرير مارس'!$C$4,$P1539='تقرير مارس'!$C$6),COUNT(AC$4:AC1538)+1,"")</f>
        <v/>
      </c>
      <c r="AD1539">
        <f>IF(AND($A1539&lt;&gt;"",$B1539&lt;&gt;"",$R1539='تقرير أبريل'!$C$4,$P1539='تقرير أبريل'!$C$6),COUNT(AD$4:AD1538)+1,"")</f>
        <v/>
      </c>
      <c r="AE1539">
        <f>IF(AND($A1539&lt;&gt;"",$B1539&lt;&gt;"",$R1539='تقرير مايو'!$C$4,$P1539='تقرير مايو'!$C$6),COUNT(AE$4:AE1538)+1,"")</f>
        <v/>
      </c>
    </row>
    <row r="1540">
      <c r="A1540" s="16" t="n"/>
      <c r="B1540" s="17" t="n"/>
      <c r="C1540" s="17" t="n"/>
      <c r="D1540" s="18" t="n"/>
      <c r="E1540" s="17" t="n"/>
      <c r="F1540" s="17" t="n"/>
      <c r="G1540" s="19" t="n"/>
      <c r="H1540" s="17" t="n"/>
      <c r="I1540" s="17" t="n"/>
      <c r="J1540" s="17" t="n"/>
      <c r="K1540" s="20">
        <f>IF($B1540="","",IFERROR(INDEX(الموظفات!$A$5:$A$304,MATCH($B1540,الموظفات!$B$5:$B$304,0))&amp;"",""))</f>
        <v/>
      </c>
      <c r="L1540" s="21">
        <f>IF($B1540="","",IFERROR(INDEX(الموظفات!$C$5:$C$304,MATCH($B1540,الموظفات!$B$5:$B$304,0))&amp;"",""))</f>
        <v/>
      </c>
      <c r="M1540" s="20">
        <f>IF($B1540="","",IFERROR(INDEX(الموظفات!$D$5:$D$304,MATCH($B1540,الموظفات!$B$5:$B$304,0))&amp;"",""))</f>
        <v/>
      </c>
      <c r="N1540" s="20">
        <f>IF($B1540="","",IFERROR(INDEX(الموظفات!$E$5:$E$304,MATCH($B1540,الموظفات!$B$5:$B$304,0))&amp;"",""))</f>
        <v/>
      </c>
      <c r="O1540" s="21">
        <f>IF(C1540="","",IFERROR(INDEX(الإعدادات!$D$7:$D$35,MATCH(C1540,الإعدادات!$A$7:$A$35,0))&amp;"",""))</f>
        <v/>
      </c>
      <c r="P1540" s="20">
        <f>IF(A1540="","",INDEX(الإعدادات!$H$7:$H$18,MONTH(A1540)))</f>
        <v/>
      </c>
      <c r="Q1540" s="20">
        <f>IF(A1540="","",INDEX(الإعدادات!$I$7:$I$18,MONTH(A1540)))</f>
        <v/>
      </c>
      <c r="R1540" s="20">
        <f>IF(A1540="","",IF(MONTH(A1540)&gt;=8,YEAR(A1540)&amp;"-"&amp;(YEAR(A1540)+1),(YEAR(A1540)-1)&amp;"-"&amp;YEAR(A1540)))</f>
        <v/>
      </c>
      <c r="S1540" s="20">
        <f>IF(OR(A1540="",B1540=""),0,IF(AND(R1540=التقارير!$C$4,OR(التقارير!$C$5="سنوي",AND(التقارير!$C$5="شهري",P1540=التقارير!$C$6),AND(التقارير!$C$5="فصلي",Q1540=التقارير!$C$7))),1,0))</f>
        <v/>
      </c>
      <c r="T1540" s="20">
        <f>IF(S1540=1,COUNTIF($S$5:S1540,1),"")</f>
        <v/>
      </c>
      <c r="U1540">
        <f>IF(AND($A1540&lt;&gt;"",$B1540&lt;&gt;"",$R1540='تقرير الفصل الأول'!$C$4,$Q1540='تقرير الفصل الأول'!$C$7),COUNT(U$4:U1539)+1,"")</f>
        <v/>
      </c>
      <c r="V1540">
        <f>IF(AND($A1540&lt;&gt;"",$B1540&lt;&gt;"",$R1540='تقرير الفصل الثاني'!$C$4,$Q1540='تقرير الفصل الثاني'!$C$7),COUNT(V$4:V1539)+1,"")</f>
        <v/>
      </c>
      <c r="W1540">
        <f>IF(AND($A1540&lt;&gt;"",$B1540&lt;&gt;"",$R1540='تقرير سبتمبر'!$C$4,$P1540='تقرير سبتمبر'!$C$6),COUNT(W$4:W1539)+1,"")</f>
        <v/>
      </c>
      <c r="X1540">
        <f>IF(AND($A1540&lt;&gt;"",$B1540&lt;&gt;"",$R1540='تقرير أكتوبر'!$C$4,$P1540='تقرير أكتوبر'!$C$6),COUNT(X$4:X1539)+1,"")</f>
        <v/>
      </c>
      <c r="Y1540">
        <f>IF(AND($A1540&lt;&gt;"",$B1540&lt;&gt;"",$R1540='تقرير نوفمبر'!$C$4,$P1540='تقرير نوفمبر'!$C$6),COUNT(Y$4:Y1539)+1,"")</f>
        <v/>
      </c>
      <c r="Z1540">
        <f>IF(AND($A1540&lt;&gt;"",$B1540&lt;&gt;"",$R1540='تقرير ديسمبر'!$C$4,$P1540='تقرير ديسمبر'!$C$6),COUNT(Z$4:Z1539)+1,"")</f>
        <v/>
      </c>
      <c r="AA1540">
        <f>IF(AND($A1540&lt;&gt;"",$B1540&lt;&gt;"",$R1540='تقرير يناير'!$C$4,$P1540='تقرير يناير'!$C$6),COUNT(AA$4:AA1539)+1,"")</f>
        <v/>
      </c>
      <c r="AB1540">
        <f>IF(AND($A1540&lt;&gt;"",$B1540&lt;&gt;"",$R1540='تقرير فبراير'!$C$4,$P1540='تقرير فبراير'!$C$6),COUNT(AB$4:AB1539)+1,"")</f>
        <v/>
      </c>
      <c r="AC1540">
        <f>IF(AND($A1540&lt;&gt;"",$B1540&lt;&gt;"",$R1540='تقرير مارس'!$C$4,$P1540='تقرير مارس'!$C$6),COUNT(AC$4:AC1539)+1,"")</f>
        <v/>
      </c>
      <c r="AD1540">
        <f>IF(AND($A1540&lt;&gt;"",$B1540&lt;&gt;"",$R1540='تقرير أبريل'!$C$4,$P1540='تقرير أبريل'!$C$6),COUNT(AD$4:AD1539)+1,"")</f>
        <v/>
      </c>
      <c r="AE1540">
        <f>IF(AND($A1540&lt;&gt;"",$B1540&lt;&gt;"",$R1540='تقرير مايو'!$C$4,$P1540='تقرير مايو'!$C$6),COUNT(AE$4:AE1539)+1,"")</f>
        <v/>
      </c>
    </row>
    <row r="1541">
      <c r="A1541" s="16" t="n"/>
      <c r="B1541" s="17" t="n"/>
      <c r="C1541" s="17" t="n"/>
      <c r="D1541" s="18" t="n"/>
      <c r="E1541" s="17" t="n"/>
      <c r="F1541" s="17" t="n"/>
      <c r="G1541" s="19" t="n"/>
      <c r="H1541" s="17" t="n"/>
      <c r="I1541" s="17" t="n"/>
      <c r="J1541" s="17" t="n"/>
      <c r="K1541" s="20">
        <f>IF($B1541="","",IFERROR(INDEX(الموظفات!$A$5:$A$304,MATCH($B1541,الموظفات!$B$5:$B$304,0))&amp;"",""))</f>
        <v/>
      </c>
      <c r="L1541" s="21">
        <f>IF($B1541="","",IFERROR(INDEX(الموظفات!$C$5:$C$304,MATCH($B1541,الموظفات!$B$5:$B$304,0))&amp;"",""))</f>
        <v/>
      </c>
      <c r="M1541" s="20">
        <f>IF($B1541="","",IFERROR(INDEX(الموظفات!$D$5:$D$304,MATCH($B1541,الموظفات!$B$5:$B$304,0))&amp;"",""))</f>
        <v/>
      </c>
      <c r="N1541" s="20">
        <f>IF($B1541="","",IFERROR(INDEX(الموظفات!$E$5:$E$304,MATCH($B1541,الموظفات!$B$5:$B$304,0))&amp;"",""))</f>
        <v/>
      </c>
      <c r="O1541" s="21">
        <f>IF(C1541="","",IFERROR(INDEX(الإعدادات!$D$7:$D$35,MATCH(C1541,الإعدادات!$A$7:$A$35,0))&amp;"",""))</f>
        <v/>
      </c>
      <c r="P1541" s="20">
        <f>IF(A1541="","",INDEX(الإعدادات!$H$7:$H$18,MONTH(A1541)))</f>
        <v/>
      </c>
      <c r="Q1541" s="20">
        <f>IF(A1541="","",INDEX(الإعدادات!$I$7:$I$18,MONTH(A1541)))</f>
        <v/>
      </c>
      <c r="R1541" s="20">
        <f>IF(A1541="","",IF(MONTH(A1541)&gt;=8,YEAR(A1541)&amp;"-"&amp;(YEAR(A1541)+1),(YEAR(A1541)-1)&amp;"-"&amp;YEAR(A1541)))</f>
        <v/>
      </c>
      <c r="S1541" s="20">
        <f>IF(OR(A1541="",B1541=""),0,IF(AND(R1541=التقارير!$C$4,OR(التقارير!$C$5="سنوي",AND(التقارير!$C$5="شهري",P1541=التقارير!$C$6),AND(التقارير!$C$5="فصلي",Q1541=التقارير!$C$7))),1,0))</f>
        <v/>
      </c>
      <c r="T1541" s="20">
        <f>IF(S1541=1,COUNTIF($S$5:S1541,1),"")</f>
        <v/>
      </c>
      <c r="U1541">
        <f>IF(AND($A1541&lt;&gt;"",$B1541&lt;&gt;"",$R1541='تقرير الفصل الأول'!$C$4,$Q1541='تقرير الفصل الأول'!$C$7),COUNT(U$4:U1540)+1,"")</f>
        <v/>
      </c>
      <c r="V1541">
        <f>IF(AND($A1541&lt;&gt;"",$B1541&lt;&gt;"",$R1541='تقرير الفصل الثاني'!$C$4,$Q1541='تقرير الفصل الثاني'!$C$7),COUNT(V$4:V1540)+1,"")</f>
        <v/>
      </c>
      <c r="W1541">
        <f>IF(AND($A1541&lt;&gt;"",$B1541&lt;&gt;"",$R1541='تقرير سبتمبر'!$C$4,$P1541='تقرير سبتمبر'!$C$6),COUNT(W$4:W1540)+1,"")</f>
        <v/>
      </c>
      <c r="X1541">
        <f>IF(AND($A1541&lt;&gt;"",$B1541&lt;&gt;"",$R1541='تقرير أكتوبر'!$C$4,$P1541='تقرير أكتوبر'!$C$6),COUNT(X$4:X1540)+1,"")</f>
        <v/>
      </c>
      <c r="Y1541">
        <f>IF(AND($A1541&lt;&gt;"",$B1541&lt;&gt;"",$R1541='تقرير نوفمبر'!$C$4,$P1541='تقرير نوفمبر'!$C$6),COUNT(Y$4:Y1540)+1,"")</f>
        <v/>
      </c>
      <c r="Z1541">
        <f>IF(AND($A1541&lt;&gt;"",$B1541&lt;&gt;"",$R1541='تقرير ديسمبر'!$C$4,$P1541='تقرير ديسمبر'!$C$6),COUNT(Z$4:Z1540)+1,"")</f>
        <v/>
      </c>
      <c r="AA1541">
        <f>IF(AND($A1541&lt;&gt;"",$B1541&lt;&gt;"",$R1541='تقرير يناير'!$C$4,$P1541='تقرير يناير'!$C$6),COUNT(AA$4:AA1540)+1,"")</f>
        <v/>
      </c>
      <c r="AB1541">
        <f>IF(AND($A1541&lt;&gt;"",$B1541&lt;&gt;"",$R1541='تقرير فبراير'!$C$4,$P1541='تقرير فبراير'!$C$6),COUNT(AB$4:AB1540)+1,"")</f>
        <v/>
      </c>
      <c r="AC1541">
        <f>IF(AND($A1541&lt;&gt;"",$B1541&lt;&gt;"",$R1541='تقرير مارس'!$C$4,$P1541='تقرير مارس'!$C$6),COUNT(AC$4:AC1540)+1,"")</f>
        <v/>
      </c>
      <c r="AD1541">
        <f>IF(AND($A1541&lt;&gt;"",$B1541&lt;&gt;"",$R1541='تقرير أبريل'!$C$4,$P1541='تقرير أبريل'!$C$6),COUNT(AD$4:AD1540)+1,"")</f>
        <v/>
      </c>
      <c r="AE1541">
        <f>IF(AND($A1541&lt;&gt;"",$B1541&lt;&gt;"",$R1541='تقرير مايو'!$C$4,$P1541='تقرير مايو'!$C$6),COUNT(AE$4:AE1540)+1,"")</f>
        <v/>
      </c>
    </row>
    <row r="1542">
      <c r="A1542" s="16" t="n"/>
      <c r="B1542" s="17" t="n"/>
      <c r="C1542" s="17" t="n"/>
      <c r="D1542" s="18" t="n"/>
      <c r="E1542" s="17" t="n"/>
      <c r="F1542" s="17" t="n"/>
      <c r="G1542" s="19" t="n"/>
      <c r="H1542" s="17" t="n"/>
      <c r="I1542" s="17" t="n"/>
      <c r="J1542" s="17" t="n"/>
      <c r="K1542" s="20">
        <f>IF($B1542="","",IFERROR(INDEX(الموظفات!$A$5:$A$304,MATCH($B1542,الموظفات!$B$5:$B$304,0))&amp;"",""))</f>
        <v/>
      </c>
      <c r="L1542" s="21">
        <f>IF($B1542="","",IFERROR(INDEX(الموظفات!$C$5:$C$304,MATCH($B1542,الموظفات!$B$5:$B$304,0))&amp;"",""))</f>
        <v/>
      </c>
      <c r="M1542" s="20">
        <f>IF($B1542="","",IFERROR(INDEX(الموظفات!$D$5:$D$304,MATCH($B1542,الموظفات!$B$5:$B$304,0))&amp;"",""))</f>
        <v/>
      </c>
      <c r="N1542" s="20">
        <f>IF($B1542="","",IFERROR(INDEX(الموظفات!$E$5:$E$304,MATCH($B1542,الموظفات!$B$5:$B$304,0))&amp;"",""))</f>
        <v/>
      </c>
      <c r="O1542" s="21">
        <f>IF(C1542="","",IFERROR(INDEX(الإعدادات!$D$7:$D$35,MATCH(C1542,الإعدادات!$A$7:$A$35,0))&amp;"",""))</f>
        <v/>
      </c>
      <c r="P1542" s="20">
        <f>IF(A1542="","",INDEX(الإعدادات!$H$7:$H$18,MONTH(A1542)))</f>
        <v/>
      </c>
      <c r="Q1542" s="20">
        <f>IF(A1542="","",INDEX(الإعدادات!$I$7:$I$18,MONTH(A1542)))</f>
        <v/>
      </c>
      <c r="R1542" s="20">
        <f>IF(A1542="","",IF(MONTH(A1542)&gt;=8,YEAR(A1542)&amp;"-"&amp;(YEAR(A1542)+1),(YEAR(A1542)-1)&amp;"-"&amp;YEAR(A1542)))</f>
        <v/>
      </c>
      <c r="S1542" s="20">
        <f>IF(OR(A1542="",B1542=""),0,IF(AND(R1542=التقارير!$C$4,OR(التقارير!$C$5="سنوي",AND(التقارير!$C$5="شهري",P1542=التقارير!$C$6),AND(التقارير!$C$5="فصلي",Q1542=التقارير!$C$7))),1,0))</f>
        <v/>
      </c>
      <c r="T1542" s="20">
        <f>IF(S1542=1,COUNTIF($S$5:S1542,1),"")</f>
        <v/>
      </c>
      <c r="U1542">
        <f>IF(AND($A1542&lt;&gt;"",$B1542&lt;&gt;"",$R1542='تقرير الفصل الأول'!$C$4,$Q1542='تقرير الفصل الأول'!$C$7),COUNT(U$4:U1541)+1,"")</f>
        <v/>
      </c>
      <c r="V1542">
        <f>IF(AND($A1542&lt;&gt;"",$B1542&lt;&gt;"",$R1542='تقرير الفصل الثاني'!$C$4,$Q1542='تقرير الفصل الثاني'!$C$7),COUNT(V$4:V1541)+1,"")</f>
        <v/>
      </c>
      <c r="W1542">
        <f>IF(AND($A1542&lt;&gt;"",$B1542&lt;&gt;"",$R1542='تقرير سبتمبر'!$C$4,$P1542='تقرير سبتمبر'!$C$6),COUNT(W$4:W1541)+1,"")</f>
        <v/>
      </c>
      <c r="X1542">
        <f>IF(AND($A1542&lt;&gt;"",$B1542&lt;&gt;"",$R1542='تقرير أكتوبر'!$C$4,$P1542='تقرير أكتوبر'!$C$6),COUNT(X$4:X1541)+1,"")</f>
        <v/>
      </c>
      <c r="Y1542">
        <f>IF(AND($A1542&lt;&gt;"",$B1542&lt;&gt;"",$R1542='تقرير نوفمبر'!$C$4,$P1542='تقرير نوفمبر'!$C$6),COUNT(Y$4:Y1541)+1,"")</f>
        <v/>
      </c>
      <c r="Z1542">
        <f>IF(AND($A1542&lt;&gt;"",$B1542&lt;&gt;"",$R1542='تقرير ديسمبر'!$C$4,$P1542='تقرير ديسمبر'!$C$6),COUNT(Z$4:Z1541)+1,"")</f>
        <v/>
      </c>
      <c r="AA1542">
        <f>IF(AND($A1542&lt;&gt;"",$B1542&lt;&gt;"",$R1542='تقرير يناير'!$C$4,$P1542='تقرير يناير'!$C$6),COUNT(AA$4:AA1541)+1,"")</f>
        <v/>
      </c>
      <c r="AB1542">
        <f>IF(AND($A1542&lt;&gt;"",$B1542&lt;&gt;"",$R1542='تقرير فبراير'!$C$4,$P1542='تقرير فبراير'!$C$6),COUNT(AB$4:AB1541)+1,"")</f>
        <v/>
      </c>
      <c r="AC1542">
        <f>IF(AND($A1542&lt;&gt;"",$B1542&lt;&gt;"",$R1542='تقرير مارس'!$C$4,$P1542='تقرير مارس'!$C$6),COUNT(AC$4:AC1541)+1,"")</f>
        <v/>
      </c>
      <c r="AD1542">
        <f>IF(AND($A1542&lt;&gt;"",$B1542&lt;&gt;"",$R1542='تقرير أبريل'!$C$4,$P1542='تقرير أبريل'!$C$6),COUNT(AD$4:AD1541)+1,"")</f>
        <v/>
      </c>
      <c r="AE1542">
        <f>IF(AND($A1542&lt;&gt;"",$B1542&lt;&gt;"",$R1542='تقرير مايو'!$C$4,$P1542='تقرير مايو'!$C$6),COUNT(AE$4:AE1541)+1,"")</f>
        <v/>
      </c>
    </row>
    <row r="1543">
      <c r="A1543" s="16" t="n"/>
      <c r="B1543" s="17" t="n"/>
      <c r="C1543" s="17" t="n"/>
      <c r="D1543" s="18" t="n"/>
      <c r="E1543" s="17" t="n"/>
      <c r="F1543" s="17" t="n"/>
      <c r="G1543" s="19" t="n"/>
      <c r="H1543" s="17" t="n"/>
      <c r="I1543" s="17" t="n"/>
      <c r="J1543" s="17" t="n"/>
      <c r="K1543" s="20">
        <f>IF($B1543="","",IFERROR(INDEX(الموظفات!$A$5:$A$304,MATCH($B1543,الموظفات!$B$5:$B$304,0))&amp;"",""))</f>
        <v/>
      </c>
      <c r="L1543" s="21">
        <f>IF($B1543="","",IFERROR(INDEX(الموظفات!$C$5:$C$304,MATCH($B1543,الموظفات!$B$5:$B$304,0))&amp;"",""))</f>
        <v/>
      </c>
      <c r="M1543" s="20">
        <f>IF($B1543="","",IFERROR(INDEX(الموظفات!$D$5:$D$304,MATCH($B1543,الموظفات!$B$5:$B$304,0))&amp;"",""))</f>
        <v/>
      </c>
      <c r="N1543" s="20">
        <f>IF($B1543="","",IFERROR(INDEX(الموظفات!$E$5:$E$304,MATCH($B1543,الموظفات!$B$5:$B$304,0))&amp;"",""))</f>
        <v/>
      </c>
      <c r="O1543" s="21">
        <f>IF(C1543="","",IFERROR(INDEX(الإعدادات!$D$7:$D$35,MATCH(C1543,الإعدادات!$A$7:$A$35,0))&amp;"",""))</f>
        <v/>
      </c>
      <c r="P1543" s="20">
        <f>IF(A1543="","",INDEX(الإعدادات!$H$7:$H$18,MONTH(A1543)))</f>
        <v/>
      </c>
      <c r="Q1543" s="20">
        <f>IF(A1543="","",INDEX(الإعدادات!$I$7:$I$18,MONTH(A1543)))</f>
        <v/>
      </c>
      <c r="R1543" s="20">
        <f>IF(A1543="","",IF(MONTH(A1543)&gt;=8,YEAR(A1543)&amp;"-"&amp;(YEAR(A1543)+1),(YEAR(A1543)-1)&amp;"-"&amp;YEAR(A1543)))</f>
        <v/>
      </c>
      <c r="S1543" s="20">
        <f>IF(OR(A1543="",B1543=""),0,IF(AND(R1543=التقارير!$C$4,OR(التقارير!$C$5="سنوي",AND(التقارير!$C$5="شهري",P1543=التقارير!$C$6),AND(التقارير!$C$5="فصلي",Q1543=التقارير!$C$7))),1,0))</f>
        <v/>
      </c>
      <c r="T1543" s="20">
        <f>IF(S1543=1,COUNTIF($S$5:S1543,1),"")</f>
        <v/>
      </c>
      <c r="U1543">
        <f>IF(AND($A1543&lt;&gt;"",$B1543&lt;&gt;"",$R1543='تقرير الفصل الأول'!$C$4,$Q1543='تقرير الفصل الأول'!$C$7),COUNT(U$4:U1542)+1,"")</f>
        <v/>
      </c>
      <c r="V1543">
        <f>IF(AND($A1543&lt;&gt;"",$B1543&lt;&gt;"",$R1543='تقرير الفصل الثاني'!$C$4,$Q1543='تقرير الفصل الثاني'!$C$7),COUNT(V$4:V1542)+1,"")</f>
        <v/>
      </c>
      <c r="W1543">
        <f>IF(AND($A1543&lt;&gt;"",$B1543&lt;&gt;"",$R1543='تقرير سبتمبر'!$C$4,$P1543='تقرير سبتمبر'!$C$6),COUNT(W$4:W1542)+1,"")</f>
        <v/>
      </c>
      <c r="X1543">
        <f>IF(AND($A1543&lt;&gt;"",$B1543&lt;&gt;"",$R1543='تقرير أكتوبر'!$C$4,$P1543='تقرير أكتوبر'!$C$6),COUNT(X$4:X1542)+1,"")</f>
        <v/>
      </c>
      <c r="Y1543">
        <f>IF(AND($A1543&lt;&gt;"",$B1543&lt;&gt;"",$R1543='تقرير نوفمبر'!$C$4,$P1543='تقرير نوفمبر'!$C$6),COUNT(Y$4:Y1542)+1,"")</f>
        <v/>
      </c>
      <c r="Z1543">
        <f>IF(AND($A1543&lt;&gt;"",$B1543&lt;&gt;"",$R1543='تقرير ديسمبر'!$C$4,$P1543='تقرير ديسمبر'!$C$6),COUNT(Z$4:Z1542)+1,"")</f>
        <v/>
      </c>
      <c r="AA1543">
        <f>IF(AND($A1543&lt;&gt;"",$B1543&lt;&gt;"",$R1543='تقرير يناير'!$C$4,$P1543='تقرير يناير'!$C$6),COUNT(AA$4:AA1542)+1,"")</f>
        <v/>
      </c>
      <c r="AB1543">
        <f>IF(AND($A1543&lt;&gt;"",$B1543&lt;&gt;"",$R1543='تقرير فبراير'!$C$4,$P1543='تقرير فبراير'!$C$6),COUNT(AB$4:AB1542)+1,"")</f>
        <v/>
      </c>
      <c r="AC1543">
        <f>IF(AND($A1543&lt;&gt;"",$B1543&lt;&gt;"",$R1543='تقرير مارس'!$C$4,$P1543='تقرير مارس'!$C$6),COUNT(AC$4:AC1542)+1,"")</f>
        <v/>
      </c>
      <c r="AD1543">
        <f>IF(AND($A1543&lt;&gt;"",$B1543&lt;&gt;"",$R1543='تقرير أبريل'!$C$4,$P1543='تقرير أبريل'!$C$6),COUNT(AD$4:AD1542)+1,"")</f>
        <v/>
      </c>
      <c r="AE1543">
        <f>IF(AND($A1543&lt;&gt;"",$B1543&lt;&gt;"",$R1543='تقرير مايو'!$C$4,$P1543='تقرير مايو'!$C$6),COUNT(AE$4:AE1542)+1,"")</f>
        <v/>
      </c>
    </row>
    <row r="1544">
      <c r="A1544" s="16" t="n"/>
      <c r="B1544" s="17" t="n"/>
      <c r="C1544" s="17" t="n"/>
      <c r="D1544" s="18" t="n"/>
      <c r="E1544" s="17" t="n"/>
      <c r="F1544" s="17" t="n"/>
      <c r="G1544" s="19" t="n"/>
      <c r="H1544" s="17" t="n"/>
      <c r="I1544" s="17" t="n"/>
      <c r="J1544" s="17" t="n"/>
      <c r="K1544" s="20">
        <f>IF($B1544="","",IFERROR(INDEX(الموظفات!$A$5:$A$304,MATCH($B1544,الموظفات!$B$5:$B$304,0))&amp;"",""))</f>
        <v/>
      </c>
      <c r="L1544" s="21">
        <f>IF($B1544="","",IFERROR(INDEX(الموظفات!$C$5:$C$304,MATCH($B1544,الموظفات!$B$5:$B$304,0))&amp;"",""))</f>
        <v/>
      </c>
      <c r="M1544" s="20">
        <f>IF($B1544="","",IFERROR(INDEX(الموظفات!$D$5:$D$304,MATCH($B1544,الموظفات!$B$5:$B$304,0))&amp;"",""))</f>
        <v/>
      </c>
      <c r="N1544" s="20">
        <f>IF($B1544="","",IFERROR(INDEX(الموظفات!$E$5:$E$304,MATCH($B1544,الموظفات!$B$5:$B$304,0))&amp;"",""))</f>
        <v/>
      </c>
      <c r="O1544" s="21">
        <f>IF(C1544="","",IFERROR(INDEX(الإعدادات!$D$7:$D$35,MATCH(C1544,الإعدادات!$A$7:$A$35,0))&amp;"",""))</f>
        <v/>
      </c>
      <c r="P1544" s="20">
        <f>IF(A1544="","",INDEX(الإعدادات!$H$7:$H$18,MONTH(A1544)))</f>
        <v/>
      </c>
      <c r="Q1544" s="20">
        <f>IF(A1544="","",INDEX(الإعدادات!$I$7:$I$18,MONTH(A1544)))</f>
        <v/>
      </c>
      <c r="R1544" s="20">
        <f>IF(A1544="","",IF(MONTH(A1544)&gt;=8,YEAR(A1544)&amp;"-"&amp;(YEAR(A1544)+1),(YEAR(A1544)-1)&amp;"-"&amp;YEAR(A1544)))</f>
        <v/>
      </c>
      <c r="S1544" s="20">
        <f>IF(OR(A1544="",B1544=""),0,IF(AND(R1544=التقارير!$C$4,OR(التقارير!$C$5="سنوي",AND(التقارير!$C$5="شهري",P1544=التقارير!$C$6),AND(التقارير!$C$5="فصلي",Q1544=التقارير!$C$7))),1,0))</f>
        <v/>
      </c>
      <c r="T1544" s="20">
        <f>IF(S1544=1,COUNTIF($S$5:S1544,1),"")</f>
        <v/>
      </c>
      <c r="U1544">
        <f>IF(AND($A1544&lt;&gt;"",$B1544&lt;&gt;"",$R1544='تقرير الفصل الأول'!$C$4,$Q1544='تقرير الفصل الأول'!$C$7),COUNT(U$4:U1543)+1,"")</f>
        <v/>
      </c>
      <c r="V1544">
        <f>IF(AND($A1544&lt;&gt;"",$B1544&lt;&gt;"",$R1544='تقرير الفصل الثاني'!$C$4,$Q1544='تقرير الفصل الثاني'!$C$7),COUNT(V$4:V1543)+1,"")</f>
        <v/>
      </c>
      <c r="W1544">
        <f>IF(AND($A1544&lt;&gt;"",$B1544&lt;&gt;"",$R1544='تقرير سبتمبر'!$C$4,$P1544='تقرير سبتمبر'!$C$6),COUNT(W$4:W1543)+1,"")</f>
        <v/>
      </c>
      <c r="X1544">
        <f>IF(AND($A1544&lt;&gt;"",$B1544&lt;&gt;"",$R1544='تقرير أكتوبر'!$C$4,$P1544='تقرير أكتوبر'!$C$6),COUNT(X$4:X1543)+1,"")</f>
        <v/>
      </c>
      <c r="Y1544">
        <f>IF(AND($A1544&lt;&gt;"",$B1544&lt;&gt;"",$R1544='تقرير نوفمبر'!$C$4,$P1544='تقرير نوفمبر'!$C$6),COUNT(Y$4:Y1543)+1,"")</f>
        <v/>
      </c>
      <c r="Z1544">
        <f>IF(AND($A1544&lt;&gt;"",$B1544&lt;&gt;"",$R1544='تقرير ديسمبر'!$C$4,$P1544='تقرير ديسمبر'!$C$6),COUNT(Z$4:Z1543)+1,"")</f>
        <v/>
      </c>
      <c r="AA1544">
        <f>IF(AND($A1544&lt;&gt;"",$B1544&lt;&gt;"",$R1544='تقرير يناير'!$C$4,$P1544='تقرير يناير'!$C$6),COUNT(AA$4:AA1543)+1,"")</f>
        <v/>
      </c>
      <c r="AB1544">
        <f>IF(AND($A1544&lt;&gt;"",$B1544&lt;&gt;"",$R1544='تقرير فبراير'!$C$4,$P1544='تقرير فبراير'!$C$6),COUNT(AB$4:AB1543)+1,"")</f>
        <v/>
      </c>
      <c r="AC1544">
        <f>IF(AND($A1544&lt;&gt;"",$B1544&lt;&gt;"",$R1544='تقرير مارس'!$C$4,$P1544='تقرير مارس'!$C$6),COUNT(AC$4:AC1543)+1,"")</f>
        <v/>
      </c>
      <c r="AD1544">
        <f>IF(AND($A1544&lt;&gt;"",$B1544&lt;&gt;"",$R1544='تقرير أبريل'!$C$4,$P1544='تقرير أبريل'!$C$6),COUNT(AD$4:AD1543)+1,"")</f>
        <v/>
      </c>
      <c r="AE1544">
        <f>IF(AND($A1544&lt;&gt;"",$B1544&lt;&gt;"",$R1544='تقرير مايو'!$C$4,$P1544='تقرير مايو'!$C$6),COUNT(AE$4:AE1543)+1,"")</f>
        <v/>
      </c>
    </row>
    <row r="1545">
      <c r="A1545" s="16" t="n"/>
      <c r="B1545" s="17" t="n"/>
      <c r="C1545" s="17" t="n"/>
      <c r="D1545" s="18" t="n"/>
      <c r="E1545" s="17" t="n"/>
      <c r="F1545" s="17" t="n"/>
      <c r="G1545" s="19" t="n"/>
      <c r="H1545" s="17" t="n"/>
      <c r="I1545" s="17" t="n"/>
      <c r="J1545" s="17" t="n"/>
      <c r="K1545" s="20">
        <f>IF($B1545="","",IFERROR(INDEX(الموظفات!$A$5:$A$304,MATCH($B1545,الموظفات!$B$5:$B$304,0))&amp;"",""))</f>
        <v/>
      </c>
      <c r="L1545" s="21">
        <f>IF($B1545="","",IFERROR(INDEX(الموظفات!$C$5:$C$304,MATCH($B1545,الموظفات!$B$5:$B$304,0))&amp;"",""))</f>
        <v/>
      </c>
      <c r="M1545" s="20">
        <f>IF($B1545="","",IFERROR(INDEX(الموظفات!$D$5:$D$304,MATCH($B1545,الموظفات!$B$5:$B$304,0))&amp;"",""))</f>
        <v/>
      </c>
      <c r="N1545" s="20">
        <f>IF($B1545="","",IFERROR(INDEX(الموظفات!$E$5:$E$304,MATCH($B1545,الموظفات!$B$5:$B$304,0))&amp;"",""))</f>
        <v/>
      </c>
      <c r="O1545" s="21">
        <f>IF(C1545="","",IFERROR(INDEX(الإعدادات!$D$7:$D$35,MATCH(C1545,الإعدادات!$A$7:$A$35,0))&amp;"",""))</f>
        <v/>
      </c>
      <c r="P1545" s="20">
        <f>IF(A1545="","",INDEX(الإعدادات!$H$7:$H$18,MONTH(A1545)))</f>
        <v/>
      </c>
      <c r="Q1545" s="20">
        <f>IF(A1545="","",INDEX(الإعدادات!$I$7:$I$18,MONTH(A1545)))</f>
        <v/>
      </c>
      <c r="R1545" s="20">
        <f>IF(A1545="","",IF(MONTH(A1545)&gt;=8,YEAR(A1545)&amp;"-"&amp;(YEAR(A1545)+1),(YEAR(A1545)-1)&amp;"-"&amp;YEAR(A1545)))</f>
        <v/>
      </c>
      <c r="S1545" s="20">
        <f>IF(OR(A1545="",B1545=""),0,IF(AND(R1545=التقارير!$C$4,OR(التقارير!$C$5="سنوي",AND(التقارير!$C$5="شهري",P1545=التقارير!$C$6),AND(التقارير!$C$5="فصلي",Q1545=التقارير!$C$7))),1,0))</f>
        <v/>
      </c>
      <c r="T1545" s="20">
        <f>IF(S1545=1,COUNTIF($S$5:S1545,1),"")</f>
        <v/>
      </c>
      <c r="U1545">
        <f>IF(AND($A1545&lt;&gt;"",$B1545&lt;&gt;"",$R1545='تقرير الفصل الأول'!$C$4,$Q1545='تقرير الفصل الأول'!$C$7),COUNT(U$4:U1544)+1,"")</f>
        <v/>
      </c>
      <c r="V1545">
        <f>IF(AND($A1545&lt;&gt;"",$B1545&lt;&gt;"",$R1545='تقرير الفصل الثاني'!$C$4,$Q1545='تقرير الفصل الثاني'!$C$7),COUNT(V$4:V1544)+1,"")</f>
        <v/>
      </c>
      <c r="W1545">
        <f>IF(AND($A1545&lt;&gt;"",$B1545&lt;&gt;"",$R1545='تقرير سبتمبر'!$C$4,$P1545='تقرير سبتمبر'!$C$6),COUNT(W$4:W1544)+1,"")</f>
        <v/>
      </c>
      <c r="X1545">
        <f>IF(AND($A1545&lt;&gt;"",$B1545&lt;&gt;"",$R1545='تقرير أكتوبر'!$C$4,$P1545='تقرير أكتوبر'!$C$6),COUNT(X$4:X1544)+1,"")</f>
        <v/>
      </c>
      <c r="Y1545">
        <f>IF(AND($A1545&lt;&gt;"",$B1545&lt;&gt;"",$R1545='تقرير نوفمبر'!$C$4,$P1545='تقرير نوفمبر'!$C$6),COUNT(Y$4:Y1544)+1,"")</f>
        <v/>
      </c>
      <c r="Z1545">
        <f>IF(AND($A1545&lt;&gt;"",$B1545&lt;&gt;"",$R1545='تقرير ديسمبر'!$C$4,$P1545='تقرير ديسمبر'!$C$6),COUNT(Z$4:Z1544)+1,"")</f>
        <v/>
      </c>
      <c r="AA1545">
        <f>IF(AND($A1545&lt;&gt;"",$B1545&lt;&gt;"",$R1545='تقرير يناير'!$C$4,$P1545='تقرير يناير'!$C$6),COUNT(AA$4:AA1544)+1,"")</f>
        <v/>
      </c>
      <c r="AB1545">
        <f>IF(AND($A1545&lt;&gt;"",$B1545&lt;&gt;"",$R1545='تقرير فبراير'!$C$4,$P1545='تقرير فبراير'!$C$6),COUNT(AB$4:AB1544)+1,"")</f>
        <v/>
      </c>
      <c r="AC1545">
        <f>IF(AND($A1545&lt;&gt;"",$B1545&lt;&gt;"",$R1545='تقرير مارس'!$C$4,$P1545='تقرير مارس'!$C$6),COUNT(AC$4:AC1544)+1,"")</f>
        <v/>
      </c>
      <c r="AD1545">
        <f>IF(AND($A1545&lt;&gt;"",$B1545&lt;&gt;"",$R1545='تقرير أبريل'!$C$4,$P1545='تقرير أبريل'!$C$6),COUNT(AD$4:AD1544)+1,"")</f>
        <v/>
      </c>
      <c r="AE1545">
        <f>IF(AND($A1545&lt;&gt;"",$B1545&lt;&gt;"",$R1545='تقرير مايو'!$C$4,$P1545='تقرير مايو'!$C$6),COUNT(AE$4:AE1544)+1,"")</f>
        <v/>
      </c>
    </row>
    <row r="1546">
      <c r="A1546" s="16" t="n"/>
      <c r="B1546" s="17" t="n"/>
      <c r="C1546" s="17" t="n"/>
      <c r="D1546" s="18" t="n"/>
      <c r="E1546" s="17" t="n"/>
      <c r="F1546" s="17" t="n"/>
      <c r="G1546" s="19" t="n"/>
      <c r="H1546" s="17" t="n"/>
      <c r="I1546" s="17" t="n"/>
      <c r="J1546" s="17" t="n"/>
      <c r="K1546" s="20">
        <f>IF($B1546="","",IFERROR(INDEX(الموظفات!$A$5:$A$304,MATCH($B1546,الموظفات!$B$5:$B$304,0))&amp;"",""))</f>
        <v/>
      </c>
      <c r="L1546" s="21">
        <f>IF($B1546="","",IFERROR(INDEX(الموظفات!$C$5:$C$304,MATCH($B1546,الموظفات!$B$5:$B$304,0))&amp;"",""))</f>
        <v/>
      </c>
      <c r="M1546" s="20">
        <f>IF($B1546="","",IFERROR(INDEX(الموظفات!$D$5:$D$304,MATCH($B1546,الموظفات!$B$5:$B$304,0))&amp;"",""))</f>
        <v/>
      </c>
      <c r="N1546" s="20">
        <f>IF($B1546="","",IFERROR(INDEX(الموظفات!$E$5:$E$304,MATCH($B1546,الموظفات!$B$5:$B$304,0))&amp;"",""))</f>
        <v/>
      </c>
      <c r="O1546" s="21">
        <f>IF(C1546="","",IFERROR(INDEX(الإعدادات!$D$7:$D$35,MATCH(C1546,الإعدادات!$A$7:$A$35,0))&amp;"",""))</f>
        <v/>
      </c>
      <c r="P1546" s="20">
        <f>IF(A1546="","",INDEX(الإعدادات!$H$7:$H$18,MONTH(A1546)))</f>
        <v/>
      </c>
      <c r="Q1546" s="20">
        <f>IF(A1546="","",INDEX(الإعدادات!$I$7:$I$18,MONTH(A1546)))</f>
        <v/>
      </c>
      <c r="R1546" s="20">
        <f>IF(A1546="","",IF(MONTH(A1546)&gt;=8,YEAR(A1546)&amp;"-"&amp;(YEAR(A1546)+1),(YEAR(A1546)-1)&amp;"-"&amp;YEAR(A1546)))</f>
        <v/>
      </c>
      <c r="S1546" s="20">
        <f>IF(OR(A1546="",B1546=""),0,IF(AND(R1546=التقارير!$C$4,OR(التقارير!$C$5="سنوي",AND(التقارير!$C$5="شهري",P1546=التقارير!$C$6),AND(التقارير!$C$5="فصلي",Q1546=التقارير!$C$7))),1,0))</f>
        <v/>
      </c>
      <c r="T1546" s="20">
        <f>IF(S1546=1,COUNTIF($S$5:S1546,1),"")</f>
        <v/>
      </c>
      <c r="U1546">
        <f>IF(AND($A1546&lt;&gt;"",$B1546&lt;&gt;"",$R1546='تقرير الفصل الأول'!$C$4,$Q1546='تقرير الفصل الأول'!$C$7),COUNT(U$4:U1545)+1,"")</f>
        <v/>
      </c>
      <c r="V1546">
        <f>IF(AND($A1546&lt;&gt;"",$B1546&lt;&gt;"",$R1546='تقرير الفصل الثاني'!$C$4,$Q1546='تقرير الفصل الثاني'!$C$7),COUNT(V$4:V1545)+1,"")</f>
        <v/>
      </c>
      <c r="W1546">
        <f>IF(AND($A1546&lt;&gt;"",$B1546&lt;&gt;"",$R1546='تقرير سبتمبر'!$C$4,$P1546='تقرير سبتمبر'!$C$6),COUNT(W$4:W1545)+1,"")</f>
        <v/>
      </c>
      <c r="X1546">
        <f>IF(AND($A1546&lt;&gt;"",$B1546&lt;&gt;"",$R1546='تقرير أكتوبر'!$C$4,$P1546='تقرير أكتوبر'!$C$6),COUNT(X$4:X1545)+1,"")</f>
        <v/>
      </c>
      <c r="Y1546">
        <f>IF(AND($A1546&lt;&gt;"",$B1546&lt;&gt;"",$R1546='تقرير نوفمبر'!$C$4,$P1546='تقرير نوفمبر'!$C$6),COUNT(Y$4:Y1545)+1,"")</f>
        <v/>
      </c>
      <c r="Z1546">
        <f>IF(AND($A1546&lt;&gt;"",$B1546&lt;&gt;"",$R1546='تقرير ديسمبر'!$C$4,$P1546='تقرير ديسمبر'!$C$6),COUNT(Z$4:Z1545)+1,"")</f>
        <v/>
      </c>
      <c r="AA1546">
        <f>IF(AND($A1546&lt;&gt;"",$B1546&lt;&gt;"",$R1546='تقرير يناير'!$C$4,$P1546='تقرير يناير'!$C$6),COUNT(AA$4:AA1545)+1,"")</f>
        <v/>
      </c>
      <c r="AB1546">
        <f>IF(AND($A1546&lt;&gt;"",$B1546&lt;&gt;"",$R1546='تقرير فبراير'!$C$4,$P1546='تقرير فبراير'!$C$6),COUNT(AB$4:AB1545)+1,"")</f>
        <v/>
      </c>
      <c r="AC1546">
        <f>IF(AND($A1546&lt;&gt;"",$B1546&lt;&gt;"",$R1546='تقرير مارس'!$C$4,$P1546='تقرير مارس'!$C$6),COUNT(AC$4:AC1545)+1,"")</f>
        <v/>
      </c>
      <c r="AD1546">
        <f>IF(AND($A1546&lt;&gt;"",$B1546&lt;&gt;"",$R1546='تقرير أبريل'!$C$4,$P1546='تقرير أبريل'!$C$6),COUNT(AD$4:AD1545)+1,"")</f>
        <v/>
      </c>
      <c r="AE1546">
        <f>IF(AND($A1546&lt;&gt;"",$B1546&lt;&gt;"",$R1546='تقرير مايو'!$C$4,$P1546='تقرير مايو'!$C$6),COUNT(AE$4:AE1545)+1,"")</f>
        <v/>
      </c>
    </row>
    <row r="1547">
      <c r="A1547" s="16" t="n"/>
      <c r="B1547" s="17" t="n"/>
      <c r="C1547" s="17" t="n"/>
      <c r="D1547" s="18" t="n"/>
      <c r="E1547" s="17" t="n"/>
      <c r="F1547" s="17" t="n"/>
      <c r="G1547" s="19" t="n"/>
      <c r="H1547" s="17" t="n"/>
      <c r="I1547" s="17" t="n"/>
      <c r="J1547" s="17" t="n"/>
      <c r="K1547" s="20">
        <f>IF($B1547="","",IFERROR(INDEX(الموظفات!$A$5:$A$304,MATCH($B1547,الموظفات!$B$5:$B$304,0))&amp;"",""))</f>
        <v/>
      </c>
      <c r="L1547" s="21">
        <f>IF($B1547="","",IFERROR(INDEX(الموظفات!$C$5:$C$304,MATCH($B1547,الموظفات!$B$5:$B$304,0))&amp;"",""))</f>
        <v/>
      </c>
      <c r="M1547" s="20">
        <f>IF($B1547="","",IFERROR(INDEX(الموظفات!$D$5:$D$304,MATCH($B1547,الموظفات!$B$5:$B$304,0))&amp;"",""))</f>
        <v/>
      </c>
      <c r="N1547" s="20">
        <f>IF($B1547="","",IFERROR(INDEX(الموظفات!$E$5:$E$304,MATCH($B1547,الموظفات!$B$5:$B$304,0))&amp;"",""))</f>
        <v/>
      </c>
      <c r="O1547" s="21">
        <f>IF(C1547="","",IFERROR(INDEX(الإعدادات!$D$7:$D$35,MATCH(C1547,الإعدادات!$A$7:$A$35,0))&amp;"",""))</f>
        <v/>
      </c>
      <c r="P1547" s="20">
        <f>IF(A1547="","",INDEX(الإعدادات!$H$7:$H$18,MONTH(A1547)))</f>
        <v/>
      </c>
      <c r="Q1547" s="20">
        <f>IF(A1547="","",INDEX(الإعدادات!$I$7:$I$18,MONTH(A1547)))</f>
        <v/>
      </c>
      <c r="R1547" s="20">
        <f>IF(A1547="","",IF(MONTH(A1547)&gt;=8,YEAR(A1547)&amp;"-"&amp;(YEAR(A1547)+1),(YEAR(A1547)-1)&amp;"-"&amp;YEAR(A1547)))</f>
        <v/>
      </c>
      <c r="S1547" s="20">
        <f>IF(OR(A1547="",B1547=""),0,IF(AND(R1547=التقارير!$C$4,OR(التقارير!$C$5="سنوي",AND(التقارير!$C$5="شهري",P1547=التقارير!$C$6),AND(التقارير!$C$5="فصلي",Q1547=التقارير!$C$7))),1,0))</f>
        <v/>
      </c>
      <c r="T1547" s="20">
        <f>IF(S1547=1,COUNTIF($S$5:S1547,1),"")</f>
        <v/>
      </c>
      <c r="U1547">
        <f>IF(AND($A1547&lt;&gt;"",$B1547&lt;&gt;"",$R1547='تقرير الفصل الأول'!$C$4,$Q1547='تقرير الفصل الأول'!$C$7),COUNT(U$4:U1546)+1,"")</f>
        <v/>
      </c>
      <c r="V1547">
        <f>IF(AND($A1547&lt;&gt;"",$B1547&lt;&gt;"",$R1547='تقرير الفصل الثاني'!$C$4,$Q1547='تقرير الفصل الثاني'!$C$7),COUNT(V$4:V1546)+1,"")</f>
        <v/>
      </c>
      <c r="W1547">
        <f>IF(AND($A1547&lt;&gt;"",$B1547&lt;&gt;"",$R1547='تقرير سبتمبر'!$C$4,$P1547='تقرير سبتمبر'!$C$6),COUNT(W$4:W1546)+1,"")</f>
        <v/>
      </c>
      <c r="X1547">
        <f>IF(AND($A1547&lt;&gt;"",$B1547&lt;&gt;"",$R1547='تقرير أكتوبر'!$C$4,$P1547='تقرير أكتوبر'!$C$6),COUNT(X$4:X1546)+1,"")</f>
        <v/>
      </c>
      <c r="Y1547">
        <f>IF(AND($A1547&lt;&gt;"",$B1547&lt;&gt;"",$R1547='تقرير نوفمبر'!$C$4,$P1547='تقرير نوفمبر'!$C$6),COUNT(Y$4:Y1546)+1,"")</f>
        <v/>
      </c>
      <c r="Z1547">
        <f>IF(AND($A1547&lt;&gt;"",$B1547&lt;&gt;"",$R1547='تقرير ديسمبر'!$C$4,$P1547='تقرير ديسمبر'!$C$6),COUNT(Z$4:Z1546)+1,"")</f>
        <v/>
      </c>
      <c r="AA1547">
        <f>IF(AND($A1547&lt;&gt;"",$B1547&lt;&gt;"",$R1547='تقرير يناير'!$C$4,$P1547='تقرير يناير'!$C$6),COUNT(AA$4:AA1546)+1,"")</f>
        <v/>
      </c>
      <c r="AB1547">
        <f>IF(AND($A1547&lt;&gt;"",$B1547&lt;&gt;"",$R1547='تقرير فبراير'!$C$4,$P1547='تقرير فبراير'!$C$6),COUNT(AB$4:AB1546)+1,"")</f>
        <v/>
      </c>
      <c r="AC1547">
        <f>IF(AND($A1547&lt;&gt;"",$B1547&lt;&gt;"",$R1547='تقرير مارس'!$C$4,$P1547='تقرير مارس'!$C$6),COUNT(AC$4:AC1546)+1,"")</f>
        <v/>
      </c>
      <c r="AD1547">
        <f>IF(AND($A1547&lt;&gt;"",$B1547&lt;&gt;"",$R1547='تقرير أبريل'!$C$4,$P1547='تقرير أبريل'!$C$6),COUNT(AD$4:AD1546)+1,"")</f>
        <v/>
      </c>
      <c r="AE1547">
        <f>IF(AND($A1547&lt;&gt;"",$B1547&lt;&gt;"",$R1547='تقرير مايو'!$C$4,$P1547='تقرير مايو'!$C$6),COUNT(AE$4:AE1546)+1,"")</f>
        <v/>
      </c>
    </row>
    <row r="1548">
      <c r="A1548" s="16" t="n"/>
      <c r="B1548" s="17" t="n"/>
      <c r="C1548" s="17" t="n"/>
      <c r="D1548" s="18" t="n"/>
      <c r="E1548" s="17" t="n"/>
      <c r="F1548" s="17" t="n"/>
      <c r="G1548" s="19" t="n"/>
      <c r="H1548" s="17" t="n"/>
      <c r="I1548" s="17" t="n"/>
      <c r="J1548" s="17" t="n"/>
      <c r="K1548" s="20">
        <f>IF($B1548="","",IFERROR(INDEX(الموظفات!$A$5:$A$304,MATCH($B1548,الموظفات!$B$5:$B$304,0))&amp;"",""))</f>
        <v/>
      </c>
      <c r="L1548" s="21">
        <f>IF($B1548="","",IFERROR(INDEX(الموظفات!$C$5:$C$304,MATCH($B1548,الموظفات!$B$5:$B$304,0))&amp;"",""))</f>
        <v/>
      </c>
      <c r="M1548" s="20">
        <f>IF($B1548="","",IFERROR(INDEX(الموظفات!$D$5:$D$304,MATCH($B1548,الموظفات!$B$5:$B$304,0))&amp;"",""))</f>
        <v/>
      </c>
      <c r="N1548" s="20">
        <f>IF($B1548="","",IFERROR(INDEX(الموظفات!$E$5:$E$304,MATCH($B1548,الموظفات!$B$5:$B$304,0))&amp;"",""))</f>
        <v/>
      </c>
      <c r="O1548" s="21">
        <f>IF(C1548="","",IFERROR(INDEX(الإعدادات!$D$7:$D$35,MATCH(C1548,الإعدادات!$A$7:$A$35,0))&amp;"",""))</f>
        <v/>
      </c>
      <c r="P1548" s="20">
        <f>IF(A1548="","",INDEX(الإعدادات!$H$7:$H$18,MONTH(A1548)))</f>
        <v/>
      </c>
      <c r="Q1548" s="20">
        <f>IF(A1548="","",INDEX(الإعدادات!$I$7:$I$18,MONTH(A1548)))</f>
        <v/>
      </c>
      <c r="R1548" s="20">
        <f>IF(A1548="","",IF(MONTH(A1548)&gt;=8,YEAR(A1548)&amp;"-"&amp;(YEAR(A1548)+1),(YEAR(A1548)-1)&amp;"-"&amp;YEAR(A1548)))</f>
        <v/>
      </c>
      <c r="S1548" s="20">
        <f>IF(OR(A1548="",B1548=""),0,IF(AND(R1548=التقارير!$C$4,OR(التقارير!$C$5="سنوي",AND(التقارير!$C$5="شهري",P1548=التقارير!$C$6),AND(التقارير!$C$5="فصلي",Q1548=التقارير!$C$7))),1,0))</f>
        <v/>
      </c>
      <c r="T1548" s="20">
        <f>IF(S1548=1,COUNTIF($S$5:S1548,1),"")</f>
        <v/>
      </c>
      <c r="U1548">
        <f>IF(AND($A1548&lt;&gt;"",$B1548&lt;&gt;"",$R1548='تقرير الفصل الأول'!$C$4,$Q1548='تقرير الفصل الأول'!$C$7),COUNT(U$4:U1547)+1,"")</f>
        <v/>
      </c>
      <c r="V1548">
        <f>IF(AND($A1548&lt;&gt;"",$B1548&lt;&gt;"",$R1548='تقرير الفصل الثاني'!$C$4,$Q1548='تقرير الفصل الثاني'!$C$7),COUNT(V$4:V1547)+1,"")</f>
        <v/>
      </c>
      <c r="W1548">
        <f>IF(AND($A1548&lt;&gt;"",$B1548&lt;&gt;"",$R1548='تقرير سبتمبر'!$C$4,$P1548='تقرير سبتمبر'!$C$6),COUNT(W$4:W1547)+1,"")</f>
        <v/>
      </c>
      <c r="X1548">
        <f>IF(AND($A1548&lt;&gt;"",$B1548&lt;&gt;"",$R1548='تقرير أكتوبر'!$C$4,$P1548='تقرير أكتوبر'!$C$6),COUNT(X$4:X1547)+1,"")</f>
        <v/>
      </c>
      <c r="Y1548">
        <f>IF(AND($A1548&lt;&gt;"",$B1548&lt;&gt;"",$R1548='تقرير نوفمبر'!$C$4,$P1548='تقرير نوفمبر'!$C$6),COUNT(Y$4:Y1547)+1,"")</f>
        <v/>
      </c>
      <c r="Z1548">
        <f>IF(AND($A1548&lt;&gt;"",$B1548&lt;&gt;"",$R1548='تقرير ديسمبر'!$C$4,$P1548='تقرير ديسمبر'!$C$6),COUNT(Z$4:Z1547)+1,"")</f>
        <v/>
      </c>
      <c r="AA1548">
        <f>IF(AND($A1548&lt;&gt;"",$B1548&lt;&gt;"",$R1548='تقرير يناير'!$C$4,$P1548='تقرير يناير'!$C$6),COUNT(AA$4:AA1547)+1,"")</f>
        <v/>
      </c>
      <c r="AB1548">
        <f>IF(AND($A1548&lt;&gt;"",$B1548&lt;&gt;"",$R1548='تقرير فبراير'!$C$4,$P1548='تقرير فبراير'!$C$6),COUNT(AB$4:AB1547)+1,"")</f>
        <v/>
      </c>
      <c r="AC1548">
        <f>IF(AND($A1548&lt;&gt;"",$B1548&lt;&gt;"",$R1548='تقرير مارس'!$C$4,$P1548='تقرير مارس'!$C$6),COUNT(AC$4:AC1547)+1,"")</f>
        <v/>
      </c>
      <c r="AD1548">
        <f>IF(AND($A1548&lt;&gt;"",$B1548&lt;&gt;"",$R1548='تقرير أبريل'!$C$4,$P1548='تقرير أبريل'!$C$6),COUNT(AD$4:AD1547)+1,"")</f>
        <v/>
      </c>
      <c r="AE1548">
        <f>IF(AND($A1548&lt;&gt;"",$B1548&lt;&gt;"",$R1548='تقرير مايو'!$C$4,$P1548='تقرير مايو'!$C$6),COUNT(AE$4:AE1547)+1,"")</f>
        <v/>
      </c>
    </row>
    <row r="1549">
      <c r="A1549" s="16" t="n"/>
      <c r="B1549" s="17" t="n"/>
      <c r="C1549" s="17" t="n"/>
      <c r="D1549" s="18" t="n"/>
      <c r="E1549" s="17" t="n"/>
      <c r="F1549" s="17" t="n"/>
      <c r="G1549" s="19" t="n"/>
      <c r="H1549" s="17" t="n"/>
      <c r="I1549" s="17" t="n"/>
      <c r="J1549" s="17" t="n"/>
      <c r="K1549" s="20">
        <f>IF($B1549="","",IFERROR(INDEX(الموظفات!$A$5:$A$304,MATCH($B1549,الموظفات!$B$5:$B$304,0))&amp;"",""))</f>
        <v/>
      </c>
      <c r="L1549" s="21">
        <f>IF($B1549="","",IFERROR(INDEX(الموظفات!$C$5:$C$304,MATCH($B1549,الموظفات!$B$5:$B$304,0))&amp;"",""))</f>
        <v/>
      </c>
      <c r="M1549" s="20">
        <f>IF($B1549="","",IFERROR(INDEX(الموظفات!$D$5:$D$304,MATCH($B1549,الموظفات!$B$5:$B$304,0))&amp;"",""))</f>
        <v/>
      </c>
      <c r="N1549" s="20">
        <f>IF($B1549="","",IFERROR(INDEX(الموظفات!$E$5:$E$304,MATCH($B1549,الموظفات!$B$5:$B$304,0))&amp;"",""))</f>
        <v/>
      </c>
      <c r="O1549" s="21">
        <f>IF(C1549="","",IFERROR(INDEX(الإعدادات!$D$7:$D$35,MATCH(C1549,الإعدادات!$A$7:$A$35,0))&amp;"",""))</f>
        <v/>
      </c>
      <c r="P1549" s="20">
        <f>IF(A1549="","",INDEX(الإعدادات!$H$7:$H$18,MONTH(A1549)))</f>
        <v/>
      </c>
      <c r="Q1549" s="20">
        <f>IF(A1549="","",INDEX(الإعدادات!$I$7:$I$18,MONTH(A1549)))</f>
        <v/>
      </c>
      <c r="R1549" s="20">
        <f>IF(A1549="","",IF(MONTH(A1549)&gt;=8,YEAR(A1549)&amp;"-"&amp;(YEAR(A1549)+1),(YEAR(A1549)-1)&amp;"-"&amp;YEAR(A1549)))</f>
        <v/>
      </c>
      <c r="S1549" s="20">
        <f>IF(OR(A1549="",B1549=""),0,IF(AND(R1549=التقارير!$C$4,OR(التقارير!$C$5="سنوي",AND(التقارير!$C$5="شهري",P1549=التقارير!$C$6),AND(التقارير!$C$5="فصلي",Q1549=التقارير!$C$7))),1,0))</f>
        <v/>
      </c>
      <c r="T1549" s="20">
        <f>IF(S1549=1,COUNTIF($S$5:S1549,1),"")</f>
        <v/>
      </c>
      <c r="U1549">
        <f>IF(AND($A1549&lt;&gt;"",$B1549&lt;&gt;"",$R1549='تقرير الفصل الأول'!$C$4,$Q1549='تقرير الفصل الأول'!$C$7),COUNT(U$4:U1548)+1,"")</f>
        <v/>
      </c>
      <c r="V1549">
        <f>IF(AND($A1549&lt;&gt;"",$B1549&lt;&gt;"",$R1549='تقرير الفصل الثاني'!$C$4,$Q1549='تقرير الفصل الثاني'!$C$7),COUNT(V$4:V1548)+1,"")</f>
        <v/>
      </c>
      <c r="W1549">
        <f>IF(AND($A1549&lt;&gt;"",$B1549&lt;&gt;"",$R1549='تقرير سبتمبر'!$C$4,$P1549='تقرير سبتمبر'!$C$6),COUNT(W$4:W1548)+1,"")</f>
        <v/>
      </c>
      <c r="X1549">
        <f>IF(AND($A1549&lt;&gt;"",$B1549&lt;&gt;"",$R1549='تقرير أكتوبر'!$C$4,$P1549='تقرير أكتوبر'!$C$6),COUNT(X$4:X1548)+1,"")</f>
        <v/>
      </c>
      <c r="Y1549">
        <f>IF(AND($A1549&lt;&gt;"",$B1549&lt;&gt;"",$R1549='تقرير نوفمبر'!$C$4,$P1549='تقرير نوفمبر'!$C$6),COUNT(Y$4:Y1548)+1,"")</f>
        <v/>
      </c>
      <c r="Z1549">
        <f>IF(AND($A1549&lt;&gt;"",$B1549&lt;&gt;"",$R1549='تقرير ديسمبر'!$C$4,$P1549='تقرير ديسمبر'!$C$6),COUNT(Z$4:Z1548)+1,"")</f>
        <v/>
      </c>
      <c r="AA1549">
        <f>IF(AND($A1549&lt;&gt;"",$B1549&lt;&gt;"",$R1549='تقرير يناير'!$C$4,$P1549='تقرير يناير'!$C$6),COUNT(AA$4:AA1548)+1,"")</f>
        <v/>
      </c>
      <c r="AB1549">
        <f>IF(AND($A1549&lt;&gt;"",$B1549&lt;&gt;"",$R1549='تقرير فبراير'!$C$4,$P1549='تقرير فبراير'!$C$6),COUNT(AB$4:AB1548)+1,"")</f>
        <v/>
      </c>
      <c r="AC1549">
        <f>IF(AND($A1549&lt;&gt;"",$B1549&lt;&gt;"",$R1549='تقرير مارس'!$C$4,$P1549='تقرير مارس'!$C$6),COUNT(AC$4:AC1548)+1,"")</f>
        <v/>
      </c>
      <c r="AD1549">
        <f>IF(AND($A1549&lt;&gt;"",$B1549&lt;&gt;"",$R1549='تقرير أبريل'!$C$4,$P1549='تقرير أبريل'!$C$6),COUNT(AD$4:AD1548)+1,"")</f>
        <v/>
      </c>
      <c r="AE1549">
        <f>IF(AND($A1549&lt;&gt;"",$B1549&lt;&gt;"",$R1549='تقرير مايو'!$C$4,$P1549='تقرير مايو'!$C$6),COUNT(AE$4:AE1548)+1,"")</f>
        <v/>
      </c>
    </row>
    <row r="1550">
      <c r="A1550" s="16" t="n"/>
      <c r="B1550" s="17" t="n"/>
      <c r="C1550" s="17" t="n"/>
      <c r="D1550" s="18" t="n"/>
      <c r="E1550" s="17" t="n"/>
      <c r="F1550" s="17" t="n"/>
      <c r="G1550" s="19" t="n"/>
      <c r="H1550" s="17" t="n"/>
      <c r="I1550" s="17" t="n"/>
      <c r="J1550" s="17" t="n"/>
      <c r="K1550" s="20">
        <f>IF($B1550="","",IFERROR(INDEX(الموظفات!$A$5:$A$304,MATCH($B1550,الموظفات!$B$5:$B$304,0))&amp;"",""))</f>
        <v/>
      </c>
      <c r="L1550" s="21">
        <f>IF($B1550="","",IFERROR(INDEX(الموظفات!$C$5:$C$304,MATCH($B1550,الموظفات!$B$5:$B$304,0))&amp;"",""))</f>
        <v/>
      </c>
      <c r="M1550" s="20">
        <f>IF($B1550="","",IFERROR(INDEX(الموظفات!$D$5:$D$304,MATCH($B1550,الموظفات!$B$5:$B$304,0))&amp;"",""))</f>
        <v/>
      </c>
      <c r="N1550" s="20">
        <f>IF($B1550="","",IFERROR(INDEX(الموظفات!$E$5:$E$304,MATCH($B1550,الموظفات!$B$5:$B$304,0))&amp;"",""))</f>
        <v/>
      </c>
      <c r="O1550" s="21">
        <f>IF(C1550="","",IFERROR(INDEX(الإعدادات!$D$7:$D$35,MATCH(C1550,الإعدادات!$A$7:$A$35,0))&amp;"",""))</f>
        <v/>
      </c>
      <c r="P1550" s="20">
        <f>IF(A1550="","",INDEX(الإعدادات!$H$7:$H$18,MONTH(A1550)))</f>
        <v/>
      </c>
      <c r="Q1550" s="20">
        <f>IF(A1550="","",INDEX(الإعدادات!$I$7:$I$18,MONTH(A1550)))</f>
        <v/>
      </c>
      <c r="R1550" s="20">
        <f>IF(A1550="","",IF(MONTH(A1550)&gt;=8,YEAR(A1550)&amp;"-"&amp;(YEAR(A1550)+1),(YEAR(A1550)-1)&amp;"-"&amp;YEAR(A1550)))</f>
        <v/>
      </c>
      <c r="S1550" s="20">
        <f>IF(OR(A1550="",B1550=""),0,IF(AND(R1550=التقارير!$C$4,OR(التقارير!$C$5="سنوي",AND(التقارير!$C$5="شهري",P1550=التقارير!$C$6),AND(التقارير!$C$5="فصلي",Q1550=التقارير!$C$7))),1,0))</f>
        <v/>
      </c>
      <c r="T1550" s="20">
        <f>IF(S1550=1,COUNTIF($S$5:S1550,1),"")</f>
        <v/>
      </c>
      <c r="U1550">
        <f>IF(AND($A1550&lt;&gt;"",$B1550&lt;&gt;"",$R1550='تقرير الفصل الأول'!$C$4,$Q1550='تقرير الفصل الأول'!$C$7),COUNT(U$4:U1549)+1,"")</f>
        <v/>
      </c>
      <c r="V1550">
        <f>IF(AND($A1550&lt;&gt;"",$B1550&lt;&gt;"",$R1550='تقرير الفصل الثاني'!$C$4,$Q1550='تقرير الفصل الثاني'!$C$7),COUNT(V$4:V1549)+1,"")</f>
        <v/>
      </c>
      <c r="W1550">
        <f>IF(AND($A1550&lt;&gt;"",$B1550&lt;&gt;"",$R1550='تقرير سبتمبر'!$C$4,$P1550='تقرير سبتمبر'!$C$6),COUNT(W$4:W1549)+1,"")</f>
        <v/>
      </c>
      <c r="X1550">
        <f>IF(AND($A1550&lt;&gt;"",$B1550&lt;&gt;"",$R1550='تقرير أكتوبر'!$C$4,$P1550='تقرير أكتوبر'!$C$6),COUNT(X$4:X1549)+1,"")</f>
        <v/>
      </c>
      <c r="Y1550">
        <f>IF(AND($A1550&lt;&gt;"",$B1550&lt;&gt;"",$R1550='تقرير نوفمبر'!$C$4,$P1550='تقرير نوفمبر'!$C$6),COUNT(Y$4:Y1549)+1,"")</f>
        <v/>
      </c>
      <c r="Z1550">
        <f>IF(AND($A1550&lt;&gt;"",$B1550&lt;&gt;"",$R1550='تقرير ديسمبر'!$C$4,$P1550='تقرير ديسمبر'!$C$6),COUNT(Z$4:Z1549)+1,"")</f>
        <v/>
      </c>
      <c r="AA1550">
        <f>IF(AND($A1550&lt;&gt;"",$B1550&lt;&gt;"",$R1550='تقرير يناير'!$C$4,$P1550='تقرير يناير'!$C$6),COUNT(AA$4:AA1549)+1,"")</f>
        <v/>
      </c>
      <c r="AB1550">
        <f>IF(AND($A1550&lt;&gt;"",$B1550&lt;&gt;"",$R1550='تقرير فبراير'!$C$4,$P1550='تقرير فبراير'!$C$6),COUNT(AB$4:AB1549)+1,"")</f>
        <v/>
      </c>
      <c r="AC1550">
        <f>IF(AND($A1550&lt;&gt;"",$B1550&lt;&gt;"",$R1550='تقرير مارس'!$C$4,$P1550='تقرير مارس'!$C$6),COUNT(AC$4:AC1549)+1,"")</f>
        <v/>
      </c>
      <c r="AD1550">
        <f>IF(AND($A1550&lt;&gt;"",$B1550&lt;&gt;"",$R1550='تقرير أبريل'!$C$4,$P1550='تقرير أبريل'!$C$6),COUNT(AD$4:AD1549)+1,"")</f>
        <v/>
      </c>
      <c r="AE1550">
        <f>IF(AND($A1550&lt;&gt;"",$B1550&lt;&gt;"",$R1550='تقرير مايو'!$C$4,$P1550='تقرير مايو'!$C$6),COUNT(AE$4:AE1549)+1,"")</f>
        <v/>
      </c>
    </row>
    <row r="1551">
      <c r="A1551" s="16" t="n"/>
      <c r="B1551" s="17" t="n"/>
      <c r="C1551" s="17" t="n"/>
      <c r="D1551" s="18" t="n"/>
      <c r="E1551" s="17" t="n"/>
      <c r="F1551" s="17" t="n"/>
      <c r="G1551" s="19" t="n"/>
      <c r="H1551" s="17" t="n"/>
      <c r="I1551" s="17" t="n"/>
      <c r="J1551" s="17" t="n"/>
      <c r="K1551" s="20">
        <f>IF($B1551="","",IFERROR(INDEX(الموظفات!$A$5:$A$304,MATCH($B1551,الموظفات!$B$5:$B$304,0))&amp;"",""))</f>
        <v/>
      </c>
      <c r="L1551" s="21">
        <f>IF($B1551="","",IFERROR(INDEX(الموظفات!$C$5:$C$304,MATCH($B1551,الموظفات!$B$5:$B$304,0))&amp;"",""))</f>
        <v/>
      </c>
      <c r="M1551" s="20">
        <f>IF($B1551="","",IFERROR(INDEX(الموظفات!$D$5:$D$304,MATCH($B1551,الموظفات!$B$5:$B$304,0))&amp;"",""))</f>
        <v/>
      </c>
      <c r="N1551" s="20">
        <f>IF($B1551="","",IFERROR(INDEX(الموظفات!$E$5:$E$304,MATCH($B1551,الموظفات!$B$5:$B$304,0))&amp;"",""))</f>
        <v/>
      </c>
      <c r="O1551" s="21">
        <f>IF(C1551="","",IFERROR(INDEX(الإعدادات!$D$7:$D$35,MATCH(C1551,الإعدادات!$A$7:$A$35,0))&amp;"",""))</f>
        <v/>
      </c>
      <c r="P1551" s="20">
        <f>IF(A1551="","",INDEX(الإعدادات!$H$7:$H$18,MONTH(A1551)))</f>
        <v/>
      </c>
      <c r="Q1551" s="20">
        <f>IF(A1551="","",INDEX(الإعدادات!$I$7:$I$18,MONTH(A1551)))</f>
        <v/>
      </c>
      <c r="R1551" s="20">
        <f>IF(A1551="","",IF(MONTH(A1551)&gt;=8,YEAR(A1551)&amp;"-"&amp;(YEAR(A1551)+1),(YEAR(A1551)-1)&amp;"-"&amp;YEAR(A1551)))</f>
        <v/>
      </c>
      <c r="S1551" s="20">
        <f>IF(OR(A1551="",B1551=""),0,IF(AND(R1551=التقارير!$C$4,OR(التقارير!$C$5="سنوي",AND(التقارير!$C$5="شهري",P1551=التقارير!$C$6),AND(التقارير!$C$5="فصلي",Q1551=التقارير!$C$7))),1,0))</f>
        <v/>
      </c>
      <c r="T1551" s="20">
        <f>IF(S1551=1,COUNTIF($S$5:S1551,1),"")</f>
        <v/>
      </c>
      <c r="U1551">
        <f>IF(AND($A1551&lt;&gt;"",$B1551&lt;&gt;"",$R1551='تقرير الفصل الأول'!$C$4,$Q1551='تقرير الفصل الأول'!$C$7),COUNT(U$4:U1550)+1,"")</f>
        <v/>
      </c>
      <c r="V1551">
        <f>IF(AND($A1551&lt;&gt;"",$B1551&lt;&gt;"",$R1551='تقرير الفصل الثاني'!$C$4,$Q1551='تقرير الفصل الثاني'!$C$7),COUNT(V$4:V1550)+1,"")</f>
        <v/>
      </c>
      <c r="W1551">
        <f>IF(AND($A1551&lt;&gt;"",$B1551&lt;&gt;"",$R1551='تقرير سبتمبر'!$C$4,$P1551='تقرير سبتمبر'!$C$6),COUNT(W$4:W1550)+1,"")</f>
        <v/>
      </c>
      <c r="X1551">
        <f>IF(AND($A1551&lt;&gt;"",$B1551&lt;&gt;"",$R1551='تقرير أكتوبر'!$C$4,$P1551='تقرير أكتوبر'!$C$6),COUNT(X$4:X1550)+1,"")</f>
        <v/>
      </c>
      <c r="Y1551">
        <f>IF(AND($A1551&lt;&gt;"",$B1551&lt;&gt;"",$R1551='تقرير نوفمبر'!$C$4,$P1551='تقرير نوفمبر'!$C$6),COUNT(Y$4:Y1550)+1,"")</f>
        <v/>
      </c>
      <c r="Z1551">
        <f>IF(AND($A1551&lt;&gt;"",$B1551&lt;&gt;"",$R1551='تقرير ديسمبر'!$C$4,$P1551='تقرير ديسمبر'!$C$6),COUNT(Z$4:Z1550)+1,"")</f>
        <v/>
      </c>
      <c r="AA1551">
        <f>IF(AND($A1551&lt;&gt;"",$B1551&lt;&gt;"",$R1551='تقرير يناير'!$C$4,$P1551='تقرير يناير'!$C$6),COUNT(AA$4:AA1550)+1,"")</f>
        <v/>
      </c>
      <c r="AB1551">
        <f>IF(AND($A1551&lt;&gt;"",$B1551&lt;&gt;"",$R1551='تقرير فبراير'!$C$4,$P1551='تقرير فبراير'!$C$6),COUNT(AB$4:AB1550)+1,"")</f>
        <v/>
      </c>
      <c r="AC1551">
        <f>IF(AND($A1551&lt;&gt;"",$B1551&lt;&gt;"",$R1551='تقرير مارس'!$C$4,$P1551='تقرير مارس'!$C$6),COUNT(AC$4:AC1550)+1,"")</f>
        <v/>
      </c>
      <c r="AD1551">
        <f>IF(AND($A1551&lt;&gt;"",$B1551&lt;&gt;"",$R1551='تقرير أبريل'!$C$4,$P1551='تقرير أبريل'!$C$6),COUNT(AD$4:AD1550)+1,"")</f>
        <v/>
      </c>
      <c r="AE1551">
        <f>IF(AND($A1551&lt;&gt;"",$B1551&lt;&gt;"",$R1551='تقرير مايو'!$C$4,$P1551='تقرير مايو'!$C$6),COUNT(AE$4:AE1550)+1,"")</f>
        <v/>
      </c>
    </row>
    <row r="1552">
      <c r="A1552" s="16" t="n"/>
      <c r="B1552" s="17" t="n"/>
      <c r="C1552" s="17" t="n"/>
      <c r="D1552" s="18" t="n"/>
      <c r="E1552" s="17" t="n"/>
      <c r="F1552" s="17" t="n"/>
      <c r="G1552" s="19" t="n"/>
      <c r="H1552" s="17" t="n"/>
      <c r="I1552" s="17" t="n"/>
      <c r="J1552" s="17" t="n"/>
      <c r="K1552" s="20">
        <f>IF($B1552="","",IFERROR(INDEX(الموظفات!$A$5:$A$304,MATCH($B1552,الموظفات!$B$5:$B$304,0))&amp;"",""))</f>
        <v/>
      </c>
      <c r="L1552" s="21">
        <f>IF($B1552="","",IFERROR(INDEX(الموظفات!$C$5:$C$304,MATCH($B1552,الموظفات!$B$5:$B$304,0))&amp;"",""))</f>
        <v/>
      </c>
      <c r="M1552" s="20">
        <f>IF($B1552="","",IFERROR(INDEX(الموظفات!$D$5:$D$304,MATCH($B1552,الموظفات!$B$5:$B$304,0))&amp;"",""))</f>
        <v/>
      </c>
      <c r="N1552" s="20">
        <f>IF($B1552="","",IFERROR(INDEX(الموظفات!$E$5:$E$304,MATCH($B1552,الموظفات!$B$5:$B$304,0))&amp;"",""))</f>
        <v/>
      </c>
      <c r="O1552" s="21">
        <f>IF(C1552="","",IFERROR(INDEX(الإعدادات!$D$7:$D$35,MATCH(C1552,الإعدادات!$A$7:$A$35,0))&amp;"",""))</f>
        <v/>
      </c>
      <c r="P1552" s="20">
        <f>IF(A1552="","",INDEX(الإعدادات!$H$7:$H$18,MONTH(A1552)))</f>
        <v/>
      </c>
      <c r="Q1552" s="20">
        <f>IF(A1552="","",INDEX(الإعدادات!$I$7:$I$18,MONTH(A1552)))</f>
        <v/>
      </c>
      <c r="R1552" s="20">
        <f>IF(A1552="","",IF(MONTH(A1552)&gt;=8,YEAR(A1552)&amp;"-"&amp;(YEAR(A1552)+1),(YEAR(A1552)-1)&amp;"-"&amp;YEAR(A1552)))</f>
        <v/>
      </c>
      <c r="S1552" s="20">
        <f>IF(OR(A1552="",B1552=""),0,IF(AND(R1552=التقارير!$C$4,OR(التقارير!$C$5="سنوي",AND(التقارير!$C$5="شهري",P1552=التقارير!$C$6),AND(التقارير!$C$5="فصلي",Q1552=التقارير!$C$7))),1,0))</f>
        <v/>
      </c>
      <c r="T1552" s="20">
        <f>IF(S1552=1,COUNTIF($S$5:S1552,1),"")</f>
        <v/>
      </c>
      <c r="U1552">
        <f>IF(AND($A1552&lt;&gt;"",$B1552&lt;&gt;"",$R1552='تقرير الفصل الأول'!$C$4,$Q1552='تقرير الفصل الأول'!$C$7),COUNT(U$4:U1551)+1,"")</f>
        <v/>
      </c>
      <c r="V1552">
        <f>IF(AND($A1552&lt;&gt;"",$B1552&lt;&gt;"",$R1552='تقرير الفصل الثاني'!$C$4,$Q1552='تقرير الفصل الثاني'!$C$7),COUNT(V$4:V1551)+1,"")</f>
        <v/>
      </c>
      <c r="W1552">
        <f>IF(AND($A1552&lt;&gt;"",$B1552&lt;&gt;"",$R1552='تقرير سبتمبر'!$C$4,$P1552='تقرير سبتمبر'!$C$6),COUNT(W$4:W1551)+1,"")</f>
        <v/>
      </c>
      <c r="X1552">
        <f>IF(AND($A1552&lt;&gt;"",$B1552&lt;&gt;"",$R1552='تقرير أكتوبر'!$C$4,$P1552='تقرير أكتوبر'!$C$6),COUNT(X$4:X1551)+1,"")</f>
        <v/>
      </c>
      <c r="Y1552">
        <f>IF(AND($A1552&lt;&gt;"",$B1552&lt;&gt;"",$R1552='تقرير نوفمبر'!$C$4,$P1552='تقرير نوفمبر'!$C$6),COUNT(Y$4:Y1551)+1,"")</f>
        <v/>
      </c>
      <c r="Z1552">
        <f>IF(AND($A1552&lt;&gt;"",$B1552&lt;&gt;"",$R1552='تقرير ديسمبر'!$C$4,$P1552='تقرير ديسمبر'!$C$6),COUNT(Z$4:Z1551)+1,"")</f>
        <v/>
      </c>
      <c r="AA1552">
        <f>IF(AND($A1552&lt;&gt;"",$B1552&lt;&gt;"",$R1552='تقرير يناير'!$C$4,$P1552='تقرير يناير'!$C$6),COUNT(AA$4:AA1551)+1,"")</f>
        <v/>
      </c>
      <c r="AB1552">
        <f>IF(AND($A1552&lt;&gt;"",$B1552&lt;&gt;"",$R1552='تقرير فبراير'!$C$4,$P1552='تقرير فبراير'!$C$6),COUNT(AB$4:AB1551)+1,"")</f>
        <v/>
      </c>
      <c r="AC1552">
        <f>IF(AND($A1552&lt;&gt;"",$B1552&lt;&gt;"",$R1552='تقرير مارس'!$C$4,$P1552='تقرير مارس'!$C$6),COUNT(AC$4:AC1551)+1,"")</f>
        <v/>
      </c>
      <c r="AD1552">
        <f>IF(AND($A1552&lt;&gt;"",$B1552&lt;&gt;"",$R1552='تقرير أبريل'!$C$4,$P1552='تقرير أبريل'!$C$6),COUNT(AD$4:AD1551)+1,"")</f>
        <v/>
      </c>
      <c r="AE1552">
        <f>IF(AND($A1552&lt;&gt;"",$B1552&lt;&gt;"",$R1552='تقرير مايو'!$C$4,$P1552='تقرير مايو'!$C$6),COUNT(AE$4:AE1551)+1,"")</f>
        <v/>
      </c>
    </row>
    <row r="1553">
      <c r="A1553" s="16" t="n"/>
      <c r="B1553" s="17" t="n"/>
      <c r="C1553" s="17" t="n"/>
      <c r="D1553" s="18" t="n"/>
      <c r="E1553" s="17" t="n"/>
      <c r="F1553" s="17" t="n"/>
      <c r="G1553" s="19" t="n"/>
      <c r="H1553" s="17" t="n"/>
      <c r="I1553" s="17" t="n"/>
      <c r="J1553" s="17" t="n"/>
      <c r="K1553" s="20">
        <f>IF($B1553="","",IFERROR(INDEX(الموظفات!$A$5:$A$304,MATCH($B1553,الموظفات!$B$5:$B$304,0))&amp;"",""))</f>
        <v/>
      </c>
      <c r="L1553" s="21">
        <f>IF($B1553="","",IFERROR(INDEX(الموظفات!$C$5:$C$304,MATCH($B1553,الموظفات!$B$5:$B$304,0))&amp;"",""))</f>
        <v/>
      </c>
      <c r="M1553" s="20">
        <f>IF($B1553="","",IFERROR(INDEX(الموظفات!$D$5:$D$304,MATCH($B1553,الموظفات!$B$5:$B$304,0))&amp;"",""))</f>
        <v/>
      </c>
      <c r="N1553" s="20">
        <f>IF($B1553="","",IFERROR(INDEX(الموظفات!$E$5:$E$304,MATCH($B1553,الموظفات!$B$5:$B$304,0))&amp;"",""))</f>
        <v/>
      </c>
      <c r="O1553" s="21">
        <f>IF(C1553="","",IFERROR(INDEX(الإعدادات!$D$7:$D$35,MATCH(C1553,الإعدادات!$A$7:$A$35,0))&amp;"",""))</f>
        <v/>
      </c>
      <c r="P1553" s="20">
        <f>IF(A1553="","",INDEX(الإعدادات!$H$7:$H$18,MONTH(A1553)))</f>
        <v/>
      </c>
      <c r="Q1553" s="20">
        <f>IF(A1553="","",INDEX(الإعدادات!$I$7:$I$18,MONTH(A1553)))</f>
        <v/>
      </c>
      <c r="R1553" s="20">
        <f>IF(A1553="","",IF(MONTH(A1553)&gt;=8,YEAR(A1553)&amp;"-"&amp;(YEAR(A1553)+1),(YEAR(A1553)-1)&amp;"-"&amp;YEAR(A1553)))</f>
        <v/>
      </c>
      <c r="S1553" s="20">
        <f>IF(OR(A1553="",B1553=""),0,IF(AND(R1553=التقارير!$C$4,OR(التقارير!$C$5="سنوي",AND(التقارير!$C$5="شهري",P1553=التقارير!$C$6),AND(التقارير!$C$5="فصلي",Q1553=التقارير!$C$7))),1,0))</f>
        <v/>
      </c>
      <c r="T1553" s="20">
        <f>IF(S1553=1,COUNTIF($S$5:S1553,1),"")</f>
        <v/>
      </c>
      <c r="U1553">
        <f>IF(AND($A1553&lt;&gt;"",$B1553&lt;&gt;"",$R1553='تقرير الفصل الأول'!$C$4,$Q1553='تقرير الفصل الأول'!$C$7),COUNT(U$4:U1552)+1,"")</f>
        <v/>
      </c>
      <c r="V1553">
        <f>IF(AND($A1553&lt;&gt;"",$B1553&lt;&gt;"",$R1553='تقرير الفصل الثاني'!$C$4,$Q1553='تقرير الفصل الثاني'!$C$7),COUNT(V$4:V1552)+1,"")</f>
        <v/>
      </c>
      <c r="W1553">
        <f>IF(AND($A1553&lt;&gt;"",$B1553&lt;&gt;"",$R1553='تقرير سبتمبر'!$C$4,$P1553='تقرير سبتمبر'!$C$6),COUNT(W$4:W1552)+1,"")</f>
        <v/>
      </c>
      <c r="X1553">
        <f>IF(AND($A1553&lt;&gt;"",$B1553&lt;&gt;"",$R1553='تقرير أكتوبر'!$C$4,$P1553='تقرير أكتوبر'!$C$6),COUNT(X$4:X1552)+1,"")</f>
        <v/>
      </c>
      <c r="Y1553">
        <f>IF(AND($A1553&lt;&gt;"",$B1553&lt;&gt;"",$R1553='تقرير نوفمبر'!$C$4,$P1553='تقرير نوفمبر'!$C$6),COUNT(Y$4:Y1552)+1,"")</f>
        <v/>
      </c>
      <c r="Z1553">
        <f>IF(AND($A1553&lt;&gt;"",$B1553&lt;&gt;"",$R1553='تقرير ديسمبر'!$C$4,$P1553='تقرير ديسمبر'!$C$6),COUNT(Z$4:Z1552)+1,"")</f>
        <v/>
      </c>
      <c r="AA1553">
        <f>IF(AND($A1553&lt;&gt;"",$B1553&lt;&gt;"",$R1553='تقرير يناير'!$C$4,$P1553='تقرير يناير'!$C$6),COUNT(AA$4:AA1552)+1,"")</f>
        <v/>
      </c>
      <c r="AB1553">
        <f>IF(AND($A1553&lt;&gt;"",$B1553&lt;&gt;"",$R1553='تقرير فبراير'!$C$4,$P1553='تقرير فبراير'!$C$6),COUNT(AB$4:AB1552)+1,"")</f>
        <v/>
      </c>
      <c r="AC1553">
        <f>IF(AND($A1553&lt;&gt;"",$B1553&lt;&gt;"",$R1553='تقرير مارس'!$C$4,$P1553='تقرير مارس'!$C$6),COUNT(AC$4:AC1552)+1,"")</f>
        <v/>
      </c>
      <c r="AD1553">
        <f>IF(AND($A1553&lt;&gt;"",$B1553&lt;&gt;"",$R1553='تقرير أبريل'!$C$4,$P1553='تقرير أبريل'!$C$6),COUNT(AD$4:AD1552)+1,"")</f>
        <v/>
      </c>
      <c r="AE1553">
        <f>IF(AND($A1553&lt;&gt;"",$B1553&lt;&gt;"",$R1553='تقرير مايو'!$C$4,$P1553='تقرير مايو'!$C$6),COUNT(AE$4:AE1552)+1,"")</f>
        <v/>
      </c>
    </row>
    <row r="1554">
      <c r="A1554" s="16" t="n"/>
      <c r="B1554" s="17" t="n"/>
      <c r="C1554" s="17" t="n"/>
      <c r="D1554" s="18" t="n"/>
      <c r="E1554" s="17" t="n"/>
      <c r="F1554" s="17" t="n"/>
      <c r="G1554" s="19" t="n"/>
      <c r="H1554" s="17" t="n"/>
      <c r="I1554" s="17" t="n"/>
      <c r="J1554" s="17" t="n"/>
      <c r="K1554" s="20">
        <f>IF($B1554="","",IFERROR(INDEX(الموظفات!$A$5:$A$304,MATCH($B1554,الموظفات!$B$5:$B$304,0))&amp;"",""))</f>
        <v/>
      </c>
      <c r="L1554" s="21">
        <f>IF($B1554="","",IFERROR(INDEX(الموظفات!$C$5:$C$304,MATCH($B1554,الموظفات!$B$5:$B$304,0))&amp;"",""))</f>
        <v/>
      </c>
      <c r="M1554" s="20">
        <f>IF($B1554="","",IFERROR(INDEX(الموظفات!$D$5:$D$304,MATCH($B1554,الموظفات!$B$5:$B$304,0))&amp;"",""))</f>
        <v/>
      </c>
      <c r="N1554" s="20">
        <f>IF($B1554="","",IFERROR(INDEX(الموظفات!$E$5:$E$304,MATCH($B1554,الموظفات!$B$5:$B$304,0))&amp;"",""))</f>
        <v/>
      </c>
      <c r="O1554" s="21">
        <f>IF(C1554="","",IFERROR(INDEX(الإعدادات!$D$7:$D$35,MATCH(C1554,الإعدادات!$A$7:$A$35,0))&amp;"",""))</f>
        <v/>
      </c>
      <c r="P1554" s="20">
        <f>IF(A1554="","",INDEX(الإعدادات!$H$7:$H$18,MONTH(A1554)))</f>
        <v/>
      </c>
      <c r="Q1554" s="20">
        <f>IF(A1554="","",INDEX(الإعدادات!$I$7:$I$18,MONTH(A1554)))</f>
        <v/>
      </c>
      <c r="R1554" s="20">
        <f>IF(A1554="","",IF(MONTH(A1554)&gt;=8,YEAR(A1554)&amp;"-"&amp;(YEAR(A1554)+1),(YEAR(A1554)-1)&amp;"-"&amp;YEAR(A1554)))</f>
        <v/>
      </c>
      <c r="S1554" s="20">
        <f>IF(OR(A1554="",B1554=""),0,IF(AND(R1554=التقارير!$C$4,OR(التقارير!$C$5="سنوي",AND(التقارير!$C$5="شهري",P1554=التقارير!$C$6),AND(التقارير!$C$5="فصلي",Q1554=التقارير!$C$7))),1,0))</f>
        <v/>
      </c>
      <c r="T1554" s="20">
        <f>IF(S1554=1,COUNTIF($S$5:S1554,1),"")</f>
        <v/>
      </c>
      <c r="U1554">
        <f>IF(AND($A1554&lt;&gt;"",$B1554&lt;&gt;"",$R1554='تقرير الفصل الأول'!$C$4,$Q1554='تقرير الفصل الأول'!$C$7),COUNT(U$4:U1553)+1,"")</f>
        <v/>
      </c>
      <c r="V1554">
        <f>IF(AND($A1554&lt;&gt;"",$B1554&lt;&gt;"",$R1554='تقرير الفصل الثاني'!$C$4,$Q1554='تقرير الفصل الثاني'!$C$7),COUNT(V$4:V1553)+1,"")</f>
        <v/>
      </c>
      <c r="W1554">
        <f>IF(AND($A1554&lt;&gt;"",$B1554&lt;&gt;"",$R1554='تقرير سبتمبر'!$C$4,$P1554='تقرير سبتمبر'!$C$6),COUNT(W$4:W1553)+1,"")</f>
        <v/>
      </c>
      <c r="X1554">
        <f>IF(AND($A1554&lt;&gt;"",$B1554&lt;&gt;"",$R1554='تقرير أكتوبر'!$C$4,$P1554='تقرير أكتوبر'!$C$6),COUNT(X$4:X1553)+1,"")</f>
        <v/>
      </c>
      <c r="Y1554">
        <f>IF(AND($A1554&lt;&gt;"",$B1554&lt;&gt;"",$R1554='تقرير نوفمبر'!$C$4,$P1554='تقرير نوفمبر'!$C$6),COUNT(Y$4:Y1553)+1,"")</f>
        <v/>
      </c>
      <c r="Z1554">
        <f>IF(AND($A1554&lt;&gt;"",$B1554&lt;&gt;"",$R1554='تقرير ديسمبر'!$C$4,$P1554='تقرير ديسمبر'!$C$6),COUNT(Z$4:Z1553)+1,"")</f>
        <v/>
      </c>
      <c r="AA1554">
        <f>IF(AND($A1554&lt;&gt;"",$B1554&lt;&gt;"",$R1554='تقرير يناير'!$C$4,$P1554='تقرير يناير'!$C$6),COUNT(AA$4:AA1553)+1,"")</f>
        <v/>
      </c>
      <c r="AB1554">
        <f>IF(AND($A1554&lt;&gt;"",$B1554&lt;&gt;"",$R1554='تقرير فبراير'!$C$4,$P1554='تقرير فبراير'!$C$6),COUNT(AB$4:AB1553)+1,"")</f>
        <v/>
      </c>
      <c r="AC1554">
        <f>IF(AND($A1554&lt;&gt;"",$B1554&lt;&gt;"",$R1554='تقرير مارس'!$C$4,$P1554='تقرير مارس'!$C$6),COUNT(AC$4:AC1553)+1,"")</f>
        <v/>
      </c>
      <c r="AD1554">
        <f>IF(AND($A1554&lt;&gt;"",$B1554&lt;&gt;"",$R1554='تقرير أبريل'!$C$4,$P1554='تقرير أبريل'!$C$6),COUNT(AD$4:AD1553)+1,"")</f>
        <v/>
      </c>
      <c r="AE1554">
        <f>IF(AND($A1554&lt;&gt;"",$B1554&lt;&gt;"",$R1554='تقرير مايو'!$C$4,$P1554='تقرير مايو'!$C$6),COUNT(AE$4:AE1553)+1,"")</f>
        <v/>
      </c>
    </row>
    <row r="1555">
      <c r="A1555" s="16" t="n"/>
      <c r="B1555" s="17" t="n"/>
      <c r="C1555" s="17" t="n"/>
      <c r="D1555" s="18" t="n"/>
      <c r="E1555" s="17" t="n"/>
      <c r="F1555" s="17" t="n"/>
      <c r="G1555" s="19" t="n"/>
      <c r="H1555" s="17" t="n"/>
      <c r="I1555" s="17" t="n"/>
      <c r="J1555" s="17" t="n"/>
      <c r="K1555" s="20">
        <f>IF($B1555="","",IFERROR(INDEX(الموظفات!$A$5:$A$304,MATCH($B1555,الموظفات!$B$5:$B$304,0))&amp;"",""))</f>
        <v/>
      </c>
      <c r="L1555" s="21">
        <f>IF($B1555="","",IFERROR(INDEX(الموظفات!$C$5:$C$304,MATCH($B1555,الموظفات!$B$5:$B$304,0))&amp;"",""))</f>
        <v/>
      </c>
      <c r="M1555" s="20">
        <f>IF($B1555="","",IFERROR(INDEX(الموظفات!$D$5:$D$304,MATCH($B1555,الموظفات!$B$5:$B$304,0))&amp;"",""))</f>
        <v/>
      </c>
      <c r="N1555" s="20">
        <f>IF($B1555="","",IFERROR(INDEX(الموظفات!$E$5:$E$304,MATCH($B1555,الموظفات!$B$5:$B$304,0))&amp;"",""))</f>
        <v/>
      </c>
      <c r="O1555" s="21">
        <f>IF(C1555="","",IFERROR(INDEX(الإعدادات!$D$7:$D$35,MATCH(C1555,الإعدادات!$A$7:$A$35,0))&amp;"",""))</f>
        <v/>
      </c>
      <c r="P1555" s="20">
        <f>IF(A1555="","",INDEX(الإعدادات!$H$7:$H$18,MONTH(A1555)))</f>
        <v/>
      </c>
      <c r="Q1555" s="20">
        <f>IF(A1555="","",INDEX(الإعدادات!$I$7:$I$18,MONTH(A1555)))</f>
        <v/>
      </c>
      <c r="R1555" s="20">
        <f>IF(A1555="","",IF(MONTH(A1555)&gt;=8,YEAR(A1555)&amp;"-"&amp;(YEAR(A1555)+1),(YEAR(A1555)-1)&amp;"-"&amp;YEAR(A1555)))</f>
        <v/>
      </c>
      <c r="S1555" s="20">
        <f>IF(OR(A1555="",B1555=""),0,IF(AND(R1555=التقارير!$C$4,OR(التقارير!$C$5="سنوي",AND(التقارير!$C$5="شهري",P1555=التقارير!$C$6),AND(التقارير!$C$5="فصلي",Q1555=التقارير!$C$7))),1,0))</f>
        <v/>
      </c>
      <c r="T1555" s="20">
        <f>IF(S1555=1,COUNTIF($S$5:S1555,1),"")</f>
        <v/>
      </c>
      <c r="U1555">
        <f>IF(AND($A1555&lt;&gt;"",$B1555&lt;&gt;"",$R1555='تقرير الفصل الأول'!$C$4,$Q1555='تقرير الفصل الأول'!$C$7),COUNT(U$4:U1554)+1,"")</f>
        <v/>
      </c>
      <c r="V1555">
        <f>IF(AND($A1555&lt;&gt;"",$B1555&lt;&gt;"",$R1555='تقرير الفصل الثاني'!$C$4,$Q1555='تقرير الفصل الثاني'!$C$7),COUNT(V$4:V1554)+1,"")</f>
        <v/>
      </c>
      <c r="W1555">
        <f>IF(AND($A1555&lt;&gt;"",$B1555&lt;&gt;"",$R1555='تقرير سبتمبر'!$C$4,$P1555='تقرير سبتمبر'!$C$6),COUNT(W$4:W1554)+1,"")</f>
        <v/>
      </c>
      <c r="X1555">
        <f>IF(AND($A1555&lt;&gt;"",$B1555&lt;&gt;"",$R1555='تقرير أكتوبر'!$C$4,$P1555='تقرير أكتوبر'!$C$6),COUNT(X$4:X1554)+1,"")</f>
        <v/>
      </c>
      <c r="Y1555">
        <f>IF(AND($A1555&lt;&gt;"",$B1555&lt;&gt;"",$R1555='تقرير نوفمبر'!$C$4,$P1555='تقرير نوفمبر'!$C$6),COUNT(Y$4:Y1554)+1,"")</f>
        <v/>
      </c>
      <c r="Z1555">
        <f>IF(AND($A1555&lt;&gt;"",$B1555&lt;&gt;"",$R1555='تقرير ديسمبر'!$C$4,$P1555='تقرير ديسمبر'!$C$6),COUNT(Z$4:Z1554)+1,"")</f>
        <v/>
      </c>
      <c r="AA1555">
        <f>IF(AND($A1555&lt;&gt;"",$B1555&lt;&gt;"",$R1555='تقرير يناير'!$C$4,$P1555='تقرير يناير'!$C$6),COUNT(AA$4:AA1554)+1,"")</f>
        <v/>
      </c>
      <c r="AB1555">
        <f>IF(AND($A1555&lt;&gt;"",$B1555&lt;&gt;"",$R1555='تقرير فبراير'!$C$4,$P1555='تقرير فبراير'!$C$6),COUNT(AB$4:AB1554)+1,"")</f>
        <v/>
      </c>
      <c r="AC1555">
        <f>IF(AND($A1555&lt;&gt;"",$B1555&lt;&gt;"",$R1555='تقرير مارس'!$C$4,$P1555='تقرير مارس'!$C$6),COUNT(AC$4:AC1554)+1,"")</f>
        <v/>
      </c>
      <c r="AD1555">
        <f>IF(AND($A1555&lt;&gt;"",$B1555&lt;&gt;"",$R1555='تقرير أبريل'!$C$4,$P1555='تقرير أبريل'!$C$6),COUNT(AD$4:AD1554)+1,"")</f>
        <v/>
      </c>
      <c r="AE1555">
        <f>IF(AND($A1555&lt;&gt;"",$B1555&lt;&gt;"",$R1555='تقرير مايو'!$C$4,$P1555='تقرير مايو'!$C$6),COUNT(AE$4:AE1554)+1,"")</f>
        <v/>
      </c>
    </row>
    <row r="1556">
      <c r="A1556" s="16" t="n"/>
      <c r="B1556" s="17" t="n"/>
      <c r="C1556" s="17" t="n"/>
      <c r="D1556" s="18" t="n"/>
      <c r="E1556" s="17" t="n"/>
      <c r="F1556" s="17" t="n"/>
      <c r="G1556" s="19" t="n"/>
      <c r="H1556" s="17" t="n"/>
      <c r="I1556" s="17" t="n"/>
      <c r="J1556" s="17" t="n"/>
      <c r="K1556" s="20">
        <f>IF($B1556="","",IFERROR(INDEX(الموظفات!$A$5:$A$304,MATCH($B1556,الموظفات!$B$5:$B$304,0))&amp;"",""))</f>
        <v/>
      </c>
      <c r="L1556" s="21">
        <f>IF($B1556="","",IFERROR(INDEX(الموظفات!$C$5:$C$304,MATCH($B1556,الموظفات!$B$5:$B$304,0))&amp;"",""))</f>
        <v/>
      </c>
      <c r="M1556" s="20">
        <f>IF($B1556="","",IFERROR(INDEX(الموظفات!$D$5:$D$304,MATCH($B1556,الموظفات!$B$5:$B$304,0))&amp;"",""))</f>
        <v/>
      </c>
      <c r="N1556" s="20">
        <f>IF($B1556="","",IFERROR(INDEX(الموظفات!$E$5:$E$304,MATCH($B1556,الموظفات!$B$5:$B$304,0))&amp;"",""))</f>
        <v/>
      </c>
      <c r="O1556" s="21">
        <f>IF(C1556="","",IFERROR(INDEX(الإعدادات!$D$7:$D$35,MATCH(C1556,الإعدادات!$A$7:$A$35,0))&amp;"",""))</f>
        <v/>
      </c>
      <c r="P1556" s="20">
        <f>IF(A1556="","",INDEX(الإعدادات!$H$7:$H$18,MONTH(A1556)))</f>
        <v/>
      </c>
      <c r="Q1556" s="20">
        <f>IF(A1556="","",INDEX(الإعدادات!$I$7:$I$18,MONTH(A1556)))</f>
        <v/>
      </c>
      <c r="R1556" s="20">
        <f>IF(A1556="","",IF(MONTH(A1556)&gt;=8,YEAR(A1556)&amp;"-"&amp;(YEAR(A1556)+1),(YEAR(A1556)-1)&amp;"-"&amp;YEAR(A1556)))</f>
        <v/>
      </c>
      <c r="S1556" s="20">
        <f>IF(OR(A1556="",B1556=""),0,IF(AND(R1556=التقارير!$C$4,OR(التقارير!$C$5="سنوي",AND(التقارير!$C$5="شهري",P1556=التقارير!$C$6),AND(التقارير!$C$5="فصلي",Q1556=التقارير!$C$7))),1,0))</f>
        <v/>
      </c>
      <c r="T1556" s="20">
        <f>IF(S1556=1,COUNTIF($S$5:S1556,1),"")</f>
        <v/>
      </c>
      <c r="U1556">
        <f>IF(AND($A1556&lt;&gt;"",$B1556&lt;&gt;"",$R1556='تقرير الفصل الأول'!$C$4,$Q1556='تقرير الفصل الأول'!$C$7),COUNT(U$4:U1555)+1,"")</f>
        <v/>
      </c>
      <c r="V1556">
        <f>IF(AND($A1556&lt;&gt;"",$B1556&lt;&gt;"",$R1556='تقرير الفصل الثاني'!$C$4,$Q1556='تقرير الفصل الثاني'!$C$7),COUNT(V$4:V1555)+1,"")</f>
        <v/>
      </c>
      <c r="W1556">
        <f>IF(AND($A1556&lt;&gt;"",$B1556&lt;&gt;"",$R1556='تقرير سبتمبر'!$C$4,$P1556='تقرير سبتمبر'!$C$6),COUNT(W$4:W1555)+1,"")</f>
        <v/>
      </c>
      <c r="X1556">
        <f>IF(AND($A1556&lt;&gt;"",$B1556&lt;&gt;"",$R1556='تقرير أكتوبر'!$C$4,$P1556='تقرير أكتوبر'!$C$6),COUNT(X$4:X1555)+1,"")</f>
        <v/>
      </c>
      <c r="Y1556">
        <f>IF(AND($A1556&lt;&gt;"",$B1556&lt;&gt;"",$R1556='تقرير نوفمبر'!$C$4,$P1556='تقرير نوفمبر'!$C$6),COUNT(Y$4:Y1555)+1,"")</f>
        <v/>
      </c>
      <c r="Z1556">
        <f>IF(AND($A1556&lt;&gt;"",$B1556&lt;&gt;"",$R1556='تقرير ديسمبر'!$C$4,$P1556='تقرير ديسمبر'!$C$6),COUNT(Z$4:Z1555)+1,"")</f>
        <v/>
      </c>
      <c r="AA1556">
        <f>IF(AND($A1556&lt;&gt;"",$B1556&lt;&gt;"",$R1556='تقرير يناير'!$C$4,$P1556='تقرير يناير'!$C$6),COUNT(AA$4:AA1555)+1,"")</f>
        <v/>
      </c>
      <c r="AB1556">
        <f>IF(AND($A1556&lt;&gt;"",$B1556&lt;&gt;"",$R1556='تقرير فبراير'!$C$4,$P1556='تقرير فبراير'!$C$6),COUNT(AB$4:AB1555)+1,"")</f>
        <v/>
      </c>
      <c r="AC1556">
        <f>IF(AND($A1556&lt;&gt;"",$B1556&lt;&gt;"",$R1556='تقرير مارس'!$C$4,$P1556='تقرير مارس'!$C$6),COUNT(AC$4:AC1555)+1,"")</f>
        <v/>
      </c>
      <c r="AD1556">
        <f>IF(AND($A1556&lt;&gt;"",$B1556&lt;&gt;"",$R1556='تقرير أبريل'!$C$4,$P1556='تقرير أبريل'!$C$6),COUNT(AD$4:AD1555)+1,"")</f>
        <v/>
      </c>
      <c r="AE1556">
        <f>IF(AND($A1556&lt;&gt;"",$B1556&lt;&gt;"",$R1556='تقرير مايو'!$C$4,$P1556='تقرير مايو'!$C$6),COUNT(AE$4:AE1555)+1,"")</f>
        <v/>
      </c>
    </row>
    <row r="1557">
      <c r="A1557" s="16" t="n"/>
      <c r="B1557" s="17" t="n"/>
      <c r="C1557" s="17" t="n"/>
      <c r="D1557" s="18" t="n"/>
      <c r="E1557" s="17" t="n"/>
      <c r="F1557" s="17" t="n"/>
      <c r="G1557" s="19" t="n"/>
      <c r="H1557" s="17" t="n"/>
      <c r="I1557" s="17" t="n"/>
      <c r="J1557" s="17" t="n"/>
      <c r="K1557" s="20">
        <f>IF($B1557="","",IFERROR(INDEX(الموظفات!$A$5:$A$304,MATCH($B1557,الموظفات!$B$5:$B$304,0))&amp;"",""))</f>
        <v/>
      </c>
      <c r="L1557" s="21">
        <f>IF($B1557="","",IFERROR(INDEX(الموظفات!$C$5:$C$304,MATCH($B1557,الموظفات!$B$5:$B$304,0))&amp;"",""))</f>
        <v/>
      </c>
      <c r="M1557" s="20">
        <f>IF($B1557="","",IFERROR(INDEX(الموظفات!$D$5:$D$304,MATCH($B1557,الموظفات!$B$5:$B$304,0))&amp;"",""))</f>
        <v/>
      </c>
      <c r="N1557" s="20">
        <f>IF($B1557="","",IFERROR(INDEX(الموظفات!$E$5:$E$304,MATCH($B1557,الموظفات!$B$5:$B$304,0))&amp;"",""))</f>
        <v/>
      </c>
      <c r="O1557" s="21">
        <f>IF(C1557="","",IFERROR(INDEX(الإعدادات!$D$7:$D$35,MATCH(C1557,الإعدادات!$A$7:$A$35,0))&amp;"",""))</f>
        <v/>
      </c>
      <c r="P1557" s="20">
        <f>IF(A1557="","",INDEX(الإعدادات!$H$7:$H$18,MONTH(A1557)))</f>
        <v/>
      </c>
      <c r="Q1557" s="20">
        <f>IF(A1557="","",INDEX(الإعدادات!$I$7:$I$18,MONTH(A1557)))</f>
        <v/>
      </c>
      <c r="R1557" s="20">
        <f>IF(A1557="","",IF(MONTH(A1557)&gt;=8,YEAR(A1557)&amp;"-"&amp;(YEAR(A1557)+1),(YEAR(A1557)-1)&amp;"-"&amp;YEAR(A1557)))</f>
        <v/>
      </c>
      <c r="S1557" s="20">
        <f>IF(OR(A1557="",B1557=""),0,IF(AND(R1557=التقارير!$C$4,OR(التقارير!$C$5="سنوي",AND(التقارير!$C$5="شهري",P1557=التقارير!$C$6),AND(التقارير!$C$5="فصلي",Q1557=التقارير!$C$7))),1,0))</f>
        <v/>
      </c>
      <c r="T1557" s="20">
        <f>IF(S1557=1,COUNTIF($S$5:S1557,1),"")</f>
        <v/>
      </c>
      <c r="U1557">
        <f>IF(AND($A1557&lt;&gt;"",$B1557&lt;&gt;"",$R1557='تقرير الفصل الأول'!$C$4,$Q1557='تقرير الفصل الأول'!$C$7),COUNT(U$4:U1556)+1,"")</f>
        <v/>
      </c>
      <c r="V1557">
        <f>IF(AND($A1557&lt;&gt;"",$B1557&lt;&gt;"",$R1557='تقرير الفصل الثاني'!$C$4,$Q1557='تقرير الفصل الثاني'!$C$7),COUNT(V$4:V1556)+1,"")</f>
        <v/>
      </c>
      <c r="W1557">
        <f>IF(AND($A1557&lt;&gt;"",$B1557&lt;&gt;"",$R1557='تقرير سبتمبر'!$C$4,$P1557='تقرير سبتمبر'!$C$6),COUNT(W$4:W1556)+1,"")</f>
        <v/>
      </c>
      <c r="X1557">
        <f>IF(AND($A1557&lt;&gt;"",$B1557&lt;&gt;"",$R1557='تقرير أكتوبر'!$C$4,$P1557='تقرير أكتوبر'!$C$6),COUNT(X$4:X1556)+1,"")</f>
        <v/>
      </c>
      <c r="Y1557">
        <f>IF(AND($A1557&lt;&gt;"",$B1557&lt;&gt;"",$R1557='تقرير نوفمبر'!$C$4,$P1557='تقرير نوفمبر'!$C$6),COUNT(Y$4:Y1556)+1,"")</f>
        <v/>
      </c>
      <c r="Z1557">
        <f>IF(AND($A1557&lt;&gt;"",$B1557&lt;&gt;"",$R1557='تقرير ديسمبر'!$C$4,$P1557='تقرير ديسمبر'!$C$6),COUNT(Z$4:Z1556)+1,"")</f>
        <v/>
      </c>
      <c r="AA1557">
        <f>IF(AND($A1557&lt;&gt;"",$B1557&lt;&gt;"",$R1557='تقرير يناير'!$C$4,$P1557='تقرير يناير'!$C$6),COUNT(AA$4:AA1556)+1,"")</f>
        <v/>
      </c>
      <c r="AB1557">
        <f>IF(AND($A1557&lt;&gt;"",$B1557&lt;&gt;"",$R1557='تقرير فبراير'!$C$4,$P1557='تقرير فبراير'!$C$6),COUNT(AB$4:AB1556)+1,"")</f>
        <v/>
      </c>
      <c r="AC1557">
        <f>IF(AND($A1557&lt;&gt;"",$B1557&lt;&gt;"",$R1557='تقرير مارس'!$C$4,$P1557='تقرير مارس'!$C$6),COUNT(AC$4:AC1556)+1,"")</f>
        <v/>
      </c>
      <c r="AD1557">
        <f>IF(AND($A1557&lt;&gt;"",$B1557&lt;&gt;"",$R1557='تقرير أبريل'!$C$4,$P1557='تقرير أبريل'!$C$6),COUNT(AD$4:AD1556)+1,"")</f>
        <v/>
      </c>
      <c r="AE1557">
        <f>IF(AND($A1557&lt;&gt;"",$B1557&lt;&gt;"",$R1557='تقرير مايو'!$C$4,$P1557='تقرير مايو'!$C$6),COUNT(AE$4:AE1556)+1,"")</f>
        <v/>
      </c>
    </row>
    <row r="1558">
      <c r="A1558" s="16" t="n"/>
      <c r="B1558" s="17" t="n"/>
      <c r="C1558" s="17" t="n"/>
      <c r="D1558" s="18" t="n"/>
      <c r="E1558" s="17" t="n"/>
      <c r="F1558" s="17" t="n"/>
      <c r="G1558" s="19" t="n"/>
      <c r="H1558" s="17" t="n"/>
      <c r="I1558" s="17" t="n"/>
      <c r="J1558" s="17" t="n"/>
      <c r="K1558" s="20">
        <f>IF($B1558="","",IFERROR(INDEX(الموظفات!$A$5:$A$304,MATCH($B1558,الموظفات!$B$5:$B$304,0))&amp;"",""))</f>
        <v/>
      </c>
      <c r="L1558" s="21">
        <f>IF($B1558="","",IFERROR(INDEX(الموظفات!$C$5:$C$304,MATCH($B1558,الموظفات!$B$5:$B$304,0))&amp;"",""))</f>
        <v/>
      </c>
      <c r="M1558" s="20">
        <f>IF($B1558="","",IFERROR(INDEX(الموظفات!$D$5:$D$304,MATCH($B1558,الموظفات!$B$5:$B$304,0))&amp;"",""))</f>
        <v/>
      </c>
      <c r="N1558" s="20">
        <f>IF($B1558="","",IFERROR(INDEX(الموظفات!$E$5:$E$304,MATCH($B1558,الموظفات!$B$5:$B$304,0))&amp;"",""))</f>
        <v/>
      </c>
      <c r="O1558" s="21">
        <f>IF(C1558="","",IFERROR(INDEX(الإعدادات!$D$7:$D$35,MATCH(C1558,الإعدادات!$A$7:$A$35,0))&amp;"",""))</f>
        <v/>
      </c>
      <c r="P1558" s="20">
        <f>IF(A1558="","",INDEX(الإعدادات!$H$7:$H$18,MONTH(A1558)))</f>
        <v/>
      </c>
      <c r="Q1558" s="20">
        <f>IF(A1558="","",INDEX(الإعدادات!$I$7:$I$18,MONTH(A1558)))</f>
        <v/>
      </c>
      <c r="R1558" s="20">
        <f>IF(A1558="","",IF(MONTH(A1558)&gt;=8,YEAR(A1558)&amp;"-"&amp;(YEAR(A1558)+1),(YEAR(A1558)-1)&amp;"-"&amp;YEAR(A1558)))</f>
        <v/>
      </c>
      <c r="S1558" s="20">
        <f>IF(OR(A1558="",B1558=""),0,IF(AND(R1558=التقارير!$C$4,OR(التقارير!$C$5="سنوي",AND(التقارير!$C$5="شهري",P1558=التقارير!$C$6),AND(التقارير!$C$5="فصلي",Q1558=التقارير!$C$7))),1,0))</f>
        <v/>
      </c>
      <c r="T1558" s="20">
        <f>IF(S1558=1,COUNTIF($S$5:S1558,1),"")</f>
        <v/>
      </c>
      <c r="U1558">
        <f>IF(AND($A1558&lt;&gt;"",$B1558&lt;&gt;"",$R1558='تقرير الفصل الأول'!$C$4,$Q1558='تقرير الفصل الأول'!$C$7),COUNT(U$4:U1557)+1,"")</f>
        <v/>
      </c>
      <c r="V1558">
        <f>IF(AND($A1558&lt;&gt;"",$B1558&lt;&gt;"",$R1558='تقرير الفصل الثاني'!$C$4,$Q1558='تقرير الفصل الثاني'!$C$7),COUNT(V$4:V1557)+1,"")</f>
        <v/>
      </c>
      <c r="W1558">
        <f>IF(AND($A1558&lt;&gt;"",$B1558&lt;&gt;"",$R1558='تقرير سبتمبر'!$C$4,$P1558='تقرير سبتمبر'!$C$6),COUNT(W$4:W1557)+1,"")</f>
        <v/>
      </c>
      <c r="X1558">
        <f>IF(AND($A1558&lt;&gt;"",$B1558&lt;&gt;"",$R1558='تقرير أكتوبر'!$C$4,$P1558='تقرير أكتوبر'!$C$6),COUNT(X$4:X1557)+1,"")</f>
        <v/>
      </c>
      <c r="Y1558">
        <f>IF(AND($A1558&lt;&gt;"",$B1558&lt;&gt;"",$R1558='تقرير نوفمبر'!$C$4,$P1558='تقرير نوفمبر'!$C$6),COUNT(Y$4:Y1557)+1,"")</f>
        <v/>
      </c>
      <c r="Z1558">
        <f>IF(AND($A1558&lt;&gt;"",$B1558&lt;&gt;"",$R1558='تقرير ديسمبر'!$C$4,$P1558='تقرير ديسمبر'!$C$6),COUNT(Z$4:Z1557)+1,"")</f>
        <v/>
      </c>
      <c r="AA1558">
        <f>IF(AND($A1558&lt;&gt;"",$B1558&lt;&gt;"",$R1558='تقرير يناير'!$C$4,$P1558='تقرير يناير'!$C$6),COUNT(AA$4:AA1557)+1,"")</f>
        <v/>
      </c>
      <c r="AB1558">
        <f>IF(AND($A1558&lt;&gt;"",$B1558&lt;&gt;"",$R1558='تقرير فبراير'!$C$4,$P1558='تقرير فبراير'!$C$6),COUNT(AB$4:AB1557)+1,"")</f>
        <v/>
      </c>
      <c r="AC1558">
        <f>IF(AND($A1558&lt;&gt;"",$B1558&lt;&gt;"",$R1558='تقرير مارس'!$C$4,$P1558='تقرير مارس'!$C$6),COUNT(AC$4:AC1557)+1,"")</f>
        <v/>
      </c>
      <c r="AD1558">
        <f>IF(AND($A1558&lt;&gt;"",$B1558&lt;&gt;"",$R1558='تقرير أبريل'!$C$4,$P1558='تقرير أبريل'!$C$6),COUNT(AD$4:AD1557)+1,"")</f>
        <v/>
      </c>
      <c r="AE1558">
        <f>IF(AND($A1558&lt;&gt;"",$B1558&lt;&gt;"",$R1558='تقرير مايو'!$C$4,$P1558='تقرير مايو'!$C$6),COUNT(AE$4:AE1557)+1,"")</f>
        <v/>
      </c>
    </row>
    <row r="1559">
      <c r="A1559" s="16" t="n"/>
      <c r="B1559" s="17" t="n"/>
      <c r="C1559" s="17" t="n"/>
      <c r="D1559" s="18" t="n"/>
      <c r="E1559" s="17" t="n"/>
      <c r="F1559" s="17" t="n"/>
      <c r="G1559" s="19" t="n"/>
      <c r="H1559" s="17" t="n"/>
      <c r="I1559" s="17" t="n"/>
      <c r="J1559" s="17" t="n"/>
      <c r="K1559" s="20">
        <f>IF($B1559="","",IFERROR(INDEX(الموظفات!$A$5:$A$304,MATCH($B1559,الموظفات!$B$5:$B$304,0))&amp;"",""))</f>
        <v/>
      </c>
      <c r="L1559" s="21">
        <f>IF($B1559="","",IFERROR(INDEX(الموظفات!$C$5:$C$304,MATCH($B1559,الموظفات!$B$5:$B$304,0))&amp;"",""))</f>
        <v/>
      </c>
      <c r="M1559" s="20">
        <f>IF($B1559="","",IFERROR(INDEX(الموظفات!$D$5:$D$304,MATCH($B1559,الموظفات!$B$5:$B$304,0))&amp;"",""))</f>
        <v/>
      </c>
      <c r="N1559" s="20">
        <f>IF($B1559="","",IFERROR(INDEX(الموظفات!$E$5:$E$304,MATCH($B1559,الموظفات!$B$5:$B$304,0))&amp;"",""))</f>
        <v/>
      </c>
      <c r="O1559" s="21">
        <f>IF(C1559="","",IFERROR(INDEX(الإعدادات!$D$7:$D$35,MATCH(C1559,الإعدادات!$A$7:$A$35,0))&amp;"",""))</f>
        <v/>
      </c>
      <c r="P1559" s="20">
        <f>IF(A1559="","",INDEX(الإعدادات!$H$7:$H$18,MONTH(A1559)))</f>
        <v/>
      </c>
      <c r="Q1559" s="20">
        <f>IF(A1559="","",INDEX(الإعدادات!$I$7:$I$18,MONTH(A1559)))</f>
        <v/>
      </c>
      <c r="R1559" s="20">
        <f>IF(A1559="","",IF(MONTH(A1559)&gt;=8,YEAR(A1559)&amp;"-"&amp;(YEAR(A1559)+1),(YEAR(A1559)-1)&amp;"-"&amp;YEAR(A1559)))</f>
        <v/>
      </c>
      <c r="S1559" s="20">
        <f>IF(OR(A1559="",B1559=""),0,IF(AND(R1559=التقارير!$C$4,OR(التقارير!$C$5="سنوي",AND(التقارير!$C$5="شهري",P1559=التقارير!$C$6),AND(التقارير!$C$5="فصلي",Q1559=التقارير!$C$7))),1,0))</f>
        <v/>
      </c>
      <c r="T1559" s="20">
        <f>IF(S1559=1,COUNTIF($S$5:S1559,1),"")</f>
        <v/>
      </c>
      <c r="U1559">
        <f>IF(AND($A1559&lt;&gt;"",$B1559&lt;&gt;"",$R1559='تقرير الفصل الأول'!$C$4,$Q1559='تقرير الفصل الأول'!$C$7),COUNT(U$4:U1558)+1,"")</f>
        <v/>
      </c>
      <c r="V1559">
        <f>IF(AND($A1559&lt;&gt;"",$B1559&lt;&gt;"",$R1559='تقرير الفصل الثاني'!$C$4,$Q1559='تقرير الفصل الثاني'!$C$7),COUNT(V$4:V1558)+1,"")</f>
        <v/>
      </c>
      <c r="W1559">
        <f>IF(AND($A1559&lt;&gt;"",$B1559&lt;&gt;"",$R1559='تقرير سبتمبر'!$C$4,$P1559='تقرير سبتمبر'!$C$6),COUNT(W$4:W1558)+1,"")</f>
        <v/>
      </c>
      <c r="X1559">
        <f>IF(AND($A1559&lt;&gt;"",$B1559&lt;&gt;"",$R1559='تقرير أكتوبر'!$C$4,$P1559='تقرير أكتوبر'!$C$6),COUNT(X$4:X1558)+1,"")</f>
        <v/>
      </c>
      <c r="Y1559">
        <f>IF(AND($A1559&lt;&gt;"",$B1559&lt;&gt;"",$R1559='تقرير نوفمبر'!$C$4,$P1559='تقرير نوفمبر'!$C$6),COUNT(Y$4:Y1558)+1,"")</f>
        <v/>
      </c>
      <c r="Z1559">
        <f>IF(AND($A1559&lt;&gt;"",$B1559&lt;&gt;"",$R1559='تقرير ديسمبر'!$C$4,$P1559='تقرير ديسمبر'!$C$6),COUNT(Z$4:Z1558)+1,"")</f>
        <v/>
      </c>
      <c r="AA1559">
        <f>IF(AND($A1559&lt;&gt;"",$B1559&lt;&gt;"",$R1559='تقرير يناير'!$C$4,$P1559='تقرير يناير'!$C$6),COUNT(AA$4:AA1558)+1,"")</f>
        <v/>
      </c>
      <c r="AB1559">
        <f>IF(AND($A1559&lt;&gt;"",$B1559&lt;&gt;"",$R1559='تقرير فبراير'!$C$4,$P1559='تقرير فبراير'!$C$6),COUNT(AB$4:AB1558)+1,"")</f>
        <v/>
      </c>
      <c r="AC1559">
        <f>IF(AND($A1559&lt;&gt;"",$B1559&lt;&gt;"",$R1559='تقرير مارس'!$C$4,$P1559='تقرير مارس'!$C$6),COUNT(AC$4:AC1558)+1,"")</f>
        <v/>
      </c>
      <c r="AD1559">
        <f>IF(AND($A1559&lt;&gt;"",$B1559&lt;&gt;"",$R1559='تقرير أبريل'!$C$4,$P1559='تقرير أبريل'!$C$6),COUNT(AD$4:AD1558)+1,"")</f>
        <v/>
      </c>
      <c r="AE1559">
        <f>IF(AND($A1559&lt;&gt;"",$B1559&lt;&gt;"",$R1559='تقرير مايو'!$C$4,$P1559='تقرير مايو'!$C$6),COUNT(AE$4:AE1558)+1,"")</f>
        <v/>
      </c>
    </row>
    <row r="1560">
      <c r="A1560" s="16" t="n"/>
      <c r="B1560" s="17" t="n"/>
      <c r="C1560" s="17" t="n"/>
      <c r="D1560" s="18" t="n"/>
      <c r="E1560" s="17" t="n"/>
      <c r="F1560" s="17" t="n"/>
      <c r="G1560" s="19" t="n"/>
      <c r="H1560" s="17" t="n"/>
      <c r="I1560" s="17" t="n"/>
      <c r="J1560" s="17" t="n"/>
      <c r="K1560" s="20">
        <f>IF($B1560="","",IFERROR(INDEX(الموظفات!$A$5:$A$304,MATCH($B1560,الموظفات!$B$5:$B$304,0))&amp;"",""))</f>
        <v/>
      </c>
      <c r="L1560" s="21">
        <f>IF($B1560="","",IFERROR(INDEX(الموظفات!$C$5:$C$304,MATCH($B1560,الموظفات!$B$5:$B$304,0))&amp;"",""))</f>
        <v/>
      </c>
      <c r="M1560" s="20">
        <f>IF($B1560="","",IFERROR(INDEX(الموظفات!$D$5:$D$304,MATCH($B1560,الموظفات!$B$5:$B$304,0))&amp;"",""))</f>
        <v/>
      </c>
      <c r="N1560" s="20">
        <f>IF($B1560="","",IFERROR(INDEX(الموظفات!$E$5:$E$304,MATCH($B1560,الموظفات!$B$5:$B$304,0))&amp;"",""))</f>
        <v/>
      </c>
      <c r="O1560" s="21">
        <f>IF(C1560="","",IFERROR(INDEX(الإعدادات!$D$7:$D$35,MATCH(C1560,الإعدادات!$A$7:$A$35,0))&amp;"",""))</f>
        <v/>
      </c>
      <c r="P1560" s="20">
        <f>IF(A1560="","",INDEX(الإعدادات!$H$7:$H$18,MONTH(A1560)))</f>
        <v/>
      </c>
      <c r="Q1560" s="20">
        <f>IF(A1560="","",INDEX(الإعدادات!$I$7:$I$18,MONTH(A1560)))</f>
        <v/>
      </c>
      <c r="R1560" s="20">
        <f>IF(A1560="","",IF(MONTH(A1560)&gt;=8,YEAR(A1560)&amp;"-"&amp;(YEAR(A1560)+1),(YEAR(A1560)-1)&amp;"-"&amp;YEAR(A1560)))</f>
        <v/>
      </c>
      <c r="S1560" s="20">
        <f>IF(OR(A1560="",B1560=""),0,IF(AND(R1560=التقارير!$C$4,OR(التقارير!$C$5="سنوي",AND(التقارير!$C$5="شهري",P1560=التقارير!$C$6),AND(التقارير!$C$5="فصلي",Q1560=التقارير!$C$7))),1,0))</f>
        <v/>
      </c>
      <c r="T1560" s="20">
        <f>IF(S1560=1,COUNTIF($S$5:S1560,1),"")</f>
        <v/>
      </c>
      <c r="U1560">
        <f>IF(AND($A1560&lt;&gt;"",$B1560&lt;&gt;"",$R1560='تقرير الفصل الأول'!$C$4,$Q1560='تقرير الفصل الأول'!$C$7),COUNT(U$4:U1559)+1,"")</f>
        <v/>
      </c>
      <c r="V1560">
        <f>IF(AND($A1560&lt;&gt;"",$B1560&lt;&gt;"",$R1560='تقرير الفصل الثاني'!$C$4,$Q1560='تقرير الفصل الثاني'!$C$7),COUNT(V$4:V1559)+1,"")</f>
        <v/>
      </c>
      <c r="W1560">
        <f>IF(AND($A1560&lt;&gt;"",$B1560&lt;&gt;"",$R1560='تقرير سبتمبر'!$C$4,$P1560='تقرير سبتمبر'!$C$6),COUNT(W$4:W1559)+1,"")</f>
        <v/>
      </c>
      <c r="X1560">
        <f>IF(AND($A1560&lt;&gt;"",$B1560&lt;&gt;"",$R1560='تقرير أكتوبر'!$C$4,$P1560='تقرير أكتوبر'!$C$6),COUNT(X$4:X1559)+1,"")</f>
        <v/>
      </c>
      <c r="Y1560">
        <f>IF(AND($A1560&lt;&gt;"",$B1560&lt;&gt;"",$R1560='تقرير نوفمبر'!$C$4,$P1560='تقرير نوفمبر'!$C$6),COUNT(Y$4:Y1559)+1,"")</f>
        <v/>
      </c>
      <c r="Z1560">
        <f>IF(AND($A1560&lt;&gt;"",$B1560&lt;&gt;"",$R1560='تقرير ديسمبر'!$C$4,$P1560='تقرير ديسمبر'!$C$6),COUNT(Z$4:Z1559)+1,"")</f>
        <v/>
      </c>
      <c r="AA1560">
        <f>IF(AND($A1560&lt;&gt;"",$B1560&lt;&gt;"",$R1560='تقرير يناير'!$C$4,$P1560='تقرير يناير'!$C$6),COUNT(AA$4:AA1559)+1,"")</f>
        <v/>
      </c>
      <c r="AB1560">
        <f>IF(AND($A1560&lt;&gt;"",$B1560&lt;&gt;"",$R1560='تقرير فبراير'!$C$4,$P1560='تقرير فبراير'!$C$6),COUNT(AB$4:AB1559)+1,"")</f>
        <v/>
      </c>
      <c r="AC1560">
        <f>IF(AND($A1560&lt;&gt;"",$B1560&lt;&gt;"",$R1560='تقرير مارس'!$C$4,$P1560='تقرير مارس'!$C$6),COUNT(AC$4:AC1559)+1,"")</f>
        <v/>
      </c>
      <c r="AD1560">
        <f>IF(AND($A1560&lt;&gt;"",$B1560&lt;&gt;"",$R1560='تقرير أبريل'!$C$4,$P1560='تقرير أبريل'!$C$6),COUNT(AD$4:AD1559)+1,"")</f>
        <v/>
      </c>
      <c r="AE1560">
        <f>IF(AND($A1560&lt;&gt;"",$B1560&lt;&gt;"",$R1560='تقرير مايو'!$C$4,$P1560='تقرير مايو'!$C$6),COUNT(AE$4:AE1559)+1,"")</f>
        <v/>
      </c>
    </row>
    <row r="1561">
      <c r="A1561" s="16" t="n"/>
      <c r="B1561" s="17" t="n"/>
      <c r="C1561" s="17" t="n"/>
      <c r="D1561" s="18" t="n"/>
      <c r="E1561" s="17" t="n"/>
      <c r="F1561" s="17" t="n"/>
      <c r="G1561" s="19" t="n"/>
      <c r="H1561" s="17" t="n"/>
      <c r="I1561" s="17" t="n"/>
      <c r="J1561" s="17" t="n"/>
      <c r="K1561" s="20">
        <f>IF($B1561="","",IFERROR(INDEX(الموظفات!$A$5:$A$304,MATCH($B1561,الموظفات!$B$5:$B$304,0))&amp;"",""))</f>
        <v/>
      </c>
      <c r="L1561" s="21">
        <f>IF($B1561="","",IFERROR(INDEX(الموظفات!$C$5:$C$304,MATCH($B1561,الموظفات!$B$5:$B$304,0))&amp;"",""))</f>
        <v/>
      </c>
      <c r="M1561" s="20">
        <f>IF($B1561="","",IFERROR(INDEX(الموظفات!$D$5:$D$304,MATCH($B1561,الموظفات!$B$5:$B$304,0))&amp;"",""))</f>
        <v/>
      </c>
      <c r="N1561" s="20">
        <f>IF($B1561="","",IFERROR(INDEX(الموظفات!$E$5:$E$304,MATCH($B1561,الموظفات!$B$5:$B$304,0))&amp;"",""))</f>
        <v/>
      </c>
      <c r="O1561" s="21">
        <f>IF(C1561="","",IFERROR(INDEX(الإعدادات!$D$7:$D$35,MATCH(C1561,الإعدادات!$A$7:$A$35,0))&amp;"",""))</f>
        <v/>
      </c>
      <c r="P1561" s="20">
        <f>IF(A1561="","",INDEX(الإعدادات!$H$7:$H$18,MONTH(A1561)))</f>
        <v/>
      </c>
      <c r="Q1561" s="20">
        <f>IF(A1561="","",INDEX(الإعدادات!$I$7:$I$18,MONTH(A1561)))</f>
        <v/>
      </c>
      <c r="R1561" s="20">
        <f>IF(A1561="","",IF(MONTH(A1561)&gt;=8,YEAR(A1561)&amp;"-"&amp;(YEAR(A1561)+1),(YEAR(A1561)-1)&amp;"-"&amp;YEAR(A1561)))</f>
        <v/>
      </c>
      <c r="S1561" s="20">
        <f>IF(OR(A1561="",B1561=""),0,IF(AND(R1561=التقارير!$C$4,OR(التقارير!$C$5="سنوي",AND(التقارير!$C$5="شهري",P1561=التقارير!$C$6),AND(التقارير!$C$5="فصلي",Q1561=التقارير!$C$7))),1,0))</f>
        <v/>
      </c>
      <c r="T1561" s="20">
        <f>IF(S1561=1,COUNTIF($S$5:S1561,1),"")</f>
        <v/>
      </c>
      <c r="U1561">
        <f>IF(AND($A1561&lt;&gt;"",$B1561&lt;&gt;"",$R1561='تقرير الفصل الأول'!$C$4,$Q1561='تقرير الفصل الأول'!$C$7),COUNT(U$4:U1560)+1,"")</f>
        <v/>
      </c>
      <c r="V1561">
        <f>IF(AND($A1561&lt;&gt;"",$B1561&lt;&gt;"",$R1561='تقرير الفصل الثاني'!$C$4,$Q1561='تقرير الفصل الثاني'!$C$7),COUNT(V$4:V1560)+1,"")</f>
        <v/>
      </c>
      <c r="W1561">
        <f>IF(AND($A1561&lt;&gt;"",$B1561&lt;&gt;"",$R1561='تقرير سبتمبر'!$C$4,$P1561='تقرير سبتمبر'!$C$6),COUNT(W$4:W1560)+1,"")</f>
        <v/>
      </c>
      <c r="X1561">
        <f>IF(AND($A1561&lt;&gt;"",$B1561&lt;&gt;"",$R1561='تقرير أكتوبر'!$C$4,$P1561='تقرير أكتوبر'!$C$6),COUNT(X$4:X1560)+1,"")</f>
        <v/>
      </c>
      <c r="Y1561">
        <f>IF(AND($A1561&lt;&gt;"",$B1561&lt;&gt;"",$R1561='تقرير نوفمبر'!$C$4,$P1561='تقرير نوفمبر'!$C$6),COUNT(Y$4:Y1560)+1,"")</f>
        <v/>
      </c>
      <c r="Z1561">
        <f>IF(AND($A1561&lt;&gt;"",$B1561&lt;&gt;"",$R1561='تقرير ديسمبر'!$C$4,$P1561='تقرير ديسمبر'!$C$6),COUNT(Z$4:Z1560)+1,"")</f>
        <v/>
      </c>
      <c r="AA1561">
        <f>IF(AND($A1561&lt;&gt;"",$B1561&lt;&gt;"",$R1561='تقرير يناير'!$C$4,$P1561='تقرير يناير'!$C$6),COUNT(AA$4:AA1560)+1,"")</f>
        <v/>
      </c>
      <c r="AB1561">
        <f>IF(AND($A1561&lt;&gt;"",$B1561&lt;&gt;"",$R1561='تقرير فبراير'!$C$4,$P1561='تقرير فبراير'!$C$6),COUNT(AB$4:AB1560)+1,"")</f>
        <v/>
      </c>
      <c r="AC1561">
        <f>IF(AND($A1561&lt;&gt;"",$B1561&lt;&gt;"",$R1561='تقرير مارس'!$C$4,$P1561='تقرير مارس'!$C$6),COUNT(AC$4:AC1560)+1,"")</f>
        <v/>
      </c>
      <c r="AD1561">
        <f>IF(AND($A1561&lt;&gt;"",$B1561&lt;&gt;"",$R1561='تقرير أبريل'!$C$4,$P1561='تقرير أبريل'!$C$6),COUNT(AD$4:AD1560)+1,"")</f>
        <v/>
      </c>
      <c r="AE1561">
        <f>IF(AND($A1561&lt;&gt;"",$B1561&lt;&gt;"",$R1561='تقرير مايو'!$C$4,$P1561='تقرير مايو'!$C$6),COUNT(AE$4:AE1560)+1,"")</f>
        <v/>
      </c>
    </row>
    <row r="1562">
      <c r="A1562" s="16" t="n"/>
      <c r="B1562" s="17" t="n"/>
      <c r="C1562" s="17" t="n"/>
      <c r="D1562" s="18" t="n"/>
      <c r="E1562" s="17" t="n"/>
      <c r="F1562" s="17" t="n"/>
      <c r="G1562" s="19" t="n"/>
      <c r="H1562" s="17" t="n"/>
      <c r="I1562" s="17" t="n"/>
      <c r="J1562" s="17" t="n"/>
      <c r="K1562" s="20">
        <f>IF($B1562="","",IFERROR(INDEX(الموظفات!$A$5:$A$304,MATCH($B1562,الموظفات!$B$5:$B$304,0))&amp;"",""))</f>
        <v/>
      </c>
      <c r="L1562" s="21">
        <f>IF($B1562="","",IFERROR(INDEX(الموظفات!$C$5:$C$304,MATCH($B1562,الموظفات!$B$5:$B$304,0))&amp;"",""))</f>
        <v/>
      </c>
      <c r="M1562" s="20">
        <f>IF($B1562="","",IFERROR(INDEX(الموظفات!$D$5:$D$304,MATCH($B1562,الموظفات!$B$5:$B$304,0))&amp;"",""))</f>
        <v/>
      </c>
      <c r="N1562" s="20">
        <f>IF($B1562="","",IFERROR(INDEX(الموظفات!$E$5:$E$304,MATCH($B1562,الموظفات!$B$5:$B$304,0))&amp;"",""))</f>
        <v/>
      </c>
      <c r="O1562" s="21">
        <f>IF(C1562="","",IFERROR(INDEX(الإعدادات!$D$7:$D$35,MATCH(C1562,الإعدادات!$A$7:$A$35,0))&amp;"",""))</f>
        <v/>
      </c>
      <c r="P1562" s="20">
        <f>IF(A1562="","",INDEX(الإعدادات!$H$7:$H$18,MONTH(A1562)))</f>
        <v/>
      </c>
      <c r="Q1562" s="20">
        <f>IF(A1562="","",INDEX(الإعدادات!$I$7:$I$18,MONTH(A1562)))</f>
        <v/>
      </c>
      <c r="R1562" s="20">
        <f>IF(A1562="","",IF(MONTH(A1562)&gt;=8,YEAR(A1562)&amp;"-"&amp;(YEAR(A1562)+1),(YEAR(A1562)-1)&amp;"-"&amp;YEAR(A1562)))</f>
        <v/>
      </c>
      <c r="S1562" s="20">
        <f>IF(OR(A1562="",B1562=""),0,IF(AND(R1562=التقارير!$C$4,OR(التقارير!$C$5="سنوي",AND(التقارير!$C$5="شهري",P1562=التقارير!$C$6),AND(التقارير!$C$5="فصلي",Q1562=التقارير!$C$7))),1,0))</f>
        <v/>
      </c>
      <c r="T1562" s="20">
        <f>IF(S1562=1,COUNTIF($S$5:S1562,1),"")</f>
        <v/>
      </c>
      <c r="U1562">
        <f>IF(AND($A1562&lt;&gt;"",$B1562&lt;&gt;"",$R1562='تقرير الفصل الأول'!$C$4,$Q1562='تقرير الفصل الأول'!$C$7),COUNT(U$4:U1561)+1,"")</f>
        <v/>
      </c>
      <c r="V1562">
        <f>IF(AND($A1562&lt;&gt;"",$B1562&lt;&gt;"",$R1562='تقرير الفصل الثاني'!$C$4,$Q1562='تقرير الفصل الثاني'!$C$7),COUNT(V$4:V1561)+1,"")</f>
        <v/>
      </c>
      <c r="W1562">
        <f>IF(AND($A1562&lt;&gt;"",$B1562&lt;&gt;"",$R1562='تقرير سبتمبر'!$C$4,$P1562='تقرير سبتمبر'!$C$6),COUNT(W$4:W1561)+1,"")</f>
        <v/>
      </c>
      <c r="X1562">
        <f>IF(AND($A1562&lt;&gt;"",$B1562&lt;&gt;"",$R1562='تقرير أكتوبر'!$C$4,$P1562='تقرير أكتوبر'!$C$6),COUNT(X$4:X1561)+1,"")</f>
        <v/>
      </c>
      <c r="Y1562">
        <f>IF(AND($A1562&lt;&gt;"",$B1562&lt;&gt;"",$R1562='تقرير نوفمبر'!$C$4,$P1562='تقرير نوفمبر'!$C$6),COUNT(Y$4:Y1561)+1,"")</f>
        <v/>
      </c>
      <c r="Z1562">
        <f>IF(AND($A1562&lt;&gt;"",$B1562&lt;&gt;"",$R1562='تقرير ديسمبر'!$C$4,$P1562='تقرير ديسمبر'!$C$6),COUNT(Z$4:Z1561)+1,"")</f>
        <v/>
      </c>
      <c r="AA1562">
        <f>IF(AND($A1562&lt;&gt;"",$B1562&lt;&gt;"",$R1562='تقرير يناير'!$C$4,$P1562='تقرير يناير'!$C$6),COUNT(AA$4:AA1561)+1,"")</f>
        <v/>
      </c>
      <c r="AB1562">
        <f>IF(AND($A1562&lt;&gt;"",$B1562&lt;&gt;"",$R1562='تقرير فبراير'!$C$4,$P1562='تقرير فبراير'!$C$6),COUNT(AB$4:AB1561)+1,"")</f>
        <v/>
      </c>
      <c r="AC1562">
        <f>IF(AND($A1562&lt;&gt;"",$B1562&lt;&gt;"",$R1562='تقرير مارس'!$C$4,$P1562='تقرير مارس'!$C$6),COUNT(AC$4:AC1561)+1,"")</f>
        <v/>
      </c>
      <c r="AD1562">
        <f>IF(AND($A1562&lt;&gt;"",$B1562&lt;&gt;"",$R1562='تقرير أبريل'!$C$4,$P1562='تقرير أبريل'!$C$6),COUNT(AD$4:AD1561)+1,"")</f>
        <v/>
      </c>
      <c r="AE1562">
        <f>IF(AND($A1562&lt;&gt;"",$B1562&lt;&gt;"",$R1562='تقرير مايو'!$C$4,$P1562='تقرير مايو'!$C$6),COUNT(AE$4:AE1561)+1,"")</f>
        <v/>
      </c>
    </row>
    <row r="1563">
      <c r="A1563" s="16" t="n"/>
      <c r="B1563" s="17" t="n"/>
      <c r="C1563" s="17" t="n"/>
      <c r="D1563" s="18" t="n"/>
      <c r="E1563" s="17" t="n"/>
      <c r="F1563" s="17" t="n"/>
      <c r="G1563" s="19" t="n"/>
      <c r="H1563" s="17" t="n"/>
      <c r="I1563" s="17" t="n"/>
      <c r="J1563" s="17" t="n"/>
      <c r="K1563" s="20">
        <f>IF($B1563="","",IFERROR(INDEX(الموظفات!$A$5:$A$304,MATCH($B1563,الموظفات!$B$5:$B$304,0))&amp;"",""))</f>
        <v/>
      </c>
      <c r="L1563" s="21">
        <f>IF($B1563="","",IFERROR(INDEX(الموظفات!$C$5:$C$304,MATCH($B1563,الموظفات!$B$5:$B$304,0))&amp;"",""))</f>
        <v/>
      </c>
      <c r="M1563" s="20">
        <f>IF($B1563="","",IFERROR(INDEX(الموظفات!$D$5:$D$304,MATCH($B1563,الموظفات!$B$5:$B$304,0))&amp;"",""))</f>
        <v/>
      </c>
      <c r="N1563" s="20">
        <f>IF($B1563="","",IFERROR(INDEX(الموظفات!$E$5:$E$304,MATCH($B1563,الموظفات!$B$5:$B$304,0))&amp;"",""))</f>
        <v/>
      </c>
      <c r="O1563" s="21">
        <f>IF(C1563="","",IFERROR(INDEX(الإعدادات!$D$7:$D$35,MATCH(C1563,الإعدادات!$A$7:$A$35,0))&amp;"",""))</f>
        <v/>
      </c>
      <c r="P1563" s="20">
        <f>IF(A1563="","",INDEX(الإعدادات!$H$7:$H$18,MONTH(A1563)))</f>
        <v/>
      </c>
      <c r="Q1563" s="20">
        <f>IF(A1563="","",INDEX(الإعدادات!$I$7:$I$18,MONTH(A1563)))</f>
        <v/>
      </c>
      <c r="R1563" s="20">
        <f>IF(A1563="","",IF(MONTH(A1563)&gt;=8,YEAR(A1563)&amp;"-"&amp;(YEAR(A1563)+1),(YEAR(A1563)-1)&amp;"-"&amp;YEAR(A1563)))</f>
        <v/>
      </c>
      <c r="S1563" s="20">
        <f>IF(OR(A1563="",B1563=""),0,IF(AND(R1563=التقارير!$C$4,OR(التقارير!$C$5="سنوي",AND(التقارير!$C$5="شهري",P1563=التقارير!$C$6),AND(التقارير!$C$5="فصلي",Q1563=التقارير!$C$7))),1,0))</f>
        <v/>
      </c>
      <c r="T1563" s="20">
        <f>IF(S1563=1,COUNTIF($S$5:S1563,1),"")</f>
        <v/>
      </c>
      <c r="U1563">
        <f>IF(AND($A1563&lt;&gt;"",$B1563&lt;&gt;"",$R1563='تقرير الفصل الأول'!$C$4,$Q1563='تقرير الفصل الأول'!$C$7),COUNT(U$4:U1562)+1,"")</f>
        <v/>
      </c>
      <c r="V1563">
        <f>IF(AND($A1563&lt;&gt;"",$B1563&lt;&gt;"",$R1563='تقرير الفصل الثاني'!$C$4,$Q1563='تقرير الفصل الثاني'!$C$7),COUNT(V$4:V1562)+1,"")</f>
        <v/>
      </c>
      <c r="W1563">
        <f>IF(AND($A1563&lt;&gt;"",$B1563&lt;&gt;"",$R1563='تقرير سبتمبر'!$C$4,$P1563='تقرير سبتمبر'!$C$6),COUNT(W$4:W1562)+1,"")</f>
        <v/>
      </c>
      <c r="X1563">
        <f>IF(AND($A1563&lt;&gt;"",$B1563&lt;&gt;"",$R1563='تقرير أكتوبر'!$C$4,$P1563='تقرير أكتوبر'!$C$6),COUNT(X$4:X1562)+1,"")</f>
        <v/>
      </c>
      <c r="Y1563">
        <f>IF(AND($A1563&lt;&gt;"",$B1563&lt;&gt;"",$R1563='تقرير نوفمبر'!$C$4,$P1563='تقرير نوفمبر'!$C$6),COUNT(Y$4:Y1562)+1,"")</f>
        <v/>
      </c>
      <c r="Z1563">
        <f>IF(AND($A1563&lt;&gt;"",$B1563&lt;&gt;"",$R1563='تقرير ديسمبر'!$C$4,$P1563='تقرير ديسمبر'!$C$6),COUNT(Z$4:Z1562)+1,"")</f>
        <v/>
      </c>
      <c r="AA1563">
        <f>IF(AND($A1563&lt;&gt;"",$B1563&lt;&gt;"",$R1563='تقرير يناير'!$C$4,$P1563='تقرير يناير'!$C$6),COUNT(AA$4:AA1562)+1,"")</f>
        <v/>
      </c>
      <c r="AB1563">
        <f>IF(AND($A1563&lt;&gt;"",$B1563&lt;&gt;"",$R1563='تقرير فبراير'!$C$4,$P1563='تقرير فبراير'!$C$6),COUNT(AB$4:AB1562)+1,"")</f>
        <v/>
      </c>
      <c r="AC1563">
        <f>IF(AND($A1563&lt;&gt;"",$B1563&lt;&gt;"",$R1563='تقرير مارس'!$C$4,$P1563='تقرير مارس'!$C$6),COUNT(AC$4:AC1562)+1,"")</f>
        <v/>
      </c>
      <c r="AD1563">
        <f>IF(AND($A1563&lt;&gt;"",$B1563&lt;&gt;"",$R1563='تقرير أبريل'!$C$4,$P1563='تقرير أبريل'!$C$6),COUNT(AD$4:AD1562)+1,"")</f>
        <v/>
      </c>
      <c r="AE1563">
        <f>IF(AND($A1563&lt;&gt;"",$B1563&lt;&gt;"",$R1563='تقرير مايو'!$C$4,$P1563='تقرير مايو'!$C$6),COUNT(AE$4:AE1562)+1,"")</f>
        <v/>
      </c>
    </row>
    <row r="1564">
      <c r="A1564" s="16" t="n"/>
      <c r="B1564" s="17" t="n"/>
      <c r="C1564" s="17" t="n"/>
      <c r="D1564" s="18" t="n"/>
      <c r="E1564" s="17" t="n"/>
      <c r="F1564" s="17" t="n"/>
      <c r="G1564" s="19" t="n"/>
      <c r="H1564" s="17" t="n"/>
      <c r="I1564" s="17" t="n"/>
      <c r="J1564" s="17" t="n"/>
      <c r="K1564" s="20">
        <f>IF($B1564="","",IFERROR(INDEX(الموظفات!$A$5:$A$304,MATCH($B1564,الموظفات!$B$5:$B$304,0))&amp;"",""))</f>
        <v/>
      </c>
      <c r="L1564" s="21">
        <f>IF($B1564="","",IFERROR(INDEX(الموظفات!$C$5:$C$304,MATCH($B1564,الموظفات!$B$5:$B$304,0))&amp;"",""))</f>
        <v/>
      </c>
      <c r="M1564" s="20">
        <f>IF($B1564="","",IFERROR(INDEX(الموظفات!$D$5:$D$304,MATCH($B1564,الموظفات!$B$5:$B$304,0))&amp;"",""))</f>
        <v/>
      </c>
      <c r="N1564" s="20">
        <f>IF($B1564="","",IFERROR(INDEX(الموظفات!$E$5:$E$304,MATCH($B1564,الموظفات!$B$5:$B$304,0))&amp;"",""))</f>
        <v/>
      </c>
      <c r="O1564" s="21">
        <f>IF(C1564="","",IFERROR(INDEX(الإعدادات!$D$7:$D$35,MATCH(C1564,الإعدادات!$A$7:$A$35,0))&amp;"",""))</f>
        <v/>
      </c>
      <c r="P1564" s="20">
        <f>IF(A1564="","",INDEX(الإعدادات!$H$7:$H$18,MONTH(A1564)))</f>
        <v/>
      </c>
      <c r="Q1564" s="20">
        <f>IF(A1564="","",INDEX(الإعدادات!$I$7:$I$18,MONTH(A1564)))</f>
        <v/>
      </c>
      <c r="R1564" s="20">
        <f>IF(A1564="","",IF(MONTH(A1564)&gt;=8,YEAR(A1564)&amp;"-"&amp;(YEAR(A1564)+1),(YEAR(A1564)-1)&amp;"-"&amp;YEAR(A1564)))</f>
        <v/>
      </c>
      <c r="S1564" s="20">
        <f>IF(OR(A1564="",B1564=""),0,IF(AND(R1564=التقارير!$C$4,OR(التقارير!$C$5="سنوي",AND(التقارير!$C$5="شهري",P1564=التقارير!$C$6),AND(التقارير!$C$5="فصلي",Q1564=التقارير!$C$7))),1,0))</f>
        <v/>
      </c>
      <c r="T1564" s="20">
        <f>IF(S1564=1,COUNTIF($S$5:S1564,1),"")</f>
        <v/>
      </c>
      <c r="U1564">
        <f>IF(AND($A1564&lt;&gt;"",$B1564&lt;&gt;"",$R1564='تقرير الفصل الأول'!$C$4,$Q1564='تقرير الفصل الأول'!$C$7),COUNT(U$4:U1563)+1,"")</f>
        <v/>
      </c>
      <c r="V1564">
        <f>IF(AND($A1564&lt;&gt;"",$B1564&lt;&gt;"",$R1564='تقرير الفصل الثاني'!$C$4,$Q1564='تقرير الفصل الثاني'!$C$7),COUNT(V$4:V1563)+1,"")</f>
        <v/>
      </c>
      <c r="W1564">
        <f>IF(AND($A1564&lt;&gt;"",$B1564&lt;&gt;"",$R1564='تقرير سبتمبر'!$C$4,$P1564='تقرير سبتمبر'!$C$6),COUNT(W$4:W1563)+1,"")</f>
        <v/>
      </c>
      <c r="X1564">
        <f>IF(AND($A1564&lt;&gt;"",$B1564&lt;&gt;"",$R1564='تقرير أكتوبر'!$C$4,$P1564='تقرير أكتوبر'!$C$6),COUNT(X$4:X1563)+1,"")</f>
        <v/>
      </c>
      <c r="Y1564">
        <f>IF(AND($A1564&lt;&gt;"",$B1564&lt;&gt;"",$R1564='تقرير نوفمبر'!$C$4,$P1564='تقرير نوفمبر'!$C$6),COUNT(Y$4:Y1563)+1,"")</f>
        <v/>
      </c>
      <c r="Z1564">
        <f>IF(AND($A1564&lt;&gt;"",$B1564&lt;&gt;"",$R1564='تقرير ديسمبر'!$C$4,$P1564='تقرير ديسمبر'!$C$6),COUNT(Z$4:Z1563)+1,"")</f>
        <v/>
      </c>
      <c r="AA1564">
        <f>IF(AND($A1564&lt;&gt;"",$B1564&lt;&gt;"",$R1564='تقرير يناير'!$C$4,$P1564='تقرير يناير'!$C$6),COUNT(AA$4:AA1563)+1,"")</f>
        <v/>
      </c>
      <c r="AB1564">
        <f>IF(AND($A1564&lt;&gt;"",$B1564&lt;&gt;"",$R1564='تقرير فبراير'!$C$4,$P1564='تقرير فبراير'!$C$6),COUNT(AB$4:AB1563)+1,"")</f>
        <v/>
      </c>
      <c r="AC1564">
        <f>IF(AND($A1564&lt;&gt;"",$B1564&lt;&gt;"",$R1564='تقرير مارس'!$C$4,$P1564='تقرير مارس'!$C$6),COUNT(AC$4:AC1563)+1,"")</f>
        <v/>
      </c>
      <c r="AD1564">
        <f>IF(AND($A1564&lt;&gt;"",$B1564&lt;&gt;"",$R1564='تقرير أبريل'!$C$4,$P1564='تقرير أبريل'!$C$6),COUNT(AD$4:AD1563)+1,"")</f>
        <v/>
      </c>
      <c r="AE1564">
        <f>IF(AND($A1564&lt;&gt;"",$B1564&lt;&gt;"",$R1564='تقرير مايو'!$C$4,$P1564='تقرير مايو'!$C$6),COUNT(AE$4:AE1563)+1,"")</f>
        <v/>
      </c>
    </row>
    <row r="1565">
      <c r="A1565" s="16" t="n"/>
      <c r="B1565" s="17" t="n"/>
      <c r="C1565" s="17" t="n"/>
      <c r="D1565" s="18" t="n"/>
      <c r="E1565" s="17" t="n"/>
      <c r="F1565" s="17" t="n"/>
      <c r="G1565" s="19" t="n"/>
      <c r="H1565" s="17" t="n"/>
      <c r="I1565" s="17" t="n"/>
      <c r="J1565" s="17" t="n"/>
      <c r="K1565" s="20">
        <f>IF($B1565="","",IFERROR(INDEX(الموظفات!$A$5:$A$304,MATCH($B1565,الموظفات!$B$5:$B$304,0))&amp;"",""))</f>
        <v/>
      </c>
      <c r="L1565" s="21">
        <f>IF($B1565="","",IFERROR(INDEX(الموظفات!$C$5:$C$304,MATCH($B1565,الموظفات!$B$5:$B$304,0))&amp;"",""))</f>
        <v/>
      </c>
      <c r="M1565" s="20">
        <f>IF($B1565="","",IFERROR(INDEX(الموظفات!$D$5:$D$304,MATCH($B1565,الموظفات!$B$5:$B$304,0))&amp;"",""))</f>
        <v/>
      </c>
      <c r="N1565" s="20">
        <f>IF($B1565="","",IFERROR(INDEX(الموظفات!$E$5:$E$304,MATCH($B1565,الموظفات!$B$5:$B$304,0))&amp;"",""))</f>
        <v/>
      </c>
      <c r="O1565" s="21">
        <f>IF(C1565="","",IFERROR(INDEX(الإعدادات!$D$7:$D$35,MATCH(C1565,الإعدادات!$A$7:$A$35,0))&amp;"",""))</f>
        <v/>
      </c>
      <c r="P1565" s="20">
        <f>IF(A1565="","",INDEX(الإعدادات!$H$7:$H$18,MONTH(A1565)))</f>
        <v/>
      </c>
      <c r="Q1565" s="20">
        <f>IF(A1565="","",INDEX(الإعدادات!$I$7:$I$18,MONTH(A1565)))</f>
        <v/>
      </c>
      <c r="R1565" s="20">
        <f>IF(A1565="","",IF(MONTH(A1565)&gt;=8,YEAR(A1565)&amp;"-"&amp;(YEAR(A1565)+1),(YEAR(A1565)-1)&amp;"-"&amp;YEAR(A1565)))</f>
        <v/>
      </c>
      <c r="S1565" s="20">
        <f>IF(OR(A1565="",B1565=""),0,IF(AND(R1565=التقارير!$C$4,OR(التقارير!$C$5="سنوي",AND(التقارير!$C$5="شهري",P1565=التقارير!$C$6),AND(التقارير!$C$5="فصلي",Q1565=التقارير!$C$7))),1,0))</f>
        <v/>
      </c>
      <c r="T1565" s="20">
        <f>IF(S1565=1,COUNTIF($S$5:S1565,1),"")</f>
        <v/>
      </c>
      <c r="U1565">
        <f>IF(AND($A1565&lt;&gt;"",$B1565&lt;&gt;"",$R1565='تقرير الفصل الأول'!$C$4,$Q1565='تقرير الفصل الأول'!$C$7),COUNT(U$4:U1564)+1,"")</f>
        <v/>
      </c>
      <c r="V1565">
        <f>IF(AND($A1565&lt;&gt;"",$B1565&lt;&gt;"",$R1565='تقرير الفصل الثاني'!$C$4,$Q1565='تقرير الفصل الثاني'!$C$7),COUNT(V$4:V1564)+1,"")</f>
        <v/>
      </c>
      <c r="W1565">
        <f>IF(AND($A1565&lt;&gt;"",$B1565&lt;&gt;"",$R1565='تقرير سبتمبر'!$C$4,$P1565='تقرير سبتمبر'!$C$6),COUNT(W$4:W1564)+1,"")</f>
        <v/>
      </c>
      <c r="X1565">
        <f>IF(AND($A1565&lt;&gt;"",$B1565&lt;&gt;"",$R1565='تقرير أكتوبر'!$C$4,$P1565='تقرير أكتوبر'!$C$6),COUNT(X$4:X1564)+1,"")</f>
        <v/>
      </c>
      <c r="Y1565">
        <f>IF(AND($A1565&lt;&gt;"",$B1565&lt;&gt;"",$R1565='تقرير نوفمبر'!$C$4,$P1565='تقرير نوفمبر'!$C$6),COUNT(Y$4:Y1564)+1,"")</f>
        <v/>
      </c>
      <c r="Z1565">
        <f>IF(AND($A1565&lt;&gt;"",$B1565&lt;&gt;"",$R1565='تقرير ديسمبر'!$C$4,$P1565='تقرير ديسمبر'!$C$6),COUNT(Z$4:Z1564)+1,"")</f>
        <v/>
      </c>
      <c r="AA1565">
        <f>IF(AND($A1565&lt;&gt;"",$B1565&lt;&gt;"",$R1565='تقرير يناير'!$C$4,$P1565='تقرير يناير'!$C$6),COUNT(AA$4:AA1564)+1,"")</f>
        <v/>
      </c>
      <c r="AB1565">
        <f>IF(AND($A1565&lt;&gt;"",$B1565&lt;&gt;"",$R1565='تقرير فبراير'!$C$4,$P1565='تقرير فبراير'!$C$6),COUNT(AB$4:AB1564)+1,"")</f>
        <v/>
      </c>
      <c r="AC1565">
        <f>IF(AND($A1565&lt;&gt;"",$B1565&lt;&gt;"",$R1565='تقرير مارس'!$C$4,$P1565='تقرير مارس'!$C$6),COUNT(AC$4:AC1564)+1,"")</f>
        <v/>
      </c>
      <c r="AD1565">
        <f>IF(AND($A1565&lt;&gt;"",$B1565&lt;&gt;"",$R1565='تقرير أبريل'!$C$4,$P1565='تقرير أبريل'!$C$6),COUNT(AD$4:AD1564)+1,"")</f>
        <v/>
      </c>
      <c r="AE1565">
        <f>IF(AND($A1565&lt;&gt;"",$B1565&lt;&gt;"",$R1565='تقرير مايو'!$C$4,$P1565='تقرير مايو'!$C$6),COUNT(AE$4:AE1564)+1,"")</f>
        <v/>
      </c>
    </row>
    <row r="1566">
      <c r="A1566" s="16" t="n"/>
      <c r="B1566" s="17" t="n"/>
      <c r="C1566" s="17" t="n"/>
      <c r="D1566" s="18" t="n"/>
      <c r="E1566" s="17" t="n"/>
      <c r="F1566" s="17" t="n"/>
      <c r="G1566" s="19" t="n"/>
      <c r="H1566" s="17" t="n"/>
      <c r="I1566" s="17" t="n"/>
      <c r="J1566" s="17" t="n"/>
      <c r="K1566" s="20">
        <f>IF($B1566="","",IFERROR(INDEX(الموظفات!$A$5:$A$304,MATCH($B1566,الموظفات!$B$5:$B$304,0))&amp;"",""))</f>
        <v/>
      </c>
      <c r="L1566" s="21">
        <f>IF($B1566="","",IFERROR(INDEX(الموظفات!$C$5:$C$304,MATCH($B1566,الموظفات!$B$5:$B$304,0))&amp;"",""))</f>
        <v/>
      </c>
      <c r="M1566" s="20">
        <f>IF($B1566="","",IFERROR(INDEX(الموظفات!$D$5:$D$304,MATCH($B1566,الموظفات!$B$5:$B$304,0))&amp;"",""))</f>
        <v/>
      </c>
      <c r="N1566" s="20">
        <f>IF($B1566="","",IFERROR(INDEX(الموظفات!$E$5:$E$304,MATCH($B1566,الموظفات!$B$5:$B$304,0))&amp;"",""))</f>
        <v/>
      </c>
      <c r="O1566" s="21">
        <f>IF(C1566="","",IFERROR(INDEX(الإعدادات!$D$7:$D$35,MATCH(C1566,الإعدادات!$A$7:$A$35,0))&amp;"",""))</f>
        <v/>
      </c>
      <c r="P1566" s="20">
        <f>IF(A1566="","",INDEX(الإعدادات!$H$7:$H$18,MONTH(A1566)))</f>
        <v/>
      </c>
      <c r="Q1566" s="20">
        <f>IF(A1566="","",INDEX(الإعدادات!$I$7:$I$18,MONTH(A1566)))</f>
        <v/>
      </c>
      <c r="R1566" s="20">
        <f>IF(A1566="","",IF(MONTH(A1566)&gt;=8,YEAR(A1566)&amp;"-"&amp;(YEAR(A1566)+1),(YEAR(A1566)-1)&amp;"-"&amp;YEAR(A1566)))</f>
        <v/>
      </c>
      <c r="S1566" s="20">
        <f>IF(OR(A1566="",B1566=""),0,IF(AND(R1566=التقارير!$C$4,OR(التقارير!$C$5="سنوي",AND(التقارير!$C$5="شهري",P1566=التقارير!$C$6),AND(التقارير!$C$5="فصلي",Q1566=التقارير!$C$7))),1,0))</f>
        <v/>
      </c>
      <c r="T1566" s="20">
        <f>IF(S1566=1,COUNTIF($S$5:S1566,1),"")</f>
        <v/>
      </c>
      <c r="U1566">
        <f>IF(AND($A1566&lt;&gt;"",$B1566&lt;&gt;"",$R1566='تقرير الفصل الأول'!$C$4,$Q1566='تقرير الفصل الأول'!$C$7),COUNT(U$4:U1565)+1,"")</f>
        <v/>
      </c>
      <c r="V1566">
        <f>IF(AND($A1566&lt;&gt;"",$B1566&lt;&gt;"",$R1566='تقرير الفصل الثاني'!$C$4,$Q1566='تقرير الفصل الثاني'!$C$7),COUNT(V$4:V1565)+1,"")</f>
        <v/>
      </c>
      <c r="W1566">
        <f>IF(AND($A1566&lt;&gt;"",$B1566&lt;&gt;"",$R1566='تقرير سبتمبر'!$C$4,$P1566='تقرير سبتمبر'!$C$6),COUNT(W$4:W1565)+1,"")</f>
        <v/>
      </c>
      <c r="X1566">
        <f>IF(AND($A1566&lt;&gt;"",$B1566&lt;&gt;"",$R1566='تقرير أكتوبر'!$C$4,$P1566='تقرير أكتوبر'!$C$6),COUNT(X$4:X1565)+1,"")</f>
        <v/>
      </c>
      <c r="Y1566">
        <f>IF(AND($A1566&lt;&gt;"",$B1566&lt;&gt;"",$R1566='تقرير نوفمبر'!$C$4,$P1566='تقرير نوفمبر'!$C$6),COUNT(Y$4:Y1565)+1,"")</f>
        <v/>
      </c>
      <c r="Z1566">
        <f>IF(AND($A1566&lt;&gt;"",$B1566&lt;&gt;"",$R1566='تقرير ديسمبر'!$C$4,$P1566='تقرير ديسمبر'!$C$6),COUNT(Z$4:Z1565)+1,"")</f>
        <v/>
      </c>
      <c r="AA1566">
        <f>IF(AND($A1566&lt;&gt;"",$B1566&lt;&gt;"",$R1566='تقرير يناير'!$C$4,$P1566='تقرير يناير'!$C$6),COUNT(AA$4:AA1565)+1,"")</f>
        <v/>
      </c>
      <c r="AB1566">
        <f>IF(AND($A1566&lt;&gt;"",$B1566&lt;&gt;"",$R1566='تقرير فبراير'!$C$4,$P1566='تقرير فبراير'!$C$6),COUNT(AB$4:AB1565)+1,"")</f>
        <v/>
      </c>
      <c r="AC1566">
        <f>IF(AND($A1566&lt;&gt;"",$B1566&lt;&gt;"",$R1566='تقرير مارس'!$C$4,$P1566='تقرير مارس'!$C$6),COUNT(AC$4:AC1565)+1,"")</f>
        <v/>
      </c>
      <c r="AD1566">
        <f>IF(AND($A1566&lt;&gt;"",$B1566&lt;&gt;"",$R1566='تقرير أبريل'!$C$4,$P1566='تقرير أبريل'!$C$6),COUNT(AD$4:AD1565)+1,"")</f>
        <v/>
      </c>
      <c r="AE1566">
        <f>IF(AND($A1566&lt;&gt;"",$B1566&lt;&gt;"",$R1566='تقرير مايو'!$C$4,$P1566='تقرير مايو'!$C$6),COUNT(AE$4:AE1565)+1,"")</f>
        <v/>
      </c>
    </row>
    <row r="1567">
      <c r="A1567" s="16" t="n"/>
      <c r="B1567" s="17" t="n"/>
      <c r="C1567" s="17" t="n"/>
      <c r="D1567" s="18" t="n"/>
      <c r="E1567" s="17" t="n"/>
      <c r="F1567" s="17" t="n"/>
      <c r="G1567" s="19" t="n"/>
      <c r="H1567" s="17" t="n"/>
      <c r="I1567" s="17" t="n"/>
      <c r="J1567" s="17" t="n"/>
      <c r="K1567" s="20">
        <f>IF($B1567="","",IFERROR(INDEX(الموظفات!$A$5:$A$304,MATCH($B1567,الموظفات!$B$5:$B$304,0))&amp;"",""))</f>
        <v/>
      </c>
      <c r="L1567" s="21">
        <f>IF($B1567="","",IFERROR(INDEX(الموظفات!$C$5:$C$304,MATCH($B1567,الموظفات!$B$5:$B$304,0))&amp;"",""))</f>
        <v/>
      </c>
      <c r="M1567" s="20">
        <f>IF($B1567="","",IFERROR(INDEX(الموظفات!$D$5:$D$304,MATCH($B1567,الموظفات!$B$5:$B$304,0))&amp;"",""))</f>
        <v/>
      </c>
      <c r="N1567" s="20">
        <f>IF($B1567="","",IFERROR(INDEX(الموظفات!$E$5:$E$304,MATCH($B1567,الموظفات!$B$5:$B$304,0))&amp;"",""))</f>
        <v/>
      </c>
      <c r="O1567" s="21">
        <f>IF(C1567="","",IFERROR(INDEX(الإعدادات!$D$7:$D$35,MATCH(C1567,الإعدادات!$A$7:$A$35,0))&amp;"",""))</f>
        <v/>
      </c>
      <c r="P1567" s="20">
        <f>IF(A1567="","",INDEX(الإعدادات!$H$7:$H$18,MONTH(A1567)))</f>
        <v/>
      </c>
      <c r="Q1567" s="20">
        <f>IF(A1567="","",INDEX(الإعدادات!$I$7:$I$18,MONTH(A1567)))</f>
        <v/>
      </c>
      <c r="R1567" s="20">
        <f>IF(A1567="","",IF(MONTH(A1567)&gt;=8,YEAR(A1567)&amp;"-"&amp;(YEAR(A1567)+1),(YEAR(A1567)-1)&amp;"-"&amp;YEAR(A1567)))</f>
        <v/>
      </c>
      <c r="S1567" s="20">
        <f>IF(OR(A1567="",B1567=""),0,IF(AND(R1567=التقارير!$C$4,OR(التقارير!$C$5="سنوي",AND(التقارير!$C$5="شهري",P1567=التقارير!$C$6),AND(التقارير!$C$5="فصلي",Q1567=التقارير!$C$7))),1,0))</f>
        <v/>
      </c>
      <c r="T1567" s="20">
        <f>IF(S1567=1,COUNTIF($S$5:S1567,1),"")</f>
        <v/>
      </c>
      <c r="U1567">
        <f>IF(AND($A1567&lt;&gt;"",$B1567&lt;&gt;"",$R1567='تقرير الفصل الأول'!$C$4,$Q1567='تقرير الفصل الأول'!$C$7),COUNT(U$4:U1566)+1,"")</f>
        <v/>
      </c>
      <c r="V1567">
        <f>IF(AND($A1567&lt;&gt;"",$B1567&lt;&gt;"",$R1567='تقرير الفصل الثاني'!$C$4,$Q1567='تقرير الفصل الثاني'!$C$7),COUNT(V$4:V1566)+1,"")</f>
        <v/>
      </c>
      <c r="W1567">
        <f>IF(AND($A1567&lt;&gt;"",$B1567&lt;&gt;"",$R1567='تقرير سبتمبر'!$C$4,$P1567='تقرير سبتمبر'!$C$6),COUNT(W$4:W1566)+1,"")</f>
        <v/>
      </c>
      <c r="X1567">
        <f>IF(AND($A1567&lt;&gt;"",$B1567&lt;&gt;"",$R1567='تقرير أكتوبر'!$C$4,$P1567='تقرير أكتوبر'!$C$6),COUNT(X$4:X1566)+1,"")</f>
        <v/>
      </c>
      <c r="Y1567">
        <f>IF(AND($A1567&lt;&gt;"",$B1567&lt;&gt;"",$R1567='تقرير نوفمبر'!$C$4,$P1567='تقرير نوفمبر'!$C$6),COUNT(Y$4:Y1566)+1,"")</f>
        <v/>
      </c>
      <c r="Z1567">
        <f>IF(AND($A1567&lt;&gt;"",$B1567&lt;&gt;"",$R1567='تقرير ديسمبر'!$C$4,$P1567='تقرير ديسمبر'!$C$6),COUNT(Z$4:Z1566)+1,"")</f>
        <v/>
      </c>
      <c r="AA1567">
        <f>IF(AND($A1567&lt;&gt;"",$B1567&lt;&gt;"",$R1567='تقرير يناير'!$C$4,$P1567='تقرير يناير'!$C$6),COUNT(AA$4:AA1566)+1,"")</f>
        <v/>
      </c>
      <c r="AB1567">
        <f>IF(AND($A1567&lt;&gt;"",$B1567&lt;&gt;"",$R1567='تقرير فبراير'!$C$4,$P1567='تقرير فبراير'!$C$6),COUNT(AB$4:AB1566)+1,"")</f>
        <v/>
      </c>
      <c r="AC1567">
        <f>IF(AND($A1567&lt;&gt;"",$B1567&lt;&gt;"",$R1567='تقرير مارس'!$C$4,$P1567='تقرير مارس'!$C$6),COUNT(AC$4:AC1566)+1,"")</f>
        <v/>
      </c>
      <c r="AD1567">
        <f>IF(AND($A1567&lt;&gt;"",$B1567&lt;&gt;"",$R1567='تقرير أبريل'!$C$4,$P1567='تقرير أبريل'!$C$6),COUNT(AD$4:AD1566)+1,"")</f>
        <v/>
      </c>
      <c r="AE1567">
        <f>IF(AND($A1567&lt;&gt;"",$B1567&lt;&gt;"",$R1567='تقرير مايو'!$C$4,$P1567='تقرير مايو'!$C$6),COUNT(AE$4:AE1566)+1,"")</f>
        <v/>
      </c>
    </row>
    <row r="1568">
      <c r="A1568" s="16" t="n"/>
      <c r="B1568" s="17" t="n"/>
      <c r="C1568" s="17" t="n"/>
      <c r="D1568" s="18" t="n"/>
      <c r="E1568" s="17" t="n"/>
      <c r="F1568" s="17" t="n"/>
      <c r="G1568" s="19" t="n"/>
      <c r="H1568" s="17" t="n"/>
      <c r="I1568" s="17" t="n"/>
      <c r="J1568" s="17" t="n"/>
      <c r="K1568" s="20">
        <f>IF($B1568="","",IFERROR(INDEX(الموظفات!$A$5:$A$304,MATCH($B1568,الموظفات!$B$5:$B$304,0))&amp;"",""))</f>
        <v/>
      </c>
      <c r="L1568" s="21">
        <f>IF($B1568="","",IFERROR(INDEX(الموظفات!$C$5:$C$304,MATCH($B1568,الموظفات!$B$5:$B$304,0))&amp;"",""))</f>
        <v/>
      </c>
      <c r="M1568" s="20">
        <f>IF($B1568="","",IFERROR(INDEX(الموظفات!$D$5:$D$304,MATCH($B1568,الموظفات!$B$5:$B$304,0))&amp;"",""))</f>
        <v/>
      </c>
      <c r="N1568" s="20">
        <f>IF($B1568="","",IFERROR(INDEX(الموظفات!$E$5:$E$304,MATCH($B1568,الموظفات!$B$5:$B$304,0))&amp;"",""))</f>
        <v/>
      </c>
      <c r="O1568" s="21">
        <f>IF(C1568="","",IFERROR(INDEX(الإعدادات!$D$7:$D$35,MATCH(C1568,الإعدادات!$A$7:$A$35,0))&amp;"",""))</f>
        <v/>
      </c>
      <c r="P1568" s="20">
        <f>IF(A1568="","",INDEX(الإعدادات!$H$7:$H$18,MONTH(A1568)))</f>
        <v/>
      </c>
      <c r="Q1568" s="20">
        <f>IF(A1568="","",INDEX(الإعدادات!$I$7:$I$18,MONTH(A1568)))</f>
        <v/>
      </c>
      <c r="R1568" s="20">
        <f>IF(A1568="","",IF(MONTH(A1568)&gt;=8,YEAR(A1568)&amp;"-"&amp;(YEAR(A1568)+1),(YEAR(A1568)-1)&amp;"-"&amp;YEAR(A1568)))</f>
        <v/>
      </c>
      <c r="S1568" s="20">
        <f>IF(OR(A1568="",B1568=""),0,IF(AND(R1568=التقارير!$C$4,OR(التقارير!$C$5="سنوي",AND(التقارير!$C$5="شهري",P1568=التقارير!$C$6),AND(التقارير!$C$5="فصلي",Q1568=التقارير!$C$7))),1,0))</f>
        <v/>
      </c>
      <c r="T1568" s="20">
        <f>IF(S1568=1,COUNTIF($S$5:S1568,1),"")</f>
        <v/>
      </c>
      <c r="U1568">
        <f>IF(AND($A1568&lt;&gt;"",$B1568&lt;&gt;"",$R1568='تقرير الفصل الأول'!$C$4,$Q1568='تقرير الفصل الأول'!$C$7),COUNT(U$4:U1567)+1,"")</f>
        <v/>
      </c>
      <c r="V1568">
        <f>IF(AND($A1568&lt;&gt;"",$B1568&lt;&gt;"",$R1568='تقرير الفصل الثاني'!$C$4,$Q1568='تقرير الفصل الثاني'!$C$7),COUNT(V$4:V1567)+1,"")</f>
        <v/>
      </c>
      <c r="W1568">
        <f>IF(AND($A1568&lt;&gt;"",$B1568&lt;&gt;"",$R1568='تقرير سبتمبر'!$C$4,$P1568='تقرير سبتمبر'!$C$6),COUNT(W$4:W1567)+1,"")</f>
        <v/>
      </c>
      <c r="X1568">
        <f>IF(AND($A1568&lt;&gt;"",$B1568&lt;&gt;"",$R1568='تقرير أكتوبر'!$C$4,$P1568='تقرير أكتوبر'!$C$6),COUNT(X$4:X1567)+1,"")</f>
        <v/>
      </c>
      <c r="Y1568">
        <f>IF(AND($A1568&lt;&gt;"",$B1568&lt;&gt;"",$R1568='تقرير نوفمبر'!$C$4,$P1568='تقرير نوفمبر'!$C$6),COUNT(Y$4:Y1567)+1,"")</f>
        <v/>
      </c>
      <c r="Z1568">
        <f>IF(AND($A1568&lt;&gt;"",$B1568&lt;&gt;"",$R1568='تقرير ديسمبر'!$C$4,$P1568='تقرير ديسمبر'!$C$6),COUNT(Z$4:Z1567)+1,"")</f>
        <v/>
      </c>
      <c r="AA1568">
        <f>IF(AND($A1568&lt;&gt;"",$B1568&lt;&gt;"",$R1568='تقرير يناير'!$C$4,$P1568='تقرير يناير'!$C$6),COUNT(AA$4:AA1567)+1,"")</f>
        <v/>
      </c>
      <c r="AB1568">
        <f>IF(AND($A1568&lt;&gt;"",$B1568&lt;&gt;"",$R1568='تقرير فبراير'!$C$4,$P1568='تقرير فبراير'!$C$6),COUNT(AB$4:AB1567)+1,"")</f>
        <v/>
      </c>
      <c r="AC1568">
        <f>IF(AND($A1568&lt;&gt;"",$B1568&lt;&gt;"",$R1568='تقرير مارس'!$C$4,$P1568='تقرير مارس'!$C$6),COUNT(AC$4:AC1567)+1,"")</f>
        <v/>
      </c>
      <c r="AD1568">
        <f>IF(AND($A1568&lt;&gt;"",$B1568&lt;&gt;"",$R1568='تقرير أبريل'!$C$4,$P1568='تقرير أبريل'!$C$6),COUNT(AD$4:AD1567)+1,"")</f>
        <v/>
      </c>
      <c r="AE1568">
        <f>IF(AND($A1568&lt;&gt;"",$B1568&lt;&gt;"",$R1568='تقرير مايو'!$C$4,$P1568='تقرير مايو'!$C$6),COUNT(AE$4:AE1567)+1,"")</f>
        <v/>
      </c>
    </row>
    <row r="1569">
      <c r="A1569" s="16" t="n"/>
      <c r="B1569" s="17" t="n"/>
      <c r="C1569" s="17" t="n"/>
      <c r="D1569" s="18" t="n"/>
      <c r="E1569" s="17" t="n"/>
      <c r="F1569" s="17" t="n"/>
      <c r="G1569" s="19" t="n"/>
      <c r="H1569" s="17" t="n"/>
      <c r="I1569" s="17" t="n"/>
      <c r="J1569" s="17" t="n"/>
      <c r="K1569" s="20">
        <f>IF($B1569="","",IFERROR(INDEX(الموظفات!$A$5:$A$304,MATCH($B1569,الموظفات!$B$5:$B$304,0))&amp;"",""))</f>
        <v/>
      </c>
      <c r="L1569" s="21">
        <f>IF($B1569="","",IFERROR(INDEX(الموظفات!$C$5:$C$304,MATCH($B1569,الموظفات!$B$5:$B$304,0))&amp;"",""))</f>
        <v/>
      </c>
      <c r="M1569" s="20">
        <f>IF($B1569="","",IFERROR(INDEX(الموظفات!$D$5:$D$304,MATCH($B1569,الموظفات!$B$5:$B$304,0))&amp;"",""))</f>
        <v/>
      </c>
      <c r="N1569" s="20">
        <f>IF($B1569="","",IFERROR(INDEX(الموظفات!$E$5:$E$304,MATCH($B1569,الموظفات!$B$5:$B$304,0))&amp;"",""))</f>
        <v/>
      </c>
      <c r="O1569" s="21">
        <f>IF(C1569="","",IFERROR(INDEX(الإعدادات!$D$7:$D$35,MATCH(C1569,الإعدادات!$A$7:$A$35,0))&amp;"",""))</f>
        <v/>
      </c>
      <c r="P1569" s="20">
        <f>IF(A1569="","",INDEX(الإعدادات!$H$7:$H$18,MONTH(A1569)))</f>
        <v/>
      </c>
      <c r="Q1569" s="20">
        <f>IF(A1569="","",INDEX(الإعدادات!$I$7:$I$18,MONTH(A1569)))</f>
        <v/>
      </c>
      <c r="R1569" s="20">
        <f>IF(A1569="","",IF(MONTH(A1569)&gt;=8,YEAR(A1569)&amp;"-"&amp;(YEAR(A1569)+1),(YEAR(A1569)-1)&amp;"-"&amp;YEAR(A1569)))</f>
        <v/>
      </c>
      <c r="S1569" s="20">
        <f>IF(OR(A1569="",B1569=""),0,IF(AND(R1569=التقارير!$C$4,OR(التقارير!$C$5="سنوي",AND(التقارير!$C$5="شهري",P1569=التقارير!$C$6),AND(التقارير!$C$5="فصلي",Q1569=التقارير!$C$7))),1,0))</f>
        <v/>
      </c>
      <c r="T1569" s="20">
        <f>IF(S1569=1,COUNTIF($S$5:S1569,1),"")</f>
        <v/>
      </c>
      <c r="U1569">
        <f>IF(AND($A1569&lt;&gt;"",$B1569&lt;&gt;"",$R1569='تقرير الفصل الأول'!$C$4,$Q1569='تقرير الفصل الأول'!$C$7),COUNT(U$4:U1568)+1,"")</f>
        <v/>
      </c>
      <c r="V1569">
        <f>IF(AND($A1569&lt;&gt;"",$B1569&lt;&gt;"",$R1569='تقرير الفصل الثاني'!$C$4,$Q1569='تقرير الفصل الثاني'!$C$7),COUNT(V$4:V1568)+1,"")</f>
        <v/>
      </c>
      <c r="W1569">
        <f>IF(AND($A1569&lt;&gt;"",$B1569&lt;&gt;"",$R1569='تقرير سبتمبر'!$C$4,$P1569='تقرير سبتمبر'!$C$6),COUNT(W$4:W1568)+1,"")</f>
        <v/>
      </c>
      <c r="X1569">
        <f>IF(AND($A1569&lt;&gt;"",$B1569&lt;&gt;"",$R1569='تقرير أكتوبر'!$C$4,$P1569='تقرير أكتوبر'!$C$6),COUNT(X$4:X1568)+1,"")</f>
        <v/>
      </c>
      <c r="Y1569">
        <f>IF(AND($A1569&lt;&gt;"",$B1569&lt;&gt;"",$R1569='تقرير نوفمبر'!$C$4,$P1569='تقرير نوفمبر'!$C$6),COUNT(Y$4:Y1568)+1,"")</f>
        <v/>
      </c>
      <c r="Z1569">
        <f>IF(AND($A1569&lt;&gt;"",$B1569&lt;&gt;"",$R1569='تقرير ديسمبر'!$C$4,$P1569='تقرير ديسمبر'!$C$6),COUNT(Z$4:Z1568)+1,"")</f>
        <v/>
      </c>
      <c r="AA1569">
        <f>IF(AND($A1569&lt;&gt;"",$B1569&lt;&gt;"",$R1569='تقرير يناير'!$C$4,$P1569='تقرير يناير'!$C$6),COUNT(AA$4:AA1568)+1,"")</f>
        <v/>
      </c>
      <c r="AB1569">
        <f>IF(AND($A1569&lt;&gt;"",$B1569&lt;&gt;"",$R1569='تقرير فبراير'!$C$4,$P1569='تقرير فبراير'!$C$6),COUNT(AB$4:AB1568)+1,"")</f>
        <v/>
      </c>
      <c r="AC1569">
        <f>IF(AND($A1569&lt;&gt;"",$B1569&lt;&gt;"",$R1569='تقرير مارس'!$C$4,$P1569='تقرير مارس'!$C$6),COUNT(AC$4:AC1568)+1,"")</f>
        <v/>
      </c>
      <c r="AD1569">
        <f>IF(AND($A1569&lt;&gt;"",$B1569&lt;&gt;"",$R1569='تقرير أبريل'!$C$4,$P1569='تقرير أبريل'!$C$6),COUNT(AD$4:AD1568)+1,"")</f>
        <v/>
      </c>
      <c r="AE1569">
        <f>IF(AND($A1569&lt;&gt;"",$B1569&lt;&gt;"",$R1569='تقرير مايو'!$C$4,$P1569='تقرير مايو'!$C$6),COUNT(AE$4:AE1568)+1,"")</f>
        <v/>
      </c>
    </row>
    <row r="1570">
      <c r="A1570" s="16" t="n"/>
      <c r="B1570" s="17" t="n"/>
      <c r="C1570" s="17" t="n"/>
      <c r="D1570" s="18" t="n"/>
      <c r="E1570" s="17" t="n"/>
      <c r="F1570" s="17" t="n"/>
      <c r="G1570" s="19" t="n"/>
      <c r="H1570" s="17" t="n"/>
      <c r="I1570" s="17" t="n"/>
      <c r="J1570" s="17" t="n"/>
      <c r="K1570" s="20">
        <f>IF($B1570="","",IFERROR(INDEX(الموظفات!$A$5:$A$304,MATCH($B1570,الموظفات!$B$5:$B$304,0))&amp;"",""))</f>
        <v/>
      </c>
      <c r="L1570" s="21">
        <f>IF($B1570="","",IFERROR(INDEX(الموظفات!$C$5:$C$304,MATCH($B1570,الموظفات!$B$5:$B$304,0))&amp;"",""))</f>
        <v/>
      </c>
      <c r="M1570" s="20">
        <f>IF($B1570="","",IFERROR(INDEX(الموظفات!$D$5:$D$304,MATCH($B1570,الموظفات!$B$5:$B$304,0))&amp;"",""))</f>
        <v/>
      </c>
      <c r="N1570" s="20">
        <f>IF($B1570="","",IFERROR(INDEX(الموظفات!$E$5:$E$304,MATCH($B1570,الموظفات!$B$5:$B$304,0))&amp;"",""))</f>
        <v/>
      </c>
      <c r="O1570" s="21">
        <f>IF(C1570="","",IFERROR(INDEX(الإعدادات!$D$7:$D$35,MATCH(C1570,الإعدادات!$A$7:$A$35,0))&amp;"",""))</f>
        <v/>
      </c>
      <c r="P1570" s="20">
        <f>IF(A1570="","",INDEX(الإعدادات!$H$7:$H$18,MONTH(A1570)))</f>
        <v/>
      </c>
      <c r="Q1570" s="20">
        <f>IF(A1570="","",INDEX(الإعدادات!$I$7:$I$18,MONTH(A1570)))</f>
        <v/>
      </c>
      <c r="R1570" s="20">
        <f>IF(A1570="","",IF(MONTH(A1570)&gt;=8,YEAR(A1570)&amp;"-"&amp;(YEAR(A1570)+1),(YEAR(A1570)-1)&amp;"-"&amp;YEAR(A1570)))</f>
        <v/>
      </c>
      <c r="S1570" s="20">
        <f>IF(OR(A1570="",B1570=""),0,IF(AND(R1570=التقارير!$C$4,OR(التقارير!$C$5="سنوي",AND(التقارير!$C$5="شهري",P1570=التقارير!$C$6),AND(التقارير!$C$5="فصلي",Q1570=التقارير!$C$7))),1,0))</f>
        <v/>
      </c>
      <c r="T1570" s="20">
        <f>IF(S1570=1,COUNTIF($S$5:S1570,1),"")</f>
        <v/>
      </c>
      <c r="U1570">
        <f>IF(AND($A1570&lt;&gt;"",$B1570&lt;&gt;"",$R1570='تقرير الفصل الأول'!$C$4,$Q1570='تقرير الفصل الأول'!$C$7),COUNT(U$4:U1569)+1,"")</f>
        <v/>
      </c>
      <c r="V1570">
        <f>IF(AND($A1570&lt;&gt;"",$B1570&lt;&gt;"",$R1570='تقرير الفصل الثاني'!$C$4,$Q1570='تقرير الفصل الثاني'!$C$7),COUNT(V$4:V1569)+1,"")</f>
        <v/>
      </c>
      <c r="W1570">
        <f>IF(AND($A1570&lt;&gt;"",$B1570&lt;&gt;"",$R1570='تقرير سبتمبر'!$C$4,$P1570='تقرير سبتمبر'!$C$6),COUNT(W$4:W1569)+1,"")</f>
        <v/>
      </c>
      <c r="X1570">
        <f>IF(AND($A1570&lt;&gt;"",$B1570&lt;&gt;"",$R1570='تقرير أكتوبر'!$C$4,$P1570='تقرير أكتوبر'!$C$6),COUNT(X$4:X1569)+1,"")</f>
        <v/>
      </c>
      <c r="Y1570">
        <f>IF(AND($A1570&lt;&gt;"",$B1570&lt;&gt;"",$R1570='تقرير نوفمبر'!$C$4,$P1570='تقرير نوفمبر'!$C$6),COUNT(Y$4:Y1569)+1,"")</f>
        <v/>
      </c>
      <c r="Z1570">
        <f>IF(AND($A1570&lt;&gt;"",$B1570&lt;&gt;"",$R1570='تقرير ديسمبر'!$C$4,$P1570='تقرير ديسمبر'!$C$6),COUNT(Z$4:Z1569)+1,"")</f>
        <v/>
      </c>
      <c r="AA1570">
        <f>IF(AND($A1570&lt;&gt;"",$B1570&lt;&gt;"",$R1570='تقرير يناير'!$C$4,$P1570='تقرير يناير'!$C$6),COUNT(AA$4:AA1569)+1,"")</f>
        <v/>
      </c>
      <c r="AB1570">
        <f>IF(AND($A1570&lt;&gt;"",$B1570&lt;&gt;"",$R1570='تقرير فبراير'!$C$4,$P1570='تقرير فبراير'!$C$6),COUNT(AB$4:AB1569)+1,"")</f>
        <v/>
      </c>
      <c r="AC1570">
        <f>IF(AND($A1570&lt;&gt;"",$B1570&lt;&gt;"",$R1570='تقرير مارس'!$C$4,$P1570='تقرير مارس'!$C$6),COUNT(AC$4:AC1569)+1,"")</f>
        <v/>
      </c>
      <c r="AD1570">
        <f>IF(AND($A1570&lt;&gt;"",$B1570&lt;&gt;"",$R1570='تقرير أبريل'!$C$4,$P1570='تقرير أبريل'!$C$6),COUNT(AD$4:AD1569)+1,"")</f>
        <v/>
      </c>
      <c r="AE1570">
        <f>IF(AND($A1570&lt;&gt;"",$B1570&lt;&gt;"",$R1570='تقرير مايو'!$C$4,$P1570='تقرير مايو'!$C$6),COUNT(AE$4:AE1569)+1,"")</f>
        <v/>
      </c>
    </row>
    <row r="1571">
      <c r="A1571" s="16" t="n"/>
      <c r="B1571" s="17" t="n"/>
      <c r="C1571" s="17" t="n"/>
      <c r="D1571" s="18" t="n"/>
      <c r="E1571" s="17" t="n"/>
      <c r="F1571" s="17" t="n"/>
      <c r="G1571" s="19" t="n"/>
      <c r="H1571" s="17" t="n"/>
      <c r="I1571" s="17" t="n"/>
      <c r="J1571" s="17" t="n"/>
      <c r="K1571" s="20">
        <f>IF($B1571="","",IFERROR(INDEX(الموظفات!$A$5:$A$304,MATCH($B1571,الموظفات!$B$5:$B$304,0))&amp;"",""))</f>
        <v/>
      </c>
      <c r="L1571" s="21">
        <f>IF($B1571="","",IFERROR(INDEX(الموظفات!$C$5:$C$304,MATCH($B1571,الموظفات!$B$5:$B$304,0))&amp;"",""))</f>
        <v/>
      </c>
      <c r="M1571" s="20">
        <f>IF($B1571="","",IFERROR(INDEX(الموظفات!$D$5:$D$304,MATCH($B1571,الموظفات!$B$5:$B$304,0))&amp;"",""))</f>
        <v/>
      </c>
      <c r="N1571" s="20">
        <f>IF($B1571="","",IFERROR(INDEX(الموظفات!$E$5:$E$304,MATCH($B1571,الموظفات!$B$5:$B$304,0))&amp;"",""))</f>
        <v/>
      </c>
      <c r="O1571" s="21">
        <f>IF(C1571="","",IFERROR(INDEX(الإعدادات!$D$7:$D$35,MATCH(C1571,الإعدادات!$A$7:$A$35,0))&amp;"",""))</f>
        <v/>
      </c>
      <c r="P1571" s="20">
        <f>IF(A1571="","",INDEX(الإعدادات!$H$7:$H$18,MONTH(A1571)))</f>
        <v/>
      </c>
      <c r="Q1571" s="20">
        <f>IF(A1571="","",INDEX(الإعدادات!$I$7:$I$18,MONTH(A1571)))</f>
        <v/>
      </c>
      <c r="R1571" s="20">
        <f>IF(A1571="","",IF(MONTH(A1571)&gt;=8,YEAR(A1571)&amp;"-"&amp;(YEAR(A1571)+1),(YEAR(A1571)-1)&amp;"-"&amp;YEAR(A1571)))</f>
        <v/>
      </c>
      <c r="S1571" s="20">
        <f>IF(OR(A1571="",B1571=""),0,IF(AND(R1571=التقارير!$C$4,OR(التقارير!$C$5="سنوي",AND(التقارير!$C$5="شهري",P1571=التقارير!$C$6),AND(التقارير!$C$5="فصلي",Q1571=التقارير!$C$7))),1,0))</f>
        <v/>
      </c>
      <c r="T1571" s="20">
        <f>IF(S1571=1,COUNTIF($S$5:S1571,1),"")</f>
        <v/>
      </c>
      <c r="U1571">
        <f>IF(AND($A1571&lt;&gt;"",$B1571&lt;&gt;"",$R1571='تقرير الفصل الأول'!$C$4,$Q1571='تقرير الفصل الأول'!$C$7),COUNT(U$4:U1570)+1,"")</f>
        <v/>
      </c>
      <c r="V1571">
        <f>IF(AND($A1571&lt;&gt;"",$B1571&lt;&gt;"",$R1571='تقرير الفصل الثاني'!$C$4,$Q1571='تقرير الفصل الثاني'!$C$7),COUNT(V$4:V1570)+1,"")</f>
        <v/>
      </c>
      <c r="W1571">
        <f>IF(AND($A1571&lt;&gt;"",$B1571&lt;&gt;"",$R1571='تقرير سبتمبر'!$C$4,$P1571='تقرير سبتمبر'!$C$6),COUNT(W$4:W1570)+1,"")</f>
        <v/>
      </c>
      <c r="X1571">
        <f>IF(AND($A1571&lt;&gt;"",$B1571&lt;&gt;"",$R1571='تقرير أكتوبر'!$C$4,$P1571='تقرير أكتوبر'!$C$6),COUNT(X$4:X1570)+1,"")</f>
        <v/>
      </c>
      <c r="Y1571">
        <f>IF(AND($A1571&lt;&gt;"",$B1571&lt;&gt;"",$R1571='تقرير نوفمبر'!$C$4,$P1571='تقرير نوفمبر'!$C$6),COUNT(Y$4:Y1570)+1,"")</f>
        <v/>
      </c>
      <c r="Z1571">
        <f>IF(AND($A1571&lt;&gt;"",$B1571&lt;&gt;"",$R1571='تقرير ديسمبر'!$C$4,$P1571='تقرير ديسمبر'!$C$6),COUNT(Z$4:Z1570)+1,"")</f>
        <v/>
      </c>
      <c r="AA1571">
        <f>IF(AND($A1571&lt;&gt;"",$B1571&lt;&gt;"",$R1571='تقرير يناير'!$C$4,$P1571='تقرير يناير'!$C$6),COUNT(AA$4:AA1570)+1,"")</f>
        <v/>
      </c>
      <c r="AB1571">
        <f>IF(AND($A1571&lt;&gt;"",$B1571&lt;&gt;"",$R1571='تقرير فبراير'!$C$4,$P1571='تقرير فبراير'!$C$6),COUNT(AB$4:AB1570)+1,"")</f>
        <v/>
      </c>
      <c r="AC1571">
        <f>IF(AND($A1571&lt;&gt;"",$B1571&lt;&gt;"",$R1571='تقرير مارس'!$C$4,$P1571='تقرير مارس'!$C$6),COUNT(AC$4:AC1570)+1,"")</f>
        <v/>
      </c>
      <c r="AD1571">
        <f>IF(AND($A1571&lt;&gt;"",$B1571&lt;&gt;"",$R1571='تقرير أبريل'!$C$4,$P1571='تقرير أبريل'!$C$6),COUNT(AD$4:AD1570)+1,"")</f>
        <v/>
      </c>
      <c r="AE1571">
        <f>IF(AND($A1571&lt;&gt;"",$B1571&lt;&gt;"",$R1571='تقرير مايو'!$C$4,$P1571='تقرير مايو'!$C$6),COUNT(AE$4:AE1570)+1,"")</f>
        <v/>
      </c>
    </row>
    <row r="1572">
      <c r="A1572" s="16" t="n"/>
      <c r="B1572" s="17" t="n"/>
      <c r="C1572" s="17" t="n"/>
      <c r="D1572" s="18" t="n"/>
      <c r="E1572" s="17" t="n"/>
      <c r="F1572" s="17" t="n"/>
      <c r="G1572" s="19" t="n"/>
      <c r="H1572" s="17" t="n"/>
      <c r="I1572" s="17" t="n"/>
      <c r="J1572" s="17" t="n"/>
      <c r="K1572" s="20">
        <f>IF($B1572="","",IFERROR(INDEX(الموظفات!$A$5:$A$304,MATCH($B1572,الموظفات!$B$5:$B$304,0))&amp;"",""))</f>
        <v/>
      </c>
      <c r="L1572" s="21">
        <f>IF($B1572="","",IFERROR(INDEX(الموظفات!$C$5:$C$304,MATCH($B1572,الموظفات!$B$5:$B$304,0))&amp;"",""))</f>
        <v/>
      </c>
      <c r="M1572" s="20">
        <f>IF($B1572="","",IFERROR(INDEX(الموظفات!$D$5:$D$304,MATCH($B1572,الموظفات!$B$5:$B$304,0))&amp;"",""))</f>
        <v/>
      </c>
      <c r="N1572" s="20">
        <f>IF($B1572="","",IFERROR(INDEX(الموظفات!$E$5:$E$304,MATCH($B1572,الموظفات!$B$5:$B$304,0))&amp;"",""))</f>
        <v/>
      </c>
      <c r="O1572" s="21">
        <f>IF(C1572="","",IFERROR(INDEX(الإعدادات!$D$7:$D$35,MATCH(C1572,الإعدادات!$A$7:$A$35,0))&amp;"",""))</f>
        <v/>
      </c>
      <c r="P1572" s="20">
        <f>IF(A1572="","",INDEX(الإعدادات!$H$7:$H$18,MONTH(A1572)))</f>
        <v/>
      </c>
      <c r="Q1572" s="20">
        <f>IF(A1572="","",INDEX(الإعدادات!$I$7:$I$18,MONTH(A1572)))</f>
        <v/>
      </c>
      <c r="R1572" s="20">
        <f>IF(A1572="","",IF(MONTH(A1572)&gt;=8,YEAR(A1572)&amp;"-"&amp;(YEAR(A1572)+1),(YEAR(A1572)-1)&amp;"-"&amp;YEAR(A1572)))</f>
        <v/>
      </c>
      <c r="S1572" s="20">
        <f>IF(OR(A1572="",B1572=""),0,IF(AND(R1572=التقارير!$C$4,OR(التقارير!$C$5="سنوي",AND(التقارير!$C$5="شهري",P1572=التقارير!$C$6),AND(التقارير!$C$5="فصلي",Q1572=التقارير!$C$7))),1,0))</f>
        <v/>
      </c>
      <c r="T1572" s="20">
        <f>IF(S1572=1,COUNTIF($S$5:S1572,1),"")</f>
        <v/>
      </c>
      <c r="U1572">
        <f>IF(AND($A1572&lt;&gt;"",$B1572&lt;&gt;"",$R1572='تقرير الفصل الأول'!$C$4,$Q1572='تقرير الفصل الأول'!$C$7),COUNT(U$4:U1571)+1,"")</f>
        <v/>
      </c>
      <c r="V1572">
        <f>IF(AND($A1572&lt;&gt;"",$B1572&lt;&gt;"",$R1572='تقرير الفصل الثاني'!$C$4,$Q1572='تقرير الفصل الثاني'!$C$7),COUNT(V$4:V1571)+1,"")</f>
        <v/>
      </c>
      <c r="W1572">
        <f>IF(AND($A1572&lt;&gt;"",$B1572&lt;&gt;"",$R1572='تقرير سبتمبر'!$C$4,$P1572='تقرير سبتمبر'!$C$6),COUNT(W$4:W1571)+1,"")</f>
        <v/>
      </c>
      <c r="X1572">
        <f>IF(AND($A1572&lt;&gt;"",$B1572&lt;&gt;"",$R1572='تقرير أكتوبر'!$C$4,$P1572='تقرير أكتوبر'!$C$6),COUNT(X$4:X1571)+1,"")</f>
        <v/>
      </c>
      <c r="Y1572">
        <f>IF(AND($A1572&lt;&gt;"",$B1572&lt;&gt;"",$R1572='تقرير نوفمبر'!$C$4,$P1572='تقرير نوفمبر'!$C$6),COUNT(Y$4:Y1571)+1,"")</f>
        <v/>
      </c>
      <c r="Z1572">
        <f>IF(AND($A1572&lt;&gt;"",$B1572&lt;&gt;"",$R1572='تقرير ديسمبر'!$C$4,$P1572='تقرير ديسمبر'!$C$6),COUNT(Z$4:Z1571)+1,"")</f>
        <v/>
      </c>
      <c r="AA1572">
        <f>IF(AND($A1572&lt;&gt;"",$B1572&lt;&gt;"",$R1572='تقرير يناير'!$C$4,$P1572='تقرير يناير'!$C$6),COUNT(AA$4:AA1571)+1,"")</f>
        <v/>
      </c>
      <c r="AB1572">
        <f>IF(AND($A1572&lt;&gt;"",$B1572&lt;&gt;"",$R1572='تقرير فبراير'!$C$4,$P1572='تقرير فبراير'!$C$6),COUNT(AB$4:AB1571)+1,"")</f>
        <v/>
      </c>
      <c r="AC1572">
        <f>IF(AND($A1572&lt;&gt;"",$B1572&lt;&gt;"",$R1572='تقرير مارس'!$C$4,$P1572='تقرير مارس'!$C$6),COUNT(AC$4:AC1571)+1,"")</f>
        <v/>
      </c>
      <c r="AD1572">
        <f>IF(AND($A1572&lt;&gt;"",$B1572&lt;&gt;"",$R1572='تقرير أبريل'!$C$4,$P1572='تقرير أبريل'!$C$6),COUNT(AD$4:AD1571)+1,"")</f>
        <v/>
      </c>
      <c r="AE1572">
        <f>IF(AND($A1572&lt;&gt;"",$B1572&lt;&gt;"",$R1572='تقرير مايو'!$C$4,$P1572='تقرير مايو'!$C$6),COUNT(AE$4:AE1571)+1,"")</f>
        <v/>
      </c>
    </row>
    <row r="1573">
      <c r="A1573" s="16" t="n"/>
      <c r="B1573" s="17" t="n"/>
      <c r="C1573" s="17" t="n"/>
      <c r="D1573" s="18" t="n"/>
      <c r="E1573" s="17" t="n"/>
      <c r="F1573" s="17" t="n"/>
      <c r="G1573" s="19" t="n"/>
      <c r="H1573" s="17" t="n"/>
      <c r="I1573" s="17" t="n"/>
      <c r="J1573" s="17" t="n"/>
      <c r="K1573" s="20">
        <f>IF($B1573="","",IFERROR(INDEX(الموظفات!$A$5:$A$304,MATCH($B1573,الموظفات!$B$5:$B$304,0))&amp;"",""))</f>
        <v/>
      </c>
      <c r="L1573" s="21">
        <f>IF($B1573="","",IFERROR(INDEX(الموظفات!$C$5:$C$304,MATCH($B1573,الموظفات!$B$5:$B$304,0))&amp;"",""))</f>
        <v/>
      </c>
      <c r="M1573" s="20">
        <f>IF($B1573="","",IFERROR(INDEX(الموظفات!$D$5:$D$304,MATCH($B1573,الموظفات!$B$5:$B$304,0))&amp;"",""))</f>
        <v/>
      </c>
      <c r="N1573" s="20">
        <f>IF($B1573="","",IFERROR(INDEX(الموظفات!$E$5:$E$304,MATCH($B1573,الموظفات!$B$5:$B$304,0))&amp;"",""))</f>
        <v/>
      </c>
      <c r="O1573" s="21">
        <f>IF(C1573="","",IFERROR(INDEX(الإعدادات!$D$7:$D$35,MATCH(C1573,الإعدادات!$A$7:$A$35,0))&amp;"",""))</f>
        <v/>
      </c>
      <c r="P1573" s="20">
        <f>IF(A1573="","",INDEX(الإعدادات!$H$7:$H$18,MONTH(A1573)))</f>
        <v/>
      </c>
      <c r="Q1573" s="20">
        <f>IF(A1573="","",INDEX(الإعدادات!$I$7:$I$18,MONTH(A1573)))</f>
        <v/>
      </c>
      <c r="R1573" s="20">
        <f>IF(A1573="","",IF(MONTH(A1573)&gt;=8,YEAR(A1573)&amp;"-"&amp;(YEAR(A1573)+1),(YEAR(A1573)-1)&amp;"-"&amp;YEAR(A1573)))</f>
        <v/>
      </c>
      <c r="S1573" s="20">
        <f>IF(OR(A1573="",B1573=""),0,IF(AND(R1573=التقارير!$C$4,OR(التقارير!$C$5="سنوي",AND(التقارير!$C$5="شهري",P1573=التقارير!$C$6),AND(التقارير!$C$5="فصلي",Q1573=التقارير!$C$7))),1,0))</f>
        <v/>
      </c>
      <c r="T1573" s="20">
        <f>IF(S1573=1,COUNTIF($S$5:S1573,1),"")</f>
        <v/>
      </c>
      <c r="U1573">
        <f>IF(AND($A1573&lt;&gt;"",$B1573&lt;&gt;"",$R1573='تقرير الفصل الأول'!$C$4,$Q1573='تقرير الفصل الأول'!$C$7),COUNT(U$4:U1572)+1,"")</f>
        <v/>
      </c>
      <c r="V1573">
        <f>IF(AND($A1573&lt;&gt;"",$B1573&lt;&gt;"",$R1573='تقرير الفصل الثاني'!$C$4,$Q1573='تقرير الفصل الثاني'!$C$7),COUNT(V$4:V1572)+1,"")</f>
        <v/>
      </c>
      <c r="W1573">
        <f>IF(AND($A1573&lt;&gt;"",$B1573&lt;&gt;"",$R1573='تقرير سبتمبر'!$C$4,$P1573='تقرير سبتمبر'!$C$6),COUNT(W$4:W1572)+1,"")</f>
        <v/>
      </c>
      <c r="X1573">
        <f>IF(AND($A1573&lt;&gt;"",$B1573&lt;&gt;"",$R1573='تقرير أكتوبر'!$C$4,$P1573='تقرير أكتوبر'!$C$6),COUNT(X$4:X1572)+1,"")</f>
        <v/>
      </c>
      <c r="Y1573">
        <f>IF(AND($A1573&lt;&gt;"",$B1573&lt;&gt;"",$R1573='تقرير نوفمبر'!$C$4,$P1573='تقرير نوفمبر'!$C$6),COUNT(Y$4:Y1572)+1,"")</f>
        <v/>
      </c>
      <c r="Z1573">
        <f>IF(AND($A1573&lt;&gt;"",$B1573&lt;&gt;"",$R1573='تقرير ديسمبر'!$C$4,$P1573='تقرير ديسمبر'!$C$6),COUNT(Z$4:Z1572)+1,"")</f>
        <v/>
      </c>
      <c r="AA1573">
        <f>IF(AND($A1573&lt;&gt;"",$B1573&lt;&gt;"",$R1573='تقرير يناير'!$C$4,$P1573='تقرير يناير'!$C$6),COUNT(AA$4:AA1572)+1,"")</f>
        <v/>
      </c>
      <c r="AB1573">
        <f>IF(AND($A1573&lt;&gt;"",$B1573&lt;&gt;"",$R1573='تقرير فبراير'!$C$4,$P1573='تقرير فبراير'!$C$6),COUNT(AB$4:AB1572)+1,"")</f>
        <v/>
      </c>
      <c r="AC1573">
        <f>IF(AND($A1573&lt;&gt;"",$B1573&lt;&gt;"",$R1573='تقرير مارس'!$C$4,$P1573='تقرير مارس'!$C$6),COUNT(AC$4:AC1572)+1,"")</f>
        <v/>
      </c>
      <c r="AD1573">
        <f>IF(AND($A1573&lt;&gt;"",$B1573&lt;&gt;"",$R1573='تقرير أبريل'!$C$4,$P1573='تقرير أبريل'!$C$6),COUNT(AD$4:AD1572)+1,"")</f>
        <v/>
      </c>
      <c r="AE1573">
        <f>IF(AND($A1573&lt;&gt;"",$B1573&lt;&gt;"",$R1573='تقرير مايو'!$C$4,$P1573='تقرير مايو'!$C$6),COUNT(AE$4:AE1572)+1,"")</f>
        <v/>
      </c>
    </row>
    <row r="1574">
      <c r="A1574" s="16" t="n"/>
      <c r="B1574" s="17" t="n"/>
      <c r="C1574" s="17" t="n"/>
      <c r="D1574" s="18" t="n"/>
      <c r="E1574" s="17" t="n"/>
      <c r="F1574" s="17" t="n"/>
      <c r="G1574" s="19" t="n"/>
      <c r="H1574" s="17" t="n"/>
      <c r="I1574" s="17" t="n"/>
      <c r="J1574" s="17" t="n"/>
      <c r="K1574" s="20">
        <f>IF($B1574="","",IFERROR(INDEX(الموظفات!$A$5:$A$304,MATCH($B1574,الموظفات!$B$5:$B$304,0))&amp;"",""))</f>
        <v/>
      </c>
      <c r="L1574" s="21">
        <f>IF($B1574="","",IFERROR(INDEX(الموظفات!$C$5:$C$304,MATCH($B1574,الموظفات!$B$5:$B$304,0))&amp;"",""))</f>
        <v/>
      </c>
      <c r="M1574" s="20">
        <f>IF($B1574="","",IFERROR(INDEX(الموظفات!$D$5:$D$304,MATCH($B1574,الموظفات!$B$5:$B$304,0))&amp;"",""))</f>
        <v/>
      </c>
      <c r="N1574" s="20">
        <f>IF($B1574="","",IFERROR(INDEX(الموظفات!$E$5:$E$304,MATCH($B1574,الموظفات!$B$5:$B$304,0))&amp;"",""))</f>
        <v/>
      </c>
      <c r="O1574" s="21">
        <f>IF(C1574="","",IFERROR(INDEX(الإعدادات!$D$7:$D$35,MATCH(C1574,الإعدادات!$A$7:$A$35,0))&amp;"",""))</f>
        <v/>
      </c>
      <c r="P1574" s="20">
        <f>IF(A1574="","",INDEX(الإعدادات!$H$7:$H$18,MONTH(A1574)))</f>
        <v/>
      </c>
      <c r="Q1574" s="20">
        <f>IF(A1574="","",INDEX(الإعدادات!$I$7:$I$18,MONTH(A1574)))</f>
        <v/>
      </c>
      <c r="R1574" s="20">
        <f>IF(A1574="","",IF(MONTH(A1574)&gt;=8,YEAR(A1574)&amp;"-"&amp;(YEAR(A1574)+1),(YEAR(A1574)-1)&amp;"-"&amp;YEAR(A1574)))</f>
        <v/>
      </c>
      <c r="S1574" s="20">
        <f>IF(OR(A1574="",B1574=""),0,IF(AND(R1574=التقارير!$C$4,OR(التقارير!$C$5="سنوي",AND(التقارير!$C$5="شهري",P1574=التقارير!$C$6),AND(التقارير!$C$5="فصلي",Q1574=التقارير!$C$7))),1,0))</f>
        <v/>
      </c>
      <c r="T1574" s="20">
        <f>IF(S1574=1,COUNTIF($S$5:S1574,1),"")</f>
        <v/>
      </c>
      <c r="U1574">
        <f>IF(AND($A1574&lt;&gt;"",$B1574&lt;&gt;"",$R1574='تقرير الفصل الأول'!$C$4,$Q1574='تقرير الفصل الأول'!$C$7),COUNT(U$4:U1573)+1,"")</f>
        <v/>
      </c>
      <c r="V1574">
        <f>IF(AND($A1574&lt;&gt;"",$B1574&lt;&gt;"",$R1574='تقرير الفصل الثاني'!$C$4,$Q1574='تقرير الفصل الثاني'!$C$7),COUNT(V$4:V1573)+1,"")</f>
        <v/>
      </c>
      <c r="W1574">
        <f>IF(AND($A1574&lt;&gt;"",$B1574&lt;&gt;"",$R1574='تقرير سبتمبر'!$C$4,$P1574='تقرير سبتمبر'!$C$6),COUNT(W$4:W1573)+1,"")</f>
        <v/>
      </c>
      <c r="X1574">
        <f>IF(AND($A1574&lt;&gt;"",$B1574&lt;&gt;"",$R1574='تقرير أكتوبر'!$C$4,$P1574='تقرير أكتوبر'!$C$6),COUNT(X$4:X1573)+1,"")</f>
        <v/>
      </c>
      <c r="Y1574">
        <f>IF(AND($A1574&lt;&gt;"",$B1574&lt;&gt;"",$R1574='تقرير نوفمبر'!$C$4,$P1574='تقرير نوفمبر'!$C$6),COUNT(Y$4:Y1573)+1,"")</f>
        <v/>
      </c>
      <c r="Z1574">
        <f>IF(AND($A1574&lt;&gt;"",$B1574&lt;&gt;"",$R1574='تقرير ديسمبر'!$C$4,$P1574='تقرير ديسمبر'!$C$6),COUNT(Z$4:Z1573)+1,"")</f>
        <v/>
      </c>
      <c r="AA1574">
        <f>IF(AND($A1574&lt;&gt;"",$B1574&lt;&gt;"",$R1574='تقرير يناير'!$C$4,$P1574='تقرير يناير'!$C$6),COUNT(AA$4:AA1573)+1,"")</f>
        <v/>
      </c>
      <c r="AB1574">
        <f>IF(AND($A1574&lt;&gt;"",$B1574&lt;&gt;"",$R1574='تقرير فبراير'!$C$4,$P1574='تقرير فبراير'!$C$6),COUNT(AB$4:AB1573)+1,"")</f>
        <v/>
      </c>
      <c r="AC1574">
        <f>IF(AND($A1574&lt;&gt;"",$B1574&lt;&gt;"",$R1574='تقرير مارس'!$C$4,$P1574='تقرير مارس'!$C$6),COUNT(AC$4:AC1573)+1,"")</f>
        <v/>
      </c>
      <c r="AD1574">
        <f>IF(AND($A1574&lt;&gt;"",$B1574&lt;&gt;"",$R1574='تقرير أبريل'!$C$4,$P1574='تقرير أبريل'!$C$6),COUNT(AD$4:AD1573)+1,"")</f>
        <v/>
      </c>
      <c r="AE1574">
        <f>IF(AND($A1574&lt;&gt;"",$B1574&lt;&gt;"",$R1574='تقرير مايو'!$C$4,$P1574='تقرير مايو'!$C$6),COUNT(AE$4:AE1573)+1,"")</f>
        <v/>
      </c>
    </row>
    <row r="1575">
      <c r="A1575" s="16" t="n"/>
      <c r="B1575" s="17" t="n"/>
      <c r="C1575" s="17" t="n"/>
      <c r="D1575" s="18" t="n"/>
      <c r="E1575" s="17" t="n"/>
      <c r="F1575" s="17" t="n"/>
      <c r="G1575" s="19" t="n"/>
      <c r="H1575" s="17" t="n"/>
      <c r="I1575" s="17" t="n"/>
      <c r="J1575" s="17" t="n"/>
      <c r="K1575" s="20">
        <f>IF($B1575="","",IFERROR(INDEX(الموظفات!$A$5:$A$304,MATCH($B1575,الموظفات!$B$5:$B$304,0))&amp;"",""))</f>
        <v/>
      </c>
      <c r="L1575" s="21">
        <f>IF($B1575="","",IFERROR(INDEX(الموظفات!$C$5:$C$304,MATCH($B1575,الموظفات!$B$5:$B$304,0))&amp;"",""))</f>
        <v/>
      </c>
      <c r="M1575" s="20">
        <f>IF($B1575="","",IFERROR(INDEX(الموظفات!$D$5:$D$304,MATCH($B1575,الموظفات!$B$5:$B$304,0))&amp;"",""))</f>
        <v/>
      </c>
      <c r="N1575" s="20">
        <f>IF($B1575="","",IFERROR(INDEX(الموظفات!$E$5:$E$304,MATCH($B1575,الموظفات!$B$5:$B$304,0))&amp;"",""))</f>
        <v/>
      </c>
      <c r="O1575" s="21">
        <f>IF(C1575="","",IFERROR(INDEX(الإعدادات!$D$7:$D$35,MATCH(C1575,الإعدادات!$A$7:$A$35,0))&amp;"",""))</f>
        <v/>
      </c>
      <c r="P1575" s="20">
        <f>IF(A1575="","",INDEX(الإعدادات!$H$7:$H$18,MONTH(A1575)))</f>
        <v/>
      </c>
      <c r="Q1575" s="20">
        <f>IF(A1575="","",INDEX(الإعدادات!$I$7:$I$18,MONTH(A1575)))</f>
        <v/>
      </c>
      <c r="R1575" s="20">
        <f>IF(A1575="","",IF(MONTH(A1575)&gt;=8,YEAR(A1575)&amp;"-"&amp;(YEAR(A1575)+1),(YEAR(A1575)-1)&amp;"-"&amp;YEAR(A1575)))</f>
        <v/>
      </c>
      <c r="S1575" s="20">
        <f>IF(OR(A1575="",B1575=""),0,IF(AND(R1575=التقارير!$C$4,OR(التقارير!$C$5="سنوي",AND(التقارير!$C$5="شهري",P1575=التقارير!$C$6),AND(التقارير!$C$5="فصلي",Q1575=التقارير!$C$7))),1,0))</f>
        <v/>
      </c>
      <c r="T1575" s="20">
        <f>IF(S1575=1,COUNTIF($S$5:S1575,1),"")</f>
        <v/>
      </c>
      <c r="U1575">
        <f>IF(AND($A1575&lt;&gt;"",$B1575&lt;&gt;"",$R1575='تقرير الفصل الأول'!$C$4,$Q1575='تقرير الفصل الأول'!$C$7),COUNT(U$4:U1574)+1,"")</f>
        <v/>
      </c>
      <c r="V1575">
        <f>IF(AND($A1575&lt;&gt;"",$B1575&lt;&gt;"",$R1575='تقرير الفصل الثاني'!$C$4,$Q1575='تقرير الفصل الثاني'!$C$7),COUNT(V$4:V1574)+1,"")</f>
        <v/>
      </c>
      <c r="W1575">
        <f>IF(AND($A1575&lt;&gt;"",$B1575&lt;&gt;"",$R1575='تقرير سبتمبر'!$C$4,$P1575='تقرير سبتمبر'!$C$6),COUNT(W$4:W1574)+1,"")</f>
        <v/>
      </c>
      <c r="X1575">
        <f>IF(AND($A1575&lt;&gt;"",$B1575&lt;&gt;"",$R1575='تقرير أكتوبر'!$C$4,$P1575='تقرير أكتوبر'!$C$6),COUNT(X$4:X1574)+1,"")</f>
        <v/>
      </c>
      <c r="Y1575">
        <f>IF(AND($A1575&lt;&gt;"",$B1575&lt;&gt;"",$R1575='تقرير نوفمبر'!$C$4,$P1575='تقرير نوفمبر'!$C$6),COUNT(Y$4:Y1574)+1,"")</f>
        <v/>
      </c>
      <c r="Z1575">
        <f>IF(AND($A1575&lt;&gt;"",$B1575&lt;&gt;"",$R1575='تقرير ديسمبر'!$C$4,$P1575='تقرير ديسمبر'!$C$6),COUNT(Z$4:Z1574)+1,"")</f>
        <v/>
      </c>
      <c r="AA1575">
        <f>IF(AND($A1575&lt;&gt;"",$B1575&lt;&gt;"",$R1575='تقرير يناير'!$C$4,$P1575='تقرير يناير'!$C$6),COUNT(AA$4:AA1574)+1,"")</f>
        <v/>
      </c>
      <c r="AB1575">
        <f>IF(AND($A1575&lt;&gt;"",$B1575&lt;&gt;"",$R1575='تقرير فبراير'!$C$4,$P1575='تقرير فبراير'!$C$6),COUNT(AB$4:AB1574)+1,"")</f>
        <v/>
      </c>
      <c r="AC1575">
        <f>IF(AND($A1575&lt;&gt;"",$B1575&lt;&gt;"",$R1575='تقرير مارس'!$C$4,$P1575='تقرير مارس'!$C$6),COUNT(AC$4:AC1574)+1,"")</f>
        <v/>
      </c>
      <c r="AD1575">
        <f>IF(AND($A1575&lt;&gt;"",$B1575&lt;&gt;"",$R1575='تقرير أبريل'!$C$4,$P1575='تقرير أبريل'!$C$6),COUNT(AD$4:AD1574)+1,"")</f>
        <v/>
      </c>
      <c r="AE1575">
        <f>IF(AND($A1575&lt;&gt;"",$B1575&lt;&gt;"",$R1575='تقرير مايو'!$C$4,$P1575='تقرير مايو'!$C$6),COUNT(AE$4:AE1574)+1,"")</f>
        <v/>
      </c>
    </row>
    <row r="1576">
      <c r="A1576" s="16" t="n"/>
      <c r="B1576" s="17" t="n"/>
      <c r="C1576" s="17" t="n"/>
      <c r="D1576" s="18" t="n"/>
      <c r="E1576" s="17" t="n"/>
      <c r="F1576" s="17" t="n"/>
      <c r="G1576" s="19" t="n"/>
      <c r="H1576" s="17" t="n"/>
      <c r="I1576" s="17" t="n"/>
      <c r="J1576" s="17" t="n"/>
      <c r="K1576" s="20">
        <f>IF($B1576="","",IFERROR(INDEX(الموظفات!$A$5:$A$304,MATCH($B1576,الموظفات!$B$5:$B$304,0))&amp;"",""))</f>
        <v/>
      </c>
      <c r="L1576" s="21">
        <f>IF($B1576="","",IFERROR(INDEX(الموظفات!$C$5:$C$304,MATCH($B1576,الموظفات!$B$5:$B$304,0))&amp;"",""))</f>
        <v/>
      </c>
      <c r="M1576" s="20">
        <f>IF($B1576="","",IFERROR(INDEX(الموظفات!$D$5:$D$304,MATCH($B1576,الموظفات!$B$5:$B$304,0))&amp;"",""))</f>
        <v/>
      </c>
      <c r="N1576" s="20">
        <f>IF($B1576="","",IFERROR(INDEX(الموظفات!$E$5:$E$304,MATCH($B1576,الموظفات!$B$5:$B$304,0))&amp;"",""))</f>
        <v/>
      </c>
      <c r="O1576" s="21">
        <f>IF(C1576="","",IFERROR(INDEX(الإعدادات!$D$7:$D$35,MATCH(C1576,الإعدادات!$A$7:$A$35,0))&amp;"",""))</f>
        <v/>
      </c>
      <c r="P1576" s="20">
        <f>IF(A1576="","",INDEX(الإعدادات!$H$7:$H$18,MONTH(A1576)))</f>
        <v/>
      </c>
      <c r="Q1576" s="20">
        <f>IF(A1576="","",INDEX(الإعدادات!$I$7:$I$18,MONTH(A1576)))</f>
        <v/>
      </c>
      <c r="R1576" s="20">
        <f>IF(A1576="","",IF(MONTH(A1576)&gt;=8,YEAR(A1576)&amp;"-"&amp;(YEAR(A1576)+1),(YEAR(A1576)-1)&amp;"-"&amp;YEAR(A1576)))</f>
        <v/>
      </c>
      <c r="S1576" s="20">
        <f>IF(OR(A1576="",B1576=""),0,IF(AND(R1576=التقارير!$C$4,OR(التقارير!$C$5="سنوي",AND(التقارير!$C$5="شهري",P1576=التقارير!$C$6),AND(التقارير!$C$5="فصلي",Q1576=التقارير!$C$7))),1,0))</f>
        <v/>
      </c>
      <c r="T1576" s="20">
        <f>IF(S1576=1,COUNTIF($S$5:S1576,1),"")</f>
        <v/>
      </c>
      <c r="U1576">
        <f>IF(AND($A1576&lt;&gt;"",$B1576&lt;&gt;"",$R1576='تقرير الفصل الأول'!$C$4,$Q1576='تقرير الفصل الأول'!$C$7),COUNT(U$4:U1575)+1,"")</f>
        <v/>
      </c>
      <c r="V1576">
        <f>IF(AND($A1576&lt;&gt;"",$B1576&lt;&gt;"",$R1576='تقرير الفصل الثاني'!$C$4,$Q1576='تقرير الفصل الثاني'!$C$7),COUNT(V$4:V1575)+1,"")</f>
        <v/>
      </c>
      <c r="W1576">
        <f>IF(AND($A1576&lt;&gt;"",$B1576&lt;&gt;"",$R1576='تقرير سبتمبر'!$C$4,$P1576='تقرير سبتمبر'!$C$6),COUNT(W$4:W1575)+1,"")</f>
        <v/>
      </c>
      <c r="X1576">
        <f>IF(AND($A1576&lt;&gt;"",$B1576&lt;&gt;"",$R1576='تقرير أكتوبر'!$C$4,$P1576='تقرير أكتوبر'!$C$6),COUNT(X$4:X1575)+1,"")</f>
        <v/>
      </c>
      <c r="Y1576">
        <f>IF(AND($A1576&lt;&gt;"",$B1576&lt;&gt;"",$R1576='تقرير نوفمبر'!$C$4,$P1576='تقرير نوفمبر'!$C$6),COUNT(Y$4:Y1575)+1,"")</f>
        <v/>
      </c>
      <c r="Z1576">
        <f>IF(AND($A1576&lt;&gt;"",$B1576&lt;&gt;"",$R1576='تقرير ديسمبر'!$C$4,$P1576='تقرير ديسمبر'!$C$6),COUNT(Z$4:Z1575)+1,"")</f>
        <v/>
      </c>
      <c r="AA1576">
        <f>IF(AND($A1576&lt;&gt;"",$B1576&lt;&gt;"",$R1576='تقرير يناير'!$C$4,$P1576='تقرير يناير'!$C$6),COUNT(AA$4:AA1575)+1,"")</f>
        <v/>
      </c>
      <c r="AB1576">
        <f>IF(AND($A1576&lt;&gt;"",$B1576&lt;&gt;"",$R1576='تقرير فبراير'!$C$4,$P1576='تقرير فبراير'!$C$6),COUNT(AB$4:AB1575)+1,"")</f>
        <v/>
      </c>
      <c r="AC1576">
        <f>IF(AND($A1576&lt;&gt;"",$B1576&lt;&gt;"",$R1576='تقرير مارس'!$C$4,$P1576='تقرير مارس'!$C$6),COUNT(AC$4:AC1575)+1,"")</f>
        <v/>
      </c>
      <c r="AD1576">
        <f>IF(AND($A1576&lt;&gt;"",$B1576&lt;&gt;"",$R1576='تقرير أبريل'!$C$4,$P1576='تقرير أبريل'!$C$6),COUNT(AD$4:AD1575)+1,"")</f>
        <v/>
      </c>
      <c r="AE1576">
        <f>IF(AND($A1576&lt;&gt;"",$B1576&lt;&gt;"",$R1576='تقرير مايو'!$C$4,$P1576='تقرير مايو'!$C$6),COUNT(AE$4:AE1575)+1,"")</f>
        <v/>
      </c>
    </row>
    <row r="1577">
      <c r="A1577" s="16" t="n"/>
      <c r="B1577" s="17" t="n"/>
      <c r="C1577" s="17" t="n"/>
      <c r="D1577" s="18" t="n"/>
      <c r="E1577" s="17" t="n"/>
      <c r="F1577" s="17" t="n"/>
      <c r="G1577" s="19" t="n"/>
      <c r="H1577" s="17" t="n"/>
      <c r="I1577" s="17" t="n"/>
      <c r="J1577" s="17" t="n"/>
      <c r="K1577" s="20">
        <f>IF($B1577="","",IFERROR(INDEX(الموظفات!$A$5:$A$304,MATCH($B1577,الموظفات!$B$5:$B$304,0))&amp;"",""))</f>
        <v/>
      </c>
      <c r="L1577" s="21">
        <f>IF($B1577="","",IFERROR(INDEX(الموظفات!$C$5:$C$304,MATCH($B1577,الموظفات!$B$5:$B$304,0))&amp;"",""))</f>
        <v/>
      </c>
      <c r="M1577" s="20">
        <f>IF($B1577="","",IFERROR(INDEX(الموظفات!$D$5:$D$304,MATCH($B1577,الموظفات!$B$5:$B$304,0))&amp;"",""))</f>
        <v/>
      </c>
      <c r="N1577" s="20">
        <f>IF($B1577="","",IFERROR(INDEX(الموظفات!$E$5:$E$304,MATCH($B1577,الموظفات!$B$5:$B$304,0))&amp;"",""))</f>
        <v/>
      </c>
      <c r="O1577" s="21">
        <f>IF(C1577="","",IFERROR(INDEX(الإعدادات!$D$7:$D$35,MATCH(C1577,الإعدادات!$A$7:$A$35,0))&amp;"",""))</f>
        <v/>
      </c>
      <c r="P1577" s="20">
        <f>IF(A1577="","",INDEX(الإعدادات!$H$7:$H$18,MONTH(A1577)))</f>
        <v/>
      </c>
      <c r="Q1577" s="20">
        <f>IF(A1577="","",INDEX(الإعدادات!$I$7:$I$18,MONTH(A1577)))</f>
        <v/>
      </c>
      <c r="R1577" s="20">
        <f>IF(A1577="","",IF(MONTH(A1577)&gt;=8,YEAR(A1577)&amp;"-"&amp;(YEAR(A1577)+1),(YEAR(A1577)-1)&amp;"-"&amp;YEAR(A1577)))</f>
        <v/>
      </c>
      <c r="S1577" s="20">
        <f>IF(OR(A1577="",B1577=""),0,IF(AND(R1577=التقارير!$C$4,OR(التقارير!$C$5="سنوي",AND(التقارير!$C$5="شهري",P1577=التقارير!$C$6),AND(التقارير!$C$5="فصلي",Q1577=التقارير!$C$7))),1,0))</f>
        <v/>
      </c>
      <c r="T1577" s="20">
        <f>IF(S1577=1,COUNTIF($S$5:S1577,1),"")</f>
        <v/>
      </c>
      <c r="U1577">
        <f>IF(AND($A1577&lt;&gt;"",$B1577&lt;&gt;"",$R1577='تقرير الفصل الأول'!$C$4,$Q1577='تقرير الفصل الأول'!$C$7),COUNT(U$4:U1576)+1,"")</f>
        <v/>
      </c>
      <c r="V1577">
        <f>IF(AND($A1577&lt;&gt;"",$B1577&lt;&gt;"",$R1577='تقرير الفصل الثاني'!$C$4,$Q1577='تقرير الفصل الثاني'!$C$7),COUNT(V$4:V1576)+1,"")</f>
        <v/>
      </c>
      <c r="W1577">
        <f>IF(AND($A1577&lt;&gt;"",$B1577&lt;&gt;"",$R1577='تقرير سبتمبر'!$C$4,$P1577='تقرير سبتمبر'!$C$6),COUNT(W$4:W1576)+1,"")</f>
        <v/>
      </c>
      <c r="X1577">
        <f>IF(AND($A1577&lt;&gt;"",$B1577&lt;&gt;"",$R1577='تقرير أكتوبر'!$C$4,$P1577='تقرير أكتوبر'!$C$6),COUNT(X$4:X1576)+1,"")</f>
        <v/>
      </c>
      <c r="Y1577">
        <f>IF(AND($A1577&lt;&gt;"",$B1577&lt;&gt;"",$R1577='تقرير نوفمبر'!$C$4,$P1577='تقرير نوفمبر'!$C$6),COUNT(Y$4:Y1576)+1,"")</f>
        <v/>
      </c>
      <c r="Z1577">
        <f>IF(AND($A1577&lt;&gt;"",$B1577&lt;&gt;"",$R1577='تقرير ديسمبر'!$C$4,$P1577='تقرير ديسمبر'!$C$6),COUNT(Z$4:Z1576)+1,"")</f>
        <v/>
      </c>
      <c r="AA1577">
        <f>IF(AND($A1577&lt;&gt;"",$B1577&lt;&gt;"",$R1577='تقرير يناير'!$C$4,$P1577='تقرير يناير'!$C$6),COUNT(AA$4:AA1576)+1,"")</f>
        <v/>
      </c>
      <c r="AB1577">
        <f>IF(AND($A1577&lt;&gt;"",$B1577&lt;&gt;"",$R1577='تقرير فبراير'!$C$4,$P1577='تقرير فبراير'!$C$6),COUNT(AB$4:AB1576)+1,"")</f>
        <v/>
      </c>
      <c r="AC1577">
        <f>IF(AND($A1577&lt;&gt;"",$B1577&lt;&gt;"",$R1577='تقرير مارس'!$C$4,$P1577='تقرير مارس'!$C$6),COUNT(AC$4:AC1576)+1,"")</f>
        <v/>
      </c>
      <c r="AD1577">
        <f>IF(AND($A1577&lt;&gt;"",$B1577&lt;&gt;"",$R1577='تقرير أبريل'!$C$4,$P1577='تقرير أبريل'!$C$6),COUNT(AD$4:AD1576)+1,"")</f>
        <v/>
      </c>
      <c r="AE1577">
        <f>IF(AND($A1577&lt;&gt;"",$B1577&lt;&gt;"",$R1577='تقرير مايو'!$C$4,$P1577='تقرير مايو'!$C$6),COUNT(AE$4:AE1576)+1,"")</f>
        <v/>
      </c>
    </row>
    <row r="1578">
      <c r="A1578" s="16" t="n"/>
      <c r="B1578" s="17" t="n"/>
      <c r="C1578" s="17" t="n"/>
      <c r="D1578" s="18" t="n"/>
      <c r="E1578" s="17" t="n"/>
      <c r="F1578" s="17" t="n"/>
      <c r="G1578" s="19" t="n"/>
      <c r="H1578" s="17" t="n"/>
      <c r="I1578" s="17" t="n"/>
      <c r="J1578" s="17" t="n"/>
      <c r="K1578" s="20">
        <f>IF($B1578="","",IFERROR(INDEX(الموظفات!$A$5:$A$304,MATCH($B1578,الموظفات!$B$5:$B$304,0))&amp;"",""))</f>
        <v/>
      </c>
      <c r="L1578" s="21">
        <f>IF($B1578="","",IFERROR(INDEX(الموظفات!$C$5:$C$304,MATCH($B1578,الموظفات!$B$5:$B$304,0))&amp;"",""))</f>
        <v/>
      </c>
      <c r="M1578" s="20">
        <f>IF($B1578="","",IFERROR(INDEX(الموظفات!$D$5:$D$304,MATCH($B1578,الموظفات!$B$5:$B$304,0))&amp;"",""))</f>
        <v/>
      </c>
      <c r="N1578" s="20">
        <f>IF($B1578="","",IFERROR(INDEX(الموظفات!$E$5:$E$304,MATCH($B1578,الموظفات!$B$5:$B$304,0))&amp;"",""))</f>
        <v/>
      </c>
      <c r="O1578" s="21">
        <f>IF(C1578="","",IFERROR(INDEX(الإعدادات!$D$7:$D$35,MATCH(C1578,الإعدادات!$A$7:$A$35,0))&amp;"",""))</f>
        <v/>
      </c>
      <c r="P1578" s="20">
        <f>IF(A1578="","",INDEX(الإعدادات!$H$7:$H$18,MONTH(A1578)))</f>
        <v/>
      </c>
      <c r="Q1578" s="20">
        <f>IF(A1578="","",INDEX(الإعدادات!$I$7:$I$18,MONTH(A1578)))</f>
        <v/>
      </c>
      <c r="R1578" s="20">
        <f>IF(A1578="","",IF(MONTH(A1578)&gt;=8,YEAR(A1578)&amp;"-"&amp;(YEAR(A1578)+1),(YEAR(A1578)-1)&amp;"-"&amp;YEAR(A1578)))</f>
        <v/>
      </c>
      <c r="S1578" s="20">
        <f>IF(OR(A1578="",B1578=""),0,IF(AND(R1578=التقارير!$C$4,OR(التقارير!$C$5="سنوي",AND(التقارير!$C$5="شهري",P1578=التقارير!$C$6),AND(التقارير!$C$5="فصلي",Q1578=التقارير!$C$7))),1,0))</f>
        <v/>
      </c>
      <c r="T1578" s="20">
        <f>IF(S1578=1,COUNTIF($S$5:S1578,1),"")</f>
        <v/>
      </c>
      <c r="U1578">
        <f>IF(AND($A1578&lt;&gt;"",$B1578&lt;&gt;"",$R1578='تقرير الفصل الأول'!$C$4,$Q1578='تقرير الفصل الأول'!$C$7),COUNT(U$4:U1577)+1,"")</f>
        <v/>
      </c>
      <c r="V1578">
        <f>IF(AND($A1578&lt;&gt;"",$B1578&lt;&gt;"",$R1578='تقرير الفصل الثاني'!$C$4,$Q1578='تقرير الفصل الثاني'!$C$7),COUNT(V$4:V1577)+1,"")</f>
        <v/>
      </c>
      <c r="W1578">
        <f>IF(AND($A1578&lt;&gt;"",$B1578&lt;&gt;"",$R1578='تقرير سبتمبر'!$C$4,$P1578='تقرير سبتمبر'!$C$6),COUNT(W$4:W1577)+1,"")</f>
        <v/>
      </c>
      <c r="X1578">
        <f>IF(AND($A1578&lt;&gt;"",$B1578&lt;&gt;"",$R1578='تقرير أكتوبر'!$C$4,$P1578='تقرير أكتوبر'!$C$6),COUNT(X$4:X1577)+1,"")</f>
        <v/>
      </c>
      <c r="Y1578">
        <f>IF(AND($A1578&lt;&gt;"",$B1578&lt;&gt;"",$R1578='تقرير نوفمبر'!$C$4,$P1578='تقرير نوفمبر'!$C$6),COUNT(Y$4:Y1577)+1,"")</f>
        <v/>
      </c>
      <c r="Z1578">
        <f>IF(AND($A1578&lt;&gt;"",$B1578&lt;&gt;"",$R1578='تقرير ديسمبر'!$C$4,$P1578='تقرير ديسمبر'!$C$6),COUNT(Z$4:Z1577)+1,"")</f>
        <v/>
      </c>
      <c r="AA1578">
        <f>IF(AND($A1578&lt;&gt;"",$B1578&lt;&gt;"",$R1578='تقرير يناير'!$C$4,$P1578='تقرير يناير'!$C$6),COUNT(AA$4:AA1577)+1,"")</f>
        <v/>
      </c>
      <c r="AB1578">
        <f>IF(AND($A1578&lt;&gt;"",$B1578&lt;&gt;"",$R1578='تقرير فبراير'!$C$4,$P1578='تقرير فبراير'!$C$6),COUNT(AB$4:AB1577)+1,"")</f>
        <v/>
      </c>
      <c r="AC1578">
        <f>IF(AND($A1578&lt;&gt;"",$B1578&lt;&gt;"",$R1578='تقرير مارس'!$C$4,$P1578='تقرير مارس'!$C$6),COUNT(AC$4:AC1577)+1,"")</f>
        <v/>
      </c>
      <c r="AD1578">
        <f>IF(AND($A1578&lt;&gt;"",$B1578&lt;&gt;"",$R1578='تقرير أبريل'!$C$4,$P1578='تقرير أبريل'!$C$6),COUNT(AD$4:AD1577)+1,"")</f>
        <v/>
      </c>
      <c r="AE1578">
        <f>IF(AND($A1578&lt;&gt;"",$B1578&lt;&gt;"",$R1578='تقرير مايو'!$C$4,$P1578='تقرير مايو'!$C$6),COUNT(AE$4:AE1577)+1,"")</f>
        <v/>
      </c>
    </row>
    <row r="1579">
      <c r="A1579" s="16" t="n"/>
      <c r="B1579" s="17" t="n"/>
      <c r="C1579" s="17" t="n"/>
      <c r="D1579" s="18" t="n"/>
      <c r="E1579" s="17" t="n"/>
      <c r="F1579" s="17" t="n"/>
      <c r="G1579" s="19" t="n"/>
      <c r="H1579" s="17" t="n"/>
      <c r="I1579" s="17" t="n"/>
      <c r="J1579" s="17" t="n"/>
      <c r="K1579" s="20">
        <f>IF($B1579="","",IFERROR(INDEX(الموظفات!$A$5:$A$304,MATCH($B1579,الموظفات!$B$5:$B$304,0))&amp;"",""))</f>
        <v/>
      </c>
      <c r="L1579" s="21">
        <f>IF($B1579="","",IFERROR(INDEX(الموظفات!$C$5:$C$304,MATCH($B1579,الموظفات!$B$5:$B$304,0))&amp;"",""))</f>
        <v/>
      </c>
      <c r="M1579" s="20">
        <f>IF($B1579="","",IFERROR(INDEX(الموظفات!$D$5:$D$304,MATCH($B1579,الموظفات!$B$5:$B$304,0))&amp;"",""))</f>
        <v/>
      </c>
      <c r="N1579" s="20">
        <f>IF($B1579="","",IFERROR(INDEX(الموظفات!$E$5:$E$304,MATCH($B1579,الموظفات!$B$5:$B$304,0))&amp;"",""))</f>
        <v/>
      </c>
      <c r="O1579" s="21">
        <f>IF(C1579="","",IFERROR(INDEX(الإعدادات!$D$7:$D$35,MATCH(C1579,الإعدادات!$A$7:$A$35,0))&amp;"",""))</f>
        <v/>
      </c>
      <c r="P1579" s="20">
        <f>IF(A1579="","",INDEX(الإعدادات!$H$7:$H$18,MONTH(A1579)))</f>
        <v/>
      </c>
      <c r="Q1579" s="20">
        <f>IF(A1579="","",INDEX(الإعدادات!$I$7:$I$18,MONTH(A1579)))</f>
        <v/>
      </c>
      <c r="R1579" s="20">
        <f>IF(A1579="","",IF(MONTH(A1579)&gt;=8,YEAR(A1579)&amp;"-"&amp;(YEAR(A1579)+1),(YEAR(A1579)-1)&amp;"-"&amp;YEAR(A1579)))</f>
        <v/>
      </c>
      <c r="S1579" s="20">
        <f>IF(OR(A1579="",B1579=""),0,IF(AND(R1579=التقارير!$C$4,OR(التقارير!$C$5="سنوي",AND(التقارير!$C$5="شهري",P1579=التقارير!$C$6),AND(التقارير!$C$5="فصلي",Q1579=التقارير!$C$7))),1,0))</f>
        <v/>
      </c>
      <c r="T1579" s="20">
        <f>IF(S1579=1,COUNTIF($S$5:S1579,1),"")</f>
        <v/>
      </c>
      <c r="U1579">
        <f>IF(AND($A1579&lt;&gt;"",$B1579&lt;&gt;"",$R1579='تقرير الفصل الأول'!$C$4,$Q1579='تقرير الفصل الأول'!$C$7),COUNT(U$4:U1578)+1,"")</f>
        <v/>
      </c>
      <c r="V1579">
        <f>IF(AND($A1579&lt;&gt;"",$B1579&lt;&gt;"",$R1579='تقرير الفصل الثاني'!$C$4,$Q1579='تقرير الفصل الثاني'!$C$7),COUNT(V$4:V1578)+1,"")</f>
        <v/>
      </c>
      <c r="W1579">
        <f>IF(AND($A1579&lt;&gt;"",$B1579&lt;&gt;"",$R1579='تقرير سبتمبر'!$C$4,$P1579='تقرير سبتمبر'!$C$6),COUNT(W$4:W1578)+1,"")</f>
        <v/>
      </c>
      <c r="X1579">
        <f>IF(AND($A1579&lt;&gt;"",$B1579&lt;&gt;"",$R1579='تقرير أكتوبر'!$C$4,$P1579='تقرير أكتوبر'!$C$6),COUNT(X$4:X1578)+1,"")</f>
        <v/>
      </c>
      <c r="Y1579">
        <f>IF(AND($A1579&lt;&gt;"",$B1579&lt;&gt;"",$R1579='تقرير نوفمبر'!$C$4,$P1579='تقرير نوفمبر'!$C$6),COUNT(Y$4:Y1578)+1,"")</f>
        <v/>
      </c>
      <c r="Z1579">
        <f>IF(AND($A1579&lt;&gt;"",$B1579&lt;&gt;"",$R1579='تقرير ديسمبر'!$C$4,$P1579='تقرير ديسمبر'!$C$6),COUNT(Z$4:Z1578)+1,"")</f>
        <v/>
      </c>
      <c r="AA1579">
        <f>IF(AND($A1579&lt;&gt;"",$B1579&lt;&gt;"",$R1579='تقرير يناير'!$C$4,$P1579='تقرير يناير'!$C$6),COUNT(AA$4:AA1578)+1,"")</f>
        <v/>
      </c>
      <c r="AB1579">
        <f>IF(AND($A1579&lt;&gt;"",$B1579&lt;&gt;"",$R1579='تقرير فبراير'!$C$4,$P1579='تقرير فبراير'!$C$6),COUNT(AB$4:AB1578)+1,"")</f>
        <v/>
      </c>
      <c r="AC1579">
        <f>IF(AND($A1579&lt;&gt;"",$B1579&lt;&gt;"",$R1579='تقرير مارس'!$C$4,$P1579='تقرير مارس'!$C$6),COUNT(AC$4:AC1578)+1,"")</f>
        <v/>
      </c>
      <c r="AD1579">
        <f>IF(AND($A1579&lt;&gt;"",$B1579&lt;&gt;"",$R1579='تقرير أبريل'!$C$4,$P1579='تقرير أبريل'!$C$6),COUNT(AD$4:AD1578)+1,"")</f>
        <v/>
      </c>
      <c r="AE1579">
        <f>IF(AND($A1579&lt;&gt;"",$B1579&lt;&gt;"",$R1579='تقرير مايو'!$C$4,$P1579='تقرير مايو'!$C$6),COUNT(AE$4:AE1578)+1,"")</f>
        <v/>
      </c>
    </row>
    <row r="1580">
      <c r="A1580" s="16" t="n"/>
      <c r="B1580" s="17" t="n"/>
      <c r="C1580" s="17" t="n"/>
      <c r="D1580" s="18" t="n"/>
      <c r="E1580" s="17" t="n"/>
      <c r="F1580" s="17" t="n"/>
      <c r="G1580" s="19" t="n"/>
      <c r="H1580" s="17" t="n"/>
      <c r="I1580" s="17" t="n"/>
      <c r="J1580" s="17" t="n"/>
      <c r="K1580" s="20">
        <f>IF($B1580="","",IFERROR(INDEX(الموظفات!$A$5:$A$304,MATCH($B1580,الموظفات!$B$5:$B$304,0))&amp;"",""))</f>
        <v/>
      </c>
      <c r="L1580" s="21">
        <f>IF($B1580="","",IFERROR(INDEX(الموظفات!$C$5:$C$304,MATCH($B1580,الموظفات!$B$5:$B$304,0))&amp;"",""))</f>
        <v/>
      </c>
      <c r="M1580" s="20">
        <f>IF($B1580="","",IFERROR(INDEX(الموظفات!$D$5:$D$304,MATCH($B1580,الموظفات!$B$5:$B$304,0))&amp;"",""))</f>
        <v/>
      </c>
      <c r="N1580" s="20">
        <f>IF($B1580="","",IFERROR(INDEX(الموظفات!$E$5:$E$304,MATCH($B1580,الموظفات!$B$5:$B$304,0))&amp;"",""))</f>
        <v/>
      </c>
      <c r="O1580" s="21">
        <f>IF(C1580="","",IFERROR(INDEX(الإعدادات!$D$7:$D$35,MATCH(C1580,الإعدادات!$A$7:$A$35,0))&amp;"",""))</f>
        <v/>
      </c>
      <c r="P1580" s="20">
        <f>IF(A1580="","",INDEX(الإعدادات!$H$7:$H$18,MONTH(A1580)))</f>
        <v/>
      </c>
      <c r="Q1580" s="20">
        <f>IF(A1580="","",INDEX(الإعدادات!$I$7:$I$18,MONTH(A1580)))</f>
        <v/>
      </c>
      <c r="R1580" s="20">
        <f>IF(A1580="","",IF(MONTH(A1580)&gt;=8,YEAR(A1580)&amp;"-"&amp;(YEAR(A1580)+1),(YEAR(A1580)-1)&amp;"-"&amp;YEAR(A1580)))</f>
        <v/>
      </c>
      <c r="S1580" s="20">
        <f>IF(OR(A1580="",B1580=""),0,IF(AND(R1580=التقارير!$C$4,OR(التقارير!$C$5="سنوي",AND(التقارير!$C$5="شهري",P1580=التقارير!$C$6),AND(التقارير!$C$5="فصلي",Q1580=التقارير!$C$7))),1,0))</f>
        <v/>
      </c>
      <c r="T1580" s="20">
        <f>IF(S1580=1,COUNTIF($S$5:S1580,1),"")</f>
        <v/>
      </c>
      <c r="U1580">
        <f>IF(AND($A1580&lt;&gt;"",$B1580&lt;&gt;"",$R1580='تقرير الفصل الأول'!$C$4,$Q1580='تقرير الفصل الأول'!$C$7),COUNT(U$4:U1579)+1,"")</f>
        <v/>
      </c>
      <c r="V1580">
        <f>IF(AND($A1580&lt;&gt;"",$B1580&lt;&gt;"",$R1580='تقرير الفصل الثاني'!$C$4,$Q1580='تقرير الفصل الثاني'!$C$7),COUNT(V$4:V1579)+1,"")</f>
        <v/>
      </c>
      <c r="W1580">
        <f>IF(AND($A1580&lt;&gt;"",$B1580&lt;&gt;"",$R1580='تقرير سبتمبر'!$C$4,$P1580='تقرير سبتمبر'!$C$6),COUNT(W$4:W1579)+1,"")</f>
        <v/>
      </c>
      <c r="X1580">
        <f>IF(AND($A1580&lt;&gt;"",$B1580&lt;&gt;"",$R1580='تقرير أكتوبر'!$C$4,$P1580='تقرير أكتوبر'!$C$6),COUNT(X$4:X1579)+1,"")</f>
        <v/>
      </c>
      <c r="Y1580">
        <f>IF(AND($A1580&lt;&gt;"",$B1580&lt;&gt;"",$R1580='تقرير نوفمبر'!$C$4,$P1580='تقرير نوفمبر'!$C$6),COUNT(Y$4:Y1579)+1,"")</f>
        <v/>
      </c>
      <c r="Z1580">
        <f>IF(AND($A1580&lt;&gt;"",$B1580&lt;&gt;"",$R1580='تقرير ديسمبر'!$C$4,$P1580='تقرير ديسمبر'!$C$6),COUNT(Z$4:Z1579)+1,"")</f>
        <v/>
      </c>
      <c r="AA1580">
        <f>IF(AND($A1580&lt;&gt;"",$B1580&lt;&gt;"",$R1580='تقرير يناير'!$C$4,$P1580='تقرير يناير'!$C$6),COUNT(AA$4:AA1579)+1,"")</f>
        <v/>
      </c>
      <c r="AB1580">
        <f>IF(AND($A1580&lt;&gt;"",$B1580&lt;&gt;"",$R1580='تقرير فبراير'!$C$4,$P1580='تقرير فبراير'!$C$6),COUNT(AB$4:AB1579)+1,"")</f>
        <v/>
      </c>
      <c r="AC1580">
        <f>IF(AND($A1580&lt;&gt;"",$B1580&lt;&gt;"",$R1580='تقرير مارس'!$C$4,$P1580='تقرير مارس'!$C$6),COUNT(AC$4:AC1579)+1,"")</f>
        <v/>
      </c>
      <c r="AD1580">
        <f>IF(AND($A1580&lt;&gt;"",$B1580&lt;&gt;"",$R1580='تقرير أبريل'!$C$4,$P1580='تقرير أبريل'!$C$6),COUNT(AD$4:AD1579)+1,"")</f>
        <v/>
      </c>
      <c r="AE1580">
        <f>IF(AND($A1580&lt;&gt;"",$B1580&lt;&gt;"",$R1580='تقرير مايو'!$C$4,$P1580='تقرير مايو'!$C$6),COUNT(AE$4:AE1579)+1,"")</f>
        <v/>
      </c>
    </row>
    <row r="1581">
      <c r="A1581" s="16" t="n"/>
      <c r="B1581" s="17" t="n"/>
      <c r="C1581" s="17" t="n"/>
      <c r="D1581" s="18" t="n"/>
      <c r="E1581" s="17" t="n"/>
      <c r="F1581" s="17" t="n"/>
      <c r="G1581" s="19" t="n"/>
      <c r="H1581" s="17" t="n"/>
      <c r="I1581" s="17" t="n"/>
      <c r="J1581" s="17" t="n"/>
      <c r="K1581" s="20">
        <f>IF($B1581="","",IFERROR(INDEX(الموظفات!$A$5:$A$304,MATCH($B1581,الموظفات!$B$5:$B$304,0))&amp;"",""))</f>
        <v/>
      </c>
      <c r="L1581" s="21">
        <f>IF($B1581="","",IFERROR(INDEX(الموظفات!$C$5:$C$304,MATCH($B1581,الموظفات!$B$5:$B$304,0))&amp;"",""))</f>
        <v/>
      </c>
      <c r="M1581" s="20">
        <f>IF($B1581="","",IFERROR(INDEX(الموظفات!$D$5:$D$304,MATCH($B1581,الموظفات!$B$5:$B$304,0))&amp;"",""))</f>
        <v/>
      </c>
      <c r="N1581" s="20">
        <f>IF($B1581="","",IFERROR(INDEX(الموظفات!$E$5:$E$304,MATCH($B1581,الموظفات!$B$5:$B$304,0))&amp;"",""))</f>
        <v/>
      </c>
      <c r="O1581" s="21">
        <f>IF(C1581="","",IFERROR(INDEX(الإعدادات!$D$7:$D$35,MATCH(C1581,الإعدادات!$A$7:$A$35,0))&amp;"",""))</f>
        <v/>
      </c>
      <c r="P1581" s="20">
        <f>IF(A1581="","",INDEX(الإعدادات!$H$7:$H$18,MONTH(A1581)))</f>
        <v/>
      </c>
      <c r="Q1581" s="20">
        <f>IF(A1581="","",INDEX(الإعدادات!$I$7:$I$18,MONTH(A1581)))</f>
        <v/>
      </c>
      <c r="R1581" s="20">
        <f>IF(A1581="","",IF(MONTH(A1581)&gt;=8,YEAR(A1581)&amp;"-"&amp;(YEAR(A1581)+1),(YEAR(A1581)-1)&amp;"-"&amp;YEAR(A1581)))</f>
        <v/>
      </c>
      <c r="S1581" s="20">
        <f>IF(OR(A1581="",B1581=""),0,IF(AND(R1581=التقارير!$C$4,OR(التقارير!$C$5="سنوي",AND(التقارير!$C$5="شهري",P1581=التقارير!$C$6),AND(التقارير!$C$5="فصلي",Q1581=التقارير!$C$7))),1,0))</f>
        <v/>
      </c>
      <c r="T1581" s="20">
        <f>IF(S1581=1,COUNTIF($S$5:S1581,1),"")</f>
        <v/>
      </c>
      <c r="U1581">
        <f>IF(AND($A1581&lt;&gt;"",$B1581&lt;&gt;"",$R1581='تقرير الفصل الأول'!$C$4,$Q1581='تقرير الفصل الأول'!$C$7),COUNT(U$4:U1580)+1,"")</f>
        <v/>
      </c>
      <c r="V1581">
        <f>IF(AND($A1581&lt;&gt;"",$B1581&lt;&gt;"",$R1581='تقرير الفصل الثاني'!$C$4,$Q1581='تقرير الفصل الثاني'!$C$7),COUNT(V$4:V1580)+1,"")</f>
        <v/>
      </c>
      <c r="W1581">
        <f>IF(AND($A1581&lt;&gt;"",$B1581&lt;&gt;"",$R1581='تقرير سبتمبر'!$C$4,$P1581='تقرير سبتمبر'!$C$6),COUNT(W$4:W1580)+1,"")</f>
        <v/>
      </c>
      <c r="X1581">
        <f>IF(AND($A1581&lt;&gt;"",$B1581&lt;&gt;"",$R1581='تقرير أكتوبر'!$C$4,$P1581='تقرير أكتوبر'!$C$6),COUNT(X$4:X1580)+1,"")</f>
        <v/>
      </c>
      <c r="Y1581">
        <f>IF(AND($A1581&lt;&gt;"",$B1581&lt;&gt;"",$R1581='تقرير نوفمبر'!$C$4,$P1581='تقرير نوفمبر'!$C$6),COUNT(Y$4:Y1580)+1,"")</f>
        <v/>
      </c>
      <c r="Z1581">
        <f>IF(AND($A1581&lt;&gt;"",$B1581&lt;&gt;"",$R1581='تقرير ديسمبر'!$C$4,$P1581='تقرير ديسمبر'!$C$6),COUNT(Z$4:Z1580)+1,"")</f>
        <v/>
      </c>
      <c r="AA1581">
        <f>IF(AND($A1581&lt;&gt;"",$B1581&lt;&gt;"",$R1581='تقرير يناير'!$C$4,$P1581='تقرير يناير'!$C$6),COUNT(AA$4:AA1580)+1,"")</f>
        <v/>
      </c>
      <c r="AB1581">
        <f>IF(AND($A1581&lt;&gt;"",$B1581&lt;&gt;"",$R1581='تقرير فبراير'!$C$4,$P1581='تقرير فبراير'!$C$6),COUNT(AB$4:AB1580)+1,"")</f>
        <v/>
      </c>
      <c r="AC1581">
        <f>IF(AND($A1581&lt;&gt;"",$B1581&lt;&gt;"",$R1581='تقرير مارس'!$C$4,$P1581='تقرير مارس'!$C$6),COUNT(AC$4:AC1580)+1,"")</f>
        <v/>
      </c>
      <c r="AD1581">
        <f>IF(AND($A1581&lt;&gt;"",$B1581&lt;&gt;"",$R1581='تقرير أبريل'!$C$4,$P1581='تقرير أبريل'!$C$6),COUNT(AD$4:AD1580)+1,"")</f>
        <v/>
      </c>
      <c r="AE1581">
        <f>IF(AND($A1581&lt;&gt;"",$B1581&lt;&gt;"",$R1581='تقرير مايو'!$C$4,$P1581='تقرير مايو'!$C$6),COUNT(AE$4:AE1580)+1,"")</f>
        <v/>
      </c>
    </row>
    <row r="1582">
      <c r="A1582" s="16" t="n"/>
      <c r="B1582" s="17" t="n"/>
      <c r="C1582" s="17" t="n"/>
      <c r="D1582" s="18" t="n"/>
      <c r="E1582" s="17" t="n"/>
      <c r="F1582" s="17" t="n"/>
      <c r="G1582" s="19" t="n"/>
      <c r="H1582" s="17" t="n"/>
      <c r="I1582" s="17" t="n"/>
      <c r="J1582" s="17" t="n"/>
      <c r="K1582" s="20">
        <f>IF($B1582="","",IFERROR(INDEX(الموظفات!$A$5:$A$304,MATCH($B1582,الموظفات!$B$5:$B$304,0))&amp;"",""))</f>
        <v/>
      </c>
      <c r="L1582" s="21">
        <f>IF($B1582="","",IFERROR(INDEX(الموظفات!$C$5:$C$304,MATCH($B1582,الموظفات!$B$5:$B$304,0))&amp;"",""))</f>
        <v/>
      </c>
      <c r="M1582" s="20">
        <f>IF($B1582="","",IFERROR(INDEX(الموظفات!$D$5:$D$304,MATCH($B1582,الموظفات!$B$5:$B$304,0))&amp;"",""))</f>
        <v/>
      </c>
      <c r="N1582" s="20">
        <f>IF($B1582="","",IFERROR(INDEX(الموظفات!$E$5:$E$304,MATCH($B1582,الموظفات!$B$5:$B$304,0))&amp;"",""))</f>
        <v/>
      </c>
      <c r="O1582" s="21">
        <f>IF(C1582="","",IFERROR(INDEX(الإعدادات!$D$7:$D$35,MATCH(C1582,الإعدادات!$A$7:$A$35,0))&amp;"",""))</f>
        <v/>
      </c>
      <c r="P1582" s="20">
        <f>IF(A1582="","",INDEX(الإعدادات!$H$7:$H$18,MONTH(A1582)))</f>
        <v/>
      </c>
      <c r="Q1582" s="20">
        <f>IF(A1582="","",INDEX(الإعدادات!$I$7:$I$18,MONTH(A1582)))</f>
        <v/>
      </c>
      <c r="R1582" s="20">
        <f>IF(A1582="","",IF(MONTH(A1582)&gt;=8,YEAR(A1582)&amp;"-"&amp;(YEAR(A1582)+1),(YEAR(A1582)-1)&amp;"-"&amp;YEAR(A1582)))</f>
        <v/>
      </c>
      <c r="S1582" s="20">
        <f>IF(OR(A1582="",B1582=""),0,IF(AND(R1582=التقارير!$C$4,OR(التقارير!$C$5="سنوي",AND(التقارير!$C$5="شهري",P1582=التقارير!$C$6),AND(التقارير!$C$5="فصلي",Q1582=التقارير!$C$7))),1,0))</f>
        <v/>
      </c>
      <c r="T1582" s="20">
        <f>IF(S1582=1,COUNTIF($S$5:S1582,1),"")</f>
        <v/>
      </c>
      <c r="U1582">
        <f>IF(AND($A1582&lt;&gt;"",$B1582&lt;&gt;"",$R1582='تقرير الفصل الأول'!$C$4,$Q1582='تقرير الفصل الأول'!$C$7),COUNT(U$4:U1581)+1,"")</f>
        <v/>
      </c>
      <c r="V1582">
        <f>IF(AND($A1582&lt;&gt;"",$B1582&lt;&gt;"",$R1582='تقرير الفصل الثاني'!$C$4,$Q1582='تقرير الفصل الثاني'!$C$7),COUNT(V$4:V1581)+1,"")</f>
        <v/>
      </c>
      <c r="W1582">
        <f>IF(AND($A1582&lt;&gt;"",$B1582&lt;&gt;"",$R1582='تقرير سبتمبر'!$C$4,$P1582='تقرير سبتمبر'!$C$6),COUNT(W$4:W1581)+1,"")</f>
        <v/>
      </c>
      <c r="X1582">
        <f>IF(AND($A1582&lt;&gt;"",$B1582&lt;&gt;"",$R1582='تقرير أكتوبر'!$C$4,$P1582='تقرير أكتوبر'!$C$6),COUNT(X$4:X1581)+1,"")</f>
        <v/>
      </c>
      <c r="Y1582">
        <f>IF(AND($A1582&lt;&gt;"",$B1582&lt;&gt;"",$R1582='تقرير نوفمبر'!$C$4,$P1582='تقرير نوفمبر'!$C$6),COUNT(Y$4:Y1581)+1,"")</f>
        <v/>
      </c>
      <c r="Z1582">
        <f>IF(AND($A1582&lt;&gt;"",$B1582&lt;&gt;"",$R1582='تقرير ديسمبر'!$C$4,$P1582='تقرير ديسمبر'!$C$6),COUNT(Z$4:Z1581)+1,"")</f>
        <v/>
      </c>
      <c r="AA1582">
        <f>IF(AND($A1582&lt;&gt;"",$B1582&lt;&gt;"",$R1582='تقرير يناير'!$C$4,$P1582='تقرير يناير'!$C$6),COUNT(AA$4:AA1581)+1,"")</f>
        <v/>
      </c>
      <c r="AB1582">
        <f>IF(AND($A1582&lt;&gt;"",$B1582&lt;&gt;"",$R1582='تقرير فبراير'!$C$4,$P1582='تقرير فبراير'!$C$6),COUNT(AB$4:AB1581)+1,"")</f>
        <v/>
      </c>
      <c r="AC1582">
        <f>IF(AND($A1582&lt;&gt;"",$B1582&lt;&gt;"",$R1582='تقرير مارس'!$C$4,$P1582='تقرير مارس'!$C$6),COUNT(AC$4:AC1581)+1,"")</f>
        <v/>
      </c>
      <c r="AD1582">
        <f>IF(AND($A1582&lt;&gt;"",$B1582&lt;&gt;"",$R1582='تقرير أبريل'!$C$4,$P1582='تقرير أبريل'!$C$6),COUNT(AD$4:AD1581)+1,"")</f>
        <v/>
      </c>
      <c r="AE1582">
        <f>IF(AND($A1582&lt;&gt;"",$B1582&lt;&gt;"",$R1582='تقرير مايو'!$C$4,$P1582='تقرير مايو'!$C$6),COUNT(AE$4:AE1581)+1,"")</f>
        <v/>
      </c>
    </row>
    <row r="1583">
      <c r="A1583" s="16" t="n"/>
      <c r="B1583" s="17" t="n"/>
      <c r="C1583" s="17" t="n"/>
      <c r="D1583" s="18" t="n"/>
      <c r="E1583" s="17" t="n"/>
      <c r="F1583" s="17" t="n"/>
      <c r="G1583" s="19" t="n"/>
      <c r="H1583" s="17" t="n"/>
      <c r="I1583" s="17" t="n"/>
      <c r="J1583" s="17" t="n"/>
      <c r="K1583" s="20">
        <f>IF($B1583="","",IFERROR(INDEX(الموظفات!$A$5:$A$304,MATCH($B1583,الموظفات!$B$5:$B$304,0))&amp;"",""))</f>
        <v/>
      </c>
      <c r="L1583" s="21">
        <f>IF($B1583="","",IFERROR(INDEX(الموظفات!$C$5:$C$304,MATCH($B1583,الموظفات!$B$5:$B$304,0))&amp;"",""))</f>
        <v/>
      </c>
      <c r="M1583" s="20">
        <f>IF($B1583="","",IFERROR(INDEX(الموظفات!$D$5:$D$304,MATCH($B1583,الموظفات!$B$5:$B$304,0))&amp;"",""))</f>
        <v/>
      </c>
      <c r="N1583" s="20">
        <f>IF($B1583="","",IFERROR(INDEX(الموظفات!$E$5:$E$304,MATCH($B1583,الموظفات!$B$5:$B$304,0))&amp;"",""))</f>
        <v/>
      </c>
      <c r="O1583" s="21">
        <f>IF(C1583="","",IFERROR(INDEX(الإعدادات!$D$7:$D$35,MATCH(C1583,الإعدادات!$A$7:$A$35,0))&amp;"",""))</f>
        <v/>
      </c>
      <c r="P1583" s="20">
        <f>IF(A1583="","",INDEX(الإعدادات!$H$7:$H$18,MONTH(A1583)))</f>
        <v/>
      </c>
      <c r="Q1583" s="20">
        <f>IF(A1583="","",INDEX(الإعدادات!$I$7:$I$18,MONTH(A1583)))</f>
        <v/>
      </c>
      <c r="R1583" s="20">
        <f>IF(A1583="","",IF(MONTH(A1583)&gt;=8,YEAR(A1583)&amp;"-"&amp;(YEAR(A1583)+1),(YEAR(A1583)-1)&amp;"-"&amp;YEAR(A1583)))</f>
        <v/>
      </c>
      <c r="S1583" s="20">
        <f>IF(OR(A1583="",B1583=""),0,IF(AND(R1583=التقارير!$C$4,OR(التقارير!$C$5="سنوي",AND(التقارير!$C$5="شهري",P1583=التقارير!$C$6),AND(التقارير!$C$5="فصلي",Q1583=التقارير!$C$7))),1,0))</f>
        <v/>
      </c>
      <c r="T1583" s="20">
        <f>IF(S1583=1,COUNTIF($S$5:S1583,1),"")</f>
        <v/>
      </c>
      <c r="U1583">
        <f>IF(AND($A1583&lt;&gt;"",$B1583&lt;&gt;"",$R1583='تقرير الفصل الأول'!$C$4,$Q1583='تقرير الفصل الأول'!$C$7),COUNT(U$4:U1582)+1,"")</f>
        <v/>
      </c>
      <c r="V1583">
        <f>IF(AND($A1583&lt;&gt;"",$B1583&lt;&gt;"",$R1583='تقرير الفصل الثاني'!$C$4,$Q1583='تقرير الفصل الثاني'!$C$7),COUNT(V$4:V1582)+1,"")</f>
        <v/>
      </c>
      <c r="W1583">
        <f>IF(AND($A1583&lt;&gt;"",$B1583&lt;&gt;"",$R1583='تقرير سبتمبر'!$C$4,$P1583='تقرير سبتمبر'!$C$6),COUNT(W$4:W1582)+1,"")</f>
        <v/>
      </c>
      <c r="X1583">
        <f>IF(AND($A1583&lt;&gt;"",$B1583&lt;&gt;"",$R1583='تقرير أكتوبر'!$C$4,$P1583='تقرير أكتوبر'!$C$6),COUNT(X$4:X1582)+1,"")</f>
        <v/>
      </c>
      <c r="Y1583">
        <f>IF(AND($A1583&lt;&gt;"",$B1583&lt;&gt;"",$R1583='تقرير نوفمبر'!$C$4,$P1583='تقرير نوفمبر'!$C$6),COUNT(Y$4:Y1582)+1,"")</f>
        <v/>
      </c>
      <c r="Z1583">
        <f>IF(AND($A1583&lt;&gt;"",$B1583&lt;&gt;"",$R1583='تقرير ديسمبر'!$C$4,$P1583='تقرير ديسمبر'!$C$6),COUNT(Z$4:Z1582)+1,"")</f>
        <v/>
      </c>
      <c r="AA1583">
        <f>IF(AND($A1583&lt;&gt;"",$B1583&lt;&gt;"",$R1583='تقرير يناير'!$C$4,$P1583='تقرير يناير'!$C$6),COUNT(AA$4:AA1582)+1,"")</f>
        <v/>
      </c>
      <c r="AB1583">
        <f>IF(AND($A1583&lt;&gt;"",$B1583&lt;&gt;"",$R1583='تقرير فبراير'!$C$4,$P1583='تقرير فبراير'!$C$6),COUNT(AB$4:AB1582)+1,"")</f>
        <v/>
      </c>
      <c r="AC1583">
        <f>IF(AND($A1583&lt;&gt;"",$B1583&lt;&gt;"",$R1583='تقرير مارس'!$C$4,$P1583='تقرير مارس'!$C$6),COUNT(AC$4:AC1582)+1,"")</f>
        <v/>
      </c>
      <c r="AD1583">
        <f>IF(AND($A1583&lt;&gt;"",$B1583&lt;&gt;"",$R1583='تقرير أبريل'!$C$4,$P1583='تقرير أبريل'!$C$6),COUNT(AD$4:AD1582)+1,"")</f>
        <v/>
      </c>
      <c r="AE1583">
        <f>IF(AND($A1583&lt;&gt;"",$B1583&lt;&gt;"",$R1583='تقرير مايو'!$C$4,$P1583='تقرير مايو'!$C$6),COUNT(AE$4:AE1582)+1,"")</f>
        <v/>
      </c>
    </row>
    <row r="1584">
      <c r="A1584" s="16" t="n"/>
      <c r="B1584" s="17" t="n"/>
      <c r="C1584" s="17" t="n"/>
      <c r="D1584" s="18" t="n"/>
      <c r="E1584" s="17" t="n"/>
      <c r="F1584" s="17" t="n"/>
      <c r="G1584" s="19" t="n"/>
      <c r="H1584" s="17" t="n"/>
      <c r="I1584" s="17" t="n"/>
      <c r="J1584" s="17" t="n"/>
      <c r="K1584" s="20">
        <f>IF($B1584="","",IFERROR(INDEX(الموظفات!$A$5:$A$304,MATCH($B1584,الموظفات!$B$5:$B$304,0))&amp;"",""))</f>
        <v/>
      </c>
      <c r="L1584" s="21">
        <f>IF($B1584="","",IFERROR(INDEX(الموظفات!$C$5:$C$304,MATCH($B1584,الموظفات!$B$5:$B$304,0))&amp;"",""))</f>
        <v/>
      </c>
      <c r="M1584" s="20">
        <f>IF($B1584="","",IFERROR(INDEX(الموظفات!$D$5:$D$304,MATCH($B1584,الموظفات!$B$5:$B$304,0))&amp;"",""))</f>
        <v/>
      </c>
      <c r="N1584" s="20">
        <f>IF($B1584="","",IFERROR(INDEX(الموظفات!$E$5:$E$304,MATCH($B1584,الموظفات!$B$5:$B$304,0))&amp;"",""))</f>
        <v/>
      </c>
      <c r="O1584" s="21">
        <f>IF(C1584="","",IFERROR(INDEX(الإعدادات!$D$7:$D$35,MATCH(C1584,الإعدادات!$A$7:$A$35,0))&amp;"",""))</f>
        <v/>
      </c>
      <c r="P1584" s="20">
        <f>IF(A1584="","",INDEX(الإعدادات!$H$7:$H$18,MONTH(A1584)))</f>
        <v/>
      </c>
      <c r="Q1584" s="20">
        <f>IF(A1584="","",INDEX(الإعدادات!$I$7:$I$18,MONTH(A1584)))</f>
        <v/>
      </c>
      <c r="R1584" s="20">
        <f>IF(A1584="","",IF(MONTH(A1584)&gt;=8,YEAR(A1584)&amp;"-"&amp;(YEAR(A1584)+1),(YEAR(A1584)-1)&amp;"-"&amp;YEAR(A1584)))</f>
        <v/>
      </c>
      <c r="S1584" s="20">
        <f>IF(OR(A1584="",B1584=""),0,IF(AND(R1584=التقارير!$C$4,OR(التقارير!$C$5="سنوي",AND(التقارير!$C$5="شهري",P1584=التقارير!$C$6),AND(التقارير!$C$5="فصلي",Q1584=التقارير!$C$7))),1,0))</f>
        <v/>
      </c>
      <c r="T1584" s="20">
        <f>IF(S1584=1,COUNTIF($S$5:S1584,1),"")</f>
        <v/>
      </c>
      <c r="U1584">
        <f>IF(AND($A1584&lt;&gt;"",$B1584&lt;&gt;"",$R1584='تقرير الفصل الأول'!$C$4,$Q1584='تقرير الفصل الأول'!$C$7),COUNT(U$4:U1583)+1,"")</f>
        <v/>
      </c>
      <c r="V1584">
        <f>IF(AND($A1584&lt;&gt;"",$B1584&lt;&gt;"",$R1584='تقرير الفصل الثاني'!$C$4,$Q1584='تقرير الفصل الثاني'!$C$7),COUNT(V$4:V1583)+1,"")</f>
        <v/>
      </c>
      <c r="W1584">
        <f>IF(AND($A1584&lt;&gt;"",$B1584&lt;&gt;"",$R1584='تقرير سبتمبر'!$C$4,$P1584='تقرير سبتمبر'!$C$6),COUNT(W$4:W1583)+1,"")</f>
        <v/>
      </c>
      <c r="X1584">
        <f>IF(AND($A1584&lt;&gt;"",$B1584&lt;&gt;"",$R1584='تقرير أكتوبر'!$C$4,$P1584='تقرير أكتوبر'!$C$6),COUNT(X$4:X1583)+1,"")</f>
        <v/>
      </c>
      <c r="Y1584">
        <f>IF(AND($A1584&lt;&gt;"",$B1584&lt;&gt;"",$R1584='تقرير نوفمبر'!$C$4,$P1584='تقرير نوفمبر'!$C$6),COUNT(Y$4:Y1583)+1,"")</f>
        <v/>
      </c>
      <c r="Z1584">
        <f>IF(AND($A1584&lt;&gt;"",$B1584&lt;&gt;"",$R1584='تقرير ديسمبر'!$C$4,$P1584='تقرير ديسمبر'!$C$6),COUNT(Z$4:Z1583)+1,"")</f>
        <v/>
      </c>
      <c r="AA1584">
        <f>IF(AND($A1584&lt;&gt;"",$B1584&lt;&gt;"",$R1584='تقرير يناير'!$C$4,$P1584='تقرير يناير'!$C$6),COUNT(AA$4:AA1583)+1,"")</f>
        <v/>
      </c>
      <c r="AB1584">
        <f>IF(AND($A1584&lt;&gt;"",$B1584&lt;&gt;"",$R1584='تقرير فبراير'!$C$4,$P1584='تقرير فبراير'!$C$6),COUNT(AB$4:AB1583)+1,"")</f>
        <v/>
      </c>
      <c r="AC1584">
        <f>IF(AND($A1584&lt;&gt;"",$B1584&lt;&gt;"",$R1584='تقرير مارس'!$C$4,$P1584='تقرير مارس'!$C$6),COUNT(AC$4:AC1583)+1,"")</f>
        <v/>
      </c>
      <c r="AD1584">
        <f>IF(AND($A1584&lt;&gt;"",$B1584&lt;&gt;"",$R1584='تقرير أبريل'!$C$4,$P1584='تقرير أبريل'!$C$6),COUNT(AD$4:AD1583)+1,"")</f>
        <v/>
      </c>
      <c r="AE1584">
        <f>IF(AND($A1584&lt;&gt;"",$B1584&lt;&gt;"",$R1584='تقرير مايو'!$C$4,$P1584='تقرير مايو'!$C$6),COUNT(AE$4:AE1583)+1,"")</f>
        <v/>
      </c>
    </row>
    <row r="1585">
      <c r="A1585" s="16" t="n"/>
      <c r="B1585" s="17" t="n"/>
      <c r="C1585" s="17" t="n"/>
      <c r="D1585" s="18" t="n"/>
      <c r="E1585" s="17" t="n"/>
      <c r="F1585" s="17" t="n"/>
      <c r="G1585" s="19" t="n"/>
      <c r="H1585" s="17" t="n"/>
      <c r="I1585" s="17" t="n"/>
      <c r="J1585" s="17" t="n"/>
      <c r="K1585" s="20">
        <f>IF($B1585="","",IFERROR(INDEX(الموظفات!$A$5:$A$304,MATCH($B1585,الموظفات!$B$5:$B$304,0))&amp;"",""))</f>
        <v/>
      </c>
      <c r="L1585" s="21">
        <f>IF($B1585="","",IFERROR(INDEX(الموظفات!$C$5:$C$304,MATCH($B1585,الموظفات!$B$5:$B$304,0))&amp;"",""))</f>
        <v/>
      </c>
      <c r="M1585" s="20">
        <f>IF($B1585="","",IFERROR(INDEX(الموظفات!$D$5:$D$304,MATCH($B1585,الموظفات!$B$5:$B$304,0))&amp;"",""))</f>
        <v/>
      </c>
      <c r="N1585" s="20">
        <f>IF($B1585="","",IFERROR(INDEX(الموظفات!$E$5:$E$304,MATCH($B1585,الموظفات!$B$5:$B$304,0))&amp;"",""))</f>
        <v/>
      </c>
      <c r="O1585" s="21">
        <f>IF(C1585="","",IFERROR(INDEX(الإعدادات!$D$7:$D$35,MATCH(C1585,الإعدادات!$A$7:$A$35,0))&amp;"",""))</f>
        <v/>
      </c>
      <c r="P1585" s="20">
        <f>IF(A1585="","",INDEX(الإعدادات!$H$7:$H$18,MONTH(A1585)))</f>
        <v/>
      </c>
      <c r="Q1585" s="20">
        <f>IF(A1585="","",INDEX(الإعدادات!$I$7:$I$18,MONTH(A1585)))</f>
        <v/>
      </c>
      <c r="R1585" s="20">
        <f>IF(A1585="","",IF(MONTH(A1585)&gt;=8,YEAR(A1585)&amp;"-"&amp;(YEAR(A1585)+1),(YEAR(A1585)-1)&amp;"-"&amp;YEAR(A1585)))</f>
        <v/>
      </c>
      <c r="S1585" s="20">
        <f>IF(OR(A1585="",B1585=""),0,IF(AND(R1585=التقارير!$C$4,OR(التقارير!$C$5="سنوي",AND(التقارير!$C$5="شهري",P1585=التقارير!$C$6),AND(التقارير!$C$5="فصلي",Q1585=التقارير!$C$7))),1,0))</f>
        <v/>
      </c>
      <c r="T1585" s="20">
        <f>IF(S1585=1,COUNTIF($S$5:S1585,1),"")</f>
        <v/>
      </c>
      <c r="U1585">
        <f>IF(AND($A1585&lt;&gt;"",$B1585&lt;&gt;"",$R1585='تقرير الفصل الأول'!$C$4,$Q1585='تقرير الفصل الأول'!$C$7),COUNT(U$4:U1584)+1,"")</f>
        <v/>
      </c>
      <c r="V1585">
        <f>IF(AND($A1585&lt;&gt;"",$B1585&lt;&gt;"",$R1585='تقرير الفصل الثاني'!$C$4,$Q1585='تقرير الفصل الثاني'!$C$7),COUNT(V$4:V1584)+1,"")</f>
        <v/>
      </c>
      <c r="W1585">
        <f>IF(AND($A1585&lt;&gt;"",$B1585&lt;&gt;"",$R1585='تقرير سبتمبر'!$C$4,$P1585='تقرير سبتمبر'!$C$6),COUNT(W$4:W1584)+1,"")</f>
        <v/>
      </c>
      <c r="X1585">
        <f>IF(AND($A1585&lt;&gt;"",$B1585&lt;&gt;"",$R1585='تقرير أكتوبر'!$C$4,$P1585='تقرير أكتوبر'!$C$6),COUNT(X$4:X1584)+1,"")</f>
        <v/>
      </c>
      <c r="Y1585">
        <f>IF(AND($A1585&lt;&gt;"",$B1585&lt;&gt;"",$R1585='تقرير نوفمبر'!$C$4,$P1585='تقرير نوفمبر'!$C$6),COUNT(Y$4:Y1584)+1,"")</f>
        <v/>
      </c>
      <c r="Z1585">
        <f>IF(AND($A1585&lt;&gt;"",$B1585&lt;&gt;"",$R1585='تقرير ديسمبر'!$C$4,$P1585='تقرير ديسمبر'!$C$6),COUNT(Z$4:Z1584)+1,"")</f>
        <v/>
      </c>
      <c r="AA1585">
        <f>IF(AND($A1585&lt;&gt;"",$B1585&lt;&gt;"",$R1585='تقرير يناير'!$C$4,$P1585='تقرير يناير'!$C$6),COUNT(AA$4:AA1584)+1,"")</f>
        <v/>
      </c>
      <c r="AB1585">
        <f>IF(AND($A1585&lt;&gt;"",$B1585&lt;&gt;"",$R1585='تقرير فبراير'!$C$4,$P1585='تقرير فبراير'!$C$6),COUNT(AB$4:AB1584)+1,"")</f>
        <v/>
      </c>
      <c r="AC1585">
        <f>IF(AND($A1585&lt;&gt;"",$B1585&lt;&gt;"",$R1585='تقرير مارس'!$C$4,$P1585='تقرير مارس'!$C$6),COUNT(AC$4:AC1584)+1,"")</f>
        <v/>
      </c>
      <c r="AD1585">
        <f>IF(AND($A1585&lt;&gt;"",$B1585&lt;&gt;"",$R1585='تقرير أبريل'!$C$4,$P1585='تقرير أبريل'!$C$6),COUNT(AD$4:AD1584)+1,"")</f>
        <v/>
      </c>
      <c r="AE1585">
        <f>IF(AND($A1585&lt;&gt;"",$B1585&lt;&gt;"",$R1585='تقرير مايو'!$C$4,$P1585='تقرير مايو'!$C$6),COUNT(AE$4:AE1584)+1,"")</f>
        <v/>
      </c>
    </row>
    <row r="1586">
      <c r="A1586" s="16" t="n"/>
      <c r="B1586" s="17" t="n"/>
      <c r="C1586" s="17" t="n"/>
      <c r="D1586" s="18" t="n"/>
      <c r="E1586" s="17" t="n"/>
      <c r="F1586" s="17" t="n"/>
      <c r="G1586" s="19" t="n"/>
      <c r="H1586" s="17" t="n"/>
      <c r="I1586" s="17" t="n"/>
      <c r="J1586" s="17" t="n"/>
      <c r="K1586" s="20">
        <f>IF($B1586="","",IFERROR(INDEX(الموظفات!$A$5:$A$304,MATCH($B1586,الموظفات!$B$5:$B$304,0))&amp;"",""))</f>
        <v/>
      </c>
      <c r="L1586" s="21">
        <f>IF($B1586="","",IFERROR(INDEX(الموظفات!$C$5:$C$304,MATCH($B1586,الموظفات!$B$5:$B$304,0))&amp;"",""))</f>
        <v/>
      </c>
      <c r="M1586" s="20">
        <f>IF($B1586="","",IFERROR(INDEX(الموظفات!$D$5:$D$304,MATCH($B1586,الموظفات!$B$5:$B$304,0))&amp;"",""))</f>
        <v/>
      </c>
      <c r="N1586" s="20">
        <f>IF($B1586="","",IFERROR(INDEX(الموظفات!$E$5:$E$304,MATCH($B1586,الموظفات!$B$5:$B$304,0))&amp;"",""))</f>
        <v/>
      </c>
      <c r="O1586" s="21">
        <f>IF(C1586="","",IFERROR(INDEX(الإعدادات!$D$7:$D$35,MATCH(C1586,الإعدادات!$A$7:$A$35,0))&amp;"",""))</f>
        <v/>
      </c>
      <c r="P1586" s="20">
        <f>IF(A1586="","",INDEX(الإعدادات!$H$7:$H$18,MONTH(A1586)))</f>
        <v/>
      </c>
      <c r="Q1586" s="20">
        <f>IF(A1586="","",INDEX(الإعدادات!$I$7:$I$18,MONTH(A1586)))</f>
        <v/>
      </c>
      <c r="R1586" s="20">
        <f>IF(A1586="","",IF(MONTH(A1586)&gt;=8,YEAR(A1586)&amp;"-"&amp;(YEAR(A1586)+1),(YEAR(A1586)-1)&amp;"-"&amp;YEAR(A1586)))</f>
        <v/>
      </c>
      <c r="S1586" s="20">
        <f>IF(OR(A1586="",B1586=""),0,IF(AND(R1586=التقارير!$C$4,OR(التقارير!$C$5="سنوي",AND(التقارير!$C$5="شهري",P1586=التقارير!$C$6),AND(التقارير!$C$5="فصلي",Q1586=التقارير!$C$7))),1,0))</f>
        <v/>
      </c>
      <c r="T1586" s="20">
        <f>IF(S1586=1,COUNTIF($S$5:S1586,1),"")</f>
        <v/>
      </c>
      <c r="U1586">
        <f>IF(AND($A1586&lt;&gt;"",$B1586&lt;&gt;"",$R1586='تقرير الفصل الأول'!$C$4,$Q1586='تقرير الفصل الأول'!$C$7),COUNT(U$4:U1585)+1,"")</f>
        <v/>
      </c>
      <c r="V1586">
        <f>IF(AND($A1586&lt;&gt;"",$B1586&lt;&gt;"",$R1586='تقرير الفصل الثاني'!$C$4,$Q1586='تقرير الفصل الثاني'!$C$7),COUNT(V$4:V1585)+1,"")</f>
        <v/>
      </c>
      <c r="W1586">
        <f>IF(AND($A1586&lt;&gt;"",$B1586&lt;&gt;"",$R1586='تقرير سبتمبر'!$C$4,$P1586='تقرير سبتمبر'!$C$6),COUNT(W$4:W1585)+1,"")</f>
        <v/>
      </c>
      <c r="X1586">
        <f>IF(AND($A1586&lt;&gt;"",$B1586&lt;&gt;"",$R1586='تقرير أكتوبر'!$C$4,$P1586='تقرير أكتوبر'!$C$6),COUNT(X$4:X1585)+1,"")</f>
        <v/>
      </c>
      <c r="Y1586">
        <f>IF(AND($A1586&lt;&gt;"",$B1586&lt;&gt;"",$R1586='تقرير نوفمبر'!$C$4,$P1586='تقرير نوفمبر'!$C$6),COUNT(Y$4:Y1585)+1,"")</f>
        <v/>
      </c>
      <c r="Z1586">
        <f>IF(AND($A1586&lt;&gt;"",$B1586&lt;&gt;"",$R1586='تقرير ديسمبر'!$C$4,$P1586='تقرير ديسمبر'!$C$6),COUNT(Z$4:Z1585)+1,"")</f>
        <v/>
      </c>
      <c r="AA1586">
        <f>IF(AND($A1586&lt;&gt;"",$B1586&lt;&gt;"",$R1586='تقرير يناير'!$C$4,$P1586='تقرير يناير'!$C$6),COUNT(AA$4:AA1585)+1,"")</f>
        <v/>
      </c>
      <c r="AB1586">
        <f>IF(AND($A1586&lt;&gt;"",$B1586&lt;&gt;"",$R1586='تقرير فبراير'!$C$4,$P1586='تقرير فبراير'!$C$6),COUNT(AB$4:AB1585)+1,"")</f>
        <v/>
      </c>
      <c r="AC1586">
        <f>IF(AND($A1586&lt;&gt;"",$B1586&lt;&gt;"",$R1586='تقرير مارس'!$C$4,$P1586='تقرير مارس'!$C$6),COUNT(AC$4:AC1585)+1,"")</f>
        <v/>
      </c>
      <c r="AD1586">
        <f>IF(AND($A1586&lt;&gt;"",$B1586&lt;&gt;"",$R1586='تقرير أبريل'!$C$4,$P1586='تقرير أبريل'!$C$6),COUNT(AD$4:AD1585)+1,"")</f>
        <v/>
      </c>
      <c r="AE1586">
        <f>IF(AND($A1586&lt;&gt;"",$B1586&lt;&gt;"",$R1586='تقرير مايو'!$C$4,$P1586='تقرير مايو'!$C$6),COUNT(AE$4:AE1585)+1,"")</f>
        <v/>
      </c>
    </row>
    <row r="1587">
      <c r="A1587" s="16" t="n"/>
      <c r="B1587" s="17" t="n"/>
      <c r="C1587" s="17" t="n"/>
      <c r="D1587" s="18" t="n"/>
      <c r="E1587" s="17" t="n"/>
      <c r="F1587" s="17" t="n"/>
      <c r="G1587" s="19" t="n"/>
      <c r="H1587" s="17" t="n"/>
      <c r="I1587" s="17" t="n"/>
      <c r="J1587" s="17" t="n"/>
      <c r="K1587" s="20">
        <f>IF($B1587="","",IFERROR(INDEX(الموظفات!$A$5:$A$304,MATCH($B1587,الموظفات!$B$5:$B$304,0))&amp;"",""))</f>
        <v/>
      </c>
      <c r="L1587" s="21">
        <f>IF($B1587="","",IFERROR(INDEX(الموظفات!$C$5:$C$304,MATCH($B1587,الموظفات!$B$5:$B$304,0))&amp;"",""))</f>
        <v/>
      </c>
      <c r="M1587" s="20">
        <f>IF($B1587="","",IFERROR(INDEX(الموظفات!$D$5:$D$304,MATCH($B1587,الموظفات!$B$5:$B$304,0))&amp;"",""))</f>
        <v/>
      </c>
      <c r="N1587" s="20">
        <f>IF($B1587="","",IFERROR(INDEX(الموظفات!$E$5:$E$304,MATCH($B1587,الموظفات!$B$5:$B$304,0))&amp;"",""))</f>
        <v/>
      </c>
      <c r="O1587" s="21">
        <f>IF(C1587="","",IFERROR(INDEX(الإعدادات!$D$7:$D$35,MATCH(C1587,الإعدادات!$A$7:$A$35,0))&amp;"",""))</f>
        <v/>
      </c>
      <c r="P1587" s="20">
        <f>IF(A1587="","",INDEX(الإعدادات!$H$7:$H$18,MONTH(A1587)))</f>
        <v/>
      </c>
      <c r="Q1587" s="20">
        <f>IF(A1587="","",INDEX(الإعدادات!$I$7:$I$18,MONTH(A1587)))</f>
        <v/>
      </c>
      <c r="R1587" s="20">
        <f>IF(A1587="","",IF(MONTH(A1587)&gt;=8,YEAR(A1587)&amp;"-"&amp;(YEAR(A1587)+1),(YEAR(A1587)-1)&amp;"-"&amp;YEAR(A1587)))</f>
        <v/>
      </c>
      <c r="S1587" s="20">
        <f>IF(OR(A1587="",B1587=""),0,IF(AND(R1587=التقارير!$C$4,OR(التقارير!$C$5="سنوي",AND(التقارير!$C$5="شهري",P1587=التقارير!$C$6),AND(التقارير!$C$5="فصلي",Q1587=التقارير!$C$7))),1,0))</f>
        <v/>
      </c>
      <c r="T1587" s="20">
        <f>IF(S1587=1,COUNTIF($S$5:S1587,1),"")</f>
        <v/>
      </c>
      <c r="U1587">
        <f>IF(AND($A1587&lt;&gt;"",$B1587&lt;&gt;"",$R1587='تقرير الفصل الأول'!$C$4,$Q1587='تقرير الفصل الأول'!$C$7),COUNT(U$4:U1586)+1,"")</f>
        <v/>
      </c>
      <c r="V1587">
        <f>IF(AND($A1587&lt;&gt;"",$B1587&lt;&gt;"",$R1587='تقرير الفصل الثاني'!$C$4,$Q1587='تقرير الفصل الثاني'!$C$7),COUNT(V$4:V1586)+1,"")</f>
        <v/>
      </c>
      <c r="W1587">
        <f>IF(AND($A1587&lt;&gt;"",$B1587&lt;&gt;"",$R1587='تقرير سبتمبر'!$C$4,$P1587='تقرير سبتمبر'!$C$6),COUNT(W$4:W1586)+1,"")</f>
        <v/>
      </c>
      <c r="X1587">
        <f>IF(AND($A1587&lt;&gt;"",$B1587&lt;&gt;"",$R1587='تقرير أكتوبر'!$C$4,$P1587='تقرير أكتوبر'!$C$6),COUNT(X$4:X1586)+1,"")</f>
        <v/>
      </c>
      <c r="Y1587">
        <f>IF(AND($A1587&lt;&gt;"",$B1587&lt;&gt;"",$R1587='تقرير نوفمبر'!$C$4,$P1587='تقرير نوفمبر'!$C$6),COUNT(Y$4:Y1586)+1,"")</f>
        <v/>
      </c>
      <c r="Z1587">
        <f>IF(AND($A1587&lt;&gt;"",$B1587&lt;&gt;"",$R1587='تقرير ديسمبر'!$C$4,$P1587='تقرير ديسمبر'!$C$6),COUNT(Z$4:Z1586)+1,"")</f>
        <v/>
      </c>
      <c r="AA1587">
        <f>IF(AND($A1587&lt;&gt;"",$B1587&lt;&gt;"",$R1587='تقرير يناير'!$C$4,$P1587='تقرير يناير'!$C$6),COUNT(AA$4:AA1586)+1,"")</f>
        <v/>
      </c>
      <c r="AB1587">
        <f>IF(AND($A1587&lt;&gt;"",$B1587&lt;&gt;"",$R1587='تقرير فبراير'!$C$4,$P1587='تقرير فبراير'!$C$6),COUNT(AB$4:AB1586)+1,"")</f>
        <v/>
      </c>
      <c r="AC1587">
        <f>IF(AND($A1587&lt;&gt;"",$B1587&lt;&gt;"",$R1587='تقرير مارس'!$C$4,$P1587='تقرير مارس'!$C$6),COUNT(AC$4:AC1586)+1,"")</f>
        <v/>
      </c>
      <c r="AD1587">
        <f>IF(AND($A1587&lt;&gt;"",$B1587&lt;&gt;"",$R1587='تقرير أبريل'!$C$4,$P1587='تقرير أبريل'!$C$6),COUNT(AD$4:AD1586)+1,"")</f>
        <v/>
      </c>
      <c r="AE1587">
        <f>IF(AND($A1587&lt;&gt;"",$B1587&lt;&gt;"",$R1587='تقرير مايو'!$C$4,$P1587='تقرير مايو'!$C$6),COUNT(AE$4:AE1586)+1,"")</f>
        <v/>
      </c>
    </row>
    <row r="1588">
      <c r="A1588" s="16" t="n"/>
      <c r="B1588" s="17" t="n"/>
      <c r="C1588" s="17" t="n"/>
      <c r="D1588" s="18" t="n"/>
      <c r="E1588" s="17" t="n"/>
      <c r="F1588" s="17" t="n"/>
      <c r="G1588" s="19" t="n"/>
      <c r="H1588" s="17" t="n"/>
      <c r="I1588" s="17" t="n"/>
      <c r="J1588" s="17" t="n"/>
      <c r="K1588" s="20">
        <f>IF($B1588="","",IFERROR(INDEX(الموظفات!$A$5:$A$304,MATCH($B1588,الموظفات!$B$5:$B$304,0))&amp;"",""))</f>
        <v/>
      </c>
      <c r="L1588" s="21">
        <f>IF($B1588="","",IFERROR(INDEX(الموظفات!$C$5:$C$304,MATCH($B1588,الموظفات!$B$5:$B$304,0))&amp;"",""))</f>
        <v/>
      </c>
      <c r="M1588" s="20">
        <f>IF($B1588="","",IFERROR(INDEX(الموظفات!$D$5:$D$304,MATCH($B1588,الموظفات!$B$5:$B$304,0))&amp;"",""))</f>
        <v/>
      </c>
      <c r="N1588" s="20">
        <f>IF($B1588="","",IFERROR(INDEX(الموظفات!$E$5:$E$304,MATCH($B1588,الموظفات!$B$5:$B$304,0))&amp;"",""))</f>
        <v/>
      </c>
      <c r="O1588" s="21">
        <f>IF(C1588="","",IFERROR(INDEX(الإعدادات!$D$7:$D$35,MATCH(C1588,الإعدادات!$A$7:$A$35,0))&amp;"",""))</f>
        <v/>
      </c>
      <c r="P1588" s="20">
        <f>IF(A1588="","",INDEX(الإعدادات!$H$7:$H$18,MONTH(A1588)))</f>
        <v/>
      </c>
      <c r="Q1588" s="20">
        <f>IF(A1588="","",INDEX(الإعدادات!$I$7:$I$18,MONTH(A1588)))</f>
        <v/>
      </c>
      <c r="R1588" s="20">
        <f>IF(A1588="","",IF(MONTH(A1588)&gt;=8,YEAR(A1588)&amp;"-"&amp;(YEAR(A1588)+1),(YEAR(A1588)-1)&amp;"-"&amp;YEAR(A1588)))</f>
        <v/>
      </c>
      <c r="S1588" s="20">
        <f>IF(OR(A1588="",B1588=""),0,IF(AND(R1588=التقارير!$C$4,OR(التقارير!$C$5="سنوي",AND(التقارير!$C$5="شهري",P1588=التقارير!$C$6),AND(التقارير!$C$5="فصلي",Q1588=التقارير!$C$7))),1,0))</f>
        <v/>
      </c>
      <c r="T1588" s="20">
        <f>IF(S1588=1,COUNTIF($S$5:S1588,1),"")</f>
        <v/>
      </c>
      <c r="U1588">
        <f>IF(AND($A1588&lt;&gt;"",$B1588&lt;&gt;"",$R1588='تقرير الفصل الأول'!$C$4,$Q1588='تقرير الفصل الأول'!$C$7),COUNT(U$4:U1587)+1,"")</f>
        <v/>
      </c>
      <c r="V1588">
        <f>IF(AND($A1588&lt;&gt;"",$B1588&lt;&gt;"",$R1588='تقرير الفصل الثاني'!$C$4,$Q1588='تقرير الفصل الثاني'!$C$7),COUNT(V$4:V1587)+1,"")</f>
        <v/>
      </c>
      <c r="W1588">
        <f>IF(AND($A1588&lt;&gt;"",$B1588&lt;&gt;"",$R1588='تقرير سبتمبر'!$C$4,$P1588='تقرير سبتمبر'!$C$6),COUNT(W$4:W1587)+1,"")</f>
        <v/>
      </c>
      <c r="X1588">
        <f>IF(AND($A1588&lt;&gt;"",$B1588&lt;&gt;"",$R1588='تقرير أكتوبر'!$C$4,$P1588='تقرير أكتوبر'!$C$6),COUNT(X$4:X1587)+1,"")</f>
        <v/>
      </c>
      <c r="Y1588">
        <f>IF(AND($A1588&lt;&gt;"",$B1588&lt;&gt;"",$R1588='تقرير نوفمبر'!$C$4,$P1588='تقرير نوفمبر'!$C$6),COUNT(Y$4:Y1587)+1,"")</f>
        <v/>
      </c>
      <c r="Z1588">
        <f>IF(AND($A1588&lt;&gt;"",$B1588&lt;&gt;"",$R1588='تقرير ديسمبر'!$C$4,$P1588='تقرير ديسمبر'!$C$6),COUNT(Z$4:Z1587)+1,"")</f>
        <v/>
      </c>
      <c r="AA1588">
        <f>IF(AND($A1588&lt;&gt;"",$B1588&lt;&gt;"",$R1588='تقرير يناير'!$C$4,$P1588='تقرير يناير'!$C$6),COUNT(AA$4:AA1587)+1,"")</f>
        <v/>
      </c>
      <c r="AB1588">
        <f>IF(AND($A1588&lt;&gt;"",$B1588&lt;&gt;"",$R1588='تقرير فبراير'!$C$4,$P1588='تقرير فبراير'!$C$6),COUNT(AB$4:AB1587)+1,"")</f>
        <v/>
      </c>
      <c r="AC1588">
        <f>IF(AND($A1588&lt;&gt;"",$B1588&lt;&gt;"",$R1588='تقرير مارس'!$C$4,$P1588='تقرير مارس'!$C$6),COUNT(AC$4:AC1587)+1,"")</f>
        <v/>
      </c>
      <c r="AD1588">
        <f>IF(AND($A1588&lt;&gt;"",$B1588&lt;&gt;"",$R1588='تقرير أبريل'!$C$4,$P1588='تقرير أبريل'!$C$6),COUNT(AD$4:AD1587)+1,"")</f>
        <v/>
      </c>
      <c r="AE1588">
        <f>IF(AND($A1588&lt;&gt;"",$B1588&lt;&gt;"",$R1588='تقرير مايو'!$C$4,$P1588='تقرير مايو'!$C$6),COUNT(AE$4:AE1587)+1,"")</f>
        <v/>
      </c>
    </row>
    <row r="1589">
      <c r="A1589" s="16" t="n"/>
      <c r="B1589" s="17" t="n"/>
      <c r="C1589" s="17" t="n"/>
      <c r="D1589" s="18" t="n"/>
      <c r="E1589" s="17" t="n"/>
      <c r="F1589" s="17" t="n"/>
      <c r="G1589" s="19" t="n"/>
      <c r="H1589" s="17" t="n"/>
      <c r="I1589" s="17" t="n"/>
      <c r="J1589" s="17" t="n"/>
      <c r="K1589" s="20">
        <f>IF($B1589="","",IFERROR(INDEX(الموظفات!$A$5:$A$304,MATCH($B1589,الموظفات!$B$5:$B$304,0))&amp;"",""))</f>
        <v/>
      </c>
      <c r="L1589" s="21">
        <f>IF($B1589="","",IFERROR(INDEX(الموظفات!$C$5:$C$304,MATCH($B1589,الموظفات!$B$5:$B$304,0))&amp;"",""))</f>
        <v/>
      </c>
      <c r="M1589" s="20">
        <f>IF($B1589="","",IFERROR(INDEX(الموظفات!$D$5:$D$304,MATCH($B1589,الموظفات!$B$5:$B$304,0))&amp;"",""))</f>
        <v/>
      </c>
      <c r="N1589" s="20">
        <f>IF($B1589="","",IFERROR(INDEX(الموظفات!$E$5:$E$304,MATCH($B1589,الموظفات!$B$5:$B$304,0))&amp;"",""))</f>
        <v/>
      </c>
      <c r="O1589" s="21">
        <f>IF(C1589="","",IFERROR(INDEX(الإعدادات!$D$7:$D$35,MATCH(C1589,الإعدادات!$A$7:$A$35,0))&amp;"",""))</f>
        <v/>
      </c>
      <c r="P1589" s="20">
        <f>IF(A1589="","",INDEX(الإعدادات!$H$7:$H$18,MONTH(A1589)))</f>
        <v/>
      </c>
      <c r="Q1589" s="20">
        <f>IF(A1589="","",INDEX(الإعدادات!$I$7:$I$18,MONTH(A1589)))</f>
        <v/>
      </c>
      <c r="R1589" s="20">
        <f>IF(A1589="","",IF(MONTH(A1589)&gt;=8,YEAR(A1589)&amp;"-"&amp;(YEAR(A1589)+1),(YEAR(A1589)-1)&amp;"-"&amp;YEAR(A1589)))</f>
        <v/>
      </c>
      <c r="S1589" s="20">
        <f>IF(OR(A1589="",B1589=""),0,IF(AND(R1589=التقارير!$C$4,OR(التقارير!$C$5="سنوي",AND(التقارير!$C$5="شهري",P1589=التقارير!$C$6),AND(التقارير!$C$5="فصلي",Q1589=التقارير!$C$7))),1,0))</f>
        <v/>
      </c>
      <c r="T1589" s="20">
        <f>IF(S1589=1,COUNTIF($S$5:S1589,1),"")</f>
        <v/>
      </c>
      <c r="U1589">
        <f>IF(AND($A1589&lt;&gt;"",$B1589&lt;&gt;"",$R1589='تقرير الفصل الأول'!$C$4,$Q1589='تقرير الفصل الأول'!$C$7),COUNT(U$4:U1588)+1,"")</f>
        <v/>
      </c>
      <c r="V1589">
        <f>IF(AND($A1589&lt;&gt;"",$B1589&lt;&gt;"",$R1589='تقرير الفصل الثاني'!$C$4,$Q1589='تقرير الفصل الثاني'!$C$7),COUNT(V$4:V1588)+1,"")</f>
        <v/>
      </c>
      <c r="W1589">
        <f>IF(AND($A1589&lt;&gt;"",$B1589&lt;&gt;"",$R1589='تقرير سبتمبر'!$C$4,$P1589='تقرير سبتمبر'!$C$6),COUNT(W$4:W1588)+1,"")</f>
        <v/>
      </c>
      <c r="X1589">
        <f>IF(AND($A1589&lt;&gt;"",$B1589&lt;&gt;"",$R1589='تقرير أكتوبر'!$C$4,$P1589='تقرير أكتوبر'!$C$6),COUNT(X$4:X1588)+1,"")</f>
        <v/>
      </c>
      <c r="Y1589">
        <f>IF(AND($A1589&lt;&gt;"",$B1589&lt;&gt;"",$R1589='تقرير نوفمبر'!$C$4,$P1589='تقرير نوفمبر'!$C$6),COUNT(Y$4:Y1588)+1,"")</f>
        <v/>
      </c>
      <c r="Z1589">
        <f>IF(AND($A1589&lt;&gt;"",$B1589&lt;&gt;"",$R1589='تقرير ديسمبر'!$C$4,$P1589='تقرير ديسمبر'!$C$6),COUNT(Z$4:Z1588)+1,"")</f>
        <v/>
      </c>
      <c r="AA1589">
        <f>IF(AND($A1589&lt;&gt;"",$B1589&lt;&gt;"",$R1589='تقرير يناير'!$C$4,$P1589='تقرير يناير'!$C$6),COUNT(AA$4:AA1588)+1,"")</f>
        <v/>
      </c>
      <c r="AB1589">
        <f>IF(AND($A1589&lt;&gt;"",$B1589&lt;&gt;"",$R1589='تقرير فبراير'!$C$4,$P1589='تقرير فبراير'!$C$6),COUNT(AB$4:AB1588)+1,"")</f>
        <v/>
      </c>
      <c r="AC1589">
        <f>IF(AND($A1589&lt;&gt;"",$B1589&lt;&gt;"",$R1589='تقرير مارس'!$C$4,$P1589='تقرير مارس'!$C$6),COUNT(AC$4:AC1588)+1,"")</f>
        <v/>
      </c>
      <c r="AD1589">
        <f>IF(AND($A1589&lt;&gt;"",$B1589&lt;&gt;"",$R1589='تقرير أبريل'!$C$4,$P1589='تقرير أبريل'!$C$6),COUNT(AD$4:AD1588)+1,"")</f>
        <v/>
      </c>
      <c r="AE1589">
        <f>IF(AND($A1589&lt;&gt;"",$B1589&lt;&gt;"",$R1589='تقرير مايو'!$C$4,$P1589='تقرير مايو'!$C$6),COUNT(AE$4:AE1588)+1,"")</f>
        <v/>
      </c>
    </row>
    <row r="1590">
      <c r="A1590" s="16" t="n"/>
      <c r="B1590" s="17" t="n"/>
      <c r="C1590" s="17" t="n"/>
      <c r="D1590" s="18" t="n"/>
      <c r="E1590" s="17" t="n"/>
      <c r="F1590" s="17" t="n"/>
      <c r="G1590" s="19" t="n"/>
      <c r="H1590" s="17" t="n"/>
      <c r="I1590" s="17" t="n"/>
      <c r="J1590" s="17" t="n"/>
      <c r="K1590" s="20">
        <f>IF($B1590="","",IFERROR(INDEX(الموظفات!$A$5:$A$304,MATCH($B1590,الموظفات!$B$5:$B$304,0))&amp;"",""))</f>
        <v/>
      </c>
      <c r="L1590" s="21">
        <f>IF($B1590="","",IFERROR(INDEX(الموظفات!$C$5:$C$304,MATCH($B1590,الموظفات!$B$5:$B$304,0))&amp;"",""))</f>
        <v/>
      </c>
      <c r="M1590" s="20">
        <f>IF($B1590="","",IFERROR(INDEX(الموظفات!$D$5:$D$304,MATCH($B1590,الموظفات!$B$5:$B$304,0))&amp;"",""))</f>
        <v/>
      </c>
      <c r="N1590" s="20">
        <f>IF($B1590="","",IFERROR(INDEX(الموظفات!$E$5:$E$304,MATCH($B1590,الموظفات!$B$5:$B$304,0))&amp;"",""))</f>
        <v/>
      </c>
      <c r="O1590" s="21">
        <f>IF(C1590="","",IFERROR(INDEX(الإعدادات!$D$7:$D$35,MATCH(C1590,الإعدادات!$A$7:$A$35,0))&amp;"",""))</f>
        <v/>
      </c>
      <c r="P1590" s="20">
        <f>IF(A1590="","",INDEX(الإعدادات!$H$7:$H$18,MONTH(A1590)))</f>
        <v/>
      </c>
      <c r="Q1590" s="20">
        <f>IF(A1590="","",INDEX(الإعدادات!$I$7:$I$18,MONTH(A1590)))</f>
        <v/>
      </c>
      <c r="R1590" s="20">
        <f>IF(A1590="","",IF(MONTH(A1590)&gt;=8,YEAR(A1590)&amp;"-"&amp;(YEAR(A1590)+1),(YEAR(A1590)-1)&amp;"-"&amp;YEAR(A1590)))</f>
        <v/>
      </c>
      <c r="S1590" s="20">
        <f>IF(OR(A1590="",B1590=""),0,IF(AND(R1590=التقارير!$C$4,OR(التقارير!$C$5="سنوي",AND(التقارير!$C$5="شهري",P1590=التقارير!$C$6),AND(التقارير!$C$5="فصلي",Q1590=التقارير!$C$7))),1,0))</f>
        <v/>
      </c>
      <c r="T1590" s="20">
        <f>IF(S1590=1,COUNTIF($S$5:S1590,1),"")</f>
        <v/>
      </c>
      <c r="U1590">
        <f>IF(AND($A1590&lt;&gt;"",$B1590&lt;&gt;"",$R1590='تقرير الفصل الأول'!$C$4,$Q1590='تقرير الفصل الأول'!$C$7),COUNT(U$4:U1589)+1,"")</f>
        <v/>
      </c>
      <c r="V1590">
        <f>IF(AND($A1590&lt;&gt;"",$B1590&lt;&gt;"",$R1590='تقرير الفصل الثاني'!$C$4,$Q1590='تقرير الفصل الثاني'!$C$7),COUNT(V$4:V1589)+1,"")</f>
        <v/>
      </c>
      <c r="W1590">
        <f>IF(AND($A1590&lt;&gt;"",$B1590&lt;&gt;"",$R1590='تقرير سبتمبر'!$C$4,$P1590='تقرير سبتمبر'!$C$6),COUNT(W$4:W1589)+1,"")</f>
        <v/>
      </c>
      <c r="X1590">
        <f>IF(AND($A1590&lt;&gt;"",$B1590&lt;&gt;"",$R1590='تقرير أكتوبر'!$C$4,$P1590='تقرير أكتوبر'!$C$6),COUNT(X$4:X1589)+1,"")</f>
        <v/>
      </c>
      <c r="Y1590">
        <f>IF(AND($A1590&lt;&gt;"",$B1590&lt;&gt;"",$R1590='تقرير نوفمبر'!$C$4,$P1590='تقرير نوفمبر'!$C$6),COUNT(Y$4:Y1589)+1,"")</f>
        <v/>
      </c>
      <c r="Z1590">
        <f>IF(AND($A1590&lt;&gt;"",$B1590&lt;&gt;"",$R1590='تقرير ديسمبر'!$C$4,$P1590='تقرير ديسمبر'!$C$6),COUNT(Z$4:Z1589)+1,"")</f>
        <v/>
      </c>
      <c r="AA1590">
        <f>IF(AND($A1590&lt;&gt;"",$B1590&lt;&gt;"",$R1590='تقرير يناير'!$C$4,$P1590='تقرير يناير'!$C$6),COUNT(AA$4:AA1589)+1,"")</f>
        <v/>
      </c>
      <c r="AB1590">
        <f>IF(AND($A1590&lt;&gt;"",$B1590&lt;&gt;"",$R1590='تقرير فبراير'!$C$4,$P1590='تقرير فبراير'!$C$6),COUNT(AB$4:AB1589)+1,"")</f>
        <v/>
      </c>
      <c r="AC1590">
        <f>IF(AND($A1590&lt;&gt;"",$B1590&lt;&gt;"",$R1590='تقرير مارس'!$C$4,$P1590='تقرير مارس'!$C$6),COUNT(AC$4:AC1589)+1,"")</f>
        <v/>
      </c>
      <c r="AD1590">
        <f>IF(AND($A1590&lt;&gt;"",$B1590&lt;&gt;"",$R1590='تقرير أبريل'!$C$4,$P1590='تقرير أبريل'!$C$6),COUNT(AD$4:AD1589)+1,"")</f>
        <v/>
      </c>
      <c r="AE1590">
        <f>IF(AND($A1590&lt;&gt;"",$B1590&lt;&gt;"",$R1590='تقرير مايو'!$C$4,$P1590='تقرير مايو'!$C$6),COUNT(AE$4:AE1589)+1,"")</f>
        <v/>
      </c>
    </row>
    <row r="1591">
      <c r="A1591" s="16" t="n"/>
      <c r="B1591" s="17" t="n"/>
      <c r="C1591" s="17" t="n"/>
      <c r="D1591" s="18" t="n"/>
      <c r="E1591" s="17" t="n"/>
      <c r="F1591" s="17" t="n"/>
      <c r="G1591" s="19" t="n"/>
      <c r="H1591" s="17" t="n"/>
      <c r="I1591" s="17" t="n"/>
      <c r="J1591" s="17" t="n"/>
      <c r="K1591" s="20">
        <f>IF($B1591="","",IFERROR(INDEX(الموظفات!$A$5:$A$304,MATCH($B1591,الموظفات!$B$5:$B$304,0))&amp;"",""))</f>
        <v/>
      </c>
      <c r="L1591" s="21">
        <f>IF($B1591="","",IFERROR(INDEX(الموظفات!$C$5:$C$304,MATCH($B1591,الموظفات!$B$5:$B$304,0))&amp;"",""))</f>
        <v/>
      </c>
      <c r="M1591" s="20">
        <f>IF($B1591="","",IFERROR(INDEX(الموظفات!$D$5:$D$304,MATCH($B1591,الموظفات!$B$5:$B$304,0))&amp;"",""))</f>
        <v/>
      </c>
      <c r="N1591" s="20">
        <f>IF($B1591="","",IFERROR(INDEX(الموظفات!$E$5:$E$304,MATCH($B1591,الموظفات!$B$5:$B$304,0))&amp;"",""))</f>
        <v/>
      </c>
      <c r="O1591" s="21">
        <f>IF(C1591="","",IFERROR(INDEX(الإعدادات!$D$7:$D$35,MATCH(C1591,الإعدادات!$A$7:$A$35,0))&amp;"",""))</f>
        <v/>
      </c>
      <c r="P1591" s="20">
        <f>IF(A1591="","",INDEX(الإعدادات!$H$7:$H$18,MONTH(A1591)))</f>
        <v/>
      </c>
      <c r="Q1591" s="20">
        <f>IF(A1591="","",INDEX(الإعدادات!$I$7:$I$18,MONTH(A1591)))</f>
        <v/>
      </c>
      <c r="R1591" s="20">
        <f>IF(A1591="","",IF(MONTH(A1591)&gt;=8,YEAR(A1591)&amp;"-"&amp;(YEAR(A1591)+1),(YEAR(A1591)-1)&amp;"-"&amp;YEAR(A1591)))</f>
        <v/>
      </c>
      <c r="S1591" s="20">
        <f>IF(OR(A1591="",B1591=""),0,IF(AND(R1591=التقارير!$C$4,OR(التقارير!$C$5="سنوي",AND(التقارير!$C$5="شهري",P1591=التقارير!$C$6),AND(التقارير!$C$5="فصلي",Q1591=التقارير!$C$7))),1,0))</f>
        <v/>
      </c>
      <c r="T1591" s="20">
        <f>IF(S1591=1,COUNTIF($S$5:S1591,1),"")</f>
        <v/>
      </c>
      <c r="U1591">
        <f>IF(AND($A1591&lt;&gt;"",$B1591&lt;&gt;"",$R1591='تقرير الفصل الأول'!$C$4,$Q1591='تقرير الفصل الأول'!$C$7),COUNT(U$4:U1590)+1,"")</f>
        <v/>
      </c>
      <c r="V1591">
        <f>IF(AND($A1591&lt;&gt;"",$B1591&lt;&gt;"",$R1591='تقرير الفصل الثاني'!$C$4,$Q1591='تقرير الفصل الثاني'!$C$7),COUNT(V$4:V1590)+1,"")</f>
        <v/>
      </c>
      <c r="W1591">
        <f>IF(AND($A1591&lt;&gt;"",$B1591&lt;&gt;"",$R1591='تقرير سبتمبر'!$C$4,$P1591='تقرير سبتمبر'!$C$6),COUNT(W$4:W1590)+1,"")</f>
        <v/>
      </c>
      <c r="X1591">
        <f>IF(AND($A1591&lt;&gt;"",$B1591&lt;&gt;"",$R1591='تقرير أكتوبر'!$C$4,$P1591='تقرير أكتوبر'!$C$6),COUNT(X$4:X1590)+1,"")</f>
        <v/>
      </c>
      <c r="Y1591">
        <f>IF(AND($A1591&lt;&gt;"",$B1591&lt;&gt;"",$R1591='تقرير نوفمبر'!$C$4,$P1591='تقرير نوفمبر'!$C$6),COUNT(Y$4:Y1590)+1,"")</f>
        <v/>
      </c>
      <c r="Z1591">
        <f>IF(AND($A1591&lt;&gt;"",$B1591&lt;&gt;"",$R1591='تقرير ديسمبر'!$C$4,$P1591='تقرير ديسمبر'!$C$6),COUNT(Z$4:Z1590)+1,"")</f>
        <v/>
      </c>
      <c r="AA1591">
        <f>IF(AND($A1591&lt;&gt;"",$B1591&lt;&gt;"",$R1591='تقرير يناير'!$C$4,$P1591='تقرير يناير'!$C$6),COUNT(AA$4:AA1590)+1,"")</f>
        <v/>
      </c>
      <c r="AB1591">
        <f>IF(AND($A1591&lt;&gt;"",$B1591&lt;&gt;"",$R1591='تقرير فبراير'!$C$4,$P1591='تقرير فبراير'!$C$6),COUNT(AB$4:AB1590)+1,"")</f>
        <v/>
      </c>
      <c r="AC1591">
        <f>IF(AND($A1591&lt;&gt;"",$B1591&lt;&gt;"",$R1591='تقرير مارس'!$C$4,$P1591='تقرير مارس'!$C$6),COUNT(AC$4:AC1590)+1,"")</f>
        <v/>
      </c>
      <c r="AD1591">
        <f>IF(AND($A1591&lt;&gt;"",$B1591&lt;&gt;"",$R1591='تقرير أبريل'!$C$4,$P1591='تقرير أبريل'!$C$6),COUNT(AD$4:AD1590)+1,"")</f>
        <v/>
      </c>
      <c r="AE1591">
        <f>IF(AND($A1591&lt;&gt;"",$B1591&lt;&gt;"",$R1591='تقرير مايو'!$C$4,$P1591='تقرير مايو'!$C$6),COUNT(AE$4:AE1590)+1,"")</f>
        <v/>
      </c>
    </row>
    <row r="1592">
      <c r="A1592" s="16" t="n"/>
      <c r="B1592" s="17" t="n"/>
      <c r="C1592" s="17" t="n"/>
      <c r="D1592" s="18" t="n"/>
      <c r="E1592" s="17" t="n"/>
      <c r="F1592" s="17" t="n"/>
      <c r="G1592" s="19" t="n"/>
      <c r="H1592" s="17" t="n"/>
      <c r="I1592" s="17" t="n"/>
      <c r="J1592" s="17" t="n"/>
      <c r="K1592" s="20">
        <f>IF($B1592="","",IFERROR(INDEX(الموظفات!$A$5:$A$304,MATCH($B1592,الموظفات!$B$5:$B$304,0))&amp;"",""))</f>
        <v/>
      </c>
      <c r="L1592" s="21">
        <f>IF($B1592="","",IFERROR(INDEX(الموظفات!$C$5:$C$304,MATCH($B1592,الموظفات!$B$5:$B$304,0))&amp;"",""))</f>
        <v/>
      </c>
      <c r="M1592" s="20">
        <f>IF($B1592="","",IFERROR(INDEX(الموظفات!$D$5:$D$304,MATCH($B1592,الموظفات!$B$5:$B$304,0))&amp;"",""))</f>
        <v/>
      </c>
      <c r="N1592" s="20">
        <f>IF($B1592="","",IFERROR(INDEX(الموظفات!$E$5:$E$304,MATCH($B1592,الموظفات!$B$5:$B$304,0))&amp;"",""))</f>
        <v/>
      </c>
      <c r="O1592" s="21">
        <f>IF(C1592="","",IFERROR(INDEX(الإعدادات!$D$7:$D$35,MATCH(C1592,الإعدادات!$A$7:$A$35,0))&amp;"",""))</f>
        <v/>
      </c>
      <c r="P1592" s="20">
        <f>IF(A1592="","",INDEX(الإعدادات!$H$7:$H$18,MONTH(A1592)))</f>
        <v/>
      </c>
      <c r="Q1592" s="20">
        <f>IF(A1592="","",INDEX(الإعدادات!$I$7:$I$18,MONTH(A1592)))</f>
        <v/>
      </c>
      <c r="R1592" s="20">
        <f>IF(A1592="","",IF(MONTH(A1592)&gt;=8,YEAR(A1592)&amp;"-"&amp;(YEAR(A1592)+1),(YEAR(A1592)-1)&amp;"-"&amp;YEAR(A1592)))</f>
        <v/>
      </c>
      <c r="S1592" s="20">
        <f>IF(OR(A1592="",B1592=""),0,IF(AND(R1592=التقارير!$C$4,OR(التقارير!$C$5="سنوي",AND(التقارير!$C$5="شهري",P1592=التقارير!$C$6),AND(التقارير!$C$5="فصلي",Q1592=التقارير!$C$7))),1,0))</f>
        <v/>
      </c>
      <c r="T1592" s="20">
        <f>IF(S1592=1,COUNTIF($S$5:S1592,1),"")</f>
        <v/>
      </c>
      <c r="U1592">
        <f>IF(AND($A1592&lt;&gt;"",$B1592&lt;&gt;"",$R1592='تقرير الفصل الأول'!$C$4,$Q1592='تقرير الفصل الأول'!$C$7),COUNT(U$4:U1591)+1,"")</f>
        <v/>
      </c>
      <c r="V1592">
        <f>IF(AND($A1592&lt;&gt;"",$B1592&lt;&gt;"",$R1592='تقرير الفصل الثاني'!$C$4,$Q1592='تقرير الفصل الثاني'!$C$7),COUNT(V$4:V1591)+1,"")</f>
        <v/>
      </c>
      <c r="W1592">
        <f>IF(AND($A1592&lt;&gt;"",$B1592&lt;&gt;"",$R1592='تقرير سبتمبر'!$C$4,$P1592='تقرير سبتمبر'!$C$6),COUNT(W$4:W1591)+1,"")</f>
        <v/>
      </c>
      <c r="X1592">
        <f>IF(AND($A1592&lt;&gt;"",$B1592&lt;&gt;"",$R1592='تقرير أكتوبر'!$C$4,$P1592='تقرير أكتوبر'!$C$6),COUNT(X$4:X1591)+1,"")</f>
        <v/>
      </c>
      <c r="Y1592">
        <f>IF(AND($A1592&lt;&gt;"",$B1592&lt;&gt;"",$R1592='تقرير نوفمبر'!$C$4,$P1592='تقرير نوفمبر'!$C$6),COUNT(Y$4:Y1591)+1,"")</f>
        <v/>
      </c>
      <c r="Z1592">
        <f>IF(AND($A1592&lt;&gt;"",$B1592&lt;&gt;"",$R1592='تقرير ديسمبر'!$C$4,$P1592='تقرير ديسمبر'!$C$6),COUNT(Z$4:Z1591)+1,"")</f>
        <v/>
      </c>
      <c r="AA1592">
        <f>IF(AND($A1592&lt;&gt;"",$B1592&lt;&gt;"",$R1592='تقرير يناير'!$C$4,$P1592='تقرير يناير'!$C$6),COUNT(AA$4:AA1591)+1,"")</f>
        <v/>
      </c>
      <c r="AB1592">
        <f>IF(AND($A1592&lt;&gt;"",$B1592&lt;&gt;"",$R1592='تقرير فبراير'!$C$4,$P1592='تقرير فبراير'!$C$6),COUNT(AB$4:AB1591)+1,"")</f>
        <v/>
      </c>
      <c r="AC1592">
        <f>IF(AND($A1592&lt;&gt;"",$B1592&lt;&gt;"",$R1592='تقرير مارس'!$C$4,$P1592='تقرير مارس'!$C$6),COUNT(AC$4:AC1591)+1,"")</f>
        <v/>
      </c>
      <c r="AD1592">
        <f>IF(AND($A1592&lt;&gt;"",$B1592&lt;&gt;"",$R1592='تقرير أبريل'!$C$4,$P1592='تقرير أبريل'!$C$6),COUNT(AD$4:AD1591)+1,"")</f>
        <v/>
      </c>
      <c r="AE1592">
        <f>IF(AND($A1592&lt;&gt;"",$B1592&lt;&gt;"",$R1592='تقرير مايو'!$C$4,$P1592='تقرير مايو'!$C$6),COUNT(AE$4:AE1591)+1,"")</f>
        <v/>
      </c>
    </row>
    <row r="1593">
      <c r="A1593" s="16" t="n"/>
      <c r="B1593" s="17" t="n"/>
      <c r="C1593" s="17" t="n"/>
      <c r="D1593" s="18" t="n"/>
      <c r="E1593" s="17" t="n"/>
      <c r="F1593" s="17" t="n"/>
      <c r="G1593" s="19" t="n"/>
      <c r="H1593" s="17" t="n"/>
      <c r="I1593" s="17" t="n"/>
      <c r="J1593" s="17" t="n"/>
      <c r="K1593" s="20">
        <f>IF($B1593="","",IFERROR(INDEX(الموظفات!$A$5:$A$304,MATCH($B1593,الموظفات!$B$5:$B$304,0))&amp;"",""))</f>
        <v/>
      </c>
      <c r="L1593" s="21">
        <f>IF($B1593="","",IFERROR(INDEX(الموظفات!$C$5:$C$304,MATCH($B1593,الموظفات!$B$5:$B$304,0))&amp;"",""))</f>
        <v/>
      </c>
      <c r="M1593" s="20">
        <f>IF($B1593="","",IFERROR(INDEX(الموظفات!$D$5:$D$304,MATCH($B1593,الموظفات!$B$5:$B$304,0))&amp;"",""))</f>
        <v/>
      </c>
      <c r="N1593" s="20">
        <f>IF($B1593="","",IFERROR(INDEX(الموظفات!$E$5:$E$304,MATCH($B1593,الموظفات!$B$5:$B$304,0))&amp;"",""))</f>
        <v/>
      </c>
      <c r="O1593" s="21">
        <f>IF(C1593="","",IFERROR(INDEX(الإعدادات!$D$7:$D$35,MATCH(C1593,الإعدادات!$A$7:$A$35,0))&amp;"",""))</f>
        <v/>
      </c>
      <c r="P1593" s="20">
        <f>IF(A1593="","",INDEX(الإعدادات!$H$7:$H$18,MONTH(A1593)))</f>
        <v/>
      </c>
      <c r="Q1593" s="20">
        <f>IF(A1593="","",INDEX(الإعدادات!$I$7:$I$18,MONTH(A1593)))</f>
        <v/>
      </c>
      <c r="R1593" s="20">
        <f>IF(A1593="","",IF(MONTH(A1593)&gt;=8,YEAR(A1593)&amp;"-"&amp;(YEAR(A1593)+1),(YEAR(A1593)-1)&amp;"-"&amp;YEAR(A1593)))</f>
        <v/>
      </c>
      <c r="S1593" s="20">
        <f>IF(OR(A1593="",B1593=""),0,IF(AND(R1593=التقارير!$C$4,OR(التقارير!$C$5="سنوي",AND(التقارير!$C$5="شهري",P1593=التقارير!$C$6),AND(التقارير!$C$5="فصلي",Q1593=التقارير!$C$7))),1,0))</f>
        <v/>
      </c>
      <c r="T1593" s="20">
        <f>IF(S1593=1,COUNTIF($S$5:S1593,1),"")</f>
        <v/>
      </c>
      <c r="U1593">
        <f>IF(AND($A1593&lt;&gt;"",$B1593&lt;&gt;"",$R1593='تقرير الفصل الأول'!$C$4,$Q1593='تقرير الفصل الأول'!$C$7),COUNT(U$4:U1592)+1,"")</f>
        <v/>
      </c>
      <c r="V1593">
        <f>IF(AND($A1593&lt;&gt;"",$B1593&lt;&gt;"",$R1593='تقرير الفصل الثاني'!$C$4,$Q1593='تقرير الفصل الثاني'!$C$7),COUNT(V$4:V1592)+1,"")</f>
        <v/>
      </c>
      <c r="W1593">
        <f>IF(AND($A1593&lt;&gt;"",$B1593&lt;&gt;"",$R1593='تقرير سبتمبر'!$C$4,$P1593='تقرير سبتمبر'!$C$6),COUNT(W$4:W1592)+1,"")</f>
        <v/>
      </c>
      <c r="X1593">
        <f>IF(AND($A1593&lt;&gt;"",$B1593&lt;&gt;"",$R1593='تقرير أكتوبر'!$C$4,$P1593='تقرير أكتوبر'!$C$6),COUNT(X$4:X1592)+1,"")</f>
        <v/>
      </c>
      <c r="Y1593">
        <f>IF(AND($A1593&lt;&gt;"",$B1593&lt;&gt;"",$R1593='تقرير نوفمبر'!$C$4,$P1593='تقرير نوفمبر'!$C$6),COUNT(Y$4:Y1592)+1,"")</f>
        <v/>
      </c>
      <c r="Z1593">
        <f>IF(AND($A1593&lt;&gt;"",$B1593&lt;&gt;"",$R1593='تقرير ديسمبر'!$C$4,$P1593='تقرير ديسمبر'!$C$6),COUNT(Z$4:Z1592)+1,"")</f>
        <v/>
      </c>
      <c r="AA1593">
        <f>IF(AND($A1593&lt;&gt;"",$B1593&lt;&gt;"",$R1593='تقرير يناير'!$C$4,$P1593='تقرير يناير'!$C$6),COUNT(AA$4:AA1592)+1,"")</f>
        <v/>
      </c>
      <c r="AB1593">
        <f>IF(AND($A1593&lt;&gt;"",$B1593&lt;&gt;"",$R1593='تقرير فبراير'!$C$4,$P1593='تقرير فبراير'!$C$6),COUNT(AB$4:AB1592)+1,"")</f>
        <v/>
      </c>
      <c r="AC1593">
        <f>IF(AND($A1593&lt;&gt;"",$B1593&lt;&gt;"",$R1593='تقرير مارس'!$C$4,$P1593='تقرير مارس'!$C$6),COUNT(AC$4:AC1592)+1,"")</f>
        <v/>
      </c>
      <c r="AD1593">
        <f>IF(AND($A1593&lt;&gt;"",$B1593&lt;&gt;"",$R1593='تقرير أبريل'!$C$4,$P1593='تقرير أبريل'!$C$6),COUNT(AD$4:AD1592)+1,"")</f>
        <v/>
      </c>
      <c r="AE1593">
        <f>IF(AND($A1593&lt;&gt;"",$B1593&lt;&gt;"",$R1593='تقرير مايو'!$C$4,$P1593='تقرير مايو'!$C$6),COUNT(AE$4:AE1592)+1,"")</f>
        <v/>
      </c>
    </row>
    <row r="1594">
      <c r="A1594" s="16" t="n"/>
      <c r="B1594" s="17" t="n"/>
      <c r="C1594" s="17" t="n"/>
      <c r="D1594" s="18" t="n"/>
      <c r="E1594" s="17" t="n"/>
      <c r="F1594" s="17" t="n"/>
      <c r="G1594" s="19" t="n"/>
      <c r="H1594" s="17" t="n"/>
      <c r="I1594" s="17" t="n"/>
      <c r="J1594" s="17" t="n"/>
      <c r="K1594" s="20">
        <f>IF($B1594="","",IFERROR(INDEX(الموظفات!$A$5:$A$304,MATCH($B1594,الموظفات!$B$5:$B$304,0))&amp;"",""))</f>
        <v/>
      </c>
      <c r="L1594" s="21">
        <f>IF($B1594="","",IFERROR(INDEX(الموظفات!$C$5:$C$304,MATCH($B1594,الموظفات!$B$5:$B$304,0))&amp;"",""))</f>
        <v/>
      </c>
      <c r="M1594" s="20">
        <f>IF($B1594="","",IFERROR(INDEX(الموظفات!$D$5:$D$304,MATCH($B1594,الموظفات!$B$5:$B$304,0))&amp;"",""))</f>
        <v/>
      </c>
      <c r="N1594" s="20">
        <f>IF($B1594="","",IFERROR(INDEX(الموظفات!$E$5:$E$304,MATCH($B1594,الموظفات!$B$5:$B$304,0))&amp;"",""))</f>
        <v/>
      </c>
      <c r="O1594" s="21">
        <f>IF(C1594="","",IFERROR(INDEX(الإعدادات!$D$7:$D$35,MATCH(C1594,الإعدادات!$A$7:$A$35,0))&amp;"",""))</f>
        <v/>
      </c>
      <c r="P1594" s="20">
        <f>IF(A1594="","",INDEX(الإعدادات!$H$7:$H$18,MONTH(A1594)))</f>
        <v/>
      </c>
      <c r="Q1594" s="20">
        <f>IF(A1594="","",INDEX(الإعدادات!$I$7:$I$18,MONTH(A1594)))</f>
        <v/>
      </c>
      <c r="R1594" s="20">
        <f>IF(A1594="","",IF(MONTH(A1594)&gt;=8,YEAR(A1594)&amp;"-"&amp;(YEAR(A1594)+1),(YEAR(A1594)-1)&amp;"-"&amp;YEAR(A1594)))</f>
        <v/>
      </c>
      <c r="S1594" s="20">
        <f>IF(OR(A1594="",B1594=""),0,IF(AND(R1594=التقارير!$C$4,OR(التقارير!$C$5="سنوي",AND(التقارير!$C$5="شهري",P1594=التقارير!$C$6),AND(التقارير!$C$5="فصلي",Q1594=التقارير!$C$7))),1,0))</f>
        <v/>
      </c>
      <c r="T1594" s="20">
        <f>IF(S1594=1,COUNTIF($S$5:S1594,1),"")</f>
        <v/>
      </c>
      <c r="U1594">
        <f>IF(AND($A1594&lt;&gt;"",$B1594&lt;&gt;"",$R1594='تقرير الفصل الأول'!$C$4,$Q1594='تقرير الفصل الأول'!$C$7),COUNT(U$4:U1593)+1,"")</f>
        <v/>
      </c>
      <c r="V1594">
        <f>IF(AND($A1594&lt;&gt;"",$B1594&lt;&gt;"",$R1594='تقرير الفصل الثاني'!$C$4,$Q1594='تقرير الفصل الثاني'!$C$7),COUNT(V$4:V1593)+1,"")</f>
        <v/>
      </c>
      <c r="W1594">
        <f>IF(AND($A1594&lt;&gt;"",$B1594&lt;&gt;"",$R1594='تقرير سبتمبر'!$C$4,$P1594='تقرير سبتمبر'!$C$6),COUNT(W$4:W1593)+1,"")</f>
        <v/>
      </c>
      <c r="X1594">
        <f>IF(AND($A1594&lt;&gt;"",$B1594&lt;&gt;"",$R1594='تقرير أكتوبر'!$C$4,$P1594='تقرير أكتوبر'!$C$6),COUNT(X$4:X1593)+1,"")</f>
        <v/>
      </c>
      <c r="Y1594">
        <f>IF(AND($A1594&lt;&gt;"",$B1594&lt;&gt;"",$R1594='تقرير نوفمبر'!$C$4,$P1594='تقرير نوفمبر'!$C$6),COUNT(Y$4:Y1593)+1,"")</f>
        <v/>
      </c>
      <c r="Z1594">
        <f>IF(AND($A1594&lt;&gt;"",$B1594&lt;&gt;"",$R1594='تقرير ديسمبر'!$C$4,$P1594='تقرير ديسمبر'!$C$6),COUNT(Z$4:Z1593)+1,"")</f>
        <v/>
      </c>
      <c r="AA1594">
        <f>IF(AND($A1594&lt;&gt;"",$B1594&lt;&gt;"",$R1594='تقرير يناير'!$C$4,$P1594='تقرير يناير'!$C$6),COUNT(AA$4:AA1593)+1,"")</f>
        <v/>
      </c>
      <c r="AB1594">
        <f>IF(AND($A1594&lt;&gt;"",$B1594&lt;&gt;"",$R1594='تقرير فبراير'!$C$4,$P1594='تقرير فبراير'!$C$6),COUNT(AB$4:AB1593)+1,"")</f>
        <v/>
      </c>
      <c r="AC1594">
        <f>IF(AND($A1594&lt;&gt;"",$B1594&lt;&gt;"",$R1594='تقرير مارس'!$C$4,$P1594='تقرير مارس'!$C$6),COUNT(AC$4:AC1593)+1,"")</f>
        <v/>
      </c>
      <c r="AD1594">
        <f>IF(AND($A1594&lt;&gt;"",$B1594&lt;&gt;"",$R1594='تقرير أبريل'!$C$4,$P1594='تقرير أبريل'!$C$6),COUNT(AD$4:AD1593)+1,"")</f>
        <v/>
      </c>
      <c r="AE1594">
        <f>IF(AND($A1594&lt;&gt;"",$B1594&lt;&gt;"",$R1594='تقرير مايو'!$C$4,$P1594='تقرير مايو'!$C$6),COUNT(AE$4:AE1593)+1,"")</f>
        <v/>
      </c>
    </row>
    <row r="1595">
      <c r="A1595" s="16" t="n"/>
      <c r="B1595" s="17" t="n"/>
      <c r="C1595" s="17" t="n"/>
      <c r="D1595" s="18" t="n"/>
      <c r="E1595" s="17" t="n"/>
      <c r="F1595" s="17" t="n"/>
      <c r="G1595" s="19" t="n"/>
      <c r="H1595" s="17" t="n"/>
      <c r="I1595" s="17" t="n"/>
      <c r="J1595" s="17" t="n"/>
      <c r="K1595" s="20">
        <f>IF($B1595="","",IFERROR(INDEX(الموظفات!$A$5:$A$304,MATCH($B1595,الموظفات!$B$5:$B$304,0))&amp;"",""))</f>
        <v/>
      </c>
      <c r="L1595" s="21">
        <f>IF($B1595="","",IFERROR(INDEX(الموظفات!$C$5:$C$304,MATCH($B1595,الموظفات!$B$5:$B$304,0))&amp;"",""))</f>
        <v/>
      </c>
      <c r="M1595" s="20">
        <f>IF($B1595="","",IFERROR(INDEX(الموظفات!$D$5:$D$304,MATCH($B1595,الموظفات!$B$5:$B$304,0))&amp;"",""))</f>
        <v/>
      </c>
      <c r="N1595" s="20">
        <f>IF($B1595="","",IFERROR(INDEX(الموظفات!$E$5:$E$304,MATCH($B1595,الموظفات!$B$5:$B$304,0))&amp;"",""))</f>
        <v/>
      </c>
      <c r="O1595" s="21">
        <f>IF(C1595="","",IFERROR(INDEX(الإعدادات!$D$7:$D$35,MATCH(C1595,الإعدادات!$A$7:$A$35,0))&amp;"",""))</f>
        <v/>
      </c>
      <c r="P1595" s="20">
        <f>IF(A1595="","",INDEX(الإعدادات!$H$7:$H$18,MONTH(A1595)))</f>
        <v/>
      </c>
      <c r="Q1595" s="20">
        <f>IF(A1595="","",INDEX(الإعدادات!$I$7:$I$18,MONTH(A1595)))</f>
        <v/>
      </c>
      <c r="R1595" s="20">
        <f>IF(A1595="","",IF(MONTH(A1595)&gt;=8,YEAR(A1595)&amp;"-"&amp;(YEAR(A1595)+1),(YEAR(A1595)-1)&amp;"-"&amp;YEAR(A1595)))</f>
        <v/>
      </c>
      <c r="S1595" s="20">
        <f>IF(OR(A1595="",B1595=""),0,IF(AND(R1595=التقارير!$C$4,OR(التقارير!$C$5="سنوي",AND(التقارير!$C$5="شهري",P1595=التقارير!$C$6),AND(التقارير!$C$5="فصلي",Q1595=التقارير!$C$7))),1,0))</f>
        <v/>
      </c>
      <c r="T1595" s="20">
        <f>IF(S1595=1,COUNTIF($S$5:S1595,1),"")</f>
        <v/>
      </c>
      <c r="U1595">
        <f>IF(AND($A1595&lt;&gt;"",$B1595&lt;&gt;"",$R1595='تقرير الفصل الأول'!$C$4,$Q1595='تقرير الفصل الأول'!$C$7),COUNT(U$4:U1594)+1,"")</f>
        <v/>
      </c>
      <c r="V1595">
        <f>IF(AND($A1595&lt;&gt;"",$B1595&lt;&gt;"",$R1595='تقرير الفصل الثاني'!$C$4,$Q1595='تقرير الفصل الثاني'!$C$7),COUNT(V$4:V1594)+1,"")</f>
        <v/>
      </c>
      <c r="W1595">
        <f>IF(AND($A1595&lt;&gt;"",$B1595&lt;&gt;"",$R1595='تقرير سبتمبر'!$C$4,$P1595='تقرير سبتمبر'!$C$6),COUNT(W$4:W1594)+1,"")</f>
        <v/>
      </c>
      <c r="X1595">
        <f>IF(AND($A1595&lt;&gt;"",$B1595&lt;&gt;"",$R1595='تقرير أكتوبر'!$C$4,$P1595='تقرير أكتوبر'!$C$6),COUNT(X$4:X1594)+1,"")</f>
        <v/>
      </c>
      <c r="Y1595">
        <f>IF(AND($A1595&lt;&gt;"",$B1595&lt;&gt;"",$R1595='تقرير نوفمبر'!$C$4,$P1595='تقرير نوفمبر'!$C$6),COUNT(Y$4:Y1594)+1,"")</f>
        <v/>
      </c>
      <c r="Z1595">
        <f>IF(AND($A1595&lt;&gt;"",$B1595&lt;&gt;"",$R1595='تقرير ديسمبر'!$C$4,$P1595='تقرير ديسمبر'!$C$6),COUNT(Z$4:Z1594)+1,"")</f>
        <v/>
      </c>
      <c r="AA1595">
        <f>IF(AND($A1595&lt;&gt;"",$B1595&lt;&gt;"",$R1595='تقرير يناير'!$C$4,$P1595='تقرير يناير'!$C$6),COUNT(AA$4:AA1594)+1,"")</f>
        <v/>
      </c>
      <c r="AB1595">
        <f>IF(AND($A1595&lt;&gt;"",$B1595&lt;&gt;"",$R1595='تقرير فبراير'!$C$4,$P1595='تقرير فبراير'!$C$6),COUNT(AB$4:AB1594)+1,"")</f>
        <v/>
      </c>
      <c r="AC1595">
        <f>IF(AND($A1595&lt;&gt;"",$B1595&lt;&gt;"",$R1595='تقرير مارس'!$C$4,$P1595='تقرير مارس'!$C$6),COUNT(AC$4:AC1594)+1,"")</f>
        <v/>
      </c>
      <c r="AD1595">
        <f>IF(AND($A1595&lt;&gt;"",$B1595&lt;&gt;"",$R1595='تقرير أبريل'!$C$4,$P1595='تقرير أبريل'!$C$6),COUNT(AD$4:AD1594)+1,"")</f>
        <v/>
      </c>
      <c r="AE1595">
        <f>IF(AND($A1595&lt;&gt;"",$B1595&lt;&gt;"",$R1595='تقرير مايو'!$C$4,$P1595='تقرير مايو'!$C$6),COUNT(AE$4:AE1594)+1,"")</f>
        <v/>
      </c>
    </row>
    <row r="1596">
      <c r="A1596" s="16" t="n"/>
      <c r="B1596" s="17" t="n"/>
      <c r="C1596" s="17" t="n"/>
      <c r="D1596" s="18" t="n"/>
      <c r="E1596" s="17" t="n"/>
      <c r="F1596" s="17" t="n"/>
      <c r="G1596" s="19" t="n"/>
      <c r="H1596" s="17" t="n"/>
      <c r="I1596" s="17" t="n"/>
      <c r="J1596" s="17" t="n"/>
      <c r="K1596" s="20">
        <f>IF($B1596="","",IFERROR(INDEX(الموظفات!$A$5:$A$304,MATCH($B1596,الموظفات!$B$5:$B$304,0))&amp;"",""))</f>
        <v/>
      </c>
      <c r="L1596" s="21">
        <f>IF($B1596="","",IFERROR(INDEX(الموظفات!$C$5:$C$304,MATCH($B1596,الموظفات!$B$5:$B$304,0))&amp;"",""))</f>
        <v/>
      </c>
      <c r="M1596" s="20">
        <f>IF($B1596="","",IFERROR(INDEX(الموظفات!$D$5:$D$304,MATCH($B1596,الموظفات!$B$5:$B$304,0))&amp;"",""))</f>
        <v/>
      </c>
      <c r="N1596" s="20">
        <f>IF($B1596="","",IFERROR(INDEX(الموظفات!$E$5:$E$304,MATCH($B1596,الموظفات!$B$5:$B$304,0))&amp;"",""))</f>
        <v/>
      </c>
      <c r="O1596" s="21">
        <f>IF(C1596="","",IFERROR(INDEX(الإعدادات!$D$7:$D$35,MATCH(C1596,الإعدادات!$A$7:$A$35,0))&amp;"",""))</f>
        <v/>
      </c>
      <c r="P1596" s="20">
        <f>IF(A1596="","",INDEX(الإعدادات!$H$7:$H$18,MONTH(A1596)))</f>
        <v/>
      </c>
      <c r="Q1596" s="20">
        <f>IF(A1596="","",INDEX(الإعدادات!$I$7:$I$18,MONTH(A1596)))</f>
        <v/>
      </c>
      <c r="R1596" s="20">
        <f>IF(A1596="","",IF(MONTH(A1596)&gt;=8,YEAR(A1596)&amp;"-"&amp;(YEAR(A1596)+1),(YEAR(A1596)-1)&amp;"-"&amp;YEAR(A1596)))</f>
        <v/>
      </c>
      <c r="S1596" s="20">
        <f>IF(OR(A1596="",B1596=""),0,IF(AND(R1596=التقارير!$C$4,OR(التقارير!$C$5="سنوي",AND(التقارير!$C$5="شهري",P1596=التقارير!$C$6),AND(التقارير!$C$5="فصلي",Q1596=التقارير!$C$7))),1,0))</f>
        <v/>
      </c>
      <c r="T1596" s="20">
        <f>IF(S1596=1,COUNTIF($S$5:S1596,1),"")</f>
        <v/>
      </c>
      <c r="U1596">
        <f>IF(AND($A1596&lt;&gt;"",$B1596&lt;&gt;"",$R1596='تقرير الفصل الأول'!$C$4,$Q1596='تقرير الفصل الأول'!$C$7),COUNT(U$4:U1595)+1,"")</f>
        <v/>
      </c>
      <c r="V1596">
        <f>IF(AND($A1596&lt;&gt;"",$B1596&lt;&gt;"",$R1596='تقرير الفصل الثاني'!$C$4,$Q1596='تقرير الفصل الثاني'!$C$7),COUNT(V$4:V1595)+1,"")</f>
        <v/>
      </c>
      <c r="W1596">
        <f>IF(AND($A1596&lt;&gt;"",$B1596&lt;&gt;"",$R1596='تقرير سبتمبر'!$C$4,$P1596='تقرير سبتمبر'!$C$6),COUNT(W$4:W1595)+1,"")</f>
        <v/>
      </c>
      <c r="X1596">
        <f>IF(AND($A1596&lt;&gt;"",$B1596&lt;&gt;"",$R1596='تقرير أكتوبر'!$C$4,$P1596='تقرير أكتوبر'!$C$6),COUNT(X$4:X1595)+1,"")</f>
        <v/>
      </c>
      <c r="Y1596">
        <f>IF(AND($A1596&lt;&gt;"",$B1596&lt;&gt;"",$R1596='تقرير نوفمبر'!$C$4,$P1596='تقرير نوفمبر'!$C$6),COUNT(Y$4:Y1595)+1,"")</f>
        <v/>
      </c>
      <c r="Z1596">
        <f>IF(AND($A1596&lt;&gt;"",$B1596&lt;&gt;"",$R1596='تقرير ديسمبر'!$C$4,$P1596='تقرير ديسمبر'!$C$6),COUNT(Z$4:Z1595)+1,"")</f>
        <v/>
      </c>
      <c r="AA1596">
        <f>IF(AND($A1596&lt;&gt;"",$B1596&lt;&gt;"",$R1596='تقرير يناير'!$C$4,$P1596='تقرير يناير'!$C$6),COUNT(AA$4:AA1595)+1,"")</f>
        <v/>
      </c>
      <c r="AB1596">
        <f>IF(AND($A1596&lt;&gt;"",$B1596&lt;&gt;"",$R1596='تقرير فبراير'!$C$4,$P1596='تقرير فبراير'!$C$6),COUNT(AB$4:AB1595)+1,"")</f>
        <v/>
      </c>
      <c r="AC1596">
        <f>IF(AND($A1596&lt;&gt;"",$B1596&lt;&gt;"",$R1596='تقرير مارس'!$C$4,$P1596='تقرير مارس'!$C$6),COUNT(AC$4:AC1595)+1,"")</f>
        <v/>
      </c>
      <c r="AD1596">
        <f>IF(AND($A1596&lt;&gt;"",$B1596&lt;&gt;"",$R1596='تقرير أبريل'!$C$4,$P1596='تقرير أبريل'!$C$6),COUNT(AD$4:AD1595)+1,"")</f>
        <v/>
      </c>
      <c r="AE1596">
        <f>IF(AND($A1596&lt;&gt;"",$B1596&lt;&gt;"",$R1596='تقرير مايو'!$C$4,$P1596='تقرير مايو'!$C$6),COUNT(AE$4:AE1595)+1,"")</f>
        <v/>
      </c>
    </row>
    <row r="1597">
      <c r="A1597" s="16" t="n"/>
      <c r="B1597" s="17" t="n"/>
      <c r="C1597" s="17" t="n"/>
      <c r="D1597" s="18" t="n"/>
      <c r="E1597" s="17" t="n"/>
      <c r="F1597" s="17" t="n"/>
      <c r="G1597" s="19" t="n"/>
      <c r="H1597" s="17" t="n"/>
      <c r="I1597" s="17" t="n"/>
      <c r="J1597" s="17" t="n"/>
      <c r="K1597" s="20">
        <f>IF($B1597="","",IFERROR(INDEX(الموظفات!$A$5:$A$304,MATCH($B1597,الموظفات!$B$5:$B$304,0))&amp;"",""))</f>
        <v/>
      </c>
      <c r="L1597" s="21">
        <f>IF($B1597="","",IFERROR(INDEX(الموظفات!$C$5:$C$304,MATCH($B1597,الموظفات!$B$5:$B$304,0))&amp;"",""))</f>
        <v/>
      </c>
      <c r="M1597" s="20">
        <f>IF($B1597="","",IFERROR(INDEX(الموظفات!$D$5:$D$304,MATCH($B1597,الموظفات!$B$5:$B$304,0))&amp;"",""))</f>
        <v/>
      </c>
      <c r="N1597" s="20">
        <f>IF($B1597="","",IFERROR(INDEX(الموظفات!$E$5:$E$304,MATCH($B1597,الموظفات!$B$5:$B$304,0))&amp;"",""))</f>
        <v/>
      </c>
      <c r="O1597" s="21">
        <f>IF(C1597="","",IFERROR(INDEX(الإعدادات!$D$7:$D$35,MATCH(C1597,الإعدادات!$A$7:$A$35,0))&amp;"",""))</f>
        <v/>
      </c>
      <c r="P1597" s="20">
        <f>IF(A1597="","",INDEX(الإعدادات!$H$7:$H$18,MONTH(A1597)))</f>
        <v/>
      </c>
      <c r="Q1597" s="20">
        <f>IF(A1597="","",INDEX(الإعدادات!$I$7:$I$18,MONTH(A1597)))</f>
        <v/>
      </c>
      <c r="R1597" s="20">
        <f>IF(A1597="","",IF(MONTH(A1597)&gt;=8,YEAR(A1597)&amp;"-"&amp;(YEAR(A1597)+1),(YEAR(A1597)-1)&amp;"-"&amp;YEAR(A1597)))</f>
        <v/>
      </c>
      <c r="S1597" s="20">
        <f>IF(OR(A1597="",B1597=""),0,IF(AND(R1597=التقارير!$C$4,OR(التقارير!$C$5="سنوي",AND(التقارير!$C$5="شهري",P1597=التقارير!$C$6),AND(التقارير!$C$5="فصلي",Q1597=التقارير!$C$7))),1,0))</f>
        <v/>
      </c>
      <c r="T1597" s="20">
        <f>IF(S1597=1,COUNTIF($S$5:S1597,1),"")</f>
        <v/>
      </c>
      <c r="U1597">
        <f>IF(AND($A1597&lt;&gt;"",$B1597&lt;&gt;"",$R1597='تقرير الفصل الأول'!$C$4,$Q1597='تقرير الفصل الأول'!$C$7),COUNT(U$4:U1596)+1,"")</f>
        <v/>
      </c>
      <c r="V1597">
        <f>IF(AND($A1597&lt;&gt;"",$B1597&lt;&gt;"",$R1597='تقرير الفصل الثاني'!$C$4,$Q1597='تقرير الفصل الثاني'!$C$7),COUNT(V$4:V1596)+1,"")</f>
        <v/>
      </c>
      <c r="W1597">
        <f>IF(AND($A1597&lt;&gt;"",$B1597&lt;&gt;"",$R1597='تقرير سبتمبر'!$C$4,$P1597='تقرير سبتمبر'!$C$6),COUNT(W$4:W1596)+1,"")</f>
        <v/>
      </c>
      <c r="X1597">
        <f>IF(AND($A1597&lt;&gt;"",$B1597&lt;&gt;"",$R1597='تقرير أكتوبر'!$C$4,$P1597='تقرير أكتوبر'!$C$6),COUNT(X$4:X1596)+1,"")</f>
        <v/>
      </c>
      <c r="Y1597">
        <f>IF(AND($A1597&lt;&gt;"",$B1597&lt;&gt;"",$R1597='تقرير نوفمبر'!$C$4,$P1597='تقرير نوفمبر'!$C$6),COUNT(Y$4:Y1596)+1,"")</f>
        <v/>
      </c>
      <c r="Z1597">
        <f>IF(AND($A1597&lt;&gt;"",$B1597&lt;&gt;"",$R1597='تقرير ديسمبر'!$C$4,$P1597='تقرير ديسمبر'!$C$6),COUNT(Z$4:Z1596)+1,"")</f>
        <v/>
      </c>
      <c r="AA1597">
        <f>IF(AND($A1597&lt;&gt;"",$B1597&lt;&gt;"",$R1597='تقرير يناير'!$C$4,$P1597='تقرير يناير'!$C$6),COUNT(AA$4:AA1596)+1,"")</f>
        <v/>
      </c>
      <c r="AB1597">
        <f>IF(AND($A1597&lt;&gt;"",$B1597&lt;&gt;"",$R1597='تقرير فبراير'!$C$4,$P1597='تقرير فبراير'!$C$6),COUNT(AB$4:AB1596)+1,"")</f>
        <v/>
      </c>
      <c r="AC1597">
        <f>IF(AND($A1597&lt;&gt;"",$B1597&lt;&gt;"",$R1597='تقرير مارس'!$C$4,$P1597='تقرير مارس'!$C$6),COUNT(AC$4:AC1596)+1,"")</f>
        <v/>
      </c>
      <c r="AD1597">
        <f>IF(AND($A1597&lt;&gt;"",$B1597&lt;&gt;"",$R1597='تقرير أبريل'!$C$4,$P1597='تقرير أبريل'!$C$6),COUNT(AD$4:AD1596)+1,"")</f>
        <v/>
      </c>
      <c r="AE1597">
        <f>IF(AND($A1597&lt;&gt;"",$B1597&lt;&gt;"",$R1597='تقرير مايو'!$C$4,$P1597='تقرير مايو'!$C$6),COUNT(AE$4:AE1596)+1,"")</f>
        <v/>
      </c>
    </row>
    <row r="1598">
      <c r="A1598" s="16" t="n"/>
      <c r="B1598" s="17" t="n"/>
      <c r="C1598" s="17" t="n"/>
      <c r="D1598" s="18" t="n"/>
      <c r="E1598" s="17" t="n"/>
      <c r="F1598" s="17" t="n"/>
      <c r="G1598" s="19" t="n"/>
      <c r="H1598" s="17" t="n"/>
      <c r="I1598" s="17" t="n"/>
      <c r="J1598" s="17" t="n"/>
      <c r="K1598" s="20">
        <f>IF($B1598="","",IFERROR(INDEX(الموظفات!$A$5:$A$304,MATCH($B1598,الموظفات!$B$5:$B$304,0))&amp;"",""))</f>
        <v/>
      </c>
      <c r="L1598" s="21">
        <f>IF($B1598="","",IFERROR(INDEX(الموظفات!$C$5:$C$304,MATCH($B1598,الموظفات!$B$5:$B$304,0))&amp;"",""))</f>
        <v/>
      </c>
      <c r="M1598" s="20">
        <f>IF($B1598="","",IFERROR(INDEX(الموظفات!$D$5:$D$304,MATCH($B1598,الموظفات!$B$5:$B$304,0))&amp;"",""))</f>
        <v/>
      </c>
      <c r="N1598" s="20">
        <f>IF($B1598="","",IFERROR(INDEX(الموظفات!$E$5:$E$304,MATCH($B1598,الموظفات!$B$5:$B$304,0))&amp;"",""))</f>
        <v/>
      </c>
      <c r="O1598" s="21">
        <f>IF(C1598="","",IFERROR(INDEX(الإعدادات!$D$7:$D$35,MATCH(C1598,الإعدادات!$A$7:$A$35,0))&amp;"",""))</f>
        <v/>
      </c>
      <c r="P1598" s="20">
        <f>IF(A1598="","",INDEX(الإعدادات!$H$7:$H$18,MONTH(A1598)))</f>
        <v/>
      </c>
      <c r="Q1598" s="20">
        <f>IF(A1598="","",INDEX(الإعدادات!$I$7:$I$18,MONTH(A1598)))</f>
        <v/>
      </c>
      <c r="R1598" s="20">
        <f>IF(A1598="","",IF(MONTH(A1598)&gt;=8,YEAR(A1598)&amp;"-"&amp;(YEAR(A1598)+1),(YEAR(A1598)-1)&amp;"-"&amp;YEAR(A1598)))</f>
        <v/>
      </c>
      <c r="S1598" s="20">
        <f>IF(OR(A1598="",B1598=""),0,IF(AND(R1598=التقارير!$C$4,OR(التقارير!$C$5="سنوي",AND(التقارير!$C$5="شهري",P1598=التقارير!$C$6),AND(التقارير!$C$5="فصلي",Q1598=التقارير!$C$7))),1,0))</f>
        <v/>
      </c>
      <c r="T1598" s="20">
        <f>IF(S1598=1,COUNTIF($S$5:S1598,1),"")</f>
        <v/>
      </c>
      <c r="U1598">
        <f>IF(AND($A1598&lt;&gt;"",$B1598&lt;&gt;"",$R1598='تقرير الفصل الأول'!$C$4,$Q1598='تقرير الفصل الأول'!$C$7),COUNT(U$4:U1597)+1,"")</f>
        <v/>
      </c>
      <c r="V1598">
        <f>IF(AND($A1598&lt;&gt;"",$B1598&lt;&gt;"",$R1598='تقرير الفصل الثاني'!$C$4,$Q1598='تقرير الفصل الثاني'!$C$7),COUNT(V$4:V1597)+1,"")</f>
        <v/>
      </c>
      <c r="W1598">
        <f>IF(AND($A1598&lt;&gt;"",$B1598&lt;&gt;"",$R1598='تقرير سبتمبر'!$C$4,$P1598='تقرير سبتمبر'!$C$6),COUNT(W$4:W1597)+1,"")</f>
        <v/>
      </c>
      <c r="X1598">
        <f>IF(AND($A1598&lt;&gt;"",$B1598&lt;&gt;"",$R1598='تقرير أكتوبر'!$C$4,$P1598='تقرير أكتوبر'!$C$6),COUNT(X$4:X1597)+1,"")</f>
        <v/>
      </c>
      <c r="Y1598">
        <f>IF(AND($A1598&lt;&gt;"",$B1598&lt;&gt;"",$R1598='تقرير نوفمبر'!$C$4,$P1598='تقرير نوفمبر'!$C$6),COUNT(Y$4:Y1597)+1,"")</f>
        <v/>
      </c>
      <c r="Z1598">
        <f>IF(AND($A1598&lt;&gt;"",$B1598&lt;&gt;"",$R1598='تقرير ديسمبر'!$C$4,$P1598='تقرير ديسمبر'!$C$6),COUNT(Z$4:Z1597)+1,"")</f>
        <v/>
      </c>
      <c r="AA1598">
        <f>IF(AND($A1598&lt;&gt;"",$B1598&lt;&gt;"",$R1598='تقرير يناير'!$C$4,$P1598='تقرير يناير'!$C$6),COUNT(AA$4:AA1597)+1,"")</f>
        <v/>
      </c>
      <c r="AB1598">
        <f>IF(AND($A1598&lt;&gt;"",$B1598&lt;&gt;"",$R1598='تقرير فبراير'!$C$4,$P1598='تقرير فبراير'!$C$6),COUNT(AB$4:AB1597)+1,"")</f>
        <v/>
      </c>
      <c r="AC1598">
        <f>IF(AND($A1598&lt;&gt;"",$B1598&lt;&gt;"",$R1598='تقرير مارس'!$C$4,$P1598='تقرير مارس'!$C$6),COUNT(AC$4:AC1597)+1,"")</f>
        <v/>
      </c>
      <c r="AD1598">
        <f>IF(AND($A1598&lt;&gt;"",$B1598&lt;&gt;"",$R1598='تقرير أبريل'!$C$4,$P1598='تقرير أبريل'!$C$6),COUNT(AD$4:AD1597)+1,"")</f>
        <v/>
      </c>
      <c r="AE1598">
        <f>IF(AND($A1598&lt;&gt;"",$B1598&lt;&gt;"",$R1598='تقرير مايو'!$C$4,$P1598='تقرير مايو'!$C$6),COUNT(AE$4:AE1597)+1,"")</f>
        <v/>
      </c>
    </row>
    <row r="1599">
      <c r="A1599" s="16" t="n"/>
      <c r="B1599" s="17" t="n"/>
      <c r="C1599" s="17" t="n"/>
      <c r="D1599" s="18" t="n"/>
      <c r="E1599" s="17" t="n"/>
      <c r="F1599" s="17" t="n"/>
      <c r="G1599" s="19" t="n"/>
      <c r="H1599" s="17" t="n"/>
      <c r="I1599" s="17" t="n"/>
      <c r="J1599" s="17" t="n"/>
      <c r="K1599" s="20">
        <f>IF($B1599="","",IFERROR(INDEX(الموظفات!$A$5:$A$304,MATCH($B1599,الموظفات!$B$5:$B$304,0))&amp;"",""))</f>
        <v/>
      </c>
      <c r="L1599" s="21">
        <f>IF($B1599="","",IFERROR(INDEX(الموظفات!$C$5:$C$304,MATCH($B1599,الموظفات!$B$5:$B$304,0))&amp;"",""))</f>
        <v/>
      </c>
      <c r="M1599" s="20">
        <f>IF($B1599="","",IFERROR(INDEX(الموظفات!$D$5:$D$304,MATCH($B1599,الموظفات!$B$5:$B$304,0))&amp;"",""))</f>
        <v/>
      </c>
      <c r="N1599" s="20">
        <f>IF($B1599="","",IFERROR(INDEX(الموظفات!$E$5:$E$304,MATCH($B1599,الموظفات!$B$5:$B$304,0))&amp;"",""))</f>
        <v/>
      </c>
      <c r="O1599" s="21">
        <f>IF(C1599="","",IFERROR(INDEX(الإعدادات!$D$7:$D$35,MATCH(C1599,الإعدادات!$A$7:$A$35,0))&amp;"",""))</f>
        <v/>
      </c>
      <c r="P1599" s="20">
        <f>IF(A1599="","",INDEX(الإعدادات!$H$7:$H$18,MONTH(A1599)))</f>
        <v/>
      </c>
      <c r="Q1599" s="20">
        <f>IF(A1599="","",INDEX(الإعدادات!$I$7:$I$18,MONTH(A1599)))</f>
        <v/>
      </c>
      <c r="R1599" s="20">
        <f>IF(A1599="","",IF(MONTH(A1599)&gt;=8,YEAR(A1599)&amp;"-"&amp;(YEAR(A1599)+1),(YEAR(A1599)-1)&amp;"-"&amp;YEAR(A1599)))</f>
        <v/>
      </c>
      <c r="S1599" s="20">
        <f>IF(OR(A1599="",B1599=""),0,IF(AND(R1599=التقارير!$C$4,OR(التقارير!$C$5="سنوي",AND(التقارير!$C$5="شهري",P1599=التقارير!$C$6),AND(التقارير!$C$5="فصلي",Q1599=التقارير!$C$7))),1,0))</f>
        <v/>
      </c>
      <c r="T1599" s="20">
        <f>IF(S1599=1,COUNTIF($S$5:S1599,1),"")</f>
        <v/>
      </c>
      <c r="U1599">
        <f>IF(AND($A1599&lt;&gt;"",$B1599&lt;&gt;"",$R1599='تقرير الفصل الأول'!$C$4,$Q1599='تقرير الفصل الأول'!$C$7),COUNT(U$4:U1598)+1,"")</f>
        <v/>
      </c>
      <c r="V1599">
        <f>IF(AND($A1599&lt;&gt;"",$B1599&lt;&gt;"",$R1599='تقرير الفصل الثاني'!$C$4,$Q1599='تقرير الفصل الثاني'!$C$7),COUNT(V$4:V1598)+1,"")</f>
        <v/>
      </c>
      <c r="W1599">
        <f>IF(AND($A1599&lt;&gt;"",$B1599&lt;&gt;"",$R1599='تقرير سبتمبر'!$C$4,$P1599='تقرير سبتمبر'!$C$6),COUNT(W$4:W1598)+1,"")</f>
        <v/>
      </c>
      <c r="X1599">
        <f>IF(AND($A1599&lt;&gt;"",$B1599&lt;&gt;"",$R1599='تقرير أكتوبر'!$C$4,$P1599='تقرير أكتوبر'!$C$6),COUNT(X$4:X1598)+1,"")</f>
        <v/>
      </c>
      <c r="Y1599">
        <f>IF(AND($A1599&lt;&gt;"",$B1599&lt;&gt;"",$R1599='تقرير نوفمبر'!$C$4,$P1599='تقرير نوفمبر'!$C$6),COUNT(Y$4:Y1598)+1,"")</f>
        <v/>
      </c>
      <c r="Z1599">
        <f>IF(AND($A1599&lt;&gt;"",$B1599&lt;&gt;"",$R1599='تقرير ديسمبر'!$C$4,$P1599='تقرير ديسمبر'!$C$6),COUNT(Z$4:Z1598)+1,"")</f>
        <v/>
      </c>
      <c r="AA1599">
        <f>IF(AND($A1599&lt;&gt;"",$B1599&lt;&gt;"",$R1599='تقرير يناير'!$C$4,$P1599='تقرير يناير'!$C$6),COUNT(AA$4:AA1598)+1,"")</f>
        <v/>
      </c>
      <c r="AB1599">
        <f>IF(AND($A1599&lt;&gt;"",$B1599&lt;&gt;"",$R1599='تقرير فبراير'!$C$4,$P1599='تقرير فبراير'!$C$6),COUNT(AB$4:AB1598)+1,"")</f>
        <v/>
      </c>
      <c r="AC1599">
        <f>IF(AND($A1599&lt;&gt;"",$B1599&lt;&gt;"",$R1599='تقرير مارس'!$C$4,$P1599='تقرير مارس'!$C$6),COUNT(AC$4:AC1598)+1,"")</f>
        <v/>
      </c>
      <c r="AD1599">
        <f>IF(AND($A1599&lt;&gt;"",$B1599&lt;&gt;"",$R1599='تقرير أبريل'!$C$4,$P1599='تقرير أبريل'!$C$6),COUNT(AD$4:AD1598)+1,"")</f>
        <v/>
      </c>
      <c r="AE1599">
        <f>IF(AND($A1599&lt;&gt;"",$B1599&lt;&gt;"",$R1599='تقرير مايو'!$C$4,$P1599='تقرير مايو'!$C$6),COUNT(AE$4:AE1598)+1,"")</f>
        <v/>
      </c>
    </row>
    <row r="1600">
      <c r="A1600" s="16" t="n"/>
      <c r="B1600" s="17" t="n"/>
      <c r="C1600" s="17" t="n"/>
      <c r="D1600" s="18" t="n"/>
      <c r="E1600" s="17" t="n"/>
      <c r="F1600" s="17" t="n"/>
      <c r="G1600" s="19" t="n"/>
      <c r="H1600" s="17" t="n"/>
      <c r="I1600" s="17" t="n"/>
      <c r="J1600" s="17" t="n"/>
      <c r="K1600" s="20">
        <f>IF($B1600="","",IFERROR(INDEX(الموظفات!$A$5:$A$304,MATCH($B1600,الموظفات!$B$5:$B$304,0))&amp;"",""))</f>
        <v/>
      </c>
      <c r="L1600" s="21">
        <f>IF($B1600="","",IFERROR(INDEX(الموظفات!$C$5:$C$304,MATCH($B1600,الموظفات!$B$5:$B$304,0))&amp;"",""))</f>
        <v/>
      </c>
      <c r="M1600" s="20">
        <f>IF($B1600="","",IFERROR(INDEX(الموظفات!$D$5:$D$304,MATCH($B1600,الموظفات!$B$5:$B$304,0))&amp;"",""))</f>
        <v/>
      </c>
      <c r="N1600" s="20">
        <f>IF($B1600="","",IFERROR(INDEX(الموظفات!$E$5:$E$304,MATCH($B1600,الموظفات!$B$5:$B$304,0))&amp;"",""))</f>
        <v/>
      </c>
      <c r="O1600" s="21">
        <f>IF(C1600="","",IFERROR(INDEX(الإعدادات!$D$7:$D$35,MATCH(C1600,الإعدادات!$A$7:$A$35,0))&amp;"",""))</f>
        <v/>
      </c>
      <c r="P1600" s="20">
        <f>IF(A1600="","",INDEX(الإعدادات!$H$7:$H$18,MONTH(A1600)))</f>
        <v/>
      </c>
      <c r="Q1600" s="20">
        <f>IF(A1600="","",INDEX(الإعدادات!$I$7:$I$18,MONTH(A1600)))</f>
        <v/>
      </c>
      <c r="R1600" s="20">
        <f>IF(A1600="","",IF(MONTH(A1600)&gt;=8,YEAR(A1600)&amp;"-"&amp;(YEAR(A1600)+1),(YEAR(A1600)-1)&amp;"-"&amp;YEAR(A1600)))</f>
        <v/>
      </c>
      <c r="S1600" s="20">
        <f>IF(OR(A1600="",B1600=""),0,IF(AND(R1600=التقارير!$C$4,OR(التقارير!$C$5="سنوي",AND(التقارير!$C$5="شهري",P1600=التقارير!$C$6),AND(التقارير!$C$5="فصلي",Q1600=التقارير!$C$7))),1,0))</f>
        <v/>
      </c>
      <c r="T1600" s="20">
        <f>IF(S1600=1,COUNTIF($S$5:S1600,1),"")</f>
        <v/>
      </c>
      <c r="U1600">
        <f>IF(AND($A1600&lt;&gt;"",$B1600&lt;&gt;"",$R1600='تقرير الفصل الأول'!$C$4,$Q1600='تقرير الفصل الأول'!$C$7),COUNT(U$4:U1599)+1,"")</f>
        <v/>
      </c>
      <c r="V1600">
        <f>IF(AND($A1600&lt;&gt;"",$B1600&lt;&gt;"",$R1600='تقرير الفصل الثاني'!$C$4,$Q1600='تقرير الفصل الثاني'!$C$7),COUNT(V$4:V1599)+1,"")</f>
        <v/>
      </c>
      <c r="W1600">
        <f>IF(AND($A1600&lt;&gt;"",$B1600&lt;&gt;"",$R1600='تقرير سبتمبر'!$C$4,$P1600='تقرير سبتمبر'!$C$6),COUNT(W$4:W1599)+1,"")</f>
        <v/>
      </c>
      <c r="X1600">
        <f>IF(AND($A1600&lt;&gt;"",$B1600&lt;&gt;"",$R1600='تقرير أكتوبر'!$C$4,$P1600='تقرير أكتوبر'!$C$6),COUNT(X$4:X1599)+1,"")</f>
        <v/>
      </c>
      <c r="Y1600">
        <f>IF(AND($A1600&lt;&gt;"",$B1600&lt;&gt;"",$R1600='تقرير نوفمبر'!$C$4,$P1600='تقرير نوفمبر'!$C$6),COUNT(Y$4:Y1599)+1,"")</f>
        <v/>
      </c>
      <c r="Z1600">
        <f>IF(AND($A1600&lt;&gt;"",$B1600&lt;&gt;"",$R1600='تقرير ديسمبر'!$C$4,$P1600='تقرير ديسمبر'!$C$6),COUNT(Z$4:Z1599)+1,"")</f>
        <v/>
      </c>
      <c r="AA1600">
        <f>IF(AND($A1600&lt;&gt;"",$B1600&lt;&gt;"",$R1600='تقرير يناير'!$C$4,$P1600='تقرير يناير'!$C$6),COUNT(AA$4:AA1599)+1,"")</f>
        <v/>
      </c>
      <c r="AB1600">
        <f>IF(AND($A1600&lt;&gt;"",$B1600&lt;&gt;"",$R1600='تقرير فبراير'!$C$4,$P1600='تقرير فبراير'!$C$6),COUNT(AB$4:AB1599)+1,"")</f>
        <v/>
      </c>
      <c r="AC1600">
        <f>IF(AND($A1600&lt;&gt;"",$B1600&lt;&gt;"",$R1600='تقرير مارس'!$C$4,$P1600='تقرير مارس'!$C$6),COUNT(AC$4:AC1599)+1,"")</f>
        <v/>
      </c>
      <c r="AD1600">
        <f>IF(AND($A1600&lt;&gt;"",$B1600&lt;&gt;"",$R1600='تقرير أبريل'!$C$4,$P1600='تقرير أبريل'!$C$6),COUNT(AD$4:AD1599)+1,"")</f>
        <v/>
      </c>
      <c r="AE1600">
        <f>IF(AND($A1600&lt;&gt;"",$B1600&lt;&gt;"",$R1600='تقرير مايو'!$C$4,$P1600='تقرير مايو'!$C$6),COUNT(AE$4:AE1599)+1,"")</f>
        <v/>
      </c>
    </row>
    <row r="1601">
      <c r="A1601" s="16" t="n"/>
      <c r="B1601" s="17" t="n"/>
      <c r="C1601" s="17" t="n"/>
      <c r="D1601" s="18" t="n"/>
      <c r="E1601" s="17" t="n"/>
      <c r="F1601" s="17" t="n"/>
      <c r="G1601" s="19" t="n"/>
      <c r="H1601" s="17" t="n"/>
      <c r="I1601" s="17" t="n"/>
      <c r="J1601" s="17" t="n"/>
      <c r="K1601" s="20">
        <f>IF($B1601="","",IFERROR(INDEX(الموظفات!$A$5:$A$304,MATCH($B1601,الموظفات!$B$5:$B$304,0))&amp;"",""))</f>
        <v/>
      </c>
      <c r="L1601" s="21">
        <f>IF($B1601="","",IFERROR(INDEX(الموظفات!$C$5:$C$304,MATCH($B1601,الموظفات!$B$5:$B$304,0))&amp;"",""))</f>
        <v/>
      </c>
      <c r="M1601" s="20">
        <f>IF($B1601="","",IFERROR(INDEX(الموظفات!$D$5:$D$304,MATCH($B1601,الموظفات!$B$5:$B$304,0))&amp;"",""))</f>
        <v/>
      </c>
      <c r="N1601" s="20">
        <f>IF($B1601="","",IFERROR(INDEX(الموظفات!$E$5:$E$304,MATCH($B1601,الموظفات!$B$5:$B$304,0))&amp;"",""))</f>
        <v/>
      </c>
      <c r="O1601" s="21">
        <f>IF(C1601="","",IFERROR(INDEX(الإعدادات!$D$7:$D$35,MATCH(C1601,الإعدادات!$A$7:$A$35,0))&amp;"",""))</f>
        <v/>
      </c>
      <c r="P1601" s="20">
        <f>IF(A1601="","",INDEX(الإعدادات!$H$7:$H$18,MONTH(A1601)))</f>
        <v/>
      </c>
      <c r="Q1601" s="20">
        <f>IF(A1601="","",INDEX(الإعدادات!$I$7:$I$18,MONTH(A1601)))</f>
        <v/>
      </c>
      <c r="R1601" s="20">
        <f>IF(A1601="","",IF(MONTH(A1601)&gt;=8,YEAR(A1601)&amp;"-"&amp;(YEAR(A1601)+1),(YEAR(A1601)-1)&amp;"-"&amp;YEAR(A1601)))</f>
        <v/>
      </c>
      <c r="S1601" s="20">
        <f>IF(OR(A1601="",B1601=""),0,IF(AND(R1601=التقارير!$C$4,OR(التقارير!$C$5="سنوي",AND(التقارير!$C$5="شهري",P1601=التقارير!$C$6),AND(التقارير!$C$5="فصلي",Q1601=التقارير!$C$7))),1,0))</f>
        <v/>
      </c>
      <c r="T1601" s="20">
        <f>IF(S1601=1,COUNTIF($S$5:S1601,1),"")</f>
        <v/>
      </c>
      <c r="U1601">
        <f>IF(AND($A1601&lt;&gt;"",$B1601&lt;&gt;"",$R1601='تقرير الفصل الأول'!$C$4,$Q1601='تقرير الفصل الأول'!$C$7),COUNT(U$4:U1600)+1,"")</f>
        <v/>
      </c>
      <c r="V1601">
        <f>IF(AND($A1601&lt;&gt;"",$B1601&lt;&gt;"",$R1601='تقرير الفصل الثاني'!$C$4,$Q1601='تقرير الفصل الثاني'!$C$7),COUNT(V$4:V1600)+1,"")</f>
        <v/>
      </c>
      <c r="W1601">
        <f>IF(AND($A1601&lt;&gt;"",$B1601&lt;&gt;"",$R1601='تقرير سبتمبر'!$C$4,$P1601='تقرير سبتمبر'!$C$6),COUNT(W$4:W1600)+1,"")</f>
        <v/>
      </c>
      <c r="X1601">
        <f>IF(AND($A1601&lt;&gt;"",$B1601&lt;&gt;"",$R1601='تقرير أكتوبر'!$C$4,$P1601='تقرير أكتوبر'!$C$6),COUNT(X$4:X1600)+1,"")</f>
        <v/>
      </c>
      <c r="Y1601">
        <f>IF(AND($A1601&lt;&gt;"",$B1601&lt;&gt;"",$R1601='تقرير نوفمبر'!$C$4,$P1601='تقرير نوفمبر'!$C$6),COUNT(Y$4:Y1600)+1,"")</f>
        <v/>
      </c>
      <c r="Z1601">
        <f>IF(AND($A1601&lt;&gt;"",$B1601&lt;&gt;"",$R1601='تقرير ديسمبر'!$C$4,$P1601='تقرير ديسمبر'!$C$6),COUNT(Z$4:Z1600)+1,"")</f>
        <v/>
      </c>
      <c r="AA1601">
        <f>IF(AND($A1601&lt;&gt;"",$B1601&lt;&gt;"",$R1601='تقرير يناير'!$C$4,$P1601='تقرير يناير'!$C$6),COUNT(AA$4:AA1600)+1,"")</f>
        <v/>
      </c>
      <c r="AB1601">
        <f>IF(AND($A1601&lt;&gt;"",$B1601&lt;&gt;"",$R1601='تقرير فبراير'!$C$4,$P1601='تقرير فبراير'!$C$6),COUNT(AB$4:AB1600)+1,"")</f>
        <v/>
      </c>
      <c r="AC1601">
        <f>IF(AND($A1601&lt;&gt;"",$B1601&lt;&gt;"",$R1601='تقرير مارس'!$C$4,$P1601='تقرير مارس'!$C$6),COUNT(AC$4:AC1600)+1,"")</f>
        <v/>
      </c>
      <c r="AD1601">
        <f>IF(AND($A1601&lt;&gt;"",$B1601&lt;&gt;"",$R1601='تقرير أبريل'!$C$4,$P1601='تقرير أبريل'!$C$6),COUNT(AD$4:AD1600)+1,"")</f>
        <v/>
      </c>
      <c r="AE1601">
        <f>IF(AND($A1601&lt;&gt;"",$B1601&lt;&gt;"",$R1601='تقرير مايو'!$C$4,$P1601='تقرير مايو'!$C$6),COUNT(AE$4:AE1600)+1,"")</f>
        <v/>
      </c>
    </row>
    <row r="1602">
      <c r="A1602" s="16" t="n"/>
      <c r="B1602" s="17" t="n"/>
      <c r="C1602" s="17" t="n"/>
      <c r="D1602" s="18" t="n"/>
      <c r="E1602" s="17" t="n"/>
      <c r="F1602" s="17" t="n"/>
      <c r="G1602" s="19" t="n"/>
      <c r="H1602" s="17" t="n"/>
      <c r="I1602" s="17" t="n"/>
      <c r="J1602" s="17" t="n"/>
      <c r="K1602" s="20">
        <f>IF($B1602="","",IFERROR(INDEX(الموظفات!$A$5:$A$304,MATCH($B1602,الموظفات!$B$5:$B$304,0))&amp;"",""))</f>
        <v/>
      </c>
      <c r="L1602" s="21">
        <f>IF($B1602="","",IFERROR(INDEX(الموظفات!$C$5:$C$304,MATCH($B1602,الموظفات!$B$5:$B$304,0))&amp;"",""))</f>
        <v/>
      </c>
      <c r="M1602" s="20">
        <f>IF($B1602="","",IFERROR(INDEX(الموظفات!$D$5:$D$304,MATCH($B1602,الموظفات!$B$5:$B$304,0))&amp;"",""))</f>
        <v/>
      </c>
      <c r="N1602" s="20">
        <f>IF($B1602="","",IFERROR(INDEX(الموظفات!$E$5:$E$304,MATCH($B1602,الموظفات!$B$5:$B$304,0))&amp;"",""))</f>
        <v/>
      </c>
      <c r="O1602" s="21">
        <f>IF(C1602="","",IFERROR(INDEX(الإعدادات!$D$7:$D$35,MATCH(C1602,الإعدادات!$A$7:$A$35,0))&amp;"",""))</f>
        <v/>
      </c>
      <c r="P1602" s="20">
        <f>IF(A1602="","",INDEX(الإعدادات!$H$7:$H$18,MONTH(A1602)))</f>
        <v/>
      </c>
      <c r="Q1602" s="20">
        <f>IF(A1602="","",INDEX(الإعدادات!$I$7:$I$18,MONTH(A1602)))</f>
        <v/>
      </c>
      <c r="R1602" s="20">
        <f>IF(A1602="","",IF(MONTH(A1602)&gt;=8,YEAR(A1602)&amp;"-"&amp;(YEAR(A1602)+1),(YEAR(A1602)-1)&amp;"-"&amp;YEAR(A1602)))</f>
        <v/>
      </c>
      <c r="S1602" s="20">
        <f>IF(OR(A1602="",B1602=""),0,IF(AND(R1602=التقارير!$C$4,OR(التقارير!$C$5="سنوي",AND(التقارير!$C$5="شهري",P1602=التقارير!$C$6),AND(التقارير!$C$5="فصلي",Q1602=التقارير!$C$7))),1,0))</f>
        <v/>
      </c>
      <c r="T1602" s="20">
        <f>IF(S1602=1,COUNTIF($S$5:S1602,1),"")</f>
        <v/>
      </c>
      <c r="U1602">
        <f>IF(AND($A1602&lt;&gt;"",$B1602&lt;&gt;"",$R1602='تقرير الفصل الأول'!$C$4,$Q1602='تقرير الفصل الأول'!$C$7),COUNT(U$4:U1601)+1,"")</f>
        <v/>
      </c>
      <c r="V1602">
        <f>IF(AND($A1602&lt;&gt;"",$B1602&lt;&gt;"",$R1602='تقرير الفصل الثاني'!$C$4,$Q1602='تقرير الفصل الثاني'!$C$7),COUNT(V$4:V1601)+1,"")</f>
        <v/>
      </c>
      <c r="W1602">
        <f>IF(AND($A1602&lt;&gt;"",$B1602&lt;&gt;"",$R1602='تقرير سبتمبر'!$C$4,$P1602='تقرير سبتمبر'!$C$6),COUNT(W$4:W1601)+1,"")</f>
        <v/>
      </c>
      <c r="X1602">
        <f>IF(AND($A1602&lt;&gt;"",$B1602&lt;&gt;"",$R1602='تقرير أكتوبر'!$C$4,$P1602='تقرير أكتوبر'!$C$6),COUNT(X$4:X1601)+1,"")</f>
        <v/>
      </c>
      <c r="Y1602">
        <f>IF(AND($A1602&lt;&gt;"",$B1602&lt;&gt;"",$R1602='تقرير نوفمبر'!$C$4,$P1602='تقرير نوفمبر'!$C$6),COUNT(Y$4:Y1601)+1,"")</f>
        <v/>
      </c>
      <c r="Z1602">
        <f>IF(AND($A1602&lt;&gt;"",$B1602&lt;&gt;"",$R1602='تقرير ديسمبر'!$C$4,$P1602='تقرير ديسمبر'!$C$6),COUNT(Z$4:Z1601)+1,"")</f>
        <v/>
      </c>
      <c r="AA1602">
        <f>IF(AND($A1602&lt;&gt;"",$B1602&lt;&gt;"",$R1602='تقرير يناير'!$C$4,$P1602='تقرير يناير'!$C$6),COUNT(AA$4:AA1601)+1,"")</f>
        <v/>
      </c>
      <c r="AB1602">
        <f>IF(AND($A1602&lt;&gt;"",$B1602&lt;&gt;"",$R1602='تقرير فبراير'!$C$4,$P1602='تقرير فبراير'!$C$6),COUNT(AB$4:AB1601)+1,"")</f>
        <v/>
      </c>
      <c r="AC1602">
        <f>IF(AND($A1602&lt;&gt;"",$B1602&lt;&gt;"",$R1602='تقرير مارس'!$C$4,$P1602='تقرير مارس'!$C$6),COUNT(AC$4:AC1601)+1,"")</f>
        <v/>
      </c>
      <c r="AD1602">
        <f>IF(AND($A1602&lt;&gt;"",$B1602&lt;&gt;"",$R1602='تقرير أبريل'!$C$4,$P1602='تقرير أبريل'!$C$6),COUNT(AD$4:AD1601)+1,"")</f>
        <v/>
      </c>
      <c r="AE1602">
        <f>IF(AND($A1602&lt;&gt;"",$B1602&lt;&gt;"",$R1602='تقرير مايو'!$C$4,$P1602='تقرير مايو'!$C$6),COUNT(AE$4:AE1601)+1,"")</f>
        <v/>
      </c>
    </row>
    <row r="1603">
      <c r="A1603" s="16" t="n"/>
      <c r="B1603" s="17" t="n"/>
      <c r="C1603" s="17" t="n"/>
      <c r="D1603" s="18" t="n"/>
      <c r="E1603" s="17" t="n"/>
      <c r="F1603" s="17" t="n"/>
      <c r="G1603" s="19" t="n"/>
      <c r="H1603" s="17" t="n"/>
      <c r="I1603" s="17" t="n"/>
      <c r="J1603" s="17" t="n"/>
      <c r="K1603" s="20">
        <f>IF($B1603="","",IFERROR(INDEX(الموظفات!$A$5:$A$304,MATCH($B1603,الموظفات!$B$5:$B$304,0))&amp;"",""))</f>
        <v/>
      </c>
      <c r="L1603" s="21">
        <f>IF($B1603="","",IFERROR(INDEX(الموظفات!$C$5:$C$304,MATCH($B1603,الموظفات!$B$5:$B$304,0))&amp;"",""))</f>
        <v/>
      </c>
      <c r="M1603" s="20">
        <f>IF($B1603="","",IFERROR(INDEX(الموظفات!$D$5:$D$304,MATCH($B1603,الموظفات!$B$5:$B$304,0))&amp;"",""))</f>
        <v/>
      </c>
      <c r="N1603" s="20">
        <f>IF($B1603="","",IFERROR(INDEX(الموظفات!$E$5:$E$304,MATCH($B1603,الموظفات!$B$5:$B$304,0))&amp;"",""))</f>
        <v/>
      </c>
      <c r="O1603" s="21">
        <f>IF(C1603="","",IFERROR(INDEX(الإعدادات!$D$7:$D$35,MATCH(C1603,الإعدادات!$A$7:$A$35,0))&amp;"",""))</f>
        <v/>
      </c>
      <c r="P1603" s="20">
        <f>IF(A1603="","",INDEX(الإعدادات!$H$7:$H$18,MONTH(A1603)))</f>
        <v/>
      </c>
      <c r="Q1603" s="20">
        <f>IF(A1603="","",INDEX(الإعدادات!$I$7:$I$18,MONTH(A1603)))</f>
        <v/>
      </c>
      <c r="R1603" s="20">
        <f>IF(A1603="","",IF(MONTH(A1603)&gt;=8,YEAR(A1603)&amp;"-"&amp;(YEAR(A1603)+1),(YEAR(A1603)-1)&amp;"-"&amp;YEAR(A1603)))</f>
        <v/>
      </c>
      <c r="S1603" s="20">
        <f>IF(OR(A1603="",B1603=""),0,IF(AND(R1603=التقارير!$C$4,OR(التقارير!$C$5="سنوي",AND(التقارير!$C$5="شهري",P1603=التقارير!$C$6),AND(التقارير!$C$5="فصلي",Q1603=التقارير!$C$7))),1,0))</f>
        <v/>
      </c>
      <c r="T1603" s="20">
        <f>IF(S1603=1,COUNTIF($S$5:S1603,1),"")</f>
        <v/>
      </c>
      <c r="U1603">
        <f>IF(AND($A1603&lt;&gt;"",$B1603&lt;&gt;"",$R1603='تقرير الفصل الأول'!$C$4,$Q1603='تقرير الفصل الأول'!$C$7),COUNT(U$4:U1602)+1,"")</f>
        <v/>
      </c>
      <c r="V1603">
        <f>IF(AND($A1603&lt;&gt;"",$B1603&lt;&gt;"",$R1603='تقرير الفصل الثاني'!$C$4,$Q1603='تقرير الفصل الثاني'!$C$7),COUNT(V$4:V1602)+1,"")</f>
        <v/>
      </c>
      <c r="W1603">
        <f>IF(AND($A1603&lt;&gt;"",$B1603&lt;&gt;"",$R1603='تقرير سبتمبر'!$C$4,$P1603='تقرير سبتمبر'!$C$6),COUNT(W$4:W1602)+1,"")</f>
        <v/>
      </c>
      <c r="X1603">
        <f>IF(AND($A1603&lt;&gt;"",$B1603&lt;&gt;"",$R1603='تقرير أكتوبر'!$C$4,$P1603='تقرير أكتوبر'!$C$6),COUNT(X$4:X1602)+1,"")</f>
        <v/>
      </c>
      <c r="Y1603">
        <f>IF(AND($A1603&lt;&gt;"",$B1603&lt;&gt;"",$R1603='تقرير نوفمبر'!$C$4,$P1603='تقرير نوفمبر'!$C$6),COUNT(Y$4:Y1602)+1,"")</f>
        <v/>
      </c>
      <c r="Z1603">
        <f>IF(AND($A1603&lt;&gt;"",$B1603&lt;&gt;"",$R1603='تقرير ديسمبر'!$C$4,$P1603='تقرير ديسمبر'!$C$6),COUNT(Z$4:Z1602)+1,"")</f>
        <v/>
      </c>
      <c r="AA1603">
        <f>IF(AND($A1603&lt;&gt;"",$B1603&lt;&gt;"",$R1603='تقرير يناير'!$C$4,$P1603='تقرير يناير'!$C$6),COUNT(AA$4:AA1602)+1,"")</f>
        <v/>
      </c>
      <c r="AB1603">
        <f>IF(AND($A1603&lt;&gt;"",$B1603&lt;&gt;"",$R1603='تقرير فبراير'!$C$4,$P1603='تقرير فبراير'!$C$6),COUNT(AB$4:AB1602)+1,"")</f>
        <v/>
      </c>
      <c r="AC1603">
        <f>IF(AND($A1603&lt;&gt;"",$B1603&lt;&gt;"",$R1603='تقرير مارس'!$C$4,$P1603='تقرير مارس'!$C$6),COUNT(AC$4:AC1602)+1,"")</f>
        <v/>
      </c>
      <c r="AD1603">
        <f>IF(AND($A1603&lt;&gt;"",$B1603&lt;&gt;"",$R1603='تقرير أبريل'!$C$4,$P1603='تقرير أبريل'!$C$6),COUNT(AD$4:AD1602)+1,"")</f>
        <v/>
      </c>
      <c r="AE1603">
        <f>IF(AND($A1603&lt;&gt;"",$B1603&lt;&gt;"",$R1603='تقرير مايو'!$C$4,$P1603='تقرير مايو'!$C$6),COUNT(AE$4:AE1602)+1,"")</f>
        <v/>
      </c>
    </row>
    <row r="1604">
      <c r="A1604" s="16" t="n"/>
      <c r="B1604" s="17" t="n"/>
      <c r="C1604" s="17" t="n"/>
      <c r="D1604" s="18" t="n"/>
      <c r="E1604" s="17" t="n"/>
      <c r="F1604" s="17" t="n"/>
      <c r="G1604" s="19" t="n"/>
      <c r="H1604" s="17" t="n"/>
      <c r="I1604" s="17" t="n"/>
      <c r="J1604" s="17" t="n"/>
      <c r="K1604" s="20">
        <f>IF($B1604="","",IFERROR(INDEX(الموظفات!$A$5:$A$304,MATCH($B1604,الموظفات!$B$5:$B$304,0))&amp;"",""))</f>
        <v/>
      </c>
      <c r="L1604" s="21">
        <f>IF($B1604="","",IFERROR(INDEX(الموظفات!$C$5:$C$304,MATCH($B1604,الموظفات!$B$5:$B$304,0))&amp;"",""))</f>
        <v/>
      </c>
      <c r="M1604" s="20">
        <f>IF($B1604="","",IFERROR(INDEX(الموظفات!$D$5:$D$304,MATCH($B1604,الموظفات!$B$5:$B$304,0))&amp;"",""))</f>
        <v/>
      </c>
      <c r="N1604" s="20">
        <f>IF($B1604="","",IFERROR(INDEX(الموظفات!$E$5:$E$304,MATCH($B1604,الموظفات!$B$5:$B$304,0))&amp;"",""))</f>
        <v/>
      </c>
      <c r="O1604" s="21">
        <f>IF(C1604="","",IFERROR(INDEX(الإعدادات!$D$7:$D$35,MATCH(C1604,الإعدادات!$A$7:$A$35,0))&amp;"",""))</f>
        <v/>
      </c>
      <c r="P1604" s="20">
        <f>IF(A1604="","",INDEX(الإعدادات!$H$7:$H$18,MONTH(A1604)))</f>
        <v/>
      </c>
      <c r="Q1604" s="20">
        <f>IF(A1604="","",INDEX(الإعدادات!$I$7:$I$18,MONTH(A1604)))</f>
        <v/>
      </c>
      <c r="R1604" s="20">
        <f>IF(A1604="","",IF(MONTH(A1604)&gt;=8,YEAR(A1604)&amp;"-"&amp;(YEAR(A1604)+1),(YEAR(A1604)-1)&amp;"-"&amp;YEAR(A1604)))</f>
        <v/>
      </c>
      <c r="S1604" s="20">
        <f>IF(OR(A1604="",B1604=""),0,IF(AND(R1604=التقارير!$C$4,OR(التقارير!$C$5="سنوي",AND(التقارير!$C$5="شهري",P1604=التقارير!$C$6),AND(التقارير!$C$5="فصلي",Q1604=التقارير!$C$7))),1,0))</f>
        <v/>
      </c>
      <c r="T1604" s="20">
        <f>IF(S1604=1,COUNTIF($S$5:S1604,1),"")</f>
        <v/>
      </c>
      <c r="U1604">
        <f>IF(AND($A1604&lt;&gt;"",$B1604&lt;&gt;"",$R1604='تقرير الفصل الأول'!$C$4,$Q1604='تقرير الفصل الأول'!$C$7),COUNT(U$4:U1603)+1,"")</f>
        <v/>
      </c>
      <c r="V1604">
        <f>IF(AND($A1604&lt;&gt;"",$B1604&lt;&gt;"",$R1604='تقرير الفصل الثاني'!$C$4,$Q1604='تقرير الفصل الثاني'!$C$7),COUNT(V$4:V1603)+1,"")</f>
        <v/>
      </c>
      <c r="W1604">
        <f>IF(AND($A1604&lt;&gt;"",$B1604&lt;&gt;"",$R1604='تقرير سبتمبر'!$C$4,$P1604='تقرير سبتمبر'!$C$6),COUNT(W$4:W1603)+1,"")</f>
        <v/>
      </c>
      <c r="X1604">
        <f>IF(AND($A1604&lt;&gt;"",$B1604&lt;&gt;"",$R1604='تقرير أكتوبر'!$C$4,$P1604='تقرير أكتوبر'!$C$6),COUNT(X$4:X1603)+1,"")</f>
        <v/>
      </c>
      <c r="Y1604">
        <f>IF(AND($A1604&lt;&gt;"",$B1604&lt;&gt;"",$R1604='تقرير نوفمبر'!$C$4,$P1604='تقرير نوفمبر'!$C$6),COUNT(Y$4:Y1603)+1,"")</f>
        <v/>
      </c>
      <c r="Z1604">
        <f>IF(AND($A1604&lt;&gt;"",$B1604&lt;&gt;"",$R1604='تقرير ديسمبر'!$C$4,$P1604='تقرير ديسمبر'!$C$6),COUNT(Z$4:Z1603)+1,"")</f>
        <v/>
      </c>
      <c r="AA1604">
        <f>IF(AND($A1604&lt;&gt;"",$B1604&lt;&gt;"",$R1604='تقرير يناير'!$C$4,$P1604='تقرير يناير'!$C$6),COUNT(AA$4:AA1603)+1,"")</f>
        <v/>
      </c>
      <c r="AB1604">
        <f>IF(AND($A1604&lt;&gt;"",$B1604&lt;&gt;"",$R1604='تقرير فبراير'!$C$4,$P1604='تقرير فبراير'!$C$6),COUNT(AB$4:AB1603)+1,"")</f>
        <v/>
      </c>
      <c r="AC1604">
        <f>IF(AND($A1604&lt;&gt;"",$B1604&lt;&gt;"",$R1604='تقرير مارس'!$C$4,$P1604='تقرير مارس'!$C$6),COUNT(AC$4:AC1603)+1,"")</f>
        <v/>
      </c>
      <c r="AD1604">
        <f>IF(AND($A1604&lt;&gt;"",$B1604&lt;&gt;"",$R1604='تقرير أبريل'!$C$4,$P1604='تقرير أبريل'!$C$6),COUNT(AD$4:AD1603)+1,"")</f>
        <v/>
      </c>
      <c r="AE1604">
        <f>IF(AND($A1604&lt;&gt;"",$B1604&lt;&gt;"",$R1604='تقرير مايو'!$C$4,$P1604='تقرير مايو'!$C$6),COUNT(AE$4:AE1603)+1,"")</f>
        <v/>
      </c>
    </row>
    <row r="1605">
      <c r="A1605" s="16" t="n"/>
      <c r="B1605" s="17" t="n"/>
      <c r="C1605" s="17" t="n"/>
      <c r="D1605" s="18" t="n"/>
      <c r="E1605" s="17" t="n"/>
      <c r="F1605" s="17" t="n"/>
      <c r="G1605" s="19" t="n"/>
      <c r="H1605" s="17" t="n"/>
      <c r="I1605" s="17" t="n"/>
      <c r="J1605" s="17" t="n"/>
      <c r="K1605" s="20">
        <f>IF($B1605="","",IFERROR(INDEX(الموظفات!$A$5:$A$304,MATCH($B1605,الموظفات!$B$5:$B$304,0))&amp;"",""))</f>
        <v/>
      </c>
      <c r="L1605" s="21">
        <f>IF($B1605="","",IFERROR(INDEX(الموظفات!$C$5:$C$304,MATCH($B1605,الموظفات!$B$5:$B$304,0))&amp;"",""))</f>
        <v/>
      </c>
      <c r="M1605" s="20">
        <f>IF($B1605="","",IFERROR(INDEX(الموظفات!$D$5:$D$304,MATCH($B1605,الموظفات!$B$5:$B$304,0))&amp;"",""))</f>
        <v/>
      </c>
      <c r="N1605" s="20">
        <f>IF($B1605="","",IFERROR(INDEX(الموظفات!$E$5:$E$304,MATCH($B1605,الموظفات!$B$5:$B$304,0))&amp;"",""))</f>
        <v/>
      </c>
      <c r="O1605" s="21">
        <f>IF(C1605="","",IFERROR(INDEX(الإعدادات!$D$7:$D$35,MATCH(C1605,الإعدادات!$A$7:$A$35,0))&amp;"",""))</f>
        <v/>
      </c>
      <c r="P1605" s="20">
        <f>IF(A1605="","",INDEX(الإعدادات!$H$7:$H$18,MONTH(A1605)))</f>
        <v/>
      </c>
      <c r="Q1605" s="20">
        <f>IF(A1605="","",INDEX(الإعدادات!$I$7:$I$18,MONTH(A1605)))</f>
        <v/>
      </c>
      <c r="R1605" s="20">
        <f>IF(A1605="","",IF(MONTH(A1605)&gt;=8,YEAR(A1605)&amp;"-"&amp;(YEAR(A1605)+1),(YEAR(A1605)-1)&amp;"-"&amp;YEAR(A1605)))</f>
        <v/>
      </c>
      <c r="S1605" s="20">
        <f>IF(OR(A1605="",B1605=""),0,IF(AND(R1605=التقارير!$C$4,OR(التقارير!$C$5="سنوي",AND(التقارير!$C$5="شهري",P1605=التقارير!$C$6),AND(التقارير!$C$5="فصلي",Q1605=التقارير!$C$7))),1,0))</f>
        <v/>
      </c>
      <c r="T1605" s="20">
        <f>IF(S1605=1,COUNTIF($S$5:S1605,1),"")</f>
        <v/>
      </c>
      <c r="U1605">
        <f>IF(AND($A1605&lt;&gt;"",$B1605&lt;&gt;"",$R1605='تقرير الفصل الأول'!$C$4,$Q1605='تقرير الفصل الأول'!$C$7),COUNT(U$4:U1604)+1,"")</f>
        <v/>
      </c>
      <c r="V1605">
        <f>IF(AND($A1605&lt;&gt;"",$B1605&lt;&gt;"",$R1605='تقرير الفصل الثاني'!$C$4,$Q1605='تقرير الفصل الثاني'!$C$7),COUNT(V$4:V1604)+1,"")</f>
        <v/>
      </c>
      <c r="W1605">
        <f>IF(AND($A1605&lt;&gt;"",$B1605&lt;&gt;"",$R1605='تقرير سبتمبر'!$C$4,$P1605='تقرير سبتمبر'!$C$6),COUNT(W$4:W1604)+1,"")</f>
        <v/>
      </c>
      <c r="X1605">
        <f>IF(AND($A1605&lt;&gt;"",$B1605&lt;&gt;"",$R1605='تقرير أكتوبر'!$C$4,$P1605='تقرير أكتوبر'!$C$6),COUNT(X$4:X1604)+1,"")</f>
        <v/>
      </c>
      <c r="Y1605">
        <f>IF(AND($A1605&lt;&gt;"",$B1605&lt;&gt;"",$R1605='تقرير نوفمبر'!$C$4,$P1605='تقرير نوفمبر'!$C$6),COUNT(Y$4:Y1604)+1,"")</f>
        <v/>
      </c>
      <c r="Z1605">
        <f>IF(AND($A1605&lt;&gt;"",$B1605&lt;&gt;"",$R1605='تقرير ديسمبر'!$C$4,$P1605='تقرير ديسمبر'!$C$6),COUNT(Z$4:Z1604)+1,"")</f>
        <v/>
      </c>
      <c r="AA1605">
        <f>IF(AND($A1605&lt;&gt;"",$B1605&lt;&gt;"",$R1605='تقرير يناير'!$C$4,$P1605='تقرير يناير'!$C$6),COUNT(AA$4:AA1604)+1,"")</f>
        <v/>
      </c>
      <c r="AB1605">
        <f>IF(AND($A1605&lt;&gt;"",$B1605&lt;&gt;"",$R1605='تقرير فبراير'!$C$4,$P1605='تقرير فبراير'!$C$6),COUNT(AB$4:AB1604)+1,"")</f>
        <v/>
      </c>
      <c r="AC1605">
        <f>IF(AND($A1605&lt;&gt;"",$B1605&lt;&gt;"",$R1605='تقرير مارس'!$C$4,$P1605='تقرير مارس'!$C$6),COUNT(AC$4:AC1604)+1,"")</f>
        <v/>
      </c>
      <c r="AD1605">
        <f>IF(AND($A1605&lt;&gt;"",$B1605&lt;&gt;"",$R1605='تقرير أبريل'!$C$4,$P1605='تقرير أبريل'!$C$6),COUNT(AD$4:AD1604)+1,"")</f>
        <v/>
      </c>
      <c r="AE1605">
        <f>IF(AND($A1605&lt;&gt;"",$B1605&lt;&gt;"",$R1605='تقرير مايو'!$C$4,$P1605='تقرير مايو'!$C$6),COUNT(AE$4:AE1604)+1,"")</f>
        <v/>
      </c>
    </row>
    <row r="1606">
      <c r="A1606" s="16" t="n"/>
      <c r="B1606" s="17" t="n"/>
      <c r="C1606" s="17" t="n"/>
      <c r="D1606" s="18" t="n"/>
      <c r="E1606" s="17" t="n"/>
      <c r="F1606" s="17" t="n"/>
      <c r="G1606" s="19" t="n"/>
      <c r="H1606" s="17" t="n"/>
      <c r="I1606" s="17" t="n"/>
      <c r="J1606" s="17" t="n"/>
      <c r="K1606" s="20">
        <f>IF($B1606="","",IFERROR(INDEX(الموظفات!$A$5:$A$304,MATCH($B1606,الموظفات!$B$5:$B$304,0))&amp;"",""))</f>
        <v/>
      </c>
      <c r="L1606" s="21">
        <f>IF($B1606="","",IFERROR(INDEX(الموظفات!$C$5:$C$304,MATCH($B1606,الموظفات!$B$5:$B$304,0))&amp;"",""))</f>
        <v/>
      </c>
      <c r="M1606" s="20">
        <f>IF($B1606="","",IFERROR(INDEX(الموظفات!$D$5:$D$304,MATCH($B1606,الموظفات!$B$5:$B$304,0))&amp;"",""))</f>
        <v/>
      </c>
      <c r="N1606" s="20">
        <f>IF($B1606="","",IFERROR(INDEX(الموظفات!$E$5:$E$304,MATCH($B1606,الموظفات!$B$5:$B$304,0))&amp;"",""))</f>
        <v/>
      </c>
      <c r="O1606" s="21">
        <f>IF(C1606="","",IFERROR(INDEX(الإعدادات!$D$7:$D$35,MATCH(C1606,الإعدادات!$A$7:$A$35,0))&amp;"",""))</f>
        <v/>
      </c>
      <c r="P1606" s="20">
        <f>IF(A1606="","",INDEX(الإعدادات!$H$7:$H$18,MONTH(A1606)))</f>
        <v/>
      </c>
      <c r="Q1606" s="20">
        <f>IF(A1606="","",INDEX(الإعدادات!$I$7:$I$18,MONTH(A1606)))</f>
        <v/>
      </c>
      <c r="R1606" s="20">
        <f>IF(A1606="","",IF(MONTH(A1606)&gt;=8,YEAR(A1606)&amp;"-"&amp;(YEAR(A1606)+1),(YEAR(A1606)-1)&amp;"-"&amp;YEAR(A1606)))</f>
        <v/>
      </c>
      <c r="S1606" s="20">
        <f>IF(OR(A1606="",B1606=""),0,IF(AND(R1606=التقارير!$C$4,OR(التقارير!$C$5="سنوي",AND(التقارير!$C$5="شهري",P1606=التقارير!$C$6),AND(التقارير!$C$5="فصلي",Q1606=التقارير!$C$7))),1,0))</f>
        <v/>
      </c>
      <c r="T1606" s="20">
        <f>IF(S1606=1,COUNTIF($S$5:S1606,1),"")</f>
        <v/>
      </c>
      <c r="U1606">
        <f>IF(AND($A1606&lt;&gt;"",$B1606&lt;&gt;"",$R1606='تقرير الفصل الأول'!$C$4,$Q1606='تقرير الفصل الأول'!$C$7),COUNT(U$4:U1605)+1,"")</f>
        <v/>
      </c>
      <c r="V1606">
        <f>IF(AND($A1606&lt;&gt;"",$B1606&lt;&gt;"",$R1606='تقرير الفصل الثاني'!$C$4,$Q1606='تقرير الفصل الثاني'!$C$7),COUNT(V$4:V1605)+1,"")</f>
        <v/>
      </c>
      <c r="W1606">
        <f>IF(AND($A1606&lt;&gt;"",$B1606&lt;&gt;"",$R1606='تقرير سبتمبر'!$C$4,$P1606='تقرير سبتمبر'!$C$6),COUNT(W$4:W1605)+1,"")</f>
        <v/>
      </c>
      <c r="X1606">
        <f>IF(AND($A1606&lt;&gt;"",$B1606&lt;&gt;"",$R1606='تقرير أكتوبر'!$C$4,$P1606='تقرير أكتوبر'!$C$6),COUNT(X$4:X1605)+1,"")</f>
        <v/>
      </c>
      <c r="Y1606">
        <f>IF(AND($A1606&lt;&gt;"",$B1606&lt;&gt;"",$R1606='تقرير نوفمبر'!$C$4,$P1606='تقرير نوفمبر'!$C$6),COUNT(Y$4:Y1605)+1,"")</f>
        <v/>
      </c>
      <c r="Z1606">
        <f>IF(AND($A1606&lt;&gt;"",$B1606&lt;&gt;"",$R1606='تقرير ديسمبر'!$C$4,$P1606='تقرير ديسمبر'!$C$6),COUNT(Z$4:Z1605)+1,"")</f>
        <v/>
      </c>
      <c r="AA1606">
        <f>IF(AND($A1606&lt;&gt;"",$B1606&lt;&gt;"",$R1606='تقرير يناير'!$C$4,$P1606='تقرير يناير'!$C$6),COUNT(AA$4:AA1605)+1,"")</f>
        <v/>
      </c>
      <c r="AB1606">
        <f>IF(AND($A1606&lt;&gt;"",$B1606&lt;&gt;"",$R1606='تقرير فبراير'!$C$4,$P1606='تقرير فبراير'!$C$6),COUNT(AB$4:AB1605)+1,"")</f>
        <v/>
      </c>
      <c r="AC1606">
        <f>IF(AND($A1606&lt;&gt;"",$B1606&lt;&gt;"",$R1606='تقرير مارس'!$C$4,$P1606='تقرير مارس'!$C$6),COUNT(AC$4:AC1605)+1,"")</f>
        <v/>
      </c>
      <c r="AD1606">
        <f>IF(AND($A1606&lt;&gt;"",$B1606&lt;&gt;"",$R1606='تقرير أبريل'!$C$4,$P1606='تقرير أبريل'!$C$6),COUNT(AD$4:AD1605)+1,"")</f>
        <v/>
      </c>
      <c r="AE1606">
        <f>IF(AND($A1606&lt;&gt;"",$B1606&lt;&gt;"",$R1606='تقرير مايو'!$C$4,$P1606='تقرير مايو'!$C$6),COUNT(AE$4:AE1605)+1,"")</f>
        <v/>
      </c>
    </row>
    <row r="1607">
      <c r="A1607" s="16" t="n"/>
      <c r="B1607" s="17" t="n"/>
      <c r="C1607" s="17" t="n"/>
      <c r="D1607" s="18" t="n"/>
      <c r="E1607" s="17" t="n"/>
      <c r="F1607" s="17" t="n"/>
      <c r="G1607" s="19" t="n"/>
      <c r="H1607" s="17" t="n"/>
      <c r="I1607" s="17" t="n"/>
      <c r="J1607" s="17" t="n"/>
      <c r="K1607" s="20">
        <f>IF($B1607="","",IFERROR(INDEX(الموظفات!$A$5:$A$304,MATCH($B1607,الموظفات!$B$5:$B$304,0))&amp;"",""))</f>
        <v/>
      </c>
      <c r="L1607" s="21">
        <f>IF($B1607="","",IFERROR(INDEX(الموظفات!$C$5:$C$304,MATCH($B1607,الموظفات!$B$5:$B$304,0))&amp;"",""))</f>
        <v/>
      </c>
      <c r="M1607" s="20">
        <f>IF($B1607="","",IFERROR(INDEX(الموظفات!$D$5:$D$304,MATCH($B1607,الموظفات!$B$5:$B$304,0))&amp;"",""))</f>
        <v/>
      </c>
      <c r="N1607" s="20">
        <f>IF($B1607="","",IFERROR(INDEX(الموظفات!$E$5:$E$304,MATCH($B1607,الموظفات!$B$5:$B$304,0))&amp;"",""))</f>
        <v/>
      </c>
      <c r="O1607" s="21">
        <f>IF(C1607="","",IFERROR(INDEX(الإعدادات!$D$7:$D$35,MATCH(C1607,الإعدادات!$A$7:$A$35,0))&amp;"",""))</f>
        <v/>
      </c>
      <c r="P1607" s="20">
        <f>IF(A1607="","",INDEX(الإعدادات!$H$7:$H$18,MONTH(A1607)))</f>
        <v/>
      </c>
      <c r="Q1607" s="20">
        <f>IF(A1607="","",INDEX(الإعدادات!$I$7:$I$18,MONTH(A1607)))</f>
        <v/>
      </c>
      <c r="R1607" s="20">
        <f>IF(A1607="","",IF(MONTH(A1607)&gt;=8,YEAR(A1607)&amp;"-"&amp;(YEAR(A1607)+1),(YEAR(A1607)-1)&amp;"-"&amp;YEAR(A1607)))</f>
        <v/>
      </c>
      <c r="S1607" s="20">
        <f>IF(OR(A1607="",B1607=""),0,IF(AND(R1607=التقارير!$C$4,OR(التقارير!$C$5="سنوي",AND(التقارير!$C$5="شهري",P1607=التقارير!$C$6),AND(التقارير!$C$5="فصلي",Q1607=التقارير!$C$7))),1,0))</f>
        <v/>
      </c>
      <c r="T1607" s="20">
        <f>IF(S1607=1,COUNTIF($S$5:S1607,1),"")</f>
        <v/>
      </c>
      <c r="U1607">
        <f>IF(AND($A1607&lt;&gt;"",$B1607&lt;&gt;"",$R1607='تقرير الفصل الأول'!$C$4,$Q1607='تقرير الفصل الأول'!$C$7),COUNT(U$4:U1606)+1,"")</f>
        <v/>
      </c>
      <c r="V1607">
        <f>IF(AND($A1607&lt;&gt;"",$B1607&lt;&gt;"",$R1607='تقرير الفصل الثاني'!$C$4,$Q1607='تقرير الفصل الثاني'!$C$7),COUNT(V$4:V1606)+1,"")</f>
        <v/>
      </c>
      <c r="W1607">
        <f>IF(AND($A1607&lt;&gt;"",$B1607&lt;&gt;"",$R1607='تقرير سبتمبر'!$C$4,$P1607='تقرير سبتمبر'!$C$6),COUNT(W$4:W1606)+1,"")</f>
        <v/>
      </c>
      <c r="X1607">
        <f>IF(AND($A1607&lt;&gt;"",$B1607&lt;&gt;"",$R1607='تقرير أكتوبر'!$C$4,$P1607='تقرير أكتوبر'!$C$6),COUNT(X$4:X1606)+1,"")</f>
        <v/>
      </c>
      <c r="Y1607">
        <f>IF(AND($A1607&lt;&gt;"",$B1607&lt;&gt;"",$R1607='تقرير نوفمبر'!$C$4,$P1607='تقرير نوفمبر'!$C$6),COUNT(Y$4:Y1606)+1,"")</f>
        <v/>
      </c>
      <c r="Z1607">
        <f>IF(AND($A1607&lt;&gt;"",$B1607&lt;&gt;"",$R1607='تقرير ديسمبر'!$C$4,$P1607='تقرير ديسمبر'!$C$6),COUNT(Z$4:Z1606)+1,"")</f>
        <v/>
      </c>
      <c r="AA1607">
        <f>IF(AND($A1607&lt;&gt;"",$B1607&lt;&gt;"",$R1607='تقرير يناير'!$C$4,$P1607='تقرير يناير'!$C$6),COUNT(AA$4:AA1606)+1,"")</f>
        <v/>
      </c>
      <c r="AB1607">
        <f>IF(AND($A1607&lt;&gt;"",$B1607&lt;&gt;"",$R1607='تقرير فبراير'!$C$4,$P1607='تقرير فبراير'!$C$6),COUNT(AB$4:AB1606)+1,"")</f>
        <v/>
      </c>
      <c r="AC1607">
        <f>IF(AND($A1607&lt;&gt;"",$B1607&lt;&gt;"",$R1607='تقرير مارس'!$C$4,$P1607='تقرير مارس'!$C$6),COUNT(AC$4:AC1606)+1,"")</f>
        <v/>
      </c>
      <c r="AD1607">
        <f>IF(AND($A1607&lt;&gt;"",$B1607&lt;&gt;"",$R1607='تقرير أبريل'!$C$4,$P1607='تقرير أبريل'!$C$6),COUNT(AD$4:AD1606)+1,"")</f>
        <v/>
      </c>
      <c r="AE1607">
        <f>IF(AND($A1607&lt;&gt;"",$B1607&lt;&gt;"",$R1607='تقرير مايو'!$C$4,$P1607='تقرير مايو'!$C$6),COUNT(AE$4:AE1606)+1,"")</f>
        <v/>
      </c>
    </row>
    <row r="1608">
      <c r="A1608" s="16" t="n"/>
      <c r="B1608" s="17" t="n"/>
      <c r="C1608" s="17" t="n"/>
      <c r="D1608" s="18" t="n"/>
      <c r="E1608" s="17" t="n"/>
      <c r="F1608" s="17" t="n"/>
      <c r="G1608" s="19" t="n"/>
      <c r="H1608" s="17" t="n"/>
      <c r="I1608" s="17" t="n"/>
      <c r="J1608" s="17" t="n"/>
      <c r="K1608" s="20">
        <f>IF($B1608="","",IFERROR(INDEX(الموظفات!$A$5:$A$304,MATCH($B1608,الموظفات!$B$5:$B$304,0))&amp;"",""))</f>
        <v/>
      </c>
      <c r="L1608" s="21">
        <f>IF($B1608="","",IFERROR(INDEX(الموظفات!$C$5:$C$304,MATCH($B1608,الموظفات!$B$5:$B$304,0))&amp;"",""))</f>
        <v/>
      </c>
      <c r="M1608" s="20">
        <f>IF($B1608="","",IFERROR(INDEX(الموظفات!$D$5:$D$304,MATCH($B1608,الموظفات!$B$5:$B$304,0))&amp;"",""))</f>
        <v/>
      </c>
      <c r="N1608" s="20">
        <f>IF($B1608="","",IFERROR(INDEX(الموظفات!$E$5:$E$304,MATCH($B1608,الموظفات!$B$5:$B$304,0))&amp;"",""))</f>
        <v/>
      </c>
      <c r="O1608" s="21">
        <f>IF(C1608="","",IFERROR(INDEX(الإعدادات!$D$7:$D$35,MATCH(C1608,الإعدادات!$A$7:$A$35,0))&amp;"",""))</f>
        <v/>
      </c>
      <c r="P1608" s="20">
        <f>IF(A1608="","",INDEX(الإعدادات!$H$7:$H$18,MONTH(A1608)))</f>
        <v/>
      </c>
      <c r="Q1608" s="20">
        <f>IF(A1608="","",INDEX(الإعدادات!$I$7:$I$18,MONTH(A1608)))</f>
        <v/>
      </c>
      <c r="R1608" s="20">
        <f>IF(A1608="","",IF(MONTH(A1608)&gt;=8,YEAR(A1608)&amp;"-"&amp;(YEAR(A1608)+1),(YEAR(A1608)-1)&amp;"-"&amp;YEAR(A1608)))</f>
        <v/>
      </c>
      <c r="S1608" s="20">
        <f>IF(OR(A1608="",B1608=""),0,IF(AND(R1608=التقارير!$C$4,OR(التقارير!$C$5="سنوي",AND(التقارير!$C$5="شهري",P1608=التقارير!$C$6),AND(التقارير!$C$5="فصلي",Q1608=التقارير!$C$7))),1,0))</f>
        <v/>
      </c>
      <c r="T1608" s="20">
        <f>IF(S1608=1,COUNTIF($S$5:S1608,1),"")</f>
        <v/>
      </c>
      <c r="U1608">
        <f>IF(AND($A1608&lt;&gt;"",$B1608&lt;&gt;"",$R1608='تقرير الفصل الأول'!$C$4,$Q1608='تقرير الفصل الأول'!$C$7),COUNT(U$4:U1607)+1,"")</f>
        <v/>
      </c>
      <c r="V1608">
        <f>IF(AND($A1608&lt;&gt;"",$B1608&lt;&gt;"",$R1608='تقرير الفصل الثاني'!$C$4,$Q1608='تقرير الفصل الثاني'!$C$7),COUNT(V$4:V1607)+1,"")</f>
        <v/>
      </c>
      <c r="W1608">
        <f>IF(AND($A1608&lt;&gt;"",$B1608&lt;&gt;"",$R1608='تقرير سبتمبر'!$C$4,$P1608='تقرير سبتمبر'!$C$6),COUNT(W$4:W1607)+1,"")</f>
        <v/>
      </c>
      <c r="X1608">
        <f>IF(AND($A1608&lt;&gt;"",$B1608&lt;&gt;"",$R1608='تقرير أكتوبر'!$C$4,$P1608='تقرير أكتوبر'!$C$6),COUNT(X$4:X1607)+1,"")</f>
        <v/>
      </c>
      <c r="Y1608">
        <f>IF(AND($A1608&lt;&gt;"",$B1608&lt;&gt;"",$R1608='تقرير نوفمبر'!$C$4,$P1608='تقرير نوفمبر'!$C$6),COUNT(Y$4:Y1607)+1,"")</f>
        <v/>
      </c>
      <c r="Z1608">
        <f>IF(AND($A1608&lt;&gt;"",$B1608&lt;&gt;"",$R1608='تقرير ديسمبر'!$C$4,$P1608='تقرير ديسمبر'!$C$6),COUNT(Z$4:Z1607)+1,"")</f>
        <v/>
      </c>
      <c r="AA1608">
        <f>IF(AND($A1608&lt;&gt;"",$B1608&lt;&gt;"",$R1608='تقرير يناير'!$C$4,$P1608='تقرير يناير'!$C$6),COUNT(AA$4:AA1607)+1,"")</f>
        <v/>
      </c>
      <c r="AB1608">
        <f>IF(AND($A1608&lt;&gt;"",$B1608&lt;&gt;"",$R1608='تقرير فبراير'!$C$4,$P1608='تقرير فبراير'!$C$6),COUNT(AB$4:AB1607)+1,"")</f>
        <v/>
      </c>
      <c r="AC1608">
        <f>IF(AND($A1608&lt;&gt;"",$B1608&lt;&gt;"",$R1608='تقرير مارس'!$C$4,$P1608='تقرير مارس'!$C$6),COUNT(AC$4:AC1607)+1,"")</f>
        <v/>
      </c>
      <c r="AD1608">
        <f>IF(AND($A1608&lt;&gt;"",$B1608&lt;&gt;"",$R1608='تقرير أبريل'!$C$4,$P1608='تقرير أبريل'!$C$6),COUNT(AD$4:AD1607)+1,"")</f>
        <v/>
      </c>
      <c r="AE1608">
        <f>IF(AND($A1608&lt;&gt;"",$B1608&lt;&gt;"",$R1608='تقرير مايو'!$C$4,$P1608='تقرير مايو'!$C$6),COUNT(AE$4:AE1607)+1,"")</f>
        <v/>
      </c>
    </row>
    <row r="1609">
      <c r="A1609" s="16" t="n"/>
      <c r="B1609" s="17" t="n"/>
      <c r="C1609" s="17" t="n"/>
      <c r="D1609" s="18" t="n"/>
      <c r="E1609" s="17" t="n"/>
      <c r="F1609" s="17" t="n"/>
      <c r="G1609" s="19" t="n"/>
      <c r="H1609" s="17" t="n"/>
      <c r="I1609" s="17" t="n"/>
      <c r="J1609" s="17" t="n"/>
      <c r="K1609" s="20">
        <f>IF($B1609="","",IFERROR(INDEX(الموظفات!$A$5:$A$304,MATCH($B1609,الموظفات!$B$5:$B$304,0))&amp;"",""))</f>
        <v/>
      </c>
      <c r="L1609" s="21">
        <f>IF($B1609="","",IFERROR(INDEX(الموظفات!$C$5:$C$304,MATCH($B1609,الموظفات!$B$5:$B$304,0))&amp;"",""))</f>
        <v/>
      </c>
      <c r="M1609" s="20">
        <f>IF($B1609="","",IFERROR(INDEX(الموظفات!$D$5:$D$304,MATCH($B1609,الموظفات!$B$5:$B$304,0))&amp;"",""))</f>
        <v/>
      </c>
      <c r="N1609" s="20">
        <f>IF($B1609="","",IFERROR(INDEX(الموظفات!$E$5:$E$304,MATCH($B1609,الموظفات!$B$5:$B$304,0))&amp;"",""))</f>
        <v/>
      </c>
      <c r="O1609" s="21">
        <f>IF(C1609="","",IFERROR(INDEX(الإعدادات!$D$7:$D$35,MATCH(C1609,الإعدادات!$A$7:$A$35,0))&amp;"",""))</f>
        <v/>
      </c>
      <c r="P1609" s="20">
        <f>IF(A1609="","",INDEX(الإعدادات!$H$7:$H$18,MONTH(A1609)))</f>
        <v/>
      </c>
      <c r="Q1609" s="20">
        <f>IF(A1609="","",INDEX(الإعدادات!$I$7:$I$18,MONTH(A1609)))</f>
        <v/>
      </c>
      <c r="R1609" s="20">
        <f>IF(A1609="","",IF(MONTH(A1609)&gt;=8,YEAR(A1609)&amp;"-"&amp;(YEAR(A1609)+1),(YEAR(A1609)-1)&amp;"-"&amp;YEAR(A1609)))</f>
        <v/>
      </c>
      <c r="S1609" s="20">
        <f>IF(OR(A1609="",B1609=""),0,IF(AND(R1609=التقارير!$C$4,OR(التقارير!$C$5="سنوي",AND(التقارير!$C$5="شهري",P1609=التقارير!$C$6),AND(التقارير!$C$5="فصلي",Q1609=التقارير!$C$7))),1,0))</f>
        <v/>
      </c>
      <c r="T1609" s="20">
        <f>IF(S1609=1,COUNTIF($S$5:S1609,1),"")</f>
        <v/>
      </c>
      <c r="U1609">
        <f>IF(AND($A1609&lt;&gt;"",$B1609&lt;&gt;"",$R1609='تقرير الفصل الأول'!$C$4,$Q1609='تقرير الفصل الأول'!$C$7),COUNT(U$4:U1608)+1,"")</f>
        <v/>
      </c>
      <c r="V1609">
        <f>IF(AND($A1609&lt;&gt;"",$B1609&lt;&gt;"",$R1609='تقرير الفصل الثاني'!$C$4,$Q1609='تقرير الفصل الثاني'!$C$7),COUNT(V$4:V1608)+1,"")</f>
        <v/>
      </c>
      <c r="W1609">
        <f>IF(AND($A1609&lt;&gt;"",$B1609&lt;&gt;"",$R1609='تقرير سبتمبر'!$C$4,$P1609='تقرير سبتمبر'!$C$6),COUNT(W$4:W1608)+1,"")</f>
        <v/>
      </c>
      <c r="X1609">
        <f>IF(AND($A1609&lt;&gt;"",$B1609&lt;&gt;"",$R1609='تقرير أكتوبر'!$C$4,$P1609='تقرير أكتوبر'!$C$6),COUNT(X$4:X1608)+1,"")</f>
        <v/>
      </c>
      <c r="Y1609">
        <f>IF(AND($A1609&lt;&gt;"",$B1609&lt;&gt;"",$R1609='تقرير نوفمبر'!$C$4,$P1609='تقرير نوفمبر'!$C$6),COUNT(Y$4:Y1608)+1,"")</f>
        <v/>
      </c>
      <c r="Z1609">
        <f>IF(AND($A1609&lt;&gt;"",$B1609&lt;&gt;"",$R1609='تقرير ديسمبر'!$C$4,$P1609='تقرير ديسمبر'!$C$6),COUNT(Z$4:Z1608)+1,"")</f>
        <v/>
      </c>
      <c r="AA1609">
        <f>IF(AND($A1609&lt;&gt;"",$B1609&lt;&gt;"",$R1609='تقرير يناير'!$C$4,$P1609='تقرير يناير'!$C$6),COUNT(AA$4:AA1608)+1,"")</f>
        <v/>
      </c>
      <c r="AB1609">
        <f>IF(AND($A1609&lt;&gt;"",$B1609&lt;&gt;"",$R1609='تقرير فبراير'!$C$4,$P1609='تقرير فبراير'!$C$6),COUNT(AB$4:AB1608)+1,"")</f>
        <v/>
      </c>
      <c r="AC1609">
        <f>IF(AND($A1609&lt;&gt;"",$B1609&lt;&gt;"",$R1609='تقرير مارس'!$C$4,$P1609='تقرير مارس'!$C$6),COUNT(AC$4:AC1608)+1,"")</f>
        <v/>
      </c>
      <c r="AD1609">
        <f>IF(AND($A1609&lt;&gt;"",$B1609&lt;&gt;"",$R1609='تقرير أبريل'!$C$4,$P1609='تقرير أبريل'!$C$6),COUNT(AD$4:AD1608)+1,"")</f>
        <v/>
      </c>
      <c r="AE1609">
        <f>IF(AND($A1609&lt;&gt;"",$B1609&lt;&gt;"",$R1609='تقرير مايو'!$C$4,$P1609='تقرير مايو'!$C$6),COUNT(AE$4:AE1608)+1,"")</f>
        <v/>
      </c>
    </row>
    <row r="1610">
      <c r="A1610" s="16" t="n"/>
      <c r="B1610" s="17" t="n"/>
      <c r="C1610" s="17" t="n"/>
      <c r="D1610" s="18" t="n"/>
      <c r="E1610" s="17" t="n"/>
      <c r="F1610" s="17" t="n"/>
      <c r="G1610" s="19" t="n"/>
      <c r="H1610" s="17" t="n"/>
      <c r="I1610" s="17" t="n"/>
      <c r="J1610" s="17" t="n"/>
      <c r="K1610" s="20">
        <f>IF($B1610="","",IFERROR(INDEX(الموظفات!$A$5:$A$304,MATCH($B1610,الموظفات!$B$5:$B$304,0))&amp;"",""))</f>
        <v/>
      </c>
      <c r="L1610" s="21">
        <f>IF($B1610="","",IFERROR(INDEX(الموظفات!$C$5:$C$304,MATCH($B1610,الموظفات!$B$5:$B$304,0))&amp;"",""))</f>
        <v/>
      </c>
      <c r="M1610" s="20">
        <f>IF($B1610="","",IFERROR(INDEX(الموظفات!$D$5:$D$304,MATCH($B1610,الموظفات!$B$5:$B$304,0))&amp;"",""))</f>
        <v/>
      </c>
      <c r="N1610" s="20">
        <f>IF($B1610="","",IFERROR(INDEX(الموظفات!$E$5:$E$304,MATCH($B1610,الموظفات!$B$5:$B$304,0))&amp;"",""))</f>
        <v/>
      </c>
      <c r="O1610" s="21">
        <f>IF(C1610="","",IFERROR(INDEX(الإعدادات!$D$7:$D$35,MATCH(C1610,الإعدادات!$A$7:$A$35,0))&amp;"",""))</f>
        <v/>
      </c>
      <c r="P1610" s="20">
        <f>IF(A1610="","",INDEX(الإعدادات!$H$7:$H$18,MONTH(A1610)))</f>
        <v/>
      </c>
      <c r="Q1610" s="20">
        <f>IF(A1610="","",INDEX(الإعدادات!$I$7:$I$18,MONTH(A1610)))</f>
        <v/>
      </c>
      <c r="R1610" s="20">
        <f>IF(A1610="","",IF(MONTH(A1610)&gt;=8,YEAR(A1610)&amp;"-"&amp;(YEAR(A1610)+1),(YEAR(A1610)-1)&amp;"-"&amp;YEAR(A1610)))</f>
        <v/>
      </c>
      <c r="S1610" s="20">
        <f>IF(OR(A1610="",B1610=""),0,IF(AND(R1610=التقارير!$C$4,OR(التقارير!$C$5="سنوي",AND(التقارير!$C$5="شهري",P1610=التقارير!$C$6),AND(التقارير!$C$5="فصلي",Q1610=التقارير!$C$7))),1,0))</f>
        <v/>
      </c>
      <c r="T1610" s="20">
        <f>IF(S1610=1,COUNTIF($S$5:S1610,1),"")</f>
        <v/>
      </c>
      <c r="U1610">
        <f>IF(AND($A1610&lt;&gt;"",$B1610&lt;&gt;"",$R1610='تقرير الفصل الأول'!$C$4,$Q1610='تقرير الفصل الأول'!$C$7),COUNT(U$4:U1609)+1,"")</f>
        <v/>
      </c>
      <c r="V1610">
        <f>IF(AND($A1610&lt;&gt;"",$B1610&lt;&gt;"",$R1610='تقرير الفصل الثاني'!$C$4,$Q1610='تقرير الفصل الثاني'!$C$7),COUNT(V$4:V1609)+1,"")</f>
        <v/>
      </c>
      <c r="W1610">
        <f>IF(AND($A1610&lt;&gt;"",$B1610&lt;&gt;"",$R1610='تقرير سبتمبر'!$C$4,$P1610='تقرير سبتمبر'!$C$6),COUNT(W$4:W1609)+1,"")</f>
        <v/>
      </c>
      <c r="X1610">
        <f>IF(AND($A1610&lt;&gt;"",$B1610&lt;&gt;"",$R1610='تقرير أكتوبر'!$C$4,$P1610='تقرير أكتوبر'!$C$6),COUNT(X$4:X1609)+1,"")</f>
        <v/>
      </c>
      <c r="Y1610">
        <f>IF(AND($A1610&lt;&gt;"",$B1610&lt;&gt;"",$R1610='تقرير نوفمبر'!$C$4,$P1610='تقرير نوفمبر'!$C$6),COUNT(Y$4:Y1609)+1,"")</f>
        <v/>
      </c>
      <c r="Z1610">
        <f>IF(AND($A1610&lt;&gt;"",$B1610&lt;&gt;"",$R1610='تقرير ديسمبر'!$C$4,$P1610='تقرير ديسمبر'!$C$6),COUNT(Z$4:Z1609)+1,"")</f>
        <v/>
      </c>
      <c r="AA1610">
        <f>IF(AND($A1610&lt;&gt;"",$B1610&lt;&gt;"",$R1610='تقرير يناير'!$C$4,$P1610='تقرير يناير'!$C$6),COUNT(AA$4:AA1609)+1,"")</f>
        <v/>
      </c>
      <c r="AB1610">
        <f>IF(AND($A1610&lt;&gt;"",$B1610&lt;&gt;"",$R1610='تقرير فبراير'!$C$4,$P1610='تقرير فبراير'!$C$6),COUNT(AB$4:AB1609)+1,"")</f>
        <v/>
      </c>
      <c r="AC1610">
        <f>IF(AND($A1610&lt;&gt;"",$B1610&lt;&gt;"",$R1610='تقرير مارس'!$C$4,$P1610='تقرير مارس'!$C$6),COUNT(AC$4:AC1609)+1,"")</f>
        <v/>
      </c>
      <c r="AD1610">
        <f>IF(AND($A1610&lt;&gt;"",$B1610&lt;&gt;"",$R1610='تقرير أبريل'!$C$4,$P1610='تقرير أبريل'!$C$6),COUNT(AD$4:AD1609)+1,"")</f>
        <v/>
      </c>
      <c r="AE1610">
        <f>IF(AND($A1610&lt;&gt;"",$B1610&lt;&gt;"",$R1610='تقرير مايو'!$C$4,$P1610='تقرير مايو'!$C$6),COUNT(AE$4:AE1609)+1,"")</f>
        <v/>
      </c>
    </row>
    <row r="1611">
      <c r="A1611" s="16" t="n"/>
      <c r="B1611" s="17" t="n"/>
      <c r="C1611" s="17" t="n"/>
      <c r="D1611" s="18" t="n"/>
      <c r="E1611" s="17" t="n"/>
      <c r="F1611" s="17" t="n"/>
      <c r="G1611" s="19" t="n"/>
      <c r="H1611" s="17" t="n"/>
      <c r="I1611" s="17" t="n"/>
      <c r="J1611" s="17" t="n"/>
      <c r="K1611" s="20">
        <f>IF($B1611="","",IFERROR(INDEX(الموظفات!$A$5:$A$304,MATCH($B1611,الموظفات!$B$5:$B$304,0))&amp;"",""))</f>
        <v/>
      </c>
      <c r="L1611" s="21">
        <f>IF($B1611="","",IFERROR(INDEX(الموظفات!$C$5:$C$304,MATCH($B1611,الموظفات!$B$5:$B$304,0))&amp;"",""))</f>
        <v/>
      </c>
      <c r="M1611" s="20">
        <f>IF($B1611="","",IFERROR(INDEX(الموظفات!$D$5:$D$304,MATCH($B1611,الموظفات!$B$5:$B$304,0))&amp;"",""))</f>
        <v/>
      </c>
      <c r="N1611" s="20">
        <f>IF($B1611="","",IFERROR(INDEX(الموظفات!$E$5:$E$304,MATCH($B1611,الموظفات!$B$5:$B$304,0))&amp;"",""))</f>
        <v/>
      </c>
      <c r="O1611" s="21">
        <f>IF(C1611="","",IFERROR(INDEX(الإعدادات!$D$7:$D$35,MATCH(C1611,الإعدادات!$A$7:$A$35,0))&amp;"",""))</f>
        <v/>
      </c>
      <c r="P1611" s="20">
        <f>IF(A1611="","",INDEX(الإعدادات!$H$7:$H$18,MONTH(A1611)))</f>
        <v/>
      </c>
      <c r="Q1611" s="20">
        <f>IF(A1611="","",INDEX(الإعدادات!$I$7:$I$18,MONTH(A1611)))</f>
        <v/>
      </c>
      <c r="R1611" s="20">
        <f>IF(A1611="","",IF(MONTH(A1611)&gt;=8,YEAR(A1611)&amp;"-"&amp;(YEAR(A1611)+1),(YEAR(A1611)-1)&amp;"-"&amp;YEAR(A1611)))</f>
        <v/>
      </c>
      <c r="S1611" s="20">
        <f>IF(OR(A1611="",B1611=""),0,IF(AND(R1611=التقارير!$C$4,OR(التقارير!$C$5="سنوي",AND(التقارير!$C$5="شهري",P1611=التقارير!$C$6),AND(التقارير!$C$5="فصلي",Q1611=التقارير!$C$7))),1,0))</f>
        <v/>
      </c>
      <c r="T1611" s="20">
        <f>IF(S1611=1,COUNTIF($S$5:S1611,1),"")</f>
        <v/>
      </c>
      <c r="U1611">
        <f>IF(AND($A1611&lt;&gt;"",$B1611&lt;&gt;"",$R1611='تقرير الفصل الأول'!$C$4,$Q1611='تقرير الفصل الأول'!$C$7),COUNT(U$4:U1610)+1,"")</f>
        <v/>
      </c>
      <c r="V1611">
        <f>IF(AND($A1611&lt;&gt;"",$B1611&lt;&gt;"",$R1611='تقرير الفصل الثاني'!$C$4,$Q1611='تقرير الفصل الثاني'!$C$7),COUNT(V$4:V1610)+1,"")</f>
        <v/>
      </c>
      <c r="W1611">
        <f>IF(AND($A1611&lt;&gt;"",$B1611&lt;&gt;"",$R1611='تقرير سبتمبر'!$C$4,$P1611='تقرير سبتمبر'!$C$6),COUNT(W$4:W1610)+1,"")</f>
        <v/>
      </c>
      <c r="X1611">
        <f>IF(AND($A1611&lt;&gt;"",$B1611&lt;&gt;"",$R1611='تقرير أكتوبر'!$C$4,$P1611='تقرير أكتوبر'!$C$6),COUNT(X$4:X1610)+1,"")</f>
        <v/>
      </c>
      <c r="Y1611">
        <f>IF(AND($A1611&lt;&gt;"",$B1611&lt;&gt;"",$R1611='تقرير نوفمبر'!$C$4,$P1611='تقرير نوفمبر'!$C$6),COUNT(Y$4:Y1610)+1,"")</f>
        <v/>
      </c>
      <c r="Z1611">
        <f>IF(AND($A1611&lt;&gt;"",$B1611&lt;&gt;"",$R1611='تقرير ديسمبر'!$C$4,$P1611='تقرير ديسمبر'!$C$6),COUNT(Z$4:Z1610)+1,"")</f>
        <v/>
      </c>
      <c r="AA1611">
        <f>IF(AND($A1611&lt;&gt;"",$B1611&lt;&gt;"",$R1611='تقرير يناير'!$C$4,$P1611='تقرير يناير'!$C$6),COUNT(AA$4:AA1610)+1,"")</f>
        <v/>
      </c>
      <c r="AB1611">
        <f>IF(AND($A1611&lt;&gt;"",$B1611&lt;&gt;"",$R1611='تقرير فبراير'!$C$4,$P1611='تقرير فبراير'!$C$6),COUNT(AB$4:AB1610)+1,"")</f>
        <v/>
      </c>
      <c r="AC1611">
        <f>IF(AND($A1611&lt;&gt;"",$B1611&lt;&gt;"",$R1611='تقرير مارس'!$C$4,$P1611='تقرير مارس'!$C$6),COUNT(AC$4:AC1610)+1,"")</f>
        <v/>
      </c>
      <c r="AD1611">
        <f>IF(AND($A1611&lt;&gt;"",$B1611&lt;&gt;"",$R1611='تقرير أبريل'!$C$4,$P1611='تقرير أبريل'!$C$6),COUNT(AD$4:AD1610)+1,"")</f>
        <v/>
      </c>
      <c r="AE1611">
        <f>IF(AND($A1611&lt;&gt;"",$B1611&lt;&gt;"",$R1611='تقرير مايو'!$C$4,$P1611='تقرير مايو'!$C$6),COUNT(AE$4:AE1610)+1,"")</f>
        <v/>
      </c>
    </row>
    <row r="1612">
      <c r="A1612" s="16" t="n"/>
      <c r="B1612" s="17" t="n"/>
      <c r="C1612" s="17" t="n"/>
      <c r="D1612" s="18" t="n"/>
      <c r="E1612" s="17" t="n"/>
      <c r="F1612" s="17" t="n"/>
      <c r="G1612" s="19" t="n"/>
      <c r="H1612" s="17" t="n"/>
      <c r="I1612" s="17" t="n"/>
      <c r="J1612" s="17" t="n"/>
      <c r="K1612" s="20">
        <f>IF($B1612="","",IFERROR(INDEX(الموظفات!$A$5:$A$304,MATCH($B1612,الموظفات!$B$5:$B$304,0))&amp;"",""))</f>
        <v/>
      </c>
      <c r="L1612" s="21">
        <f>IF($B1612="","",IFERROR(INDEX(الموظفات!$C$5:$C$304,MATCH($B1612,الموظفات!$B$5:$B$304,0))&amp;"",""))</f>
        <v/>
      </c>
      <c r="M1612" s="20">
        <f>IF($B1612="","",IFERROR(INDEX(الموظفات!$D$5:$D$304,MATCH($B1612,الموظفات!$B$5:$B$304,0))&amp;"",""))</f>
        <v/>
      </c>
      <c r="N1612" s="20">
        <f>IF($B1612="","",IFERROR(INDEX(الموظفات!$E$5:$E$304,MATCH($B1612,الموظفات!$B$5:$B$304,0))&amp;"",""))</f>
        <v/>
      </c>
      <c r="O1612" s="21">
        <f>IF(C1612="","",IFERROR(INDEX(الإعدادات!$D$7:$D$35,MATCH(C1612,الإعدادات!$A$7:$A$35,0))&amp;"",""))</f>
        <v/>
      </c>
      <c r="P1612" s="20">
        <f>IF(A1612="","",INDEX(الإعدادات!$H$7:$H$18,MONTH(A1612)))</f>
        <v/>
      </c>
      <c r="Q1612" s="20">
        <f>IF(A1612="","",INDEX(الإعدادات!$I$7:$I$18,MONTH(A1612)))</f>
        <v/>
      </c>
      <c r="R1612" s="20">
        <f>IF(A1612="","",IF(MONTH(A1612)&gt;=8,YEAR(A1612)&amp;"-"&amp;(YEAR(A1612)+1),(YEAR(A1612)-1)&amp;"-"&amp;YEAR(A1612)))</f>
        <v/>
      </c>
      <c r="S1612" s="20">
        <f>IF(OR(A1612="",B1612=""),0,IF(AND(R1612=التقارير!$C$4,OR(التقارير!$C$5="سنوي",AND(التقارير!$C$5="شهري",P1612=التقارير!$C$6),AND(التقارير!$C$5="فصلي",Q1612=التقارير!$C$7))),1,0))</f>
        <v/>
      </c>
      <c r="T1612" s="20">
        <f>IF(S1612=1,COUNTIF($S$5:S1612,1),"")</f>
        <v/>
      </c>
      <c r="U1612">
        <f>IF(AND($A1612&lt;&gt;"",$B1612&lt;&gt;"",$R1612='تقرير الفصل الأول'!$C$4,$Q1612='تقرير الفصل الأول'!$C$7),COUNT(U$4:U1611)+1,"")</f>
        <v/>
      </c>
      <c r="V1612">
        <f>IF(AND($A1612&lt;&gt;"",$B1612&lt;&gt;"",$R1612='تقرير الفصل الثاني'!$C$4,$Q1612='تقرير الفصل الثاني'!$C$7),COUNT(V$4:V1611)+1,"")</f>
        <v/>
      </c>
      <c r="W1612">
        <f>IF(AND($A1612&lt;&gt;"",$B1612&lt;&gt;"",$R1612='تقرير سبتمبر'!$C$4,$P1612='تقرير سبتمبر'!$C$6),COUNT(W$4:W1611)+1,"")</f>
        <v/>
      </c>
      <c r="X1612">
        <f>IF(AND($A1612&lt;&gt;"",$B1612&lt;&gt;"",$R1612='تقرير أكتوبر'!$C$4,$P1612='تقرير أكتوبر'!$C$6),COUNT(X$4:X1611)+1,"")</f>
        <v/>
      </c>
      <c r="Y1612">
        <f>IF(AND($A1612&lt;&gt;"",$B1612&lt;&gt;"",$R1612='تقرير نوفمبر'!$C$4,$P1612='تقرير نوفمبر'!$C$6),COUNT(Y$4:Y1611)+1,"")</f>
        <v/>
      </c>
      <c r="Z1612">
        <f>IF(AND($A1612&lt;&gt;"",$B1612&lt;&gt;"",$R1612='تقرير ديسمبر'!$C$4,$P1612='تقرير ديسمبر'!$C$6),COUNT(Z$4:Z1611)+1,"")</f>
        <v/>
      </c>
      <c r="AA1612">
        <f>IF(AND($A1612&lt;&gt;"",$B1612&lt;&gt;"",$R1612='تقرير يناير'!$C$4,$P1612='تقرير يناير'!$C$6),COUNT(AA$4:AA1611)+1,"")</f>
        <v/>
      </c>
      <c r="AB1612">
        <f>IF(AND($A1612&lt;&gt;"",$B1612&lt;&gt;"",$R1612='تقرير فبراير'!$C$4,$P1612='تقرير فبراير'!$C$6),COUNT(AB$4:AB1611)+1,"")</f>
        <v/>
      </c>
      <c r="AC1612">
        <f>IF(AND($A1612&lt;&gt;"",$B1612&lt;&gt;"",$R1612='تقرير مارس'!$C$4,$P1612='تقرير مارس'!$C$6),COUNT(AC$4:AC1611)+1,"")</f>
        <v/>
      </c>
      <c r="AD1612">
        <f>IF(AND($A1612&lt;&gt;"",$B1612&lt;&gt;"",$R1612='تقرير أبريل'!$C$4,$P1612='تقرير أبريل'!$C$6),COUNT(AD$4:AD1611)+1,"")</f>
        <v/>
      </c>
      <c r="AE1612">
        <f>IF(AND($A1612&lt;&gt;"",$B1612&lt;&gt;"",$R1612='تقرير مايو'!$C$4,$P1612='تقرير مايو'!$C$6),COUNT(AE$4:AE1611)+1,"")</f>
        <v/>
      </c>
    </row>
    <row r="1613">
      <c r="A1613" s="16" t="n"/>
      <c r="B1613" s="17" t="n"/>
      <c r="C1613" s="17" t="n"/>
      <c r="D1613" s="18" t="n"/>
      <c r="E1613" s="17" t="n"/>
      <c r="F1613" s="17" t="n"/>
      <c r="G1613" s="19" t="n"/>
      <c r="H1613" s="17" t="n"/>
      <c r="I1613" s="17" t="n"/>
      <c r="J1613" s="17" t="n"/>
      <c r="K1613" s="20">
        <f>IF($B1613="","",IFERROR(INDEX(الموظفات!$A$5:$A$304,MATCH($B1613,الموظفات!$B$5:$B$304,0))&amp;"",""))</f>
        <v/>
      </c>
      <c r="L1613" s="21">
        <f>IF($B1613="","",IFERROR(INDEX(الموظفات!$C$5:$C$304,MATCH($B1613,الموظفات!$B$5:$B$304,0))&amp;"",""))</f>
        <v/>
      </c>
      <c r="M1613" s="20">
        <f>IF($B1613="","",IFERROR(INDEX(الموظفات!$D$5:$D$304,MATCH($B1613,الموظفات!$B$5:$B$304,0))&amp;"",""))</f>
        <v/>
      </c>
      <c r="N1613" s="20">
        <f>IF($B1613="","",IFERROR(INDEX(الموظفات!$E$5:$E$304,MATCH($B1613,الموظفات!$B$5:$B$304,0))&amp;"",""))</f>
        <v/>
      </c>
      <c r="O1613" s="21">
        <f>IF(C1613="","",IFERROR(INDEX(الإعدادات!$D$7:$D$35,MATCH(C1613,الإعدادات!$A$7:$A$35,0))&amp;"",""))</f>
        <v/>
      </c>
      <c r="P1613" s="20">
        <f>IF(A1613="","",INDEX(الإعدادات!$H$7:$H$18,MONTH(A1613)))</f>
        <v/>
      </c>
      <c r="Q1613" s="20">
        <f>IF(A1613="","",INDEX(الإعدادات!$I$7:$I$18,MONTH(A1613)))</f>
        <v/>
      </c>
      <c r="R1613" s="20">
        <f>IF(A1613="","",IF(MONTH(A1613)&gt;=8,YEAR(A1613)&amp;"-"&amp;(YEAR(A1613)+1),(YEAR(A1613)-1)&amp;"-"&amp;YEAR(A1613)))</f>
        <v/>
      </c>
      <c r="S1613" s="20">
        <f>IF(OR(A1613="",B1613=""),0,IF(AND(R1613=التقارير!$C$4,OR(التقارير!$C$5="سنوي",AND(التقارير!$C$5="شهري",P1613=التقارير!$C$6),AND(التقارير!$C$5="فصلي",Q1613=التقارير!$C$7))),1,0))</f>
        <v/>
      </c>
      <c r="T1613" s="20">
        <f>IF(S1613=1,COUNTIF($S$5:S1613,1),"")</f>
        <v/>
      </c>
      <c r="U1613">
        <f>IF(AND($A1613&lt;&gt;"",$B1613&lt;&gt;"",$R1613='تقرير الفصل الأول'!$C$4,$Q1613='تقرير الفصل الأول'!$C$7),COUNT(U$4:U1612)+1,"")</f>
        <v/>
      </c>
      <c r="V1613">
        <f>IF(AND($A1613&lt;&gt;"",$B1613&lt;&gt;"",$R1613='تقرير الفصل الثاني'!$C$4,$Q1613='تقرير الفصل الثاني'!$C$7),COUNT(V$4:V1612)+1,"")</f>
        <v/>
      </c>
      <c r="W1613">
        <f>IF(AND($A1613&lt;&gt;"",$B1613&lt;&gt;"",$R1613='تقرير سبتمبر'!$C$4,$P1613='تقرير سبتمبر'!$C$6),COUNT(W$4:W1612)+1,"")</f>
        <v/>
      </c>
      <c r="X1613">
        <f>IF(AND($A1613&lt;&gt;"",$B1613&lt;&gt;"",$R1613='تقرير أكتوبر'!$C$4,$P1613='تقرير أكتوبر'!$C$6),COUNT(X$4:X1612)+1,"")</f>
        <v/>
      </c>
      <c r="Y1613">
        <f>IF(AND($A1613&lt;&gt;"",$B1613&lt;&gt;"",$R1613='تقرير نوفمبر'!$C$4,$P1613='تقرير نوفمبر'!$C$6),COUNT(Y$4:Y1612)+1,"")</f>
        <v/>
      </c>
      <c r="Z1613">
        <f>IF(AND($A1613&lt;&gt;"",$B1613&lt;&gt;"",$R1613='تقرير ديسمبر'!$C$4,$P1613='تقرير ديسمبر'!$C$6),COUNT(Z$4:Z1612)+1,"")</f>
        <v/>
      </c>
      <c r="AA1613">
        <f>IF(AND($A1613&lt;&gt;"",$B1613&lt;&gt;"",$R1613='تقرير يناير'!$C$4,$P1613='تقرير يناير'!$C$6),COUNT(AA$4:AA1612)+1,"")</f>
        <v/>
      </c>
      <c r="AB1613">
        <f>IF(AND($A1613&lt;&gt;"",$B1613&lt;&gt;"",$R1613='تقرير فبراير'!$C$4,$P1613='تقرير فبراير'!$C$6),COUNT(AB$4:AB1612)+1,"")</f>
        <v/>
      </c>
      <c r="AC1613">
        <f>IF(AND($A1613&lt;&gt;"",$B1613&lt;&gt;"",$R1613='تقرير مارس'!$C$4,$P1613='تقرير مارس'!$C$6),COUNT(AC$4:AC1612)+1,"")</f>
        <v/>
      </c>
      <c r="AD1613">
        <f>IF(AND($A1613&lt;&gt;"",$B1613&lt;&gt;"",$R1613='تقرير أبريل'!$C$4,$P1613='تقرير أبريل'!$C$6),COUNT(AD$4:AD1612)+1,"")</f>
        <v/>
      </c>
      <c r="AE1613">
        <f>IF(AND($A1613&lt;&gt;"",$B1613&lt;&gt;"",$R1613='تقرير مايو'!$C$4,$P1613='تقرير مايو'!$C$6),COUNT(AE$4:AE1612)+1,"")</f>
        <v/>
      </c>
    </row>
    <row r="1614">
      <c r="A1614" s="16" t="n"/>
      <c r="B1614" s="17" t="n"/>
      <c r="C1614" s="17" t="n"/>
      <c r="D1614" s="18" t="n"/>
      <c r="E1614" s="17" t="n"/>
      <c r="F1614" s="17" t="n"/>
      <c r="G1614" s="19" t="n"/>
      <c r="H1614" s="17" t="n"/>
      <c r="I1614" s="17" t="n"/>
      <c r="J1614" s="17" t="n"/>
      <c r="K1614" s="20">
        <f>IF($B1614="","",IFERROR(INDEX(الموظفات!$A$5:$A$304,MATCH($B1614,الموظفات!$B$5:$B$304,0))&amp;"",""))</f>
        <v/>
      </c>
      <c r="L1614" s="21">
        <f>IF($B1614="","",IFERROR(INDEX(الموظفات!$C$5:$C$304,MATCH($B1614,الموظفات!$B$5:$B$304,0))&amp;"",""))</f>
        <v/>
      </c>
      <c r="M1614" s="20">
        <f>IF($B1614="","",IFERROR(INDEX(الموظفات!$D$5:$D$304,MATCH($B1614,الموظفات!$B$5:$B$304,0))&amp;"",""))</f>
        <v/>
      </c>
      <c r="N1614" s="20">
        <f>IF($B1614="","",IFERROR(INDEX(الموظفات!$E$5:$E$304,MATCH($B1614,الموظفات!$B$5:$B$304,0))&amp;"",""))</f>
        <v/>
      </c>
      <c r="O1614" s="21">
        <f>IF(C1614="","",IFERROR(INDEX(الإعدادات!$D$7:$D$35,MATCH(C1614,الإعدادات!$A$7:$A$35,0))&amp;"",""))</f>
        <v/>
      </c>
      <c r="P1614" s="20">
        <f>IF(A1614="","",INDEX(الإعدادات!$H$7:$H$18,MONTH(A1614)))</f>
        <v/>
      </c>
      <c r="Q1614" s="20">
        <f>IF(A1614="","",INDEX(الإعدادات!$I$7:$I$18,MONTH(A1614)))</f>
        <v/>
      </c>
      <c r="R1614" s="20">
        <f>IF(A1614="","",IF(MONTH(A1614)&gt;=8,YEAR(A1614)&amp;"-"&amp;(YEAR(A1614)+1),(YEAR(A1614)-1)&amp;"-"&amp;YEAR(A1614)))</f>
        <v/>
      </c>
      <c r="S1614" s="20">
        <f>IF(OR(A1614="",B1614=""),0,IF(AND(R1614=التقارير!$C$4,OR(التقارير!$C$5="سنوي",AND(التقارير!$C$5="شهري",P1614=التقارير!$C$6),AND(التقارير!$C$5="فصلي",Q1614=التقارير!$C$7))),1,0))</f>
        <v/>
      </c>
      <c r="T1614" s="20">
        <f>IF(S1614=1,COUNTIF($S$5:S1614,1),"")</f>
        <v/>
      </c>
      <c r="U1614">
        <f>IF(AND($A1614&lt;&gt;"",$B1614&lt;&gt;"",$R1614='تقرير الفصل الأول'!$C$4,$Q1614='تقرير الفصل الأول'!$C$7),COUNT(U$4:U1613)+1,"")</f>
        <v/>
      </c>
      <c r="V1614">
        <f>IF(AND($A1614&lt;&gt;"",$B1614&lt;&gt;"",$R1614='تقرير الفصل الثاني'!$C$4,$Q1614='تقرير الفصل الثاني'!$C$7),COUNT(V$4:V1613)+1,"")</f>
        <v/>
      </c>
      <c r="W1614">
        <f>IF(AND($A1614&lt;&gt;"",$B1614&lt;&gt;"",$R1614='تقرير سبتمبر'!$C$4,$P1614='تقرير سبتمبر'!$C$6),COUNT(W$4:W1613)+1,"")</f>
        <v/>
      </c>
      <c r="X1614">
        <f>IF(AND($A1614&lt;&gt;"",$B1614&lt;&gt;"",$R1614='تقرير أكتوبر'!$C$4,$P1614='تقرير أكتوبر'!$C$6),COUNT(X$4:X1613)+1,"")</f>
        <v/>
      </c>
      <c r="Y1614">
        <f>IF(AND($A1614&lt;&gt;"",$B1614&lt;&gt;"",$R1614='تقرير نوفمبر'!$C$4,$P1614='تقرير نوفمبر'!$C$6),COUNT(Y$4:Y1613)+1,"")</f>
        <v/>
      </c>
      <c r="Z1614">
        <f>IF(AND($A1614&lt;&gt;"",$B1614&lt;&gt;"",$R1614='تقرير ديسمبر'!$C$4,$P1614='تقرير ديسمبر'!$C$6),COUNT(Z$4:Z1613)+1,"")</f>
        <v/>
      </c>
      <c r="AA1614">
        <f>IF(AND($A1614&lt;&gt;"",$B1614&lt;&gt;"",$R1614='تقرير يناير'!$C$4,$P1614='تقرير يناير'!$C$6),COUNT(AA$4:AA1613)+1,"")</f>
        <v/>
      </c>
      <c r="AB1614">
        <f>IF(AND($A1614&lt;&gt;"",$B1614&lt;&gt;"",$R1614='تقرير فبراير'!$C$4,$P1614='تقرير فبراير'!$C$6),COUNT(AB$4:AB1613)+1,"")</f>
        <v/>
      </c>
      <c r="AC1614">
        <f>IF(AND($A1614&lt;&gt;"",$B1614&lt;&gt;"",$R1614='تقرير مارس'!$C$4,$P1614='تقرير مارس'!$C$6),COUNT(AC$4:AC1613)+1,"")</f>
        <v/>
      </c>
      <c r="AD1614">
        <f>IF(AND($A1614&lt;&gt;"",$B1614&lt;&gt;"",$R1614='تقرير أبريل'!$C$4,$P1614='تقرير أبريل'!$C$6),COUNT(AD$4:AD1613)+1,"")</f>
        <v/>
      </c>
      <c r="AE1614">
        <f>IF(AND($A1614&lt;&gt;"",$B1614&lt;&gt;"",$R1614='تقرير مايو'!$C$4,$P1614='تقرير مايو'!$C$6),COUNT(AE$4:AE1613)+1,"")</f>
        <v/>
      </c>
    </row>
    <row r="1615">
      <c r="A1615" s="16" t="n"/>
      <c r="B1615" s="17" t="n"/>
      <c r="C1615" s="17" t="n"/>
      <c r="D1615" s="18" t="n"/>
      <c r="E1615" s="17" t="n"/>
      <c r="F1615" s="17" t="n"/>
      <c r="G1615" s="19" t="n"/>
      <c r="H1615" s="17" t="n"/>
      <c r="I1615" s="17" t="n"/>
      <c r="J1615" s="17" t="n"/>
      <c r="K1615" s="20">
        <f>IF($B1615="","",IFERROR(INDEX(الموظفات!$A$5:$A$304,MATCH($B1615,الموظفات!$B$5:$B$304,0))&amp;"",""))</f>
        <v/>
      </c>
      <c r="L1615" s="21">
        <f>IF($B1615="","",IFERROR(INDEX(الموظفات!$C$5:$C$304,MATCH($B1615,الموظفات!$B$5:$B$304,0))&amp;"",""))</f>
        <v/>
      </c>
      <c r="M1615" s="20">
        <f>IF($B1615="","",IFERROR(INDEX(الموظفات!$D$5:$D$304,MATCH($B1615,الموظفات!$B$5:$B$304,0))&amp;"",""))</f>
        <v/>
      </c>
      <c r="N1615" s="20">
        <f>IF($B1615="","",IFERROR(INDEX(الموظفات!$E$5:$E$304,MATCH($B1615,الموظفات!$B$5:$B$304,0))&amp;"",""))</f>
        <v/>
      </c>
      <c r="O1615" s="21">
        <f>IF(C1615="","",IFERROR(INDEX(الإعدادات!$D$7:$D$35,MATCH(C1615,الإعدادات!$A$7:$A$35,0))&amp;"",""))</f>
        <v/>
      </c>
      <c r="P1615" s="20">
        <f>IF(A1615="","",INDEX(الإعدادات!$H$7:$H$18,MONTH(A1615)))</f>
        <v/>
      </c>
      <c r="Q1615" s="20">
        <f>IF(A1615="","",INDEX(الإعدادات!$I$7:$I$18,MONTH(A1615)))</f>
        <v/>
      </c>
      <c r="R1615" s="20">
        <f>IF(A1615="","",IF(MONTH(A1615)&gt;=8,YEAR(A1615)&amp;"-"&amp;(YEAR(A1615)+1),(YEAR(A1615)-1)&amp;"-"&amp;YEAR(A1615)))</f>
        <v/>
      </c>
      <c r="S1615" s="20">
        <f>IF(OR(A1615="",B1615=""),0,IF(AND(R1615=التقارير!$C$4,OR(التقارير!$C$5="سنوي",AND(التقارير!$C$5="شهري",P1615=التقارير!$C$6),AND(التقارير!$C$5="فصلي",Q1615=التقارير!$C$7))),1,0))</f>
        <v/>
      </c>
      <c r="T1615" s="20">
        <f>IF(S1615=1,COUNTIF($S$5:S1615,1),"")</f>
        <v/>
      </c>
      <c r="U1615">
        <f>IF(AND($A1615&lt;&gt;"",$B1615&lt;&gt;"",$R1615='تقرير الفصل الأول'!$C$4,$Q1615='تقرير الفصل الأول'!$C$7),COUNT(U$4:U1614)+1,"")</f>
        <v/>
      </c>
      <c r="V1615">
        <f>IF(AND($A1615&lt;&gt;"",$B1615&lt;&gt;"",$R1615='تقرير الفصل الثاني'!$C$4,$Q1615='تقرير الفصل الثاني'!$C$7),COUNT(V$4:V1614)+1,"")</f>
        <v/>
      </c>
      <c r="W1615">
        <f>IF(AND($A1615&lt;&gt;"",$B1615&lt;&gt;"",$R1615='تقرير سبتمبر'!$C$4,$P1615='تقرير سبتمبر'!$C$6),COUNT(W$4:W1614)+1,"")</f>
        <v/>
      </c>
      <c r="X1615">
        <f>IF(AND($A1615&lt;&gt;"",$B1615&lt;&gt;"",$R1615='تقرير أكتوبر'!$C$4,$P1615='تقرير أكتوبر'!$C$6),COUNT(X$4:X1614)+1,"")</f>
        <v/>
      </c>
      <c r="Y1615">
        <f>IF(AND($A1615&lt;&gt;"",$B1615&lt;&gt;"",$R1615='تقرير نوفمبر'!$C$4,$P1615='تقرير نوفمبر'!$C$6),COUNT(Y$4:Y1614)+1,"")</f>
        <v/>
      </c>
      <c r="Z1615">
        <f>IF(AND($A1615&lt;&gt;"",$B1615&lt;&gt;"",$R1615='تقرير ديسمبر'!$C$4,$P1615='تقرير ديسمبر'!$C$6),COUNT(Z$4:Z1614)+1,"")</f>
        <v/>
      </c>
      <c r="AA1615">
        <f>IF(AND($A1615&lt;&gt;"",$B1615&lt;&gt;"",$R1615='تقرير يناير'!$C$4,$P1615='تقرير يناير'!$C$6),COUNT(AA$4:AA1614)+1,"")</f>
        <v/>
      </c>
      <c r="AB1615">
        <f>IF(AND($A1615&lt;&gt;"",$B1615&lt;&gt;"",$R1615='تقرير فبراير'!$C$4,$P1615='تقرير فبراير'!$C$6),COUNT(AB$4:AB1614)+1,"")</f>
        <v/>
      </c>
      <c r="AC1615">
        <f>IF(AND($A1615&lt;&gt;"",$B1615&lt;&gt;"",$R1615='تقرير مارس'!$C$4,$P1615='تقرير مارس'!$C$6),COUNT(AC$4:AC1614)+1,"")</f>
        <v/>
      </c>
      <c r="AD1615">
        <f>IF(AND($A1615&lt;&gt;"",$B1615&lt;&gt;"",$R1615='تقرير أبريل'!$C$4,$P1615='تقرير أبريل'!$C$6),COUNT(AD$4:AD1614)+1,"")</f>
        <v/>
      </c>
      <c r="AE1615">
        <f>IF(AND($A1615&lt;&gt;"",$B1615&lt;&gt;"",$R1615='تقرير مايو'!$C$4,$P1615='تقرير مايو'!$C$6),COUNT(AE$4:AE1614)+1,"")</f>
        <v/>
      </c>
    </row>
    <row r="1616">
      <c r="A1616" s="16" t="n"/>
      <c r="B1616" s="17" t="n"/>
      <c r="C1616" s="17" t="n"/>
      <c r="D1616" s="18" t="n"/>
      <c r="E1616" s="17" t="n"/>
      <c r="F1616" s="17" t="n"/>
      <c r="G1616" s="19" t="n"/>
      <c r="H1616" s="17" t="n"/>
      <c r="I1616" s="17" t="n"/>
      <c r="J1616" s="17" t="n"/>
      <c r="K1616" s="20">
        <f>IF($B1616="","",IFERROR(INDEX(الموظفات!$A$5:$A$304,MATCH($B1616,الموظفات!$B$5:$B$304,0))&amp;"",""))</f>
        <v/>
      </c>
      <c r="L1616" s="21">
        <f>IF($B1616="","",IFERROR(INDEX(الموظفات!$C$5:$C$304,MATCH($B1616,الموظفات!$B$5:$B$304,0))&amp;"",""))</f>
        <v/>
      </c>
      <c r="M1616" s="20">
        <f>IF($B1616="","",IFERROR(INDEX(الموظفات!$D$5:$D$304,MATCH($B1616,الموظفات!$B$5:$B$304,0))&amp;"",""))</f>
        <v/>
      </c>
      <c r="N1616" s="20">
        <f>IF($B1616="","",IFERROR(INDEX(الموظفات!$E$5:$E$304,MATCH($B1616,الموظفات!$B$5:$B$304,0))&amp;"",""))</f>
        <v/>
      </c>
      <c r="O1616" s="21">
        <f>IF(C1616="","",IFERROR(INDEX(الإعدادات!$D$7:$D$35,MATCH(C1616,الإعدادات!$A$7:$A$35,0))&amp;"",""))</f>
        <v/>
      </c>
      <c r="P1616" s="20">
        <f>IF(A1616="","",INDEX(الإعدادات!$H$7:$H$18,MONTH(A1616)))</f>
        <v/>
      </c>
      <c r="Q1616" s="20">
        <f>IF(A1616="","",INDEX(الإعدادات!$I$7:$I$18,MONTH(A1616)))</f>
        <v/>
      </c>
      <c r="R1616" s="20">
        <f>IF(A1616="","",IF(MONTH(A1616)&gt;=8,YEAR(A1616)&amp;"-"&amp;(YEAR(A1616)+1),(YEAR(A1616)-1)&amp;"-"&amp;YEAR(A1616)))</f>
        <v/>
      </c>
      <c r="S1616" s="20">
        <f>IF(OR(A1616="",B1616=""),0,IF(AND(R1616=التقارير!$C$4,OR(التقارير!$C$5="سنوي",AND(التقارير!$C$5="شهري",P1616=التقارير!$C$6),AND(التقارير!$C$5="فصلي",Q1616=التقارير!$C$7))),1,0))</f>
        <v/>
      </c>
      <c r="T1616" s="20">
        <f>IF(S1616=1,COUNTIF($S$5:S1616,1),"")</f>
        <v/>
      </c>
      <c r="U1616">
        <f>IF(AND($A1616&lt;&gt;"",$B1616&lt;&gt;"",$R1616='تقرير الفصل الأول'!$C$4,$Q1616='تقرير الفصل الأول'!$C$7),COUNT(U$4:U1615)+1,"")</f>
        <v/>
      </c>
      <c r="V1616">
        <f>IF(AND($A1616&lt;&gt;"",$B1616&lt;&gt;"",$R1616='تقرير الفصل الثاني'!$C$4,$Q1616='تقرير الفصل الثاني'!$C$7),COUNT(V$4:V1615)+1,"")</f>
        <v/>
      </c>
      <c r="W1616">
        <f>IF(AND($A1616&lt;&gt;"",$B1616&lt;&gt;"",$R1616='تقرير سبتمبر'!$C$4,$P1616='تقرير سبتمبر'!$C$6),COUNT(W$4:W1615)+1,"")</f>
        <v/>
      </c>
      <c r="X1616">
        <f>IF(AND($A1616&lt;&gt;"",$B1616&lt;&gt;"",$R1616='تقرير أكتوبر'!$C$4,$P1616='تقرير أكتوبر'!$C$6),COUNT(X$4:X1615)+1,"")</f>
        <v/>
      </c>
      <c r="Y1616">
        <f>IF(AND($A1616&lt;&gt;"",$B1616&lt;&gt;"",$R1616='تقرير نوفمبر'!$C$4,$P1616='تقرير نوفمبر'!$C$6),COUNT(Y$4:Y1615)+1,"")</f>
        <v/>
      </c>
      <c r="Z1616">
        <f>IF(AND($A1616&lt;&gt;"",$B1616&lt;&gt;"",$R1616='تقرير ديسمبر'!$C$4,$P1616='تقرير ديسمبر'!$C$6),COUNT(Z$4:Z1615)+1,"")</f>
        <v/>
      </c>
      <c r="AA1616">
        <f>IF(AND($A1616&lt;&gt;"",$B1616&lt;&gt;"",$R1616='تقرير يناير'!$C$4,$P1616='تقرير يناير'!$C$6),COUNT(AA$4:AA1615)+1,"")</f>
        <v/>
      </c>
      <c r="AB1616">
        <f>IF(AND($A1616&lt;&gt;"",$B1616&lt;&gt;"",$R1616='تقرير فبراير'!$C$4,$P1616='تقرير فبراير'!$C$6),COUNT(AB$4:AB1615)+1,"")</f>
        <v/>
      </c>
      <c r="AC1616">
        <f>IF(AND($A1616&lt;&gt;"",$B1616&lt;&gt;"",$R1616='تقرير مارس'!$C$4,$P1616='تقرير مارس'!$C$6),COUNT(AC$4:AC1615)+1,"")</f>
        <v/>
      </c>
      <c r="AD1616">
        <f>IF(AND($A1616&lt;&gt;"",$B1616&lt;&gt;"",$R1616='تقرير أبريل'!$C$4,$P1616='تقرير أبريل'!$C$6),COUNT(AD$4:AD1615)+1,"")</f>
        <v/>
      </c>
      <c r="AE1616">
        <f>IF(AND($A1616&lt;&gt;"",$B1616&lt;&gt;"",$R1616='تقرير مايو'!$C$4,$P1616='تقرير مايو'!$C$6),COUNT(AE$4:AE1615)+1,"")</f>
        <v/>
      </c>
    </row>
    <row r="1617">
      <c r="A1617" s="16" t="n"/>
      <c r="B1617" s="17" t="n"/>
      <c r="C1617" s="17" t="n"/>
      <c r="D1617" s="18" t="n"/>
      <c r="E1617" s="17" t="n"/>
      <c r="F1617" s="17" t="n"/>
      <c r="G1617" s="19" t="n"/>
      <c r="H1617" s="17" t="n"/>
      <c r="I1617" s="17" t="n"/>
      <c r="J1617" s="17" t="n"/>
      <c r="K1617" s="20">
        <f>IF($B1617="","",IFERROR(INDEX(الموظفات!$A$5:$A$304,MATCH($B1617,الموظفات!$B$5:$B$304,0))&amp;"",""))</f>
        <v/>
      </c>
      <c r="L1617" s="21">
        <f>IF($B1617="","",IFERROR(INDEX(الموظفات!$C$5:$C$304,MATCH($B1617,الموظفات!$B$5:$B$304,0))&amp;"",""))</f>
        <v/>
      </c>
      <c r="M1617" s="20">
        <f>IF($B1617="","",IFERROR(INDEX(الموظفات!$D$5:$D$304,MATCH($B1617,الموظفات!$B$5:$B$304,0))&amp;"",""))</f>
        <v/>
      </c>
      <c r="N1617" s="20">
        <f>IF($B1617="","",IFERROR(INDEX(الموظفات!$E$5:$E$304,MATCH($B1617,الموظفات!$B$5:$B$304,0))&amp;"",""))</f>
        <v/>
      </c>
      <c r="O1617" s="21">
        <f>IF(C1617="","",IFERROR(INDEX(الإعدادات!$D$7:$D$35,MATCH(C1617,الإعدادات!$A$7:$A$35,0))&amp;"",""))</f>
        <v/>
      </c>
      <c r="P1617" s="20">
        <f>IF(A1617="","",INDEX(الإعدادات!$H$7:$H$18,MONTH(A1617)))</f>
        <v/>
      </c>
      <c r="Q1617" s="20">
        <f>IF(A1617="","",INDEX(الإعدادات!$I$7:$I$18,MONTH(A1617)))</f>
        <v/>
      </c>
      <c r="R1617" s="20">
        <f>IF(A1617="","",IF(MONTH(A1617)&gt;=8,YEAR(A1617)&amp;"-"&amp;(YEAR(A1617)+1),(YEAR(A1617)-1)&amp;"-"&amp;YEAR(A1617)))</f>
        <v/>
      </c>
      <c r="S1617" s="20">
        <f>IF(OR(A1617="",B1617=""),0,IF(AND(R1617=التقارير!$C$4,OR(التقارير!$C$5="سنوي",AND(التقارير!$C$5="شهري",P1617=التقارير!$C$6),AND(التقارير!$C$5="فصلي",Q1617=التقارير!$C$7))),1,0))</f>
        <v/>
      </c>
      <c r="T1617" s="20">
        <f>IF(S1617=1,COUNTIF($S$5:S1617,1),"")</f>
        <v/>
      </c>
      <c r="U1617">
        <f>IF(AND($A1617&lt;&gt;"",$B1617&lt;&gt;"",$R1617='تقرير الفصل الأول'!$C$4,$Q1617='تقرير الفصل الأول'!$C$7),COUNT(U$4:U1616)+1,"")</f>
        <v/>
      </c>
      <c r="V1617">
        <f>IF(AND($A1617&lt;&gt;"",$B1617&lt;&gt;"",$R1617='تقرير الفصل الثاني'!$C$4,$Q1617='تقرير الفصل الثاني'!$C$7),COUNT(V$4:V1616)+1,"")</f>
        <v/>
      </c>
      <c r="W1617">
        <f>IF(AND($A1617&lt;&gt;"",$B1617&lt;&gt;"",$R1617='تقرير سبتمبر'!$C$4,$P1617='تقرير سبتمبر'!$C$6),COUNT(W$4:W1616)+1,"")</f>
        <v/>
      </c>
      <c r="X1617">
        <f>IF(AND($A1617&lt;&gt;"",$B1617&lt;&gt;"",$R1617='تقرير أكتوبر'!$C$4,$P1617='تقرير أكتوبر'!$C$6),COUNT(X$4:X1616)+1,"")</f>
        <v/>
      </c>
      <c r="Y1617">
        <f>IF(AND($A1617&lt;&gt;"",$B1617&lt;&gt;"",$R1617='تقرير نوفمبر'!$C$4,$P1617='تقرير نوفمبر'!$C$6),COUNT(Y$4:Y1616)+1,"")</f>
        <v/>
      </c>
      <c r="Z1617">
        <f>IF(AND($A1617&lt;&gt;"",$B1617&lt;&gt;"",$R1617='تقرير ديسمبر'!$C$4,$P1617='تقرير ديسمبر'!$C$6),COUNT(Z$4:Z1616)+1,"")</f>
        <v/>
      </c>
      <c r="AA1617">
        <f>IF(AND($A1617&lt;&gt;"",$B1617&lt;&gt;"",$R1617='تقرير يناير'!$C$4,$P1617='تقرير يناير'!$C$6),COUNT(AA$4:AA1616)+1,"")</f>
        <v/>
      </c>
      <c r="AB1617">
        <f>IF(AND($A1617&lt;&gt;"",$B1617&lt;&gt;"",$R1617='تقرير فبراير'!$C$4,$P1617='تقرير فبراير'!$C$6),COUNT(AB$4:AB1616)+1,"")</f>
        <v/>
      </c>
      <c r="AC1617">
        <f>IF(AND($A1617&lt;&gt;"",$B1617&lt;&gt;"",$R1617='تقرير مارس'!$C$4,$P1617='تقرير مارس'!$C$6),COUNT(AC$4:AC1616)+1,"")</f>
        <v/>
      </c>
      <c r="AD1617">
        <f>IF(AND($A1617&lt;&gt;"",$B1617&lt;&gt;"",$R1617='تقرير أبريل'!$C$4,$P1617='تقرير أبريل'!$C$6),COUNT(AD$4:AD1616)+1,"")</f>
        <v/>
      </c>
      <c r="AE1617">
        <f>IF(AND($A1617&lt;&gt;"",$B1617&lt;&gt;"",$R1617='تقرير مايو'!$C$4,$P1617='تقرير مايو'!$C$6),COUNT(AE$4:AE1616)+1,"")</f>
        <v/>
      </c>
    </row>
    <row r="1618">
      <c r="A1618" s="16" t="n"/>
      <c r="B1618" s="17" t="n"/>
      <c r="C1618" s="17" t="n"/>
      <c r="D1618" s="18" t="n"/>
      <c r="E1618" s="17" t="n"/>
      <c r="F1618" s="17" t="n"/>
      <c r="G1618" s="19" t="n"/>
      <c r="H1618" s="17" t="n"/>
      <c r="I1618" s="17" t="n"/>
      <c r="J1618" s="17" t="n"/>
      <c r="K1618" s="20">
        <f>IF($B1618="","",IFERROR(INDEX(الموظفات!$A$5:$A$304,MATCH($B1618,الموظفات!$B$5:$B$304,0))&amp;"",""))</f>
        <v/>
      </c>
      <c r="L1618" s="21">
        <f>IF($B1618="","",IFERROR(INDEX(الموظفات!$C$5:$C$304,MATCH($B1618,الموظفات!$B$5:$B$304,0))&amp;"",""))</f>
        <v/>
      </c>
      <c r="M1618" s="20">
        <f>IF($B1618="","",IFERROR(INDEX(الموظفات!$D$5:$D$304,MATCH($B1618,الموظفات!$B$5:$B$304,0))&amp;"",""))</f>
        <v/>
      </c>
      <c r="N1618" s="20">
        <f>IF($B1618="","",IFERROR(INDEX(الموظفات!$E$5:$E$304,MATCH($B1618,الموظفات!$B$5:$B$304,0))&amp;"",""))</f>
        <v/>
      </c>
      <c r="O1618" s="21">
        <f>IF(C1618="","",IFERROR(INDEX(الإعدادات!$D$7:$D$35,MATCH(C1618,الإعدادات!$A$7:$A$35,0))&amp;"",""))</f>
        <v/>
      </c>
      <c r="P1618" s="20">
        <f>IF(A1618="","",INDEX(الإعدادات!$H$7:$H$18,MONTH(A1618)))</f>
        <v/>
      </c>
      <c r="Q1618" s="20">
        <f>IF(A1618="","",INDEX(الإعدادات!$I$7:$I$18,MONTH(A1618)))</f>
        <v/>
      </c>
      <c r="R1618" s="20">
        <f>IF(A1618="","",IF(MONTH(A1618)&gt;=8,YEAR(A1618)&amp;"-"&amp;(YEAR(A1618)+1),(YEAR(A1618)-1)&amp;"-"&amp;YEAR(A1618)))</f>
        <v/>
      </c>
      <c r="S1618" s="20">
        <f>IF(OR(A1618="",B1618=""),0,IF(AND(R1618=التقارير!$C$4,OR(التقارير!$C$5="سنوي",AND(التقارير!$C$5="شهري",P1618=التقارير!$C$6),AND(التقارير!$C$5="فصلي",Q1618=التقارير!$C$7))),1,0))</f>
        <v/>
      </c>
      <c r="T1618" s="20">
        <f>IF(S1618=1,COUNTIF($S$5:S1618,1),"")</f>
        <v/>
      </c>
      <c r="U1618">
        <f>IF(AND($A1618&lt;&gt;"",$B1618&lt;&gt;"",$R1618='تقرير الفصل الأول'!$C$4,$Q1618='تقرير الفصل الأول'!$C$7),COUNT(U$4:U1617)+1,"")</f>
        <v/>
      </c>
      <c r="V1618">
        <f>IF(AND($A1618&lt;&gt;"",$B1618&lt;&gt;"",$R1618='تقرير الفصل الثاني'!$C$4,$Q1618='تقرير الفصل الثاني'!$C$7),COUNT(V$4:V1617)+1,"")</f>
        <v/>
      </c>
      <c r="W1618">
        <f>IF(AND($A1618&lt;&gt;"",$B1618&lt;&gt;"",$R1618='تقرير سبتمبر'!$C$4,$P1618='تقرير سبتمبر'!$C$6),COUNT(W$4:W1617)+1,"")</f>
        <v/>
      </c>
      <c r="X1618">
        <f>IF(AND($A1618&lt;&gt;"",$B1618&lt;&gt;"",$R1618='تقرير أكتوبر'!$C$4,$P1618='تقرير أكتوبر'!$C$6),COUNT(X$4:X1617)+1,"")</f>
        <v/>
      </c>
      <c r="Y1618">
        <f>IF(AND($A1618&lt;&gt;"",$B1618&lt;&gt;"",$R1618='تقرير نوفمبر'!$C$4,$P1618='تقرير نوفمبر'!$C$6),COUNT(Y$4:Y1617)+1,"")</f>
        <v/>
      </c>
      <c r="Z1618">
        <f>IF(AND($A1618&lt;&gt;"",$B1618&lt;&gt;"",$R1618='تقرير ديسمبر'!$C$4,$P1618='تقرير ديسمبر'!$C$6),COUNT(Z$4:Z1617)+1,"")</f>
        <v/>
      </c>
      <c r="AA1618">
        <f>IF(AND($A1618&lt;&gt;"",$B1618&lt;&gt;"",$R1618='تقرير يناير'!$C$4,$P1618='تقرير يناير'!$C$6),COUNT(AA$4:AA1617)+1,"")</f>
        <v/>
      </c>
      <c r="AB1618">
        <f>IF(AND($A1618&lt;&gt;"",$B1618&lt;&gt;"",$R1618='تقرير فبراير'!$C$4,$P1618='تقرير فبراير'!$C$6),COUNT(AB$4:AB1617)+1,"")</f>
        <v/>
      </c>
      <c r="AC1618">
        <f>IF(AND($A1618&lt;&gt;"",$B1618&lt;&gt;"",$R1618='تقرير مارس'!$C$4,$P1618='تقرير مارس'!$C$6),COUNT(AC$4:AC1617)+1,"")</f>
        <v/>
      </c>
      <c r="AD1618">
        <f>IF(AND($A1618&lt;&gt;"",$B1618&lt;&gt;"",$R1618='تقرير أبريل'!$C$4,$P1618='تقرير أبريل'!$C$6),COUNT(AD$4:AD1617)+1,"")</f>
        <v/>
      </c>
      <c r="AE1618">
        <f>IF(AND($A1618&lt;&gt;"",$B1618&lt;&gt;"",$R1618='تقرير مايو'!$C$4,$P1618='تقرير مايو'!$C$6),COUNT(AE$4:AE1617)+1,"")</f>
        <v/>
      </c>
    </row>
    <row r="1619">
      <c r="A1619" s="16" t="n"/>
      <c r="B1619" s="17" t="n"/>
      <c r="C1619" s="17" t="n"/>
      <c r="D1619" s="18" t="n"/>
      <c r="E1619" s="17" t="n"/>
      <c r="F1619" s="17" t="n"/>
      <c r="G1619" s="19" t="n"/>
      <c r="H1619" s="17" t="n"/>
      <c r="I1619" s="17" t="n"/>
      <c r="J1619" s="17" t="n"/>
      <c r="K1619" s="20">
        <f>IF($B1619="","",IFERROR(INDEX(الموظفات!$A$5:$A$304,MATCH($B1619,الموظفات!$B$5:$B$304,0))&amp;"",""))</f>
        <v/>
      </c>
      <c r="L1619" s="21">
        <f>IF($B1619="","",IFERROR(INDEX(الموظفات!$C$5:$C$304,MATCH($B1619,الموظفات!$B$5:$B$304,0))&amp;"",""))</f>
        <v/>
      </c>
      <c r="M1619" s="20">
        <f>IF($B1619="","",IFERROR(INDEX(الموظفات!$D$5:$D$304,MATCH($B1619,الموظفات!$B$5:$B$304,0))&amp;"",""))</f>
        <v/>
      </c>
      <c r="N1619" s="20">
        <f>IF($B1619="","",IFERROR(INDEX(الموظفات!$E$5:$E$304,MATCH($B1619,الموظفات!$B$5:$B$304,0))&amp;"",""))</f>
        <v/>
      </c>
      <c r="O1619" s="21">
        <f>IF(C1619="","",IFERROR(INDEX(الإعدادات!$D$7:$D$35,MATCH(C1619,الإعدادات!$A$7:$A$35,0))&amp;"",""))</f>
        <v/>
      </c>
      <c r="P1619" s="20">
        <f>IF(A1619="","",INDEX(الإعدادات!$H$7:$H$18,MONTH(A1619)))</f>
        <v/>
      </c>
      <c r="Q1619" s="20">
        <f>IF(A1619="","",INDEX(الإعدادات!$I$7:$I$18,MONTH(A1619)))</f>
        <v/>
      </c>
      <c r="R1619" s="20">
        <f>IF(A1619="","",IF(MONTH(A1619)&gt;=8,YEAR(A1619)&amp;"-"&amp;(YEAR(A1619)+1),(YEAR(A1619)-1)&amp;"-"&amp;YEAR(A1619)))</f>
        <v/>
      </c>
      <c r="S1619" s="20">
        <f>IF(OR(A1619="",B1619=""),0,IF(AND(R1619=التقارير!$C$4,OR(التقارير!$C$5="سنوي",AND(التقارير!$C$5="شهري",P1619=التقارير!$C$6),AND(التقارير!$C$5="فصلي",Q1619=التقارير!$C$7))),1,0))</f>
        <v/>
      </c>
      <c r="T1619" s="20">
        <f>IF(S1619=1,COUNTIF($S$5:S1619,1),"")</f>
        <v/>
      </c>
      <c r="U1619">
        <f>IF(AND($A1619&lt;&gt;"",$B1619&lt;&gt;"",$R1619='تقرير الفصل الأول'!$C$4,$Q1619='تقرير الفصل الأول'!$C$7),COUNT(U$4:U1618)+1,"")</f>
        <v/>
      </c>
      <c r="V1619">
        <f>IF(AND($A1619&lt;&gt;"",$B1619&lt;&gt;"",$R1619='تقرير الفصل الثاني'!$C$4,$Q1619='تقرير الفصل الثاني'!$C$7),COUNT(V$4:V1618)+1,"")</f>
        <v/>
      </c>
      <c r="W1619">
        <f>IF(AND($A1619&lt;&gt;"",$B1619&lt;&gt;"",$R1619='تقرير سبتمبر'!$C$4,$P1619='تقرير سبتمبر'!$C$6),COUNT(W$4:W1618)+1,"")</f>
        <v/>
      </c>
      <c r="X1619">
        <f>IF(AND($A1619&lt;&gt;"",$B1619&lt;&gt;"",$R1619='تقرير أكتوبر'!$C$4,$P1619='تقرير أكتوبر'!$C$6),COUNT(X$4:X1618)+1,"")</f>
        <v/>
      </c>
      <c r="Y1619">
        <f>IF(AND($A1619&lt;&gt;"",$B1619&lt;&gt;"",$R1619='تقرير نوفمبر'!$C$4,$P1619='تقرير نوفمبر'!$C$6),COUNT(Y$4:Y1618)+1,"")</f>
        <v/>
      </c>
      <c r="Z1619">
        <f>IF(AND($A1619&lt;&gt;"",$B1619&lt;&gt;"",$R1619='تقرير ديسمبر'!$C$4,$P1619='تقرير ديسمبر'!$C$6),COUNT(Z$4:Z1618)+1,"")</f>
        <v/>
      </c>
      <c r="AA1619">
        <f>IF(AND($A1619&lt;&gt;"",$B1619&lt;&gt;"",$R1619='تقرير يناير'!$C$4,$P1619='تقرير يناير'!$C$6),COUNT(AA$4:AA1618)+1,"")</f>
        <v/>
      </c>
      <c r="AB1619">
        <f>IF(AND($A1619&lt;&gt;"",$B1619&lt;&gt;"",$R1619='تقرير فبراير'!$C$4,$P1619='تقرير فبراير'!$C$6),COUNT(AB$4:AB1618)+1,"")</f>
        <v/>
      </c>
      <c r="AC1619">
        <f>IF(AND($A1619&lt;&gt;"",$B1619&lt;&gt;"",$R1619='تقرير مارس'!$C$4,$P1619='تقرير مارس'!$C$6),COUNT(AC$4:AC1618)+1,"")</f>
        <v/>
      </c>
      <c r="AD1619">
        <f>IF(AND($A1619&lt;&gt;"",$B1619&lt;&gt;"",$R1619='تقرير أبريل'!$C$4,$P1619='تقرير أبريل'!$C$6),COUNT(AD$4:AD1618)+1,"")</f>
        <v/>
      </c>
      <c r="AE1619">
        <f>IF(AND($A1619&lt;&gt;"",$B1619&lt;&gt;"",$R1619='تقرير مايو'!$C$4,$P1619='تقرير مايو'!$C$6),COUNT(AE$4:AE1618)+1,"")</f>
        <v/>
      </c>
    </row>
    <row r="1620">
      <c r="A1620" s="16" t="n"/>
      <c r="B1620" s="17" t="n"/>
      <c r="C1620" s="17" t="n"/>
      <c r="D1620" s="18" t="n"/>
      <c r="E1620" s="17" t="n"/>
      <c r="F1620" s="17" t="n"/>
      <c r="G1620" s="19" t="n"/>
      <c r="H1620" s="17" t="n"/>
      <c r="I1620" s="17" t="n"/>
      <c r="J1620" s="17" t="n"/>
      <c r="K1620" s="20">
        <f>IF($B1620="","",IFERROR(INDEX(الموظفات!$A$5:$A$304,MATCH($B1620,الموظفات!$B$5:$B$304,0))&amp;"",""))</f>
        <v/>
      </c>
      <c r="L1620" s="21">
        <f>IF($B1620="","",IFERROR(INDEX(الموظفات!$C$5:$C$304,MATCH($B1620,الموظفات!$B$5:$B$304,0))&amp;"",""))</f>
        <v/>
      </c>
      <c r="M1620" s="20">
        <f>IF($B1620="","",IFERROR(INDEX(الموظفات!$D$5:$D$304,MATCH($B1620,الموظفات!$B$5:$B$304,0))&amp;"",""))</f>
        <v/>
      </c>
      <c r="N1620" s="20">
        <f>IF($B1620="","",IFERROR(INDEX(الموظفات!$E$5:$E$304,MATCH($B1620,الموظفات!$B$5:$B$304,0))&amp;"",""))</f>
        <v/>
      </c>
      <c r="O1620" s="21">
        <f>IF(C1620="","",IFERROR(INDEX(الإعدادات!$D$7:$D$35,MATCH(C1620,الإعدادات!$A$7:$A$35,0))&amp;"",""))</f>
        <v/>
      </c>
      <c r="P1620" s="20">
        <f>IF(A1620="","",INDEX(الإعدادات!$H$7:$H$18,MONTH(A1620)))</f>
        <v/>
      </c>
      <c r="Q1620" s="20">
        <f>IF(A1620="","",INDEX(الإعدادات!$I$7:$I$18,MONTH(A1620)))</f>
        <v/>
      </c>
      <c r="R1620" s="20">
        <f>IF(A1620="","",IF(MONTH(A1620)&gt;=8,YEAR(A1620)&amp;"-"&amp;(YEAR(A1620)+1),(YEAR(A1620)-1)&amp;"-"&amp;YEAR(A1620)))</f>
        <v/>
      </c>
      <c r="S1620" s="20">
        <f>IF(OR(A1620="",B1620=""),0,IF(AND(R1620=التقارير!$C$4,OR(التقارير!$C$5="سنوي",AND(التقارير!$C$5="شهري",P1620=التقارير!$C$6),AND(التقارير!$C$5="فصلي",Q1620=التقارير!$C$7))),1,0))</f>
        <v/>
      </c>
      <c r="T1620" s="20">
        <f>IF(S1620=1,COUNTIF($S$5:S1620,1),"")</f>
        <v/>
      </c>
      <c r="U1620">
        <f>IF(AND($A1620&lt;&gt;"",$B1620&lt;&gt;"",$R1620='تقرير الفصل الأول'!$C$4,$Q1620='تقرير الفصل الأول'!$C$7),COUNT(U$4:U1619)+1,"")</f>
        <v/>
      </c>
      <c r="V1620">
        <f>IF(AND($A1620&lt;&gt;"",$B1620&lt;&gt;"",$R1620='تقرير الفصل الثاني'!$C$4,$Q1620='تقرير الفصل الثاني'!$C$7),COUNT(V$4:V1619)+1,"")</f>
        <v/>
      </c>
      <c r="W1620">
        <f>IF(AND($A1620&lt;&gt;"",$B1620&lt;&gt;"",$R1620='تقرير سبتمبر'!$C$4,$P1620='تقرير سبتمبر'!$C$6),COUNT(W$4:W1619)+1,"")</f>
        <v/>
      </c>
      <c r="X1620">
        <f>IF(AND($A1620&lt;&gt;"",$B1620&lt;&gt;"",$R1620='تقرير أكتوبر'!$C$4,$P1620='تقرير أكتوبر'!$C$6),COUNT(X$4:X1619)+1,"")</f>
        <v/>
      </c>
      <c r="Y1620">
        <f>IF(AND($A1620&lt;&gt;"",$B1620&lt;&gt;"",$R1620='تقرير نوفمبر'!$C$4,$P1620='تقرير نوفمبر'!$C$6),COUNT(Y$4:Y1619)+1,"")</f>
        <v/>
      </c>
      <c r="Z1620">
        <f>IF(AND($A1620&lt;&gt;"",$B1620&lt;&gt;"",$R1620='تقرير ديسمبر'!$C$4,$P1620='تقرير ديسمبر'!$C$6),COUNT(Z$4:Z1619)+1,"")</f>
        <v/>
      </c>
      <c r="AA1620">
        <f>IF(AND($A1620&lt;&gt;"",$B1620&lt;&gt;"",$R1620='تقرير يناير'!$C$4,$P1620='تقرير يناير'!$C$6),COUNT(AA$4:AA1619)+1,"")</f>
        <v/>
      </c>
      <c r="AB1620">
        <f>IF(AND($A1620&lt;&gt;"",$B1620&lt;&gt;"",$R1620='تقرير فبراير'!$C$4,$P1620='تقرير فبراير'!$C$6),COUNT(AB$4:AB1619)+1,"")</f>
        <v/>
      </c>
      <c r="AC1620">
        <f>IF(AND($A1620&lt;&gt;"",$B1620&lt;&gt;"",$R1620='تقرير مارس'!$C$4,$P1620='تقرير مارس'!$C$6),COUNT(AC$4:AC1619)+1,"")</f>
        <v/>
      </c>
      <c r="AD1620">
        <f>IF(AND($A1620&lt;&gt;"",$B1620&lt;&gt;"",$R1620='تقرير أبريل'!$C$4,$P1620='تقرير أبريل'!$C$6),COUNT(AD$4:AD1619)+1,"")</f>
        <v/>
      </c>
      <c r="AE1620">
        <f>IF(AND($A1620&lt;&gt;"",$B1620&lt;&gt;"",$R1620='تقرير مايو'!$C$4,$P1620='تقرير مايو'!$C$6),COUNT(AE$4:AE1619)+1,"")</f>
        <v/>
      </c>
    </row>
    <row r="1621">
      <c r="A1621" s="16" t="n"/>
      <c r="B1621" s="17" t="n"/>
      <c r="C1621" s="17" t="n"/>
      <c r="D1621" s="18" t="n"/>
      <c r="E1621" s="17" t="n"/>
      <c r="F1621" s="17" t="n"/>
      <c r="G1621" s="19" t="n"/>
      <c r="H1621" s="17" t="n"/>
      <c r="I1621" s="17" t="n"/>
      <c r="J1621" s="17" t="n"/>
      <c r="K1621" s="20">
        <f>IF($B1621="","",IFERROR(INDEX(الموظفات!$A$5:$A$304,MATCH($B1621,الموظفات!$B$5:$B$304,0))&amp;"",""))</f>
        <v/>
      </c>
      <c r="L1621" s="21">
        <f>IF($B1621="","",IFERROR(INDEX(الموظفات!$C$5:$C$304,MATCH($B1621,الموظفات!$B$5:$B$304,0))&amp;"",""))</f>
        <v/>
      </c>
      <c r="M1621" s="20">
        <f>IF($B1621="","",IFERROR(INDEX(الموظفات!$D$5:$D$304,MATCH($B1621,الموظفات!$B$5:$B$304,0))&amp;"",""))</f>
        <v/>
      </c>
      <c r="N1621" s="20">
        <f>IF($B1621="","",IFERROR(INDEX(الموظفات!$E$5:$E$304,MATCH($B1621,الموظفات!$B$5:$B$304,0))&amp;"",""))</f>
        <v/>
      </c>
      <c r="O1621" s="21">
        <f>IF(C1621="","",IFERROR(INDEX(الإعدادات!$D$7:$D$35,MATCH(C1621,الإعدادات!$A$7:$A$35,0))&amp;"",""))</f>
        <v/>
      </c>
      <c r="P1621" s="20">
        <f>IF(A1621="","",INDEX(الإعدادات!$H$7:$H$18,MONTH(A1621)))</f>
        <v/>
      </c>
      <c r="Q1621" s="20">
        <f>IF(A1621="","",INDEX(الإعدادات!$I$7:$I$18,MONTH(A1621)))</f>
        <v/>
      </c>
      <c r="R1621" s="20">
        <f>IF(A1621="","",IF(MONTH(A1621)&gt;=8,YEAR(A1621)&amp;"-"&amp;(YEAR(A1621)+1),(YEAR(A1621)-1)&amp;"-"&amp;YEAR(A1621)))</f>
        <v/>
      </c>
      <c r="S1621" s="20">
        <f>IF(OR(A1621="",B1621=""),0,IF(AND(R1621=التقارير!$C$4,OR(التقارير!$C$5="سنوي",AND(التقارير!$C$5="شهري",P1621=التقارير!$C$6),AND(التقارير!$C$5="فصلي",Q1621=التقارير!$C$7))),1,0))</f>
        <v/>
      </c>
      <c r="T1621" s="20">
        <f>IF(S1621=1,COUNTIF($S$5:S1621,1),"")</f>
        <v/>
      </c>
      <c r="U1621">
        <f>IF(AND($A1621&lt;&gt;"",$B1621&lt;&gt;"",$R1621='تقرير الفصل الأول'!$C$4,$Q1621='تقرير الفصل الأول'!$C$7),COUNT(U$4:U1620)+1,"")</f>
        <v/>
      </c>
      <c r="V1621">
        <f>IF(AND($A1621&lt;&gt;"",$B1621&lt;&gt;"",$R1621='تقرير الفصل الثاني'!$C$4,$Q1621='تقرير الفصل الثاني'!$C$7),COUNT(V$4:V1620)+1,"")</f>
        <v/>
      </c>
      <c r="W1621">
        <f>IF(AND($A1621&lt;&gt;"",$B1621&lt;&gt;"",$R1621='تقرير سبتمبر'!$C$4,$P1621='تقرير سبتمبر'!$C$6),COUNT(W$4:W1620)+1,"")</f>
        <v/>
      </c>
      <c r="X1621">
        <f>IF(AND($A1621&lt;&gt;"",$B1621&lt;&gt;"",$R1621='تقرير أكتوبر'!$C$4,$P1621='تقرير أكتوبر'!$C$6),COUNT(X$4:X1620)+1,"")</f>
        <v/>
      </c>
      <c r="Y1621">
        <f>IF(AND($A1621&lt;&gt;"",$B1621&lt;&gt;"",$R1621='تقرير نوفمبر'!$C$4,$P1621='تقرير نوفمبر'!$C$6),COUNT(Y$4:Y1620)+1,"")</f>
        <v/>
      </c>
      <c r="Z1621">
        <f>IF(AND($A1621&lt;&gt;"",$B1621&lt;&gt;"",$R1621='تقرير ديسمبر'!$C$4,$P1621='تقرير ديسمبر'!$C$6),COUNT(Z$4:Z1620)+1,"")</f>
        <v/>
      </c>
      <c r="AA1621">
        <f>IF(AND($A1621&lt;&gt;"",$B1621&lt;&gt;"",$R1621='تقرير يناير'!$C$4,$P1621='تقرير يناير'!$C$6),COUNT(AA$4:AA1620)+1,"")</f>
        <v/>
      </c>
      <c r="AB1621">
        <f>IF(AND($A1621&lt;&gt;"",$B1621&lt;&gt;"",$R1621='تقرير فبراير'!$C$4,$P1621='تقرير فبراير'!$C$6),COUNT(AB$4:AB1620)+1,"")</f>
        <v/>
      </c>
      <c r="AC1621">
        <f>IF(AND($A1621&lt;&gt;"",$B1621&lt;&gt;"",$R1621='تقرير مارس'!$C$4,$P1621='تقرير مارس'!$C$6),COUNT(AC$4:AC1620)+1,"")</f>
        <v/>
      </c>
      <c r="AD1621">
        <f>IF(AND($A1621&lt;&gt;"",$B1621&lt;&gt;"",$R1621='تقرير أبريل'!$C$4,$P1621='تقرير أبريل'!$C$6),COUNT(AD$4:AD1620)+1,"")</f>
        <v/>
      </c>
      <c r="AE1621">
        <f>IF(AND($A1621&lt;&gt;"",$B1621&lt;&gt;"",$R1621='تقرير مايو'!$C$4,$P1621='تقرير مايو'!$C$6),COUNT(AE$4:AE1620)+1,"")</f>
        <v/>
      </c>
    </row>
    <row r="1622">
      <c r="A1622" s="16" t="n"/>
      <c r="B1622" s="17" t="n"/>
      <c r="C1622" s="17" t="n"/>
      <c r="D1622" s="18" t="n"/>
      <c r="E1622" s="17" t="n"/>
      <c r="F1622" s="17" t="n"/>
      <c r="G1622" s="19" t="n"/>
      <c r="H1622" s="17" t="n"/>
      <c r="I1622" s="17" t="n"/>
      <c r="J1622" s="17" t="n"/>
      <c r="K1622" s="20">
        <f>IF($B1622="","",IFERROR(INDEX(الموظفات!$A$5:$A$304,MATCH($B1622,الموظفات!$B$5:$B$304,0))&amp;"",""))</f>
        <v/>
      </c>
      <c r="L1622" s="21">
        <f>IF($B1622="","",IFERROR(INDEX(الموظفات!$C$5:$C$304,MATCH($B1622,الموظفات!$B$5:$B$304,0))&amp;"",""))</f>
        <v/>
      </c>
      <c r="M1622" s="20">
        <f>IF($B1622="","",IFERROR(INDEX(الموظفات!$D$5:$D$304,MATCH($B1622,الموظفات!$B$5:$B$304,0))&amp;"",""))</f>
        <v/>
      </c>
      <c r="N1622" s="20">
        <f>IF($B1622="","",IFERROR(INDEX(الموظفات!$E$5:$E$304,MATCH($B1622,الموظفات!$B$5:$B$304,0))&amp;"",""))</f>
        <v/>
      </c>
      <c r="O1622" s="21">
        <f>IF(C1622="","",IFERROR(INDEX(الإعدادات!$D$7:$D$35,MATCH(C1622,الإعدادات!$A$7:$A$35,0))&amp;"",""))</f>
        <v/>
      </c>
      <c r="P1622" s="20">
        <f>IF(A1622="","",INDEX(الإعدادات!$H$7:$H$18,MONTH(A1622)))</f>
        <v/>
      </c>
      <c r="Q1622" s="20">
        <f>IF(A1622="","",INDEX(الإعدادات!$I$7:$I$18,MONTH(A1622)))</f>
        <v/>
      </c>
      <c r="R1622" s="20">
        <f>IF(A1622="","",IF(MONTH(A1622)&gt;=8,YEAR(A1622)&amp;"-"&amp;(YEAR(A1622)+1),(YEAR(A1622)-1)&amp;"-"&amp;YEAR(A1622)))</f>
        <v/>
      </c>
      <c r="S1622" s="20">
        <f>IF(OR(A1622="",B1622=""),0,IF(AND(R1622=التقارير!$C$4,OR(التقارير!$C$5="سنوي",AND(التقارير!$C$5="شهري",P1622=التقارير!$C$6),AND(التقارير!$C$5="فصلي",Q1622=التقارير!$C$7))),1,0))</f>
        <v/>
      </c>
      <c r="T1622" s="20">
        <f>IF(S1622=1,COUNTIF($S$5:S1622,1),"")</f>
        <v/>
      </c>
      <c r="U1622">
        <f>IF(AND($A1622&lt;&gt;"",$B1622&lt;&gt;"",$R1622='تقرير الفصل الأول'!$C$4,$Q1622='تقرير الفصل الأول'!$C$7),COUNT(U$4:U1621)+1,"")</f>
        <v/>
      </c>
      <c r="V1622">
        <f>IF(AND($A1622&lt;&gt;"",$B1622&lt;&gt;"",$R1622='تقرير الفصل الثاني'!$C$4,$Q1622='تقرير الفصل الثاني'!$C$7),COUNT(V$4:V1621)+1,"")</f>
        <v/>
      </c>
      <c r="W1622">
        <f>IF(AND($A1622&lt;&gt;"",$B1622&lt;&gt;"",$R1622='تقرير سبتمبر'!$C$4,$P1622='تقرير سبتمبر'!$C$6),COUNT(W$4:W1621)+1,"")</f>
        <v/>
      </c>
      <c r="X1622">
        <f>IF(AND($A1622&lt;&gt;"",$B1622&lt;&gt;"",$R1622='تقرير أكتوبر'!$C$4,$P1622='تقرير أكتوبر'!$C$6),COUNT(X$4:X1621)+1,"")</f>
        <v/>
      </c>
      <c r="Y1622">
        <f>IF(AND($A1622&lt;&gt;"",$B1622&lt;&gt;"",$R1622='تقرير نوفمبر'!$C$4,$P1622='تقرير نوفمبر'!$C$6),COUNT(Y$4:Y1621)+1,"")</f>
        <v/>
      </c>
      <c r="Z1622">
        <f>IF(AND($A1622&lt;&gt;"",$B1622&lt;&gt;"",$R1622='تقرير ديسمبر'!$C$4,$P1622='تقرير ديسمبر'!$C$6),COUNT(Z$4:Z1621)+1,"")</f>
        <v/>
      </c>
      <c r="AA1622">
        <f>IF(AND($A1622&lt;&gt;"",$B1622&lt;&gt;"",$R1622='تقرير يناير'!$C$4,$P1622='تقرير يناير'!$C$6),COUNT(AA$4:AA1621)+1,"")</f>
        <v/>
      </c>
      <c r="AB1622">
        <f>IF(AND($A1622&lt;&gt;"",$B1622&lt;&gt;"",$R1622='تقرير فبراير'!$C$4,$P1622='تقرير فبراير'!$C$6),COUNT(AB$4:AB1621)+1,"")</f>
        <v/>
      </c>
      <c r="AC1622">
        <f>IF(AND($A1622&lt;&gt;"",$B1622&lt;&gt;"",$R1622='تقرير مارس'!$C$4,$P1622='تقرير مارس'!$C$6),COUNT(AC$4:AC1621)+1,"")</f>
        <v/>
      </c>
      <c r="AD1622">
        <f>IF(AND($A1622&lt;&gt;"",$B1622&lt;&gt;"",$R1622='تقرير أبريل'!$C$4,$P1622='تقرير أبريل'!$C$6),COUNT(AD$4:AD1621)+1,"")</f>
        <v/>
      </c>
      <c r="AE1622">
        <f>IF(AND($A1622&lt;&gt;"",$B1622&lt;&gt;"",$R1622='تقرير مايو'!$C$4,$P1622='تقرير مايو'!$C$6),COUNT(AE$4:AE1621)+1,"")</f>
        <v/>
      </c>
    </row>
    <row r="1623">
      <c r="A1623" s="16" t="n"/>
      <c r="B1623" s="17" t="n"/>
      <c r="C1623" s="17" t="n"/>
      <c r="D1623" s="18" t="n"/>
      <c r="E1623" s="17" t="n"/>
      <c r="F1623" s="17" t="n"/>
      <c r="G1623" s="19" t="n"/>
      <c r="H1623" s="17" t="n"/>
      <c r="I1623" s="17" t="n"/>
      <c r="J1623" s="17" t="n"/>
      <c r="K1623" s="20">
        <f>IF($B1623="","",IFERROR(INDEX(الموظفات!$A$5:$A$304,MATCH($B1623,الموظفات!$B$5:$B$304,0))&amp;"",""))</f>
        <v/>
      </c>
      <c r="L1623" s="21">
        <f>IF($B1623="","",IFERROR(INDEX(الموظفات!$C$5:$C$304,MATCH($B1623,الموظفات!$B$5:$B$304,0))&amp;"",""))</f>
        <v/>
      </c>
      <c r="M1623" s="20">
        <f>IF($B1623="","",IFERROR(INDEX(الموظفات!$D$5:$D$304,MATCH($B1623,الموظفات!$B$5:$B$304,0))&amp;"",""))</f>
        <v/>
      </c>
      <c r="N1623" s="20">
        <f>IF($B1623="","",IFERROR(INDEX(الموظفات!$E$5:$E$304,MATCH($B1623,الموظفات!$B$5:$B$304,0))&amp;"",""))</f>
        <v/>
      </c>
      <c r="O1623" s="21">
        <f>IF(C1623="","",IFERROR(INDEX(الإعدادات!$D$7:$D$35,MATCH(C1623,الإعدادات!$A$7:$A$35,0))&amp;"",""))</f>
        <v/>
      </c>
      <c r="P1623" s="20">
        <f>IF(A1623="","",INDEX(الإعدادات!$H$7:$H$18,MONTH(A1623)))</f>
        <v/>
      </c>
      <c r="Q1623" s="20">
        <f>IF(A1623="","",INDEX(الإعدادات!$I$7:$I$18,MONTH(A1623)))</f>
        <v/>
      </c>
      <c r="R1623" s="20">
        <f>IF(A1623="","",IF(MONTH(A1623)&gt;=8,YEAR(A1623)&amp;"-"&amp;(YEAR(A1623)+1),(YEAR(A1623)-1)&amp;"-"&amp;YEAR(A1623)))</f>
        <v/>
      </c>
      <c r="S1623" s="20">
        <f>IF(OR(A1623="",B1623=""),0,IF(AND(R1623=التقارير!$C$4,OR(التقارير!$C$5="سنوي",AND(التقارير!$C$5="شهري",P1623=التقارير!$C$6),AND(التقارير!$C$5="فصلي",Q1623=التقارير!$C$7))),1,0))</f>
        <v/>
      </c>
      <c r="T1623" s="20">
        <f>IF(S1623=1,COUNTIF($S$5:S1623,1),"")</f>
        <v/>
      </c>
      <c r="U1623">
        <f>IF(AND($A1623&lt;&gt;"",$B1623&lt;&gt;"",$R1623='تقرير الفصل الأول'!$C$4,$Q1623='تقرير الفصل الأول'!$C$7),COUNT(U$4:U1622)+1,"")</f>
        <v/>
      </c>
      <c r="V1623">
        <f>IF(AND($A1623&lt;&gt;"",$B1623&lt;&gt;"",$R1623='تقرير الفصل الثاني'!$C$4,$Q1623='تقرير الفصل الثاني'!$C$7),COUNT(V$4:V1622)+1,"")</f>
        <v/>
      </c>
      <c r="W1623">
        <f>IF(AND($A1623&lt;&gt;"",$B1623&lt;&gt;"",$R1623='تقرير سبتمبر'!$C$4,$P1623='تقرير سبتمبر'!$C$6),COUNT(W$4:W1622)+1,"")</f>
        <v/>
      </c>
      <c r="X1623">
        <f>IF(AND($A1623&lt;&gt;"",$B1623&lt;&gt;"",$R1623='تقرير أكتوبر'!$C$4,$P1623='تقرير أكتوبر'!$C$6),COUNT(X$4:X1622)+1,"")</f>
        <v/>
      </c>
      <c r="Y1623">
        <f>IF(AND($A1623&lt;&gt;"",$B1623&lt;&gt;"",$R1623='تقرير نوفمبر'!$C$4,$P1623='تقرير نوفمبر'!$C$6),COUNT(Y$4:Y1622)+1,"")</f>
        <v/>
      </c>
      <c r="Z1623">
        <f>IF(AND($A1623&lt;&gt;"",$B1623&lt;&gt;"",$R1623='تقرير ديسمبر'!$C$4,$P1623='تقرير ديسمبر'!$C$6),COUNT(Z$4:Z1622)+1,"")</f>
        <v/>
      </c>
      <c r="AA1623">
        <f>IF(AND($A1623&lt;&gt;"",$B1623&lt;&gt;"",$R1623='تقرير يناير'!$C$4,$P1623='تقرير يناير'!$C$6),COUNT(AA$4:AA1622)+1,"")</f>
        <v/>
      </c>
      <c r="AB1623">
        <f>IF(AND($A1623&lt;&gt;"",$B1623&lt;&gt;"",$R1623='تقرير فبراير'!$C$4,$P1623='تقرير فبراير'!$C$6),COUNT(AB$4:AB1622)+1,"")</f>
        <v/>
      </c>
      <c r="AC1623">
        <f>IF(AND($A1623&lt;&gt;"",$B1623&lt;&gt;"",$R1623='تقرير مارس'!$C$4,$P1623='تقرير مارس'!$C$6),COUNT(AC$4:AC1622)+1,"")</f>
        <v/>
      </c>
      <c r="AD1623">
        <f>IF(AND($A1623&lt;&gt;"",$B1623&lt;&gt;"",$R1623='تقرير أبريل'!$C$4,$P1623='تقرير أبريل'!$C$6),COUNT(AD$4:AD1622)+1,"")</f>
        <v/>
      </c>
      <c r="AE1623">
        <f>IF(AND($A1623&lt;&gt;"",$B1623&lt;&gt;"",$R1623='تقرير مايو'!$C$4,$P1623='تقرير مايو'!$C$6),COUNT(AE$4:AE1622)+1,"")</f>
        <v/>
      </c>
    </row>
    <row r="1624">
      <c r="A1624" s="16" t="n"/>
      <c r="B1624" s="17" t="n"/>
      <c r="C1624" s="17" t="n"/>
      <c r="D1624" s="18" t="n"/>
      <c r="E1624" s="17" t="n"/>
      <c r="F1624" s="17" t="n"/>
      <c r="G1624" s="19" t="n"/>
      <c r="H1624" s="17" t="n"/>
      <c r="I1624" s="17" t="n"/>
      <c r="J1624" s="17" t="n"/>
      <c r="K1624" s="20">
        <f>IF($B1624="","",IFERROR(INDEX(الموظفات!$A$5:$A$304,MATCH($B1624,الموظفات!$B$5:$B$304,0))&amp;"",""))</f>
        <v/>
      </c>
      <c r="L1624" s="21">
        <f>IF($B1624="","",IFERROR(INDEX(الموظفات!$C$5:$C$304,MATCH($B1624,الموظفات!$B$5:$B$304,0))&amp;"",""))</f>
        <v/>
      </c>
      <c r="M1624" s="20">
        <f>IF($B1624="","",IFERROR(INDEX(الموظفات!$D$5:$D$304,MATCH($B1624,الموظفات!$B$5:$B$304,0))&amp;"",""))</f>
        <v/>
      </c>
      <c r="N1624" s="20">
        <f>IF($B1624="","",IFERROR(INDEX(الموظفات!$E$5:$E$304,MATCH($B1624,الموظفات!$B$5:$B$304,0))&amp;"",""))</f>
        <v/>
      </c>
      <c r="O1624" s="21">
        <f>IF(C1624="","",IFERROR(INDEX(الإعدادات!$D$7:$D$35,MATCH(C1624,الإعدادات!$A$7:$A$35,0))&amp;"",""))</f>
        <v/>
      </c>
      <c r="P1624" s="20">
        <f>IF(A1624="","",INDEX(الإعدادات!$H$7:$H$18,MONTH(A1624)))</f>
        <v/>
      </c>
      <c r="Q1624" s="20">
        <f>IF(A1624="","",INDEX(الإعدادات!$I$7:$I$18,MONTH(A1624)))</f>
        <v/>
      </c>
      <c r="R1624" s="20">
        <f>IF(A1624="","",IF(MONTH(A1624)&gt;=8,YEAR(A1624)&amp;"-"&amp;(YEAR(A1624)+1),(YEAR(A1624)-1)&amp;"-"&amp;YEAR(A1624)))</f>
        <v/>
      </c>
      <c r="S1624" s="20">
        <f>IF(OR(A1624="",B1624=""),0,IF(AND(R1624=التقارير!$C$4,OR(التقارير!$C$5="سنوي",AND(التقارير!$C$5="شهري",P1624=التقارير!$C$6),AND(التقارير!$C$5="فصلي",Q1624=التقارير!$C$7))),1,0))</f>
        <v/>
      </c>
      <c r="T1624" s="20">
        <f>IF(S1624=1,COUNTIF($S$5:S1624,1),"")</f>
        <v/>
      </c>
      <c r="U1624">
        <f>IF(AND($A1624&lt;&gt;"",$B1624&lt;&gt;"",$R1624='تقرير الفصل الأول'!$C$4,$Q1624='تقرير الفصل الأول'!$C$7),COUNT(U$4:U1623)+1,"")</f>
        <v/>
      </c>
      <c r="V1624">
        <f>IF(AND($A1624&lt;&gt;"",$B1624&lt;&gt;"",$R1624='تقرير الفصل الثاني'!$C$4,$Q1624='تقرير الفصل الثاني'!$C$7),COUNT(V$4:V1623)+1,"")</f>
        <v/>
      </c>
      <c r="W1624">
        <f>IF(AND($A1624&lt;&gt;"",$B1624&lt;&gt;"",$R1624='تقرير سبتمبر'!$C$4,$P1624='تقرير سبتمبر'!$C$6),COUNT(W$4:W1623)+1,"")</f>
        <v/>
      </c>
      <c r="X1624">
        <f>IF(AND($A1624&lt;&gt;"",$B1624&lt;&gt;"",$R1624='تقرير أكتوبر'!$C$4,$P1624='تقرير أكتوبر'!$C$6),COUNT(X$4:X1623)+1,"")</f>
        <v/>
      </c>
      <c r="Y1624">
        <f>IF(AND($A1624&lt;&gt;"",$B1624&lt;&gt;"",$R1624='تقرير نوفمبر'!$C$4,$P1624='تقرير نوفمبر'!$C$6),COUNT(Y$4:Y1623)+1,"")</f>
        <v/>
      </c>
      <c r="Z1624">
        <f>IF(AND($A1624&lt;&gt;"",$B1624&lt;&gt;"",$R1624='تقرير ديسمبر'!$C$4,$P1624='تقرير ديسمبر'!$C$6),COUNT(Z$4:Z1623)+1,"")</f>
        <v/>
      </c>
      <c r="AA1624">
        <f>IF(AND($A1624&lt;&gt;"",$B1624&lt;&gt;"",$R1624='تقرير يناير'!$C$4,$P1624='تقرير يناير'!$C$6),COUNT(AA$4:AA1623)+1,"")</f>
        <v/>
      </c>
      <c r="AB1624">
        <f>IF(AND($A1624&lt;&gt;"",$B1624&lt;&gt;"",$R1624='تقرير فبراير'!$C$4,$P1624='تقرير فبراير'!$C$6),COUNT(AB$4:AB1623)+1,"")</f>
        <v/>
      </c>
      <c r="AC1624">
        <f>IF(AND($A1624&lt;&gt;"",$B1624&lt;&gt;"",$R1624='تقرير مارس'!$C$4,$P1624='تقرير مارس'!$C$6),COUNT(AC$4:AC1623)+1,"")</f>
        <v/>
      </c>
      <c r="AD1624">
        <f>IF(AND($A1624&lt;&gt;"",$B1624&lt;&gt;"",$R1624='تقرير أبريل'!$C$4,$P1624='تقرير أبريل'!$C$6),COUNT(AD$4:AD1623)+1,"")</f>
        <v/>
      </c>
      <c r="AE1624">
        <f>IF(AND($A1624&lt;&gt;"",$B1624&lt;&gt;"",$R1624='تقرير مايو'!$C$4,$P1624='تقرير مايو'!$C$6),COUNT(AE$4:AE1623)+1,"")</f>
        <v/>
      </c>
    </row>
    <row r="1625">
      <c r="A1625" s="16" t="n"/>
      <c r="B1625" s="17" t="n"/>
      <c r="C1625" s="17" t="n"/>
      <c r="D1625" s="18" t="n"/>
      <c r="E1625" s="17" t="n"/>
      <c r="F1625" s="17" t="n"/>
      <c r="G1625" s="19" t="n"/>
      <c r="H1625" s="17" t="n"/>
      <c r="I1625" s="17" t="n"/>
      <c r="J1625" s="17" t="n"/>
      <c r="K1625" s="20">
        <f>IF($B1625="","",IFERROR(INDEX(الموظفات!$A$5:$A$304,MATCH($B1625,الموظفات!$B$5:$B$304,0))&amp;"",""))</f>
        <v/>
      </c>
      <c r="L1625" s="21">
        <f>IF($B1625="","",IFERROR(INDEX(الموظفات!$C$5:$C$304,MATCH($B1625,الموظفات!$B$5:$B$304,0))&amp;"",""))</f>
        <v/>
      </c>
      <c r="M1625" s="20">
        <f>IF($B1625="","",IFERROR(INDEX(الموظفات!$D$5:$D$304,MATCH($B1625,الموظفات!$B$5:$B$304,0))&amp;"",""))</f>
        <v/>
      </c>
      <c r="N1625" s="20">
        <f>IF($B1625="","",IFERROR(INDEX(الموظفات!$E$5:$E$304,MATCH($B1625,الموظفات!$B$5:$B$304,0))&amp;"",""))</f>
        <v/>
      </c>
      <c r="O1625" s="21">
        <f>IF(C1625="","",IFERROR(INDEX(الإعدادات!$D$7:$D$35,MATCH(C1625,الإعدادات!$A$7:$A$35,0))&amp;"",""))</f>
        <v/>
      </c>
      <c r="P1625" s="20">
        <f>IF(A1625="","",INDEX(الإعدادات!$H$7:$H$18,MONTH(A1625)))</f>
        <v/>
      </c>
      <c r="Q1625" s="20">
        <f>IF(A1625="","",INDEX(الإعدادات!$I$7:$I$18,MONTH(A1625)))</f>
        <v/>
      </c>
      <c r="R1625" s="20">
        <f>IF(A1625="","",IF(MONTH(A1625)&gt;=8,YEAR(A1625)&amp;"-"&amp;(YEAR(A1625)+1),(YEAR(A1625)-1)&amp;"-"&amp;YEAR(A1625)))</f>
        <v/>
      </c>
      <c r="S1625" s="20">
        <f>IF(OR(A1625="",B1625=""),0,IF(AND(R1625=التقارير!$C$4,OR(التقارير!$C$5="سنوي",AND(التقارير!$C$5="شهري",P1625=التقارير!$C$6),AND(التقارير!$C$5="فصلي",Q1625=التقارير!$C$7))),1,0))</f>
        <v/>
      </c>
      <c r="T1625" s="20">
        <f>IF(S1625=1,COUNTIF($S$5:S1625,1),"")</f>
        <v/>
      </c>
      <c r="U1625">
        <f>IF(AND($A1625&lt;&gt;"",$B1625&lt;&gt;"",$R1625='تقرير الفصل الأول'!$C$4,$Q1625='تقرير الفصل الأول'!$C$7),COUNT(U$4:U1624)+1,"")</f>
        <v/>
      </c>
      <c r="V1625">
        <f>IF(AND($A1625&lt;&gt;"",$B1625&lt;&gt;"",$R1625='تقرير الفصل الثاني'!$C$4,$Q1625='تقرير الفصل الثاني'!$C$7),COUNT(V$4:V1624)+1,"")</f>
        <v/>
      </c>
      <c r="W1625">
        <f>IF(AND($A1625&lt;&gt;"",$B1625&lt;&gt;"",$R1625='تقرير سبتمبر'!$C$4,$P1625='تقرير سبتمبر'!$C$6),COUNT(W$4:W1624)+1,"")</f>
        <v/>
      </c>
      <c r="X1625">
        <f>IF(AND($A1625&lt;&gt;"",$B1625&lt;&gt;"",$R1625='تقرير أكتوبر'!$C$4,$P1625='تقرير أكتوبر'!$C$6),COUNT(X$4:X1624)+1,"")</f>
        <v/>
      </c>
      <c r="Y1625">
        <f>IF(AND($A1625&lt;&gt;"",$B1625&lt;&gt;"",$R1625='تقرير نوفمبر'!$C$4,$P1625='تقرير نوفمبر'!$C$6),COUNT(Y$4:Y1624)+1,"")</f>
        <v/>
      </c>
      <c r="Z1625">
        <f>IF(AND($A1625&lt;&gt;"",$B1625&lt;&gt;"",$R1625='تقرير ديسمبر'!$C$4,$P1625='تقرير ديسمبر'!$C$6),COUNT(Z$4:Z1624)+1,"")</f>
        <v/>
      </c>
      <c r="AA1625">
        <f>IF(AND($A1625&lt;&gt;"",$B1625&lt;&gt;"",$R1625='تقرير يناير'!$C$4,$P1625='تقرير يناير'!$C$6),COUNT(AA$4:AA1624)+1,"")</f>
        <v/>
      </c>
      <c r="AB1625">
        <f>IF(AND($A1625&lt;&gt;"",$B1625&lt;&gt;"",$R1625='تقرير فبراير'!$C$4,$P1625='تقرير فبراير'!$C$6),COUNT(AB$4:AB1624)+1,"")</f>
        <v/>
      </c>
      <c r="AC1625">
        <f>IF(AND($A1625&lt;&gt;"",$B1625&lt;&gt;"",$R1625='تقرير مارس'!$C$4,$P1625='تقرير مارس'!$C$6),COUNT(AC$4:AC1624)+1,"")</f>
        <v/>
      </c>
      <c r="AD1625">
        <f>IF(AND($A1625&lt;&gt;"",$B1625&lt;&gt;"",$R1625='تقرير أبريل'!$C$4,$P1625='تقرير أبريل'!$C$6),COUNT(AD$4:AD1624)+1,"")</f>
        <v/>
      </c>
      <c r="AE1625">
        <f>IF(AND($A1625&lt;&gt;"",$B1625&lt;&gt;"",$R1625='تقرير مايو'!$C$4,$P1625='تقرير مايو'!$C$6),COUNT(AE$4:AE1624)+1,"")</f>
        <v/>
      </c>
    </row>
    <row r="1626">
      <c r="A1626" s="16" t="n"/>
      <c r="B1626" s="17" t="n"/>
      <c r="C1626" s="17" t="n"/>
      <c r="D1626" s="18" t="n"/>
      <c r="E1626" s="17" t="n"/>
      <c r="F1626" s="17" t="n"/>
      <c r="G1626" s="19" t="n"/>
      <c r="H1626" s="17" t="n"/>
      <c r="I1626" s="17" t="n"/>
      <c r="J1626" s="17" t="n"/>
      <c r="K1626" s="20">
        <f>IF($B1626="","",IFERROR(INDEX(الموظفات!$A$5:$A$304,MATCH($B1626,الموظفات!$B$5:$B$304,0))&amp;"",""))</f>
        <v/>
      </c>
      <c r="L1626" s="21">
        <f>IF($B1626="","",IFERROR(INDEX(الموظفات!$C$5:$C$304,MATCH($B1626,الموظفات!$B$5:$B$304,0))&amp;"",""))</f>
        <v/>
      </c>
      <c r="M1626" s="20">
        <f>IF($B1626="","",IFERROR(INDEX(الموظفات!$D$5:$D$304,MATCH($B1626,الموظفات!$B$5:$B$304,0))&amp;"",""))</f>
        <v/>
      </c>
      <c r="N1626" s="20">
        <f>IF($B1626="","",IFERROR(INDEX(الموظفات!$E$5:$E$304,MATCH($B1626,الموظفات!$B$5:$B$304,0))&amp;"",""))</f>
        <v/>
      </c>
      <c r="O1626" s="21">
        <f>IF(C1626="","",IFERROR(INDEX(الإعدادات!$D$7:$D$35,MATCH(C1626,الإعدادات!$A$7:$A$35,0))&amp;"",""))</f>
        <v/>
      </c>
      <c r="P1626" s="20">
        <f>IF(A1626="","",INDEX(الإعدادات!$H$7:$H$18,MONTH(A1626)))</f>
        <v/>
      </c>
      <c r="Q1626" s="20">
        <f>IF(A1626="","",INDEX(الإعدادات!$I$7:$I$18,MONTH(A1626)))</f>
        <v/>
      </c>
      <c r="R1626" s="20">
        <f>IF(A1626="","",IF(MONTH(A1626)&gt;=8,YEAR(A1626)&amp;"-"&amp;(YEAR(A1626)+1),(YEAR(A1626)-1)&amp;"-"&amp;YEAR(A1626)))</f>
        <v/>
      </c>
      <c r="S1626" s="20">
        <f>IF(OR(A1626="",B1626=""),0,IF(AND(R1626=التقارير!$C$4,OR(التقارير!$C$5="سنوي",AND(التقارير!$C$5="شهري",P1626=التقارير!$C$6),AND(التقارير!$C$5="فصلي",Q1626=التقارير!$C$7))),1,0))</f>
        <v/>
      </c>
      <c r="T1626" s="20">
        <f>IF(S1626=1,COUNTIF($S$5:S1626,1),"")</f>
        <v/>
      </c>
      <c r="U1626">
        <f>IF(AND($A1626&lt;&gt;"",$B1626&lt;&gt;"",$R1626='تقرير الفصل الأول'!$C$4,$Q1626='تقرير الفصل الأول'!$C$7),COUNT(U$4:U1625)+1,"")</f>
        <v/>
      </c>
      <c r="V1626">
        <f>IF(AND($A1626&lt;&gt;"",$B1626&lt;&gt;"",$R1626='تقرير الفصل الثاني'!$C$4,$Q1626='تقرير الفصل الثاني'!$C$7),COUNT(V$4:V1625)+1,"")</f>
        <v/>
      </c>
      <c r="W1626">
        <f>IF(AND($A1626&lt;&gt;"",$B1626&lt;&gt;"",$R1626='تقرير سبتمبر'!$C$4,$P1626='تقرير سبتمبر'!$C$6),COUNT(W$4:W1625)+1,"")</f>
        <v/>
      </c>
      <c r="X1626">
        <f>IF(AND($A1626&lt;&gt;"",$B1626&lt;&gt;"",$R1626='تقرير أكتوبر'!$C$4,$P1626='تقرير أكتوبر'!$C$6),COUNT(X$4:X1625)+1,"")</f>
        <v/>
      </c>
      <c r="Y1626">
        <f>IF(AND($A1626&lt;&gt;"",$B1626&lt;&gt;"",$R1626='تقرير نوفمبر'!$C$4,$P1626='تقرير نوفمبر'!$C$6),COUNT(Y$4:Y1625)+1,"")</f>
        <v/>
      </c>
      <c r="Z1626">
        <f>IF(AND($A1626&lt;&gt;"",$B1626&lt;&gt;"",$R1626='تقرير ديسمبر'!$C$4,$P1626='تقرير ديسمبر'!$C$6),COUNT(Z$4:Z1625)+1,"")</f>
        <v/>
      </c>
      <c r="AA1626">
        <f>IF(AND($A1626&lt;&gt;"",$B1626&lt;&gt;"",$R1626='تقرير يناير'!$C$4,$P1626='تقرير يناير'!$C$6),COUNT(AA$4:AA1625)+1,"")</f>
        <v/>
      </c>
      <c r="AB1626">
        <f>IF(AND($A1626&lt;&gt;"",$B1626&lt;&gt;"",$R1626='تقرير فبراير'!$C$4,$P1626='تقرير فبراير'!$C$6),COUNT(AB$4:AB1625)+1,"")</f>
        <v/>
      </c>
      <c r="AC1626">
        <f>IF(AND($A1626&lt;&gt;"",$B1626&lt;&gt;"",$R1626='تقرير مارس'!$C$4,$P1626='تقرير مارس'!$C$6),COUNT(AC$4:AC1625)+1,"")</f>
        <v/>
      </c>
      <c r="AD1626">
        <f>IF(AND($A1626&lt;&gt;"",$B1626&lt;&gt;"",$R1626='تقرير أبريل'!$C$4,$P1626='تقرير أبريل'!$C$6),COUNT(AD$4:AD1625)+1,"")</f>
        <v/>
      </c>
      <c r="AE1626">
        <f>IF(AND($A1626&lt;&gt;"",$B1626&lt;&gt;"",$R1626='تقرير مايو'!$C$4,$P1626='تقرير مايو'!$C$6),COUNT(AE$4:AE1625)+1,"")</f>
        <v/>
      </c>
    </row>
    <row r="1627">
      <c r="A1627" s="16" t="n"/>
      <c r="B1627" s="17" t="n"/>
      <c r="C1627" s="17" t="n"/>
      <c r="D1627" s="18" t="n"/>
      <c r="E1627" s="17" t="n"/>
      <c r="F1627" s="17" t="n"/>
      <c r="G1627" s="19" t="n"/>
      <c r="H1627" s="17" t="n"/>
      <c r="I1627" s="17" t="n"/>
      <c r="J1627" s="17" t="n"/>
      <c r="K1627" s="20">
        <f>IF($B1627="","",IFERROR(INDEX(الموظفات!$A$5:$A$304,MATCH($B1627,الموظفات!$B$5:$B$304,0))&amp;"",""))</f>
        <v/>
      </c>
      <c r="L1627" s="21">
        <f>IF($B1627="","",IFERROR(INDEX(الموظفات!$C$5:$C$304,MATCH($B1627,الموظفات!$B$5:$B$304,0))&amp;"",""))</f>
        <v/>
      </c>
      <c r="M1627" s="20">
        <f>IF($B1627="","",IFERROR(INDEX(الموظفات!$D$5:$D$304,MATCH($B1627,الموظفات!$B$5:$B$304,0))&amp;"",""))</f>
        <v/>
      </c>
      <c r="N1627" s="20">
        <f>IF($B1627="","",IFERROR(INDEX(الموظفات!$E$5:$E$304,MATCH($B1627,الموظفات!$B$5:$B$304,0))&amp;"",""))</f>
        <v/>
      </c>
      <c r="O1627" s="21">
        <f>IF(C1627="","",IFERROR(INDEX(الإعدادات!$D$7:$D$35,MATCH(C1627,الإعدادات!$A$7:$A$35,0))&amp;"",""))</f>
        <v/>
      </c>
      <c r="P1627" s="20">
        <f>IF(A1627="","",INDEX(الإعدادات!$H$7:$H$18,MONTH(A1627)))</f>
        <v/>
      </c>
      <c r="Q1627" s="20">
        <f>IF(A1627="","",INDEX(الإعدادات!$I$7:$I$18,MONTH(A1627)))</f>
        <v/>
      </c>
      <c r="R1627" s="20">
        <f>IF(A1627="","",IF(MONTH(A1627)&gt;=8,YEAR(A1627)&amp;"-"&amp;(YEAR(A1627)+1),(YEAR(A1627)-1)&amp;"-"&amp;YEAR(A1627)))</f>
        <v/>
      </c>
      <c r="S1627" s="20">
        <f>IF(OR(A1627="",B1627=""),0,IF(AND(R1627=التقارير!$C$4,OR(التقارير!$C$5="سنوي",AND(التقارير!$C$5="شهري",P1627=التقارير!$C$6),AND(التقارير!$C$5="فصلي",Q1627=التقارير!$C$7))),1,0))</f>
        <v/>
      </c>
      <c r="T1627" s="20">
        <f>IF(S1627=1,COUNTIF($S$5:S1627,1),"")</f>
        <v/>
      </c>
      <c r="U1627">
        <f>IF(AND($A1627&lt;&gt;"",$B1627&lt;&gt;"",$R1627='تقرير الفصل الأول'!$C$4,$Q1627='تقرير الفصل الأول'!$C$7),COUNT(U$4:U1626)+1,"")</f>
        <v/>
      </c>
      <c r="V1627">
        <f>IF(AND($A1627&lt;&gt;"",$B1627&lt;&gt;"",$R1627='تقرير الفصل الثاني'!$C$4,$Q1627='تقرير الفصل الثاني'!$C$7),COUNT(V$4:V1626)+1,"")</f>
        <v/>
      </c>
      <c r="W1627">
        <f>IF(AND($A1627&lt;&gt;"",$B1627&lt;&gt;"",$R1627='تقرير سبتمبر'!$C$4,$P1627='تقرير سبتمبر'!$C$6),COUNT(W$4:W1626)+1,"")</f>
        <v/>
      </c>
      <c r="X1627">
        <f>IF(AND($A1627&lt;&gt;"",$B1627&lt;&gt;"",$R1627='تقرير أكتوبر'!$C$4,$P1627='تقرير أكتوبر'!$C$6),COUNT(X$4:X1626)+1,"")</f>
        <v/>
      </c>
      <c r="Y1627">
        <f>IF(AND($A1627&lt;&gt;"",$B1627&lt;&gt;"",$R1627='تقرير نوفمبر'!$C$4,$P1627='تقرير نوفمبر'!$C$6),COUNT(Y$4:Y1626)+1,"")</f>
        <v/>
      </c>
      <c r="Z1627">
        <f>IF(AND($A1627&lt;&gt;"",$B1627&lt;&gt;"",$R1627='تقرير ديسمبر'!$C$4,$P1627='تقرير ديسمبر'!$C$6),COUNT(Z$4:Z1626)+1,"")</f>
        <v/>
      </c>
      <c r="AA1627">
        <f>IF(AND($A1627&lt;&gt;"",$B1627&lt;&gt;"",$R1627='تقرير يناير'!$C$4,$P1627='تقرير يناير'!$C$6),COUNT(AA$4:AA1626)+1,"")</f>
        <v/>
      </c>
      <c r="AB1627">
        <f>IF(AND($A1627&lt;&gt;"",$B1627&lt;&gt;"",$R1627='تقرير فبراير'!$C$4,$P1627='تقرير فبراير'!$C$6),COUNT(AB$4:AB1626)+1,"")</f>
        <v/>
      </c>
      <c r="AC1627">
        <f>IF(AND($A1627&lt;&gt;"",$B1627&lt;&gt;"",$R1627='تقرير مارس'!$C$4,$P1627='تقرير مارس'!$C$6),COUNT(AC$4:AC1626)+1,"")</f>
        <v/>
      </c>
      <c r="AD1627">
        <f>IF(AND($A1627&lt;&gt;"",$B1627&lt;&gt;"",$R1627='تقرير أبريل'!$C$4,$P1627='تقرير أبريل'!$C$6),COUNT(AD$4:AD1626)+1,"")</f>
        <v/>
      </c>
      <c r="AE1627">
        <f>IF(AND($A1627&lt;&gt;"",$B1627&lt;&gt;"",$R1627='تقرير مايو'!$C$4,$P1627='تقرير مايو'!$C$6),COUNT(AE$4:AE1626)+1,"")</f>
        <v/>
      </c>
    </row>
    <row r="1628">
      <c r="A1628" s="16" t="n"/>
      <c r="B1628" s="17" t="n"/>
      <c r="C1628" s="17" t="n"/>
      <c r="D1628" s="18" t="n"/>
      <c r="E1628" s="17" t="n"/>
      <c r="F1628" s="17" t="n"/>
      <c r="G1628" s="19" t="n"/>
      <c r="H1628" s="17" t="n"/>
      <c r="I1628" s="17" t="n"/>
      <c r="J1628" s="17" t="n"/>
      <c r="K1628" s="20">
        <f>IF($B1628="","",IFERROR(INDEX(الموظفات!$A$5:$A$304,MATCH($B1628,الموظفات!$B$5:$B$304,0))&amp;"",""))</f>
        <v/>
      </c>
      <c r="L1628" s="21">
        <f>IF($B1628="","",IFERROR(INDEX(الموظفات!$C$5:$C$304,MATCH($B1628,الموظفات!$B$5:$B$304,0))&amp;"",""))</f>
        <v/>
      </c>
      <c r="M1628" s="20">
        <f>IF($B1628="","",IFERROR(INDEX(الموظفات!$D$5:$D$304,MATCH($B1628,الموظفات!$B$5:$B$304,0))&amp;"",""))</f>
        <v/>
      </c>
      <c r="N1628" s="20">
        <f>IF($B1628="","",IFERROR(INDEX(الموظفات!$E$5:$E$304,MATCH($B1628,الموظفات!$B$5:$B$304,0))&amp;"",""))</f>
        <v/>
      </c>
      <c r="O1628" s="21">
        <f>IF(C1628="","",IFERROR(INDEX(الإعدادات!$D$7:$D$35,MATCH(C1628,الإعدادات!$A$7:$A$35,0))&amp;"",""))</f>
        <v/>
      </c>
      <c r="P1628" s="20">
        <f>IF(A1628="","",INDEX(الإعدادات!$H$7:$H$18,MONTH(A1628)))</f>
        <v/>
      </c>
      <c r="Q1628" s="20">
        <f>IF(A1628="","",INDEX(الإعدادات!$I$7:$I$18,MONTH(A1628)))</f>
        <v/>
      </c>
      <c r="R1628" s="20">
        <f>IF(A1628="","",IF(MONTH(A1628)&gt;=8,YEAR(A1628)&amp;"-"&amp;(YEAR(A1628)+1),(YEAR(A1628)-1)&amp;"-"&amp;YEAR(A1628)))</f>
        <v/>
      </c>
      <c r="S1628" s="20">
        <f>IF(OR(A1628="",B1628=""),0,IF(AND(R1628=التقارير!$C$4,OR(التقارير!$C$5="سنوي",AND(التقارير!$C$5="شهري",P1628=التقارير!$C$6),AND(التقارير!$C$5="فصلي",Q1628=التقارير!$C$7))),1,0))</f>
        <v/>
      </c>
      <c r="T1628" s="20">
        <f>IF(S1628=1,COUNTIF($S$5:S1628,1),"")</f>
        <v/>
      </c>
      <c r="U1628">
        <f>IF(AND($A1628&lt;&gt;"",$B1628&lt;&gt;"",$R1628='تقرير الفصل الأول'!$C$4,$Q1628='تقرير الفصل الأول'!$C$7),COUNT(U$4:U1627)+1,"")</f>
        <v/>
      </c>
      <c r="V1628">
        <f>IF(AND($A1628&lt;&gt;"",$B1628&lt;&gt;"",$R1628='تقرير الفصل الثاني'!$C$4,$Q1628='تقرير الفصل الثاني'!$C$7),COUNT(V$4:V1627)+1,"")</f>
        <v/>
      </c>
      <c r="W1628">
        <f>IF(AND($A1628&lt;&gt;"",$B1628&lt;&gt;"",$R1628='تقرير سبتمبر'!$C$4,$P1628='تقرير سبتمبر'!$C$6),COUNT(W$4:W1627)+1,"")</f>
        <v/>
      </c>
      <c r="X1628">
        <f>IF(AND($A1628&lt;&gt;"",$B1628&lt;&gt;"",$R1628='تقرير أكتوبر'!$C$4,$P1628='تقرير أكتوبر'!$C$6),COUNT(X$4:X1627)+1,"")</f>
        <v/>
      </c>
      <c r="Y1628">
        <f>IF(AND($A1628&lt;&gt;"",$B1628&lt;&gt;"",$R1628='تقرير نوفمبر'!$C$4,$P1628='تقرير نوفمبر'!$C$6),COUNT(Y$4:Y1627)+1,"")</f>
        <v/>
      </c>
      <c r="Z1628">
        <f>IF(AND($A1628&lt;&gt;"",$B1628&lt;&gt;"",$R1628='تقرير ديسمبر'!$C$4,$P1628='تقرير ديسمبر'!$C$6),COUNT(Z$4:Z1627)+1,"")</f>
        <v/>
      </c>
      <c r="AA1628">
        <f>IF(AND($A1628&lt;&gt;"",$B1628&lt;&gt;"",$R1628='تقرير يناير'!$C$4,$P1628='تقرير يناير'!$C$6),COUNT(AA$4:AA1627)+1,"")</f>
        <v/>
      </c>
      <c r="AB1628">
        <f>IF(AND($A1628&lt;&gt;"",$B1628&lt;&gt;"",$R1628='تقرير فبراير'!$C$4,$P1628='تقرير فبراير'!$C$6),COUNT(AB$4:AB1627)+1,"")</f>
        <v/>
      </c>
      <c r="AC1628">
        <f>IF(AND($A1628&lt;&gt;"",$B1628&lt;&gt;"",$R1628='تقرير مارس'!$C$4,$P1628='تقرير مارس'!$C$6),COUNT(AC$4:AC1627)+1,"")</f>
        <v/>
      </c>
      <c r="AD1628">
        <f>IF(AND($A1628&lt;&gt;"",$B1628&lt;&gt;"",$R1628='تقرير أبريل'!$C$4,$P1628='تقرير أبريل'!$C$6),COUNT(AD$4:AD1627)+1,"")</f>
        <v/>
      </c>
      <c r="AE1628">
        <f>IF(AND($A1628&lt;&gt;"",$B1628&lt;&gt;"",$R1628='تقرير مايو'!$C$4,$P1628='تقرير مايو'!$C$6),COUNT(AE$4:AE1627)+1,"")</f>
        <v/>
      </c>
    </row>
    <row r="1629">
      <c r="A1629" s="16" t="n"/>
      <c r="B1629" s="17" t="n"/>
      <c r="C1629" s="17" t="n"/>
      <c r="D1629" s="18" t="n"/>
      <c r="E1629" s="17" t="n"/>
      <c r="F1629" s="17" t="n"/>
      <c r="G1629" s="19" t="n"/>
      <c r="H1629" s="17" t="n"/>
      <c r="I1629" s="17" t="n"/>
      <c r="J1629" s="17" t="n"/>
      <c r="K1629" s="20">
        <f>IF($B1629="","",IFERROR(INDEX(الموظفات!$A$5:$A$304,MATCH($B1629,الموظفات!$B$5:$B$304,0))&amp;"",""))</f>
        <v/>
      </c>
      <c r="L1629" s="21">
        <f>IF($B1629="","",IFERROR(INDEX(الموظفات!$C$5:$C$304,MATCH($B1629,الموظفات!$B$5:$B$304,0))&amp;"",""))</f>
        <v/>
      </c>
      <c r="M1629" s="20">
        <f>IF($B1629="","",IFERROR(INDEX(الموظفات!$D$5:$D$304,MATCH($B1629,الموظفات!$B$5:$B$304,0))&amp;"",""))</f>
        <v/>
      </c>
      <c r="N1629" s="20">
        <f>IF($B1629="","",IFERROR(INDEX(الموظفات!$E$5:$E$304,MATCH($B1629,الموظفات!$B$5:$B$304,0))&amp;"",""))</f>
        <v/>
      </c>
      <c r="O1629" s="21">
        <f>IF(C1629="","",IFERROR(INDEX(الإعدادات!$D$7:$D$35,MATCH(C1629,الإعدادات!$A$7:$A$35,0))&amp;"",""))</f>
        <v/>
      </c>
      <c r="P1629" s="20">
        <f>IF(A1629="","",INDEX(الإعدادات!$H$7:$H$18,MONTH(A1629)))</f>
        <v/>
      </c>
      <c r="Q1629" s="20">
        <f>IF(A1629="","",INDEX(الإعدادات!$I$7:$I$18,MONTH(A1629)))</f>
        <v/>
      </c>
      <c r="R1629" s="20">
        <f>IF(A1629="","",IF(MONTH(A1629)&gt;=8,YEAR(A1629)&amp;"-"&amp;(YEAR(A1629)+1),(YEAR(A1629)-1)&amp;"-"&amp;YEAR(A1629)))</f>
        <v/>
      </c>
      <c r="S1629" s="20">
        <f>IF(OR(A1629="",B1629=""),0,IF(AND(R1629=التقارير!$C$4,OR(التقارير!$C$5="سنوي",AND(التقارير!$C$5="شهري",P1629=التقارير!$C$6),AND(التقارير!$C$5="فصلي",Q1629=التقارير!$C$7))),1,0))</f>
        <v/>
      </c>
      <c r="T1629" s="20">
        <f>IF(S1629=1,COUNTIF($S$5:S1629,1),"")</f>
        <v/>
      </c>
      <c r="U1629">
        <f>IF(AND($A1629&lt;&gt;"",$B1629&lt;&gt;"",$R1629='تقرير الفصل الأول'!$C$4,$Q1629='تقرير الفصل الأول'!$C$7),COUNT(U$4:U1628)+1,"")</f>
        <v/>
      </c>
      <c r="V1629">
        <f>IF(AND($A1629&lt;&gt;"",$B1629&lt;&gt;"",$R1629='تقرير الفصل الثاني'!$C$4,$Q1629='تقرير الفصل الثاني'!$C$7),COUNT(V$4:V1628)+1,"")</f>
        <v/>
      </c>
      <c r="W1629">
        <f>IF(AND($A1629&lt;&gt;"",$B1629&lt;&gt;"",$R1629='تقرير سبتمبر'!$C$4,$P1629='تقرير سبتمبر'!$C$6),COUNT(W$4:W1628)+1,"")</f>
        <v/>
      </c>
      <c r="X1629">
        <f>IF(AND($A1629&lt;&gt;"",$B1629&lt;&gt;"",$R1629='تقرير أكتوبر'!$C$4,$P1629='تقرير أكتوبر'!$C$6),COUNT(X$4:X1628)+1,"")</f>
        <v/>
      </c>
      <c r="Y1629">
        <f>IF(AND($A1629&lt;&gt;"",$B1629&lt;&gt;"",$R1629='تقرير نوفمبر'!$C$4,$P1629='تقرير نوفمبر'!$C$6),COUNT(Y$4:Y1628)+1,"")</f>
        <v/>
      </c>
      <c r="Z1629">
        <f>IF(AND($A1629&lt;&gt;"",$B1629&lt;&gt;"",$R1629='تقرير ديسمبر'!$C$4,$P1629='تقرير ديسمبر'!$C$6),COUNT(Z$4:Z1628)+1,"")</f>
        <v/>
      </c>
      <c r="AA1629">
        <f>IF(AND($A1629&lt;&gt;"",$B1629&lt;&gt;"",$R1629='تقرير يناير'!$C$4,$P1629='تقرير يناير'!$C$6),COUNT(AA$4:AA1628)+1,"")</f>
        <v/>
      </c>
      <c r="AB1629">
        <f>IF(AND($A1629&lt;&gt;"",$B1629&lt;&gt;"",$R1629='تقرير فبراير'!$C$4,$P1629='تقرير فبراير'!$C$6),COUNT(AB$4:AB1628)+1,"")</f>
        <v/>
      </c>
      <c r="AC1629">
        <f>IF(AND($A1629&lt;&gt;"",$B1629&lt;&gt;"",$R1629='تقرير مارس'!$C$4,$P1629='تقرير مارس'!$C$6),COUNT(AC$4:AC1628)+1,"")</f>
        <v/>
      </c>
      <c r="AD1629">
        <f>IF(AND($A1629&lt;&gt;"",$B1629&lt;&gt;"",$R1629='تقرير أبريل'!$C$4,$P1629='تقرير أبريل'!$C$6),COUNT(AD$4:AD1628)+1,"")</f>
        <v/>
      </c>
      <c r="AE1629">
        <f>IF(AND($A1629&lt;&gt;"",$B1629&lt;&gt;"",$R1629='تقرير مايو'!$C$4,$P1629='تقرير مايو'!$C$6),COUNT(AE$4:AE1628)+1,"")</f>
        <v/>
      </c>
    </row>
    <row r="1630">
      <c r="A1630" s="16" t="n"/>
      <c r="B1630" s="17" t="n"/>
      <c r="C1630" s="17" t="n"/>
      <c r="D1630" s="18" t="n"/>
      <c r="E1630" s="17" t="n"/>
      <c r="F1630" s="17" t="n"/>
      <c r="G1630" s="19" t="n"/>
      <c r="H1630" s="17" t="n"/>
      <c r="I1630" s="17" t="n"/>
      <c r="J1630" s="17" t="n"/>
      <c r="K1630" s="20">
        <f>IF($B1630="","",IFERROR(INDEX(الموظفات!$A$5:$A$304,MATCH($B1630,الموظفات!$B$5:$B$304,0))&amp;"",""))</f>
        <v/>
      </c>
      <c r="L1630" s="21">
        <f>IF($B1630="","",IFERROR(INDEX(الموظفات!$C$5:$C$304,MATCH($B1630,الموظفات!$B$5:$B$304,0))&amp;"",""))</f>
        <v/>
      </c>
      <c r="M1630" s="20">
        <f>IF($B1630="","",IFERROR(INDEX(الموظفات!$D$5:$D$304,MATCH($B1630,الموظفات!$B$5:$B$304,0))&amp;"",""))</f>
        <v/>
      </c>
      <c r="N1630" s="20">
        <f>IF($B1630="","",IFERROR(INDEX(الموظفات!$E$5:$E$304,MATCH($B1630,الموظفات!$B$5:$B$304,0))&amp;"",""))</f>
        <v/>
      </c>
      <c r="O1630" s="21">
        <f>IF(C1630="","",IFERROR(INDEX(الإعدادات!$D$7:$D$35,MATCH(C1630,الإعدادات!$A$7:$A$35,0))&amp;"",""))</f>
        <v/>
      </c>
      <c r="P1630" s="20">
        <f>IF(A1630="","",INDEX(الإعدادات!$H$7:$H$18,MONTH(A1630)))</f>
        <v/>
      </c>
      <c r="Q1630" s="20">
        <f>IF(A1630="","",INDEX(الإعدادات!$I$7:$I$18,MONTH(A1630)))</f>
        <v/>
      </c>
      <c r="R1630" s="20">
        <f>IF(A1630="","",IF(MONTH(A1630)&gt;=8,YEAR(A1630)&amp;"-"&amp;(YEAR(A1630)+1),(YEAR(A1630)-1)&amp;"-"&amp;YEAR(A1630)))</f>
        <v/>
      </c>
      <c r="S1630" s="20">
        <f>IF(OR(A1630="",B1630=""),0,IF(AND(R1630=التقارير!$C$4,OR(التقارير!$C$5="سنوي",AND(التقارير!$C$5="شهري",P1630=التقارير!$C$6),AND(التقارير!$C$5="فصلي",Q1630=التقارير!$C$7))),1,0))</f>
        <v/>
      </c>
      <c r="T1630" s="20">
        <f>IF(S1630=1,COUNTIF($S$5:S1630,1),"")</f>
        <v/>
      </c>
      <c r="U1630">
        <f>IF(AND($A1630&lt;&gt;"",$B1630&lt;&gt;"",$R1630='تقرير الفصل الأول'!$C$4,$Q1630='تقرير الفصل الأول'!$C$7),COUNT(U$4:U1629)+1,"")</f>
        <v/>
      </c>
      <c r="V1630">
        <f>IF(AND($A1630&lt;&gt;"",$B1630&lt;&gt;"",$R1630='تقرير الفصل الثاني'!$C$4,$Q1630='تقرير الفصل الثاني'!$C$7),COUNT(V$4:V1629)+1,"")</f>
        <v/>
      </c>
      <c r="W1630">
        <f>IF(AND($A1630&lt;&gt;"",$B1630&lt;&gt;"",$R1630='تقرير سبتمبر'!$C$4,$P1630='تقرير سبتمبر'!$C$6),COUNT(W$4:W1629)+1,"")</f>
        <v/>
      </c>
      <c r="X1630">
        <f>IF(AND($A1630&lt;&gt;"",$B1630&lt;&gt;"",$R1630='تقرير أكتوبر'!$C$4,$P1630='تقرير أكتوبر'!$C$6),COUNT(X$4:X1629)+1,"")</f>
        <v/>
      </c>
      <c r="Y1630">
        <f>IF(AND($A1630&lt;&gt;"",$B1630&lt;&gt;"",$R1630='تقرير نوفمبر'!$C$4,$P1630='تقرير نوفمبر'!$C$6),COUNT(Y$4:Y1629)+1,"")</f>
        <v/>
      </c>
      <c r="Z1630">
        <f>IF(AND($A1630&lt;&gt;"",$B1630&lt;&gt;"",$R1630='تقرير ديسمبر'!$C$4,$P1630='تقرير ديسمبر'!$C$6),COUNT(Z$4:Z1629)+1,"")</f>
        <v/>
      </c>
      <c r="AA1630">
        <f>IF(AND($A1630&lt;&gt;"",$B1630&lt;&gt;"",$R1630='تقرير يناير'!$C$4,$P1630='تقرير يناير'!$C$6),COUNT(AA$4:AA1629)+1,"")</f>
        <v/>
      </c>
      <c r="AB1630">
        <f>IF(AND($A1630&lt;&gt;"",$B1630&lt;&gt;"",$R1630='تقرير فبراير'!$C$4,$P1630='تقرير فبراير'!$C$6),COUNT(AB$4:AB1629)+1,"")</f>
        <v/>
      </c>
      <c r="AC1630">
        <f>IF(AND($A1630&lt;&gt;"",$B1630&lt;&gt;"",$R1630='تقرير مارس'!$C$4,$P1630='تقرير مارس'!$C$6),COUNT(AC$4:AC1629)+1,"")</f>
        <v/>
      </c>
      <c r="AD1630">
        <f>IF(AND($A1630&lt;&gt;"",$B1630&lt;&gt;"",$R1630='تقرير أبريل'!$C$4,$P1630='تقرير أبريل'!$C$6),COUNT(AD$4:AD1629)+1,"")</f>
        <v/>
      </c>
      <c r="AE1630">
        <f>IF(AND($A1630&lt;&gt;"",$B1630&lt;&gt;"",$R1630='تقرير مايو'!$C$4,$P1630='تقرير مايو'!$C$6),COUNT(AE$4:AE1629)+1,"")</f>
        <v/>
      </c>
    </row>
    <row r="1631">
      <c r="A1631" s="16" t="n"/>
      <c r="B1631" s="17" t="n"/>
      <c r="C1631" s="17" t="n"/>
      <c r="D1631" s="18" t="n"/>
      <c r="E1631" s="17" t="n"/>
      <c r="F1631" s="17" t="n"/>
      <c r="G1631" s="19" t="n"/>
      <c r="H1631" s="17" t="n"/>
      <c r="I1631" s="17" t="n"/>
      <c r="J1631" s="17" t="n"/>
      <c r="K1631" s="20">
        <f>IF($B1631="","",IFERROR(INDEX(الموظفات!$A$5:$A$304,MATCH($B1631,الموظفات!$B$5:$B$304,0))&amp;"",""))</f>
        <v/>
      </c>
      <c r="L1631" s="21">
        <f>IF($B1631="","",IFERROR(INDEX(الموظفات!$C$5:$C$304,MATCH($B1631,الموظفات!$B$5:$B$304,0))&amp;"",""))</f>
        <v/>
      </c>
      <c r="M1631" s="20">
        <f>IF($B1631="","",IFERROR(INDEX(الموظفات!$D$5:$D$304,MATCH($B1631,الموظفات!$B$5:$B$304,0))&amp;"",""))</f>
        <v/>
      </c>
      <c r="N1631" s="20">
        <f>IF($B1631="","",IFERROR(INDEX(الموظفات!$E$5:$E$304,MATCH($B1631,الموظفات!$B$5:$B$304,0))&amp;"",""))</f>
        <v/>
      </c>
      <c r="O1631" s="21">
        <f>IF(C1631="","",IFERROR(INDEX(الإعدادات!$D$7:$D$35,MATCH(C1631,الإعدادات!$A$7:$A$35,0))&amp;"",""))</f>
        <v/>
      </c>
      <c r="P1631" s="20">
        <f>IF(A1631="","",INDEX(الإعدادات!$H$7:$H$18,MONTH(A1631)))</f>
        <v/>
      </c>
      <c r="Q1631" s="20">
        <f>IF(A1631="","",INDEX(الإعدادات!$I$7:$I$18,MONTH(A1631)))</f>
        <v/>
      </c>
      <c r="R1631" s="20">
        <f>IF(A1631="","",IF(MONTH(A1631)&gt;=8,YEAR(A1631)&amp;"-"&amp;(YEAR(A1631)+1),(YEAR(A1631)-1)&amp;"-"&amp;YEAR(A1631)))</f>
        <v/>
      </c>
      <c r="S1631" s="20">
        <f>IF(OR(A1631="",B1631=""),0,IF(AND(R1631=التقارير!$C$4,OR(التقارير!$C$5="سنوي",AND(التقارير!$C$5="شهري",P1631=التقارير!$C$6),AND(التقارير!$C$5="فصلي",Q1631=التقارير!$C$7))),1,0))</f>
        <v/>
      </c>
      <c r="T1631" s="20">
        <f>IF(S1631=1,COUNTIF($S$5:S1631,1),"")</f>
        <v/>
      </c>
      <c r="U1631">
        <f>IF(AND($A1631&lt;&gt;"",$B1631&lt;&gt;"",$R1631='تقرير الفصل الأول'!$C$4,$Q1631='تقرير الفصل الأول'!$C$7),COUNT(U$4:U1630)+1,"")</f>
        <v/>
      </c>
      <c r="V1631">
        <f>IF(AND($A1631&lt;&gt;"",$B1631&lt;&gt;"",$R1631='تقرير الفصل الثاني'!$C$4,$Q1631='تقرير الفصل الثاني'!$C$7),COUNT(V$4:V1630)+1,"")</f>
        <v/>
      </c>
      <c r="W1631">
        <f>IF(AND($A1631&lt;&gt;"",$B1631&lt;&gt;"",$R1631='تقرير سبتمبر'!$C$4,$P1631='تقرير سبتمبر'!$C$6),COUNT(W$4:W1630)+1,"")</f>
        <v/>
      </c>
      <c r="X1631">
        <f>IF(AND($A1631&lt;&gt;"",$B1631&lt;&gt;"",$R1631='تقرير أكتوبر'!$C$4,$P1631='تقرير أكتوبر'!$C$6),COUNT(X$4:X1630)+1,"")</f>
        <v/>
      </c>
      <c r="Y1631">
        <f>IF(AND($A1631&lt;&gt;"",$B1631&lt;&gt;"",$R1631='تقرير نوفمبر'!$C$4,$P1631='تقرير نوفمبر'!$C$6),COUNT(Y$4:Y1630)+1,"")</f>
        <v/>
      </c>
      <c r="Z1631">
        <f>IF(AND($A1631&lt;&gt;"",$B1631&lt;&gt;"",$R1631='تقرير ديسمبر'!$C$4,$P1631='تقرير ديسمبر'!$C$6),COUNT(Z$4:Z1630)+1,"")</f>
        <v/>
      </c>
      <c r="AA1631">
        <f>IF(AND($A1631&lt;&gt;"",$B1631&lt;&gt;"",$R1631='تقرير يناير'!$C$4,$P1631='تقرير يناير'!$C$6),COUNT(AA$4:AA1630)+1,"")</f>
        <v/>
      </c>
      <c r="AB1631">
        <f>IF(AND($A1631&lt;&gt;"",$B1631&lt;&gt;"",$R1631='تقرير فبراير'!$C$4,$P1631='تقرير فبراير'!$C$6),COUNT(AB$4:AB1630)+1,"")</f>
        <v/>
      </c>
      <c r="AC1631">
        <f>IF(AND($A1631&lt;&gt;"",$B1631&lt;&gt;"",$R1631='تقرير مارس'!$C$4,$P1631='تقرير مارس'!$C$6),COUNT(AC$4:AC1630)+1,"")</f>
        <v/>
      </c>
      <c r="AD1631">
        <f>IF(AND($A1631&lt;&gt;"",$B1631&lt;&gt;"",$R1631='تقرير أبريل'!$C$4,$P1631='تقرير أبريل'!$C$6),COUNT(AD$4:AD1630)+1,"")</f>
        <v/>
      </c>
      <c r="AE1631">
        <f>IF(AND($A1631&lt;&gt;"",$B1631&lt;&gt;"",$R1631='تقرير مايو'!$C$4,$P1631='تقرير مايو'!$C$6),COUNT(AE$4:AE1630)+1,"")</f>
        <v/>
      </c>
    </row>
    <row r="1632">
      <c r="A1632" s="16" t="n"/>
      <c r="B1632" s="17" t="n"/>
      <c r="C1632" s="17" t="n"/>
      <c r="D1632" s="18" t="n"/>
      <c r="E1632" s="17" t="n"/>
      <c r="F1632" s="17" t="n"/>
      <c r="G1632" s="19" t="n"/>
      <c r="H1632" s="17" t="n"/>
      <c r="I1632" s="17" t="n"/>
      <c r="J1632" s="17" t="n"/>
      <c r="K1632" s="20">
        <f>IF($B1632="","",IFERROR(INDEX(الموظفات!$A$5:$A$304,MATCH($B1632,الموظفات!$B$5:$B$304,0))&amp;"",""))</f>
        <v/>
      </c>
      <c r="L1632" s="21">
        <f>IF($B1632="","",IFERROR(INDEX(الموظفات!$C$5:$C$304,MATCH($B1632,الموظفات!$B$5:$B$304,0))&amp;"",""))</f>
        <v/>
      </c>
      <c r="M1632" s="20">
        <f>IF($B1632="","",IFERROR(INDEX(الموظفات!$D$5:$D$304,MATCH($B1632,الموظفات!$B$5:$B$304,0))&amp;"",""))</f>
        <v/>
      </c>
      <c r="N1632" s="20">
        <f>IF($B1632="","",IFERROR(INDEX(الموظفات!$E$5:$E$304,MATCH($B1632,الموظفات!$B$5:$B$304,0))&amp;"",""))</f>
        <v/>
      </c>
      <c r="O1632" s="21">
        <f>IF(C1632="","",IFERROR(INDEX(الإعدادات!$D$7:$D$35,MATCH(C1632,الإعدادات!$A$7:$A$35,0))&amp;"",""))</f>
        <v/>
      </c>
      <c r="P1632" s="20">
        <f>IF(A1632="","",INDEX(الإعدادات!$H$7:$H$18,MONTH(A1632)))</f>
        <v/>
      </c>
      <c r="Q1632" s="20">
        <f>IF(A1632="","",INDEX(الإعدادات!$I$7:$I$18,MONTH(A1632)))</f>
        <v/>
      </c>
      <c r="R1632" s="20">
        <f>IF(A1632="","",IF(MONTH(A1632)&gt;=8,YEAR(A1632)&amp;"-"&amp;(YEAR(A1632)+1),(YEAR(A1632)-1)&amp;"-"&amp;YEAR(A1632)))</f>
        <v/>
      </c>
      <c r="S1632" s="20">
        <f>IF(OR(A1632="",B1632=""),0,IF(AND(R1632=التقارير!$C$4,OR(التقارير!$C$5="سنوي",AND(التقارير!$C$5="شهري",P1632=التقارير!$C$6),AND(التقارير!$C$5="فصلي",Q1632=التقارير!$C$7))),1,0))</f>
        <v/>
      </c>
      <c r="T1632" s="20">
        <f>IF(S1632=1,COUNTIF($S$5:S1632,1),"")</f>
        <v/>
      </c>
      <c r="U1632">
        <f>IF(AND($A1632&lt;&gt;"",$B1632&lt;&gt;"",$R1632='تقرير الفصل الأول'!$C$4,$Q1632='تقرير الفصل الأول'!$C$7),COUNT(U$4:U1631)+1,"")</f>
        <v/>
      </c>
      <c r="V1632">
        <f>IF(AND($A1632&lt;&gt;"",$B1632&lt;&gt;"",$R1632='تقرير الفصل الثاني'!$C$4,$Q1632='تقرير الفصل الثاني'!$C$7),COUNT(V$4:V1631)+1,"")</f>
        <v/>
      </c>
      <c r="W1632">
        <f>IF(AND($A1632&lt;&gt;"",$B1632&lt;&gt;"",$R1632='تقرير سبتمبر'!$C$4,$P1632='تقرير سبتمبر'!$C$6),COUNT(W$4:W1631)+1,"")</f>
        <v/>
      </c>
      <c r="X1632">
        <f>IF(AND($A1632&lt;&gt;"",$B1632&lt;&gt;"",$R1632='تقرير أكتوبر'!$C$4,$P1632='تقرير أكتوبر'!$C$6),COUNT(X$4:X1631)+1,"")</f>
        <v/>
      </c>
      <c r="Y1632">
        <f>IF(AND($A1632&lt;&gt;"",$B1632&lt;&gt;"",$R1632='تقرير نوفمبر'!$C$4,$P1632='تقرير نوفمبر'!$C$6),COUNT(Y$4:Y1631)+1,"")</f>
        <v/>
      </c>
      <c r="Z1632">
        <f>IF(AND($A1632&lt;&gt;"",$B1632&lt;&gt;"",$R1632='تقرير ديسمبر'!$C$4,$P1632='تقرير ديسمبر'!$C$6),COUNT(Z$4:Z1631)+1,"")</f>
        <v/>
      </c>
      <c r="AA1632">
        <f>IF(AND($A1632&lt;&gt;"",$B1632&lt;&gt;"",$R1632='تقرير يناير'!$C$4,$P1632='تقرير يناير'!$C$6),COUNT(AA$4:AA1631)+1,"")</f>
        <v/>
      </c>
      <c r="AB1632">
        <f>IF(AND($A1632&lt;&gt;"",$B1632&lt;&gt;"",$R1632='تقرير فبراير'!$C$4,$P1632='تقرير فبراير'!$C$6),COUNT(AB$4:AB1631)+1,"")</f>
        <v/>
      </c>
      <c r="AC1632">
        <f>IF(AND($A1632&lt;&gt;"",$B1632&lt;&gt;"",$R1632='تقرير مارس'!$C$4,$P1632='تقرير مارس'!$C$6),COUNT(AC$4:AC1631)+1,"")</f>
        <v/>
      </c>
      <c r="AD1632">
        <f>IF(AND($A1632&lt;&gt;"",$B1632&lt;&gt;"",$R1632='تقرير أبريل'!$C$4,$P1632='تقرير أبريل'!$C$6),COUNT(AD$4:AD1631)+1,"")</f>
        <v/>
      </c>
      <c r="AE1632">
        <f>IF(AND($A1632&lt;&gt;"",$B1632&lt;&gt;"",$R1632='تقرير مايو'!$C$4,$P1632='تقرير مايو'!$C$6),COUNT(AE$4:AE1631)+1,"")</f>
        <v/>
      </c>
    </row>
    <row r="1633">
      <c r="A1633" s="16" t="n"/>
      <c r="B1633" s="17" t="n"/>
      <c r="C1633" s="17" t="n"/>
      <c r="D1633" s="18" t="n"/>
      <c r="E1633" s="17" t="n"/>
      <c r="F1633" s="17" t="n"/>
      <c r="G1633" s="19" t="n"/>
      <c r="H1633" s="17" t="n"/>
      <c r="I1633" s="17" t="n"/>
      <c r="J1633" s="17" t="n"/>
      <c r="K1633" s="20">
        <f>IF($B1633="","",IFERROR(INDEX(الموظفات!$A$5:$A$304,MATCH($B1633,الموظفات!$B$5:$B$304,0))&amp;"",""))</f>
        <v/>
      </c>
      <c r="L1633" s="21">
        <f>IF($B1633="","",IFERROR(INDEX(الموظفات!$C$5:$C$304,MATCH($B1633,الموظفات!$B$5:$B$304,0))&amp;"",""))</f>
        <v/>
      </c>
      <c r="M1633" s="20">
        <f>IF($B1633="","",IFERROR(INDEX(الموظفات!$D$5:$D$304,MATCH($B1633,الموظفات!$B$5:$B$304,0))&amp;"",""))</f>
        <v/>
      </c>
      <c r="N1633" s="20">
        <f>IF($B1633="","",IFERROR(INDEX(الموظفات!$E$5:$E$304,MATCH($B1633,الموظفات!$B$5:$B$304,0))&amp;"",""))</f>
        <v/>
      </c>
      <c r="O1633" s="21">
        <f>IF(C1633="","",IFERROR(INDEX(الإعدادات!$D$7:$D$35,MATCH(C1633,الإعدادات!$A$7:$A$35,0))&amp;"",""))</f>
        <v/>
      </c>
      <c r="P1633" s="20">
        <f>IF(A1633="","",INDEX(الإعدادات!$H$7:$H$18,MONTH(A1633)))</f>
        <v/>
      </c>
      <c r="Q1633" s="20">
        <f>IF(A1633="","",INDEX(الإعدادات!$I$7:$I$18,MONTH(A1633)))</f>
        <v/>
      </c>
      <c r="R1633" s="20">
        <f>IF(A1633="","",IF(MONTH(A1633)&gt;=8,YEAR(A1633)&amp;"-"&amp;(YEAR(A1633)+1),(YEAR(A1633)-1)&amp;"-"&amp;YEAR(A1633)))</f>
        <v/>
      </c>
      <c r="S1633" s="20">
        <f>IF(OR(A1633="",B1633=""),0,IF(AND(R1633=التقارير!$C$4,OR(التقارير!$C$5="سنوي",AND(التقارير!$C$5="شهري",P1633=التقارير!$C$6),AND(التقارير!$C$5="فصلي",Q1633=التقارير!$C$7))),1,0))</f>
        <v/>
      </c>
      <c r="T1633" s="20">
        <f>IF(S1633=1,COUNTIF($S$5:S1633,1),"")</f>
        <v/>
      </c>
      <c r="U1633">
        <f>IF(AND($A1633&lt;&gt;"",$B1633&lt;&gt;"",$R1633='تقرير الفصل الأول'!$C$4,$Q1633='تقرير الفصل الأول'!$C$7),COUNT(U$4:U1632)+1,"")</f>
        <v/>
      </c>
      <c r="V1633">
        <f>IF(AND($A1633&lt;&gt;"",$B1633&lt;&gt;"",$R1633='تقرير الفصل الثاني'!$C$4,$Q1633='تقرير الفصل الثاني'!$C$7),COUNT(V$4:V1632)+1,"")</f>
        <v/>
      </c>
      <c r="W1633">
        <f>IF(AND($A1633&lt;&gt;"",$B1633&lt;&gt;"",$R1633='تقرير سبتمبر'!$C$4,$P1633='تقرير سبتمبر'!$C$6),COUNT(W$4:W1632)+1,"")</f>
        <v/>
      </c>
      <c r="X1633">
        <f>IF(AND($A1633&lt;&gt;"",$B1633&lt;&gt;"",$R1633='تقرير أكتوبر'!$C$4,$P1633='تقرير أكتوبر'!$C$6),COUNT(X$4:X1632)+1,"")</f>
        <v/>
      </c>
      <c r="Y1633">
        <f>IF(AND($A1633&lt;&gt;"",$B1633&lt;&gt;"",$R1633='تقرير نوفمبر'!$C$4,$P1633='تقرير نوفمبر'!$C$6),COUNT(Y$4:Y1632)+1,"")</f>
        <v/>
      </c>
      <c r="Z1633">
        <f>IF(AND($A1633&lt;&gt;"",$B1633&lt;&gt;"",$R1633='تقرير ديسمبر'!$C$4,$P1633='تقرير ديسمبر'!$C$6),COUNT(Z$4:Z1632)+1,"")</f>
        <v/>
      </c>
      <c r="AA1633">
        <f>IF(AND($A1633&lt;&gt;"",$B1633&lt;&gt;"",$R1633='تقرير يناير'!$C$4,$P1633='تقرير يناير'!$C$6),COUNT(AA$4:AA1632)+1,"")</f>
        <v/>
      </c>
      <c r="AB1633">
        <f>IF(AND($A1633&lt;&gt;"",$B1633&lt;&gt;"",$R1633='تقرير فبراير'!$C$4,$P1633='تقرير فبراير'!$C$6),COUNT(AB$4:AB1632)+1,"")</f>
        <v/>
      </c>
      <c r="AC1633">
        <f>IF(AND($A1633&lt;&gt;"",$B1633&lt;&gt;"",$R1633='تقرير مارس'!$C$4,$P1633='تقرير مارس'!$C$6),COUNT(AC$4:AC1632)+1,"")</f>
        <v/>
      </c>
      <c r="AD1633">
        <f>IF(AND($A1633&lt;&gt;"",$B1633&lt;&gt;"",$R1633='تقرير أبريل'!$C$4,$P1633='تقرير أبريل'!$C$6),COUNT(AD$4:AD1632)+1,"")</f>
        <v/>
      </c>
      <c r="AE1633">
        <f>IF(AND($A1633&lt;&gt;"",$B1633&lt;&gt;"",$R1633='تقرير مايو'!$C$4,$P1633='تقرير مايو'!$C$6),COUNT(AE$4:AE1632)+1,"")</f>
        <v/>
      </c>
    </row>
    <row r="1634">
      <c r="A1634" s="16" t="n"/>
      <c r="B1634" s="17" t="n"/>
      <c r="C1634" s="17" t="n"/>
      <c r="D1634" s="18" t="n"/>
      <c r="E1634" s="17" t="n"/>
      <c r="F1634" s="17" t="n"/>
      <c r="G1634" s="19" t="n"/>
      <c r="H1634" s="17" t="n"/>
      <c r="I1634" s="17" t="n"/>
      <c r="J1634" s="17" t="n"/>
      <c r="K1634" s="20">
        <f>IF($B1634="","",IFERROR(INDEX(الموظفات!$A$5:$A$304,MATCH($B1634,الموظفات!$B$5:$B$304,0))&amp;"",""))</f>
        <v/>
      </c>
      <c r="L1634" s="21">
        <f>IF($B1634="","",IFERROR(INDEX(الموظفات!$C$5:$C$304,MATCH($B1634,الموظفات!$B$5:$B$304,0))&amp;"",""))</f>
        <v/>
      </c>
      <c r="M1634" s="20">
        <f>IF($B1634="","",IFERROR(INDEX(الموظفات!$D$5:$D$304,MATCH($B1634,الموظفات!$B$5:$B$304,0))&amp;"",""))</f>
        <v/>
      </c>
      <c r="N1634" s="20">
        <f>IF($B1634="","",IFERROR(INDEX(الموظفات!$E$5:$E$304,MATCH($B1634,الموظفات!$B$5:$B$304,0))&amp;"",""))</f>
        <v/>
      </c>
      <c r="O1634" s="21">
        <f>IF(C1634="","",IFERROR(INDEX(الإعدادات!$D$7:$D$35,MATCH(C1634,الإعدادات!$A$7:$A$35,0))&amp;"",""))</f>
        <v/>
      </c>
      <c r="P1634" s="20">
        <f>IF(A1634="","",INDEX(الإعدادات!$H$7:$H$18,MONTH(A1634)))</f>
        <v/>
      </c>
      <c r="Q1634" s="20">
        <f>IF(A1634="","",INDEX(الإعدادات!$I$7:$I$18,MONTH(A1634)))</f>
        <v/>
      </c>
      <c r="R1634" s="20">
        <f>IF(A1634="","",IF(MONTH(A1634)&gt;=8,YEAR(A1634)&amp;"-"&amp;(YEAR(A1634)+1),(YEAR(A1634)-1)&amp;"-"&amp;YEAR(A1634)))</f>
        <v/>
      </c>
      <c r="S1634" s="20">
        <f>IF(OR(A1634="",B1634=""),0,IF(AND(R1634=التقارير!$C$4,OR(التقارير!$C$5="سنوي",AND(التقارير!$C$5="شهري",P1634=التقارير!$C$6),AND(التقارير!$C$5="فصلي",Q1634=التقارير!$C$7))),1,0))</f>
        <v/>
      </c>
      <c r="T1634" s="20">
        <f>IF(S1634=1,COUNTIF($S$5:S1634,1),"")</f>
        <v/>
      </c>
      <c r="U1634">
        <f>IF(AND($A1634&lt;&gt;"",$B1634&lt;&gt;"",$R1634='تقرير الفصل الأول'!$C$4,$Q1634='تقرير الفصل الأول'!$C$7),COUNT(U$4:U1633)+1,"")</f>
        <v/>
      </c>
      <c r="V1634">
        <f>IF(AND($A1634&lt;&gt;"",$B1634&lt;&gt;"",$R1634='تقرير الفصل الثاني'!$C$4,$Q1634='تقرير الفصل الثاني'!$C$7),COUNT(V$4:V1633)+1,"")</f>
        <v/>
      </c>
      <c r="W1634">
        <f>IF(AND($A1634&lt;&gt;"",$B1634&lt;&gt;"",$R1634='تقرير سبتمبر'!$C$4,$P1634='تقرير سبتمبر'!$C$6),COUNT(W$4:W1633)+1,"")</f>
        <v/>
      </c>
      <c r="X1634">
        <f>IF(AND($A1634&lt;&gt;"",$B1634&lt;&gt;"",$R1634='تقرير أكتوبر'!$C$4,$P1634='تقرير أكتوبر'!$C$6),COUNT(X$4:X1633)+1,"")</f>
        <v/>
      </c>
      <c r="Y1634">
        <f>IF(AND($A1634&lt;&gt;"",$B1634&lt;&gt;"",$R1634='تقرير نوفمبر'!$C$4,$P1634='تقرير نوفمبر'!$C$6),COUNT(Y$4:Y1633)+1,"")</f>
        <v/>
      </c>
      <c r="Z1634">
        <f>IF(AND($A1634&lt;&gt;"",$B1634&lt;&gt;"",$R1634='تقرير ديسمبر'!$C$4,$P1634='تقرير ديسمبر'!$C$6),COUNT(Z$4:Z1633)+1,"")</f>
        <v/>
      </c>
      <c r="AA1634">
        <f>IF(AND($A1634&lt;&gt;"",$B1634&lt;&gt;"",$R1634='تقرير يناير'!$C$4,$P1634='تقرير يناير'!$C$6),COUNT(AA$4:AA1633)+1,"")</f>
        <v/>
      </c>
      <c r="AB1634">
        <f>IF(AND($A1634&lt;&gt;"",$B1634&lt;&gt;"",$R1634='تقرير فبراير'!$C$4,$P1634='تقرير فبراير'!$C$6),COUNT(AB$4:AB1633)+1,"")</f>
        <v/>
      </c>
      <c r="AC1634">
        <f>IF(AND($A1634&lt;&gt;"",$B1634&lt;&gt;"",$R1634='تقرير مارس'!$C$4,$P1634='تقرير مارس'!$C$6),COUNT(AC$4:AC1633)+1,"")</f>
        <v/>
      </c>
      <c r="AD1634">
        <f>IF(AND($A1634&lt;&gt;"",$B1634&lt;&gt;"",$R1634='تقرير أبريل'!$C$4,$P1634='تقرير أبريل'!$C$6),COUNT(AD$4:AD1633)+1,"")</f>
        <v/>
      </c>
      <c r="AE1634">
        <f>IF(AND($A1634&lt;&gt;"",$B1634&lt;&gt;"",$R1634='تقرير مايو'!$C$4,$P1634='تقرير مايو'!$C$6),COUNT(AE$4:AE1633)+1,"")</f>
        <v/>
      </c>
    </row>
    <row r="1635">
      <c r="A1635" s="16" t="n"/>
      <c r="B1635" s="17" t="n"/>
      <c r="C1635" s="17" t="n"/>
      <c r="D1635" s="18" t="n"/>
      <c r="E1635" s="17" t="n"/>
      <c r="F1635" s="17" t="n"/>
      <c r="G1635" s="19" t="n"/>
      <c r="H1635" s="17" t="n"/>
      <c r="I1635" s="17" t="n"/>
      <c r="J1635" s="17" t="n"/>
      <c r="K1635" s="20">
        <f>IF($B1635="","",IFERROR(INDEX(الموظفات!$A$5:$A$304,MATCH($B1635,الموظفات!$B$5:$B$304,0))&amp;"",""))</f>
        <v/>
      </c>
      <c r="L1635" s="21">
        <f>IF($B1635="","",IFERROR(INDEX(الموظفات!$C$5:$C$304,MATCH($B1635,الموظفات!$B$5:$B$304,0))&amp;"",""))</f>
        <v/>
      </c>
      <c r="M1635" s="20">
        <f>IF($B1635="","",IFERROR(INDEX(الموظفات!$D$5:$D$304,MATCH($B1635,الموظفات!$B$5:$B$304,0))&amp;"",""))</f>
        <v/>
      </c>
      <c r="N1635" s="20">
        <f>IF($B1635="","",IFERROR(INDEX(الموظفات!$E$5:$E$304,MATCH($B1635,الموظفات!$B$5:$B$304,0))&amp;"",""))</f>
        <v/>
      </c>
      <c r="O1635" s="21">
        <f>IF(C1635="","",IFERROR(INDEX(الإعدادات!$D$7:$D$35,MATCH(C1635,الإعدادات!$A$7:$A$35,0))&amp;"",""))</f>
        <v/>
      </c>
      <c r="P1635" s="20">
        <f>IF(A1635="","",INDEX(الإعدادات!$H$7:$H$18,MONTH(A1635)))</f>
        <v/>
      </c>
      <c r="Q1635" s="20">
        <f>IF(A1635="","",INDEX(الإعدادات!$I$7:$I$18,MONTH(A1635)))</f>
        <v/>
      </c>
      <c r="R1635" s="20">
        <f>IF(A1635="","",IF(MONTH(A1635)&gt;=8,YEAR(A1635)&amp;"-"&amp;(YEAR(A1635)+1),(YEAR(A1635)-1)&amp;"-"&amp;YEAR(A1635)))</f>
        <v/>
      </c>
      <c r="S1635" s="20">
        <f>IF(OR(A1635="",B1635=""),0,IF(AND(R1635=التقارير!$C$4,OR(التقارير!$C$5="سنوي",AND(التقارير!$C$5="شهري",P1635=التقارير!$C$6),AND(التقارير!$C$5="فصلي",Q1635=التقارير!$C$7))),1,0))</f>
        <v/>
      </c>
      <c r="T1635" s="20">
        <f>IF(S1635=1,COUNTIF($S$5:S1635,1),"")</f>
        <v/>
      </c>
      <c r="U1635">
        <f>IF(AND($A1635&lt;&gt;"",$B1635&lt;&gt;"",$R1635='تقرير الفصل الأول'!$C$4,$Q1635='تقرير الفصل الأول'!$C$7),COUNT(U$4:U1634)+1,"")</f>
        <v/>
      </c>
      <c r="V1635">
        <f>IF(AND($A1635&lt;&gt;"",$B1635&lt;&gt;"",$R1635='تقرير الفصل الثاني'!$C$4,$Q1635='تقرير الفصل الثاني'!$C$7),COUNT(V$4:V1634)+1,"")</f>
        <v/>
      </c>
      <c r="W1635">
        <f>IF(AND($A1635&lt;&gt;"",$B1635&lt;&gt;"",$R1635='تقرير سبتمبر'!$C$4,$P1635='تقرير سبتمبر'!$C$6),COUNT(W$4:W1634)+1,"")</f>
        <v/>
      </c>
      <c r="X1635">
        <f>IF(AND($A1635&lt;&gt;"",$B1635&lt;&gt;"",$R1635='تقرير أكتوبر'!$C$4,$P1635='تقرير أكتوبر'!$C$6),COUNT(X$4:X1634)+1,"")</f>
        <v/>
      </c>
      <c r="Y1635">
        <f>IF(AND($A1635&lt;&gt;"",$B1635&lt;&gt;"",$R1635='تقرير نوفمبر'!$C$4,$P1635='تقرير نوفمبر'!$C$6),COUNT(Y$4:Y1634)+1,"")</f>
        <v/>
      </c>
      <c r="Z1635">
        <f>IF(AND($A1635&lt;&gt;"",$B1635&lt;&gt;"",$R1635='تقرير ديسمبر'!$C$4,$P1635='تقرير ديسمبر'!$C$6),COUNT(Z$4:Z1634)+1,"")</f>
        <v/>
      </c>
      <c r="AA1635">
        <f>IF(AND($A1635&lt;&gt;"",$B1635&lt;&gt;"",$R1635='تقرير يناير'!$C$4,$P1635='تقرير يناير'!$C$6),COUNT(AA$4:AA1634)+1,"")</f>
        <v/>
      </c>
      <c r="AB1635">
        <f>IF(AND($A1635&lt;&gt;"",$B1635&lt;&gt;"",$R1635='تقرير فبراير'!$C$4,$P1635='تقرير فبراير'!$C$6),COUNT(AB$4:AB1634)+1,"")</f>
        <v/>
      </c>
      <c r="AC1635">
        <f>IF(AND($A1635&lt;&gt;"",$B1635&lt;&gt;"",$R1635='تقرير مارس'!$C$4,$P1635='تقرير مارس'!$C$6),COUNT(AC$4:AC1634)+1,"")</f>
        <v/>
      </c>
      <c r="AD1635">
        <f>IF(AND($A1635&lt;&gt;"",$B1635&lt;&gt;"",$R1635='تقرير أبريل'!$C$4,$P1635='تقرير أبريل'!$C$6),COUNT(AD$4:AD1634)+1,"")</f>
        <v/>
      </c>
      <c r="AE1635">
        <f>IF(AND($A1635&lt;&gt;"",$B1635&lt;&gt;"",$R1635='تقرير مايو'!$C$4,$P1635='تقرير مايو'!$C$6),COUNT(AE$4:AE1634)+1,"")</f>
        <v/>
      </c>
    </row>
    <row r="1636">
      <c r="A1636" s="16" t="n"/>
      <c r="B1636" s="17" t="n"/>
      <c r="C1636" s="17" t="n"/>
      <c r="D1636" s="18" t="n"/>
      <c r="E1636" s="17" t="n"/>
      <c r="F1636" s="17" t="n"/>
      <c r="G1636" s="19" t="n"/>
      <c r="H1636" s="17" t="n"/>
      <c r="I1636" s="17" t="n"/>
      <c r="J1636" s="17" t="n"/>
      <c r="K1636" s="20">
        <f>IF($B1636="","",IFERROR(INDEX(الموظفات!$A$5:$A$304,MATCH($B1636,الموظفات!$B$5:$B$304,0))&amp;"",""))</f>
        <v/>
      </c>
      <c r="L1636" s="21">
        <f>IF($B1636="","",IFERROR(INDEX(الموظفات!$C$5:$C$304,MATCH($B1636,الموظفات!$B$5:$B$304,0))&amp;"",""))</f>
        <v/>
      </c>
      <c r="M1636" s="20">
        <f>IF($B1636="","",IFERROR(INDEX(الموظفات!$D$5:$D$304,MATCH($B1636,الموظفات!$B$5:$B$304,0))&amp;"",""))</f>
        <v/>
      </c>
      <c r="N1636" s="20">
        <f>IF($B1636="","",IFERROR(INDEX(الموظفات!$E$5:$E$304,MATCH($B1636,الموظفات!$B$5:$B$304,0))&amp;"",""))</f>
        <v/>
      </c>
      <c r="O1636" s="21">
        <f>IF(C1636="","",IFERROR(INDEX(الإعدادات!$D$7:$D$35,MATCH(C1636,الإعدادات!$A$7:$A$35,0))&amp;"",""))</f>
        <v/>
      </c>
      <c r="P1636" s="20">
        <f>IF(A1636="","",INDEX(الإعدادات!$H$7:$H$18,MONTH(A1636)))</f>
        <v/>
      </c>
      <c r="Q1636" s="20">
        <f>IF(A1636="","",INDEX(الإعدادات!$I$7:$I$18,MONTH(A1636)))</f>
        <v/>
      </c>
      <c r="R1636" s="20">
        <f>IF(A1636="","",IF(MONTH(A1636)&gt;=8,YEAR(A1636)&amp;"-"&amp;(YEAR(A1636)+1),(YEAR(A1636)-1)&amp;"-"&amp;YEAR(A1636)))</f>
        <v/>
      </c>
      <c r="S1636" s="20">
        <f>IF(OR(A1636="",B1636=""),0,IF(AND(R1636=التقارير!$C$4,OR(التقارير!$C$5="سنوي",AND(التقارير!$C$5="شهري",P1636=التقارير!$C$6),AND(التقارير!$C$5="فصلي",Q1636=التقارير!$C$7))),1,0))</f>
        <v/>
      </c>
      <c r="T1636" s="20">
        <f>IF(S1636=1,COUNTIF($S$5:S1636,1),"")</f>
        <v/>
      </c>
      <c r="U1636">
        <f>IF(AND($A1636&lt;&gt;"",$B1636&lt;&gt;"",$R1636='تقرير الفصل الأول'!$C$4,$Q1636='تقرير الفصل الأول'!$C$7),COUNT(U$4:U1635)+1,"")</f>
        <v/>
      </c>
      <c r="V1636">
        <f>IF(AND($A1636&lt;&gt;"",$B1636&lt;&gt;"",$R1636='تقرير الفصل الثاني'!$C$4,$Q1636='تقرير الفصل الثاني'!$C$7),COUNT(V$4:V1635)+1,"")</f>
        <v/>
      </c>
      <c r="W1636">
        <f>IF(AND($A1636&lt;&gt;"",$B1636&lt;&gt;"",$R1636='تقرير سبتمبر'!$C$4,$P1636='تقرير سبتمبر'!$C$6),COUNT(W$4:W1635)+1,"")</f>
        <v/>
      </c>
      <c r="X1636">
        <f>IF(AND($A1636&lt;&gt;"",$B1636&lt;&gt;"",$R1636='تقرير أكتوبر'!$C$4,$P1636='تقرير أكتوبر'!$C$6),COUNT(X$4:X1635)+1,"")</f>
        <v/>
      </c>
      <c r="Y1636">
        <f>IF(AND($A1636&lt;&gt;"",$B1636&lt;&gt;"",$R1636='تقرير نوفمبر'!$C$4,$P1636='تقرير نوفمبر'!$C$6),COUNT(Y$4:Y1635)+1,"")</f>
        <v/>
      </c>
      <c r="Z1636">
        <f>IF(AND($A1636&lt;&gt;"",$B1636&lt;&gt;"",$R1636='تقرير ديسمبر'!$C$4,$P1636='تقرير ديسمبر'!$C$6),COUNT(Z$4:Z1635)+1,"")</f>
        <v/>
      </c>
      <c r="AA1636">
        <f>IF(AND($A1636&lt;&gt;"",$B1636&lt;&gt;"",$R1636='تقرير يناير'!$C$4,$P1636='تقرير يناير'!$C$6),COUNT(AA$4:AA1635)+1,"")</f>
        <v/>
      </c>
      <c r="AB1636">
        <f>IF(AND($A1636&lt;&gt;"",$B1636&lt;&gt;"",$R1636='تقرير فبراير'!$C$4,$P1636='تقرير فبراير'!$C$6),COUNT(AB$4:AB1635)+1,"")</f>
        <v/>
      </c>
      <c r="AC1636">
        <f>IF(AND($A1636&lt;&gt;"",$B1636&lt;&gt;"",$R1636='تقرير مارس'!$C$4,$P1636='تقرير مارس'!$C$6),COUNT(AC$4:AC1635)+1,"")</f>
        <v/>
      </c>
      <c r="AD1636">
        <f>IF(AND($A1636&lt;&gt;"",$B1636&lt;&gt;"",$R1636='تقرير أبريل'!$C$4,$P1636='تقرير أبريل'!$C$6),COUNT(AD$4:AD1635)+1,"")</f>
        <v/>
      </c>
      <c r="AE1636">
        <f>IF(AND($A1636&lt;&gt;"",$B1636&lt;&gt;"",$R1636='تقرير مايو'!$C$4,$P1636='تقرير مايو'!$C$6),COUNT(AE$4:AE1635)+1,"")</f>
        <v/>
      </c>
    </row>
    <row r="1637">
      <c r="A1637" s="16" t="n"/>
      <c r="B1637" s="17" t="n"/>
      <c r="C1637" s="17" t="n"/>
      <c r="D1637" s="18" t="n"/>
      <c r="E1637" s="17" t="n"/>
      <c r="F1637" s="17" t="n"/>
      <c r="G1637" s="19" t="n"/>
      <c r="H1637" s="17" t="n"/>
      <c r="I1637" s="17" t="n"/>
      <c r="J1637" s="17" t="n"/>
      <c r="K1637" s="20">
        <f>IF($B1637="","",IFERROR(INDEX(الموظفات!$A$5:$A$304,MATCH($B1637,الموظفات!$B$5:$B$304,0))&amp;"",""))</f>
        <v/>
      </c>
      <c r="L1637" s="21">
        <f>IF($B1637="","",IFERROR(INDEX(الموظفات!$C$5:$C$304,MATCH($B1637,الموظفات!$B$5:$B$304,0))&amp;"",""))</f>
        <v/>
      </c>
      <c r="M1637" s="20">
        <f>IF($B1637="","",IFERROR(INDEX(الموظفات!$D$5:$D$304,MATCH($B1637,الموظفات!$B$5:$B$304,0))&amp;"",""))</f>
        <v/>
      </c>
      <c r="N1637" s="20">
        <f>IF($B1637="","",IFERROR(INDEX(الموظفات!$E$5:$E$304,MATCH($B1637,الموظفات!$B$5:$B$304,0))&amp;"",""))</f>
        <v/>
      </c>
      <c r="O1637" s="21">
        <f>IF(C1637="","",IFERROR(INDEX(الإعدادات!$D$7:$D$35,MATCH(C1637,الإعدادات!$A$7:$A$35,0))&amp;"",""))</f>
        <v/>
      </c>
      <c r="P1637" s="20">
        <f>IF(A1637="","",INDEX(الإعدادات!$H$7:$H$18,MONTH(A1637)))</f>
        <v/>
      </c>
      <c r="Q1637" s="20">
        <f>IF(A1637="","",INDEX(الإعدادات!$I$7:$I$18,MONTH(A1637)))</f>
        <v/>
      </c>
      <c r="R1637" s="20">
        <f>IF(A1637="","",IF(MONTH(A1637)&gt;=8,YEAR(A1637)&amp;"-"&amp;(YEAR(A1637)+1),(YEAR(A1637)-1)&amp;"-"&amp;YEAR(A1637)))</f>
        <v/>
      </c>
      <c r="S1637" s="20">
        <f>IF(OR(A1637="",B1637=""),0,IF(AND(R1637=التقارير!$C$4,OR(التقارير!$C$5="سنوي",AND(التقارير!$C$5="شهري",P1637=التقارير!$C$6),AND(التقارير!$C$5="فصلي",Q1637=التقارير!$C$7))),1,0))</f>
        <v/>
      </c>
      <c r="T1637" s="20">
        <f>IF(S1637=1,COUNTIF($S$5:S1637,1),"")</f>
        <v/>
      </c>
      <c r="U1637">
        <f>IF(AND($A1637&lt;&gt;"",$B1637&lt;&gt;"",$R1637='تقرير الفصل الأول'!$C$4,$Q1637='تقرير الفصل الأول'!$C$7),COUNT(U$4:U1636)+1,"")</f>
        <v/>
      </c>
      <c r="V1637">
        <f>IF(AND($A1637&lt;&gt;"",$B1637&lt;&gt;"",$R1637='تقرير الفصل الثاني'!$C$4,$Q1637='تقرير الفصل الثاني'!$C$7),COUNT(V$4:V1636)+1,"")</f>
        <v/>
      </c>
      <c r="W1637">
        <f>IF(AND($A1637&lt;&gt;"",$B1637&lt;&gt;"",$R1637='تقرير سبتمبر'!$C$4,$P1637='تقرير سبتمبر'!$C$6),COUNT(W$4:W1636)+1,"")</f>
        <v/>
      </c>
      <c r="X1637">
        <f>IF(AND($A1637&lt;&gt;"",$B1637&lt;&gt;"",$R1637='تقرير أكتوبر'!$C$4,$P1637='تقرير أكتوبر'!$C$6),COUNT(X$4:X1636)+1,"")</f>
        <v/>
      </c>
      <c r="Y1637">
        <f>IF(AND($A1637&lt;&gt;"",$B1637&lt;&gt;"",$R1637='تقرير نوفمبر'!$C$4,$P1637='تقرير نوفمبر'!$C$6),COUNT(Y$4:Y1636)+1,"")</f>
        <v/>
      </c>
      <c r="Z1637">
        <f>IF(AND($A1637&lt;&gt;"",$B1637&lt;&gt;"",$R1637='تقرير ديسمبر'!$C$4,$P1637='تقرير ديسمبر'!$C$6),COUNT(Z$4:Z1636)+1,"")</f>
        <v/>
      </c>
      <c r="AA1637">
        <f>IF(AND($A1637&lt;&gt;"",$B1637&lt;&gt;"",$R1637='تقرير يناير'!$C$4,$P1637='تقرير يناير'!$C$6),COUNT(AA$4:AA1636)+1,"")</f>
        <v/>
      </c>
      <c r="AB1637">
        <f>IF(AND($A1637&lt;&gt;"",$B1637&lt;&gt;"",$R1637='تقرير فبراير'!$C$4,$P1637='تقرير فبراير'!$C$6),COUNT(AB$4:AB1636)+1,"")</f>
        <v/>
      </c>
      <c r="AC1637">
        <f>IF(AND($A1637&lt;&gt;"",$B1637&lt;&gt;"",$R1637='تقرير مارس'!$C$4,$P1637='تقرير مارس'!$C$6),COUNT(AC$4:AC1636)+1,"")</f>
        <v/>
      </c>
      <c r="AD1637">
        <f>IF(AND($A1637&lt;&gt;"",$B1637&lt;&gt;"",$R1637='تقرير أبريل'!$C$4,$P1637='تقرير أبريل'!$C$6),COUNT(AD$4:AD1636)+1,"")</f>
        <v/>
      </c>
      <c r="AE1637">
        <f>IF(AND($A1637&lt;&gt;"",$B1637&lt;&gt;"",$R1637='تقرير مايو'!$C$4,$P1637='تقرير مايو'!$C$6),COUNT(AE$4:AE1636)+1,"")</f>
        <v/>
      </c>
    </row>
    <row r="1638">
      <c r="A1638" s="16" t="n"/>
      <c r="B1638" s="17" t="n"/>
      <c r="C1638" s="17" t="n"/>
      <c r="D1638" s="18" t="n"/>
      <c r="E1638" s="17" t="n"/>
      <c r="F1638" s="17" t="n"/>
      <c r="G1638" s="19" t="n"/>
      <c r="H1638" s="17" t="n"/>
      <c r="I1638" s="17" t="n"/>
      <c r="J1638" s="17" t="n"/>
      <c r="K1638" s="20">
        <f>IF($B1638="","",IFERROR(INDEX(الموظفات!$A$5:$A$304,MATCH($B1638,الموظفات!$B$5:$B$304,0))&amp;"",""))</f>
        <v/>
      </c>
      <c r="L1638" s="21">
        <f>IF($B1638="","",IFERROR(INDEX(الموظفات!$C$5:$C$304,MATCH($B1638,الموظفات!$B$5:$B$304,0))&amp;"",""))</f>
        <v/>
      </c>
      <c r="M1638" s="20">
        <f>IF($B1638="","",IFERROR(INDEX(الموظفات!$D$5:$D$304,MATCH($B1638,الموظفات!$B$5:$B$304,0))&amp;"",""))</f>
        <v/>
      </c>
      <c r="N1638" s="20">
        <f>IF($B1638="","",IFERROR(INDEX(الموظفات!$E$5:$E$304,MATCH($B1638,الموظفات!$B$5:$B$304,0))&amp;"",""))</f>
        <v/>
      </c>
      <c r="O1638" s="21">
        <f>IF(C1638="","",IFERROR(INDEX(الإعدادات!$D$7:$D$35,MATCH(C1638,الإعدادات!$A$7:$A$35,0))&amp;"",""))</f>
        <v/>
      </c>
      <c r="P1638" s="20">
        <f>IF(A1638="","",INDEX(الإعدادات!$H$7:$H$18,MONTH(A1638)))</f>
        <v/>
      </c>
      <c r="Q1638" s="20">
        <f>IF(A1638="","",INDEX(الإعدادات!$I$7:$I$18,MONTH(A1638)))</f>
        <v/>
      </c>
      <c r="R1638" s="20">
        <f>IF(A1638="","",IF(MONTH(A1638)&gt;=8,YEAR(A1638)&amp;"-"&amp;(YEAR(A1638)+1),(YEAR(A1638)-1)&amp;"-"&amp;YEAR(A1638)))</f>
        <v/>
      </c>
      <c r="S1638" s="20">
        <f>IF(OR(A1638="",B1638=""),0,IF(AND(R1638=التقارير!$C$4,OR(التقارير!$C$5="سنوي",AND(التقارير!$C$5="شهري",P1638=التقارير!$C$6),AND(التقارير!$C$5="فصلي",Q1638=التقارير!$C$7))),1,0))</f>
        <v/>
      </c>
      <c r="T1638" s="20">
        <f>IF(S1638=1,COUNTIF($S$5:S1638,1),"")</f>
        <v/>
      </c>
      <c r="U1638">
        <f>IF(AND($A1638&lt;&gt;"",$B1638&lt;&gt;"",$R1638='تقرير الفصل الأول'!$C$4,$Q1638='تقرير الفصل الأول'!$C$7),COUNT(U$4:U1637)+1,"")</f>
        <v/>
      </c>
      <c r="V1638">
        <f>IF(AND($A1638&lt;&gt;"",$B1638&lt;&gt;"",$R1638='تقرير الفصل الثاني'!$C$4,$Q1638='تقرير الفصل الثاني'!$C$7),COUNT(V$4:V1637)+1,"")</f>
        <v/>
      </c>
      <c r="W1638">
        <f>IF(AND($A1638&lt;&gt;"",$B1638&lt;&gt;"",$R1638='تقرير سبتمبر'!$C$4,$P1638='تقرير سبتمبر'!$C$6),COUNT(W$4:W1637)+1,"")</f>
        <v/>
      </c>
      <c r="X1638">
        <f>IF(AND($A1638&lt;&gt;"",$B1638&lt;&gt;"",$R1638='تقرير أكتوبر'!$C$4,$P1638='تقرير أكتوبر'!$C$6),COUNT(X$4:X1637)+1,"")</f>
        <v/>
      </c>
      <c r="Y1638">
        <f>IF(AND($A1638&lt;&gt;"",$B1638&lt;&gt;"",$R1638='تقرير نوفمبر'!$C$4,$P1638='تقرير نوفمبر'!$C$6),COUNT(Y$4:Y1637)+1,"")</f>
        <v/>
      </c>
      <c r="Z1638">
        <f>IF(AND($A1638&lt;&gt;"",$B1638&lt;&gt;"",$R1638='تقرير ديسمبر'!$C$4,$P1638='تقرير ديسمبر'!$C$6),COUNT(Z$4:Z1637)+1,"")</f>
        <v/>
      </c>
      <c r="AA1638">
        <f>IF(AND($A1638&lt;&gt;"",$B1638&lt;&gt;"",$R1638='تقرير يناير'!$C$4,$P1638='تقرير يناير'!$C$6),COUNT(AA$4:AA1637)+1,"")</f>
        <v/>
      </c>
      <c r="AB1638">
        <f>IF(AND($A1638&lt;&gt;"",$B1638&lt;&gt;"",$R1638='تقرير فبراير'!$C$4,$P1638='تقرير فبراير'!$C$6),COUNT(AB$4:AB1637)+1,"")</f>
        <v/>
      </c>
      <c r="AC1638">
        <f>IF(AND($A1638&lt;&gt;"",$B1638&lt;&gt;"",$R1638='تقرير مارس'!$C$4,$P1638='تقرير مارس'!$C$6),COUNT(AC$4:AC1637)+1,"")</f>
        <v/>
      </c>
      <c r="AD1638">
        <f>IF(AND($A1638&lt;&gt;"",$B1638&lt;&gt;"",$R1638='تقرير أبريل'!$C$4,$P1638='تقرير أبريل'!$C$6),COUNT(AD$4:AD1637)+1,"")</f>
        <v/>
      </c>
      <c r="AE1638">
        <f>IF(AND($A1638&lt;&gt;"",$B1638&lt;&gt;"",$R1638='تقرير مايو'!$C$4,$P1638='تقرير مايو'!$C$6),COUNT(AE$4:AE1637)+1,"")</f>
        <v/>
      </c>
    </row>
    <row r="1639">
      <c r="A1639" s="16" t="n"/>
      <c r="B1639" s="17" t="n"/>
      <c r="C1639" s="17" t="n"/>
      <c r="D1639" s="18" t="n"/>
      <c r="E1639" s="17" t="n"/>
      <c r="F1639" s="17" t="n"/>
      <c r="G1639" s="19" t="n"/>
      <c r="H1639" s="17" t="n"/>
      <c r="I1639" s="17" t="n"/>
      <c r="J1639" s="17" t="n"/>
      <c r="K1639" s="20">
        <f>IF($B1639="","",IFERROR(INDEX(الموظفات!$A$5:$A$304,MATCH($B1639,الموظفات!$B$5:$B$304,0))&amp;"",""))</f>
        <v/>
      </c>
      <c r="L1639" s="21">
        <f>IF($B1639="","",IFERROR(INDEX(الموظفات!$C$5:$C$304,MATCH($B1639,الموظفات!$B$5:$B$304,0))&amp;"",""))</f>
        <v/>
      </c>
      <c r="M1639" s="20">
        <f>IF($B1639="","",IFERROR(INDEX(الموظفات!$D$5:$D$304,MATCH($B1639,الموظفات!$B$5:$B$304,0))&amp;"",""))</f>
        <v/>
      </c>
      <c r="N1639" s="20">
        <f>IF($B1639="","",IFERROR(INDEX(الموظفات!$E$5:$E$304,MATCH($B1639,الموظفات!$B$5:$B$304,0))&amp;"",""))</f>
        <v/>
      </c>
      <c r="O1639" s="21">
        <f>IF(C1639="","",IFERROR(INDEX(الإعدادات!$D$7:$D$35,MATCH(C1639,الإعدادات!$A$7:$A$35,0))&amp;"",""))</f>
        <v/>
      </c>
      <c r="P1639" s="20">
        <f>IF(A1639="","",INDEX(الإعدادات!$H$7:$H$18,MONTH(A1639)))</f>
        <v/>
      </c>
      <c r="Q1639" s="20">
        <f>IF(A1639="","",INDEX(الإعدادات!$I$7:$I$18,MONTH(A1639)))</f>
        <v/>
      </c>
      <c r="R1639" s="20">
        <f>IF(A1639="","",IF(MONTH(A1639)&gt;=8,YEAR(A1639)&amp;"-"&amp;(YEAR(A1639)+1),(YEAR(A1639)-1)&amp;"-"&amp;YEAR(A1639)))</f>
        <v/>
      </c>
      <c r="S1639" s="20">
        <f>IF(OR(A1639="",B1639=""),0,IF(AND(R1639=التقارير!$C$4,OR(التقارير!$C$5="سنوي",AND(التقارير!$C$5="شهري",P1639=التقارير!$C$6),AND(التقارير!$C$5="فصلي",Q1639=التقارير!$C$7))),1,0))</f>
        <v/>
      </c>
      <c r="T1639" s="20">
        <f>IF(S1639=1,COUNTIF($S$5:S1639,1),"")</f>
        <v/>
      </c>
      <c r="U1639">
        <f>IF(AND($A1639&lt;&gt;"",$B1639&lt;&gt;"",$R1639='تقرير الفصل الأول'!$C$4,$Q1639='تقرير الفصل الأول'!$C$7),COUNT(U$4:U1638)+1,"")</f>
        <v/>
      </c>
      <c r="V1639">
        <f>IF(AND($A1639&lt;&gt;"",$B1639&lt;&gt;"",$R1639='تقرير الفصل الثاني'!$C$4,$Q1639='تقرير الفصل الثاني'!$C$7),COUNT(V$4:V1638)+1,"")</f>
        <v/>
      </c>
      <c r="W1639">
        <f>IF(AND($A1639&lt;&gt;"",$B1639&lt;&gt;"",$R1639='تقرير سبتمبر'!$C$4,$P1639='تقرير سبتمبر'!$C$6),COUNT(W$4:W1638)+1,"")</f>
        <v/>
      </c>
      <c r="X1639">
        <f>IF(AND($A1639&lt;&gt;"",$B1639&lt;&gt;"",$R1639='تقرير أكتوبر'!$C$4,$P1639='تقرير أكتوبر'!$C$6),COUNT(X$4:X1638)+1,"")</f>
        <v/>
      </c>
      <c r="Y1639">
        <f>IF(AND($A1639&lt;&gt;"",$B1639&lt;&gt;"",$R1639='تقرير نوفمبر'!$C$4,$P1639='تقرير نوفمبر'!$C$6),COUNT(Y$4:Y1638)+1,"")</f>
        <v/>
      </c>
      <c r="Z1639">
        <f>IF(AND($A1639&lt;&gt;"",$B1639&lt;&gt;"",$R1639='تقرير ديسمبر'!$C$4,$P1639='تقرير ديسمبر'!$C$6),COUNT(Z$4:Z1638)+1,"")</f>
        <v/>
      </c>
      <c r="AA1639">
        <f>IF(AND($A1639&lt;&gt;"",$B1639&lt;&gt;"",$R1639='تقرير يناير'!$C$4,$P1639='تقرير يناير'!$C$6),COUNT(AA$4:AA1638)+1,"")</f>
        <v/>
      </c>
      <c r="AB1639">
        <f>IF(AND($A1639&lt;&gt;"",$B1639&lt;&gt;"",$R1639='تقرير فبراير'!$C$4,$P1639='تقرير فبراير'!$C$6),COUNT(AB$4:AB1638)+1,"")</f>
        <v/>
      </c>
      <c r="AC1639">
        <f>IF(AND($A1639&lt;&gt;"",$B1639&lt;&gt;"",$R1639='تقرير مارس'!$C$4,$P1639='تقرير مارس'!$C$6),COUNT(AC$4:AC1638)+1,"")</f>
        <v/>
      </c>
      <c r="AD1639">
        <f>IF(AND($A1639&lt;&gt;"",$B1639&lt;&gt;"",$R1639='تقرير أبريل'!$C$4,$P1639='تقرير أبريل'!$C$6),COUNT(AD$4:AD1638)+1,"")</f>
        <v/>
      </c>
      <c r="AE1639">
        <f>IF(AND($A1639&lt;&gt;"",$B1639&lt;&gt;"",$R1639='تقرير مايو'!$C$4,$P1639='تقرير مايو'!$C$6),COUNT(AE$4:AE1638)+1,"")</f>
        <v/>
      </c>
    </row>
    <row r="1640">
      <c r="A1640" s="16" t="n"/>
      <c r="B1640" s="17" t="n"/>
      <c r="C1640" s="17" t="n"/>
      <c r="D1640" s="18" t="n"/>
      <c r="E1640" s="17" t="n"/>
      <c r="F1640" s="17" t="n"/>
      <c r="G1640" s="19" t="n"/>
      <c r="H1640" s="17" t="n"/>
      <c r="I1640" s="17" t="n"/>
      <c r="J1640" s="17" t="n"/>
      <c r="K1640" s="20">
        <f>IF($B1640="","",IFERROR(INDEX(الموظفات!$A$5:$A$304,MATCH($B1640,الموظفات!$B$5:$B$304,0))&amp;"",""))</f>
        <v/>
      </c>
      <c r="L1640" s="21">
        <f>IF($B1640="","",IFERROR(INDEX(الموظفات!$C$5:$C$304,MATCH($B1640,الموظفات!$B$5:$B$304,0))&amp;"",""))</f>
        <v/>
      </c>
      <c r="M1640" s="20">
        <f>IF($B1640="","",IFERROR(INDEX(الموظفات!$D$5:$D$304,MATCH($B1640,الموظفات!$B$5:$B$304,0))&amp;"",""))</f>
        <v/>
      </c>
      <c r="N1640" s="20">
        <f>IF($B1640="","",IFERROR(INDEX(الموظفات!$E$5:$E$304,MATCH($B1640,الموظفات!$B$5:$B$304,0))&amp;"",""))</f>
        <v/>
      </c>
      <c r="O1640" s="21">
        <f>IF(C1640="","",IFERROR(INDEX(الإعدادات!$D$7:$D$35,MATCH(C1640,الإعدادات!$A$7:$A$35,0))&amp;"",""))</f>
        <v/>
      </c>
      <c r="P1640" s="20">
        <f>IF(A1640="","",INDEX(الإعدادات!$H$7:$H$18,MONTH(A1640)))</f>
        <v/>
      </c>
      <c r="Q1640" s="20">
        <f>IF(A1640="","",INDEX(الإعدادات!$I$7:$I$18,MONTH(A1640)))</f>
        <v/>
      </c>
      <c r="R1640" s="20">
        <f>IF(A1640="","",IF(MONTH(A1640)&gt;=8,YEAR(A1640)&amp;"-"&amp;(YEAR(A1640)+1),(YEAR(A1640)-1)&amp;"-"&amp;YEAR(A1640)))</f>
        <v/>
      </c>
      <c r="S1640" s="20">
        <f>IF(OR(A1640="",B1640=""),0,IF(AND(R1640=التقارير!$C$4,OR(التقارير!$C$5="سنوي",AND(التقارير!$C$5="شهري",P1640=التقارير!$C$6),AND(التقارير!$C$5="فصلي",Q1640=التقارير!$C$7))),1,0))</f>
        <v/>
      </c>
      <c r="T1640" s="20">
        <f>IF(S1640=1,COUNTIF($S$5:S1640,1),"")</f>
        <v/>
      </c>
      <c r="U1640">
        <f>IF(AND($A1640&lt;&gt;"",$B1640&lt;&gt;"",$R1640='تقرير الفصل الأول'!$C$4,$Q1640='تقرير الفصل الأول'!$C$7),COUNT(U$4:U1639)+1,"")</f>
        <v/>
      </c>
      <c r="V1640">
        <f>IF(AND($A1640&lt;&gt;"",$B1640&lt;&gt;"",$R1640='تقرير الفصل الثاني'!$C$4,$Q1640='تقرير الفصل الثاني'!$C$7),COUNT(V$4:V1639)+1,"")</f>
        <v/>
      </c>
      <c r="W1640">
        <f>IF(AND($A1640&lt;&gt;"",$B1640&lt;&gt;"",$R1640='تقرير سبتمبر'!$C$4,$P1640='تقرير سبتمبر'!$C$6),COUNT(W$4:W1639)+1,"")</f>
        <v/>
      </c>
      <c r="X1640">
        <f>IF(AND($A1640&lt;&gt;"",$B1640&lt;&gt;"",$R1640='تقرير أكتوبر'!$C$4,$P1640='تقرير أكتوبر'!$C$6),COUNT(X$4:X1639)+1,"")</f>
        <v/>
      </c>
      <c r="Y1640">
        <f>IF(AND($A1640&lt;&gt;"",$B1640&lt;&gt;"",$R1640='تقرير نوفمبر'!$C$4,$P1640='تقرير نوفمبر'!$C$6),COUNT(Y$4:Y1639)+1,"")</f>
        <v/>
      </c>
      <c r="Z1640">
        <f>IF(AND($A1640&lt;&gt;"",$B1640&lt;&gt;"",$R1640='تقرير ديسمبر'!$C$4,$P1640='تقرير ديسمبر'!$C$6),COUNT(Z$4:Z1639)+1,"")</f>
        <v/>
      </c>
      <c r="AA1640">
        <f>IF(AND($A1640&lt;&gt;"",$B1640&lt;&gt;"",$R1640='تقرير يناير'!$C$4,$P1640='تقرير يناير'!$C$6),COUNT(AA$4:AA1639)+1,"")</f>
        <v/>
      </c>
      <c r="AB1640">
        <f>IF(AND($A1640&lt;&gt;"",$B1640&lt;&gt;"",$R1640='تقرير فبراير'!$C$4,$P1640='تقرير فبراير'!$C$6),COUNT(AB$4:AB1639)+1,"")</f>
        <v/>
      </c>
      <c r="AC1640">
        <f>IF(AND($A1640&lt;&gt;"",$B1640&lt;&gt;"",$R1640='تقرير مارس'!$C$4,$P1640='تقرير مارس'!$C$6),COUNT(AC$4:AC1639)+1,"")</f>
        <v/>
      </c>
      <c r="AD1640">
        <f>IF(AND($A1640&lt;&gt;"",$B1640&lt;&gt;"",$R1640='تقرير أبريل'!$C$4,$P1640='تقرير أبريل'!$C$6),COUNT(AD$4:AD1639)+1,"")</f>
        <v/>
      </c>
      <c r="AE1640">
        <f>IF(AND($A1640&lt;&gt;"",$B1640&lt;&gt;"",$R1640='تقرير مايو'!$C$4,$P1640='تقرير مايو'!$C$6),COUNT(AE$4:AE1639)+1,"")</f>
        <v/>
      </c>
    </row>
    <row r="1641">
      <c r="A1641" s="16" t="n"/>
      <c r="B1641" s="17" t="n"/>
      <c r="C1641" s="17" t="n"/>
      <c r="D1641" s="18" t="n"/>
      <c r="E1641" s="17" t="n"/>
      <c r="F1641" s="17" t="n"/>
      <c r="G1641" s="19" t="n"/>
      <c r="H1641" s="17" t="n"/>
      <c r="I1641" s="17" t="n"/>
      <c r="J1641" s="17" t="n"/>
      <c r="K1641" s="20">
        <f>IF($B1641="","",IFERROR(INDEX(الموظفات!$A$5:$A$304,MATCH($B1641,الموظفات!$B$5:$B$304,0))&amp;"",""))</f>
        <v/>
      </c>
      <c r="L1641" s="21">
        <f>IF($B1641="","",IFERROR(INDEX(الموظفات!$C$5:$C$304,MATCH($B1641,الموظفات!$B$5:$B$304,0))&amp;"",""))</f>
        <v/>
      </c>
      <c r="M1641" s="20">
        <f>IF($B1641="","",IFERROR(INDEX(الموظفات!$D$5:$D$304,MATCH($B1641,الموظفات!$B$5:$B$304,0))&amp;"",""))</f>
        <v/>
      </c>
      <c r="N1641" s="20">
        <f>IF($B1641="","",IFERROR(INDEX(الموظفات!$E$5:$E$304,MATCH($B1641,الموظفات!$B$5:$B$304,0))&amp;"",""))</f>
        <v/>
      </c>
      <c r="O1641" s="21">
        <f>IF(C1641="","",IFERROR(INDEX(الإعدادات!$D$7:$D$35,MATCH(C1641,الإعدادات!$A$7:$A$35,0))&amp;"",""))</f>
        <v/>
      </c>
      <c r="P1641" s="20">
        <f>IF(A1641="","",INDEX(الإعدادات!$H$7:$H$18,MONTH(A1641)))</f>
        <v/>
      </c>
      <c r="Q1641" s="20">
        <f>IF(A1641="","",INDEX(الإعدادات!$I$7:$I$18,MONTH(A1641)))</f>
        <v/>
      </c>
      <c r="R1641" s="20">
        <f>IF(A1641="","",IF(MONTH(A1641)&gt;=8,YEAR(A1641)&amp;"-"&amp;(YEAR(A1641)+1),(YEAR(A1641)-1)&amp;"-"&amp;YEAR(A1641)))</f>
        <v/>
      </c>
      <c r="S1641" s="20">
        <f>IF(OR(A1641="",B1641=""),0,IF(AND(R1641=التقارير!$C$4,OR(التقارير!$C$5="سنوي",AND(التقارير!$C$5="شهري",P1641=التقارير!$C$6),AND(التقارير!$C$5="فصلي",Q1641=التقارير!$C$7))),1,0))</f>
        <v/>
      </c>
      <c r="T1641" s="20">
        <f>IF(S1641=1,COUNTIF($S$5:S1641,1),"")</f>
        <v/>
      </c>
      <c r="U1641">
        <f>IF(AND($A1641&lt;&gt;"",$B1641&lt;&gt;"",$R1641='تقرير الفصل الأول'!$C$4,$Q1641='تقرير الفصل الأول'!$C$7),COUNT(U$4:U1640)+1,"")</f>
        <v/>
      </c>
      <c r="V1641">
        <f>IF(AND($A1641&lt;&gt;"",$B1641&lt;&gt;"",$R1641='تقرير الفصل الثاني'!$C$4,$Q1641='تقرير الفصل الثاني'!$C$7),COUNT(V$4:V1640)+1,"")</f>
        <v/>
      </c>
      <c r="W1641">
        <f>IF(AND($A1641&lt;&gt;"",$B1641&lt;&gt;"",$R1641='تقرير سبتمبر'!$C$4,$P1641='تقرير سبتمبر'!$C$6),COUNT(W$4:W1640)+1,"")</f>
        <v/>
      </c>
      <c r="X1641">
        <f>IF(AND($A1641&lt;&gt;"",$B1641&lt;&gt;"",$R1641='تقرير أكتوبر'!$C$4,$P1641='تقرير أكتوبر'!$C$6),COUNT(X$4:X1640)+1,"")</f>
        <v/>
      </c>
      <c r="Y1641">
        <f>IF(AND($A1641&lt;&gt;"",$B1641&lt;&gt;"",$R1641='تقرير نوفمبر'!$C$4,$P1641='تقرير نوفمبر'!$C$6),COUNT(Y$4:Y1640)+1,"")</f>
        <v/>
      </c>
      <c r="Z1641">
        <f>IF(AND($A1641&lt;&gt;"",$B1641&lt;&gt;"",$R1641='تقرير ديسمبر'!$C$4,$P1641='تقرير ديسمبر'!$C$6),COUNT(Z$4:Z1640)+1,"")</f>
        <v/>
      </c>
      <c r="AA1641">
        <f>IF(AND($A1641&lt;&gt;"",$B1641&lt;&gt;"",$R1641='تقرير يناير'!$C$4,$P1641='تقرير يناير'!$C$6),COUNT(AA$4:AA1640)+1,"")</f>
        <v/>
      </c>
      <c r="AB1641">
        <f>IF(AND($A1641&lt;&gt;"",$B1641&lt;&gt;"",$R1641='تقرير فبراير'!$C$4,$P1641='تقرير فبراير'!$C$6),COUNT(AB$4:AB1640)+1,"")</f>
        <v/>
      </c>
      <c r="AC1641">
        <f>IF(AND($A1641&lt;&gt;"",$B1641&lt;&gt;"",$R1641='تقرير مارس'!$C$4,$P1641='تقرير مارس'!$C$6),COUNT(AC$4:AC1640)+1,"")</f>
        <v/>
      </c>
      <c r="AD1641">
        <f>IF(AND($A1641&lt;&gt;"",$B1641&lt;&gt;"",$R1641='تقرير أبريل'!$C$4,$P1641='تقرير أبريل'!$C$6),COUNT(AD$4:AD1640)+1,"")</f>
        <v/>
      </c>
      <c r="AE1641">
        <f>IF(AND($A1641&lt;&gt;"",$B1641&lt;&gt;"",$R1641='تقرير مايو'!$C$4,$P1641='تقرير مايو'!$C$6),COUNT(AE$4:AE1640)+1,"")</f>
        <v/>
      </c>
    </row>
    <row r="1642">
      <c r="A1642" s="16" t="n"/>
      <c r="B1642" s="17" t="n"/>
      <c r="C1642" s="17" t="n"/>
      <c r="D1642" s="18" t="n"/>
      <c r="E1642" s="17" t="n"/>
      <c r="F1642" s="17" t="n"/>
      <c r="G1642" s="19" t="n"/>
      <c r="H1642" s="17" t="n"/>
      <c r="I1642" s="17" t="n"/>
      <c r="J1642" s="17" t="n"/>
      <c r="K1642" s="20">
        <f>IF($B1642="","",IFERROR(INDEX(الموظفات!$A$5:$A$304,MATCH($B1642,الموظفات!$B$5:$B$304,0))&amp;"",""))</f>
        <v/>
      </c>
      <c r="L1642" s="21">
        <f>IF($B1642="","",IFERROR(INDEX(الموظفات!$C$5:$C$304,MATCH($B1642,الموظفات!$B$5:$B$304,0))&amp;"",""))</f>
        <v/>
      </c>
      <c r="M1642" s="20">
        <f>IF($B1642="","",IFERROR(INDEX(الموظفات!$D$5:$D$304,MATCH($B1642,الموظفات!$B$5:$B$304,0))&amp;"",""))</f>
        <v/>
      </c>
      <c r="N1642" s="20">
        <f>IF($B1642="","",IFERROR(INDEX(الموظفات!$E$5:$E$304,MATCH($B1642,الموظفات!$B$5:$B$304,0))&amp;"",""))</f>
        <v/>
      </c>
      <c r="O1642" s="21">
        <f>IF(C1642="","",IFERROR(INDEX(الإعدادات!$D$7:$D$35,MATCH(C1642,الإعدادات!$A$7:$A$35,0))&amp;"",""))</f>
        <v/>
      </c>
      <c r="P1642" s="20">
        <f>IF(A1642="","",INDEX(الإعدادات!$H$7:$H$18,MONTH(A1642)))</f>
        <v/>
      </c>
      <c r="Q1642" s="20">
        <f>IF(A1642="","",INDEX(الإعدادات!$I$7:$I$18,MONTH(A1642)))</f>
        <v/>
      </c>
      <c r="R1642" s="20">
        <f>IF(A1642="","",IF(MONTH(A1642)&gt;=8,YEAR(A1642)&amp;"-"&amp;(YEAR(A1642)+1),(YEAR(A1642)-1)&amp;"-"&amp;YEAR(A1642)))</f>
        <v/>
      </c>
      <c r="S1642" s="20">
        <f>IF(OR(A1642="",B1642=""),0,IF(AND(R1642=التقارير!$C$4,OR(التقارير!$C$5="سنوي",AND(التقارير!$C$5="شهري",P1642=التقارير!$C$6),AND(التقارير!$C$5="فصلي",Q1642=التقارير!$C$7))),1,0))</f>
        <v/>
      </c>
      <c r="T1642" s="20">
        <f>IF(S1642=1,COUNTIF($S$5:S1642,1),"")</f>
        <v/>
      </c>
      <c r="U1642">
        <f>IF(AND($A1642&lt;&gt;"",$B1642&lt;&gt;"",$R1642='تقرير الفصل الأول'!$C$4,$Q1642='تقرير الفصل الأول'!$C$7),COUNT(U$4:U1641)+1,"")</f>
        <v/>
      </c>
      <c r="V1642">
        <f>IF(AND($A1642&lt;&gt;"",$B1642&lt;&gt;"",$R1642='تقرير الفصل الثاني'!$C$4,$Q1642='تقرير الفصل الثاني'!$C$7),COUNT(V$4:V1641)+1,"")</f>
        <v/>
      </c>
      <c r="W1642">
        <f>IF(AND($A1642&lt;&gt;"",$B1642&lt;&gt;"",$R1642='تقرير سبتمبر'!$C$4,$P1642='تقرير سبتمبر'!$C$6),COUNT(W$4:W1641)+1,"")</f>
        <v/>
      </c>
      <c r="X1642">
        <f>IF(AND($A1642&lt;&gt;"",$B1642&lt;&gt;"",$R1642='تقرير أكتوبر'!$C$4,$P1642='تقرير أكتوبر'!$C$6),COUNT(X$4:X1641)+1,"")</f>
        <v/>
      </c>
      <c r="Y1642">
        <f>IF(AND($A1642&lt;&gt;"",$B1642&lt;&gt;"",$R1642='تقرير نوفمبر'!$C$4,$P1642='تقرير نوفمبر'!$C$6),COUNT(Y$4:Y1641)+1,"")</f>
        <v/>
      </c>
      <c r="Z1642">
        <f>IF(AND($A1642&lt;&gt;"",$B1642&lt;&gt;"",$R1642='تقرير ديسمبر'!$C$4,$P1642='تقرير ديسمبر'!$C$6),COUNT(Z$4:Z1641)+1,"")</f>
        <v/>
      </c>
      <c r="AA1642">
        <f>IF(AND($A1642&lt;&gt;"",$B1642&lt;&gt;"",$R1642='تقرير يناير'!$C$4,$P1642='تقرير يناير'!$C$6),COUNT(AA$4:AA1641)+1,"")</f>
        <v/>
      </c>
      <c r="AB1642">
        <f>IF(AND($A1642&lt;&gt;"",$B1642&lt;&gt;"",$R1642='تقرير فبراير'!$C$4,$P1642='تقرير فبراير'!$C$6),COUNT(AB$4:AB1641)+1,"")</f>
        <v/>
      </c>
      <c r="AC1642">
        <f>IF(AND($A1642&lt;&gt;"",$B1642&lt;&gt;"",$R1642='تقرير مارس'!$C$4,$P1642='تقرير مارس'!$C$6),COUNT(AC$4:AC1641)+1,"")</f>
        <v/>
      </c>
      <c r="AD1642">
        <f>IF(AND($A1642&lt;&gt;"",$B1642&lt;&gt;"",$R1642='تقرير أبريل'!$C$4,$P1642='تقرير أبريل'!$C$6),COUNT(AD$4:AD1641)+1,"")</f>
        <v/>
      </c>
      <c r="AE1642">
        <f>IF(AND($A1642&lt;&gt;"",$B1642&lt;&gt;"",$R1642='تقرير مايو'!$C$4,$P1642='تقرير مايو'!$C$6),COUNT(AE$4:AE1641)+1,"")</f>
        <v/>
      </c>
    </row>
    <row r="1643">
      <c r="A1643" s="16" t="n"/>
      <c r="B1643" s="17" t="n"/>
      <c r="C1643" s="17" t="n"/>
      <c r="D1643" s="18" t="n"/>
      <c r="E1643" s="17" t="n"/>
      <c r="F1643" s="17" t="n"/>
      <c r="G1643" s="19" t="n"/>
      <c r="H1643" s="17" t="n"/>
      <c r="I1643" s="17" t="n"/>
      <c r="J1643" s="17" t="n"/>
      <c r="K1643" s="20">
        <f>IF($B1643="","",IFERROR(INDEX(الموظفات!$A$5:$A$304,MATCH($B1643,الموظفات!$B$5:$B$304,0))&amp;"",""))</f>
        <v/>
      </c>
      <c r="L1643" s="21">
        <f>IF($B1643="","",IFERROR(INDEX(الموظفات!$C$5:$C$304,MATCH($B1643,الموظفات!$B$5:$B$304,0))&amp;"",""))</f>
        <v/>
      </c>
      <c r="M1643" s="20">
        <f>IF($B1643="","",IFERROR(INDEX(الموظفات!$D$5:$D$304,MATCH($B1643,الموظفات!$B$5:$B$304,0))&amp;"",""))</f>
        <v/>
      </c>
      <c r="N1643" s="20">
        <f>IF($B1643="","",IFERROR(INDEX(الموظفات!$E$5:$E$304,MATCH($B1643,الموظفات!$B$5:$B$304,0))&amp;"",""))</f>
        <v/>
      </c>
      <c r="O1643" s="21">
        <f>IF(C1643="","",IFERROR(INDEX(الإعدادات!$D$7:$D$35,MATCH(C1643,الإعدادات!$A$7:$A$35,0))&amp;"",""))</f>
        <v/>
      </c>
      <c r="P1643" s="20">
        <f>IF(A1643="","",INDEX(الإعدادات!$H$7:$H$18,MONTH(A1643)))</f>
        <v/>
      </c>
      <c r="Q1643" s="20">
        <f>IF(A1643="","",INDEX(الإعدادات!$I$7:$I$18,MONTH(A1643)))</f>
        <v/>
      </c>
      <c r="R1643" s="20">
        <f>IF(A1643="","",IF(MONTH(A1643)&gt;=8,YEAR(A1643)&amp;"-"&amp;(YEAR(A1643)+1),(YEAR(A1643)-1)&amp;"-"&amp;YEAR(A1643)))</f>
        <v/>
      </c>
      <c r="S1643" s="20">
        <f>IF(OR(A1643="",B1643=""),0,IF(AND(R1643=التقارير!$C$4,OR(التقارير!$C$5="سنوي",AND(التقارير!$C$5="شهري",P1643=التقارير!$C$6),AND(التقارير!$C$5="فصلي",Q1643=التقارير!$C$7))),1,0))</f>
        <v/>
      </c>
      <c r="T1643" s="20">
        <f>IF(S1643=1,COUNTIF($S$5:S1643,1),"")</f>
        <v/>
      </c>
      <c r="U1643">
        <f>IF(AND($A1643&lt;&gt;"",$B1643&lt;&gt;"",$R1643='تقرير الفصل الأول'!$C$4,$Q1643='تقرير الفصل الأول'!$C$7),COUNT(U$4:U1642)+1,"")</f>
        <v/>
      </c>
      <c r="V1643">
        <f>IF(AND($A1643&lt;&gt;"",$B1643&lt;&gt;"",$R1643='تقرير الفصل الثاني'!$C$4,$Q1643='تقرير الفصل الثاني'!$C$7),COUNT(V$4:V1642)+1,"")</f>
        <v/>
      </c>
      <c r="W1643">
        <f>IF(AND($A1643&lt;&gt;"",$B1643&lt;&gt;"",$R1643='تقرير سبتمبر'!$C$4,$P1643='تقرير سبتمبر'!$C$6),COUNT(W$4:W1642)+1,"")</f>
        <v/>
      </c>
      <c r="X1643">
        <f>IF(AND($A1643&lt;&gt;"",$B1643&lt;&gt;"",$R1643='تقرير أكتوبر'!$C$4,$P1643='تقرير أكتوبر'!$C$6),COUNT(X$4:X1642)+1,"")</f>
        <v/>
      </c>
      <c r="Y1643">
        <f>IF(AND($A1643&lt;&gt;"",$B1643&lt;&gt;"",$R1643='تقرير نوفمبر'!$C$4,$P1643='تقرير نوفمبر'!$C$6),COUNT(Y$4:Y1642)+1,"")</f>
        <v/>
      </c>
      <c r="Z1643">
        <f>IF(AND($A1643&lt;&gt;"",$B1643&lt;&gt;"",$R1643='تقرير ديسمبر'!$C$4,$P1643='تقرير ديسمبر'!$C$6),COUNT(Z$4:Z1642)+1,"")</f>
        <v/>
      </c>
      <c r="AA1643">
        <f>IF(AND($A1643&lt;&gt;"",$B1643&lt;&gt;"",$R1643='تقرير يناير'!$C$4,$P1643='تقرير يناير'!$C$6),COUNT(AA$4:AA1642)+1,"")</f>
        <v/>
      </c>
      <c r="AB1643">
        <f>IF(AND($A1643&lt;&gt;"",$B1643&lt;&gt;"",$R1643='تقرير فبراير'!$C$4,$P1643='تقرير فبراير'!$C$6),COUNT(AB$4:AB1642)+1,"")</f>
        <v/>
      </c>
      <c r="AC1643">
        <f>IF(AND($A1643&lt;&gt;"",$B1643&lt;&gt;"",$R1643='تقرير مارس'!$C$4,$P1643='تقرير مارس'!$C$6),COUNT(AC$4:AC1642)+1,"")</f>
        <v/>
      </c>
      <c r="AD1643">
        <f>IF(AND($A1643&lt;&gt;"",$B1643&lt;&gt;"",$R1643='تقرير أبريل'!$C$4,$P1643='تقرير أبريل'!$C$6),COUNT(AD$4:AD1642)+1,"")</f>
        <v/>
      </c>
      <c r="AE1643">
        <f>IF(AND($A1643&lt;&gt;"",$B1643&lt;&gt;"",$R1643='تقرير مايو'!$C$4,$P1643='تقرير مايو'!$C$6),COUNT(AE$4:AE1642)+1,"")</f>
        <v/>
      </c>
    </row>
    <row r="1644">
      <c r="A1644" s="16" t="n"/>
      <c r="B1644" s="17" t="n"/>
      <c r="C1644" s="17" t="n"/>
      <c r="D1644" s="18" t="n"/>
      <c r="E1644" s="17" t="n"/>
      <c r="F1644" s="17" t="n"/>
      <c r="G1644" s="19" t="n"/>
      <c r="H1644" s="17" t="n"/>
      <c r="I1644" s="17" t="n"/>
      <c r="J1644" s="17" t="n"/>
      <c r="K1644" s="20">
        <f>IF($B1644="","",IFERROR(INDEX(الموظفات!$A$5:$A$304,MATCH($B1644,الموظفات!$B$5:$B$304,0))&amp;"",""))</f>
        <v/>
      </c>
      <c r="L1644" s="21">
        <f>IF($B1644="","",IFERROR(INDEX(الموظفات!$C$5:$C$304,MATCH($B1644,الموظفات!$B$5:$B$304,0))&amp;"",""))</f>
        <v/>
      </c>
      <c r="M1644" s="20">
        <f>IF($B1644="","",IFERROR(INDEX(الموظفات!$D$5:$D$304,MATCH($B1644,الموظفات!$B$5:$B$304,0))&amp;"",""))</f>
        <v/>
      </c>
      <c r="N1644" s="20">
        <f>IF($B1644="","",IFERROR(INDEX(الموظفات!$E$5:$E$304,MATCH($B1644,الموظفات!$B$5:$B$304,0))&amp;"",""))</f>
        <v/>
      </c>
      <c r="O1644" s="21">
        <f>IF(C1644="","",IFERROR(INDEX(الإعدادات!$D$7:$D$35,MATCH(C1644,الإعدادات!$A$7:$A$35,0))&amp;"",""))</f>
        <v/>
      </c>
      <c r="P1644" s="20">
        <f>IF(A1644="","",INDEX(الإعدادات!$H$7:$H$18,MONTH(A1644)))</f>
        <v/>
      </c>
      <c r="Q1644" s="20">
        <f>IF(A1644="","",INDEX(الإعدادات!$I$7:$I$18,MONTH(A1644)))</f>
        <v/>
      </c>
      <c r="R1644" s="20">
        <f>IF(A1644="","",IF(MONTH(A1644)&gt;=8,YEAR(A1644)&amp;"-"&amp;(YEAR(A1644)+1),(YEAR(A1644)-1)&amp;"-"&amp;YEAR(A1644)))</f>
        <v/>
      </c>
      <c r="S1644" s="20">
        <f>IF(OR(A1644="",B1644=""),0,IF(AND(R1644=التقارير!$C$4,OR(التقارير!$C$5="سنوي",AND(التقارير!$C$5="شهري",P1644=التقارير!$C$6),AND(التقارير!$C$5="فصلي",Q1644=التقارير!$C$7))),1,0))</f>
        <v/>
      </c>
      <c r="T1644" s="20">
        <f>IF(S1644=1,COUNTIF($S$5:S1644,1),"")</f>
        <v/>
      </c>
      <c r="U1644">
        <f>IF(AND($A1644&lt;&gt;"",$B1644&lt;&gt;"",$R1644='تقرير الفصل الأول'!$C$4,$Q1644='تقرير الفصل الأول'!$C$7),COUNT(U$4:U1643)+1,"")</f>
        <v/>
      </c>
      <c r="V1644">
        <f>IF(AND($A1644&lt;&gt;"",$B1644&lt;&gt;"",$R1644='تقرير الفصل الثاني'!$C$4,$Q1644='تقرير الفصل الثاني'!$C$7),COUNT(V$4:V1643)+1,"")</f>
        <v/>
      </c>
      <c r="W1644">
        <f>IF(AND($A1644&lt;&gt;"",$B1644&lt;&gt;"",$R1644='تقرير سبتمبر'!$C$4,$P1644='تقرير سبتمبر'!$C$6),COUNT(W$4:W1643)+1,"")</f>
        <v/>
      </c>
      <c r="X1644">
        <f>IF(AND($A1644&lt;&gt;"",$B1644&lt;&gt;"",$R1644='تقرير أكتوبر'!$C$4,$P1644='تقرير أكتوبر'!$C$6),COUNT(X$4:X1643)+1,"")</f>
        <v/>
      </c>
      <c r="Y1644">
        <f>IF(AND($A1644&lt;&gt;"",$B1644&lt;&gt;"",$R1644='تقرير نوفمبر'!$C$4,$P1644='تقرير نوفمبر'!$C$6),COUNT(Y$4:Y1643)+1,"")</f>
        <v/>
      </c>
      <c r="Z1644">
        <f>IF(AND($A1644&lt;&gt;"",$B1644&lt;&gt;"",$R1644='تقرير ديسمبر'!$C$4,$P1644='تقرير ديسمبر'!$C$6),COUNT(Z$4:Z1643)+1,"")</f>
        <v/>
      </c>
      <c r="AA1644">
        <f>IF(AND($A1644&lt;&gt;"",$B1644&lt;&gt;"",$R1644='تقرير يناير'!$C$4,$P1644='تقرير يناير'!$C$6),COUNT(AA$4:AA1643)+1,"")</f>
        <v/>
      </c>
      <c r="AB1644">
        <f>IF(AND($A1644&lt;&gt;"",$B1644&lt;&gt;"",$R1644='تقرير فبراير'!$C$4,$P1644='تقرير فبراير'!$C$6),COUNT(AB$4:AB1643)+1,"")</f>
        <v/>
      </c>
      <c r="AC1644">
        <f>IF(AND($A1644&lt;&gt;"",$B1644&lt;&gt;"",$R1644='تقرير مارس'!$C$4,$P1644='تقرير مارس'!$C$6),COUNT(AC$4:AC1643)+1,"")</f>
        <v/>
      </c>
      <c r="AD1644">
        <f>IF(AND($A1644&lt;&gt;"",$B1644&lt;&gt;"",$R1644='تقرير أبريل'!$C$4,$P1644='تقرير أبريل'!$C$6),COUNT(AD$4:AD1643)+1,"")</f>
        <v/>
      </c>
      <c r="AE1644">
        <f>IF(AND($A1644&lt;&gt;"",$B1644&lt;&gt;"",$R1644='تقرير مايو'!$C$4,$P1644='تقرير مايو'!$C$6),COUNT(AE$4:AE1643)+1,"")</f>
        <v/>
      </c>
    </row>
    <row r="1645">
      <c r="A1645" s="16" t="n"/>
      <c r="B1645" s="17" t="n"/>
      <c r="C1645" s="17" t="n"/>
      <c r="D1645" s="18" t="n"/>
      <c r="E1645" s="17" t="n"/>
      <c r="F1645" s="17" t="n"/>
      <c r="G1645" s="19" t="n"/>
      <c r="H1645" s="17" t="n"/>
      <c r="I1645" s="17" t="n"/>
      <c r="J1645" s="17" t="n"/>
      <c r="K1645" s="20">
        <f>IF($B1645="","",IFERROR(INDEX(الموظفات!$A$5:$A$304,MATCH($B1645,الموظفات!$B$5:$B$304,0))&amp;"",""))</f>
        <v/>
      </c>
      <c r="L1645" s="21">
        <f>IF($B1645="","",IFERROR(INDEX(الموظفات!$C$5:$C$304,MATCH($B1645,الموظفات!$B$5:$B$304,0))&amp;"",""))</f>
        <v/>
      </c>
      <c r="M1645" s="20">
        <f>IF($B1645="","",IFERROR(INDEX(الموظفات!$D$5:$D$304,MATCH($B1645,الموظفات!$B$5:$B$304,0))&amp;"",""))</f>
        <v/>
      </c>
      <c r="N1645" s="20">
        <f>IF($B1645="","",IFERROR(INDEX(الموظفات!$E$5:$E$304,MATCH($B1645,الموظفات!$B$5:$B$304,0))&amp;"",""))</f>
        <v/>
      </c>
      <c r="O1645" s="21">
        <f>IF(C1645="","",IFERROR(INDEX(الإعدادات!$D$7:$D$35,MATCH(C1645,الإعدادات!$A$7:$A$35,0))&amp;"",""))</f>
        <v/>
      </c>
      <c r="P1645" s="20">
        <f>IF(A1645="","",INDEX(الإعدادات!$H$7:$H$18,MONTH(A1645)))</f>
        <v/>
      </c>
      <c r="Q1645" s="20">
        <f>IF(A1645="","",INDEX(الإعدادات!$I$7:$I$18,MONTH(A1645)))</f>
        <v/>
      </c>
      <c r="R1645" s="20">
        <f>IF(A1645="","",IF(MONTH(A1645)&gt;=8,YEAR(A1645)&amp;"-"&amp;(YEAR(A1645)+1),(YEAR(A1645)-1)&amp;"-"&amp;YEAR(A1645)))</f>
        <v/>
      </c>
      <c r="S1645" s="20">
        <f>IF(OR(A1645="",B1645=""),0,IF(AND(R1645=التقارير!$C$4,OR(التقارير!$C$5="سنوي",AND(التقارير!$C$5="شهري",P1645=التقارير!$C$6),AND(التقارير!$C$5="فصلي",Q1645=التقارير!$C$7))),1,0))</f>
        <v/>
      </c>
      <c r="T1645" s="20">
        <f>IF(S1645=1,COUNTIF($S$5:S1645,1),"")</f>
        <v/>
      </c>
      <c r="U1645">
        <f>IF(AND($A1645&lt;&gt;"",$B1645&lt;&gt;"",$R1645='تقرير الفصل الأول'!$C$4,$Q1645='تقرير الفصل الأول'!$C$7),COUNT(U$4:U1644)+1,"")</f>
        <v/>
      </c>
      <c r="V1645">
        <f>IF(AND($A1645&lt;&gt;"",$B1645&lt;&gt;"",$R1645='تقرير الفصل الثاني'!$C$4,$Q1645='تقرير الفصل الثاني'!$C$7),COUNT(V$4:V1644)+1,"")</f>
        <v/>
      </c>
      <c r="W1645">
        <f>IF(AND($A1645&lt;&gt;"",$B1645&lt;&gt;"",$R1645='تقرير سبتمبر'!$C$4,$P1645='تقرير سبتمبر'!$C$6),COUNT(W$4:W1644)+1,"")</f>
        <v/>
      </c>
      <c r="X1645">
        <f>IF(AND($A1645&lt;&gt;"",$B1645&lt;&gt;"",$R1645='تقرير أكتوبر'!$C$4,$P1645='تقرير أكتوبر'!$C$6),COUNT(X$4:X1644)+1,"")</f>
        <v/>
      </c>
      <c r="Y1645">
        <f>IF(AND($A1645&lt;&gt;"",$B1645&lt;&gt;"",$R1645='تقرير نوفمبر'!$C$4,$P1645='تقرير نوفمبر'!$C$6),COUNT(Y$4:Y1644)+1,"")</f>
        <v/>
      </c>
      <c r="Z1645">
        <f>IF(AND($A1645&lt;&gt;"",$B1645&lt;&gt;"",$R1645='تقرير ديسمبر'!$C$4,$P1645='تقرير ديسمبر'!$C$6),COUNT(Z$4:Z1644)+1,"")</f>
        <v/>
      </c>
      <c r="AA1645">
        <f>IF(AND($A1645&lt;&gt;"",$B1645&lt;&gt;"",$R1645='تقرير يناير'!$C$4,$P1645='تقرير يناير'!$C$6),COUNT(AA$4:AA1644)+1,"")</f>
        <v/>
      </c>
      <c r="AB1645">
        <f>IF(AND($A1645&lt;&gt;"",$B1645&lt;&gt;"",$R1645='تقرير فبراير'!$C$4,$P1645='تقرير فبراير'!$C$6),COUNT(AB$4:AB1644)+1,"")</f>
        <v/>
      </c>
      <c r="AC1645">
        <f>IF(AND($A1645&lt;&gt;"",$B1645&lt;&gt;"",$R1645='تقرير مارس'!$C$4,$P1645='تقرير مارس'!$C$6),COUNT(AC$4:AC1644)+1,"")</f>
        <v/>
      </c>
      <c r="AD1645">
        <f>IF(AND($A1645&lt;&gt;"",$B1645&lt;&gt;"",$R1645='تقرير أبريل'!$C$4,$P1645='تقرير أبريل'!$C$6),COUNT(AD$4:AD1644)+1,"")</f>
        <v/>
      </c>
      <c r="AE1645">
        <f>IF(AND($A1645&lt;&gt;"",$B1645&lt;&gt;"",$R1645='تقرير مايو'!$C$4,$P1645='تقرير مايو'!$C$6),COUNT(AE$4:AE1644)+1,"")</f>
        <v/>
      </c>
    </row>
    <row r="1646">
      <c r="A1646" s="16" t="n"/>
      <c r="B1646" s="17" t="n"/>
      <c r="C1646" s="17" t="n"/>
      <c r="D1646" s="18" t="n"/>
      <c r="E1646" s="17" t="n"/>
      <c r="F1646" s="17" t="n"/>
      <c r="G1646" s="19" t="n"/>
      <c r="H1646" s="17" t="n"/>
      <c r="I1646" s="17" t="n"/>
      <c r="J1646" s="17" t="n"/>
      <c r="K1646" s="20">
        <f>IF($B1646="","",IFERROR(INDEX(الموظفات!$A$5:$A$304,MATCH($B1646,الموظفات!$B$5:$B$304,0))&amp;"",""))</f>
        <v/>
      </c>
      <c r="L1646" s="21">
        <f>IF($B1646="","",IFERROR(INDEX(الموظفات!$C$5:$C$304,MATCH($B1646,الموظفات!$B$5:$B$304,0))&amp;"",""))</f>
        <v/>
      </c>
      <c r="M1646" s="20">
        <f>IF($B1646="","",IFERROR(INDEX(الموظفات!$D$5:$D$304,MATCH($B1646,الموظفات!$B$5:$B$304,0))&amp;"",""))</f>
        <v/>
      </c>
      <c r="N1646" s="20">
        <f>IF($B1646="","",IFERROR(INDEX(الموظفات!$E$5:$E$304,MATCH($B1646,الموظفات!$B$5:$B$304,0))&amp;"",""))</f>
        <v/>
      </c>
      <c r="O1646" s="21">
        <f>IF(C1646="","",IFERROR(INDEX(الإعدادات!$D$7:$D$35,MATCH(C1646,الإعدادات!$A$7:$A$35,0))&amp;"",""))</f>
        <v/>
      </c>
      <c r="P1646" s="20">
        <f>IF(A1646="","",INDEX(الإعدادات!$H$7:$H$18,MONTH(A1646)))</f>
        <v/>
      </c>
      <c r="Q1646" s="20">
        <f>IF(A1646="","",INDEX(الإعدادات!$I$7:$I$18,MONTH(A1646)))</f>
        <v/>
      </c>
      <c r="R1646" s="20">
        <f>IF(A1646="","",IF(MONTH(A1646)&gt;=8,YEAR(A1646)&amp;"-"&amp;(YEAR(A1646)+1),(YEAR(A1646)-1)&amp;"-"&amp;YEAR(A1646)))</f>
        <v/>
      </c>
      <c r="S1646" s="20">
        <f>IF(OR(A1646="",B1646=""),0,IF(AND(R1646=التقارير!$C$4,OR(التقارير!$C$5="سنوي",AND(التقارير!$C$5="شهري",P1646=التقارير!$C$6),AND(التقارير!$C$5="فصلي",Q1646=التقارير!$C$7))),1,0))</f>
        <v/>
      </c>
      <c r="T1646" s="20">
        <f>IF(S1646=1,COUNTIF($S$5:S1646,1),"")</f>
        <v/>
      </c>
      <c r="U1646">
        <f>IF(AND($A1646&lt;&gt;"",$B1646&lt;&gt;"",$R1646='تقرير الفصل الأول'!$C$4,$Q1646='تقرير الفصل الأول'!$C$7),COUNT(U$4:U1645)+1,"")</f>
        <v/>
      </c>
      <c r="V1646">
        <f>IF(AND($A1646&lt;&gt;"",$B1646&lt;&gt;"",$R1646='تقرير الفصل الثاني'!$C$4,$Q1646='تقرير الفصل الثاني'!$C$7),COUNT(V$4:V1645)+1,"")</f>
        <v/>
      </c>
      <c r="W1646">
        <f>IF(AND($A1646&lt;&gt;"",$B1646&lt;&gt;"",$R1646='تقرير سبتمبر'!$C$4,$P1646='تقرير سبتمبر'!$C$6),COUNT(W$4:W1645)+1,"")</f>
        <v/>
      </c>
      <c r="X1646">
        <f>IF(AND($A1646&lt;&gt;"",$B1646&lt;&gt;"",$R1646='تقرير أكتوبر'!$C$4,$P1646='تقرير أكتوبر'!$C$6),COUNT(X$4:X1645)+1,"")</f>
        <v/>
      </c>
      <c r="Y1646">
        <f>IF(AND($A1646&lt;&gt;"",$B1646&lt;&gt;"",$R1646='تقرير نوفمبر'!$C$4,$P1646='تقرير نوفمبر'!$C$6),COUNT(Y$4:Y1645)+1,"")</f>
        <v/>
      </c>
      <c r="Z1646">
        <f>IF(AND($A1646&lt;&gt;"",$B1646&lt;&gt;"",$R1646='تقرير ديسمبر'!$C$4,$P1646='تقرير ديسمبر'!$C$6),COUNT(Z$4:Z1645)+1,"")</f>
        <v/>
      </c>
      <c r="AA1646">
        <f>IF(AND($A1646&lt;&gt;"",$B1646&lt;&gt;"",$R1646='تقرير يناير'!$C$4,$P1646='تقرير يناير'!$C$6),COUNT(AA$4:AA1645)+1,"")</f>
        <v/>
      </c>
      <c r="AB1646">
        <f>IF(AND($A1646&lt;&gt;"",$B1646&lt;&gt;"",$R1646='تقرير فبراير'!$C$4,$P1646='تقرير فبراير'!$C$6),COUNT(AB$4:AB1645)+1,"")</f>
        <v/>
      </c>
      <c r="AC1646">
        <f>IF(AND($A1646&lt;&gt;"",$B1646&lt;&gt;"",$R1646='تقرير مارس'!$C$4,$P1646='تقرير مارس'!$C$6),COUNT(AC$4:AC1645)+1,"")</f>
        <v/>
      </c>
      <c r="AD1646">
        <f>IF(AND($A1646&lt;&gt;"",$B1646&lt;&gt;"",$R1646='تقرير أبريل'!$C$4,$P1646='تقرير أبريل'!$C$6),COUNT(AD$4:AD1645)+1,"")</f>
        <v/>
      </c>
      <c r="AE1646">
        <f>IF(AND($A1646&lt;&gt;"",$B1646&lt;&gt;"",$R1646='تقرير مايو'!$C$4,$P1646='تقرير مايو'!$C$6),COUNT(AE$4:AE1645)+1,"")</f>
        <v/>
      </c>
    </row>
    <row r="1647">
      <c r="A1647" s="16" t="n"/>
      <c r="B1647" s="17" t="n"/>
      <c r="C1647" s="17" t="n"/>
      <c r="D1647" s="18" t="n"/>
      <c r="E1647" s="17" t="n"/>
      <c r="F1647" s="17" t="n"/>
      <c r="G1647" s="19" t="n"/>
      <c r="H1647" s="17" t="n"/>
      <c r="I1647" s="17" t="n"/>
      <c r="J1647" s="17" t="n"/>
      <c r="K1647" s="20">
        <f>IF($B1647="","",IFERROR(INDEX(الموظفات!$A$5:$A$304,MATCH($B1647,الموظفات!$B$5:$B$304,0))&amp;"",""))</f>
        <v/>
      </c>
      <c r="L1647" s="21">
        <f>IF($B1647="","",IFERROR(INDEX(الموظفات!$C$5:$C$304,MATCH($B1647,الموظفات!$B$5:$B$304,0))&amp;"",""))</f>
        <v/>
      </c>
      <c r="M1647" s="20">
        <f>IF($B1647="","",IFERROR(INDEX(الموظفات!$D$5:$D$304,MATCH($B1647,الموظفات!$B$5:$B$304,0))&amp;"",""))</f>
        <v/>
      </c>
      <c r="N1647" s="20">
        <f>IF($B1647="","",IFERROR(INDEX(الموظفات!$E$5:$E$304,MATCH($B1647,الموظفات!$B$5:$B$304,0))&amp;"",""))</f>
        <v/>
      </c>
      <c r="O1647" s="21">
        <f>IF(C1647="","",IFERROR(INDEX(الإعدادات!$D$7:$D$35,MATCH(C1647,الإعدادات!$A$7:$A$35,0))&amp;"",""))</f>
        <v/>
      </c>
      <c r="P1647" s="20">
        <f>IF(A1647="","",INDEX(الإعدادات!$H$7:$H$18,MONTH(A1647)))</f>
        <v/>
      </c>
      <c r="Q1647" s="20">
        <f>IF(A1647="","",INDEX(الإعدادات!$I$7:$I$18,MONTH(A1647)))</f>
        <v/>
      </c>
      <c r="R1647" s="20">
        <f>IF(A1647="","",IF(MONTH(A1647)&gt;=8,YEAR(A1647)&amp;"-"&amp;(YEAR(A1647)+1),(YEAR(A1647)-1)&amp;"-"&amp;YEAR(A1647)))</f>
        <v/>
      </c>
      <c r="S1647" s="20">
        <f>IF(OR(A1647="",B1647=""),0,IF(AND(R1647=التقارير!$C$4,OR(التقارير!$C$5="سنوي",AND(التقارير!$C$5="شهري",P1647=التقارير!$C$6),AND(التقارير!$C$5="فصلي",Q1647=التقارير!$C$7))),1,0))</f>
        <v/>
      </c>
      <c r="T1647" s="20">
        <f>IF(S1647=1,COUNTIF($S$5:S1647,1),"")</f>
        <v/>
      </c>
      <c r="U1647">
        <f>IF(AND($A1647&lt;&gt;"",$B1647&lt;&gt;"",$R1647='تقرير الفصل الأول'!$C$4,$Q1647='تقرير الفصل الأول'!$C$7),COUNT(U$4:U1646)+1,"")</f>
        <v/>
      </c>
      <c r="V1647">
        <f>IF(AND($A1647&lt;&gt;"",$B1647&lt;&gt;"",$R1647='تقرير الفصل الثاني'!$C$4,$Q1647='تقرير الفصل الثاني'!$C$7),COUNT(V$4:V1646)+1,"")</f>
        <v/>
      </c>
      <c r="W1647">
        <f>IF(AND($A1647&lt;&gt;"",$B1647&lt;&gt;"",$R1647='تقرير سبتمبر'!$C$4,$P1647='تقرير سبتمبر'!$C$6),COUNT(W$4:W1646)+1,"")</f>
        <v/>
      </c>
      <c r="X1647">
        <f>IF(AND($A1647&lt;&gt;"",$B1647&lt;&gt;"",$R1647='تقرير أكتوبر'!$C$4,$P1647='تقرير أكتوبر'!$C$6),COUNT(X$4:X1646)+1,"")</f>
        <v/>
      </c>
      <c r="Y1647">
        <f>IF(AND($A1647&lt;&gt;"",$B1647&lt;&gt;"",$R1647='تقرير نوفمبر'!$C$4,$P1647='تقرير نوفمبر'!$C$6),COUNT(Y$4:Y1646)+1,"")</f>
        <v/>
      </c>
      <c r="Z1647">
        <f>IF(AND($A1647&lt;&gt;"",$B1647&lt;&gt;"",$R1647='تقرير ديسمبر'!$C$4,$P1647='تقرير ديسمبر'!$C$6),COUNT(Z$4:Z1646)+1,"")</f>
        <v/>
      </c>
      <c r="AA1647">
        <f>IF(AND($A1647&lt;&gt;"",$B1647&lt;&gt;"",$R1647='تقرير يناير'!$C$4,$P1647='تقرير يناير'!$C$6),COUNT(AA$4:AA1646)+1,"")</f>
        <v/>
      </c>
      <c r="AB1647">
        <f>IF(AND($A1647&lt;&gt;"",$B1647&lt;&gt;"",$R1647='تقرير فبراير'!$C$4,$P1647='تقرير فبراير'!$C$6),COUNT(AB$4:AB1646)+1,"")</f>
        <v/>
      </c>
      <c r="AC1647">
        <f>IF(AND($A1647&lt;&gt;"",$B1647&lt;&gt;"",$R1647='تقرير مارس'!$C$4,$P1647='تقرير مارس'!$C$6),COUNT(AC$4:AC1646)+1,"")</f>
        <v/>
      </c>
      <c r="AD1647">
        <f>IF(AND($A1647&lt;&gt;"",$B1647&lt;&gt;"",$R1647='تقرير أبريل'!$C$4,$P1647='تقرير أبريل'!$C$6),COUNT(AD$4:AD1646)+1,"")</f>
        <v/>
      </c>
      <c r="AE1647">
        <f>IF(AND($A1647&lt;&gt;"",$B1647&lt;&gt;"",$R1647='تقرير مايو'!$C$4,$P1647='تقرير مايو'!$C$6),COUNT(AE$4:AE1646)+1,"")</f>
        <v/>
      </c>
    </row>
    <row r="1648">
      <c r="A1648" s="16" t="n"/>
      <c r="B1648" s="17" t="n"/>
      <c r="C1648" s="17" t="n"/>
      <c r="D1648" s="18" t="n"/>
      <c r="E1648" s="17" t="n"/>
      <c r="F1648" s="17" t="n"/>
      <c r="G1648" s="19" t="n"/>
      <c r="H1648" s="17" t="n"/>
      <c r="I1648" s="17" t="n"/>
      <c r="J1648" s="17" t="n"/>
      <c r="K1648" s="20">
        <f>IF($B1648="","",IFERROR(INDEX(الموظفات!$A$5:$A$304,MATCH($B1648,الموظفات!$B$5:$B$304,0))&amp;"",""))</f>
        <v/>
      </c>
      <c r="L1648" s="21">
        <f>IF($B1648="","",IFERROR(INDEX(الموظفات!$C$5:$C$304,MATCH($B1648,الموظفات!$B$5:$B$304,0))&amp;"",""))</f>
        <v/>
      </c>
      <c r="M1648" s="20">
        <f>IF($B1648="","",IFERROR(INDEX(الموظفات!$D$5:$D$304,MATCH($B1648,الموظفات!$B$5:$B$304,0))&amp;"",""))</f>
        <v/>
      </c>
      <c r="N1648" s="20">
        <f>IF($B1648="","",IFERROR(INDEX(الموظفات!$E$5:$E$304,MATCH($B1648,الموظفات!$B$5:$B$304,0))&amp;"",""))</f>
        <v/>
      </c>
      <c r="O1648" s="21">
        <f>IF(C1648="","",IFERROR(INDEX(الإعدادات!$D$7:$D$35,MATCH(C1648,الإعدادات!$A$7:$A$35,0))&amp;"",""))</f>
        <v/>
      </c>
      <c r="P1648" s="20">
        <f>IF(A1648="","",INDEX(الإعدادات!$H$7:$H$18,MONTH(A1648)))</f>
        <v/>
      </c>
      <c r="Q1648" s="20">
        <f>IF(A1648="","",INDEX(الإعدادات!$I$7:$I$18,MONTH(A1648)))</f>
        <v/>
      </c>
      <c r="R1648" s="20">
        <f>IF(A1648="","",IF(MONTH(A1648)&gt;=8,YEAR(A1648)&amp;"-"&amp;(YEAR(A1648)+1),(YEAR(A1648)-1)&amp;"-"&amp;YEAR(A1648)))</f>
        <v/>
      </c>
      <c r="S1648" s="20">
        <f>IF(OR(A1648="",B1648=""),0,IF(AND(R1648=التقارير!$C$4,OR(التقارير!$C$5="سنوي",AND(التقارير!$C$5="شهري",P1648=التقارير!$C$6),AND(التقارير!$C$5="فصلي",Q1648=التقارير!$C$7))),1,0))</f>
        <v/>
      </c>
      <c r="T1648" s="20">
        <f>IF(S1648=1,COUNTIF($S$5:S1648,1),"")</f>
        <v/>
      </c>
      <c r="U1648">
        <f>IF(AND($A1648&lt;&gt;"",$B1648&lt;&gt;"",$R1648='تقرير الفصل الأول'!$C$4,$Q1648='تقرير الفصل الأول'!$C$7),COUNT(U$4:U1647)+1,"")</f>
        <v/>
      </c>
      <c r="V1648">
        <f>IF(AND($A1648&lt;&gt;"",$B1648&lt;&gt;"",$R1648='تقرير الفصل الثاني'!$C$4,$Q1648='تقرير الفصل الثاني'!$C$7),COUNT(V$4:V1647)+1,"")</f>
        <v/>
      </c>
      <c r="W1648">
        <f>IF(AND($A1648&lt;&gt;"",$B1648&lt;&gt;"",$R1648='تقرير سبتمبر'!$C$4,$P1648='تقرير سبتمبر'!$C$6),COUNT(W$4:W1647)+1,"")</f>
        <v/>
      </c>
      <c r="X1648">
        <f>IF(AND($A1648&lt;&gt;"",$B1648&lt;&gt;"",$R1648='تقرير أكتوبر'!$C$4,$P1648='تقرير أكتوبر'!$C$6),COUNT(X$4:X1647)+1,"")</f>
        <v/>
      </c>
      <c r="Y1648">
        <f>IF(AND($A1648&lt;&gt;"",$B1648&lt;&gt;"",$R1648='تقرير نوفمبر'!$C$4,$P1648='تقرير نوفمبر'!$C$6),COUNT(Y$4:Y1647)+1,"")</f>
        <v/>
      </c>
      <c r="Z1648">
        <f>IF(AND($A1648&lt;&gt;"",$B1648&lt;&gt;"",$R1648='تقرير ديسمبر'!$C$4,$P1648='تقرير ديسمبر'!$C$6),COUNT(Z$4:Z1647)+1,"")</f>
        <v/>
      </c>
      <c r="AA1648">
        <f>IF(AND($A1648&lt;&gt;"",$B1648&lt;&gt;"",$R1648='تقرير يناير'!$C$4,$P1648='تقرير يناير'!$C$6),COUNT(AA$4:AA1647)+1,"")</f>
        <v/>
      </c>
      <c r="AB1648">
        <f>IF(AND($A1648&lt;&gt;"",$B1648&lt;&gt;"",$R1648='تقرير فبراير'!$C$4,$P1648='تقرير فبراير'!$C$6),COUNT(AB$4:AB1647)+1,"")</f>
        <v/>
      </c>
      <c r="AC1648">
        <f>IF(AND($A1648&lt;&gt;"",$B1648&lt;&gt;"",$R1648='تقرير مارس'!$C$4,$P1648='تقرير مارس'!$C$6),COUNT(AC$4:AC1647)+1,"")</f>
        <v/>
      </c>
      <c r="AD1648">
        <f>IF(AND($A1648&lt;&gt;"",$B1648&lt;&gt;"",$R1648='تقرير أبريل'!$C$4,$P1648='تقرير أبريل'!$C$6),COUNT(AD$4:AD1647)+1,"")</f>
        <v/>
      </c>
      <c r="AE1648">
        <f>IF(AND($A1648&lt;&gt;"",$B1648&lt;&gt;"",$R1648='تقرير مايو'!$C$4,$P1648='تقرير مايو'!$C$6),COUNT(AE$4:AE1647)+1,"")</f>
        <v/>
      </c>
    </row>
    <row r="1649">
      <c r="A1649" s="16" t="n"/>
      <c r="B1649" s="17" t="n"/>
      <c r="C1649" s="17" t="n"/>
      <c r="D1649" s="18" t="n"/>
      <c r="E1649" s="17" t="n"/>
      <c r="F1649" s="17" t="n"/>
      <c r="G1649" s="19" t="n"/>
      <c r="H1649" s="17" t="n"/>
      <c r="I1649" s="17" t="n"/>
      <c r="J1649" s="17" t="n"/>
      <c r="K1649" s="20">
        <f>IF($B1649="","",IFERROR(INDEX(الموظفات!$A$5:$A$304,MATCH($B1649,الموظفات!$B$5:$B$304,0))&amp;"",""))</f>
        <v/>
      </c>
      <c r="L1649" s="21">
        <f>IF($B1649="","",IFERROR(INDEX(الموظفات!$C$5:$C$304,MATCH($B1649,الموظفات!$B$5:$B$304,0))&amp;"",""))</f>
        <v/>
      </c>
      <c r="M1649" s="20">
        <f>IF($B1649="","",IFERROR(INDEX(الموظفات!$D$5:$D$304,MATCH($B1649,الموظفات!$B$5:$B$304,0))&amp;"",""))</f>
        <v/>
      </c>
      <c r="N1649" s="20">
        <f>IF($B1649="","",IFERROR(INDEX(الموظفات!$E$5:$E$304,MATCH($B1649,الموظفات!$B$5:$B$304,0))&amp;"",""))</f>
        <v/>
      </c>
      <c r="O1649" s="21">
        <f>IF(C1649="","",IFERROR(INDEX(الإعدادات!$D$7:$D$35,MATCH(C1649,الإعدادات!$A$7:$A$35,0))&amp;"",""))</f>
        <v/>
      </c>
      <c r="P1649" s="20">
        <f>IF(A1649="","",INDEX(الإعدادات!$H$7:$H$18,MONTH(A1649)))</f>
        <v/>
      </c>
      <c r="Q1649" s="20">
        <f>IF(A1649="","",INDEX(الإعدادات!$I$7:$I$18,MONTH(A1649)))</f>
        <v/>
      </c>
      <c r="R1649" s="20">
        <f>IF(A1649="","",IF(MONTH(A1649)&gt;=8,YEAR(A1649)&amp;"-"&amp;(YEAR(A1649)+1),(YEAR(A1649)-1)&amp;"-"&amp;YEAR(A1649)))</f>
        <v/>
      </c>
      <c r="S1649" s="20">
        <f>IF(OR(A1649="",B1649=""),0,IF(AND(R1649=التقارير!$C$4,OR(التقارير!$C$5="سنوي",AND(التقارير!$C$5="شهري",P1649=التقارير!$C$6),AND(التقارير!$C$5="فصلي",Q1649=التقارير!$C$7))),1,0))</f>
        <v/>
      </c>
      <c r="T1649" s="20">
        <f>IF(S1649=1,COUNTIF($S$5:S1649,1),"")</f>
        <v/>
      </c>
      <c r="U1649">
        <f>IF(AND($A1649&lt;&gt;"",$B1649&lt;&gt;"",$R1649='تقرير الفصل الأول'!$C$4,$Q1649='تقرير الفصل الأول'!$C$7),COUNT(U$4:U1648)+1,"")</f>
        <v/>
      </c>
      <c r="V1649">
        <f>IF(AND($A1649&lt;&gt;"",$B1649&lt;&gt;"",$R1649='تقرير الفصل الثاني'!$C$4,$Q1649='تقرير الفصل الثاني'!$C$7),COUNT(V$4:V1648)+1,"")</f>
        <v/>
      </c>
      <c r="W1649">
        <f>IF(AND($A1649&lt;&gt;"",$B1649&lt;&gt;"",$R1649='تقرير سبتمبر'!$C$4,$P1649='تقرير سبتمبر'!$C$6),COUNT(W$4:W1648)+1,"")</f>
        <v/>
      </c>
      <c r="X1649">
        <f>IF(AND($A1649&lt;&gt;"",$B1649&lt;&gt;"",$R1649='تقرير أكتوبر'!$C$4,$P1649='تقرير أكتوبر'!$C$6),COUNT(X$4:X1648)+1,"")</f>
        <v/>
      </c>
      <c r="Y1649">
        <f>IF(AND($A1649&lt;&gt;"",$B1649&lt;&gt;"",$R1649='تقرير نوفمبر'!$C$4,$P1649='تقرير نوفمبر'!$C$6),COUNT(Y$4:Y1648)+1,"")</f>
        <v/>
      </c>
      <c r="Z1649">
        <f>IF(AND($A1649&lt;&gt;"",$B1649&lt;&gt;"",$R1649='تقرير ديسمبر'!$C$4,$P1649='تقرير ديسمبر'!$C$6),COUNT(Z$4:Z1648)+1,"")</f>
        <v/>
      </c>
      <c r="AA1649">
        <f>IF(AND($A1649&lt;&gt;"",$B1649&lt;&gt;"",$R1649='تقرير يناير'!$C$4,$P1649='تقرير يناير'!$C$6),COUNT(AA$4:AA1648)+1,"")</f>
        <v/>
      </c>
      <c r="AB1649">
        <f>IF(AND($A1649&lt;&gt;"",$B1649&lt;&gt;"",$R1649='تقرير فبراير'!$C$4,$P1649='تقرير فبراير'!$C$6),COUNT(AB$4:AB1648)+1,"")</f>
        <v/>
      </c>
      <c r="AC1649">
        <f>IF(AND($A1649&lt;&gt;"",$B1649&lt;&gt;"",$R1649='تقرير مارس'!$C$4,$P1649='تقرير مارس'!$C$6),COUNT(AC$4:AC1648)+1,"")</f>
        <v/>
      </c>
      <c r="AD1649">
        <f>IF(AND($A1649&lt;&gt;"",$B1649&lt;&gt;"",$R1649='تقرير أبريل'!$C$4,$P1649='تقرير أبريل'!$C$6),COUNT(AD$4:AD1648)+1,"")</f>
        <v/>
      </c>
      <c r="AE1649">
        <f>IF(AND($A1649&lt;&gt;"",$B1649&lt;&gt;"",$R1649='تقرير مايو'!$C$4,$P1649='تقرير مايو'!$C$6),COUNT(AE$4:AE1648)+1,"")</f>
        <v/>
      </c>
    </row>
    <row r="1650">
      <c r="A1650" s="16" t="n"/>
      <c r="B1650" s="17" t="n"/>
      <c r="C1650" s="17" t="n"/>
      <c r="D1650" s="18" t="n"/>
      <c r="E1650" s="17" t="n"/>
      <c r="F1650" s="17" t="n"/>
      <c r="G1650" s="19" t="n"/>
      <c r="H1650" s="17" t="n"/>
      <c r="I1650" s="17" t="n"/>
      <c r="J1650" s="17" t="n"/>
      <c r="K1650" s="20">
        <f>IF($B1650="","",IFERROR(INDEX(الموظفات!$A$5:$A$304,MATCH($B1650,الموظفات!$B$5:$B$304,0))&amp;"",""))</f>
        <v/>
      </c>
      <c r="L1650" s="21">
        <f>IF($B1650="","",IFERROR(INDEX(الموظفات!$C$5:$C$304,MATCH($B1650,الموظفات!$B$5:$B$304,0))&amp;"",""))</f>
        <v/>
      </c>
      <c r="M1650" s="20">
        <f>IF($B1650="","",IFERROR(INDEX(الموظفات!$D$5:$D$304,MATCH($B1650,الموظفات!$B$5:$B$304,0))&amp;"",""))</f>
        <v/>
      </c>
      <c r="N1650" s="20">
        <f>IF($B1650="","",IFERROR(INDEX(الموظفات!$E$5:$E$304,MATCH($B1650,الموظفات!$B$5:$B$304,0))&amp;"",""))</f>
        <v/>
      </c>
      <c r="O1650" s="21">
        <f>IF(C1650="","",IFERROR(INDEX(الإعدادات!$D$7:$D$35,MATCH(C1650,الإعدادات!$A$7:$A$35,0))&amp;"",""))</f>
        <v/>
      </c>
      <c r="P1650" s="20">
        <f>IF(A1650="","",INDEX(الإعدادات!$H$7:$H$18,MONTH(A1650)))</f>
        <v/>
      </c>
      <c r="Q1650" s="20">
        <f>IF(A1650="","",INDEX(الإعدادات!$I$7:$I$18,MONTH(A1650)))</f>
        <v/>
      </c>
      <c r="R1650" s="20">
        <f>IF(A1650="","",IF(MONTH(A1650)&gt;=8,YEAR(A1650)&amp;"-"&amp;(YEAR(A1650)+1),(YEAR(A1650)-1)&amp;"-"&amp;YEAR(A1650)))</f>
        <v/>
      </c>
      <c r="S1650" s="20">
        <f>IF(OR(A1650="",B1650=""),0,IF(AND(R1650=التقارير!$C$4,OR(التقارير!$C$5="سنوي",AND(التقارير!$C$5="شهري",P1650=التقارير!$C$6),AND(التقارير!$C$5="فصلي",Q1650=التقارير!$C$7))),1,0))</f>
        <v/>
      </c>
      <c r="T1650" s="20">
        <f>IF(S1650=1,COUNTIF($S$5:S1650,1),"")</f>
        <v/>
      </c>
      <c r="U1650">
        <f>IF(AND($A1650&lt;&gt;"",$B1650&lt;&gt;"",$R1650='تقرير الفصل الأول'!$C$4,$Q1650='تقرير الفصل الأول'!$C$7),COUNT(U$4:U1649)+1,"")</f>
        <v/>
      </c>
      <c r="V1650">
        <f>IF(AND($A1650&lt;&gt;"",$B1650&lt;&gt;"",$R1650='تقرير الفصل الثاني'!$C$4,$Q1650='تقرير الفصل الثاني'!$C$7),COUNT(V$4:V1649)+1,"")</f>
        <v/>
      </c>
      <c r="W1650">
        <f>IF(AND($A1650&lt;&gt;"",$B1650&lt;&gt;"",$R1650='تقرير سبتمبر'!$C$4,$P1650='تقرير سبتمبر'!$C$6),COUNT(W$4:W1649)+1,"")</f>
        <v/>
      </c>
      <c r="X1650">
        <f>IF(AND($A1650&lt;&gt;"",$B1650&lt;&gt;"",$R1650='تقرير أكتوبر'!$C$4,$P1650='تقرير أكتوبر'!$C$6),COUNT(X$4:X1649)+1,"")</f>
        <v/>
      </c>
      <c r="Y1650">
        <f>IF(AND($A1650&lt;&gt;"",$B1650&lt;&gt;"",$R1650='تقرير نوفمبر'!$C$4,$P1650='تقرير نوفمبر'!$C$6),COUNT(Y$4:Y1649)+1,"")</f>
        <v/>
      </c>
      <c r="Z1650">
        <f>IF(AND($A1650&lt;&gt;"",$B1650&lt;&gt;"",$R1650='تقرير ديسمبر'!$C$4,$P1650='تقرير ديسمبر'!$C$6),COUNT(Z$4:Z1649)+1,"")</f>
        <v/>
      </c>
      <c r="AA1650">
        <f>IF(AND($A1650&lt;&gt;"",$B1650&lt;&gt;"",$R1650='تقرير يناير'!$C$4,$P1650='تقرير يناير'!$C$6),COUNT(AA$4:AA1649)+1,"")</f>
        <v/>
      </c>
      <c r="AB1650">
        <f>IF(AND($A1650&lt;&gt;"",$B1650&lt;&gt;"",$R1650='تقرير فبراير'!$C$4,$P1650='تقرير فبراير'!$C$6),COUNT(AB$4:AB1649)+1,"")</f>
        <v/>
      </c>
      <c r="AC1650">
        <f>IF(AND($A1650&lt;&gt;"",$B1650&lt;&gt;"",$R1650='تقرير مارس'!$C$4,$P1650='تقرير مارس'!$C$6),COUNT(AC$4:AC1649)+1,"")</f>
        <v/>
      </c>
      <c r="AD1650">
        <f>IF(AND($A1650&lt;&gt;"",$B1650&lt;&gt;"",$R1650='تقرير أبريل'!$C$4,$P1650='تقرير أبريل'!$C$6),COUNT(AD$4:AD1649)+1,"")</f>
        <v/>
      </c>
      <c r="AE1650">
        <f>IF(AND($A1650&lt;&gt;"",$B1650&lt;&gt;"",$R1650='تقرير مايو'!$C$4,$P1650='تقرير مايو'!$C$6),COUNT(AE$4:AE1649)+1,"")</f>
        <v/>
      </c>
    </row>
    <row r="1651">
      <c r="A1651" s="16" t="n"/>
      <c r="B1651" s="17" t="n"/>
      <c r="C1651" s="17" t="n"/>
      <c r="D1651" s="18" t="n"/>
      <c r="E1651" s="17" t="n"/>
      <c r="F1651" s="17" t="n"/>
      <c r="G1651" s="19" t="n"/>
      <c r="H1651" s="17" t="n"/>
      <c r="I1651" s="17" t="n"/>
      <c r="J1651" s="17" t="n"/>
      <c r="K1651" s="20">
        <f>IF($B1651="","",IFERROR(INDEX(الموظفات!$A$5:$A$304,MATCH($B1651,الموظفات!$B$5:$B$304,0))&amp;"",""))</f>
        <v/>
      </c>
      <c r="L1651" s="21">
        <f>IF($B1651="","",IFERROR(INDEX(الموظفات!$C$5:$C$304,MATCH($B1651,الموظفات!$B$5:$B$304,0))&amp;"",""))</f>
        <v/>
      </c>
      <c r="M1651" s="20">
        <f>IF($B1651="","",IFERROR(INDEX(الموظفات!$D$5:$D$304,MATCH($B1651,الموظفات!$B$5:$B$304,0))&amp;"",""))</f>
        <v/>
      </c>
      <c r="N1651" s="20">
        <f>IF($B1651="","",IFERROR(INDEX(الموظفات!$E$5:$E$304,MATCH($B1651,الموظفات!$B$5:$B$304,0))&amp;"",""))</f>
        <v/>
      </c>
      <c r="O1651" s="21">
        <f>IF(C1651="","",IFERROR(INDEX(الإعدادات!$D$7:$D$35,MATCH(C1651,الإعدادات!$A$7:$A$35,0))&amp;"",""))</f>
        <v/>
      </c>
      <c r="P1651" s="20">
        <f>IF(A1651="","",INDEX(الإعدادات!$H$7:$H$18,MONTH(A1651)))</f>
        <v/>
      </c>
      <c r="Q1651" s="20">
        <f>IF(A1651="","",INDEX(الإعدادات!$I$7:$I$18,MONTH(A1651)))</f>
        <v/>
      </c>
      <c r="R1651" s="20">
        <f>IF(A1651="","",IF(MONTH(A1651)&gt;=8,YEAR(A1651)&amp;"-"&amp;(YEAR(A1651)+1),(YEAR(A1651)-1)&amp;"-"&amp;YEAR(A1651)))</f>
        <v/>
      </c>
      <c r="S1651" s="20">
        <f>IF(OR(A1651="",B1651=""),0,IF(AND(R1651=التقارير!$C$4,OR(التقارير!$C$5="سنوي",AND(التقارير!$C$5="شهري",P1651=التقارير!$C$6),AND(التقارير!$C$5="فصلي",Q1651=التقارير!$C$7))),1,0))</f>
        <v/>
      </c>
      <c r="T1651" s="20">
        <f>IF(S1651=1,COUNTIF($S$5:S1651,1),"")</f>
        <v/>
      </c>
      <c r="U1651">
        <f>IF(AND($A1651&lt;&gt;"",$B1651&lt;&gt;"",$R1651='تقرير الفصل الأول'!$C$4,$Q1651='تقرير الفصل الأول'!$C$7),COUNT(U$4:U1650)+1,"")</f>
        <v/>
      </c>
      <c r="V1651">
        <f>IF(AND($A1651&lt;&gt;"",$B1651&lt;&gt;"",$R1651='تقرير الفصل الثاني'!$C$4,$Q1651='تقرير الفصل الثاني'!$C$7),COUNT(V$4:V1650)+1,"")</f>
        <v/>
      </c>
      <c r="W1651">
        <f>IF(AND($A1651&lt;&gt;"",$B1651&lt;&gt;"",$R1651='تقرير سبتمبر'!$C$4,$P1651='تقرير سبتمبر'!$C$6),COUNT(W$4:W1650)+1,"")</f>
        <v/>
      </c>
      <c r="X1651">
        <f>IF(AND($A1651&lt;&gt;"",$B1651&lt;&gt;"",$R1651='تقرير أكتوبر'!$C$4,$P1651='تقرير أكتوبر'!$C$6),COUNT(X$4:X1650)+1,"")</f>
        <v/>
      </c>
      <c r="Y1651">
        <f>IF(AND($A1651&lt;&gt;"",$B1651&lt;&gt;"",$R1651='تقرير نوفمبر'!$C$4,$P1651='تقرير نوفمبر'!$C$6),COUNT(Y$4:Y1650)+1,"")</f>
        <v/>
      </c>
      <c r="Z1651">
        <f>IF(AND($A1651&lt;&gt;"",$B1651&lt;&gt;"",$R1651='تقرير ديسمبر'!$C$4,$P1651='تقرير ديسمبر'!$C$6),COUNT(Z$4:Z1650)+1,"")</f>
        <v/>
      </c>
      <c r="AA1651">
        <f>IF(AND($A1651&lt;&gt;"",$B1651&lt;&gt;"",$R1651='تقرير يناير'!$C$4,$P1651='تقرير يناير'!$C$6),COUNT(AA$4:AA1650)+1,"")</f>
        <v/>
      </c>
      <c r="AB1651">
        <f>IF(AND($A1651&lt;&gt;"",$B1651&lt;&gt;"",$R1651='تقرير فبراير'!$C$4,$P1651='تقرير فبراير'!$C$6),COUNT(AB$4:AB1650)+1,"")</f>
        <v/>
      </c>
      <c r="AC1651">
        <f>IF(AND($A1651&lt;&gt;"",$B1651&lt;&gt;"",$R1651='تقرير مارس'!$C$4,$P1651='تقرير مارس'!$C$6),COUNT(AC$4:AC1650)+1,"")</f>
        <v/>
      </c>
      <c r="AD1651">
        <f>IF(AND($A1651&lt;&gt;"",$B1651&lt;&gt;"",$R1651='تقرير أبريل'!$C$4,$P1651='تقرير أبريل'!$C$6),COUNT(AD$4:AD1650)+1,"")</f>
        <v/>
      </c>
      <c r="AE1651">
        <f>IF(AND($A1651&lt;&gt;"",$B1651&lt;&gt;"",$R1651='تقرير مايو'!$C$4,$P1651='تقرير مايو'!$C$6),COUNT(AE$4:AE1650)+1,"")</f>
        <v/>
      </c>
    </row>
    <row r="1652">
      <c r="A1652" s="16" t="n"/>
      <c r="B1652" s="17" t="n"/>
      <c r="C1652" s="17" t="n"/>
      <c r="D1652" s="18" t="n"/>
      <c r="E1652" s="17" t="n"/>
      <c r="F1652" s="17" t="n"/>
      <c r="G1652" s="19" t="n"/>
      <c r="H1652" s="17" t="n"/>
      <c r="I1652" s="17" t="n"/>
      <c r="J1652" s="17" t="n"/>
      <c r="K1652" s="20">
        <f>IF($B1652="","",IFERROR(INDEX(الموظفات!$A$5:$A$304,MATCH($B1652,الموظفات!$B$5:$B$304,0))&amp;"",""))</f>
        <v/>
      </c>
      <c r="L1652" s="21">
        <f>IF($B1652="","",IFERROR(INDEX(الموظفات!$C$5:$C$304,MATCH($B1652,الموظفات!$B$5:$B$304,0))&amp;"",""))</f>
        <v/>
      </c>
      <c r="M1652" s="20">
        <f>IF($B1652="","",IFERROR(INDEX(الموظفات!$D$5:$D$304,MATCH($B1652,الموظفات!$B$5:$B$304,0))&amp;"",""))</f>
        <v/>
      </c>
      <c r="N1652" s="20">
        <f>IF($B1652="","",IFERROR(INDEX(الموظفات!$E$5:$E$304,MATCH($B1652,الموظفات!$B$5:$B$304,0))&amp;"",""))</f>
        <v/>
      </c>
      <c r="O1652" s="21">
        <f>IF(C1652="","",IFERROR(INDEX(الإعدادات!$D$7:$D$35,MATCH(C1652,الإعدادات!$A$7:$A$35,0))&amp;"",""))</f>
        <v/>
      </c>
      <c r="P1652" s="20">
        <f>IF(A1652="","",INDEX(الإعدادات!$H$7:$H$18,MONTH(A1652)))</f>
        <v/>
      </c>
      <c r="Q1652" s="20">
        <f>IF(A1652="","",INDEX(الإعدادات!$I$7:$I$18,MONTH(A1652)))</f>
        <v/>
      </c>
      <c r="R1652" s="20">
        <f>IF(A1652="","",IF(MONTH(A1652)&gt;=8,YEAR(A1652)&amp;"-"&amp;(YEAR(A1652)+1),(YEAR(A1652)-1)&amp;"-"&amp;YEAR(A1652)))</f>
        <v/>
      </c>
      <c r="S1652" s="20">
        <f>IF(OR(A1652="",B1652=""),0,IF(AND(R1652=التقارير!$C$4,OR(التقارير!$C$5="سنوي",AND(التقارير!$C$5="شهري",P1652=التقارير!$C$6),AND(التقارير!$C$5="فصلي",Q1652=التقارير!$C$7))),1,0))</f>
        <v/>
      </c>
      <c r="T1652" s="20">
        <f>IF(S1652=1,COUNTIF($S$5:S1652,1),"")</f>
        <v/>
      </c>
      <c r="U1652">
        <f>IF(AND($A1652&lt;&gt;"",$B1652&lt;&gt;"",$R1652='تقرير الفصل الأول'!$C$4,$Q1652='تقرير الفصل الأول'!$C$7),COUNT(U$4:U1651)+1,"")</f>
        <v/>
      </c>
      <c r="V1652">
        <f>IF(AND($A1652&lt;&gt;"",$B1652&lt;&gt;"",$R1652='تقرير الفصل الثاني'!$C$4,$Q1652='تقرير الفصل الثاني'!$C$7),COUNT(V$4:V1651)+1,"")</f>
        <v/>
      </c>
      <c r="W1652">
        <f>IF(AND($A1652&lt;&gt;"",$B1652&lt;&gt;"",$R1652='تقرير سبتمبر'!$C$4,$P1652='تقرير سبتمبر'!$C$6),COUNT(W$4:W1651)+1,"")</f>
        <v/>
      </c>
      <c r="X1652">
        <f>IF(AND($A1652&lt;&gt;"",$B1652&lt;&gt;"",$R1652='تقرير أكتوبر'!$C$4,$P1652='تقرير أكتوبر'!$C$6),COUNT(X$4:X1651)+1,"")</f>
        <v/>
      </c>
      <c r="Y1652">
        <f>IF(AND($A1652&lt;&gt;"",$B1652&lt;&gt;"",$R1652='تقرير نوفمبر'!$C$4,$P1652='تقرير نوفمبر'!$C$6),COUNT(Y$4:Y1651)+1,"")</f>
        <v/>
      </c>
      <c r="Z1652">
        <f>IF(AND($A1652&lt;&gt;"",$B1652&lt;&gt;"",$R1652='تقرير ديسمبر'!$C$4,$P1652='تقرير ديسمبر'!$C$6),COUNT(Z$4:Z1651)+1,"")</f>
        <v/>
      </c>
      <c r="AA1652">
        <f>IF(AND($A1652&lt;&gt;"",$B1652&lt;&gt;"",$R1652='تقرير يناير'!$C$4,$P1652='تقرير يناير'!$C$6),COUNT(AA$4:AA1651)+1,"")</f>
        <v/>
      </c>
      <c r="AB1652">
        <f>IF(AND($A1652&lt;&gt;"",$B1652&lt;&gt;"",$R1652='تقرير فبراير'!$C$4,$P1652='تقرير فبراير'!$C$6),COUNT(AB$4:AB1651)+1,"")</f>
        <v/>
      </c>
      <c r="AC1652">
        <f>IF(AND($A1652&lt;&gt;"",$B1652&lt;&gt;"",$R1652='تقرير مارس'!$C$4,$P1652='تقرير مارس'!$C$6),COUNT(AC$4:AC1651)+1,"")</f>
        <v/>
      </c>
      <c r="AD1652">
        <f>IF(AND($A1652&lt;&gt;"",$B1652&lt;&gt;"",$R1652='تقرير أبريل'!$C$4,$P1652='تقرير أبريل'!$C$6),COUNT(AD$4:AD1651)+1,"")</f>
        <v/>
      </c>
      <c r="AE1652">
        <f>IF(AND($A1652&lt;&gt;"",$B1652&lt;&gt;"",$R1652='تقرير مايو'!$C$4,$P1652='تقرير مايو'!$C$6),COUNT(AE$4:AE1651)+1,"")</f>
        <v/>
      </c>
    </row>
    <row r="1653">
      <c r="A1653" s="16" t="n"/>
      <c r="B1653" s="17" t="n"/>
      <c r="C1653" s="17" t="n"/>
      <c r="D1653" s="18" t="n"/>
      <c r="E1653" s="17" t="n"/>
      <c r="F1653" s="17" t="n"/>
      <c r="G1653" s="19" t="n"/>
      <c r="H1653" s="17" t="n"/>
      <c r="I1653" s="17" t="n"/>
      <c r="J1653" s="17" t="n"/>
      <c r="K1653" s="20">
        <f>IF($B1653="","",IFERROR(INDEX(الموظفات!$A$5:$A$304,MATCH($B1653,الموظفات!$B$5:$B$304,0))&amp;"",""))</f>
        <v/>
      </c>
      <c r="L1653" s="21">
        <f>IF($B1653="","",IFERROR(INDEX(الموظفات!$C$5:$C$304,MATCH($B1653,الموظفات!$B$5:$B$304,0))&amp;"",""))</f>
        <v/>
      </c>
      <c r="M1653" s="20">
        <f>IF($B1653="","",IFERROR(INDEX(الموظفات!$D$5:$D$304,MATCH($B1653,الموظفات!$B$5:$B$304,0))&amp;"",""))</f>
        <v/>
      </c>
      <c r="N1653" s="20">
        <f>IF($B1653="","",IFERROR(INDEX(الموظفات!$E$5:$E$304,MATCH($B1653,الموظفات!$B$5:$B$304,0))&amp;"",""))</f>
        <v/>
      </c>
      <c r="O1653" s="21">
        <f>IF(C1653="","",IFERROR(INDEX(الإعدادات!$D$7:$D$35,MATCH(C1653,الإعدادات!$A$7:$A$35,0))&amp;"",""))</f>
        <v/>
      </c>
      <c r="P1653" s="20">
        <f>IF(A1653="","",INDEX(الإعدادات!$H$7:$H$18,MONTH(A1653)))</f>
        <v/>
      </c>
      <c r="Q1653" s="20">
        <f>IF(A1653="","",INDEX(الإعدادات!$I$7:$I$18,MONTH(A1653)))</f>
        <v/>
      </c>
      <c r="R1653" s="20">
        <f>IF(A1653="","",IF(MONTH(A1653)&gt;=8,YEAR(A1653)&amp;"-"&amp;(YEAR(A1653)+1),(YEAR(A1653)-1)&amp;"-"&amp;YEAR(A1653)))</f>
        <v/>
      </c>
      <c r="S1653" s="20">
        <f>IF(OR(A1653="",B1653=""),0,IF(AND(R1653=التقارير!$C$4,OR(التقارير!$C$5="سنوي",AND(التقارير!$C$5="شهري",P1653=التقارير!$C$6),AND(التقارير!$C$5="فصلي",Q1653=التقارير!$C$7))),1,0))</f>
        <v/>
      </c>
      <c r="T1653" s="20">
        <f>IF(S1653=1,COUNTIF($S$5:S1653,1),"")</f>
        <v/>
      </c>
      <c r="U1653">
        <f>IF(AND($A1653&lt;&gt;"",$B1653&lt;&gt;"",$R1653='تقرير الفصل الأول'!$C$4,$Q1653='تقرير الفصل الأول'!$C$7),COUNT(U$4:U1652)+1,"")</f>
        <v/>
      </c>
      <c r="V1653">
        <f>IF(AND($A1653&lt;&gt;"",$B1653&lt;&gt;"",$R1653='تقرير الفصل الثاني'!$C$4,$Q1653='تقرير الفصل الثاني'!$C$7),COUNT(V$4:V1652)+1,"")</f>
        <v/>
      </c>
      <c r="W1653">
        <f>IF(AND($A1653&lt;&gt;"",$B1653&lt;&gt;"",$R1653='تقرير سبتمبر'!$C$4,$P1653='تقرير سبتمبر'!$C$6),COUNT(W$4:W1652)+1,"")</f>
        <v/>
      </c>
      <c r="X1653">
        <f>IF(AND($A1653&lt;&gt;"",$B1653&lt;&gt;"",$R1653='تقرير أكتوبر'!$C$4,$P1653='تقرير أكتوبر'!$C$6),COUNT(X$4:X1652)+1,"")</f>
        <v/>
      </c>
      <c r="Y1653">
        <f>IF(AND($A1653&lt;&gt;"",$B1653&lt;&gt;"",$R1653='تقرير نوفمبر'!$C$4,$P1653='تقرير نوفمبر'!$C$6),COUNT(Y$4:Y1652)+1,"")</f>
        <v/>
      </c>
      <c r="Z1653">
        <f>IF(AND($A1653&lt;&gt;"",$B1653&lt;&gt;"",$R1653='تقرير ديسمبر'!$C$4,$P1653='تقرير ديسمبر'!$C$6),COUNT(Z$4:Z1652)+1,"")</f>
        <v/>
      </c>
      <c r="AA1653">
        <f>IF(AND($A1653&lt;&gt;"",$B1653&lt;&gt;"",$R1653='تقرير يناير'!$C$4,$P1653='تقرير يناير'!$C$6),COUNT(AA$4:AA1652)+1,"")</f>
        <v/>
      </c>
      <c r="AB1653">
        <f>IF(AND($A1653&lt;&gt;"",$B1653&lt;&gt;"",$R1653='تقرير فبراير'!$C$4,$P1653='تقرير فبراير'!$C$6),COUNT(AB$4:AB1652)+1,"")</f>
        <v/>
      </c>
      <c r="AC1653">
        <f>IF(AND($A1653&lt;&gt;"",$B1653&lt;&gt;"",$R1653='تقرير مارس'!$C$4,$P1653='تقرير مارس'!$C$6),COUNT(AC$4:AC1652)+1,"")</f>
        <v/>
      </c>
      <c r="AD1653">
        <f>IF(AND($A1653&lt;&gt;"",$B1653&lt;&gt;"",$R1653='تقرير أبريل'!$C$4,$P1653='تقرير أبريل'!$C$6),COUNT(AD$4:AD1652)+1,"")</f>
        <v/>
      </c>
      <c r="AE1653">
        <f>IF(AND($A1653&lt;&gt;"",$B1653&lt;&gt;"",$R1653='تقرير مايو'!$C$4,$P1653='تقرير مايو'!$C$6),COUNT(AE$4:AE1652)+1,"")</f>
        <v/>
      </c>
    </row>
    <row r="1654">
      <c r="A1654" s="16" t="n"/>
      <c r="B1654" s="17" t="n"/>
      <c r="C1654" s="17" t="n"/>
      <c r="D1654" s="18" t="n"/>
      <c r="E1654" s="17" t="n"/>
      <c r="F1654" s="17" t="n"/>
      <c r="G1654" s="19" t="n"/>
      <c r="H1654" s="17" t="n"/>
      <c r="I1654" s="17" t="n"/>
      <c r="J1654" s="17" t="n"/>
      <c r="K1654" s="20">
        <f>IF($B1654="","",IFERROR(INDEX(الموظفات!$A$5:$A$304,MATCH($B1654,الموظفات!$B$5:$B$304,0))&amp;"",""))</f>
        <v/>
      </c>
      <c r="L1654" s="21">
        <f>IF($B1654="","",IFERROR(INDEX(الموظفات!$C$5:$C$304,MATCH($B1654,الموظفات!$B$5:$B$304,0))&amp;"",""))</f>
        <v/>
      </c>
      <c r="M1654" s="20">
        <f>IF($B1654="","",IFERROR(INDEX(الموظفات!$D$5:$D$304,MATCH($B1654,الموظفات!$B$5:$B$304,0))&amp;"",""))</f>
        <v/>
      </c>
      <c r="N1654" s="20">
        <f>IF($B1654="","",IFERROR(INDEX(الموظفات!$E$5:$E$304,MATCH($B1654,الموظفات!$B$5:$B$304,0))&amp;"",""))</f>
        <v/>
      </c>
      <c r="O1654" s="21">
        <f>IF(C1654="","",IFERROR(INDEX(الإعدادات!$D$7:$D$35,MATCH(C1654,الإعدادات!$A$7:$A$35,0))&amp;"",""))</f>
        <v/>
      </c>
      <c r="P1654" s="20">
        <f>IF(A1654="","",INDEX(الإعدادات!$H$7:$H$18,MONTH(A1654)))</f>
        <v/>
      </c>
      <c r="Q1654" s="20">
        <f>IF(A1654="","",INDEX(الإعدادات!$I$7:$I$18,MONTH(A1654)))</f>
        <v/>
      </c>
      <c r="R1654" s="20">
        <f>IF(A1654="","",IF(MONTH(A1654)&gt;=8,YEAR(A1654)&amp;"-"&amp;(YEAR(A1654)+1),(YEAR(A1654)-1)&amp;"-"&amp;YEAR(A1654)))</f>
        <v/>
      </c>
      <c r="S1654" s="20">
        <f>IF(OR(A1654="",B1654=""),0,IF(AND(R1654=التقارير!$C$4,OR(التقارير!$C$5="سنوي",AND(التقارير!$C$5="شهري",P1654=التقارير!$C$6),AND(التقارير!$C$5="فصلي",Q1654=التقارير!$C$7))),1,0))</f>
        <v/>
      </c>
      <c r="T1654" s="20">
        <f>IF(S1654=1,COUNTIF($S$5:S1654,1),"")</f>
        <v/>
      </c>
      <c r="U1654">
        <f>IF(AND($A1654&lt;&gt;"",$B1654&lt;&gt;"",$R1654='تقرير الفصل الأول'!$C$4,$Q1654='تقرير الفصل الأول'!$C$7),COUNT(U$4:U1653)+1,"")</f>
        <v/>
      </c>
      <c r="V1654">
        <f>IF(AND($A1654&lt;&gt;"",$B1654&lt;&gt;"",$R1654='تقرير الفصل الثاني'!$C$4,$Q1654='تقرير الفصل الثاني'!$C$7),COUNT(V$4:V1653)+1,"")</f>
        <v/>
      </c>
      <c r="W1654">
        <f>IF(AND($A1654&lt;&gt;"",$B1654&lt;&gt;"",$R1654='تقرير سبتمبر'!$C$4,$P1654='تقرير سبتمبر'!$C$6),COUNT(W$4:W1653)+1,"")</f>
        <v/>
      </c>
      <c r="X1654">
        <f>IF(AND($A1654&lt;&gt;"",$B1654&lt;&gt;"",$R1654='تقرير أكتوبر'!$C$4,$P1654='تقرير أكتوبر'!$C$6),COUNT(X$4:X1653)+1,"")</f>
        <v/>
      </c>
      <c r="Y1654">
        <f>IF(AND($A1654&lt;&gt;"",$B1654&lt;&gt;"",$R1654='تقرير نوفمبر'!$C$4,$P1654='تقرير نوفمبر'!$C$6),COUNT(Y$4:Y1653)+1,"")</f>
        <v/>
      </c>
      <c r="Z1654">
        <f>IF(AND($A1654&lt;&gt;"",$B1654&lt;&gt;"",$R1654='تقرير ديسمبر'!$C$4,$P1654='تقرير ديسمبر'!$C$6),COUNT(Z$4:Z1653)+1,"")</f>
        <v/>
      </c>
      <c r="AA1654">
        <f>IF(AND($A1654&lt;&gt;"",$B1654&lt;&gt;"",$R1654='تقرير يناير'!$C$4,$P1654='تقرير يناير'!$C$6),COUNT(AA$4:AA1653)+1,"")</f>
        <v/>
      </c>
      <c r="AB1654">
        <f>IF(AND($A1654&lt;&gt;"",$B1654&lt;&gt;"",$R1654='تقرير فبراير'!$C$4,$P1654='تقرير فبراير'!$C$6),COUNT(AB$4:AB1653)+1,"")</f>
        <v/>
      </c>
      <c r="AC1654">
        <f>IF(AND($A1654&lt;&gt;"",$B1654&lt;&gt;"",$R1654='تقرير مارس'!$C$4,$P1654='تقرير مارس'!$C$6),COUNT(AC$4:AC1653)+1,"")</f>
        <v/>
      </c>
      <c r="AD1654">
        <f>IF(AND($A1654&lt;&gt;"",$B1654&lt;&gt;"",$R1654='تقرير أبريل'!$C$4,$P1654='تقرير أبريل'!$C$6),COUNT(AD$4:AD1653)+1,"")</f>
        <v/>
      </c>
      <c r="AE1654">
        <f>IF(AND($A1654&lt;&gt;"",$B1654&lt;&gt;"",$R1654='تقرير مايو'!$C$4,$P1654='تقرير مايو'!$C$6),COUNT(AE$4:AE1653)+1,"")</f>
        <v/>
      </c>
    </row>
    <row r="1655">
      <c r="A1655" s="16" t="n"/>
      <c r="B1655" s="17" t="n"/>
      <c r="C1655" s="17" t="n"/>
      <c r="D1655" s="18" t="n"/>
      <c r="E1655" s="17" t="n"/>
      <c r="F1655" s="17" t="n"/>
      <c r="G1655" s="19" t="n"/>
      <c r="H1655" s="17" t="n"/>
      <c r="I1655" s="17" t="n"/>
      <c r="J1655" s="17" t="n"/>
      <c r="K1655" s="20">
        <f>IF($B1655="","",IFERROR(INDEX(الموظفات!$A$5:$A$304,MATCH($B1655,الموظفات!$B$5:$B$304,0))&amp;"",""))</f>
        <v/>
      </c>
      <c r="L1655" s="21">
        <f>IF($B1655="","",IFERROR(INDEX(الموظفات!$C$5:$C$304,MATCH($B1655,الموظفات!$B$5:$B$304,0))&amp;"",""))</f>
        <v/>
      </c>
      <c r="M1655" s="20">
        <f>IF($B1655="","",IFERROR(INDEX(الموظفات!$D$5:$D$304,MATCH($B1655,الموظفات!$B$5:$B$304,0))&amp;"",""))</f>
        <v/>
      </c>
      <c r="N1655" s="20">
        <f>IF($B1655="","",IFERROR(INDEX(الموظفات!$E$5:$E$304,MATCH($B1655,الموظفات!$B$5:$B$304,0))&amp;"",""))</f>
        <v/>
      </c>
      <c r="O1655" s="21">
        <f>IF(C1655="","",IFERROR(INDEX(الإعدادات!$D$7:$D$35,MATCH(C1655,الإعدادات!$A$7:$A$35,0))&amp;"",""))</f>
        <v/>
      </c>
      <c r="P1655" s="20">
        <f>IF(A1655="","",INDEX(الإعدادات!$H$7:$H$18,MONTH(A1655)))</f>
        <v/>
      </c>
      <c r="Q1655" s="20">
        <f>IF(A1655="","",INDEX(الإعدادات!$I$7:$I$18,MONTH(A1655)))</f>
        <v/>
      </c>
      <c r="R1655" s="20">
        <f>IF(A1655="","",IF(MONTH(A1655)&gt;=8,YEAR(A1655)&amp;"-"&amp;(YEAR(A1655)+1),(YEAR(A1655)-1)&amp;"-"&amp;YEAR(A1655)))</f>
        <v/>
      </c>
      <c r="S1655" s="20">
        <f>IF(OR(A1655="",B1655=""),0,IF(AND(R1655=التقارير!$C$4,OR(التقارير!$C$5="سنوي",AND(التقارير!$C$5="شهري",P1655=التقارير!$C$6),AND(التقارير!$C$5="فصلي",Q1655=التقارير!$C$7))),1,0))</f>
        <v/>
      </c>
      <c r="T1655" s="20">
        <f>IF(S1655=1,COUNTIF($S$5:S1655,1),"")</f>
        <v/>
      </c>
      <c r="U1655">
        <f>IF(AND($A1655&lt;&gt;"",$B1655&lt;&gt;"",$R1655='تقرير الفصل الأول'!$C$4,$Q1655='تقرير الفصل الأول'!$C$7),COUNT(U$4:U1654)+1,"")</f>
        <v/>
      </c>
      <c r="V1655">
        <f>IF(AND($A1655&lt;&gt;"",$B1655&lt;&gt;"",$R1655='تقرير الفصل الثاني'!$C$4,$Q1655='تقرير الفصل الثاني'!$C$7),COUNT(V$4:V1654)+1,"")</f>
        <v/>
      </c>
      <c r="W1655">
        <f>IF(AND($A1655&lt;&gt;"",$B1655&lt;&gt;"",$R1655='تقرير سبتمبر'!$C$4,$P1655='تقرير سبتمبر'!$C$6),COUNT(W$4:W1654)+1,"")</f>
        <v/>
      </c>
      <c r="X1655">
        <f>IF(AND($A1655&lt;&gt;"",$B1655&lt;&gt;"",$R1655='تقرير أكتوبر'!$C$4,$P1655='تقرير أكتوبر'!$C$6),COUNT(X$4:X1654)+1,"")</f>
        <v/>
      </c>
      <c r="Y1655">
        <f>IF(AND($A1655&lt;&gt;"",$B1655&lt;&gt;"",$R1655='تقرير نوفمبر'!$C$4,$P1655='تقرير نوفمبر'!$C$6),COUNT(Y$4:Y1654)+1,"")</f>
        <v/>
      </c>
      <c r="Z1655">
        <f>IF(AND($A1655&lt;&gt;"",$B1655&lt;&gt;"",$R1655='تقرير ديسمبر'!$C$4,$P1655='تقرير ديسمبر'!$C$6),COUNT(Z$4:Z1654)+1,"")</f>
        <v/>
      </c>
      <c r="AA1655">
        <f>IF(AND($A1655&lt;&gt;"",$B1655&lt;&gt;"",$R1655='تقرير يناير'!$C$4,$P1655='تقرير يناير'!$C$6),COUNT(AA$4:AA1654)+1,"")</f>
        <v/>
      </c>
      <c r="AB1655">
        <f>IF(AND($A1655&lt;&gt;"",$B1655&lt;&gt;"",$R1655='تقرير فبراير'!$C$4,$P1655='تقرير فبراير'!$C$6),COUNT(AB$4:AB1654)+1,"")</f>
        <v/>
      </c>
      <c r="AC1655">
        <f>IF(AND($A1655&lt;&gt;"",$B1655&lt;&gt;"",$R1655='تقرير مارس'!$C$4,$P1655='تقرير مارس'!$C$6),COUNT(AC$4:AC1654)+1,"")</f>
        <v/>
      </c>
      <c r="AD1655">
        <f>IF(AND($A1655&lt;&gt;"",$B1655&lt;&gt;"",$R1655='تقرير أبريل'!$C$4,$P1655='تقرير أبريل'!$C$6),COUNT(AD$4:AD1654)+1,"")</f>
        <v/>
      </c>
      <c r="AE1655">
        <f>IF(AND($A1655&lt;&gt;"",$B1655&lt;&gt;"",$R1655='تقرير مايو'!$C$4,$P1655='تقرير مايو'!$C$6),COUNT(AE$4:AE1654)+1,"")</f>
        <v/>
      </c>
    </row>
    <row r="1656">
      <c r="A1656" s="16" t="n"/>
      <c r="B1656" s="17" t="n"/>
      <c r="C1656" s="17" t="n"/>
      <c r="D1656" s="18" t="n"/>
      <c r="E1656" s="17" t="n"/>
      <c r="F1656" s="17" t="n"/>
      <c r="G1656" s="19" t="n"/>
      <c r="H1656" s="17" t="n"/>
      <c r="I1656" s="17" t="n"/>
      <c r="J1656" s="17" t="n"/>
      <c r="K1656" s="20">
        <f>IF($B1656="","",IFERROR(INDEX(الموظفات!$A$5:$A$304,MATCH($B1656,الموظفات!$B$5:$B$304,0))&amp;"",""))</f>
        <v/>
      </c>
      <c r="L1656" s="21">
        <f>IF($B1656="","",IFERROR(INDEX(الموظفات!$C$5:$C$304,MATCH($B1656,الموظفات!$B$5:$B$304,0))&amp;"",""))</f>
        <v/>
      </c>
      <c r="M1656" s="20">
        <f>IF($B1656="","",IFERROR(INDEX(الموظفات!$D$5:$D$304,MATCH($B1656,الموظفات!$B$5:$B$304,0))&amp;"",""))</f>
        <v/>
      </c>
      <c r="N1656" s="20">
        <f>IF($B1656="","",IFERROR(INDEX(الموظفات!$E$5:$E$304,MATCH($B1656,الموظفات!$B$5:$B$304,0))&amp;"",""))</f>
        <v/>
      </c>
      <c r="O1656" s="21">
        <f>IF(C1656="","",IFERROR(INDEX(الإعدادات!$D$7:$D$35,MATCH(C1656,الإعدادات!$A$7:$A$35,0))&amp;"",""))</f>
        <v/>
      </c>
      <c r="P1656" s="20">
        <f>IF(A1656="","",INDEX(الإعدادات!$H$7:$H$18,MONTH(A1656)))</f>
        <v/>
      </c>
      <c r="Q1656" s="20">
        <f>IF(A1656="","",INDEX(الإعدادات!$I$7:$I$18,MONTH(A1656)))</f>
        <v/>
      </c>
      <c r="R1656" s="20">
        <f>IF(A1656="","",IF(MONTH(A1656)&gt;=8,YEAR(A1656)&amp;"-"&amp;(YEAR(A1656)+1),(YEAR(A1656)-1)&amp;"-"&amp;YEAR(A1656)))</f>
        <v/>
      </c>
      <c r="S1656" s="20">
        <f>IF(OR(A1656="",B1656=""),0,IF(AND(R1656=التقارير!$C$4,OR(التقارير!$C$5="سنوي",AND(التقارير!$C$5="شهري",P1656=التقارير!$C$6),AND(التقارير!$C$5="فصلي",Q1656=التقارير!$C$7))),1,0))</f>
        <v/>
      </c>
      <c r="T1656" s="20">
        <f>IF(S1656=1,COUNTIF($S$5:S1656,1),"")</f>
        <v/>
      </c>
      <c r="U1656">
        <f>IF(AND($A1656&lt;&gt;"",$B1656&lt;&gt;"",$R1656='تقرير الفصل الأول'!$C$4,$Q1656='تقرير الفصل الأول'!$C$7),COUNT(U$4:U1655)+1,"")</f>
        <v/>
      </c>
      <c r="V1656">
        <f>IF(AND($A1656&lt;&gt;"",$B1656&lt;&gt;"",$R1656='تقرير الفصل الثاني'!$C$4,$Q1656='تقرير الفصل الثاني'!$C$7),COUNT(V$4:V1655)+1,"")</f>
        <v/>
      </c>
      <c r="W1656">
        <f>IF(AND($A1656&lt;&gt;"",$B1656&lt;&gt;"",$R1656='تقرير سبتمبر'!$C$4,$P1656='تقرير سبتمبر'!$C$6),COUNT(W$4:W1655)+1,"")</f>
        <v/>
      </c>
      <c r="X1656">
        <f>IF(AND($A1656&lt;&gt;"",$B1656&lt;&gt;"",$R1656='تقرير أكتوبر'!$C$4,$P1656='تقرير أكتوبر'!$C$6),COUNT(X$4:X1655)+1,"")</f>
        <v/>
      </c>
      <c r="Y1656">
        <f>IF(AND($A1656&lt;&gt;"",$B1656&lt;&gt;"",$R1656='تقرير نوفمبر'!$C$4,$P1656='تقرير نوفمبر'!$C$6),COUNT(Y$4:Y1655)+1,"")</f>
        <v/>
      </c>
      <c r="Z1656">
        <f>IF(AND($A1656&lt;&gt;"",$B1656&lt;&gt;"",$R1656='تقرير ديسمبر'!$C$4,$P1656='تقرير ديسمبر'!$C$6),COUNT(Z$4:Z1655)+1,"")</f>
        <v/>
      </c>
      <c r="AA1656">
        <f>IF(AND($A1656&lt;&gt;"",$B1656&lt;&gt;"",$R1656='تقرير يناير'!$C$4,$P1656='تقرير يناير'!$C$6),COUNT(AA$4:AA1655)+1,"")</f>
        <v/>
      </c>
      <c r="AB1656">
        <f>IF(AND($A1656&lt;&gt;"",$B1656&lt;&gt;"",$R1656='تقرير فبراير'!$C$4,$P1656='تقرير فبراير'!$C$6),COUNT(AB$4:AB1655)+1,"")</f>
        <v/>
      </c>
      <c r="AC1656">
        <f>IF(AND($A1656&lt;&gt;"",$B1656&lt;&gt;"",$R1656='تقرير مارس'!$C$4,$P1656='تقرير مارس'!$C$6),COUNT(AC$4:AC1655)+1,"")</f>
        <v/>
      </c>
      <c r="AD1656">
        <f>IF(AND($A1656&lt;&gt;"",$B1656&lt;&gt;"",$R1656='تقرير أبريل'!$C$4,$P1656='تقرير أبريل'!$C$6),COUNT(AD$4:AD1655)+1,"")</f>
        <v/>
      </c>
      <c r="AE1656">
        <f>IF(AND($A1656&lt;&gt;"",$B1656&lt;&gt;"",$R1656='تقرير مايو'!$C$4,$P1656='تقرير مايو'!$C$6),COUNT(AE$4:AE1655)+1,"")</f>
        <v/>
      </c>
    </row>
    <row r="1657">
      <c r="A1657" s="16" t="n"/>
      <c r="B1657" s="17" t="n"/>
      <c r="C1657" s="17" t="n"/>
      <c r="D1657" s="18" t="n"/>
      <c r="E1657" s="17" t="n"/>
      <c r="F1657" s="17" t="n"/>
      <c r="G1657" s="19" t="n"/>
      <c r="H1657" s="17" t="n"/>
      <c r="I1657" s="17" t="n"/>
      <c r="J1657" s="17" t="n"/>
      <c r="K1657" s="20">
        <f>IF($B1657="","",IFERROR(INDEX(الموظفات!$A$5:$A$304,MATCH($B1657,الموظفات!$B$5:$B$304,0))&amp;"",""))</f>
        <v/>
      </c>
      <c r="L1657" s="21">
        <f>IF($B1657="","",IFERROR(INDEX(الموظفات!$C$5:$C$304,MATCH($B1657,الموظفات!$B$5:$B$304,0))&amp;"",""))</f>
        <v/>
      </c>
      <c r="M1657" s="20">
        <f>IF($B1657="","",IFERROR(INDEX(الموظفات!$D$5:$D$304,MATCH($B1657,الموظفات!$B$5:$B$304,0))&amp;"",""))</f>
        <v/>
      </c>
      <c r="N1657" s="20">
        <f>IF($B1657="","",IFERROR(INDEX(الموظفات!$E$5:$E$304,MATCH($B1657,الموظفات!$B$5:$B$304,0))&amp;"",""))</f>
        <v/>
      </c>
      <c r="O1657" s="21">
        <f>IF(C1657="","",IFERROR(INDEX(الإعدادات!$D$7:$D$35,MATCH(C1657,الإعدادات!$A$7:$A$35,0))&amp;"",""))</f>
        <v/>
      </c>
      <c r="P1657" s="20">
        <f>IF(A1657="","",INDEX(الإعدادات!$H$7:$H$18,MONTH(A1657)))</f>
        <v/>
      </c>
      <c r="Q1657" s="20">
        <f>IF(A1657="","",INDEX(الإعدادات!$I$7:$I$18,MONTH(A1657)))</f>
        <v/>
      </c>
      <c r="R1657" s="20">
        <f>IF(A1657="","",IF(MONTH(A1657)&gt;=8,YEAR(A1657)&amp;"-"&amp;(YEAR(A1657)+1),(YEAR(A1657)-1)&amp;"-"&amp;YEAR(A1657)))</f>
        <v/>
      </c>
      <c r="S1657" s="20">
        <f>IF(OR(A1657="",B1657=""),0,IF(AND(R1657=التقارير!$C$4,OR(التقارير!$C$5="سنوي",AND(التقارير!$C$5="شهري",P1657=التقارير!$C$6),AND(التقارير!$C$5="فصلي",Q1657=التقارير!$C$7))),1,0))</f>
        <v/>
      </c>
      <c r="T1657" s="20">
        <f>IF(S1657=1,COUNTIF($S$5:S1657,1),"")</f>
        <v/>
      </c>
      <c r="U1657">
        <f>IF(AND($A1657&lt;&gt;"",$B1657&lt;&gt;"",$R1657='تقرير الفصل الأول'!$C$4,$Q1657='تقرير الفصل الأول'!$C$7),COUNT(U$4:U1656)+1,"")</f>
        <v/>
      </c>
      <c r="V1657">
        <f>IF(AND($A1657&lt;&gt;"",$B1657&lt;&gt;"",$R1657='تقرير الفصل الثاني'!$C$4,$Q1657='تقرير الفصل الثاني'!$C$7),COUNT(V$4:V1656)+1,"")</f>
        <v/>
      </c>
      <c r="W1657">
        <f>IF(AND($A1657&lt;&gt;"",$B1657&lt;&gt;"",$R1657='تقرير سبتمبر'!$C$4,$P1657='تقرير سبتمبر'!$C$6),COUNT(W$4:W1656)+1,"")</f>
        <v/>
      </c>
      <c r="X1657">
        <f>IF(AND($A1657&lt;&gt;"",$B1657&lt;&gt;"",$R1657='تقرير أكتوبر'!$C$4,$P1657='تقرير أكتوبر'!$C$6),COUNT(X$4:X1656)+1,"")</f>
        <v/>
      </c>
      <c r="Y1657">
        <f>IF(AND($A1657&lt;&gt;"",$B1657&lt;&gt;"",$R1657='تقرير نوفمبر'!$C$4,$P1657='تقرير نوفمبر'!$C$6),COUNT(Y$4:Y1656)+1,"")</f>
        <v/>
      </c>
      <c r="Z1657">
        <f>IF(AND($A1657&lt;&gt;"",$B1657&lt;&gt;"",$R1657='تقرير ديسمبر'!$C$4,$P1657='تقرير ديسمبر'!$C$6),COUNT(Z$4:Z1656)+1,"")</f>
        <v/>
      </c>
      <c r="AA1657">
        <f>IF(AND($A1657&lt;&gt;"",$B1657&lt;&gt;"",$R1657='تقرير يناير'!$C$4,$P1657='تقرير يناير'!$C$6),COUNT(AA$4:AA1656)+1,"")</f>
        <v/>
      </c>
      <c r="AB1657">
        <f>IF(AND($A1657&lt;&gt;"",$B1657&lt;&gt;"",$R1657='تقرير فبراير'!$C$4,$P1657='تقرير فبراير'!$C$6),COUNT(AB$4:AB1656)+1,"")</f>
        <v/>
      </c>
      <c r="AC1657">
        <f>IF(AND($A1657&lt;&gt;"",$B1657&lt;&gt;"",$R1657='تقرير مارس'!$C$4,$P1657='تقرير مارس'!$C$6),COUNT(AC$4:AC1656)+1,"")</f>
        <v/>
      </c>
      <c r="AD1657">
        <f>IF(AND($A1657&lt;&gt;"",$B1657&lt;&gt;"",$R1657='تقرير أبريل'!$C$4,$P1657='تقرير أبريل'!$C$6),COUNT(AD$4:AD1656)+1,"")</f>
        <v/>
      </c>
      <c r="AE1657">
        <f>IF(AND($A1657&lt;&gt;"",$B1657&lt;&gt;"",$R1657='تقرير مايو'!$C$4,$P1657='تقرير مايو'!$C$6),COUNT(AE$4:AE1656)+1,"")</f>
        <v/>
      </c>
    </row>
    <row r="1658">
      <c r="A1658" s="16" t="n"/>
      <c r="B1658" s="17" t="n"/>
      <c r="C1658" s="17" t="n"/>
      <c r="D1658" s="18" t="n"/>
      <c r="E1658" s="17" t="n"/>
      <c r="F1658" s="17" t="n"/>
      <c r="G1658" s="19" t="n"/>
      <c r="H1658" s="17" t="n"/>
      <c r="I1658" s="17" t="n"/>
      <c r="J1658" s="17" t="n"/>
      <c r="K1658" s="20">
        <f>IF($B1658="","",IFERROR(INDEX(الموظفات!$A$5:$A$304,MATCH($B1658,الموظفات!$B$5:$B$304,0))&amp;"",""))</f>
        <v/>
      </c>
      <c r="L1658" s="21">
        <f>IF($B1658="","",IFERROR(INDEX(الموظفات!$C$5:$C$304,MATCH($B1658,الموظفات!$B$5:$B$304,0))&amp;"",""))</f>
        <v/>
      </c>
      <c r="M1658" s="20">
        <f>IF($B1658="","",IFERROR(INDEX(الموظفات!$D$5:$D$304,MATCH($B1658,الموظفات!$B$5:$B$304,0))&amp;"",""))</f>
        <v/>
      </c>
      <c r="N1658" s="20">
        <f>IF($B1658="","",IFERROR(INDEX(الموظفات!$E$5:$E$304,MATCH($B1658,الموظفات!$B$5:$B$304,0))&amp;"",""))</f>
        <v/>
      </c>
      <c r="O1658" s="21">
        <f>IF(C1658="","",IFERROR(INDEX(الإعدادات!$D$7:$D$35,MATCH(C1658,الإعدادات!$A$7:$A$35,0))&amp;"",""))</f>
        <v/>
      </c>
      <c r="P1658" s="20">
        <f>IF(A1658="","",INDEX(الإعدادات!$H$7:$H$18,MONTH(A1658)))</f>
        <v/>
      </c>
      <c r="Q1658" s="20">
        <f>IF(A1658="","",INDEX(الإعدادات!$I$7:$I$18,MONTH(A1658)))</f>
        <v/>
      </c>
      <c r="R1658" s="20">
        <f>IF(A1658="","",IF(MONTH(A1658)&gt;=8,YEAR(A1658)&amp;"-"&amp;(YEAR(A1658)+1),(YEAR(A1658)-1)&amp;"-"&amp;YEAR(A1658)))</f>
        <v/>
      </c>
      <c r="S1658" s="20">
        <f>IF(OR(A1658="",B1658=""),0,IF(AND(R1658=التقارير!$C$4,OR(التقارير!$C$5="سنوي",AND(التقارير!$C$5="شهري",P1658=التقارير!$C$6),AND(التقارير!$C$5="فصلي",Q1658=التقارير!$C$7))),1,0))</f>
        <v/>
      </c>
      <c r="T1658" s="20">
        <f>IF(S1658=1,COUNTIF($S$5:S1658,1),"")</f>
        <v/>
      </c>
      <c r="U1658">
        <f>IF(AND($A1658&lt;&gt;"",$B1658&lt;&gt;"",$R1658='تقرير الفصل الأول'!$C$4,$Q1658='تقرير الفصل الأول'!$C$7),COUNT(U$4:U1657)+1,"")</f>
        <v/>
      </c>
      <c r="V1658">
        <f>IF(AND($A1658&lt;&gt;"",$B1658&lt;&gt;"",$R1658='تقرير الفصل الثاني'!$C$4,$Q1658='تقرير الفصل الثاني'!$C$7),COUNT(V$4:V1657)+1,"")</f>
        <v/>
      </c>
      <c r="W1658">
        <f>IF(AND($A1658&lt;&gt;"",$B1658&lt;&gt;"",$R1658='تقرير سبتمبر'!$C$4,$P1658='تقرير سبتمبر'!$C$6),COUNT(W$4:W1657)+1,"")</f>
        <v/>
      </c>
      <c r="X1658">
        <f>IF(AND($A1658&lt;&gt;"",$B1658&lt;&gt;"",$R1658='تقرير أكتوبر'!$C$4,$P1658='تقرير أكتوبر'!$C$6),COUNT(X$4:X1657)+1,"")</f>
        <v/>
      </c>
      <c r="Y1658">
        <f>IF(AND($A1658&lt;&gt;"",$B1658&lt;&gt;"",$R1658='تقرير نوفمبر'!$C$4,$P1658='تقرير نوفمبر'!$C$6),COUNT(Y$4:Y1657)+1,"")</f>
        <v/>
      </c>
      <c r="Z1658">
        <f>IF(AND($A1658&lt;&gt;"",$B1658&lt;&gt;"",$R1658='تقرير ديسمبر'!$C$4,$P1658='تقرير ديسمبر'!$C$6),COUNT(Z$4:Z1657)+1,"")</f>
        <v/>
      </c>
      <c r="AA1658">
        <f>IF(AND($A1658&lt;&gt;"",$B1658&lt;&gt;"",$R1658='تقرير يناير'!$C$4,$P1658='تقرير يناير'!$C$6),COUNT(AA$4:AA1657)+1,"")</f>
        <v/>
      </c>
      <c r="AB1658">
        <f>IF(AND($A1658&lt;&gt;"",$B1658&lt;&gt;"",$R1658='تقرير فبراير'!$C$4,$P1658='تقرير فبراير'!$C$6),COUNT(AB$4:AB1657)+1,"")</f>
        <v/>
      </c>
      <c r="AC1658">
        <f>IF(AND($A1658&lt;&gt;"",$B1658&lt;&gt;"",$R1658='تقرير مارس'!$C$4,$P1658='تقرير مارس'!$C$6),COUNT(AC$4:AC1657)+1,"")</f>
        <v/>
      </c>
      <c r="AD1658">
        <f>IF(AND($A1658&lt;&gt;"",$B1658&lt;&gt;"",$R1658='تقرير أبريل'!$C$4,$P1658='تقرير أبريل'!$C$6),COUNT(AD$4:AD1657)+1,"")</f>
        <v/>
      </c>
      <c r="AE1658">
        <f>IF(AND($A1658&lt;&gt;"",$B1658&lt;&gt;"",$R1658='تقرير مايو'!$C$4,$P1658='تقرير مايو'!$C$6),COUNT(AE$4:AE1657)+1,"")</f>
        <v/>
      </c>
    </row>
    <row r="1659">
      <c r="A1659" s="16" t="n"/>
      <c r="B1659" s="17" t="n"/>
      <c r="C1659" s="17" t="n"/>
      <c r="D1659" s="18" t="n"/>
      <c r="E1659" s="17" t="n"/>
      <c r="F1659" s="17" t="n"/>
      <c r="G1659" s="19" t="n"/>
      <c r="H1659" s="17" t="n"/>
      <c r="I1659" s="17" t="n"/>
      <c r="J1659" s="17" t="n"/>
      <c r="K1659" s="20">
        <f>IF($B1659="","",IFERROR(INDEX(الموظفات!$A$5:$A$304,MATCH($B1659,الموظفات!$B$5:$B$304,0))&amp;"",""))</f>
        <v/>
      </c>
      <c r="L1659" s="21">
        <f>IF($B1659="","",IFERROR(INDEX(الموظفات!$C$5:$C$304,MATCH($B1659,الموظفات!$B$5:$B$304,0))&amp;"",""))</f>
        <v/>
      </c>
      <c r="M1659" s="20">
        <f>IF($B1659="","",IFERROR(INDEX(الموظفات!$D$5:$D$304,MATCH($B1659,الموظفات!$B$5:$B$304,0))&amp;"",""))</f>
        <v/>
      </c>
      <c r="N1659" s="20">
        <f>IF($B1659="","",IFERROR(INDEX(الموظفات!$E$5:$E$304,MATCH($B1659,الموظفات!$B$5:$B$304,0))&amp;"",""))</f>
        <v/>
      </c>
      <c r="O1659" s="21">
        <f>IF(C1659="","",IFERROR(INDEX(الإعدادات!$D$7:$D$35,MATCH(C1659,الإعدادات!$A$7:$A$35,0))&amp;"",""))</f>
        <v/>
      </c>
      <c r="P1659" s="20">
        <f>IF(A1659="","",INDEX(الإعدادات!$H$7:$H$18,MONTH(A1659)))</f>
        <v/>
      </c>
      <c r="Q1659" s="20">
        <f>IF(A1659="","",INDEX(الإعدادات!$I$7:$I$18,MONTH(A1659)))</f>
        <v/>
      </c>
      <c r="R1659" s="20">
        <f>IF(A1659="","",IF(MONTH(A1659)&gt;=8,YEAR(A1659)&amp;"-"&amp;(YEAR(A1659)+1),(YEAR(A1659)-1)&amp;"-"&amp;YEAR(A1659)))</f>
        <v/>
      </c>
      <c r="S1659" s="20">
        <f>IF(OR(A1659="",B1659=""),0,IF(AND(R1659=التقارير!$C$4,OR(التقارير!$C$5="سنوي",AND(التقارير!$C$5="شهري",P1659=التقارير!$C$6),AND(التقارير!$C$5="فصلي",Q1659=التقارير!$C$7))),1,0))</f>
        <v/>
      </c>
      <c r="T1659" s="20">
        <f>IF(S1659=1,COUNTIF($S$5:S1659,1),"")</f>
        <v/>
      </c>
      <c r="U1659">
        <f>IF(AND($A1659&lt;&gt;"",$B1659&lt;&gt;"",$R1659='تقرير الفصل الأول'!$C$4,$Q1659='تقرير الفصل الأول'!$C$7),COUNT(U$4:U1658)+1,"")</f>
        <v/>
      </c>
      <c r="V1659">
        <f>IF(AND($A1659&lt;&gt;"",$B1659&lt;&gt;"",$R1659='تقرير الفصل الثاني'!$C$4,$Q1659='تقرير الفصل الثاني'!$C$7),COUNT(V$4:V1658)+1,"")</f>
        <v/>
      </c>
      <c r="W1659">
        <f>IF(AND($A1659&lt;&gt;"",$B1659&lt;&gt;"",$R1659='تقرير سبتمبر'!$C$4,$P1659='تقرير سبتمبر'!$C$6),COUNT(W$4:W1658)+1,"")</f>
        <v/>
      </c>
      <c r="X1659">
        <f>IF(AND($A1659&lt;&gt;"",$B1659&lt;&gt;"",$R1659='تقرير أكتوبر'!$C$4,$P1659='تقرير أكتوبر'!$C$6),COUNT(X$4:X1658)+1,"")</f>
        <v/>
      </c>
      <c r="Y1659">
        <f>IF(AND($A1659&lt;&gt;"",$B1659&lt;&gt;"",$R1659='تقرير نوفمبر'!$C$4,$P1659='تقرير نوفمبر'!$C$6),COUNT(Y$4:Y1658)+1,"")</f>
        <v/>
      </c>
      <c r="Z1659">
        <f>IF(AND($A1659&lt;&gt;"",$B1659&lt;&gt;"",$R1659='تقرير ديسمبر'!$C$4,$P1659='تقرير ديسمبر'!$C$6),COUNT(Z$4:Z1658)+1,"")</f>
        <v/>
      </c>
      <c r="AA1659">
        <f>IF(AND($A1659&lt;&gt;"",$B1659&lt;&gt;"",$R1659='تقرير يناير'!$C$4,$P1659='تقرير يناير'!$C$6),COUNT(AA$4:AA1658)+1,"")</f>
        <v/>
      </c>
      <c r="AB1659">
        <f>IF(AND($A1659&lt;&gt;"",$B1659&lt;&gt;"",$R1659='تقرير فبراير'!$C$4,$P1659='تقرير فبراير'!$C$6),COUNT(AB$4:AB1658)+1,"")</f>
        <v/>
      </c>
      <c r="AC1659">
        <f>IF(AND($A1659&lt;&gt;"",$B1659&lt;&gt;"",$R1659='تقرير مارس'!$C$4,$P1659='تقرير مارس'!$C$6),COUNT(AC$4:AC1658)+1,"")</f>
        <v/>
      </c>
      <c r="AD1659">
        <f>IF(AND($A1659&lt;&gt;"",$B1659&lt;&gt;"",$R1659='تقرير أبريل'!$C$4,$P1659='تقرير أبريل'!$C$6),COUNT(AD$4:AD1658)+1,"")</f>
        <v/>
      </c>
      <c r="AE1659">
        <f>IF(AND($A1659&lt;&gt;"",$B1659&lt;&gt;"",$R1659='تقرير مايو'!$C$4,$P1659='تقرير مايو'!$C$6),COUNT(AE$4:AE1658)+1,"")</f>
        <v/>
      </c>
    </row>
    <row r="1660">
      <c r="A1660" s="16" t="n"/>
      <c r="B1660" s="17" t="n"/>
      <c r="C1660" s="17" t="n"/>
      <c r="D1660" s="18" t="n"/>
      <c r="E1660" s="17" t="n"/>
      <c r="F1660" s="17" t="n"/>
      <c r="G1660" s="19" t="n"/>
      <c r="H1660" s="17" t="n"/>
      <c r="I1660" s="17" t="n"/>
      <c r="J1660" s="17" t="n"/>
      <c r="K1660" s="20">
        <f>IF($B1660="","",IFERROR(INDEX(الموظفات!$A$5:$A$304,MATCH($B1660,الموظفات!$B$5:$B$304,0))&amp;"",""))</f>
        <v/>
      </c>
      <c r="L1660" s="21">
        <f>IF($B1660="","",IFERROR(INDEX(الموظفات!$C$5:$C$304,MATCH($B1660,الموظفات!$B$5:$B$304,0))&amp;"",""))</f>
        <v/>
      </c>
      <c r="M1660" s="20">
        <f>IF($B1660="","",IFERROR(INDEX(الموظفات!$D$5:$D$304,MATCH($B1660,الموظفات!$B$5:$B$304,0))&amp;"",""))</f>
        <v/>
      </c>
      <c r="N1660" s="20">
        <f>IF($B1660="","",IFERROR(INDEX(الموظفات!$E$5:$E$304,MATCH($B1660,الموظفات!$B$5:$B$304,0))&amp;"",""))</f>
        <v/>
      </c>
      <c r="O1660" s="21">
        <f>IF(C1660="","",IFERROR(INDEX(الإعدادات!$D$7:$D$35,MATCH(C1660,الإعدادات!$A$7:$A$35,0))&amp;"",""))</f>
        <v/>
      </c>
      <c r="P1660" s="20">
        <f>IF(A1660="","",INDEX(الإعدادات!$H$7:$H$18,MONTH(A1660)))</f>
        <v/>
      </c>
      <c r="Q1660" s="20">
        <f>IF(A1660="","",INDEX(الإعدادات!$I$7:$I$18,MONTH(A1660)))</f>
        <v/>
      </c>
      <c r="R1660" s="20">
        <f>IF(A1660="","",IF(MONTH(A1660)&gt;=8,YEAR(A1660)&amp;"-"&amp;(YEAR(A1660)+1),(YEAR(A1660)-1)&amp;"-"&amp;YEAR(A1660)))</f>
        <v/>
      </c>
      <c r="S1660" s="20">
        <f>IF(OR(A1660="",B1660=""),0,IF(AND(R1660=التقارير!$C$4,OR(التقارير!$C$5="سنوي",AND(التقارير!$C$5="شهري",P1660=التقارير!$C$6),AND(التقارير!$C$5="فصلي",Q1660=التقارير!$C$7))),1,0))</f>
        <v/>
      </c>
      <c r="T1660" s="20">
        <f>IF(S1660=1,COUNTIF($S$5:S1660,1),"")</f>
        <v/>
      </c>
      <c r="U1660">
        <f>IF(AND($A1660&lt;&gt;"",$B1660&lt;&gt;"",$R1660='تقرير الفصل الأول'!$C$4,$Q1660='تقرير الفصل الأول'!$C$7),COUNT(U$4:U1659)+1,"")</f>
        <v/>
      </c>
      <c r="V1660">
        <f>IF(AND($A1660&lt;&gt;"",$B1660&lt;&gt;"",$R1660='تقرير الفصل الثاني'!$C$4,$Q1660='تقرير الفصل الثاني'!$C$7),COUNT(V$4:V1659)+1,"")</f>
        <v/>
      </c>
      <c r="W1660">
        <f>IF(AND($A1660&lt;&gt;"",$B1660&lt;&gt;"",$R1660='تقرير سبتمبر'!$C$4,$P1660='تقرير سبتمبر'!$C$6),COUNT(W$4:W1659)+1,"")</f>
        <v/>
      </c>
      <c r="X1660">
        <f>IF(AND($A1660&lt;&gt;"",$B1660&lt;&gt;"",$R1660='تقرير أكتوبر'!$C$4,$P1660='تقرير أكتوبر'!$C$6),COUNT(X$4:X1659)+1,"")</f>
        <v/>
      </c>
      <c r="Y1660">
        <f>IF(AND($A1660&lt;&gt;"",$B1660&lt;&gt;"",$R1660='تقرير نوفمبر'!$C$4,$P1660='تقرير نوفمبر'!$C$6),COUNT(Y$4:Y1659)+1,"")</f>
        <v/>
      </c>
      <c r="Z1660">
        <f>IF(AND($A1660&lt;&gt;"",$B1660&lt;&gt;"",$R1660='تقرير ديسمبر'!$C$4,$P1660='تقرير ديسمبر'!$C$6),COUNT(Z$4:Z1659)+1,"")</f>
        <v/>
      </c>
      <c r="AA1660">
        <f>IF(AND($A1660&lt;&gt;"",$B1660&lt;&gt;"",$R1660='تقرير يناير'!$C$4,$P1660='تقرير يناير'!$C$6),COUNT(AA$4:AA1659)+1,"")</f>
        <v/>
      </c>
      <c r="AB1660">
        <f>IF(AND($A1660&lt;&gt;"",$B1660&lt;&gt;"",$R1660='تقرير فبراير'!$C$4,$P1660='تقرير فبراير'!$C$6),COUNT(AB$4:AB1659)+1,"")</f>
        <v/>
      </c>
      <c r="AC1660">
        <f>IF(AND($A1660&lt;&gt;"",$B1660&lt;&gt;"",$R1660='تقرير مارس'!$C$4,$P1660='تقرير مارس'!$C$6),COUNT(AC$4:AC1659)+1,"")</f>
        <v/>
      </c>
      <c r="AD1660">
        <f>IF(AND($A1660&lt;&gt;"",$B1660&lt;&gt;"",$R1660='تقرير أبريل'!$C$4,$P1660='تقرير أبريل'!$C$6),COUNT(AD$4:AD1659)+1,"")</f>
        <v/>
      </c>
      <c r="AE1660">
        <f>IF(AND($A1660&lt;&gt;"",$B1660&lt;&gt;"",$R1660='تقرير مايو'!$C$4,$P1660='تقرير مايو'!$C$6),COUNT(AE$4:AE1659)+1,"")</f>
        <v/>
      </c>
    </row>
    <row r="1661">
      <c r="A1661" s="16" t="n"/>
      <c r="B1661" s="17" t="n"/>
      <c r="C1661" s="17" t="n"/>
      <c r="D1661" s="18" t="n"/>
      <c r="E1661" s="17" t="n"/>
      <c r="F1661" s="17" t="n"/>
      <c r="G1661" s="19" t="n"/>
      <c r="H1661" s="17" t="n"/>
      <c r="I1661" s="17" t="n"/>
      <c r="J1661" s="17" t="n"/>
      <c r="K1661" s="20">
        <f>IF($B1661="","",IFERROR(INDEX(الموظفات!$A$5:$A$304,MATCH($B1661,الموظفات!$B$5:$B$304,0))&amp;"",""))</f>
        <v/>
      </c>
      <c r="L1661" s="21">
        <f>IF($B1661="","",IFERROR(INDEX(الموظفات!$C$5:$C$304,MATCH($B1661,الموظفات!$B$5:$B$304,0))&amp;"",""))</f>
        <v/>
      </c>
      <c r="M1661" s="20">
        <f>IF($B1661="","",IFERROR(INDEX(الموظفات!$D$5:$D$304,MATCH($B1661,الموظفات!$B$5:$B$304,0))&amp;"",""))</f>
        <v/>
      </c>
      <c r="N1661" s="20">
        <f>IF($B1661="","",IFERROR(INDEX(الموظفات!$E$5:$E$304,MATCH($B1661,الموظفات!$B$5:$B$304,0))&amp;"",""))</f>
        <v/>
      </c>
      <c r="O1661" s="21">
        <f>IF(C1661="","",IFERROR(INDEX(الإعدادات!$D$7:$D$35,MATCH(C1661,الإعدادات!$A$7:$A$35,0))&amp;"",""))</f>
        <v/>
      </c>
      <c r="P1661" s="20">
        <f>IF(A1661="","",INDEX(الإعدادات!$H$7:$H$18,MONTH(A1661)))</f>
        <v/>
      </c>
      <c r="Q1661" s="20">
        <f>IF(A1661="","",INDEX(الإعدادات!$I$7:$I$18,MONTH(A1661)))</f>
        <v/>
      </c>
      <c r="R1661" s="20">
        <f>IF(A1661="","",IF(MONTH(A1661)&gt;=8,YEAR(A1661)&amp;"-"&amp;(YEAR(A1661)+1),(YEAR(A1661)-1)&amp;"-"&amp;YEAR(A1661)))</f>
        <v/>
      </c>
      <c r="S1661" s="20">
        <f>IF(OR(A1661="",B1661=""),0,IF(AND(R1661=التقارير!$C$4,OR(التقارير!$C$5="سنوي",AND(التقارير!$C$5="شهري",P1661=التقارير!$C$6),AND(التقارير!$C$5="فصلي",Q1661=التقارير!$C$7))),1,0))</f>
        <v/>
      </c>
      <c r="T1661" s="20">
        <f>IF(S1661=1,COUNTIF($S$5:S1661,1),"")</f>
        <v/>
      </c>
      <c r="U1661">
        <f>IF(AND($A1661&lt;&gt;"",$B1661&lt;&gt;"",$R1661='تقرير الفصل الأول'!$C$4,$Q1661='تقرير الفصل الأول'!$C$7),COUNT(U$4:U1660)+1,"")</f>
        <v/>
      </c>
      <c r="V1661">
        <f>IF(AND($A1661&lt;&gt;"",$B1661&lt;&gt;"",$R1661='تقرير الفصل الثاني'!$C$4,$Q1661='تقرير الفصل الثاني'!$C$7),COUNT(V$4:V1660)+1,"")</f>
        <v/>
      </c>
      <c r="W1661">
        <f>IF(AND($A1661&lt;&gt;"",$B1661&lt;&gt;"",$R1661='تقرير سبتمبر'!$C$4,$P1661='تقرير سبتمبر'!$C$6),COUNT(W$4:W1660)+1,"")</f>
        <v/>
      </c>
      <c r="X1661">
        <f>IF(AND($A1661&lt;&gt;"",$B1661&lt;&gt;"",$R1661='تقرير أكتوبر'!$C$4,$P1661='تقرير أكتوبر'!$C$6),COUNT(X$4:X1660)+1,"")</f>
        <v/>
      </c>
      <c r="Y1661">
        <f>IF(AND($A1661&lt;&gt;"",$B1661&lt;&gt;"",$R1661='تقرير نوفمبر'!$C$4,$P1661='تقرير نوفمبر'!$C$6),COUNT(Y$4:Y1660)+1,"")</f>
        <v/>
      </c>
      <c r="Z1661">
        <f>IF(AND($A1661&lt;&gt;"",$B1661&lt;&gt;"",$R1661='تقرير ديسمبر'!$C$4,$P1661='تقرير ديسمبر'!$C$6),COUNT(Z$4:Z1660)+1,"")</f>
        <v/>
      </c>
      <c r="AA1661">
        <f>IF(AND($A1661&lt;&gt;"",$B1661&lt;&gt;"",$R1661='تقرير يناير'!$C$4,$P1661='تقرير يناير'!$C$6),COUNT(AA$4:AA1660)+1,"")</f>
        <v/>
      </c>
      <c r="AB1661">
        <f>IF(AND($A1661&lt;&gt;"",$B1661&lt;&gt;"",$R1661='تقرير فبراير'!$C$4,$P1661='تقرير فبراير'!$C$6),COUNT(AB$4:AB1660)+1,"")</f>
        <v/>
      </c>
      <c r="AC1661">
        <f>IF(AND($A1661&lt;&gt;"",$B1661&lt;&gt;"",$R1661='تقرير مارس'!$C$4,$P1661='تقرير مارس'!$C$6),COUNT(AC$4:AC1660)+1,"")</f>
        <v/>
      </c>
      <c r="AD1661">
        <f>IF(AND($A1661&lt;&gt;"",$B1661&lt;&gt;"",$R1661='تقرير أبريل'!$C$4,$P1661='تقرير أبريل'!$C$6),COUNT(AD$4:AD1660)+1,"")</f>
        <v/>
      </c>
      <c r="AE1661">
        <f>IF(AND($A1661&lt;&gt;"",$B1661&lt;&gt;"",$R1661='تقرير مايو'!$C$4,$P1661='تقرير مايو'!$C$6),COUNT(AE$4:AE1660)+1,"")</f>
        <v/>
      </c>
    </row>
    <row r="1662">
      <c r="A1662" s="16" t="n"/>
      <c r="B1662" s="17" t="n"/>
      <c r="C1662" s="17" t="n"/>
      <c r="D1662" s="18" t="n"/>
      <c r="E1662" s="17" t="n"/>
      <c r="F1662" s="17" t="n"/>
      <c r="G1662" s="19" t="n"/>
      <c r="H1662" s="17" t="n"/>
      <c r="I1662" s="17" t="n"/>
      <c r="J1662" s="17" t="n"/>
      <c r="K1662" s="20">
        <f>IF($B1662="","",IFERROR(INDEX(الموظفات!$A$5:$A$304,MATCH($B1662,الموظفات!$B$5:$B$304,0))&amp;"",""))</f>
        <v/>
      </c>
      <c r="L1662" s="21">
        <f>IF($B1662="","",IFERROR(INDEX(الموظفات!$C$5:$C$304,MATCH($B1662,الموظفات!$B$5:$B$304,0))&amp;"",""))</f>
        <v/>
      </c>
      <c r="M1662" s="20">
        <f>IF($B1662="","",IFERROR(INDEX(الموظفات!$D$5:$D$304,MATCH($B1662,الموظفات!$B$5:$B$304,0))&amp;"",""))</f>
        <v/>
      </c>
      <c r="N1662" s="20">
        <f>IF($B1662="","",IFERROR(INDEX(الموظفات!$E$5:$E$304,MATCH($B1662,الموظفات!$B$5:$B$304,0))&amp;"",""))</f>
        <v/>
      </c>
      <c r="O1662" s="21">
        <f>IF(C1662="","",IFERROR(INDEX(الإعدادات!$D$7:$D$35,MATCH(C1662,الإعدادات!$A$7:$A$35,0))&amp;"",""))</f>
        <v/>
      </c>
      <c r="P1662" s="20">
        <f>IF(A1662="","",INDEX(الإعدادات!$H$7:$H$18,MONTH(A1662)))</f>
        <v/>
      </c>
      <c r="Q1662" s="20">
        <f>IF(A1662="","",INDEX(الإعدادات!$I$7:$I$18,MONTH(A1662)))</f>
        <v/>
      </c>
      <c r="R1662" s="20">
        <f>IF(A1662="","",IF(MONTH(A1662)&gt;=8,YEAR(A1662)&amp;"-"&amp;(YEAR(A1662)+1),(YEAR(A1662)-1)&amp;"-"&amp;YEAR(A1662)))</f>
        <v/>
      </c>
      <c r="S1662" s="20">
        <f>IF(OR(A1662="",B1662=""),0,IF(AND(R1662=التقارير!$C$4,OR(التقارير!$C$5="سنوي",AND(التقارير!$C$5="شهري",P1662=التقارير!$C$6),AND(التقارير!$C$5="فصلي",Q1662=التقارير!$C$7))),1,0))</f>
        <v/>
      </c>
      <c r="T1662" s="20">
        <f>IF(S1662=1,COUNTIF($S$5:S1662,1),"")</f>
        <v/>
      </c>
      <c r="U1662">
        <f>IF(AND($A1662&lt;&gt;"",$B1662&lt;&gt;"",$R1662='تقرير الفصل الأول'!$C$4,$Q1662='تقرير الفصل الأول'!$C$7),COUNT(U$4:U1661)+1,"")</f>
        <v/>
      </c>
      <c r="V1662">
        <f>IF(AND($A1662&lt;&gt;"",$B1662&lt;&gt;"",$R1662='تقرير الفصل الثاني'!$C$4,$Q1662='تقرير الفصل الثاني'!$C$7),COUNT(V$4:V1661)+1,"")</f>
        <v/>
      </c>
      <c r="W1662">
        <f>IF(AND($A1662&lt;&gt;"",$B1662&lt;&gt;"",$R1662='تقرير سبتمبر'!$C$4,$P1662='تقرير سبتمبر'!$C$6),COUNT(W$4:W1661)+1,"")</f>
        <v/>
      </c>
      <c r="X1662">
        <f>IF(AND($A1662&lt;&gt;"",$B1662&lt;&gt;"",$R1662='تقرير أكتوبر'!$C$4,$P1662='تقرير أكتوبر'!$C$6),COUNT(X$4:X1661)+1,"")</f>
        <v/>
      </c>
      <c r="Y1662">
        <f>IF(AND($A1662&lt;&gt;"",$B1662&lt;&gt;"",$R1662='تقرير نوفمبر'!$C$4,$P1662='تقرير نوفمبر'!$C$6),COUNT(Y$4:Y1661)+1,"")</f>
        <v/>
      </c>
      <c r="Z1662">
        <f>IF(AND($A1662&lt;&gt;"",$B1662&lt;&gt;"",$R1662='تقرير ديسمبر'!$C$4,$P1662='تقرير ديسمبر'!$C$6),COUNT(Z$4:Z1661)+1,"")</f>
        <v/>
      </c>
      <c r="AA1662">
        <f>IF(AND($A1662&lt;&gt;"",$B1662&lt;&gt;"",$R1662='تقرير يناير'!$C$4,$P1662='تقرير يناير'!$C$6),COUNT(AA$4:AA1661)+1,"")</f>
        <v/>
      </c>
      <c r="AB1662">
        <f>IF(AND($A1662&lt;&gt;"",$B1662&lt;&gt;"",$R1662='تقرير فبراير'!$C$4,$P1662='تقرير فبراير'!$C$6),COUNT(AB$4:AB1661)+1,"")</f>
        <v/>
      </c>
      <c r="AC1662">
        <f>IF(AND($A1662&lt;&gt;"",$B1662&lt;&gt;"",$R1662='تقرير مارس'!$C$4,$P1662='تقرير مارس'!$C$6),COUNT(AC$4:AC1661)+1,"")</f>
        <v/>
      </c>
      <c r="AD1662">
        <f>IF(AND($A1662&lt;&gt;"",$B1662&lt;&gt;"",$R1662='تقرير أبريل'!$C$4,$P1662='تقرير أبريل'!$C$6),COUNT(AD$4:AD1661)+1,"")</f>
        <v/>
      </c>
      <c r="AE1662">
        <f>IF(AND($A1662&lt;&gt;"",$B1662&lt;&gt;"",$R1662='تقرير مايو'!$C$4,$P1662='تقرير مايو'!$C$6),COUNT(AE$4:AE1661)+1,"")</f>
        <v/>
      </c>
    </row>
    <row r="1663">
      <c r="A1663" s="16" t="n"/>
      <c r="B1663" s="17" t="n"/>
      <c r="C1663" s="17" t="n"/>
      <c r="D1663" s="18" t="n"/>
      <c r="E1663" s="17" t="n"/>
      <c r="F1663" s="17" t="n"/>
      <c r="G1663" s="19" t="n"/>
      <c r="H1663" s="17" t="n"/>
      <c r="I1663" s="17" t="n"/>
      <c r="J1663" s="17" t="n"/>
      <c r="K1663" s="20">
        <f>IF($B1663="","",IFERROR(INDEX(الموظفات!$A$5:$A$304,MATCH($B1663,الموظفات!$B$5:$B$304,0))&amp;"",""))</f>
        <v/>
      </c>
      <c r="L1663" s="21">
        <f>IF($B1663="","",IFERROR(INDEX(الموظفات!$C$5:$C$304,MATCH($B1663,الموظفات!$B$5:$B$304,0))&amp;"",""))</f>
        <v/>
      </c>
      <c r="M1663" s="20">
        <f>IF($B1663="","",IFERROR(INDEX(الموظفات!$D$5:$D$304,MATCH($B1663,الموظفات!$B$5:$B$304,0))&amp;"",""))</f>
        <v/>
      </c>
      <c r="N1663" s="20">
        <f>IF($B1663="","",IFERROR(INDEX(الموظفات!$E$5:$E$304,MATCH($B1663,الموظفات!$B$5:$B$304,0))&amp;"",""))</f>
        <v/>
      </c>
      <c r="O1663" s="21">
        <f>IF(C1663="","",IFERROR(INDEX(الإعدادات!$D$7:$D$35,MATCH(C1663,الإعدادات!$A$7:$A$35,0))&amp;"",""))</f>
        <v/>
      </c>
      <c r="P1663" s="20">
        <f>IF(A1663="","",INDEX(الإعدادات!$H$7:$H$18,MONTH(A1663)))</f>
        <v/>
      </c>
      <c r="Q1663" s="20">
        <f>IF(A1663="","",INDEX(الإعدادات!$I$7:$I$18,MONTH(A1663)))</f>
        <v/>
      </c>
      <c r="R1663" s="20">
        <f>IF(A1663="","",IF(MONTH(A1663)&gt;=8,YEAR(A1663)&amp;"-"&amp;(YEAR(A1663)+1),(YEAR(A1663)-1)&amp;"-"&amp;YEAR(A1663)))</f>
        <v/>
      </c>
      <c r="S1663" s="20">
        <f>IF(OR(A1663="",B1663=""),0,IF(AND(R1663=التقارير!$C$4,OR(التقارير!$C$5="سنوي",AND(التقارير!$C$5="شهري",P1663=التقارير!$C$6),AND(التقارير!$C$5="فصلي",Q1663=التقارير!$C$7))),1,0))</f>
        <v/>
      </c>
      <c r="T1663" s="20">
        <f>IF(S1663=1,COUNTIF($S$5:S1663,1),"")</f>
        <v/>
      </c>
      <c r="U1663">
        <f>IF(AND($A1663&lt;&gt;"",$B1663&lt;&gt;"",$R1663='تقرير الفصل الأول'!$C$4,$Q1663='تقرير الفصل الأول'!$C$7),COUNT(U$4:U1662)+1,"")</f>
        <v/>
      </c>
      <c r="V1663">
        <f>IF(AND($A1663&lt;&gt;"",$B1663&lt;&gt;"",$R1663='تقرير الفصل الثاني'!$C$4,$Q1663='تقرير الفصل الثاني'!$C$7),COUNT(V$4:V1662)+1,"")</f>
        <v/>
      </c>
      <c r="W1663">
        <f>IF(AND($A1663&lt;&gt;"",$B1663&lt;&gt;"",$R1663='تقرير سبتمبر'!$C$4,$P1663='تقرير سبتمبر'!$C$6),COUNT(W$4:W1662)+1,"")</f>
        <v/>
      </c>
      <c r="X1663">
        <f>IF(AND($A1663&lt;&gt;"",$B1663&lt;&gt;"",$R1663='تقرير أكتوبر'!$C$4,$P1663='تقرير أكتوبر'!$C$6),COUNT(X$4:X1662)+1,"")</f>
        <v/>
      </c>
      <c r="Y1663">
        <f>IF(AND($A1663&lt;&gt;"",$B1663&lt;&gt;"",$R1663='تقرير نوفمبر'!$C$4,$P1663='تقرير نوفمبر'!$C$6),COUNT(Y$4:Y1662)+1,"")</f>
        <v/>
      </c>
      <c r="Z1663">
        <f>IF(AND($A1663&lt;&gt;"",$B1663&lt;&gt;"",$R1663='تقرير ديسمبر'!$C$4,$P1663='تقرير ديسمبر'!$C$6),COUNT(Z$4:Z1662)+1,"")</f>
        <v/>
      </c>
      <c r="AA1663">
        <f>IF(AND($A1663&lt;&gt;"",$B1663&lt;&gt;"",$R1663='تقرير يناير'!$C$4,$P1663='تقرير يناير'!$C$6),COUNT(AA$4:AA1662)+1,"")</f>
        <v/>
      </c>
      <c r="AB1663">
        <f>IF(AND($A1663&lt;&gt;"",$B1663&lt;&gt;"",$R1663='تقرير فبراير'!$C$4,$P1663='تقرير فبراير'!$C$6),COUNT(AB$4:AB1662)+1,"")</f>
        <v/>
      </c>
      <c r="AC1663">
        <f>IF(AND($A1663&lt;&gt;"",$B1663&lt;&gt;"",$R1663='تقرير مارس'!$C$4,$P1663='تقرير مارس'!$C$6),COUNT(AC$4:AC1662)+1,"")</f>
        <v/>
      </c>
      <c r="AD1663">
        <f>IF(AND($A1663&lt;&gt;"",$B1663&lt;&gt;"",$R1663='تقرير أبريل'!$C$4,$P1663='تقرير أبريل'!$C$6),COUNT(AD$4:AD1662)+1,"")</f>
        <v/>
      </c>
      <c r="AE1663">
        <f>IF(AND($A1663&lt;&gt;"",$B1663&lt;&gt;"",$R1663='تقرير مايو'!$C$4,$P1663='تقرير مايو'!$C$6),COUNT(AE$4:AE1662)+1,"")</f>
        <v/>
      </c>
    </row>
    <row r="1664">
      <c r="A1664" s="16" t="n"/>
      <c r="B1664" s="17" t="n"/>
      <c r="C1664" s="17" t="n"/>
      <c r="D1664" s="18" t="n"/>
      <c r="E1664" s="17" t="n"/>
      <c r="F1664" s="17" t="n"/>
      <c r="G1664" s="19" t="n"/>
      <c r="H1664" s="17" t="n"/>
      <c r="I1664" s="17" t="n"/>
      <c r="J1664" s="17" t="n"/>
      <c r="K1664" s="20">
        <f>IF($B1664="","",IFERROR(INDEX(الموظفات!$A$5:$A$304,MATCH($B1664,الموظفات!$B$5:$B$304,0))&amp;"",""))</f>
        <v/>
      </c>
      <c r="L1664" s="21">
        <f>IF($B1664="","",IFERROR(INDEX(الموظفات!$C$5:$C$304,MATCH($B1664,الموظفات!$B$5:$B$304,0))&amp;"",""))</f>
        <v/>
      </c>
      <c r="M1664" s="20">
        <f>IF($B1664="","",IFERROR(INDEX(الموظفات!$D$5:$D$304,MATCH($B1664,الموظفات!$B$5:$B$304,0))&amp;"",""))</f>
        <v/>
      </c>
      <c r="N1664" s="20">
        <f>IF($B1664="","",IFERROR(INDEX(الموظفات!$E$5:$E$304,MATCH($B1664,الموظفات!$B$5:$B$304,0))&amp;"",""))</f>
        <v/>
      </c>
      <c r="O1664" s="21">
        <f>IF(C1664="","",IFERROR(INDEX(الإعدادات!$D$7:$D$35,MATCH(C1664,الإعدادات!$A$7:$A$35,0))&amp;"",""))</f>
        <v/>
      </c>
      <c r="P1664" s="20">
        <f>IF(A1664="","",INDEX(الإعدادات!$H$7:$H$18,MONTH(A1664)))</f>
        <v/>
      </c>
      <c r="Q1664" s="20">
        <f>IF(A1664="","",INDEX(الإعدادات!$I$7:$I$18,MONTH(A1664)))</f>
        <v/>
      </c>
      <c r="R1664" s="20">
        <f>IF(A1664="","",IF(MONTH(A1664)&gt;=8,YEAR(A1664)&amp;"-"&amp;(YEAR(A1664)+1),(YEAR(A1664)-1)&amp;"-"&amp;YEAR(A1664)))</f>
        <v/>
      </c>
      <c r="S1664" s="20">
        <f>IF(OR(A1664="",B1664=""),0,IF(AND(R1664=التقارير!$C$4,OR(التقارير!$C$5="سنوي",AND(التقارير!$C$5="شهري",P1664=التقارير!$C$6),AND(التقارير!$C$5="فصلي",Q1664=التقارير!$C$7))),1,0))</f>
        <v/>
      </c>
      <c r="T1664" s="20">
        <f>IF(S1664=1,COUNTIF($S$5:S1664,1),"")</f>
        <v/>
      </c>
      <c r="U1664">
        <f>IF(AND($A1664&lt;&gt;"",$B1664&lt;&gt;"",$R1664='تقرير الفصل الأول'!$C$4,$Q1664='تقرير الفصل الأول'!$C$7),COUNT(U$4:U1663)+1,"")</f>
        <v/>
      </c>
      <c r="V1664">
        <f>IF(AND($A1664&lt;&gt;"",$B1664&lt;&gt;"",$R1664='تقرير الفصل الثاني'!$C$4,$Q1664='تقرير الفصل الثاني'!$C$7),COUNT(V$4:V1663)+1,"")</f>
        <v/>
      </c>
      <c r="W1664">
        <f>IF(AND($A1664&lt;&gt;"",$B1664&lt;&gt;"",$R1664='تقرير سبتمبر'!$C$4,$P1664='تقرير سبتمبر'!$C$6),COUNT(W$4:W1663)+1,"")</f>
        <v/>
      </c>
      <c r="X1664">
        <f>IF(AND($A1664&lt;&gt;"",$B1664&lt;&gt;"",$R1664='تقرير أكتوبر'!$C$4,$P1664='تقرير أكتوبر'!$C$6),COUNT(X$4:X1663)+1,"")</f>
        <v/>
      </c>
      <c r="Y1664">
        <f>IF(AND($A1664&lt;&gt;"",$B1664&lt;&gt;"",$R1664='تقرير نوفمبر'!$C$4,$P1664='تقرير نوفمبر'!$C$6),COUNT(Y$4:Y1663)+1,"")</f>
        <v/>
      </c>
      <c r="Z1664">
        <f>IF(AND($A1664&lt;&gt;"",$B1664&lt;&gt;"",$R1664='تقرير ديسمبر'!$C$4,$P1664='تقرير ديسمبر'!$C$6),COUNT(Z$4:Z1663)+1,"")</f>
        <v/>
      </c>
      <c r="AA1664">
        <f>IF(AND($A1664&lt;&gt;"",$B1664&lt;&gt;"",$R1664='تقرير يناير'!$C$4,$P1664='تقرير يناير'!$C$6),COUNT(AA$4:AA1663)+1,"")</f>
        <v/>
      </c>
      <c r="AB1664">
        <f>IF(AND($A1664&lt;&gt;"",$B1664&lt;&gt;"",$R1664='تقرير فبراير'!$C$4,$P1664='تقرير فبراير'!$C$6),COUNT(AB$4:AB1663)+1,"")</f>
        <v/>
      </c>
      <c r="AC1664">
        <f>IF(AND($A1664&lt;&gt;"",$B1664&lt;&gt;"",$R1664='تقرير مارس'!$C$4,$P1664='تقرير مارس'!$C$6),COUNT(AC$4:AC1663)+1,"")</f>
        <v/>
      </c>
      <c r="AD1664">
        <f>IF(AND($A1664&lt;&gt;"",$B1664&lt;&gt;"",$R1664='تقرير أبريل'!$C$4,$P1664='تقرير أبريل'!$C$6),COUNT(AD$4:AD1663)+1,"")</f>
        <v/>
      </c>
      <c r="AE1664">
        <f>IF(AND($A1664&lt;&gt;"",$B1664&lt;&gt;"",$R1664='تقرير مايو'!$C$4,$P1664='تقرير مايو'!$C$6),COUNT(AE$4:AE1663)+1,"")</f>
        <v/>
      </c>
    </row>
    <row r="1665">
      <c r="A1665" s="16" t="n"/>
      <c r="B1665" s="17" t="n"/>
      <c r="C1665" s="17" t="n"/>
      <c r="D1665" s="18" t="n"/>
      <c r="E1665" s="17" t="n"/>
      <c r="F1665" s="17" t="n"/>
      <c r="G1665" s="19" t="n"/>
      <c r="H1665" s="17" t="n"/>
      <c r="I1665" s="17" t="n"/>
      <c r="J1665" s="17" t="n"/>
      <c r="K1665" s="20">
        <f>IF($B1665="","",IFERROR(INDEX(الموظفات!$A$5:$A$304,MATCH($B1665,الموظفات!$B$5:$B$304,0))&amp;"",""))</f>
        <v/>
      </c>
      <c r="L1665" s="21">
        <f>IF($B1665="","",IFERROR(INDEX(الموظفات!$C$5:$C$304,MATCH($B1665,الموظفات!$B$5:$B$304,0))&amp;"",""))</f>
        <v/>
      </c>
      <c r="M1665" s="20">
        <f>IF($B1665="","",IFERROR(INDEX(الموظفات!$D$5:$D$304,MATCH($B1665,الموظفات!$B$5:$B$304,0))&amp;"",""))</f>
        <v/>
      </c>
      <c r="N1665" s="20">
        <f>IF($B1665="","",IFERROR(INDEX(الموظفات!$E$5:$E$304,MATCH($B1665,الموظفات!$B$5:$B$304,0))&amp;"",""))</f>
        <v/>
      </c>
      <c r="O1665" s="21">
        <f>IF(C1665="","",IFERROR(INDEX(الإعدادات!$D$7:$D$35,MATCH(C1665,الإعدادات!$A$7:$A$35,0))&amp;"",""))</f>
        <v/>
      </c>
      <c r="P1665" s="20">
        <f>IF(A1665="","",INDEX(الإعدادات!$H$7:$H$18,MONTH(A1665)))</f>
        <v/>
      </c>
      <c r="Q1665" s="20">
        <f>IF(A1665="","",INDEX(الإعدادات!$I$7:$I$18,MONTH(A1665)))</f>
        <v/>
      </c>
      <c r="R1665" s="20">
        <f>IF(A1665="","",IF(MONTH(A1665)&gt;=8,YEAR(A1665)&amp;"-"&amp;(YEAR(A1665)+1),(YEAR(A1665)-1)&amp;"-"&amp;YEAR(A1665)))</f>
        <v/>
      </c>
      <c r="S1665" s="20">
        <f>IF(OR(A1665="",B1665=""),0,IF(AND(R1665=التقارير!$C$4,OR(التقارير!$C$5="سنوي",AND(التقارير!$C$5="شهري",P1665=التقارير!$C$6),AND(التقارير!$C$5="فصلي",Q1665=التقارير!$C$7))),1,0))</f>
        <v/>
      </c>
      <c r="T1665" s="20">
        <f>IF(S1665=1,COUNTIF($S$5:S1665,1),"")</f>
        <v/>
      </c>
      <c r="U1665">
        <f>IF(AND($A1665&lt;&gt;"",$B1665&lt;&gt;"",$R1665='تقرير الفصل الأول'!$C$4,$Q1665='تقرير الفصل الأول'!$C$7),COUNT(U$4:U1664)+1,"")</f>
        <v/>
      </c>
      <c r="V1665">
        <f>IF(AND($A1665&lt;&gt;"",$B1665&lt;&gt;"",$R1665='تقرير الفصل الثاني'!$C$4,$Q1665='تقرير الفصل الثاني'!$C$7),COUNT(V$4:V1664)+1,"")</f>
        <v/>
      </c>
      <c r="W1665">
        <f>IF(AND($A1665&lt;&gt;"",$B1665&lt;&gt;"",$R1665='تقرير سبتمبر'!$C$4,$P1665='تقرير سبتمبر'!$C$6),COUNT(W$4:W1664)+1,"")</f>
        <v/>
      </c>
      <c r="X1665">
        <f>IF(AND($A1665&lt;&gt;"",$B1665&lt;&gt;"",$R1665='تقرير أكتوبر'!$C$4,$P1665='تقرير أكتوبر'!$C$6),COUNT(X$4:X1664)+1,"")</f>
        <v/>
      </c>
      <c r="Y1665">
        <f>IF(AND($A1665&lt;&gt;"",$B1665&lt;&gt;"",$R1665='تقرير نوفمبر'!$C$4,$P1665='تقرير نوفمبر'!$C$6),COUNT(Y$4:Y1664)+1,"")</f>
        <v/>
      </c>
      <c r="Z1665">
        <f>IF(AND($A1665&lt;&gt;"",$B1665&lt;&gt;"",$R1665='تقرير ديسمبر'!$C$4,$P1665='تقرير ديسمبر'!$C$6),COUNT(Z$4:Z1664)+1,"")</f>
        <v/>
      </c>
      <c r="AA1665">
        <f>IF(AND($A1665&lt;&gt;"",$B1665&lt;&gt;"",$R1665='تقرير يناير'!$C$4,$P1665='تقرير يناير'!$C$6),COUNT(AA$4:AA1664)+1,"")</f>
        <v/>
      </c>
      <c r="AB1665">
        <f>IF(AND($A1665&lt;&gt;"",$B1665&lt;&gt;"",$R1665='تقرير فبراير'!$C$4,$P1665='تقرير فبراير'!$C$6),COUNT(AB$4:AB1664)+1,"")</f>
        <v/>
      </c>
      <c r="AC1665">
        <f>IF(AND($A1665&lt;&gt;"",$B1665&lt;&gt;"",$R1665='تقرير مارس'!$C$4,$P1665='تقرير مارس'!$C$6),COUNT(AC$4:AC1664)+1,"")</f>
        <v/>
      </c>
      <c r="AD1665">
        <f>IF(AND($A1665&lt;&gt;"",$B1665&lt;&gt;"",$R1665='تقرير أبريل'!$C$4,$P1665='تقرير أبريل'!$C$6),COUNT(AD$4:AD1664)+1,"")</f>
        <v/>
      </c>
      <c r="AE1665">
        <f>IF(AND($A1665&lt;&gt;"",$B1665&lt;&gt;"",$R1665='تقرير مايو'!$C$4,$P1665='تقرير مايو'!$C$6),COUNT(AE$4:AE1664)+1,"")</f>
        <v/>
      </c>
    </row>
    <row r="1666">
      <c r="A1666" s="16" t="n"/>
      <c r="B1666" s="17" t="n"/>
      <c r="C1666" s="17" t="n"/>
      <c r="D1666" s="18" t="n"/>
      <c r="E1666" s="17" t="n"/>
      <c r="F1666" s="17" t="n"/>
      <c r="G1666" s="19" t="n"/>
      <c r="H1666" s="17" t="n"/>
      <c r="I1666" s="17" t="n"/>
      <c r="J1666" s="17" t="n"/>
      <c r="K1666" s="20">
        <f>IF($B1666="","",IFERROR(INDEX(الموظفات!$A$5:$A$304,MATCH($B1666,الموظفات!$B$5:$B$304,0))&amp;"",""))</f>
        <v/>
      </c>
      <c r="L1666" s="21">
        <f>IF($B1666="","",IFERROR(INDEX(الموظفات!$C$5:$C$304,MATCH($B1666,الموظفات!$B$5:$B$304,0))&amp;"",""))</f>
        <v/>
      </c>
      <c r="M1666" s="20">
        <f>IF($B1666="","",IFERROR(INDEX(الموظفات!$D$5:$D$304,MATCH($B1666,الموظفات!$B$5:$B$304,0))&amp;"",""))</f>
        <v/>
      </c>
      <c r="N1666" s="20">
        <f>IF($B1666="","",IFERROR(INDEX(الموظفات!$E$5:$E$304,MATCH($B1666,الموظفات!$B$5:$B$304,0))&amp;"",""))</f>
        <v/>
      </c>
      <c r="O1666" s="21">
        <f>IF(C1666="","",IFERROR(INDEX(الإعدادات!$D$7:$D$35,MATCH(C1666,الإعدادات!$A$7:$A$35,0))&amp;"",""))</f>
        <v/>
      </c>
      <c r="P1666" s="20">
        <f>IF(A1666="","",INDEX(الإعدادات!$H$7:$H$18,MONTH(A1666)))</f>
        <v/>
      </c>
      <c r="Q1666" s="20">
        <f>IF(A1666="","",INDEX(الإعدادات!$I$7:$I$18,MONTH(A1666)))</f>
        <v/>
      </c>
      <c r="R1666" s="20">
        <f>IF(A1666="","",IF(MONTH(A1666)&gt;=8,YEAR(A1666)&amp;"-"&amp;(YEAR(A1666)+1),(YEAR(A1666)-1)&amp;"-"&amp;YEAR(A1666)))</f>
        <v/>
      </c>
      <c r="S1666" s="20">
        <f>IF(OR(A1666="",B1666=""),0,IF(AND(R1666=التقارير!$C$4,OR(التقارير!$C$5="سنوي",AND(التقارير!$C$5="شهري",P1666=التقارير!$C$6),AND(التقارير!$C$5="فصلي",Q1666=التقارير!$C$7))),1,0))</f>
        <v/>
      </c>
      <c r="T1666" s="20">
        <f>IF(S1666=1,COUNTIF($S$5:S1666,1),"")</f>
        <v/>
      </c>
      <c r="U1666">
        <f>IF(AND($A1666&lt;&gt;"",$B1666&lt;&gt;"",$R1666='تقرير الفصل الأول'!$C$4,$Q1666='تقرير الفصل الأول'!$C$7),COUNT(U$4:U1665)+1,"")</f>
        <v/>
      </c>
      <c r="V1666">
        <f>IF(AND($A1666&lt;&gt;"",$B1666&lt;&gt;"",$R1666='تقرير الفصل الثاني'!$C$4,$Q1666='تقرير الفصل الثاني'!$C$7),COUNT(V$4:V1665)+1,"")</f>
        <v/>
      </c>
      <c r="W1666">
        <f>IF(AND($A1666&lt;&gt;"",$B1666&lt;&gt;"",$R1666='تقرير سبتمبر'!$C$4,$P1666='تقرير سبتمبر'!$C$6),COUNT(W$4:W1665)+1,"")</f>
        <v/>
      </c>
      <c r="X1666">
        <f>IF(AND($A1666&lt;&gt;"",$B1666&lt;&gt;"",$R1666='تقرير أكتوبر'!$C$4,$P1666='تقرير أكتوبر'!$C$6),COUNT(X$4:X1665)+1,"")</f>
        <v/>
      </c>
      <c r="Y1666">
        <f>IF(AND($A1666&lt;&gt;"",$B1666&lt;&gt;"",$R1666='تقرير نوفمبر'!$C$4,$P1666='تقرير نوفمبر'!$C$6),COUNT(Y$4:Y1665)+1,"")</f>
        <v/>
      </c>
      <c r="Z1666">
        <f>IF(AND($A1666&lt;&gt;"",$B1666&lt;&gt;"",$R1666='تقرير ديسمبر'!$C$4,$P1666='تقرير ديسمبر'!$C$6),COUNT(Z$4:Z1665)+1,"")</f>
        <v/>
      </c>
      <c r="AA1666">
        <f>IF(AND($A1666&lt;&gt;"",$B1666&lt;&gt;"",$R1666='تقرير يناير'!$C$4,$P1666='تقرير يناير'!$C$6),COUNT(AA$4:AA1665)+1,"")</f>
        <v/>
      </c>
      <c r="AB1666">
        <f>IF(AND($A1666&lt;&gt;"",$B1666&lt;&gt;"",$R1666='تقرير فبراير'!$C$4,$P1666='تقرير فبراير'!$C$6),COUNT(AB$4:AB1665)+1,"")</f>
        <v/>
      </c>
      <c r="AC1666">
        <f>IF(AND($A1666&lt;&gt;"",$B1666&lt;&gt;"",$R1666='تقرير مارس'!$C$4,$P1666='تقرير مارس'!$C$6),COUNT(AC$4:AC1665)+1,"")</f>
        <v/>
      </c>
      <c r="AD1666">
        <f>IF(AND($A1666&lt;&gt;"",$B1666&lt;&gt;"",$R1666='تقرير أبريل'!$C$4,$P1666='تقرير أبريل'!$C$6),COUNT(AD$4:AD1665)+1,"")</f>
        <v/>
      </c>
      <c r="AE1666">
        <f>IF(AND($A1666&lt;&gt;"",$B1666&lt;&gt;"",$R1666='تقرير مايو'!$C$4,$P1666='تقرير مايو'!$C$6),COUNT(AE$4:AE1665)+1,"")</f>
        <v/>
      </c>
    </row>
    <row r="1667">
      <c r="A1667" s="16" t="n"/>
      <c r="B1667" s="17" t="n"/>
      <c r="C1667" s="17" t="n"/>
      <c r="D1667" s="18" t="n"/>
      <c r="E1667" s="17" t="n"/>
      <c r="F1667" s="17" t="n"/>
      <c r="G1667" s="19" t="n"/>
      <c r="H1667" s="17" t="n"/>
      <c r="I1667" s="17" t="n"/>
      <c r="J1667" s="17" t="n"/>
      <c r="K1667" s="20">
        <f>IF($B1667="","",IFERROR(INDEX(الموظفات!$A$5:$A$304,MATCH($B1667,الموظفات!$B$5:$B$304,0))&amp;"",""))</f>
        <v/>
      </c>
      <c r="L1667" s="21">
        <f>IF($B1667="","",IFERROR(INDEX(الموظفات!$C$5:$C$304,MATCH($B1667,الموظفات!$B$5:$B$304,0))&amp;"",""))</f>
        <v/>
      </c>
      <c r="M1667" s="20">
        <f>IF($B1667="","",IFERROR(INDEX(الموظفات!$D$5:$D$304,MATCH($B1667,الموظفات!$B$5:$B$304,0))&amp;"",""))</f>
        <v/>
      </c>
      <c r="N1667" s="20">
        <f>IF($B1667="","",IFERROR(INDEX(الموظفات!$E$5:$E$304,MATCH($B1667,الموظفات!$B$5:$B$304,0))&amp;"",""))</f>
        <v/>
      </c>
      <c r="O1667" s="21">
        <f>IF(C1667="","",IFERROR(INDEX(الإعدادات!$D$7:$D$35,MATCH(C1667,الإعدادات!$A$7:$A$35,0))&amp;"",""))</f>
        <v/>
      </c>
      <c r="P1667" s="20">
        <f>IF(A1667="","",INDEX(الإعدادات!$H$7:$H$18,MONTH(A1667)))</f>
        <v/>
      </c>
      <c r="Q1667" s="20">
        <f>IF(A1667="","",INDEX(الإعدادات!$I$7:$I$18,MONTH(A1667)))</f>
        <v/>
      </c>
      <c r="R1667" s="20">
        <f>IF(A1667="","",IF(MONTH(A1667)&gt;=8,YEAR(A1667)&amp;"-"&amp;(YEAR(A1667)+1),(YEAR(A1667)-1)&amp;"-"&amp;YEAR(A1667)))</f>
        <v/>
      </c>
      <c r="S1667" s="20">
        <f>IF(OR(A1667="",B1667=""),0,IF(AND(R1667=التقارير!$C$4,OR(التقارير!$C$5="سنوي",AND(التقارير!$C$5="شهري",P1667=التقارير!$C$6),AND(التقارير!$C$5="فصلي",Q1667=التقارير!$C$7))),1,0))</f>
        <v/>
      </c>
      <c r="T1667" s="20">
        <f>IF(S1667=1,COUNTIF($S$5:S1667,1),"")</f>
        <v/>
      </c>
      <c r="U1667">
        <f>IF(AND($A1667&lt;&gt;"",$B1667&lt;&gt;"",$R1667='تقرير الفصل الأول'!$C$4,$Q1667='تقرير الفصل الأول'!$C$7),COUNT(U$4:U1666)+1,"")</f>
        <v/>
      </c>
      <c r="V1667">
        <f>IF(AND($A1667&lt;&gt;"",$B1667&lt;&gt;"",$R1667='تقرير الفصل الثاني'!$C$4,$Q1667='تقرير الفصل الثاني'!$C$7),COUNT(V$4:V1666)+1,"")</f>
        <v/>
      </c>
      <c r="W1667">
        <f>IF(AND($A1667&lt;&gt;"",$B1667&lt;&gt;"",$R1667='تقرير سبتمبر'!$C$4,$P1667='تقرير سبتمبر'!$C$6),COUNT(W$4:W1666)+1,"")</f>
        <v/>
      </c>
      <c r="X1667">
        <f>IF(AND($A1667&lt;&gt;"",$B1667&lt;&gt;"",$R1667='تقرير أكتوبر'!$C$4,$P1667='تقرير أكتوبر'!$C$6),COUNT(X$4:X1666)+1,"")</f>
        <v/>
      </c>
      <c r="Y1667">
        <f>IF(AND($A1667&lt;&gt;"",$B1667&lt;&gt;"",$R1667='تقرير نوفمبر'!$C$4,$P1667='تقرير نوفمبر'!$C$6),COUNT(Y$4:Y1666)+1,"")</f>
        <v/>
      </c>
      <c r="Z1667">
        <f>IF(AND($A1667&lt;&gt;"",$B1667&lt;&gt;"",$R1667='تقرير ديسمبر'!$C$4,$P1667='تقرير ديسمبر'!$C$6),COUNT(Z$4:Z1666)+1,"")</f>
        <v/>
      </c>
      <c r="AA1667">
        <f>IF(AND($A1667&lt;&gt;"",$B1667&lt;&gt;"",$R1667='تقرير يناير'!$C$4,$P1667='تقرير يناير'!$C$6),COUNT(AA$4:AA1666)+1,"")</f>
        <v/>
      </c>
      <c r="AB1667">
        <f>IF(AND($A1667&lt;&gt;"",$B1667&lt;&gt;"",$R1667='تقرير فبراير'!$C$4,$P1667='تقرير فبراير'!$C$6),COUNT(AB$4:AB1666)+1,"")</f>
        <v/>
      </c>
      <c r="AC1667">
        <f>IF(AND($A1667&lt;&gt;"",$B1667&lt;&gt;"",$R1667='تقرير مارس'!$C$4,$P1667='تقرير مارس'!$C$6),COUNT(AC$4:AC1666)+1,"")</f>
        <v/>
      </c>
      <c r="AD1667">
        <f>IF(AND($A1667&lt;&gt;"",$B1667&lt;&gt;"",$R1667='تقرير أبريل'!$C$4,$P1667='تقرير أبريل'!$C$6),COUNT(AD$4:AD1666)+1,"")</f>
        <v/>
      </c>
      <c r="AE1667">
        <f>IF(AND($A1667&lt;&gt;"",$B1667&lt;&gt;"",$R1667='تقرير مايو'!$C$4,$P1667='تقرير مايو'!$C$6),COUNT(AE$4:AE1666)+1,"")</f>
        <v/>
      </c>
    </row>
    <row r="1668">
      <c r="A1668" s="16" t="n"/>
      <c r="B1668" s="17" t="n"/>
      <c r="C1668" s="17" t="n"/>
      <c r="D1668" s="18" t="n"/>
      <c r="E1668" s="17" t="n"/>
      <c r="F1668" s="17" t="n"/>
      <c r="G1668" s="19" t="n"/>
      <c r="H1668" s="17" t="n"/>
      <c r="I1668" s="17" t="n"/>
      <c r="J1668" s="17" t="n"/>
      <c r="K1668" s="20">
        <f>IF($B1668="","",IFERROR(INDEX(الموظفات!$A$5:$A$304,MATCH($B1668,الموظفات!$B$5:$B$304,0))&amp;"",""))</f>
        <v/>
      </c>
      <c r="L1668" s="21">
        <f>IF($B1668="","",IFERROR(INDEX(الموظفات!$C$5:$C$304,MATCH($B1668,الموظفات!$B$5:$B$304,0))&amp;"",""))</f>
        <v/>
      </c>
      <c r="M1668" s="20">
        <f>IF($B1668="","",IFERROR(INDEX(الموظفات!$D$5:$D$304,MATCH($B1668,الموظفات!$B$5:$B$304,0))&amp;"",""))</f>
        <v/>
      </c>
      <c r="N1668" s="20">
        <f>IF($B1668="","",IFERROR(INDEX(الموظفات!$E$5:$E$304,MATCH($B1668,الموظفات!$B$5:$B$304,0))&amp;"",""))</f>
        <v/>
      </c>
      <c r="O1668" s="21">
        <f>IF(C1668="","",IFERROR(INDEX(الإعدادات!$D$7:$D$35,MATCH(C1668,الإعدادات!$A$7:$A$35,0))&amp;"",""))</f>
        <v/>
      </c>
      <c r="P1668" s="20">
        <f>IF(A1668="","",INDEX(الإعدادات!$H$7:$H$18,MONTH(A1668)))</f>
        <v/>
      </c>
      <c r="Q1668" s="20">
        <f>IF(A1668="","",INDEX(الإعدادات!$I$7:$I$18,MONTH(A1668)))</f>
        <v/>
      </c>
      <c r="R1668" s="20">
        <f>IF(A1668="","",IF(MONTH(A1668)&gt;=8,YEAR(A1668)&amp;"-"&amp;(YEAR(A1668)+1),(YEAR(A1668)-1)&amp;"-"&amp;YEAR(A1668)))</f>
        <v/>
      </c>
      <c r="S1668" s="20">
        <f>IF(OR(A1668="",B1668=""),0,IF(AND(R1668=التقارير!$C$4,OR(التقارير!$C$5="سنوي",AND(التقارير!$C$5="شهري",P1668=التقارير!$C$6),AND(التقارير!$C$5="فصلي",Q1668=التقارير!$C$7))),1,0))</f>
        <v/>
      </c>
      <c r="T1668" s="20">
        <f>IF(S1668=1,COUNTIF($S$5:S1668,1),"")</f>
        <v/>
      </c>
      <c r="U1668">
        <f>IF(AND($A1668&lt;&gt;"",$B1668&lt;&gt;"",$R1668='تقرير الفصل الأول'!$C$4,$Q1668='تقرير الفصل الأول'!$C$7),COUNT(U$4:U1667)+1,"")</f>
        <v/>
      </c>
      <c r="V1668">
        <f>IF(AND($A1668&lt;&gt;"",$B1668&lt;&gt;"",$R1668='تقرير الفصل الثاني'!$C$4,$Q1668='تقرير الفصل الثاني'!$C$7),COUNT(V$4:V1667)+1,"")</f>
        <v/>
      </c>
      <c r="W1668">
        <f>IF(AND($A1668&lt;&gt;"",$B1668&lt;&gt;"",$R1668='تقرير سبتمبر'!$C$4,$P1668='تقرير سبتمبر'!$C$6),COUNT(W$4:W1667)+1,"")</f>
        <v/>
      </c>
      <c r="X1668">
        <f>IF(AND($A1668&lt;&gt;"",$B1668&lt;&gt;"",$R1668='تقرير أكتوبر'!$C$4,$P1668='تقرير أكتوبر'!$C$6),COUNT(X$4:X1667)+1,"")</f>
        <v/>
      </c>
      <c r="Y1668">
        <f>IF(AND($A1668&lt;&gt;"",$B1668&lt;&gt;"",$R1668='تقرير نوفمبر'!$C$4,$P1668='تقرير نوفمبر'!$C$6),COUNT(Y$4:Y1667)+1,"")</f>
        <v/>
      </c>
      <c r="Z1668">
        <f>IF(AND($A1668&lt;&gt;"",$B1668&lt;&gt;"",$R1668='تقرير ديسمبر'!$C$4,$P1668='تقرير ديسمبر'!$C$6),COUNT(Z$4:Z1667)+1,"")</f>
        <v/>
      </c>
      <c r="AA1668">
        <f>IF(AND($A1668&lt;&gt;"",$B1668&lt;&gt;"",$R1668='تقرير يناير'!$C$4,$P1668='تقرير يناير'!$C$6),COUNT(AA$4:AA1667)+1,"")</f>
        <v/>
      </c>
      <c r="AB1668">
        <f>IF(AND($A1668&lt;&gt;"",$B1668&lt;&gt;"",$R1668='تقرير فبراير'!$C$4,$P1668='تقرير فبراير'!$C$6),COUNT(AB$4:AB1667)+1,"")</f>
        <v/>
      </c>
      <c r="AC1668">
        <f>IF(AND($A1668&lt;&gt;"",$B1668&lt;&gt;"",$R1668='تقرير مارس'!$C$4,$P1668='تقرير مارس'!$C$6),COUNT(AC$4:AC1667)+1,"")</f>
        <v/>
      </c>
      <c r="AD1668">
        <f>IF(AND($A1668&lt;&gt;"",$B1668&lt;&gt;"",$R1668='تقرير أبريل'!$C$4,$P1668='تقرير أبريل'!$C$6),COUNT(AD$4:AD1667)+1,"")</f>
        <v/>
      </c>
      <c r="AE1668">
        <f>IF(AND($A1668&lt;&gt;"",$B1668&lt;&gt;"",$R1668='تقرير مايو'!$C$4,$P1668='تقرير مايو'!$C$6),COUNT(AE$4:AE1667)+1,"")</f>
        <v/>
      </c>
    </row>
    <row r="1669">
      <c r="A1669" s="16" t="n"/>
      <c r="B1669" s="17" t="n"/>
      <c r="C1669" s="17" t="n"/>
      <c r="D1669" s="18" t="n"/>
      <c r="E1669" s="17" t="n"/>
      <c r="F1669" s="17" t="n"/>
      <c r="G1669" s="19" t="n"/>
      <c r="H1669" s="17" t="n"/>
      <c r="I1669" s="17" t="n"/>
      <c r="J1669" s="17" t="n"/>
      <c r="K1669" s="20">
        <f>IF($B1669="","",IFERROR(INDEX(الموظفات!$A$5:$A$304,MATCH($B1669,الموظفات!$B$5:$B$304,0))&amp;"",""))</f>
        <v/>
      </c>
      <c r="L1669" s="21">
        <f>IF($B1669="","",IFERROR(INDEX(الموظفات!$C$5:$C$304,MATCH($B1669,الموظفات!$B$5:$B$304,0))&amp;"",""))</f>
        <v/>
      </c>
      <c r="M1669" s="20">
        <f>IF($B1669="","",IFERROR(INDEX(الموظفات!$D$5:$D$304,MATCH($B1669,الموظفات!$B$5:$B$304,0))&amp;"",""))</f>
        <v/>
      </c>
      <c r="N1669" s="20">
        <f>IF($B1669="","",IFERROR(INDEX(الموظفات!$E$5:$E$304,MATCH($B1669,الموظفات!$B$5:$B$304,0))&amp;"",""))</f>
        <v/>
      </c>
      <c r="O1669" s="21">
        <f>IF(C1669="","",IFERROR(INDEX(الإعدادات!$D$7:$D$35,MATCH(C1669,الإعدادات!$A$7:$A$35,0))&amp;"",""))</f>
        <v/>
      </c>
      <c r="P1669" s="20">
        <f>IF(A1669="","",INDEX(الإعدادات!$H$7:$H$18,MONTH(A1669)))</f>
        <v/>
      </c>
      <c r="Q1669" s="20">
        <f>IF(A1669="","",INDEX(الإعدادات!$I$7:$I$18,MONTH(A1669)))</f>
        <v/>
      </c>
      <c r="R1669" s="20">
        <f>IF(A1669="","",IF(MONTH(A1669)&gt;=8,YEAR(A1669)&amp;"-"&amp;(YEAR(A1669)+1),(YEAR(A1669)-1)&amp;"-"&amp;YEAR(A1669)))</f>
        <v/>
      </c>
      <c r="S1669" s="20">
        <f>IF(OR(A1669="",B1669=""),0,IF(AND(R1669=التقارير!$C$4,OR(التقارير!$C$5="سنوي",AND(التقارير!$C$5="شهري",P1669=التقارير!$C$6),AND(التقارير!$C$5="فصلي",Q1669=التقارير!$C$7))),1,0))</f>
        <v/>
      </c>
      <c r="T1669" s="20">
        <f>IF(S1669=1,COUNTIF($S$5:S1669,1),"")</f>
        <v/>
      </c>
      <c r="U1669">
        <f>IF(AND($A1669&lt;&gt;"",$B1669&lt;&gt;"",$R1669='تقرير الفصل الأول'!$C$4,$Q1669='تقرير الفصل الأول'!$C$7),COUNT(U$4:U1668)+1,"")</f>
        <v/>
      </c>
      <c r="V1669">
        <f>IF(AND($A1669&lt;&gt;"",$B1669&lt;&gt;"",$R1669='تقرير الفصل الثاني'!$C$4,$Q1669='تقرير الفصل الثاني'!$C$7),COUNT(V$4:V1668)+1,"")</f>
        <v/>
      </c>
      <c r="W1669">
        <f>IF(AND($A1669&lt;&gt;"",$B1669&lt;&gt;"",$R1669='تقرير سبتمبر'!$C$4,$P1669='تقرير سبتمبر'!$C$6),COUNT(W$4:W1668)+1,"")</f>
        <v/>
      </c>
      <c r="X1669">
        <f>IF(AND($A1669&lt;&gt;"",$B1669&lt;&gt;"",$R1669='تقرير أكتوبر'!$C$4,$P1669='تقرير أكتوبر'!$C$6),COUNT(X$4:X1668)+1,"")</f>
        <v/>
      </c>
      <c r="Y1669">
        <f>IF(AND($A1669&lt;&gt;"",$B1669&lt;&gt;"",$R1669='تقرير نوفمبر'!$C$4,$P1669='تقرير نوفمبر'!$C$6),COUNT(Y$4:Y1668)+1,"")</f>
        <v/>
      </c>
      <c r="Z1669">
        <f>IF(AND($A1669&lt;&gt;"",$B1669&lt;&gt;"",$R1669='تقرير ديسمبر'!$C$4,$P1669='تقرير ديسمبر'!$C$6),COUNT(Z$4:Z1668)+1,"")</f>
        <v/>
      </c>
      <c r="AA1669">
        <f>IF(AND($A1669&lt;&gt;"",$B1669&lt;&gt;"",$R1669='تقرير يناير'!$C$4,$P1669='تقرير يناير'!$C$6),COUNT(AA$4:AA1668)+1,"")</f>
        <v/>
      </c>
      <c r="AB1669">
        <f>IF(AND($A1669&lt;&gt;"",$B1669&lt;&gt;"",$R1669='تقرير فبراير'!$C$4,$P1669='تقرير فبراير'!$C$6),COUNT(AB$4:AB1668)+1,"")</f>
        <v/>
      </c>
      <c r="AC1669">
        <f>IF(AND($A1669&lt;&gt;"",$B1669&lt;&gt;"",$R1669='تقرير مارس'!$C$4,$P1669='تقرير مارس'!$C$6),COUNT(AC$4:AC1668)+1,"")</f>
        <v/>
      </c>
      <c r="AD1669">
        <f>IF(AND($A1669&lt;&gt;"",$B1669&lt;&gt;"",$R1669='تقرير أبريل'!$C$4,$P1669='تقرير أبريل'!$C$6),COUNT(AD$4:AD1668)+1,"")</f>
        <v/>
      </c>
      <c r="AE1669">
        <f>IF(AND($A1669&lt;&gt;"",$B1669&lt;&gt;"",$R1669='تقرير مايو'!$C$4,$P1669='تقرير مايو'!$C$6),COUNT(AE$4:AE1668)+1,"")</f>
        <v/>
      </c>
    </row>
    <row r="1670">
      <c r="A1670" s="16" t="n"/>
      <c r="B1670" s="17" t="n"/>
      <c r="C1670" s="17" t="n"/>
      <c r="D1670" s="18" t="n"/>
      <c r="E1670" s="17" t="n"/>
      <c r="F1670" s="17" t="n"/>
      <c r="G1670" s="19" t="n"/>
      <c r="H1670" s="17" t="n"/>
      <c r="I1670" s="17" t="n"/>
      <c r="J1670" s="17" t="n"/>
      <c r="K1670" s="20">
        <f>IF($B1670="","",IFERROR(INDEX(الموظفات!$A$5:$A$304,MATCH($B1670,الموظفات!$B$5:$B$304,0))&amp;"",""))</f>
        <v/>
      </c>
      <c r="L1670" s="21">
        <f>IF($B1670="","",IFERROR(INDEX(الموظفات!$C$5:$C$304,MATCH($B1670,الموظفات!$B$5:$B$304,0))&amp;"",""))</f>
        <v/>
      </c>
      <c r="M1670" s="20">
        <f>IF($B1670="","",IFERROR(INDEX(الموظفات!$D$5:$D$304,MATCH($B1670,الموظفات!$B$5:$B$304,0))&amp;"",""))</f>
        <v/>
      </c>
      <c r="N1670" s="20">
        <f>IF($B1670="","",IFERROR(INDEX(الموظفات!$E$5:$E$304,MATCH($B1670,الموظفات!$B$5:$B$304,0))&amp;"",""))</f>
        <v/>
      </c>
      <c r="O1670" s="21">
        <f>IF(C1670="","",IFERROR(INDEX(الإعدادات!$D$7:$D$35,MATCH(C1670,الإعدادات!$A$7:$A$35,0))&amp;"",""))</f>
        <v/>
      </c>
      <c r="P1670" s="20">
        <f>IF(A1670="","",INDEX(الإعدادات!$H$7:$H$18,MONTH(A1670)))</f>
        <v/>
      </c>
      <c r="Q1670" s="20">
        <f>IF(A1670="","",INDEX(الإعدادات!$I$7:$I$18,MONTH(A1670)))</f>
        <v/>
      </c>
      <c r="R1670" s="20">
        <f>IF(A1670="","",IF(MONTH(A1670)&gt;=8,YEAR(A1670)&amp;"-"&amp;(YEAR(A1670)+1),(YEAR(A1670)-1)&amp;"-"&amp;YEAR(A1670)))</f>
        <v/>
      </c>
      <c r="S1670" s="20">
        <f>IF(OR(A1670="",B1670=""),0,IF(AND(R1670=التقارير!$C$4,OR(التقارير!$C$5="سنوي",AND(التقارير!$C$5="شهري",P1670=التقارير!$C$6),AND(التقارير!$C$5="فصلي",Q1670=التقارير!$C$7))),1,0))</f>
        <v/>
      </c>
      <c r="T1670" s="20">
        <f>IF(S1670=1,COUNTIF($S$5:S1670,1),"")</f>
        <v/>
      </c>
      <c r="U1670">
        <f>IF(AND($A1670&lt;&gt;"",$B1670&lt;&gt;"",$R1670='تقرير الفصل الأول'!$C$4,$Q1670='تقرير الفصل الأول'!$C$7),COUNT(U$4:U1669)+1,"")</f>
        <v/>
      </c>
      <c r="V1670">
        <f>IF(AND($A1670&lt;&gt;"",$B1670&lt;&gt;"",$R1670='تقرير الفصل الثاني'!$C$4,$Q1670='تقرير الفصل الثاني'!$C$7),COUNT(V$4:V1669)+1,"")</f>
        <v/>
      </c>
      <c r="W1670">
        <f>IF(AND($A1670&lt;&gt;"",$B1670&lt;&gt;"",$R1670='تقرير سبتمبر'!$C$4,$P1670='تقرير سبتمبر'!$C$6),COUNT(W$4:W1669)+1,"")</f>
        <v/>
      </c>
      <c r="X1670">
        <f>IF(AND($A1670&lt;&gt;"",$B1670&lt;&gt;"",$R1670='تقرير أكتوبر'!$C$4,$P1670='تقرير أكتوبر'!$C$6),COUNT(X$4:X1669)+1,"")</f>
        <v/>
      </c>
      <c r="Y1670">
        <f>IF(AND($A1670&lt;&gt;"",$B1670&lt;&gt;"",$R1670='تقرير نوفمبر'!$C$4,$P1670='تقرير نوفمبر'!$C$6),COUNT(Y$4:Y1669)+1,"")</f>
        <v/>
      </c>
      <c r="Z1670">
        <f>IF(AND($A1670&lt;&gt;"",$B1670&lt;&gt;"",$R1670='تقرير ديسمبر'!$C$4,$P1670='تقرير ديسمبر'!$C$6),COUNT(Z$4:Z1669)+1,"")</f>
        <v/>
      </c>
      <c r="AA1670">
        <f>IF(AND($A1670&lt;&gt;"",$B1670&lt;&gt;"",$R1670='تقرير يناير'!$C$4,$P1670='تقرير يناير'!$C$6),COUNT(AA$4:AA1669)+1,"")</f>
        <v/>
      </c>
      <c r="AB1670">
        <f>IF(AND($A1670&lt;&gt;"",$B1670&lt;&gt;"",$R1670='تقرير فبراير'!$C$4,$P1670='تقرير فبراير'!$C$6),COUNT(AB$4:AB1669)+1,"")</f>
        <v/>
      </c>
      <c r="AC1670">
        <f>IF(AND($A1670&lt;&gt;"",$B1670&lt;&gt;"",$R1670='تقرير مارس'!$C$4,$P1670='تقرير مارس'!$C$6),COUNT(AC$4:AC1669)+1,"")</f>
        <v/>
      </c>
      <c r="AD1670">
        <f>IF(AND($A1670&lt;&gt;"",$B1670&lt;&gt;"",$R1670='تقرير أبريل'!$C$4,$P1670='تقرير أبريل'!$C$6),COUNT(AD$4:AD1669)+1,"")</f>
        <v/>
      </c>
      <c r="AE1670">
        <f>IF(AND($A1670&lt;&gt;"",$B1670&lt;&gt;"",$R1670='تقرير مايو'!$C$4,$P1670='تقرير مايو'!$C$6),COUNT(AE$4:AE1669)+1,"")</f>
        <v/>
      </c>
    </row>
    <row r="1671">
      <c r="A1671" s="16" t="n"/>
      <c r="B1671" s="17" t="n"/>
      <c r="C1671" s="17" t="n"/>
      <c r="D1671" s="18" t="n"/>
      <c r="E1671" s="17" t="n"/>
      <c r="F1671" s="17" t="n"/>
      <c r="G1671" s="19" t="n"/>
      <c r="H1671" s="17" t="n"/>
      <c r="I1671" s="17" t="n"/>
      <c r="J1671" s="17" t="n"/>
      <c r="K1671" s="20">
        <f>IF($B1671="","",IFERROR(INDEX(الموظفات!$A$5:$A$304,MATCH($B1671,الموظفات!$B$5:$B$304,0))&amp;"",""))</f>
        <v/>
      </c>
      <c r="L1671" s="21">
        <f>IF($B1671="","",IFERROR(INDEX(الموظفات!$C$5:$C$304,MATCH($B1671,الموظفات!$B$5:$B$304,0))&amp;"",""))</f>
        <v/>
      </c>
      <c r="M1671" s="20">
        <f>IF($B1671="","",IFERROR(INDEX(الموظفات!$D$5:$D$304,MATCH($B1671,الموظفات!$B$5:$B$304,0))&amp;"",""))</f>
        <v/>
      </c>
      <c r="N1671" s="20">
        <f>IF($B1671="","",IFERROR(INDEX(الموظفات!$E$5:$E$304,MATCH($B1671,الموظفات!$B$5:$B$304,0))&amp;"",""))</f>
        <v/>
      </c>
      <c r="O1671" s="21">
        <f>IF(C1671="","",IFERROR(INDEX(الإعدادات!$D$7:$D$35,MATCH(C1671,الإعدادات!$A$7:$A$35,0))&amp;"",""))</f>
        <v/>
      </c>
      <c r="P1671" s="20">
        <f>IF(A1671="","",INDEX(الإعدادات!$H$7:$H$18,MONTH(A1671)))</f>
        <v/>
      </c>
      <c r="Q1671" s="20">
        <f>IF(A1671="","",INDEX(الإعدادات!$I$7:$I$18,MONTH(A1671)))</f>
        <v/>
      </c>
      <c r="R1671" s="20">
        <f>IF(A1671="","",IF(MONTH(A1671)&gt;=8,YEAR(A1671)&amp;"-"&amp;(YEAR(A1671)+1),(YEAR(A1671)-1)&amp;"-"&amp;YEAR(A1671)))</f>
        <v/>
      </c>
      <c r="S1671" s="20">
        <f>IF(OR(A1671="",B1671=""),0,IF(AND(R1671=التقارير!$C$4,OR(التقارير!$C$5="سنوي",AND(التقارير!$C$5="شهري",P1671=التقارير!$C$6),AND(التقارير!$C$5="فصلي",Q1671=التقارير!$C$7))),1,0))</f>
        <v/>
      </c>
      <c r="T1671" s="20">
        <f>IF(S1671=1,COUNTIF($S$5:S1671,1),"")</f>
        <v/>
      </c>
      <c r="U1671">
        <f>IF(AND($A1671&lt;&gt;"",$B1671&lt;&gt;"",$R1671='تقرير الفصل الأول'!$C$4,$Q1671='تقرير الفصل الأول'!$C$7),COUNT(U$4:U1670)+1,"")</f>
        <v/>
      </c>
      <c r="V1671">
        <f>IF(AND($A1671&lt;&gt;"",$B1671&lt;&gt;"",$R1671='تقرير الفصل الثاني'!$C$4,$Q1671='تقرير الفصل الثاني'!$C$7),COUNT(V$4:V1670)+1,"")</f>
        <v/>
      </c>
      <c r="W1671">
        <f>IF(AND($A1671&lt;&gt;"",$B1671&lt;&gt;"",$R1671='تقرير سبتمبر'!$C$4,$P1671='تقرير سبتمبر'!$C$6),COUNT(W$4:W1670)+1,"")</f>
        <v/>
      </c>
      <c r="X1671">
        <f>IF(AND($A1671&lt;&gt;"",$B1671&lt;&gt;"",$R1671='تقرير أكتوبر'!$C$4,$P1671='تقرير أكتوبر'!$C$6),COUNT(X$4:X1670)+1,"")</f>
        <v/>
      </c>
      <c r="Y1671">
        <f>IF(AND($A1671&lt;&gt;"",$B1671&lt;&gt;"",$R1671='تقرير نوفمبر'!$C$4,$P1671='تقرير نوفمبر'!$C$6),COUNT(Y$4:Y1670)+1,"")</f>
        <v/>
      </c>
      <c r="Z1671">
        <f>IF(AND($A1671&lt;&gt;"",$B1671&lt;&gt;"",$R1671='تقرير ديسمبر'!$C$4,$P1671='تقرير ديسمبر'!$C$6),COUNT(Z$4:Z1670)+1,"")</f>
        <v/>
      </c>
      <c r="AA1671">
        <f>IF(AND($A1671&lt;&gt;"",$B1671&lt;&gt;"",$R1671='تقرير يناير'!$C$4,$P1671='تقرير يناير'!$C$6),COUNT(AA$4:AA1670)+1,"")</f>
        <v/>
      </c>
      <c r="AB1671">
        <f>IF(AND($A1671&lt;&gt;"",$B1671&lt;&gt;"",$R1671='تقرير فبراير'!$C$4,$P1671='تقرير فبراير'!$C$6),COUNT(AB$4:AB1670)+1,"")</f>
        <v/>
      </c>
      <c r="AC1671">
        <f>IF(AND($A1671&lt;&gt;"",$B1671&lt;&gt;"",$R1671='تقرير مارس'!$C$4,$P1671='تقرير مارس'!$C$6),COUNT(AC$4:AC1670)+1,"")</f>
        <v/>
      </c>
      <c r="AD1671">
        <f>IF(AND($A1671&lt;&gt;"",$B1671&lt;&gt;"",$R1671='تقرير أبريل'!$C$4,$P1671='تقرير أبريل'!$C$6),COUNT(AD$4:AD1670)+1,"")</f>
        <v/>
      </c>
      <c r="AE1671">
        <f>IF(AND($A1671&lt;&gt;"",$B1671&lt;&gt;"",$R1671='تقرير مايو'!$C$4,$P1671='تقرير مايو'!$C$6),COUNT(AE$4:AE1670)+1,"")</f>
        <v/>
      </c>
    </row>
    <row r="1672">
      <c r="A1672" s="16" t="n"/>
      <c r="B1672" s="17" t="n"/>
      <c r="C1672" s="17" t="n"/>
      <c r="D1672" s="18" t="n"/>
      <c r="E1672" s="17" t="n"/>
      <c r="F1672" s="17" t="n"/>
      <c r="G1672" s="19" t="n"/>
      <c r="H1672" s="17" t="n"/>
      <c r="I1672" s="17" t="n"/>
      <c r="J1672" s="17" t="n"/>
      <c r="K1672" s="20">
        <f>IF($B1672="","",IFERROR(INDEX(الموظفات!$A$5:$A$304,MATCH($B1672,الموظفات!$B$5:$B$304,0))&amp;"",""))</f>
        <v/>
      </c>
      <c r="L1672" s="21">
        <f>IF($B1672="","",IFERROR(INDEX(الموظفات!$C$5:$C$304,MATCH($B1672,الموظفات!$B$5:$B$304,0))&amp;"",""))</f>
        <v/>
      </c>
      <c r="M1672" s="20">
        <f>IF($B1672="","",IFERROR(INDEX(الموظفات!$D$5:$D$304,MATCH($B1672,الموظفات!$B$5:$B$304,0))&amp;"",""))</f>
        <v/>
      </c>
      <c r="N1672" s="20">
        <f>IF($B1672="","",IFERROR(INDEX(الموظفات!$E$5:$E$304,MATCH($B1672,الموظفات!$B$5:$B$304,0))&amp;"",""))</f>
        <v/>
      </c>
      <c r="O1672" s="21">
        <f>IF(C1672="","",IFERROR(INDEX(الإعدادات!$D$7:$D$35,MATCH(C1672,الإعدادات!$A$7:$A$35,0))&amp;"",""))</f>
        <v/>
      </c>
      <c r="P1672" s="20">
        <f>IF(A1672="","",INDEX(الإعدادات!$H$7:$H$18,MONTH(A1672)))</f>
        <v/>
      </c>
      <c r="Q1672" s="20">
        <f>IF(A1672="","",INDEX(الإعدادات!$I$7:$I$18,MONTH(A1672)))</f>
        <v/>
      </c>
      <c r="R1672" s="20">
        <f>IF(A1672="","",IF(MONTH(A1672)&gt;=8,YEAR(A1672)&amp;"-"&amp;(YEAR(A1672)+1),(YEAR(A1672)-1)&amp;"-"&amp;YEAR(A1672)))</f>
        <v/>
      </c>
      <c r="S1672" s="20">
        <f>IF(OR(A1672="",B1672=""),0,IF(AND(R1672=التقارير!$C$4,OR(التقارير!$C$5="سنوي",AND(التقارير!$C$5="شهري",P1672=التقارير!$C$6),AND(التقارير!$C$5="فصلي",Q1672=التقارير!$C$7))),1,0))</f>
        <v/>
      </c>
      <c r="T1672" s="20">
        <f>IF(S1672=1,COUNTIF($S$5:S1672,1),"")</f>
        <v/>
      </c>
      <c r="U1672">
        <f>IF(AND($A1672&lt;&gt;"",$B1672&lt;&gt;"",$R1672='تقرير الفصل الأول'!$C$4,$Q1672='تقرير الفصل الأول'!$C$7),COUNT(U$4:U1671)+1,"")</f>
        <v/>
      </c>
      <c r="V1672">
        <f>IF(AND($A1672&lt;&gt;"",$B1672&lt;&gt;"",$R1672='تقرير الفصل الثاني'!$C$4,$Q1672='تقرير الفصل الثاني'!$C$7),COUNT(V$4:V1671)+1,"")</f>
        <v/>
      </c>
      <c r="W1672">
        <f>IF(AND($A1672&lt;&gt;"",$B1672&lt;&gt;"",$R1672='تقرير سبتمبر'!$C$4,$P1672='تقرير سبتمبر'!$C$6),COUNT(W$4:W1671)+1,"")</f>
        <v/>
      </c>
      <c r="X1672">
        <f>IF(AND($A1672&lt;&gt;"",$B1672&lt;&gt;"",$R1672='تقرير أكتوبر'!$C$4,$P1672='تقرير أكتوبر'!$C$6),COUNT(X$4:X1671)+1,"")</f>
        <v/>
      </c>
      <c r="Y1672">
        <f>IF(AND($A1672&lt;&gt;"",$B1672&lt;&gt;"",$R1672='تقرير نوفمبر'!$C$4,$P1672='تقرير نوفمبر'!$C$6),COUNT(Y$4:Y1671)+1,"")</f>
        <v/>
      </c>
      <c r="Z1672">
        <f>IF(AND($A1672&lt;&gt;"",$B1672&lt;&gt;"",$R1672='تقرير ديسمبر'!$C$4,$P1672='تقرير ديسمبر'!$C$6),COUNT(Z$4:Z1671)+1,"")</f>
        <v/>
      </c>
      <c r="AA1672">
        <f>IF(AND($A1672&lt;&gt;"",$B1672&lt;&gt;"",$R1672='تقرير يناير'!$C$4,$P1672='تقرير يناير'!$C$6),COUNT(AA$4:AA1671)+1,"")</f>
        <v/>
      </c>
      <c r="AB1672">
        <f>IF(AND($A1672&lt;&gt;"",$B1672&lt;&gt;"",$R1672='تقرير فبراير'!$C$4,$P1672='تقرير فبراير'!$C$6),COUNT(AB$4:AB1671)+1,"")</f>
        <v/>
      </c>
      <c r="AC1672">
        <f>IF(AND($A1672&lt;&gt;"",$B1672&lt;&gt;"",$R1672='تقرير مارس'!$C$4,$P1672='تقرير مارس'!$C$6),COUNT(AC$4:AC1671)+1,"")</f>
        <v/>
      </c>
      <c r="AD1672">
        <f>IF(AND($A1672&lt;&gt;"",$B1672&lt;&gt;"",$R1672='تقرير أبريل'!$C$4,$P1672='تقرير أبريل'!$C$6),COUNT(AD$4:AD1671)+1,"")</f>
        <v/>
      </c>
      <c r="AE1672">
        <f>IF(AND($A1672&lt;&gt;"",$B1672&lt;&gt;"",$R1672='تقرير مايو'!$C$4,$P1672='تقرير مايو'!$C$6),COUNT(AE$4:AE1671)+1,"")</f>
        <v/>
      </c>
    </row>
    <row r="1673">
      <c r="A1673" s="16" t="n"/>
      <c r="B1673" s="17" t="n"/>
      <c r="C1673" s="17" t="n"/>
      <c r="D1673" s="18" t="n"/>
      <c r="E1673" s="17" t="n"/>
      <c r="F1673" s="17" t="n"/>
      <c r="G1673" s="19" t="n"/>
      <c r="H1673" s="17" t="n"/>
      <c r="I1673" s="17" t="n"/>
      <c r="J1673" s="17" t="n"/>
      <c r="K1673" s="20">
        <f>IF($B1673="","",IFERROR(INDEX(الموظفات!$A$5:$A$304,MATCH($B1673,الموظفات!$B$5:$B$304,0))&amp;"",""))</f>
        <v/>
      </c>
      <c r="L1673" s="21">
        <f>IF($B1673="","",IFERROR(INDEX(الموظفات!$C$5:$C$304,MATCH($B1673,الموظفات!$B$5:$B$304,0))&amp;"",""))</f>
        <v/>
      </c>
      <c r="M1673" s="20">
        <f>IF($B1673="","",IFERROR(INDEX(الموظفات!$D$5:$D$304,MATCH($B1673,الموظفات!$B$5:$B$304,0))&amp;"",""))</f>
        <v/>
      </c>
      <c r="N1673" s="20">
        <f>IF($B1673="","",IFERROR(INDEX(الموظفات!$E$5:$E$304,MATCH($B1673,الموظفات!$B$5:$B$304,0))&amp;"",""))</f>
        <v/>
      </c>
      <c r="O1673" s="21">
        <f>IF(C1673="","",IFERROR(INDEX(الإعدادات!$D$7:$D$35,MATCH(C1673,الإعدادات!$A$7:$A$35,0))&amp;"",""))</f>
        <v/>
      </c>
      <c r="P1673" s="20">
        <f>IF(A1673="","",INDEX(الإعدادات!$H$7:$H$18,MONTH(A1673)))</f>
        <v/>
      </c>
      <c r="Q1673" s="20">
        <f>IF(A1673="","",INDEX(الإعدادات!$I$7:$I$18,MONTH(A1673)))</f>
        <v/>
      </c>
      <c r="R1673" s="20">
        <f>IF(A1673="","",IF(MONTH(A1673)&gt;=8,YEAR(A1673)&amp;"-"&amp;(YEAR(A1673)+1),(YEAR(A1673)-1)&amp;"-"&amp;YEAR(A1673)))</f>
        <v/>
      </c>
      <c r="S1673" s="20">
        <f>IF(OR(A1673="",B1673=""),0,IF(AND(R1673=التقارير!$C$4,OR(التقارير!$C$5="سنوي",AND(التقارير!$C$5="شهري",P1673=التقارير!$C$6),AND(التقارير!$C$5="فصلي",Q1673=التقارير!$C$7))),1,0))</f>
        <v/>
      </c>
      <c r="T1673" s="20">
        <f>IF(S1673=1,COUNTIF($S$5:S1673,1),"")</f>
        <v/>
      </c>
      <c r="U1673">
        <f>IF(AND($A1673&lt;&gt;"",$B1673&lt;&gt;"",$R1673='تقرير الفصل الأول'!$C$4,$Q1673='تقرير الفصل الأول'!$C$7),COUNT(U$4:U1672)+1,"")</f>
        <v/>
      </c>
      <c r="V1673">
        <f>IF(AND($A1673&lt;&gt;"",$B1673&lt;&gt;"",$R1673='تقرير الفصل الثاني'!$C$4,$Q1673='تقرير الفصل الثاني'!$C$7),COUNT(V$4:V1672)+1,"")</f>
        <v/>
      </c>
      <c r="W1673">
        <f>IF(AND($A1673&lt;&gt;"",$B1673&lt;&gt;"",$R1673='تقرير سبتمبر'!$C$4,$P1673='تقرير سبتمبر'!$C$6),COUNT(W$4:W1672)+1,"")</f>
        <v/>
      </c>
      <c r="X1673">
        <f>IF(AND($A1673&lt;&gt;"",$B1673&lt;&gt;"",$R1673='تقرير أكتوبر'!$C$4,$P1673='تقرير أكتوبر'!$C$6),COUNT(X$4:X1672)+1,"")</f>
        <v/>
      </c>
      <c r="Y1673">
        <f>IF(AND($A1673&lt;&gt;"",$B1673&lt;&gt;"",$R1673='تقرير نوفمبر'!$C$4,$P1673='تقرير نوفمبر'!$C$6),COUNT(Y$4:Y1672)+1,"")</f>
        <v/>
      </c>
      <c r="Z1673">
        <f>IF(AND($A1673&lt;&gt;"",$B1673&lt;&gt;"",$R1673='تقرير ديسمبر'!$C$4,$P1673='تقرير ديسمبر'!$C$6),COUNT(Z$4:Z1672)+1,"")</f>
        <v/>
      </c>
      <c r="AA1673">
        <f>IF(AND($A1673&lt;&gt;"",$B1673&lt;&gt;"",$R1673='تقرير يناير'!$C$4,$P1673='تقرير يناير'!$C$6),COUNT(AA$4:AA1672)+1,"")</f>
        <v/>
      </c>
      <c r="AB1673">
        <f>IF(AND($A1673&lt;&gt;"",$B1673&lt;&gt;"",$R1673='تقرير فبراير'!$C$4,$P1673='تقرير فبراير'!$C$6),COUNT(AB$4:AB1672)+1,"")</f>
        <v/>
      </c>
      <c r="AC1673">
        <f>IF(AND($A1673&lt;&gt;"",$B1673&lt;&gt;"",$R1673='تقرير مارس'!$C$4,$P1673='تقرير مارس'!$C$6),COUNT(AC$4:AC1672)+1,"")</f>
        <v/>
      </c>
      <c r="AD1673">
        <f>IF(AND($A1673&lt;&gt;"",$B1673&lt;&gt;"",$R1673='تقرير أبريل'!$C$4,$P1673='تقرير أبريل'!$C$6),COUNT(AD$4:AD1672)+1,"")</f>
        <v/>
      </c>
      <c r="AE1673">
        <f>IF(AND($A1673&lt;&gt;"",$B1673&lt;&gt;"",$R1673='تقرير مايو'!$C$4,$P1673='تقرير مايو'!$C$6),COUNT(AE$4:AE1672)+1,"")</f>
        <v/>
      </c>
    </row>
    <row r="1674">
      <c r="A1674" s="16" t="n"/>
      <c r="B1674" s="17" t="n"/>
      <c r="C1674" s="17" t="n"/>
      <c r="D1674" s="18" t="n"/>
      <c r="E1674" s="17" t="n"/>
      <c r="F1674" s="17" t="n"/>
      <c r="G1674" s="19" t="n"/>
      <c r="H1674" s="17" t="n"/>
      <c r="I1674" s="17" t="n"/>
      <c r="J1674" s="17" t="n"/>
      <c r="K1674" s="20">
        <f>IF($B1674="","",IFERROR(INDEX(الموظفات!$A$5:$A$304,MATCH($B1674,الموظفات!$B$5:$B$304,0))&amp;"",""))</f>
        <v/>
      </c>
      <c r="L1674" s="21">
        <f>IF($B1674="","",IFERROR(INDEX(الموظفات!$C$5:$C$304,MATCH($B1674,الموظفات!$B$5:$B$304,0))&amp;"",""))</f>
        <v/>
      </c>
      <c r="M1674" s="20">
        <f>IF($B1674="","",IFERROR(INDEX(الموظفات!$D$5:$D$304,MATCH($B1674,الموظفات!$B$5:$B$304,0))&amp;"",""))</f>
        <v/>
      </c>
      <c r="N1674" s="20">
        <f>IF($B1674="","",IFERROR(INDEX(الموظفات!$E$5:$E$304,MATCH($B1674,الموظفات!$B$5:$B$304,0))&amp;"",""))</f>
        <v/>
      </c>
      <c r="O1674" s="21">
        <f>IF(C1674="","",IFERROR(INDEX(الإعدادات!$D$7:$D$35,MATCH(C1674,الإعدادات!$A$7:$A$35,0))&amp;"",""))</f>
        <v/>
      </c>
      <c r="P1674" s="20">
        <f>IF(A1674="","",INDEX(الإعدادات!$H$7:$H$18,MONTH(A1674)))</f>
        <v/>
      </c>
      <c r="Q1674" s="20">
        <f>IF(A1674="","",INDEX(الإعدادات!$I$7:$I$18,MONTH(A1674)))</f>
        <v/>
      </c>
      <c r="R1674" s="20">
        <f>IF(A1674="","",IF(MONTH(A1674)&gt;=8,YEAR(A1674)&amp;"-"&amp;(YEAR(A1674)+1),(YEAR(A1674)-1)&amp;"-"&amp;YEAR(A1674)))</f>
        <v/>
      </c>
      <c r="S1674" s="20">
        <f>IF(OR(A1674="",B1674=""),0,IF(AND(R1674=التقارير!$C$4,OR(التقارير!$C$5="سنوي",AND(التقارير!$C$5="شهري",P1674=التقارير!$C$6),AND(التقارير!$C$5="فصلي",Q1674=التقارير!$C$7))),1,0))</f>
        <v/>
      </c>
      <c r="T1674" s="20">
        <f>IF(S1674=1,COUNTIF($S$5:S1674,1),"")</f>
        <v/>
      </c>
      <c r="U1674">
        <f>IF(AND($A1674&lt;&gt;"",$B1674&lt;&gt;"",$R1674='تقرير الفصل الأول'!$C$4,$Q1674='تقرير الفصل الأول'!$C$7),COUNT(U$4:U1673)+1,"")</f>
        <v/>
      </c>
      <c r="V1674">
        <f>IF(AND($A1674&lt;&gt;"",$B1674&lt;&gt;"",$R1674='تقرير الفصل الثاني'!$C$4,$Q1674='تقرير الفصل الثاني'!$C$7),COUNT(V$4:V1673)+1,"")</f>
        <v/>
      </c>
      <c r="W1674">
        <f>IF(AND($A1674&lt;&gt;"",$B1674&lt;&gt;"",$R1674='تقرير سبتمبر'!$C$4,$P1674='تقرير سبتمبر'!$C$6),COUNT(W$4:W1673)+1,"")</f>
        <v/>
      </c>
      <c r="X1674">
        <f>IF(AND($A1674&lt;&gt;"",$B1674&lt;&gt;"",$R1674='تقرير أكتوبر'!$C$4,$P1674='تقرير أكتوبر'!$C$6),COUNT(X$4:X1673)+1,"")</f>
        <v/>
      </c>
      <c r="Y1674">
        <f>IF(AND($A1674&lt;&gt;"",$B1674&lt;&gt;"",$R1674='تقرير نوفمبر'!$C$4,$P1674='تقرير نوفمبر'!$C$6),COUNT(Y$4:Y1673)+1,"")</f>
        <v/>
      </c>
      <c r="Z1674">
        <f>IF(AND($A1674&lt;&gt;"",$B1674&lt;&gt;"",$R1674='تقرير ديسمبر'!$C$4,$P1674='تقرير ديسمبر'!$C$6),COUNT(Z$4:Z1673)+1,"")</f>
        <v/>
      </c>
      <c r="AA1674">
        <f>IF(AND($A1674&lt;&gt;"",$B1674&lt;&gt;"",$R1674='تقرير يناير'!$C$4,$P1674='تقرير يناير'!$C$6),COUNT(AA$4:AA1673)+1,"")</f>
        <v/>
      </c>
      <c r="AB1674">
        <f>IF(AND($A1674&lt;&gt;"",$B1674&lt;&gt;"",$R1674='تقرير فبراير'!$C$4,$P1674='تقرير فبراير'!$C$6),COUNT(AB$4:AB1673)+1,"")</f>
        <v/>
      </c>
      <c r="AC1674">
        <f>IF(AND($A1674&lt;&gt;"",$B1674&lt;&gt;"",$R1674='تقرير مارس'!$C$4,$P1674='تقرير مارس'!$C$6),COUNT(AC$4:AC1673)+1,"")</f>
        <v/>
      </c>
      <c r="AD1674">
        <f>IF(AND($A1674&lt;&gt;"",$B1674&lt;&gt;"",$R1674='تقرير أبريل'!$C$4,$P1674='تقرير أبريل'!$C$6),COUNT(AD$4:AD1673)+1,"")</f>
        <v/>
      </c>
      <c r="AE1674">
        <f>IF(AND($A1674&lt;&gt;"",$B1674&lt;&gt;"",$R1674='تقرير مايو'!$C$4,$P1674='تقرير مايو'!$C$6),COUNT(AE$4:AE1673)+1,"")</f>
        <v/>
      </c>
    </row>
    <row r="1675">
      <c r="A1675" s="16" t="n"/>
      <c r="B1675" s="17" t="n"/>
      <c r="C1675" s="17" t="n"/>
      <c r="D1675" s="18" t="n"/>
      <c r="E1675" s="17" t="n"/>
      <c r="F1675" s="17" t="n"/>
      <c r="G1675" s="19" t="n"/>
      <c r="H1675" s="17" t="n"/>
      <c r="I1675" s="17" t="n"/>
      <c r="J1675" s="17" t="n"/>
      <c r="K1675" s="20">
        <f>IF($B1675="","",IFERROR(INDEX(الموظفات!$A$5:$A$304,MATCH($B1675,الموظفات!$B$5:$B$304,0))&amp;"",""))</f>
        <v/>
      </c>
      <c r="L1675" s="21">
        <f>IF($B1675="","",IFERROR(INDEX(الموظفات!$C$5:$C$304,MATCH($B1675,الموظفات!$B$5:$B$304,0))&amp;"",""))</f>
        <v/>
      </c>
      <c r="M1675" s="20">
        <f>IF($B1675="","",IFERROR(INDEX(الموظفات!$D$5:$D$304,MATCH($B1675,الموظفات!$B$5:$B$304,0))&amp;"",""))</f>
        <v/>
      </c>
      <c r="N1675" s="20">
        <f>IF($B1675="","",IFERROR(INDEX(الموظفات!$E$5:$E$304,MATCH($B1675,الموظفات!$B$5:$B$304,0))&amp;"",""))</f>
        <v/>
      </c>
      <c r="O1675" s="21">
        <f>IF(C1675="","",IFERROR(INDEX(الإعدادات!$D$7:$D$35,MATCH(C1675,الإعدادات!$A$7:$A$35,0))&amp;"",""))</f>
        <v/>
      </c>
      <c r="P1675" s="20">
        <f>IF(A1675="","",INDEX(الإعدادات!$H$7:$H$18,MONTH(A1675)))</f>
        <v/>
      </c>
      <c r="Q1675" s="20">
        <f>IF(A1675="","",INDEX(الإعدادات!$I$7:$I$18,MONTH(A1675)))</f>
        <v/>
      </c>
      <c r="R1675" s="20">
        <f>IF(A1675="","",IF(MONTH(A1675)&gt;=8,YEAR(A1675)&amp;"-"&amp;(YEAR(A1675)+1),(YEAR(A1675)-1)&amp;"-"&amp;YEAR(A1675)))</f>
        <v/>
      </c>
      <c r="S1675" s="20">
        <f>IF(OR(A1675="",B1675=""),0,IF(AND(R1675=التقارير!$C$4,OR(التقارير!$C$5="سنوي",AND(التقارير!$C$5="شهري",P1675=التقارير!$C$6),AND(التقارير!$C$5="فصلي",Q1675=التقارير!$C$7))),1,0))</f>
        <v/>
      </c>
      <c r="T1675" s="20">
        <f>IF(S1675=1,COUNTIF($S$5:S1675,1),"")</f>
        <v/>
      </c>
      <c r="U1675">
        <f>IF(AND($A1675&lt;&gt;"",$B1675&lt;&gt;"",$R1675='تقرير الفصل الأول'!$C$4,$Q1675='تقرير الفصل الأول'!$C$7),COUNT(U$4:U1674)+1,"")</f>
        <v/>
      </c>
      <c r="V1675">
        <f>IF(AND($A1675&lt;&gt;"",$B1675&lt;&gt;"",$R1675='تقرير الفصل الثاني'!$C$4,$Q1675='تقرير الفصل الثاني'!$C$7),COUNT(V$4:V1674)+1,"")</f>
        <v/>
      </c>
      <c r="W1675">
        <f>IF(AND($A1675&lt;&gt;"",$B1675&lt;&gt;"",$R1675='تقرير سبتمبر'!$C$4,$P1675='تقرير سبتمبر'!$C$6),COUNT(W$4:W1674)+1,"")</f>
        <v/>
      </c>
      <c r="X1675">
        <f>IF(AND($A1675&lt;&gt;"",$B1675&lt;&gt;"",$R1675='تقرير أكتوبر'!$C$4,$P1675='تقرير أكتوبر'!$C$6),COUNT(X$4:X1674)+1,"")</f>
        <v/>
      </c>
      <c r="Y1675">
        <f>IF(AND($A1675&lt;&gt;"",$B1675&lt;&gt;"",$R1675='تقرير نوفمبر'!$C$4,$P1675='تقرير نوفمبر'!$C$6),COUNT(Y$4:Y1674)+1,"")</f>
        <v/>
      </c>
      <c r="Z1675">
        <f>IF(AND($A1675&lt;&gt;"",$B1675&lt;&gt;"",$R1675='تقرير ديسمبر'!$C$4,$P1675='تقرير ديسمبر'!$C$6),COUNT(Z$4:Z1674)+1,"")</f>
        <v/>
      </c>
      <c r="AA1675">
        <f>IF(AND($A1675&lt;&gt;"",$B1675&lt;&gt;"",$R1675='تقرير يناير'!$C$4,$P1675='تقرير يناير'!$C$6),COUNT(AA$4:AA1674)+1,"")</f>
        <v/>
      </c>
      <c r="AB1675">
        <f>IF(AND($A1675&lt;&gt;"",$B1675&lt;&gt;"",$R1675='تقرير فبراير'!$C$4,$P1675='تقرير فبراير'!$C$6),COUNT(AB$4:AB1674)+1,"")</f>
        <v/>
      </c>
      <c r="AC1675">
        <f>IF(AND($A1675&lt;&gt;"",$B1675&lt;&gt;"",$R1675='تقرير مارس'!$C$4,$P1675='تقرير مارس'!$C$6),COUNT(AC$4:AC1674)+1,"")</f>
        <v/>
      </c>
      <c r="AD1675">
        <f>IF(AND($A1675&lt;&gt;"",$B1675&lt;&gt;"",$R1675='تقرير أبريل'!$C$4,$P1675='تقرير أبريل'!$C$6),COUNT(AD$4:AD1674)+1,"")</f>
        <v/>
      </c>
      <c r="AE1675">
        <f>IF(AND($A1675&lt;&gt;"",$B1675&lt;&gt;"",$R1675='تقرير مايو'!$C$4,$P1675='تقرير مايو'!$C$6),COUNT(AE$4:AE1674)+1,"")</f>
        <v/>
      </c>
    </row>
    <row r="1676">
      <c r="A1676" s="16" t="n"/>
      <c r="B1676" s="17" t="n"/>
      <c r="C1676" s="17" t="n"/>
      <c r="D1676" s="18" t="n"/>
      <c r="E1676" s="17" t="n"/>
      <c r="F1676" s="17" t="n"/>
      <c r="G1676" s="19" t="n"/>
      <c r="H1676" s="17" t="n"/>
      <c r="I1676" s="17" t="n"/>
      <c r="J1676" s="17" t="n"/>
      <c r="K1676" s="20">
        <f>IF($B1676="","",IFERROR(INDEX(الموظفات!$A$5:$A$304,MATCH($B1676,الموظفات!$B$5:$B$304,0))&amp;"",""))</f>
        <v/>
      </c>
      <c r="L1676" s="21">
        <f>IF($B1676="","",IFERROR(INDEX(الموظفات!$C$5:$C$304,MATCH($B1676,الموظفات!$B$5:$B$304,0))&amp;"",""))</f>
        <v/>
      </c>
      <c r="M1676" s="20">
        <f>IF($B1676="","",IFERROR(INDEX(الموظفات!$D$5:$D$304,MATCH($B1676,الموظفات!$B$5:$B$304,0))&amp;"",""))</f>
        <v/>
      </c>
      <c r="N1676" s="20">
        <f>IF($B1676="","",IFERROR(INDEX(الموظفات!$E$5:$E$304,MATCH($B1676,الموظفات!$B$5:$B$304,0))&amp;"",""))</f>
        <v/>
      </c>
      <c r="O1676" s="21">
        <f>IF(C1676="","",IFERROR(INDEX(الإعدادات!$D$7:$D$35,MATCH(C1676,الإعدادات!$A$7:$A$35,0))&amp;"",""))</f>
        <v/>
      </c>
      <c r="P1676" s="20">
        <f>IF(A1676="","",INDEX(الإعدادات!$H$7:$H$18,MONTH(A1676)))</f>
        <v/>
      </c>
      <c r="Q1676" s="20">
        <f>IF(A1676="","",INDEX(الإعدادات!$I$7:$I$18,MONTH(A1676)))</f>
        <v/>
      </c>
      <c r="R1676" s="20">
        <f>IF(A1676="","",IF(MONTH(A1676)&gt;=8,YEAR(A1676)&amp;"-"&amp;(YEAR(A1676)+1),(YEAR(A1676)-1)&amp;"-"&amp;YEAR(A1676)))</f>
        <v/>
      </c>
      <c r="S1676" s="20">
        <f>IF(OR(A1676="",B1676=""),0,IF(AND(R1676=التقارير!$C$4,OR(التقارير!$C$5="سنوي",AND(التقارير!$C$5="شهري",P1676=التقارير!$C$6),AND(التقارير!$C$5="فصلي",Q1676=التقارير!$C$7))),1,0))</f>
        <v/>
      </c>
      <c r="T1676" s="20">
        <f>IF(S1676=1,COUNTIF($S$5:S1676,1),"")</f>
        <v/>
      </c>
      <c r="U1676">
        <f>IF(AND($A1676&lt;&gt;"",$B1676&lt;&gt;"",$R1676='تقرير الفصل الأول'!$C$4,$Q1676='تقرير الفصل الأول'!$C$7),COUNT(U$4:U1675)+1,"")</f>
        <v/>
      </c>
      <c r="V1676">
        <f>IF(AND($A1676&lt;&gt;"",$B1676&lt;&gt;"",$R1676='تقرير الفصل الثاني'!$C$4,$Q1676='تقرير الفصل الثاني'!$C$7),COUNT(V$4:V1675)+1,"")</f>
        <v/>
      </c>
      <c r="W1676">
        <f>IF(AND($A1676&lt;&gt;"",$B1676&lt;&gt;"",$R1676='تقرير سبتمبر'!$C$4,$P1676='تقرير سبتمبر'!$C$6),COUNT(W$4:W1675)+1,"")</f>
        <v/>
      </c>
      <c r="X1676">
        <f>IF(AND($A1676&lt;&gt;"",$B1676&lt;&gt;"",$R1676='تقرير أكتوبر'!$C$4,$P1676='تقرير أكتوبر'!$C$6),COUNT(X$4:X1675)+1,"")</f>
        <v/>
      </c>
      <c r="Y1676">
        <f>IF(AND($A1676&lt;&gt;"",$B1676&lt;&gt;"",$R1676='تقرير نوفمبر'!$C$4,$P1676='تقرير نوفمبر'!$C$6),COUNT(Y$4:Y1675)+1,"")</f>
        <v/>
      </c>
      <c r="Z1676">
        <f>IF(AND($A1676&lt;&gt;"",$B1676&lt;&gt;"",$R1676='تقرير ديسمبر'!$C$4,$P1676='تقرير ديسمبر'!$C$6),COUNT(Z$4:Z1675)+1,"")</f>
        <v/>
      </c>
      <c r="AA1676">
        <f>IF(AND($A1676&lt;&gt;"",$B1676&lt;&gt;"",$R1676='تقرير يناير'!$C$4,$P1676='تقرير يناير'!$C$6),COUNT(AA$4:AA1675)+1,"")</f>
        <v/>
      </c>
      <c r="AB1676">
        <f>IF(AND($A1676&lt;&gt;"",$B1676&lt;&gt;"",$R1676='تقرير فبراير'!$C$4,$P1676='تقرير فبراير'!$C$6),COUNT(AB$4:AB1675)+1,"")</f>
        <v/>
      </c>
      <c r="AC1676">
        <f>IF(AND($A1676&lt;&gt;"",$B1676&lt;&gt;"",$R1676='تقرير مارس'!$C$4,$P1676='تقرير مارس'!$C$6),COUNT(AC$4:AC1675)+1,"")</f>
        <v/>
      </c>
      <c r="AD1676">
        <f>IF(AND($A1676&lt;&gt;"",$B1676&lt;&gt;"",$R1676='تقرير أبريل'!$C$4,$P1676='تقرير أبريل'!$C$6),COUNT(AD$4:AD1675)+1,"")</f>
        <v/>
      </c>
      <c r="AE1676">
        <f>IF(AND($A1676&lt;&gt;"",$B1676&lt;&gt;"",$R1676='تقرير مايو'!$C$4,$P1676='تقرير مايو'!$C$6),COUNT(AE$4:AE1675)+1,"")</f>
        <v/>
      </c>
    </row>
    <row r="1677">
      <c r="A1677" s="16" t="n"/>
      <c r="B1677" s="17" t="n"/>
      <c r="C1677" s="17" t="n"/>
      <c r="D1677" s="18" t="n"/>
      <c r="E1677" s="17" t="n"/>
      <c r="F1677" s="17" t="n"/>
      <c r="G1677" s="19" t="n"/>
      <c r="H1677" s="17" t="n"/>
      <c r="I1677" s="17" t="n"/>
      <c r="J1677" s="17" t="n"/>
      <c r="K1677" s="20">
        <f>IF($B1677="","",IFERROR(INDEX(الموظفات!$A$5:$A$304,MATCH($B1677,الموظفات!$B$5:$B$304,0))&amp;"",""))</f>
        <v/>
      </c>
      <c r="L1677" s="21">
        <f>IF($B1677="","",IFERROR(INDEX(الموظفات!$C$5:$C$304,MATCH($B1677,الموظفات!$B$5:$B$304,0))&amp;"",""))</f>
        <v/>
      </c>
      <c r="M1677" s="20">
        <f>IF($B1677="","",IFERROR(INDEX(الموظفات!$D$5:$D$304,MATCH($B1677,الموظفات!$B$5:$B$304,0))&amp;"",""))</f>
        <v/>
      </c>
      <c r="N1677" s="20">
        <f>IF($B1677="","",IFERROR(INDEX(الموظفات!$E$5:$E$304,MATCH($B1677,الموظفات!$B$5:$B$304,0))&amp;"",""))</f>
        <v/>
      </c>
      <c r="O1677" s="21">
        <f>IF(C1677="","",IFERROR(INDEX(الإعدادات!$D$7:$D$35,MATCH(C1677,الإعدادات!$A$7:$A$35,0))&amp;"",""))</f>
        <v/>
      </c>
      <c r="P1677" s="20">
        <f>IF(A1677="","",INDEX(الإعدادات!$H$7:$H$18,MONTH(A1677)))</f>
        <v/>
      </c>
      <c r="Q1677" s="20">
        <f>IF(A1677="","",INDEX(الإعدادات!$I$7:$I$18,MONTH(A1677)))</f>
        <v/>
      </c>
      <c r="R1677" s="20">
        <f>IF(A1677="","",IF(MONTH(A1677)&gt;=8,YEAR(A1677)&amp;"-"&amp;(YEAR(A1677)+1),(YEAR(A1677)-1)&amp;"-"&amp;YEAR(A1677)))</f>
        <v/>
      </c>
      <c r="S1677" s="20">
        <f>IF(OR(A1677="",B1677=""),0,IF(AND(R1677=التقارير!$C$4,OR(التقارير!$C$5="سنوي",AND(التقارير!$C$5="شهري",P1677=التقارير!$C$6),AND(التقارير!$C$5="فصلي",Q1677=التقارير!$C$7))),1,0))</f>
        <v/>
      </c>
      <c r="T1677" s="20">
        <f>IF(S1677=1,COUNTIF($S$5:S1677,1),"")</f>
        <v/>
      </c>
      <c r="U1677">
        <f>IF(AND($A1677&lt;&gt;"",$B1677&lt;&gt;"",$R1677='تقرير الفصل الأول'!$C$4,$Q1677='تقرير الفصل الأول'!$C$7),COUNT(U$4:U1676)+1,"")</f>
        <v/>
      </c>
      <c r="V1677">
        <f>IF(AND($A1677&lt;&gt;"",$B1677&lt;&gt;"",$R1677='تقرير الفصل الثاني'!$C$4,$Q1677='تقرير الفصل الثاني'!$C$7),COUNT(V$4:V1676)+1,"")</f>
        <v/>
      </c>
      <c r="W1677">
        <f>IF(AND($A1677&lt;&gt;"",$B1677&lt;&gt;"",$R1677='تقرير سبتمبر'!$C$4,$P1677='تقرير سبتمبر'!$C$6),COUNT(W$4:W1676)+1,"")</f>
        <v/>
      </c>
      <c r="X1677">
        <f>IF(AND($A1677&lt;&gt;"",$B1677&lt;&gt;"",$R1677='تقرير أكتوبر'!$C$4,$P1677='تقرير أكتوبر'!$C$6),COUNT(X$4:X1676)+1,"")</f>
        <v/>
      </c>
      <c r="Y1677">
        <f>IF(AND($A1677&lt;&gt;"",$B1677&lt;&gt;"",$R1677='تقرير نوفمبر'!$C$4,$P1677='تقرير نوفمبر'!$C$6),COUNT(Y$4:Y1676)+1,"")</f>
        <v/>
      </c>
      <c r="Z1677">
        <f>IF(AND($A1677&lt;&gt;"",$B1677&lt;&gt;"",$R1677='تقرير ديسمبر'!$C$4,$P1677='تقرير ديسمبر'!$C$6),COUNT(Z$4:Z1676)+1,"")</f>
        <v/>
      </c>
      <c r="AA1677">
        <f>IF(AND($A1677&lt;&gt;"",$B1677&lt;&gt;"",$R1677='تقرير يناير'!$C$4,$P1677='تقرير يناير'!$C$6),COUNT(AA$4:AA1676)+1,"")</f>
        <v/>
      </c>
      <c r="AB1677">
        <f>IF(AND($A1677&lt;&gt;"",$B1677&lt;&gt;"",$R1677='تقرير فبراير'!$C$4,$P1677='تقرير فبراير'!$C$6),COUNT(AB$4:AB1676)+1,"")</f>
        <v/>
      </c>
      <c r="AC1677">
        <f>IF(AND($A1677&lt;&gt;"",$B1677&lt;&gt;"",$R1677='تقرير مارس'!$C$4,$P1677='تقرير مارس'!$C$6),COUNT(AC$4:AC1676)+1,"")</f>
        <v/>
      </c>
      <c r="AD1677">
        <f>IF(AND($A1677&lt;&gt;"",$B1677&lt;&gt;"",$R1677='تقرير أبريل'!$C$4,$P1677='تقرير أبريل'!$C$6),COUNT(AD$4:AD1676)+1,"")</f>
        <v/>
      </c>
      <c r="AE1677">
        <f>IF(AND($A1677&lt;&gt;"",$B1677&lt;&gt;"",$R1677='تقرير مايو'!$C$4,$P1677='تقرير مايو'!$C$6),COUNT(AE$4:AE1676)+1,"")</f>
        <v/>
      </c>
    </row>
    <row r="1678">
      <c r="A1678" s="16" t="n"/>
      <c r="B1678" s="17" t="n"/>
      <c r="C1678" s="17" t="n"/>
      <c r="D1678" s="18" t="n"/>
      <c r="E1678" s="17" t="n"/>
      <c r="F1678" s="17" t="n"/>
      <c r="G1678" s="19" t="n"/>
      <c r="H1678" s="17" t="n"/>
      <c r="I1678" s="17" t="n"/>
      <c r="J1678" s="17" t="n"/>
      <c r="K1678" s="20">
        <f>IF($B1678="","",IFERROR(INDEX(الموظفات!$A$5:$A$304,MATCH($B1678,الموظفات!$B$5:$B$304,0))&amp;"",""))</f>
        <v/>
      </c>
      <c r="L1678" s="21">
        <f>IF($B1678="","",IFERROR(INDEX(الموظفات!$C$5:$C$304,MATCH($B1678,الموظفات!$B$5:$B$304,0))&amp;"",""))</f>
        <v/>
      </c>
      <c r="M1678" s="20">
        <f>IF($B1678="","",IFERROR(INDEX(الموظفات!$D$5:$D$304,MATCH($B1678,الموظفات!$B$5:$B$304,0))&amp;"",""))</f>
        <v/>
      </c>
      <c r="N1678" s="20">
        <f>IF($B1678="","",IFERROR(INDEX(الموظفات!$E$5:$E$304,MATCH($B1678,الموظفات!$B$5:$B$304,0))&amp;"",""))</f>
        <v/>
      </c>
      <c r="O1678" s="21">
        <f>IF(C1678="","",IFERROR(INDEX(الإعدادات!$D$7:$D$35,MATCH(C1678,الإعدادات!$A$7:$A$35,0))&amp;"",""))</f>
        <v/>
      </c>
      <c r="P1678" s="20">
        <f>IF(A1678="","",INDEX(الإعدادات!$H$7:$H$18,MONTH(A1678)))</f>
        <v/>
      </c>
      <c r="Q1678" s="20">
        <f>IF(A1678="","",INDEX(الإعدادات!$I$7:$I$18,MONTH(A1678)))</f>
        <v/>
      </c>
      <c r="R1678" s="20">
        <f>IF(A1678="","",IF(MONTH(A1678)&gt;=8,YEAR(A1678)&amp;"-"&amp;(YEAR(A1678)+1),(YEAR(A1678)-1)&amp;"-"&amp;YEAR(A1678)))</f>
        <v/>
      </c>
      <c r="S1678" s="20">
        <f>IF(OR(A1678="",B1678=""),0,IF(AND(R1678=التقارير!$C$4,OR(التقارير!$C$5="سنوي",AND(التقارير!$C$5="شهري",P1678=التقارير!$C$6),AND(التقارير!$C$5="فصلي",Q1678=التقارير!$C$7))),1,0))</f>
        <v/>
      </c>
      <c r="T1678" s="20">
        <f>IF(S1678=1,COUNTIF($S$5:S1678,1),"")</f>
        <v/>
      </c>
      <c r="U1678">
        <f>IF(AND($A1678&lt;&gt;"",$B1678&lt;&gt;"",$R1678='تقرير الفصل الأول'!$C$4,$Q1678='تقرير الفصل الأول'!$C$7),COUNT(U$4:U1677)+1,"")</f>
        <v/>
      </c>
      <c r="V1678">
        <f>IF(AND($A1678&lt;&gt;"",$B1678&lt;&gt;"",$R1678='تقرير الفصل الثاني'!$C$4,$Q1678='تقرير الفصل الثاني'!$C$7),COUNT(V$4:V1677)+1,"")</f>
        <v/>
      </c>
      <c r="W1678">
        <f>IF(AND($A1678&lt;&gt;"",$B1678&lt;&gt;"",$R1678='تقرير سبتمبر'!$C$4,$P1678='تقرير سبتمبر'!$C$6),COUNT(W$4:W1677)+1,"")</f>
        <v/>
      </c>
      <c r="X1678">
        <f>IF(AND($A1678&lt;&gt;"",$B1678&lt;&gt;"",$R1678='تقرير أكتوبر'!$C$4,$P1678='تقرير أكتوبر'!$C$6),COUNT(X$4:X1677)+1,"")</f>
        <v/>
      </c>
      <c r="Y1678">
        <f>IF(AND($A1678&lt;&gt;"",$B1678&lt;&gt;"",$R1678='تقرير نوفمبر'!$C$4,$P1678='تقرير نوفمبر'!$C$6),COUNT(Y$4:Y1677)+1,"")</f>
        <v/>
      </c>
      <c r="Z1678">
        <f>IF(AND($A1678&lt;&gt;"",$B1678&lt;&gt;"",$R1678='تقرير ديسمبر'!$C$4,$P1678='تقرير ديسمبر'!$C$6),COUNT(Z$4:Z1677)+1,"")</f>
        <v/>
      </c>
      <c r="AA1678">
        <f>IF(AND($A1678&lt;&gt;"",$B1678&lt;&gt;"",$R1678='تقرير يناير'!$C$4,$P1678='تقرير يناير'!$C$6),COUNT(AA$4:AA1677)+1,"")</f>
        <v/>
      </c>
      <c r="AB1678">
        <f>IF(AND($A1678&lt;&gt;"",$B1678&lt;&gt;"",$R1678='تقرير فبراير'!$C$4,$P1678='تقرير فبراير'!$C$6),COUNT(AB$4:AB1677)+1,"")</f>
        <v/>
      </c>
      <c r="AC1678">
        <f>IF(AND($A1678&lt;&gt;"",$B1678&lt;&gt;"",$R1678='تقرير مارس'!$C$4,$P1678='تقرير مارس'!$C$6),COUNT(AC$4:AC1677)+1,"")</f>
        <v/>
      </c>
      <c r="AD1678">
        <f>IF(AND($A1678&lt;&gt;"",$B1678&lt;&gt;"",$R1678='تقرير أبريل'!$C$4,$P1678='تقرير أبريل'!$C$6),COUNT(AD$4:AD1677)+1,"")</f>
        <v/>
      </c>
      <c r="AE1678">
        <f>IF(AND($A1678&lt;&gt;"",$B1678&lt;&gt;"",$R1678='تقرير مايو'!$C$4,$P1678='تقرير مايو'!$C$6),COUNT(AE$4:AE1677)+1,"")</f>
        <v/>
      </c>
    </row>
    <row r="1679">
      <c r="A1679" s="16" t="n"/>
      <c r="B1679" s="17" t="n"/>
      <c r="C1679" s="17" t="n"/>
      <c r="D1679" s="18" t="n"/>
      <c r="E1679" s="17" t="n"/>
      <c r="F1679" s="17" t="n"/>
      <c r="G1679" s="19" t="n"/>
      <c r="H1679" s="17" t="n"/>
      <c r="I1679" s="17" t="n"/>
      <c r="J1679" s="17" t="n"/>
      <c r="K1679" s="20">
        <f>IF($B1679="","",IFERROR(INDEX(الموظفات!$A$5:$A$304,MATCH($B1679,الموظفات!$B$5:$B$304,0))&amp;"",""))</f>
        <v/>
      </c>
      <c r="L1679" s="21">
        <f>IF($B1679="","",IFERROR(INDEX(الموظفات!$C$5:$C$304,MATCH($B1679,الموظفات!$B$5:$B$304,0))&amp;"",""))</f>
        <v/>
      </c>
      <c r="M1679" s="20">
        <f>IF($B1679="","",IFERROR(INDEX(الموظفات!$D$5:$D$304,MATCH($B1679,الموظفات!$B$5:$B$304,0))&amp;"",""))</f>
        <v/>
      </c>
      <c r="N1679" s="20">
        <f>IF($B1679="","",IFERROR(INDEX(الموظفات!$E$5:$E$304,MATCH($B1679,الموظفات!$B$5:$B$304,0))&amp;"",""))</f>
        <v/>
      </c>
      <c r="O1679" s="21">
        <f>IF(C1679="","",IFERROR(INDEX(الإعدادات!$D$7:$D$35,MATCH(C1679,الإعدادات!$A$7:$A$35,0))&amp;"",""))</f>
        <v/>
      </c>
      <c r="P1679" s="20">
        <f>IF(A1679="","",INDEX(الإعدادات!$H$7:$H$18,MONTH(A1679)))</f>
        <v/>
      </c>
      <c r="Q1679" s="20">
        <f>IF(A1679="","",INDEX(الإعدادات!$I$7:$I$18,MONTH(A1679)))</f>
        <v/>
      </c>
      <c r="R1679" s="20">
        <f>IF(A1679="","",IF(MONTH(A1679)&gt;=8,YEAR(A1679)&amp;"-"&amp;(YEAR(A1679)+1),(YEAR(A1679)-1)&amp;"-"&amp;YEAR(A1679)))</f>
        <v/>
      </c>
      <c r="S1679" s="20">
        <f>IF(OR(A1679="",B1679=""),0,IF(AND(R1679=التقارير!$C$4,OR(التقارير!$C$5="سنوي",AND(التقارير!$C$5="شهري",P1679=التقارير!$C$6),AND(التقارير!$C$5="فصلي",Q1679=التقارير!$C$7))),1,0))</f>
        <v/>
      </c>
      <c r="T1679" s="20">
        <f>IF(S1679=1,COUNTIF($S$5:S1679,1),"")</f>
        <v/>
      </c>
      <c r="U1679">
        <f>IF(AND($A1679&lt;&gt;"",$B1679&lt;&gt;"",$R1679='تقرير الفصل الأول'!$C$4,$Q1679='تقرير الفصل الأول'!$C$7),COUNT(U$4:U1678)+1,"")</f>
        <v/>
      </c>
      <c r="V1679">
        <f>IF(AND($A1679&lt;&gt;"",$B1679&lt;&gt;"",$R1679='تقرير الفصل الثاني'!$C$4,$Q1679='تقرير الفصل الثاني'!$C$7),COUNT(V$4:V1678)+1,"")</f>
        <v/>
      </c>
      <c r="W1679">
        <f>IF(AND($A1679&lt;&gt;"",$B1679&lt;&gt;"",$R1679='تقرير سبتمبر'!$C$4,$P1679='تقرير سبتمبر'!$C$6),COUNT(W$4:W1678)+1,"")</f>
        <v/>
      </c>
      <c r="X1679">
        <f>IF(AND($A1679&lt;&gt;"",$B1679&lt;&gt;"",$R1679='تقرير أكتوبر'!$C$4,$P1679='تقرير أكتوبر'!$C$6),COUNT(X$4:X1678)+1,"")</f>
        <v/>
      </c>
      <c r="Y1679">
        <f>IF(AND($A1679&lt;&gt;"",$B1679&lt;&gt;"",$R1679='تقرير نوفمبر'!$C$4,$P1679='تقرير نوفمبر'!$C$6),COUNT(Y$4:Y1678)+1,"")</f>
        <v/>
      </c>
      <c r="Z1679">
        <f>IF(AND($A1679&lt;&gt;"",$B1679&lt;&gt;"",$R1679='تقرير ديسمبر'!$C$4,$P1679='تقرير ديسمبر'!$C$6),COUNT(Z$4:Z1678)+1,"")</f>
        <v/>
      </c>
      <c r="AA1679">
        <f>IF(AND($A1679&lt;&gt;"",$B1679&lt;&gt;"",$R1679='تقرير يناير'!$C$4,$P1679='تقرير يناير'!$C$6),COUNT(AA$4:AA1678)+1,"")</f>
        <v/>
      </c>
      <c r="AB1679">
        <f>IF(AND($A1679&lt;&gt;"",$B1679&lt;&gt;"",$R1679='تقرير فبراير'!$C$4,$P1679='تقرير فبراير'!$C$6),COUNT(AB$4:AB1678)+1,"")</f>
        <v/>
      </c>
      <c r="AC1679">
        <f>IF(AND($A1679&lt;&gt;"",$B1679&lt;&gt;"",$R1679='تقرير مارس'!$C$4,$P1679='تقرير مارس'!$C$6),COUNT(AC$4:AC1678)+1,"")</f>
        <v/>
      </c>
      <c r="AD1679">
        <f>IF(AND($A1679&lt;&gt;"",$B1679&lt;&gt;"",$R1679='تقرير أبريل'!$C$4,$P1679='تقرير أبريل'!$C$6),COUNT(AD$4:AD1678)+1,"")</f>
        <v/>
      </c>
      <c r="AE1679">
        <f>IF(AND($A1679&lt;&gt;"",$B1679&lt;&gt;"",$R1679='تقرير مايو'!$C$4,$P1679='تقرير مايو'!$C$6),COUNT(AE$4:AE1678)+1,"")</f>
        <v/>
      </c>
    </row>
    <row r="1680">
      <c r="A1680" s="16" t="n"/>
      <c r="B1680" s="17" t="n"/>
      <c r="C1680" s="17" t="n"/>
      <c r="D1680" s="18" t="n"/>
      <c r="E1680" s="17" t="n"/>
      <c r="F1680" s="17" t="n"/>
      <c r="G1680" s="19" t="n"/>
      <c r="H1680" s="17" t="n"/>
      <c r="I1680" s="17" t="n"/>
      <c r="J1680" s="17" t="n"/>
      <c r="K1680" s="20">
        <f>IF($B1680="","",IFERROR(INDEX(الموظفات!$A$5:$A$304,MATCH($B1680,الموظفات!$B$5:$B$304,0))&amp;"",""))</f>
        <v/>
      </c>
      <c r="L1680" s="21">
        <f>IF($B1680="","",IFERROR(INDEX(الموظفات!$C$5:$C$304,MATCH($B1680,الموظفات!$B$5:$B$304,0))&amp;"",""))</f>
        <v/>
      </c>
      <c r="M1680" s="20">
        <f>IF($B1680="","",IFERROR(INDEX(الموظفات!$D$5:$D$304,MATCH($B1680,الموظفات!$B$5:$B$304,0))&amp;"",""))</f>
        <v/>
      </c>
      <c r="N1680" s="20">
        <f>IF($B1680="","",IFERROR(INDEX(الموظفات!$E$5:$E$304,MATCH($B1680,الموظفات!$B$5:$B$304,0))&amp;"",""))</f>
        <v/>
      </c>
      <c r="O1680" s="21">
        <f>IF(C1680="","",IFERROR(INDEX(الإعدادات!$D$7:$D$35,MATCH(C1680,الإعدادات!$A$7:$A$35,0))&amp;"",""))</f>
        <v/>
      </c>
      <c r="P1680" s="20">
        <f>IF(A1680="","",INDEX(الإعدادات!$H$7:$H$18,MONTH(A1680)))</f>
        <v/>
      </c>
      <c r="Q1680" s="20">
        <f>IF(A1680="","",INDEX(الإعدادات!$I$7:$I$18,MONTH(A1680)))</f>
        <v/>
      </c>
      <c r="R1680" s="20">
        <f>IF(A1680="","",IF(MONTH(A1680)&gt;=8,YEAR(A1680)&amp;"-"&amp;(YEAR(A1680)+1),(YEAR(A1680)-1)&amp;"-"&amp;YEAR(A1680)))</f>
        <v/>
      </c>
      <c r="S1680" s="20">
        <f>IF(OR(A1680="",B1680=""),0,IF(AND(R1680=التقارير!$C$4,OR(التقارير!$C$5="سنوي",AND(التقارير!$C$5="شهري",P1680=التقارير!$C$6),AND(التقارير!$C$5="فصلي",Q1680=التقارير!$C$7))),1,0))</f>
        <v/>
      </c>
      <c r="T1680" s="20">
        <f>IF(S1680=1,COUNTIF($S$5:S1680,1),"")</f>
        <v/>
      </c>
      <c r="U1680">
        <f>IF(AND($A1680&lt;&gt;"",$B1680&lt;&gt;"",$R1680='تقرير الفصل الأول'!$C$4,$Q1680='تقرير الفصل الأول'!$C$7),COUNT(U$4:U1679)+1,"")</f>
        <v/>
      </c>
      <c r="V1680">
        <f>IF(AND($A1680&lt;&gt;"",$B1680&lt;&gt;"",$R1680='تقرير الفصل الثاني'!$C$4,$Q1680='تقرير الفصل الثاني'!$C$7),COUNT(V$4:V1679)+1,"")</f>
        <v/>
      </c>
      <c r="W1680">
        <f>IF(AND($A1680&lt;&gt;"",$B1680&lt;&gt;"",$R1680='تقرير سبتمبر'!$C$4,$P1680='تقرير سبتمبر'!$C$6),COUNT(W$4:W1679)+1,"")</f>
        <v/>
      </c>
      <c r="X1680">
        <f>IF(AND($A1680&lt;&gt;"",$B1680&lt;&gt;"",$R1680='تقرير أكتوبر'!$C$4,$P1680='تقرير أكتوبر'!$C$6),COUNT(X$4:X1679)+1,"")</f>
        <v/>
      </c>
      <c r="Y1680">
        <f>IF(AND($A1680&lt;&gt;"",$B1680&lt;&gt;"",$R1680='تقرير نوفمبر'!$C$4,$P1680='تقرير نوفمبر'!$C$6),COUNT(Y$4:Y1679)+1,"")</f>
        <v/>
      </c>
      <c r="Z1680">
        <f>IF(AND($A1680&lt;&gt;"",$B1680&lt;&gt;"",$R1680='تقرير ديسمبر'!$C$4,$P1680='تقرير ديسمبر'!$C$6),COUNT(Z$4:Z1679)+1,"")</f>
        <v/>
      </c>
      <c r="AA1680">
        <f>IF(AND($A1680&lt;&gt;"",$B1680&lt;&gt;"",$R1680='تقرير يناير'!$C$4,$P1680='تقرير يناير'!$C$6),COUNT(AA$4:AA1679)+1,"")</f>
        <v/>
      </c>
      <c r="AB1680">
        <f>IF(AND($A1680&lt;&gt;"",$B1680&lt;&gt;"",$R1680='تقرير فبراير'!$C$4,$P1680='تقرير فبراير'!$C$6),COUNT(AB$4:AB1679)+1,"")</f>
        <v/>
      </c>
      <c r="AC1680">
        <f>IF(AND($A1680&lt;&gt;"",$B1680&lt;&gt;"",$R1680='تقرير مارس'!$C$4,$P1680='تقرير مارس'!$C$6),COUNT(AC$4:AC1679)+1,"")</f>
        <v/>
      </c>
      <c r="AD1680">
        <f>IF(AND($A1680&lt;&gt;"",$B1680&lt;&gt;"",$R1680='تقرير أبريل'!$C$4,$P1680='تقرير أبريل'!$C$6),COUNT(AD$4:AD1679)+1,"")</f>
        <v/>
      </c>
      <c r="AE1680">
        <f>IF(AND($A1680&lt;&gt;"",$B1680&lt;&gt;"",$R1680='تقرير مايو'!$C$4,$P1680='تقرير مايو'!$C$6),COUNT(AE$4:AE1679)+1,"")</f>
        <v/>
      </c>
    </row>
    <row r="1681">
      <c r="A1681" s="16" t="n"/>
      <c r="B1681" s="17" t="n"/>
      <c r="C1681" s="17" t="n"/>
      <c r="D1681" s="18" t="n"/>
      <c r="E1681" s="17" t="n"/>
      <c r="F1681" s="17" t="n"/>
      <c r="G1681" s="19" t="n"/>
      <c r="H1681" s="17" t="n"/>
      <c r="I1681" s="17" t="n"/>
      <c r="J1681" s="17" t="n"/>
      <c r="K1681" s="20">
        <f>IF($B1681="","",IFERROR(INDEX(الموظفات!$A$5:$A$304,MATCH($B1681,الموظفات!$B$5:$B$304,0))&amp;"",""))</f>
        <v/>
      </c>
      <c r="L1681" s="21">
        <f>IF($B1681="","",IFERROR(INDEX(الموظفات!$C$5:$C$304,MATCH($B1681,الموظفات!$B$5:$B$304,0))&amp;"",""))</f>
        <v/>
      </c>
      <c r="M1681" s="20">
        <f>IF($B1681="","",IFERROR(INDEX(الموظفات!$D$5:$D$304,MATCH($B1681,الموظفات!$B$5:$B$304,0))&amp;"",""))</f>
        <v/>
      </c>
      <c r="N1681" s="20">
        <f>IF($B1681="","",IFERROR(INDEX(الموظفات!$E$5:$E$304,MATCH($B1681,الموظفات!$B$5:$B$304,0))&amp;"",""))</f>
        <v/>
      </c>
      <c r="O1681" s="21">
        <f>IF(C1681="","",IFERROR(INDEX(الإعدادات!$D$7:$D$35,MATCH(C1681,الإعدادات!$A$7:$A$35,0))&amp;"",""))</f>
        <v/>
      </c>
      <c r="P1681" s="20">
        <f>IF(A1681="","",INDEX(الإعدادات!$H$7:$H$18,MONTH(A1681)))</f>
        <v/>
      </c>
      <c r="Q1681" s="20">
        <f>IF(A1681="","",INDEX(الإعدادات!$I$7:$I$18,MONTH(A1681)))</f>
        <v/>
      </c>
      <c r="R1681" s="20">
        <f>IF(A1681="","",IF(MONTH(A1681)&gt;=8,YEAR(A1681)&amp;"-"&amp;(YEAR(A1681)+1),(YEAR(A1681)-1)&amp;"-"&amp;YEAR(A1681)))</f>
        <v/>
      </c>
      <c r="S1681" s="20">
        <f>IF(OR(A1681="",B1681=""),0,IF(AND(R1681=التقارير!$C$4,OR(التقارير!$C$5="سنوي",AND(التقارير!$C$5="شهري",P1681=التقارير!$C$6),AND(التقارير!$C$5="فصلي",Q1681=التقارير!$C$7))),1,0))</f>
        <v/>
      </c>
      <c r="T1681" s="20">
        <f>IF(S1681=1,COUNTIF($S$5:S1681,1),"")</f>
        <v/>
      </c>
      <c r="U1681">
        <f>IF(AND($A1681&lt;&gt;"",$B1681&lt;&gt;"",$R1681='تقرير الفصل الأول'!$C$4,$Q1681='تقرير الفصل الأول'!$C$7),COUNT(U$4:U1680)+1,"")</f>
        <v/>
      </c>
      <c r="V1681">
        <f>IF(AND($A1681&lt;&gt;"",$B1681&lt;&gt;"",$R1681='تقرير الفصل الثاني'!$C$4,$Q1681='تقرير الفصل الثاني'!$C$7),COUNT(V$4:V1680)+1,"")</f>
        <v/>
      </c>
      <c r="W1681">
        <f>IF(AND($A1681&lt;&gt;"",$B1681&lt;&gt;"",$R1681='تقرير سبتمبر'!$C$4,$P1681='تقرير سبتمبر'!$C$6),COUNT(W$4:W1680)+1,"")</f>
        <v/>
      </c>
      <c r="X1681">
        <f>IF(AND($A1681&lt;&gt;"",$B1681&lt;&gt;"",$R1681='تقرير أكتوبر'!$C$4,$P1681='تقرير أكتوبر'!$C$6),COUNT(X$4:X1680)+1,"")</f>
        <v/>
      </c>
      <c r="Y1681">
        <f>IF(AND($A1681&lt;&gt;"",$B1681&lt;&gt;"",$R1681='تقرير نوفمبر'!$C$4,$P1681='تقرير نوفمبر'!$C$6),COUNT(Y$4:Y1680)+1,"")</f>
        <v/>
      </c>
      <c r="Z1681">
        <f>IF(AND($A1681&lt;&gt;"",$B1681&lt;&gt;"",$R1681='تقرير ديسمبر'!$C$4,$P1681='تقرير ديسمبر'!$C$6),COUNT(Z$4:Z1680)+1,"")</f>
        <v/>
      </c>
      <c r="AA1681">
        <f>IF(AND($A1681&lt;&gt;"",$B1681&lt;&gt;"",$R1681='تقرير يناير'!$C$4,$P1681='تقرير يناير'!$C$6),COUNT(AA$4:AA1680)+1,"")</f>
        <v/>
      </c>
      <c r="AB1681">
        <f>IF(AND($A1681&lt;&gt;"",$B1681&lt;&gt;"",$R1681='تقرير فبراير'!$C$4,$P1681='تقرير فبراير'!$C$6),COUNT(AB$4:AB1680)+1,"")</f>
        <v/>
      </c>
      <c r="AC1681">
        <f>IF(AND($A1681&lt;&gt;"",$B1681&lt;&gt;"",$R1681='تقرير مارس'!$C$4,$P1681='تقرير مارس'!$C$6),COUNT(AC$4:AC1680)+1,"")</f>
        <v/>
      </c>
      <c r="AD1681">
        <f>IF(AND($A1681&lt;&gt;"",$B1681&lt;&gt;"",$R1681='تقرير أبريل'!$C$4,$P1681='تقرير أبريل'!$C$6),COUNT(AD$4:AD1680)+1,"")</f>
        <v/>
      </c>
      <c r="AE1681">
        <f>IF(AND($A1681&lt;&gt;"",$B1681&lt;&gt;"",$R1681='تقرير مايو'!$C$4,$P1681='تقرير مايو'!$C$6),COUNT(AE$4:AE1680)+1,"")</f>
        <v/>
      </c>
    </row>
    <row r="1682">
      <c r="A1682" s="16" t="n"/>
      <c r="B1682" s="17" t="n"/>
      <c r="C1682" s="17" t="n"/>
      <c r="D1682" s="18" t="n"/>
      <c r="E1682" s="17" t="n"/>
      <c r="F1682" s="17" t="n"/>
      <c r="G1682" s="19" t="n"/>
      <c r="H1682" s="17" t="n"/>
      <c r="I1682" s="17" t="n"/>
      <c r="J1682" s="17" t="n"/>
      <c r="K1682" s="20">
        <f>IF($B1682="","",IFERROR(INDEX(الموظفات!$A$5:$A$304,MATCH($B1682,الموظفات!$B$5:$B$304,0))&amp;"",""))</f>
        <v/>
      </c>
      <c r="L1682" s="21">
        <f>IF($B1682="","",IFERROR(INDEX(الموظفات!$C$5:$C$304,MATCH($B1682,الموظفات!$B$5:$B$304,0))&amp;"",""))</f>
        <v/>
      </c>
      <c r="M1682" s="20">
        <f>IF($B1682="","",IFERROR(INDEX(الموظفات!$D$5:$D$304,MATCH($B1682,الموظفات!$B$5:$B$304,0))&amp;"",""))</f>
        <v/>
      </c>
      <c r="N1682" s="20">
        <f>IF($B1682="","",IFERROR(INDEX(الموظفات!$E$5:$E$304,MATCH($B1682,الموظفات!$B$5:$B$304,0))&amp;"",""))</f>
        <v/>
      </c>
      <c r="O1682" s="21">
        <f>IF(C1682="","",IFERROR(INDEX(الإعدادات!$D$7:$D$35,MATCH(C1682,الإعدادات!$A$7:$A$35,0))&amp;"",""))</f>
        <v/>
      </c>
      <c r="P1682" s="20">
        <f>IF(A1682="","",INDEX(الإعدادات!$H$7:$H$18,MONTH(A1682)))</f>
        <v/>
      </c>
      <c r="Q1682" s="20">
        <f>IF(A1682="","",INDEX(الإعدادات!$I$7:$I$18,MONTH(A1682)))</f>
        <v/>
      </c>
      <c r="R1682" s="20">
        <f>IF(A1682="","",IF(MONTH(A1682)&gt;=8,YEAR(A1682)&amp;"-"&amp;(YEAR(A1682)+1),(YEAR(A1682)-1)&amp;"-"&amp;YEAR(A1682)))</f>
        <v/>
      </c>
      <c r="S1682" s="20">
        <f>IF(OR(A1682="",B1682=""),0,IF(AND(R1682=التقارير!$C$4,OR(التقارير!$C$5="سنوي",AND(التقارير!$C$5="شهري",P1682=التقارير!$C$6),AND(التقارير!$C$5="فصلي",Q1682=التقارير!$C$7))),1,0))</f>
        <v/>
      </c>
      <c r="T1682" s="20">
        <f>IF(S1682=1,COUNTIF($S$5:S1682,1),"")</f>
        <v/>
      </c>
      <c r="U1682">
        <f>IF(AND($A1682&lt;&gt;"",$B1682&lt;&gt;"",$R1682='تقرير الفصل الأول'!$C$4,$Q1682='تقرير الفصل الأول'!$C$7),COUNT(U$4:U1681)+1,"")</f>
        <v/>
      </c>
      <c r="V1682">
        <f>IF(AND($A1682&lt;&gt;"",$B1682&lt;&gt;"",$R1682='تقرير الفصل الثاني'!$C$4,$Q1682='تقرير الفصل الثاني'!$C$7),COUNT(V$4:V1681)+1,"")</f>
        <v/>
      </c>
      <c r="W1682">
        <f>IF(AND($A1682&lt;&gt;"",$B1682&lt;&gt;"",$R1682='تقرير سبتمبر'!$C$4,$P1682='تقرير سبتمبر'!$C$6),COUNT(W$4:W1681)+1,"")</f>
        <v/>
      </c>
      <c r="X1682">
        <f>IF(AND($A1682&lt;&gt;"",$B1682&lt;&gt;"",$R1682='تقرير أكتوبر'!$C$4,$P1682='تقرير أكتوبر'!$C$6),COUNT(X$4:X1681)+1,"")</f>
        <v/>
      </c>
      <c r="Y1682">
        <f>IF(AND($A1682&lt;&gt;"",$B1682&lt;&gt;"",$R1682='تقرير نوفمبر'!$C$4,$P1682='تقرير نوفمبر'!$C$6),COUNT(Y$4:Y1681)+1,"")</f>
        <v/>
      </c>
      <c r="Z1682">
        <f>IF(AND($A1682&lt;&gt;"",$B1682&lt;&gt;"",$R1682='تقرير ديسمبر'!$C$4,$P1682='تقرير ديسمبر'!$C$6),COUNT(Z$4:Z1681)+1,"")</f>
        <v/>
      </c>
      <c r="AA1682">
        <f>IF(AND($A1682&lt;&gt;"",$B1682&lt;&gt;"",$R1682='تقرير يناير'!$C$4,$P1682='تقرير يناير'!$C$6),COUNT(AA$4:AA1681)+1,"")</f>
        <v/>
      </c>
      <c r="AB1682">
        <f>IF(AND($A1682&lt;&gt;"",$B1682&lt;&gt;"",$R1682='تقرير فبراير'!$C$4,$P1682='تقرير فبراير'!$C$6),COUNT(AB$4:AB1681)+1,"")</f>
        <v/>
      </c>
      <c r="AC1682">
        <f>IF(AND($A1682&lt;&gt;"",$B1682&lt;&gt;"",$R1682='تقرير مارس'!$C$4,$P1682='تقرير مارس'!$C$6),COUNT(AC$4:AC1681)+1,"")</f>
        <v/>
      </c>
      <c r="AD1682">
        <f>IF(AND($A1682&lt;&gt;"",$B1682&lt;&gt;"",$R1682='تقرير أبريل'!$C$4,$P1682='تقرير أبريل'!$C$6),COUNT(AD$4:AD1681)+1,"")</f>
        <v/>
      </c>
      <c r="AE1682">
        <f>IF(AND($A1682&lt;&gt;"",$B1682&lt;&gt;"",$R1682='تقرير مايو'!$C$4,$P1682='تقرير مايو'!$C$6),COUNT(AE$4:AE1681)+1,"")</f>
        <v/>
      </c>
    </row>
    <row r="1683">
      <c r="A1683" s="16" t="n"/>
      <c r="B1683" s="17" t="n"/>
      <c r="C1683" s="17" t="n"/>
      <c r="D1683" s="18" t="n"/>
      <c r="E1683" s="17" t="n"/>
      <c r="F1683" s="17" t="n"/>
      <c r="G1683" s="19" t="n"/>
      <c r="H1683" s="17" t="n"/>
      <c r="I1683" s="17" t="n"/>
      <c r="J1683" s="17" t="n"/>
      <c r="K1683" s="20">
        <f>IF($B1683="","",IFERROR(INDEX(الموظفات!$A$5:$A$304,MATCH($B1683,الموظفات!$B$5:$B$304,0))&amp;"",""))</f>
        <v/>
      </c>
      <c r="L1683" s="21">
        <f>IF($B1683="","",IFERROR(INDEX(الموظفات!$C$5:$C$304,MATCH($B1683,الموظفات!$B$5:$B$304,0))&amp;"",""))</f>
        <v/>
      </c>
      <c r="M1683" s="20">
        <f>IF($B1683="","",IFERROR(INDEX(الموظفات!$D$5:$D$304,MATCH($B1683,الموظفات!$B$5:$B$304,0))&amp;"",""))</f>
        <v/>
      </c>
      <c r="N1683" s="20">
        <f>IF($B1683="","",IFERROR(INDEX(الموظفات!$E$5:$E$304,MATCH($B1683,الموظفات!$B$5:$B$304,0))&amp;"",""))</f>
        <v/>
      </c>
      <c r="O1683" s="21">
        <f>IF(C1683="","",IFERROR(INDEX(الإعدادات!$D$7:$D$35,MATCH(C1683,الإعدادات!$A$7:$A$35,0))&amp;"",""))</f>
        <v/>
      </c>
      <c r="P1683" s="20">
        <f>IF(A1683="","",INDEX(الإعدادات!$H$7:$H$18,MONTH(A1683)))</f>
        <v/>
      </c>
      <c r="Q1683" s="20">
        <f>IF(A1683="","",INDEX(الإعدادات!$I$7:$I$18,MONTH(A1683)))</f>
        <v/>
      </c>
      <c r="R1683" s="20">
        <f>IF(A1683="","",IF(MONTH(A1683)&gt;=8,YEAR(A1683)&amp;"-"&amp;(YEAR(A1683)+1),(YEAR(A1683)-1)&amp;"-"&amp;YEAR(A1683)))</f>
        <v/>
      </c>
      <c r="S1683" s="20">
        <f>IF(OR(A1683="",B1683=""),0,IF(AND(R1683=التقارير!$C$4,OR(التقارير!$C$5="سنوي",AND(التقارير!$C$5="شهري",P1683=التقارير!$C$6),AND(التقارير!$C$5="فصلي",Q1683=التقارير!$C$7))),1,0))</f>
        <v/>
      </c>
      <c r="T1683" s="20">
        <f>IF(S1683=1,COUNTIF($S$5:S1683,1),"")</f>
        <v/>
      </c>
      <c r="U1683">
        <f>IF(AND($A1683&lt;&gt;"",$B1683&lt;&gt;"",$R1683='تقرير الفصل الأول'!$C$4,$Q1683='تقرير الفصل الأول'!$C$7),COUNT(U$4:U1682)+1,"")</f>
        <v/>
      </c>
      <c r="V1683">
        <f>IF(AND($A1683&lt;&gt;"",$B1683&lt;&gt;"",$R1683='تقرير الفصل الثاني'!$C$4,$Q1683='تقرير الفصل الثاني'!$C$7),COUNT(V$4:V1682)+1,"")</f>
        <v/>
      </c>
      <c r="W1683">
        <f>IF(AND($A1683&lt;&gt;"",$B1683&lt;&gt;"",$R1683='تقرير سبتمبر'!$C$4,$P1683='تقرير سبتمبر'!$C$6),COUNT(W$4:W1682)+1,"")</f>
        <v/>
      </c>
      <c r="X1683">
        <f>IF(AND($A1683&lt;&gt;"",$B1683&lt;&gt;"",$R1683='تقرير أكتوبر'!$C$4,$P1683='تقرير أكتوبر'!$C$6),COUNT(X$4:X1682)+1,"")</f>
        <v/>
      </c>
      <c r="Y1683">
        <f>IF(AND($A1683&lt;&gt;"",$B1683&lt;&gt;"",$R1683='تقرير نوفمبر'!$C$4,$P1683='تقرير نوفمبر'!$C$6),COUNT(Y$4:Y1682)+1,"")</f>
        <v/>
      </c>
      <c r="Z1683">
        <f>IF(AND($A1683&lt;&gt;"",$B1683&lt;&gt;"",$R1683='تقرير ديسمبر'!$C$4,$P1683='تقرير ديسمبر'!$C$6),COUNT(Z$4:Z1682)+1,"")</f>
        <v/>
      </c>
      <c r="AA1683">
        <f>IF(AND($A1683&lt;&gt;"",$B1683&lt;&gt;"",$R1683='تقرير يناير'!$C$4,$P1683='تقرير يناير'!$C$6),COUNT(AA$4:AA1682)+1,"")</f>
        <v/>
      </c>
      <c r="AB1683">
        <f>IF(AND($A1683&lt;&gt;"",$B1683&lt;&gt;"",$R1683='تقرير فبراير'!$C$4,$P1683='تقرير فبراير'!$C$6),COUNT(AB$4:AB1682)+1,"")</f>
        <v/>
      </c>
      <c r="AC1683">
        <f>IF(AND($A1683&lt;&gt;"",$B1683&lt;&gt;"",$R1683='تقرير مارس'!$C$4,$P1683='تقرير مارس'!$C$6),COUNT(AC$4:AC1682)+1,"")</f>
        <v/>
      </c>
      <c r="AD1683">
        <f>IF(AND($A1683&lt;&gt;"",$B1683&lt;&gt;"",$R1683='تقرير أبريل'!$C$4,$P1683='تقرير أبريل'!$C$6),COUNT(AD$4:AD1682)+1,"")</f>
        <v/>
      </c>
      <c r="AE1683">
        <f>IF(AND($A1683&lt;&gt;"",$B1683&lt;&gt;"",$R1683='تقرير مايو'!$C$4,$P1683='تقرير مايو'!$C$6),COUNT(AE$4:AE1682)+1,"")</f>
        <v/>
      </c>
    </row>
    <row r="1684">
      <c r="A1684" s="16" t="n"/>
      <c r="B1684" s="17" t="n"/>
      <c r="C1684" s="17" t="n"/>
      <c r="D1684" s="18" t="n"/>
      <c r="E1684" s="17" t="n"/>
      <c r="F1684" s="17" t="n"/>
      <c r="G1684" s="19" t="n"/>
      <c r="H1684" s="17" t="n"/>
      <c r="I1684" s="17" t="n"/>
      <c r="J1684" s="17" t="n"/>
      <c r="K1684" s="20">
        <f>IF($B1684="","",IFERROR(INDEX(الموظفات!$A$5:$A$304,MATCH($B1684,الموظفات!$B$5:$B$304,0))&amp;"",""))</f>
        <v/>
      </c>
      <c r="L1684" s="21">
        <f>IF($B1684="","",IFERROR(INDEX(الموظفات!$C$5:$C$304,MATCH($B1684,الموظفات!$B$5:$B$304,0))&amp;"",""))</f>
        <v/>
      </c>
      <c r="M1684" s="20">
        <f>IF($B1684="","",IFERROR(INDEX(الموظفات!$D$5:$D$304,MATCH($B1684,الموظفات!$B$5:$B$304,0))&amp;"",""))</f>
        <v/>
      </c>
      <c r="N1684" s="20">
        <f>IF($B1684="","",IFERROR(INDEX(الموظفات!$E$5:$E$304,MATCH($B1684,الموظفات!$B$5:$B$304,0))&amp;"",""))</f>
        <v/>
      </c>
      <c r="O1684" s="21">
        <f>IF(C1684="","",IFERROR(INDEX(الإعدادات!$D$7:$D$35,MATCH(C1684,الإعدادات!$A$7:$A$35,0))&amp;"",""))</f>
        <v/>
      </c>
      <c r="P1684" s="20">
        <f>IF(A1684="","",INDEX(الإعدادات!$H$7:$H$18,MONTH(A1684)))</f>
        <v/>
      </c>
      <c r="Q1684" s="20">
        <f>IF(A1684="","",INDEX(الإعدادات!$I$7:$I$18,MONTH(A1684)))</f>
        <v/>
      </c>
      <c r="R1684" s="20">
        <f>IF(A1684="","",IF(MONTH(A1684)&gt;=8,YEAR(A1684)&amp;"-"&amp;(YEAR(A1684)+1),(YEAR(A1684)-1)&amp;"-"&amp;YEAR(A1684)))</f>
        <v/>
      </c>
      <c r="S1684" s="20">
        <f>IF(OR(A1684="",B1684=""),0,IF(AND(R1684=التقارير!$C$4,OR(التقارير!$C$5="سنوي",AND(التقارير!$C$5="شهري",P1684=التقارير!$C$6),AND(التقارير!$C$5="فصلي",Q1684=التقارير!$C$7))),1,0))</f>
        <v/>
      </c>
      <c r="T1684" s="20">
        <f>IF(S1684=1,COUNTIF($S$5:S1684,1),"")</f>
        <v/>
      </c>
      <c r="U1684">
        <f>IF(AND($A1684&lt;&gt;"",$B1684&lt;&gt;"",$R1684='تقرير الفصل الأول'!$C$4,$Q1684='تقرير الفصل الأول'!$C$7),COUNT(U$4:U1683)+1,"")</f>
        <v/>
      </c>
      <c r="V1684">
        <f>IF(AND($A1684&lt;&gt;"",$B1684&lt;&gt;"",$R1684='تقرير الفصل الثاني'!$C$4,$Q1684='تقرير الفصل الثاني'!$C$7),COUNT(V$4:V1683)+1,"")</f>
        <v/>
      </c>
      <c r="W1684">
        <f>IF(AND($A1684&lt;&gt;"",$B1684&lt;&gt;"",$R1684='تقرير سبتمبر'!$C$4,$P1684='تقرير سبتمبر'!$C$6),COUNT(W$4:W1683)+1,"")</f>
        <v/>
      </c>
      <c r="X1684">
        <f>IF(AND($A1684&lt;&gt;"",$B1684&lt;&gt;"",$R1684='تقرير أكتوبر'!$C$4,$P1684='تقرير أكتوبر'!$C$6),COUNT(X$4:X1683)+1,"")</f>
        <v/>
      </c>
      <c r="Y1684">
        <f>IF(AND($A1684&lt;&gt;"",$B1684&lt;&gt;"",$R1684='تقرير نوفمبر'!$C$4,$P1684='تقرير نوفمبر'!$C$6),COUNT(Y$4:Y1683)+1,"")</f>
        <v/>
      </c>
      <c r="Z1684">
        <f>IF(AND($A1684&lt;&gt;"",$B1684&lt;&gt;"",$R1684='تقرير ديسمبر'!$C$4,$P1684='تقرير ديسمبر'!$C$6),COUNT(Z$4:Z1683)+1,"")</f>
        <v/>
      </c>
      <c r="AA1684">
        <f>IF(AND($A1684&lt;&gt;"",$B1684&lt;&gt;"",$R1684='تقرير يناير'!$C$4,$P1684='تقرير يناير'!$C$6),COUNT(AA$4:AA1683)+1,"")</f>
        <v/>
      </c>
      <c r="AB1684">
        <f>IF(AND($A1684&lt;&gt;"",$B1684&lt;&gt;"",$R1684='تقرير فبراير'!$C$4,$P1684='تقرير فبراير'!$C$6),COUNT(AB$4:AB1683)+1,"")</f>
        <v/>
      </c>
      <c r="AC1684">
        <f>IF(AND($A1684&lt;&gt;"",$B1684&lt;&gt;"",$R1684='تقرير مارس'!$C$4,$P1684='تقرير مارس'!$C$6),COUNT(AC$4:AC1683)+1,"")</f>
        <v/>
      </c>
      <c r="AD1684">
        <f>IF(AND($A1684&lt;&gt;"",$B1684&lt;&gt;"",$R1684='تقرير أبريل'!$C$4,$P1684='تقرير أبريل'!$C$6),COUNT(AD$4:AD1683)+1,"")</f>
        <v/>
      </c>
      <c r="AE1684">
        <f>IF(AND($A1684&lt;&gt;"",$B1684&lt;&gt;"",$R1684='تقرير مايو'!$C$4,$P1684='تقرير مايو'!$C$6),COUNT(AE$4:AE1683)+1,"")</f>
        <v/>
      </c>
    </row>
    <row r="1685">
      <c r="A1685" s="16" t="n"/>
      <c r="B1685" s="17" t="n"/>
      <c r="C1685" s="17" t="n"/>
      <c r="D1685" s="18" t="n"/>
      <c r="E1685" s="17" t="n"/>
      <c r="F1685" s="17" t="n"/>
      <c r="G1685" s="19" t="n"/>
      <c r="H1685" s="17" t="n"/>
      <c r="I1685" s="17" t="n"/>
      <c r="J1685" s="17" t="n"/>
      <c r="K1685" s="20">
        <f>IF($B1685="","",IFERROR(INDEX(الموظفات!$A$5:$A$304,MATCH($B1685,الموظفات!$B$5:$B$304,0))&amp;"",""))</f>
        <v/>
      </c>
      <c r="L1685" s="21">
        <f>IF($B1685="","",IFERROR(INDEX(الموظفات!$C$5:$C$304,MATCH($B1685,الموظفات!$B$5:$B$304,0))&amp;"",""))</f>
        <v/>
      </c>
      <c r="M1685" s="20">
        <f>IF($B1685="","",IFERROR(INDEX(الموظفات!$D$5:$D$304,MATCH($B1685,الموظفات!$B$5:$B$304,0))&amp;"",""))</f>
        <v/>
      </c>
      <c r="N1685" s="20">
        <f>IF($B1685="","",IFERROR(INDEX(الموظفات!$E$5:$E$304,MATCH($B1685,الموظفات!$B$5:$B$304,0))&amp;"",""))</f>
        <v/>
      </c>
      <c r="O1685" s="21">
        <f>IF(C1685="","",IFERROR(INDEX(الإعدادات!$D$7:$D$35,MATCH(C1685,الإعدادات!$A$7:$A$35,0))&amp;"",""))</f>
        <v/>
      </c>
      <c r="P1685" s="20">
        <f>IF(A1685="","",INDEX(الإعدادات!$H$7:$H$18,MONTH(A1685)))</f>
        <v/>
      </c>
      <c r="Q1685" s="20">
        <f>IF(A1685="","",INDEX(الإعدادات!$I$7:$I$18,MONTH(A1685)))</f>
        <v/>
      </c>
      <c r="R1685" s="20">
        <f>IF(A1685="","",IF(MONTH(A1685)&gt;=8,YEAR(A1685)&amp;"-"&amp;(YEAR(A1685)+1),(YEAR(A1685)-1)&amp;"-"&amp;YEAR(A1685)))</f>
        <v/>
      </c>
      <c r="S1685" s="20">
        <f>IF(OR(A1685="",B1685=""),0,IF(AND(R1685=التقارير!$C$4,OR(التقارير!$C$5="سنوي",AND(التقارير!$C$5="شهري",P1685=التقارير!$C$6),AND(التقارير!$C$5="فصلي",Q1685=التقارير!$C$7))),1,0))</f>
        <v/>
      </c>
      <c r="T1685" s="20">
        <f>IF(S1685=1,COUNTIF($S$5:S1685,1),"")</f>
        <v/>
      </c>
      <c r="U1685">
        <f>IF(AND($A1685&lt;&gt;"",$B1685&lt;&gt;"",$R1685='تقرير الفصل الأول'!$C$4,$Q1685='تقرير الفصل الأول'!$C$7),COUNT(U$4:U1684)+1,"")</f>
        <v/>
      </c>
      <c r="V1685">
        <f>IF(AND($A1685&lt;&gt;"",$B1685&lt;&gt;"",$R1685='تقرير الفصل الثاني'!$C$4,$Q1685='تقرير الفصل الثاني'!$C$7),COUNT(V$4:V1684)+1,"")</f>
        <v/>
      </c>
      <c r="W1685">
        <f>IF(AND($A1685&lt;&gt;"",$B1685&lt;&gt;"",$R1685='تقرير سبتمبر'!$C$4,$P1685='تقرير سبتمبر'!$C$6),COUNT(W$4:W1684)+1,"")</f>
        <v/>
      </c>
      <c r="X1685">
        <f>IF(AND($A1685&lt;&gt;"",$B1685&lt;&gt;"",$R1685='تقرير أكتوبر'!$C$4,$P1685='تقرير أكتوبر'!$C$6),COUNT(X$4:X1684)+1,"")</f>
        <v/>
      </c>
      <c r="Y1685">
        <f>IF(AND($A1685&lt;&gt;"",$B1685&lt;&gt;"",$R1685='تقرير نوفمبر'!$C$4,$P1685='تقرير نوفمبر'!$C$6),COUNT(Y$4:Y1684)+1,"")</f>
        <v/>
      </c>
      <c r="Z1685">
        <f>IF(AND($A1685&lt;&gt;"",$B1685&lt;&gt;"",$R1685='تقرير ديسمبر'!$C$4,$P1685='تقرير ديسمبر'!$C$6),COUNT(Z$4:Z1684)+1,"")</f>
        <v/>
      </c>
      <c r="AA1685">
        <f>IF(AND($A1685&lt;&gt;"",$B1685&lt;&gt;"",$R1685='تقرير يناير'!$C$4,$P1685='تقرير يناير'!$C$6),COUNT(AA$4:AA1684)+1,"")</f>
        <v/>
      </c>
      <c r="AB1685">
        <f>IF(AND($A1685&lt;&gt;"",$B1685&lt;&gt;"",$R1685='تقرير فبراير'!$C$4,$P1685='تقرير فبراير'!$C$6),COUNT(AB$4:AB1684)+1,"")</f>
        <v/>
      </c>
      <c r="AC1685">
        <f>IF(AND($A1685&lt;&gt;"",$B1685&lt;&gt;"",$R1685='تقرير مارس'!$C$4,$P1685='تقرير مارس'!$C$6),COUNT(AC$4:AC1684)+1,"")</f>
        <v/>
      </c>
      <c r="AD1685">
        <f>IF(AND($A1685&lt;&gt;"",$B1685&lt;&gt;"",$R1685='تقرير أبريل'!$C$4,$P1685='تقرير أبريل'!$C$6),COUNT(AD$4:AD1684)+1,"")</f>
        <v/>
      </c>
      <c r="AE1685">
        <f>IF(AND($A1685&lt;&gt;"",$B1685&lt;&gt;"",$R1685='تقرير مايو'!$C$4,$P1685='تقرير مايو'!$C$6),COUNT(AE$4:AE1684)+1,"")</f>
        <v/>
      </c>
    </row>
    <row r="1686">
      <c r="A1686" s="16" t="n"/>
      <c r="B1686" s="17" t="n"/>
      <c r="C1686" s="17" t="n"/>
      <c r="D1686" s="18" t="n"/>
      <c r="E1686" s="17" t="n"/>
      <c r="F1686" s="17" t="n"/>
      <c r="G1686" s="19" t="n"/>
      <c r="H1686" s="17" t="n"/>
      <c r="I1686" s="17" t="n"/>
      <c r="J1686" s="17" t="n"/>
      <c r="K1686" s="20">
        <f>IF($B1686="","",IFERROR(INDEX(الموظفات!$A$5:$A$304,MATCH($B1686,الموظفات!$B$5:$B$304,0))&amp;"",""))</f>
        <v/>
      </c>
      <c r="L1686" s="21">
        <f>IF($B1686="","",IFERROR(INDEX(الموظفات!$C$5:$C$304,MATCH($B1686,الموظفات!$B$5:$B$304,0))&amp;"",""))</f>
        <v/>
      </c>
      <c r="M1686" s="20">
        <f>IF($B1686="","",IFERROR(INDEX(الموظفات!$D$5:$D$304,MATCH($B1686,الموظفات!$B$5:$B$304,0))&amp;"",""))</f>
        <v/>
      </c>
      <c r="N1686" s="20">
        <f>IF($B1686="","",IFERROR(INDEX(الموظفات!$E$5:$E$304,MATCH($B1686,الموظفات!$B$5:$B$304,0))&amp;"",""))</f>
        <v/>
      </c>
      <c r="O1686" s="21">
        <f>IF(C1686="","",IFERROR(INDEX(الإعدادات!$D$7:$D$35,MATCH(C1686,الإعدادات!$A$7:$A$35,0))&amp;"",""))</f>
        <v/>
      </c>
      <c r="P1686" s="20">
        <f>IF(A1686="","",INDEX(الإعدادات!$H$7:$H$18,MONTH(A1686)))</f>
        <v/>
      </c>
      <c r="Q1686" s="20">
        <f>IF(A1686="","",INDEX(الإعدادات!$I$7:$I$18,MONTH(A1686)))</f>
        <v/>
      </c>
      <c r="R1686" s="20">
        <f>IF(A1686="","",IF(MONTH(A1686)&gt;=8,YEAR(A1686)&amp;"-"&amp;(YEAR(A1686)+1),(YEAR(A1686)-1)&amp;"-"&amp;YEAR(A1686)))</f>
        <v/>
      </c>
      <c r="S1686" s="20">
        <f>IF(OR(A1686="",B1686=""),0,IF(AND(R1686=التقارير!$C$4,OR(التقارير!$C$5="سنوي",AND(التقارير!$C$5="شهري",P1686=التقارير!$C$6),AND(التقارير!$C$5="فصلي",Q1686=التقارير!$C$7))),1,0))</f>
        <v/>
      </c>
      <c r="T1686" s="20">
        <f>IF(S1686=1,COUNTIF($S$5:S1686,1),"")</f>
        <v/>
      </c>
      <c r="U1686">
        <f>IF(AND($A1686&lt;&gt;"",$B1686&lt;&gt;"",$R1686='تقرير الفصل الأول'!$C$4,$Q1686='تقرير الفصل الأول'!$C$7),COUNT(U$4:U1685)+1,"")</f>
        <v/>
      </c>
      <c r="V1686">
        <f>IF(AND($A1686&lt;&gt;"",$B1686&lt;&gt;"",$R1686='تقرير الفصل الثاني'!$C$4,$Q1686='تقرير الفصل الثاني'!$C$7),COUNT(V$4:V1685)+1,"")</f>
        <v/>
      </c>
      <c r="W1686">
        <f>IF(AND($A1686&lt;&gt;"",$B1686&lt;&gt;"",$R1686='تقرير سبتمبر'!$C$4,$P1686='تقرير سبتمبر'!$C$6),COUNT(W$4:W1685)+1,"")</f>
        <v/>
      </c>
      <c r="X1686">
        <f>IF(AND($A1686&lt;&gt;"",$B1686&lt;&gt;"",$R1686='تقرير أكتوبر'!$C$4,$P1686='تقرير أكتوبر'!$C$6),COUNT(X$4:X1685)+1,"")</f>
        <v/>
      </c>
      <c r="Y1686">
        <f>IF(AND($A1686&lt;&gt;"",$B1686&lt;&gt;"",$R1686='تقرير نوفمبر'!$C$4,$P1686='تقرير نوفمبر'!$C$6),COUNT(Y$4:Y1685)+1,"")</f>
        <v/>
      </c>
      <c r="Z1686">
        <f>IF(AND($A1686&lt;&gt;"",$B1686&lt;&gt;"",$R1686='تقرير ديسمبر'!$C$4,$P1686='تقرير ديسمبر'!$C$6),COUNT(Z$4:Z1685)+1,"")</f>
        <v/>
      </c>
      <c r="AA1686">
        <f>IF(AND($A1686&lt;&gt;"",$B1686&lt;&gt;"",$R1686='تقرير يناير'!$C$4,$P1686='تقرير يناير'!$C$6),COUNT(AA$4:AA1685)+1,"")</f>
        <v/>
      </c>
      <c r="AB1686">
        <f>IF(AND($A1686&lt;&gt;"",$B1686&lt;&gt;"",$R1686='تقرير فبراير'!$C$4,$P1686='تقرير فبراير'!$C$6),COUNT(AB$4:AB1685)+1,"")</f>
        <v/>
      </c>
      <c r="AC1686">
        <f>IF(AND($A1686&lt;&gt;"",$B1686&lt;&gt;"",$R1686='تقرير مارس'!$C$4,$P1686='تقرير مارس'!$C$6),COUNT(AC$4:AC1685)+1,"")</f>
        <v/>
      </c>
      <c r="AD1686">
        <f>IF(AND($A1686&lt;&gt;"",$B1686&lt;&gt;"",$R1686='تقرير أبريل'!$C$4,$P1686='تقرير أبريل'!$C$6),COUNT(AD$4:AD1685)+1,"")</f>
        <v/>
      </c>
      <c r="AE1686">
        <f>IF(AND($A1686&lt;&gt;"",$B1686&lt;&gt;"",$R1686='تقرير مايو'!$C$4,$P1686='تقرير مايو'!$C$6),COUNT(AE$4:AE1685)+1,"")</f>
        <v/>
      </c>
    </row>
    <row r="1687">
      <c r="A1687" s="16" t="n"/>
      <c r="B1687" s="17" t="n"/>
      <c r="C1687" s="17" t="n"/>
      <c r="D1687" s="18" t="n"/>
      <c r="E1687" s="17" t="n"/>
      <c r="F1687" s="17" t="n"/>
      <c r="G1687" s="19" t="n"/>
      <c r="H1687" s="17" t="n"/>
      <c r="I1687" s="17" t="n"/>
      <c r="J1687" s="17" t="n"/>
      <c r="K1687" s="20">
        <f>IF($B1687="","",IFERROR(INDEX(الموظفات!$A$5:$A$304,MATCH($B1687,الموظفات!$B$5:$B$304,0))&amp;"",""))</f>
        <v/>
      </c>
      <c r="L1687" s="21">
        <f>IF($B1687="","",IFERROR(INDEX(الموظفات!$C$5:$C$304,MATCH($B1687,الموظفات!$B$5:$B$304,0))&amp;"",""))</f>
        <v/>
      </c>
      <c r="M1687" s="20">
        <f>IF($B1687="","",IFERROR(INDEX(الموظفات!$D$5:$D$304,MATCH($B1687,الموظفات!$B$5:$B$304,0))&amp;"",""))</f>
        <v/>
      </c>
      <c r="N1687" s="20">
        <f>IF($B1687="","",IFERROR(INDEX(الموظفات!$E$5:$E$304,MATCH($B1687,الموظفات!$B$5:$B$304,0))&amp;"",""))</f>
        <v/>
      </c>
      <c r="O1687" s="21">
        <f>IF(C1687="","",IFERROR(INDEX(الإعدادات!$D$7:$D$35,MATCH(C1687,الإعدادات!$A$7:$A$35,0))&amp;"",""))</f>
        <v/>
      </c>
      <c r="P1687" s="20">
        <f>IF(A1687="","",INDEX(الإعدادات!$H$7:$H$18,MONTH(A1687)))</f>
        <v/>
      </c>
      <c r="Q1687" s="20">
        <f>IF(A1687="","",INDEX(الإعدادات!$I$7:$I$18,MONTH(A1687)))</f>
        <v/>
      </c>
      <c r="R1687" s="20">
        <f>IF(A1687="","",IF(MONTH(A1687)&gt;=8,YEAR(A1687)&amp;"-"&amp;(YEAR(A1687)+1),(YEAR(A1687)-1)&amp;"-"&amp;YEAR(A1687)))</f>
        <v/>
      </c>
      <c r="S1687" s="20">
        <f>IF(OR(A1687="",B1687=""),0,IF(AND(R1687=التقارير!$C$4,OR(التقارير!$C$5="سنوي",AND(التقارير!$C$5="شهري",P1687=التقارير!$C$6),AND(التقارير!$C$5="فصلي",Q1687=التقارير!$C$7))),1,0))</f>
        <v/>
      </c>
      <c r="T1687" s="20">
        <f>IF(S1687=1,COUNTIF($S$5:S1687,1),"")</f>
        <v/>
      </c>
      <c r="U1687">
        <f>IF(AND($A1687&lt;&gt;"",$B1687&lt;&gt;"",$R1687='تقرير الفصل الأول'!$C$4,$Q1687='تقرير الفصل الأول'!$C$7),COUNT(U$4:U1686)+1,"")</f>
        <v/>
      </c>
      <c r="V1687">
        <f>IF(AND($A1687&lt;&gt;"",$B1687&lt;&gt;"",$R1687='تقرير الفصل الثاني'!$C$4,$Q1687='تقرير الفصل الثاني'!$C$7),COUNT(V$4:V1686)+1,"")</f>
        <v/>
      </c>
      <c r="W1687">
        <f>IF(AND($A1687&lt;&gt;"",$B1687&lt;&gt;"",$R1687='تقرير سبتمبر'!$C$4,$P1687='تقرير سبتمبر'!$C$6),COUNT(W$4:W1686)+1,"")</f>
        <v/>
      </c>
      <c r="X1687">
        <f>IF(AND($A1687&lt;&gt;"",$B1687&lt;&gt;"",$R1687='تقرير أكتوبر'!$C$4,$P1687='تقرير أكتوبر'!$C$6),COUNT(X$4:X1686)+1,"")</f>
        <v/>
      </c>
      <c r="Y1687">
        <f>IF(AND($A1687&lt;&gt;"",$B1687&lt;&gt;"",$R1687='تقرير نوفمبر'!$C$4,$P1687='تقرير نوفمبر'!$C$6),COUNT(Y$4:Y1686)+1,"")</f>
        <v/>
      </c>
      <c r="Z1687">
        <f>IF(AND($A1687&lt;&gt;"",$B1687&lt;&gt;"",$R1687='تقرير ديسمبر'!$C$4,$P1687='تقرير ديسمبر'!$C$6),COUNT(Z$4:Z1686)+1,"")</f>
        <v/>
      </c>
      <c r="AA1687">
        <f>IF(AND($A1687&lt;&gt;"",$B1687&lt;&gt;"",$R1687='تقرير يناير'!$C$4,$P1687='تقرير يناير'!$C$6),COUNT(AA$4:AA1686)+1,"")</f>
        <v/>
      </c>
      <c r="AB1687">
        <f>IF(AND($A1687&lt;&gt;"",$B1687&lt;&gt;"",$R1687='تقرير فبراير'!$C$4,$P1687='تقرير فبراير'!$C$6),COUNT(AB$4:AB1686)+1,"")</f>
        <v/>
      </c>
      <c r="AC1687">
        <f>IF(AND($A1687&lt;&gt;"",$B1687&lt;&gt;"",$R1687='تقرير مارس'!$C$4,$P1687='تقرير مارس'!$C$6),COUNT(AC$4:AC1686)+1,"")</f>
        <v/>
      </c>
      <c r="AD1687">
        <f>IF(AND($A1687&lt;&gt;"",$B1687&lt;&gt;"",$R1687='تقرير أبريل'!$C$4,$P1687='تقرير أبريل'!$C$6),COUNT(AD$4:AD1686)+1,"")</f>
        <v/>
      </c>
      <c r="AE1687">
        <f>IF(AND($A1687&lt;&gt;"",$B1687&lt;&gt;"",$R1687='تقرير مايو'!$C$4,$P1687='تقرير مايو'!$C$6),COUNT(AE$4:AE1686)+1,"")</f>
        <v/>
      </c>
    </row>
    <row r="1688">
      <c r="A1688" s="16" t="n"/>
      <c r="B1688" s="17" t="n"/>
      <c r="C1688" s="17" t="n"/>
      <c r="D1688" s="18" t="n"/>
      <c r="E1688" s="17" t="n"/>
      <c r="F1688" s="17" t="n"/>
      <c r="G1688" s="19" t="n"/>
      <c r="H1688" s="17" t="n"/>
      <c r="I1688" s="17" t="n"/>
      <c r="J1688" s="17" t="n"/>
      <c r="K1688" s="20">
        <f>IF($B1688="","",IFERROR(INDEX(الموظفات!$A$5:$A$304,MATCH($B1688,الموظفات!$B$5:$B$304,0))&amp;"",""))</f>
        <v/>
      </c>
      <c r="L1688" s="21">
        <f>IF($B1688="","",IFERROR(INDEX(الموظفات!$C$5:$C$304,MATCH($B1688,الموظفات!$B$5:$B$304,0))&amp;"",""))</f>
        <v/>
      </c>
      <c r="M1688" s="20">
        <f>IF($B1688="","",IFERROR(INDEX(الموظفات!$D$5:$D$304,MATCH($B1688,الموظفات!$B$5:$B$304,0))&amp;"",""))</f>
        <v/>
      </c>
      <c r="N1688" s="20">
        <f>IF($B1688="","",IFERROR(INDEX(الموظفات!$E$5:$E$304,MATCH($B1688,الموظفات!$B$5:$B$304,0))&amp;"",""))</f>
        <v/>
      </c>
      <c r="O1688" s="21">
        <f>IF(C1688="","",IFERROR(INDEX(الإعدادات!$D$7:$D$35,MATCH(C1688,الإعدادات!$A$7:$A$35,0))&amp;"",""))</f>
        <v/>
      </c>
      <c r="P1688" s="20">
        <f>IF(A1688="","",INDEX(الإعدادات!$H$7:$H$18,MONTH(A1688)))</f>
        <v/>
      </c>
      <c r="Q1688" s="20">
        <f>IF(A1688="","",INDEX(الإعدادات!$I$7:$I$18,MONTH(A1688)))</f>
        <v/>
      </c>
      <c r="R1688" s="20">
        <f>IF(A1688="","",IF(MONTH(A1688)&gt;=8,YEAR(A1688)&amp;"-"&amp;(YEAR(A1688)+1),(YEAR(A1688)-1)&amp;"-"&amp;YEAR(A1688)))</f>
        <v/>
      </c>
      <c r="S1688" s="20">
        <f>IF(OR(A1688="",B1688=""),0,IF(AND(R1688=التقارير!$C$4,OR(التقارير!$C$5="سنوي",AND(التقارير!$C$5="شهري",P1688=التقارير!$C$6),AND(التقارير!$C$5="فصلي",Q1688=التقارير!$C$7))),1,0))</f>
        <v/>
      </c>
      <c r="T1688" s="20">
        <f>IF(S1688=1,COUNTIF($S$5:S1688,1),"")</f>
        <v/>
      </c>
      <c r="U1688">
        <f>IF(AND($A1688&lt;&gt;"",$B1688&lt;&gt;"",$R1688='تقرير الفصل الأول'!$C$4,$Q1688='تقرير الفصل الأول'!$C$7),COUNT(U$4:U1687)+1,"")</f>
        <v/>
      </c>
      <c r="V1688">
        <f>IF(AND($A1688&lt;&gt;"",$B1688&lt;&gt;"",$R1688='تقرير الفصل الثاني'!$C$4,$Q1688='تقرير الفصل الثاني'!$C$7),COUNT(V$4:V1687)+1,"")</f>
        <v/>
      </c>
      <c r="W1688">
        <f>IF(AND($A1688&lt;&gt;"",$B1688&lt;&gt;"",$R1688='تقرير سبتمبر'!$C$4,$P1688='تقرير سبتمبر'!$C$6),COUNT(W$4:W1687)+1,"")</f>
        <v/>
      </c>
      <c r="X1688">
        <f>IF(AND($A1688&lt;&gt;"",$B1688&lt;&gt;"",$R1688='تقرير أكتوبر'!$C$4,$P1688='تقرير أكتوبر'!$C$6),COUNT(X$4:X1687)+1,"")</f>
        <v/>
      </c>
      <c r="Y1688">
        <f>IF(AND($A1688&lt;&gt;"",$B1688&lt;&gt;"",$R1688='تقرير نوفمبر'!$C$4,$P1688='تقرير نوفمبر'!$C$6),COUNT(Y$4:Y1687)+1,"")</f>
        <v/>
      </c>
      <c r="Z1688">
        <f>IF(AND($A1688&lt;&gt;"",$B1688&lt;&gt;"",$R1688='تقرير ديسمبر'!$C$4,$P1688='تقرير ديسمبر'!$C$6),COUNT(Z$4:Z1687)+1,"")</f>
        <v/>
      </c>
      <c r="AA1688">
        <f>IF(AND($A1688&lt;&gt;"",$B1688&lt;&gt;"",$R1688='تقرير يناير'!$C$4,$P1688='تقرير يناير'!$C$6),COUNT(AA$4:AA1687)+1,"")</f>
        <v/>
      </c>
      <c r="AB1688">
        <f>IF(AND($A1688&lt;&gt;"",$B1688&lt;&gt;"",$R1688='تقرير فبراير'!$C$4,$P1688='تقرير فبراير'!$C$6),COUNT(AB$4:AB1687)+1,"")</f>
        <v/>
      </c>
      <c r="AC1688">
        <f>IF(AND($A1688&lt;&gt;"",$B1688&lt;&gt;"",$R1688='تقرير مارس'!$C$4,$P1688='تقرير مارس'!$C$6),COUNT(AC$4:AC1687)+1,"")</f>
        <v/>
      </c>
      <c r="AD1688">
        <f>IF(AND($A1688&lt;&gt;"",$B1688&lt;&gt;"",$R1688='تقرير أبريل'!$C$4,$P1688='تقرير أبريل'!$C$6),COUNT(AD$4:AD1687)+1,"")</f>
        <v/>
      </c>
      <c r="AE1688">
        <f>IF(AND($A1688&lt;&gt;"",$B1688&lt;&gt;"",$R1688='تقرير مايو'!$C$4,$P1688='تقرير مايو'!$C$6),COUNT(AE$4:AE1687)+1,"")</f>
        <v/>
      </c>
    </row>
    <row r="1689">
      <c r="A1689" s="16" t="n"/>
      <c r="B1689" s="17" t="n"/>
      <c r="C1689" s="17" t="n"/>
      <c r="D1689" s="18" t="n"/>
      <c r="E1689" s="17" t="n"/>
      <c r="F1689" s="17" t="n"/>
      <c r="G1689" s="19" t="n"/>
      <c r="H1689" s="17" t="n"/>
      <c r="I1689" s="17" t="n"/>
      <c r="J1689" s="17" t="n"/>
      <c r="K1689" s="20">
        <f>IF($B1689="","",IFERROR(INDEX(الموظفات!$A$5:$A$304,MATCH($B1689,الموظفات!$B$5:$B$304,0))&amp;"",""))</f>
        <v/>
      </c>
      <c r="L1689" s="21">
        <f>IF($B1689="","",IFERROR(INDEX(الموظفات!$C$5:$C$304,MATCH($B1689,الموظفات!$B$5:$B$304,0))&amp;"",""))</f>
        <v/>
      </c>
      <c r="M1689" s="20">
        <f>IF($B1689="","",IFERROR(INDEX(الموظفات!$D$5:$D$304,MATCH($B1689,الموظفات!$B$5:$B$304,0))&amp;"",""))</f>
        <v/>
      </c>
      <c r="N1689" s="20">
        <f>IF($B1689="","",IFERROR(INDEX(الموظفات!$E$5:$E$304,MATCH($B1689,الموظفات!$B$5:$B$304,0))&amp;"",""))</f>
        <v/>
      </c>
      <c r="O1689" s="21">
        <f>IF(C1689="","",IFERROR(INDEX(الإعدادات!$D$7:$D$35,MATCH(C1689,الإعدادات!$A$7:$A$35,0))&amp;"",""))</f>
        <v/>
      </c>
      <c r="P1689" s="20">
        <f>IF(A1689="","",INDEX(الإعدادات!$H$7:$H$18,MONTH(A1689)))</f>
        <v/>
      </c>
      <c r="Q1689" s="20">
        <f>IF(A1689="","",INDEX(الإعدادات!$I$7:$I$18,MONTH(A1689)))</f>
        <v/>
      </c>
      <c r="R1689" s="20">
        <f>IF(A1689="","",IF(MONTH(A1689)&gt;=8,YEAR(A1689)&amp;"-"&amp;(YEAR(A1689)+1),(YEAR(A1689)-1)&amp;"-"&amp;YEAR(A1689)))</f>
        <v/>
      </c>
      <c r="S1689" s="20">
        <f>IF(OR(A1689="",B1689=""),0,IF(AND(R1689=التقارير!$C$4,OR(التقارير!$C$5="سنوي",AND(التقارير!$C$5="شهري",P1689=التقارير!$C$6),AND(التقارير!$C$5="فصلي",Q1689=التقارير!$C$7))),1,0))</f>
        <v/>
      </c>
      <c r="T1689" s="20">
        <f>IF(S1689=1,COUNTIF($S$5:S1689,1),"")</f>
        <v/>
      </c>
      <c r="U1689">
        <f>IF(AND($A1689&lt;&gt;"",$B1689&lt;&gt;"",$R1689='تقرير الفصل الأول'!$C$4,$Q1689='تقرير الفصل الأول'!$C$7),COUNT(U$4:U1688)+1,"")</f>
        <v/>
      </c>
      <c r="V1689">
        <f>IF(AND($A1689&lt;&gt;"",$B1689&lt;&gt;"",$R1689='تقرير الفصل الثاني'!$C$4,$Q1689='تقرير الفصل الثاني'!$C$7),COUNT(V$4:V1688)+1,"")</f>
        <v/>
      </c>
      <c r="W1689">
        <f>IF(AND($A1689&lt;&gt;"",$B1689&lt;&gt;"",$R1689='تقرير سبتمبر'!$C$4,$P1689='تقرير سبتمبر'!$C$6),COUNT(W$4:W1688)+1,"")</f>
        <v/>
      </c>
      <c r="X1689">
        <f>IF(AND($A1689&lt;&gt;"",$B1689&lt;&gt;"",$R1689='تقرير أكتوبر'!$C$4,$P1689='تقرير أكتوبر'!$C$6),COUNT(X$4:X1688)+1,"")</f>
        <v/>
      </c>
      <c r="Y1689">
        <f>IF(AND($A1689&lt;&gt;"",$B1689&lt;&gt;"",$R1689='تقرير نوفمبر'!$C$4,$P1689='تقرير نوفمبر'!$C$6),COUNT(Y$4:Y1688)+1,"")</f>
        <v/>
      </c>
      <c r="Z1689">
        <f>IF(AND($A1689&lt;&gt;"",$B1689&lt;&gt;"",$R1689='تقرير ديسمبر'!$C$4,$P1689='تقرير ديسمبر'!$C$6),COUNT(Z$4:Z1688)+1,"")</f>
        <v/>
      </c>
      <c r="AA1689">
        <f>IF(AND($A1689&lt;&gt;"",$B1689&lt;&gt;"",$R1689='تقرير يناير'!$C$4,$P1689='تقرير يناير'!$C$6),COUNT(AA$4:AA1688)+1,"")</f>
        <v/>
      </c>
      <c r="AB1689">
        <f>IF(AND($A1689&lt;&gt;"",$B1689&lt;&gt;"",$R1689='تقرير فبراير'!$C$4,$P1689='تقرير فبراير'!$C$6),COUNT(AB$4:AB1688)+1,"")</f>
        <v/>
      </c>
      <c r="AC1689">
        <f>IF(AND($A1689&lt;&gt;"",$B1689&lt;&gt;"",$R1689='تقرير مارس'!$C$4,$P1689='تقرير مارس'!$C$6),COUNT(AC$4:AC1688)+1,"")</f>
        <v/>
      </c>
      <c r="AD1689">
        <f>IF(AND($A1689&lt;&gt;"",$B1689&lt;&gt;"",$R1689='تقرير أبريل'!$C$4,$P1689='تقرير أبريل'!$C$6),COUNT(AD$4:AD1688)+1,"")</f>
        <v/>
      </c>
      <c r="AE1689">
        <f>IF(AND($A1689&lt;&gt;"",$B1689&lt;&gt;"",$R1689='تقرير مايو'!$C$4,$P1689='تقرير مايو'!$C$6),COUNT(AE$4:AE1688)+1,"")</f>
        <v/>
      </c>
    </row>
    <row r="1690">
      <c r="A1690" s="16" t="n"/>
      <c r="B1690" s="17" t="n"/>
      <c r="C1690" s="17" t="n"/>
      <c r="D1690" s="18" t="n"/>
      <c r="E1690" s="17" t="n"/>
      <c r="F1690" s="17" t="n"/>
      <c r="G1690" s="19" t="n"/>
      <c r="H1690" s="17" t="n"/>
      <c r="I1690" s="17" t="n"/>
      <c r="J1690" s="17" t="n"/>
      <c r="K1690" s="20">
        <f>IF($B1690="","",IFERROR(INDEX(الموظفات!$A$5:$A$304,MATCH($B1690,الموظفات!$B$5:$B$304,0))&amp;"",""))</f>
        <v/>
      </c>
      <c r="L1690" s="21">
        <f>IF($B1690="","",IFERROR(INDEX(الموظفات!$C$5:$C$304,MATCH($B1690,الموظفات!$B$5:$B$304,0))&amp;"",""))</f>
        <v/>
      </c>
      <c r="M1690" s="20">
        <f>IF($B1690="","",IFERROR(INDEX(الموظفات!$D$5:$D$304,MATCH($B1690,الموظفات!$B$5:$B$304,0))&amp;"",""))</f>
        <v/>
      </c>
      <c r="N1690" s="20">
        <f>IF($B1690="","",IFERROR(INDEX(الموظفات!$E$5:$E$304,MATCH($B1690,الموظفات!$B$5:$B$304,0))&amp;"",""))</f>
        <v/>
      </c>
      <c r="O1690" s="21">
        <f>IF(C1690="","",IFERROR(INDEX(الإعدادات!$D$7:$D$35,MATCH(C1690,الإعدادات!$A$7:$A$35,0))&amp;"",""))</f>
        <v/>
      </c>
      <c r="P1690" s="20">
        <f>IF(A1690="","",INDEX(الإعدادات!$H$7:$H$18,MONTH(A1690)))</f>
        <v/>
      </c>
      <c r="Q1690" s="20">
        <f>IF(A1690="","",INDEX(الإعدادات!$I$7:$I$18,MONTH(A1690)))</f>
        <v/>
      </c>
      <c r="R1690" s="20">
        <f>IF(A1690="","",IF(MONTH(A1690)&gt;=8,YEAR(A1690)&amp;"-"&amp;(YEAR(A1690)+1),(YEAR(A1690)-1)&amp;"-"&amp;YEAR(A1690)))</f>
        <v/>
      </c>
      <c r="S1690" s="20">
        <f>IF(OR(A1690="",B1690=""),0,IF(AND(R1690=التقارير!$C$4,OR(التقارير!$C$5="سنوي",AND(التقارير!$C$5="شهري",P1690=التقارير!$C$6),AND(التقارير!$C$5="فصلي",Q1690=التقارير!$C$7))),1,0))</f>
        <v/>
      </c>
      <c r="T1690" s="20">
        <f>IF(S1690=1,COUNTIF($S$5:S1690,1),"")</f>
        <v/>
      </c>
      <c r="U1690">
        <f>IF(AND($A1690&lt;&gt;"",$B1690&lt;&gt;"",$R1690='تقرير الفصل الأول'!$C$4,$Q1690='تقرير الفصل الأول'!$C$7),COUNT(U$4:U1689)+1,"")</f>
        <v/>
      </c>
      <c r="V1690">
        <f>IF(AND($A1690&lt;&gt;"",$B1690&lt;&gt;"",$R1690='تقرير الفصل الثاني'!$C$4,$Q1690='تقرير الفصل الثاني'!$C$7),COUNT(V$4:V1689)+1,"")</f>
        <v/>
      </c>
      <c r="W1690">
        <f>IF(AND($A1690&lt;&gt;"",$B1690&lt;&gt;"",$R1690='تقرير سبتمبر'!$C$4,$P1690='تقرير سبتمبر'!$C$6),COUNT(W$4:W1689)+1,"")</f>
        <v/>
      </c>
      <c r="X1690">
        <f>IF(AND($A1690&lt;&gt;"",$B1690&lt;&gt;"",$R1690='تقرير أكتوبر'!$C$4,$P1690='تقرير أكتوبر'!$C$6),COUNT(X$4:X1689)+1,"")</f>
        <v/>
      </c>
      <c r="Y1690">
        <f>IF(AND($A1690&lt;&gt;"",$B1690&lt;&gt;"",$R1690='تقرير نوفمبر'!$C$4,$P1690='تقرير نوفمبر'!$C$6),COUNT(Y$4:Y1689)+1,"")</f>
        <v/>
      </c>
      <c r="Z1690">
        <f>IF(AND($A1690&lt;&gt;"",$B1690&lt;&gt;"",$R1690='تقرير ديسمبر'!$C$4,$P1690='تقرير ديسمبر'!$C$6),COUNT(Z$4:Z1689)+1,"")</f>
        <v/>
      </c>
      <c r="AA1690">
        <f>IF(AND($A1690&lt;&gt;"",$B1690&lt;&gt;"",$R1690='تقرير يناير'!$C$4,$P1690='تقرير يناير'!$C$6),COUNT(AA$4:AA1689)+1,"")</f>
        <v/>
      </c>
      <c r="AB1690">
        <f>IF(AND($A1690&lt;&gt;"",$B1690&lt;&gt;"",$R1690='تقرير فبراير'!$C$4,$P1690='تقرير فبراير'!$C$6),COUNT(AB$4:AB1689)+1,"")</f>
        <v/>
      </c>
      <c r="AC1690">
        <f>IF(AND($A1690&lt;&gt;"",$B1690&lt;&gt;"",$R1690='تقرير مارس'!$C$4,$P1690='تقرير مارس'!$C$6),COUNT(AC$4:AC1689)+1,"")</f>
        <v/>
      </c>
      <c r="AD1690">
        <f>IF(AND($A1690&lt;&gt;"",$B1690&lt;&gt;"",$R1690='تقرير أبريل'!$C$4,$P1690='تقرير أبريل'!$C$6),COUNT(AD$4:AD1689)+1,"")</f>
        <v/>
      </c>
      <c r="AE1690">
        <f>IF(AND($A1690&lt;&gt;"",$B1690&lt;&gt;"",$R1690='تقرير مايو'!$C$4,$P1690='تقرير مايو'!$C$6),COUNT(AE$4:AE1689)+1,"")</f>
        <v/>
      </c>
    </row>
    <row r="1691">
      <c r="A1691" s="16" t="n"/>
      <c r="B1691" s="17" t="n"/>
      <c r="C1691" s="17" t="n"/>
      <c r="D1691" s="18" t="n"/>
      <c r="E1691" s="17" t="n"/>
      <c r="F1691" s="17" t="n"/>
      <c r="G1691" s="19" t="n"/>
      <c r="H1691" s="17" t="n"/>
      <c r="I1691" s="17" t="n"/>
      <c r="J1691" s="17" t="n"/>
      <c r="K1691" s="20">
        <f>IF($B1691="","",IFERROR(INDEX(الموظفات!$A$5:$A$304,MATCH($B1691,الموظفات!$B$5:$B$304,0))&amp;"",""))</f>
        <v/>
      </c>
      <c r="L1691" s="21">
        <f>IF($B1691="","",IFERROR(INDEX(الموظفات!$C$5:$C$304,MATCH($B1691,الموظفات!$B$5:$B$304,0))&amp;"",""))</f>
        <v/>
      </c>
      <c r="M1691" s="20">
        <f>IF($B1691="","",IFERROR(INDEX(الموظفات!$D$5:$D$304,MATCH($B1691,الموظفات!$B$5:$B$304,0))&amp;"",""))</f>
        <v/>
      </c>
      <c r="N1691" s="20">
        <f>IF($B1691="","",IFERROR(INDEX(الموظفات!$E$5:$E$304,MATCH($B1691,الموظفات!$B$5:$B$304,0))&amp;"",""))</f>
        <v/>
      </c>
      <c r="O1691" s="21">
        <f>IF(C1691="","",IFERROR(INDEX(الإعدادات!$D$7:$D$35,MATCH(C1691,الإعدادات!$A$7:$A$35,0))&amp;"",""))</f>
        <v/>
      </c>
      <c r="P1691" s="20">
        <f>IF(A1691="","",INDEX(الإعدادات!$H$7:$H$18,MONTH(A1691)))</f>
        <v/>
      </c>
      <c r="Q1691" s="20">
        <f>IF(A1691="","",INDEX(الإعدادات!$I$7:$I$18,MONTH(A1691)))</f>
        <v/>
      </c>
      <c r="R1691" s="20">
        <f>IF(A1691="","",IF(MONTH(A1691)&gt;=8,YEAR(A1691)&amp;"-"&amp;(YEAR(A1691)+1),(YEAR(A1691)-1)&amp;"-"&amp;YEAR(A1691)))</f>
        <v/>
      </c>
      <c r="S1691" s="20">
        <f>IF(OR(A1691="",B1691=""),0,IF(AND(R1691=التقارير!$C$4,OR(التقارير!$C$5="سنوي",AND(التقارير!$C$5="شهري",P1691=التقارير!$C$6),AND(التقارير!$C$5="فصلي",Q1691=التقارير!$C$7))),1,0))</f>
        <v/>
      </c>
      <c r="T1691" s="20">
        <f>IF(S1691=1,COUNTIF($S$5:S1691,1),"")</f>
        <v/>
      </c>
      <c r="U1691">
        <f>IF(AND($A1691&lt;&gt;"",$B1691&lt;&gt;"",$R1691='تقرير الفصل الأول'!$C$4,$Q1691='تقرير الفصل الأول'!$C$7),COUNT(U$4:U1690)+1,"")</f>
        <v/>
      </c>
      <c r="V1691">
        <f>IF(AND($A1691&lt;&gt;"",$B1691&lt;&gt;"",$R1691='تقرير الفصل الثاني'!$C$4,$Q1691='تقرير الفصل الثاني'!$C$7),COUNT(V$4:V1690)+1,"")</f>
        <v/>
      </c>
      <c r="W1691">
        <f>IF(AND($A1691&lt;&gt;"",$B1691&lt;&gt;"",$R1691='تقرير سبتمبر'!$C$4,$P1691='تقرير سبتمبر'!$C$6),COUNT(W$4:W1690)+1,"")</f>
        <v/>
      </c>
      <c r="X1691">
        <f>IF(AND($A1691&lt;&gt;"",$B1691&lt;&gt;"",$R1691='تقرير أكتوبر'!$C$4,$P1691='تقرير أكتوبر'!$C$6),COUNT(X$4:X1690)+1,"")</f>
        <v/>
      </c>
      <c r="Y1691">
        <f>IF(AND($A1691&lt;&gt;"",$B1691&lt;&gt;"",$R1691='تقرير نوفمبر'!$C$4,$P1691='تقرير نوفمبر'!$C$6),COUNT(Y$4:Y1690)+1,"")</f>
        <v/>
      </c>
      <c r="Z1691">
        <f>IF(AND($A1691&lt;&gt;"",$B1691&lt;&gt;"",$R1691='تقرير ديسمبر'!$C$4,$P1691='تقرير ديسمبر'!$C$6),COUNT(Z$4:Z1690)+1,"")</f>
        <v/>
      </c>
      <c r="AA1691">
        <f>IF(AND($A1691&lt;&gt;"",$B1691&lt;&gt;"",$R1691='تقرير يناير'!$C$4,$P1691='تقرير يناير'!$C$6),COUNT(AA$4:AA1690)+1,"")</f>
        <v/>
      </c>
      <c r="AB1691">
        <f>IF(AND($A1691&lt;&gt;"",$B1691&lt;&gt;"",$R1691='تقرير فبراير'!$C$4,$P1691='تقرير فبراير'!$C$6),COUNT(AB$4:AB1690)+1,"")</f>
        <v/>
      </c>
      <c r="AC1691">
        <f>IF(AND($A1691&lt;&gt;"",$B1691&lt;&gt;"",$R1691='تقرير مارس'!$C$4,$P1691='تقرير مارس'!$C$6),COUNT(AC$4:AC1690)+1,"")</f>
        <v/>
      </c>
      <c r="AD1691">
        <f>IF(AND($A1691&lt;&gt;"",$B1691&lt;&gt;"",$R1691='تقرير أبريل'!$C$4,$P1691='تقرير أبريل'!$C$6),COUNT(AD$4:AD1690)+1,"")</f>
        <v/>
      </c>
      <c r="AE1691">
        <f>IF(AND($A1691&lt;&gt;"",$B1691&lt;&gt;"",$R1691='تقرير مايو'!$C$4,$P1691='تقرير مايو'!$C$6),COUNT(AE$4:AE1690)+1,"")</f>
        <v/>
      </c>
    </row>
    <row r="1692">
      <c r="A1692" s="16" t="n"/>
      <c r="B1692" s="17" t="n"/>
      <c r="C1692" s="17" t="n"/>
      <c r="D1692" s="18" t="n"/>
      <c r="E1692" s="17" t="n"/>
      <c r="F1692" s="17" t="n"/>
      <c r="G1692" s="19" t="n"/>
      <c r="H1692" s="17" t="n"/>
      <c r="I1692" s="17" t="n"/>
      <c r="J1692" s="17" t="n"/>
      <c r="K1692" s="20">
        <f>IF($B1692="","",IFERROR(INDEX(الموظفات!$A$5:$A$304,MATCH($B1692,الموظفات!$B$5:$B$304,0))&amp;"",""))</f>
        <v/>
      </c>
      <c r="L1692" s="21">
        <f>IF($B1692="","",IFERROR(INDEX(الموظفات!$C$5:$C$304,MATCH($B1692,الموظفات!$B$5:$B$304,0))&amp;"",""))</f>
        <v/>
      </c>
      <c r="M1692" s="20">
        <f>IF($B1692="","",IFERROR(INDEX(الموظفات!$D$5:$D$304,MATCH($B1692,الموظفات!$B$5:$B$304,0))&amp;"",""))</f>
        <v/>
      </c>
      <c r="N1692" s="20">
        <f>IF($B1692="","",IFERROR(INDEX(الموظفات!$E$5:$E$304,MATCH($B1692,الموظفات!$B$5:$B$304,0))&amp;"",""))</f>
        <v/>
      </c>
      <c r="O1692" s="21">
        <f>IF(C1692="","",IFERROR(INDEX(الإعدادات!$D$7:$D$35,MATCH(C1692,الإعدادات!$A$7:$A$35,0))&amp;"",""))</f>
        <v/>
      </c>
      <c r="P1692" s="20">
        <f>IF(A1692="","",INDEX(الإعدادات!$H$7:$H$18,MONTH(A1692)))</f>
        <v/>
      </c>
      <c r="Q1692" s="20">
        <f>IF(A1692="","",INDEX(الإعدادات!$I$7:$I$18,MONTH(A1692)))</f>
        <v/>
      </c>
      <c r="R1692" s="20">
        <f>IF(A1692="","",IF(MONTH(A1692)&gt;=8,YEAR(A1692)&amp;"-"&amp;(YEAR(A1692)+1),(YEAR(A1692)-1)&amp;"-"&amp;YEAR(A1692)))</f>
        <v/>
      </c>
      <c r="S1692" s="20">
        <f>IF(OR(A1692="",B1692=""),0,IF(AND(R1692=التقارير!$C$4,OR(التقارير!$C$5="سنوي",AND(التقارير!$C$5="شهري",P1692=التقارير!$C$6),AND(التقارير!$C$5="فصلي",Q1692=التقارير!$C$7))),1,0))</f>
        <v/>
      </c>
      <c r="T1692" s="20">
        <f>IF(S1692=1,COUNTIF($S$5:S1692,1),"")</f>
        <v/>
      </c>
      <c r="U1692">
        <f>IF(AND($A1692&lt;&gt;"",$B1692&lt;&gt;"",$R1692='تقرير الفصل الأول'!$C$4,$Q1692='تقرير الفصل الأول'!$C$7),COUNT(U$4:U1691)+1,"")</f>
        <v/>
      </c>
      <c r="V1692">
        <f>IF(AND($A1692&lt;&gt;"",$B1692&lt;&gt;"",$R1692='تقرير الفصل الثاني'!$C$4,$Q1692='تقرير الفصل الثاني'!$C$7),COUNT(V$4:V1691)+1,"")</f>
        <v/>
      </c>
      <c r="W1692">
        <f>IF(AND($A1692&lt;&gt;"",$B1692&lt;&gt;"",$R1692='تقرير سبتمبر'!$C$4,$P1692='تقرير سبتمبر'!$C$6),COUNT(W$4:W1691)+1,"")</f>
        <v/>
      </c>
      <c r="X1692">
        <f>IF(AND($A1692&lt;&gt;"",$B1692&lt;&gt;"",$R1692='تقرير أكتوبر'!$C$4,$P1692='تقرير أكتوبر'!$C$6),COUNT(X$4:X1691)+1,"")</f>
        <v/>
      </c>
      <c r="Y1692">
        <f>IF(AND($A1692&lt;&gt;"",$B1692&lt;&gt;"",$R1692='تقرير نوفمبر'!$C$4,$P1692='تقرير نوفمبر'!$C$6),COUNT(Y$4:Y1691)+1,"")</f>
        <v/>
      </c>
      <c r="Z1692">
        <f>IF(AND($A1692&lt;&gt;"",$B1692&lt;&gt;"",$R1692='تقرير ديسمبر'!$C$4,$P1692='تقرير ديسمبر'!$C$6),COUNT(Z$4:Z1691)+1,"")</f>
        <v/>
      </c>
      <c r="AA1692">
        <f>IF(AND($A1692&lt;&gt;"",$B1692&lt;&gt;"",$R1692='تقرير يناير'!$C$4,$P1692='تقرير يناير'!$C$6),COUNT(AA$4:AA1691)+1,"")</f>
        <v/>
      </c>
      <c r="AB1692">
        <f>IF(AND($A1692&lt;&gt;"",$B1692&lt;&gt;"",$R1692='تقرير فبراير'!$C$4,$P1692='تقرير فبراير'!$C$6),COUNT(AB$4:AB1691)+1,"")</f>
        <v/>
      </c>
      <c r="AC1692">
        <f>IF(AND($A1692&lt;&gt;"",$B1692&lt;&gt;"",$R1692='تقرير مارس'!$C$4,$P1692='تقرير مارس'!$C$6),COUNT(AC$4:AC1691)+1,"")</f>
        <v/>
      </c>
      <c r="AD1692">
        <f>IF(AND($A1692&lt;&gt;"",$B1692&lt;&gt;"",$R1692='تقرير أبريل'!$C$4,$P1692='تقرير أبريل'!$C$6),COUNT(AD$4:AD1691)+1,"")</f>
        <v/>
      </c>
      <c r="AE1692">
        <f>IF(AND($A1692&lt;&gt;"",$B1692&lt;&gt;"",$R1692='تقرير مايو'!$C$4,$P1692='تقرير مايو'!$C$6),COUNT(AE$4:AE1691)+1,"")</f>
        <v/>
      </c>
    </row>
    <row r="1693">
      <c r="A1693" s="16" t="n"/>
      <c r="B1693" s="17" t="n"/>
      <c r="C1693" s="17" t="n"/>
      <c r="D1693" s="18" t="n"/>
      <c r="E1693" s="17" t="n"/>
      <c r="F1693" s="17" t="n"/>
      <c r="G1693" s="19" t="n"/>
      <c r="H1693" s="17" t="n"/>
      <c r="I1693" s="17" t="n"/>
      <c r="J1693" s="17" t="n"/>
      <c r="K1693" s="20">
        <f>IF($B1693="","",IFERROR(INDEX(الموظفات!$A$5:$A$304,MATCH($B1693,الموظفات!$B$5:$B$304,0))&amp;"",""))</f>
        <v/>
      </c>
      <c r="L1693" s="21">
        <f>IF($B1693="","",IFERROR(INDEX(الموظفات!$C$5:$C$304,MATCH($B1693,الموظفات!$B$5:$B$304,0))&amp;"",""))</f>
        <v/>
      </c>
      <c r="M1693" s="20">
        <f>IF($B1693="","",IFERROR(INDEX(الموظفات!$D$5:$D$304,MATCH($B1693,الموظفات!$B$5:$B$304,0))&amp;"",""))</f>
        <v/>
      </c>
      <c r="N1693" s="20">
        <f>IF($B1693="","",IFERROR(INDEX(الموظفات!$E$5:$E$304,MATCH($B1693,الموظفات!$B$5:$B$304,0))&amp;"",""))</f>
        <v/>
      </c>
      <c r="O1693" s="21">
        <f>IF(C1693="","",IFERROR(INDEX(الإعدادات!$D$7:$D$35,MATCH(C1693,الإعدادات!$A$7:$A$35,0))&amp;"",""))</f>
        <v/>
      </c>
      <c r="P1693" s="20">
        <f>IF(A1693="","",INDEX(الإعدادات!$H$7:$H$18,MONTH(A1693)))</f>
        <v/>
      </c>
      <c r="Q1693" s="20">
        <f>IF(A1693="","",INDEX(الإعدادات!$I$7:$I$18,MONTH(A1693)))</f>
        <v/>
      </c>
      <c r="R1693" s="20">
        <f>IF(A1693="","",IF(MONTH(A1693)&gt;=8,YEAR(A1693)&amp;"-"&amp;(YEAR(A1693)+1),(YEAR(A1693)-1)&amp;"-"&amp;YEAR(A1693)))</f>
        <v/>
      </c>
      <c r="S1693" s="20">
        <f>IF(OR(A1693="",B1693=""),0,IF(AND(R1693=التقارير!$C$4,OR(التقارير!$C$5="سنوي",AND(التقارير!$C$5="شهري",P1693=التقارير!$C$6),AND(التقارير!$C$5="فصلي",Q1693=التقارير!$C$7))),1,0))</f>
        <v/>
      </c>
      <c r="T1693" s="20">
        <f>IF(S1693=1,COUNTIF($S$5:S1693,1),"")</f>
        <v/>
      </c>
      <c r="U1693">
        <f>IF(AND($A1693&lt;&gt;"",$B1693&lt;&gt;"",$R1693='تقرير الفصل الأول'!$C$4,$Q1693='تقرير الفصل الأول'!$C$7),COUNT(U$4:U1692)+1,"")</f>
        <v/>
      </c>
      <c r="V1693">
        <f>IF(AND($A1693&lt;&gt;"",$B1693&lt;&gt;"",$R1693='تقرير الفصل الثاني'!$C$4,$Q1693='تقرير الفصل الثاني'!$C$7),COUNT(V$4:V1692)+1,"")</f>
        <v/>
      </c>
      <c r="W1693">
        <f>IF(AND($A1693&lt;&gt;"",$B1693&lt;&gt;"",$R1693='تقرير سبتمبر'!$C$4,$P1693='تقرير سبتمبر'!$C$6),COUNT(W$4:W1692)+1,"")</f>
        <v/>
      </c>
      <c r="X1693">
        <f>IF(AND($A1693&lt;&gt;"",$B1693&lt;&gt;"",$R1693='تقرير أكتوبر'!$C$4,$P1693='تقرير أكتوبر'!$C$6),COUNT(X$4:X1692)+1,"")</f>
        <v/>
      </c>
      <c r="Y1693">
        <f>IF(AND($A1693&lt;&gt;"",$B1693&lt;&gt;"",$R1693='تقرير نوفمبر'!$C$4,$P1693='تقرير نوفمبر'!$C$6),COUNT(Y$4:Y1692)+1,"")</f>
        <v/>
      </c>
      <c r="Z1693">
        <f>IF(AND($A1693&lt;&gt;"",$B1693&lt;&gt;"",$R1693='تقرير ديسمبر'!$C$4,$P1693='تقرير ديسمبر'!$C$6),COUNT(Z$4:Z1692)+1,"")</f>
        <v/>
      </c>
      <c r="AA1693">
        <f>IF(AND($A1693&lt;&gt;"",$B1693&lt;&gt;"",$R1693='تقرير يناير'!$C$4,$P1693='تقرير يناير'!$C$6),COUNT(AA$4:AA1692)+1,"")</f>
        <v/>
      </c>
      <c r="AB1693">
        <f>IF(AND($A1693&lt;&gt;"",$B1693&lt;&gt;"",$R1693='تقرير فبراير'!$C$4,$P1693='تقرير فبراير'!$C$6),COUNT(AB$4:AB1692)+1,"")</f>
        <v/>
      </c>
      <c r="AC1693">
        <f>IF(AND($A1693&lt;&gt;"",$B1693&lt;&gt;"",$R1693='تقرير مارس'!$C$4,$P1693='تقرير مارس'!$C$6),COUNT(AC$4:AC1692)+1,"")</f>
        <v/>
      </c>
      <c r="AD1693">
        <f>IF(AND($A1693&lt;&gt;"",$B1693&lt;&gt;"",$R1693='تقرير أبريل'!$C$4,$P1693='تقرير أبريل'!$C$6),COUNT(AD$4:AD1692)+1,"")</f>
        <v/>
      </c>
      <c r="AE1693">
        <f>IF(AND($A1693&lt;&gt;"",$B1693&lt;&gt;"",$R1693='تقرير مايو'!$C$4,$P1693='تقرير مايو'!$C$6),COUNT(AE$4:AE1692)+1,"")</f>
        <v/>
      </c>
    </row>
    <row r="1694">
      <c r="A1694" s="16" t="n"/>
      <c r="B1694" s="17" t="n"/>
      <c r="C1694" s="17" t="n"/>
      <c r="D1694" s="18" t="n"/>
      <c r="E1694" s="17" t="n"/>
      <c r="F1694" s="17" t="n"/>
      <c r="G1694" s="19" t="n"/>
      <c r="H1694" s="17" t="n"/>
      <c r="I1694" s="17" t="n"/>
      <c r="J1694" s="17" t="n"/>
      <c r="K1694" s="20">
        <f>IF($B1694="","",IFERROR(INDEX(الموظفات!$A$5:$A$304,MATCH($B1694,الموظفات!$B$5:$B$304,0))&amp;"",""))</f>
        <v/>
      </c>
      <c r="L1694" s="21">
        <f>IF($B1694="","",IFERROR(INDEX(الموظفات!$C$5:$C$304,MATCH($B1694,الموظفات!$B$5:$B$304,0))&amp;"",""))</f>
        <v/>
      </c>
      <c r="M1694" s="20">
        <f>IF($B1694="","",IFERROR(INDEX(الموظفات!$D$5:$D$304,MATCH($B1694,الموظفات!$B$5:$B$304,0))&amp;"",""))</f>
        <v/>
      </c>
      <c r="N1694" s="20">
        <f>IF($B1694="","",IFERROR(INDEX(الموظفات!$E$5:$E$304,MATCH($B1694,الموظفات!$B$5:$B$304,0))&amp;"",""))</f>
        <v/>
      </c>
      <c r="O1694" s="21">
        <f>IF(C1694="","",IFERROR(INDEX(الإعدادات!$D$7:$D$35,MATCH(C1694,الإعدادات!$A$7:$A$35,0))&amp;"",""))</f>
        <v/>
      </c>
      <c r="P1694" s="20">
        <f>IF(A1694="","",INDEX(الإعدادات!$H$7:$H$18,MONTH(A1694)))</f>
        <v/>
      </c>
      <c r="Q1694" s="20">
        <f>IF(A1694="","",INDEX(الإعدادات!$I$7:$I$18,MONTH(A1694)))</f>
        <v/>
      </c>
      <c r="R1694" s="20">
        <f>IF(A1694="","",IF(MONTH(A1694)&gt;=8,YEAR(A1694)&amp;"-"&amp;(YEAR(A1694)+1),(YEAR(A1694)-1)&amp;"-"&amp;YEAR(A1694)))</f>
        <v/>
      </c>
      <c r="S1694" s="20">
        <f>IF(OR(A1694="",B1694=""),0,IF(AND(R1694=التقارير!$C$4,OR(التقارير!$C$5="سنوي",AND(التقارير!$C$5="شهري",P1694=التقارير!$C$6),AND(التقارير!$C$5="فصلي",Q1694=التقارير!$C$7))),1,0))</f>
        <v/>
      </c>
      <c r="T1694" s="20">
        <f>IF(S1694=1,COUNTIF($S$5:S1694,1),"")</f>
        <v/>
      </c>
      <c r="U1694">
        <f>IF(AND($A1694&lt;&gt;"",$B1694&lt;&gt;"",$R1694='تقرير الفصل الأول'!$C$4,$Q1694='تقرير الفصل الأول'!$C$7),COUNT(U$4:U1693)+1,"")</f>
        <v/>
      </c>
      <c r="V1694">
        <f>IF(AND($A1694&lt;&gt;"",$B1694&lt;&gt;"",$R1694='تقرير الفصل الثاني'!$C$4,$Q1694='تقرير الفصل الثاني'!$C$7),COUNT(V$4:V1693)+1,"")</f>
        <v/>
      </c>
      <c r="W1694">
        <f>IF(AND($A1694&lt;&gt;"",$B1694&lt;&gt;"",$R1694='تقرير سبتمبر'!$C$4,$P1694='تقرير سبتمبر'!$C$6),COUNT(W$4:W1693)+1,"")</f>
        <v/>
      </c>
      <c r="X1694">
        <f>IF(AND($A1694&lt;&gt;"",$B1694&lt;&gt;"",$R1694='تقرير أكتوبر'!$C$4,$P1694='تقرير أكتوبر'!$C$6),COUNT(X$4:X1693)+1,"")</f>
        <v/>
      </c>
      <c r="Y1694">
        <f>IF(AND($A1694&lt;&gt;"",$B1694&lt;&gt;"",$R1694='تقرير نوفمبر'!$C$4,$P1694='تقرير نوفمبر'!$C$6),COUNT(Y$4:Y1693)+1,"")</f>
        <v/>
      </c>
      <c r="Z1694">
        <f>IF(AND($A1694&lt;&gt;"",$B1694&lt;&gt;"",$R1694='تقرير ديسمبر'!$C$4,$P1694='تقرير ديسمبر'!$C$6),COUNT(Z$4:Z1693)+1,"")</f>
        <v/>
      </c>
      <c r="AA1694">
        <f>IF(AND($A1694&lt;&gt;"",$B1694&lt;&gt;"",$R1694='تقرير يناير'!$C$4,$P1694='تقرير يناير'!$C$6),COUNT(AA$4:AA1693)+1,"")</f>
        <v/>
      </c>
      <c r="AB1694">
        <f>IF(AND($A1694&lt;&gt;"",$B1694&lt;&gt;"",$R1694='تقرير فبراير'!$C$4,$P1694='تقرير فبراير'!$C$6),COUNT(AB$4:AB1693)+1,"")</f>
        <v/>
      </c>
      <c r="AC1694">
        <f>IF(AND($A1694&lt;&gt;"",$B1694&lt;&gt;"",$R1694='تقرير مارس'!$C$4,$P1694='تقرير مارس'!$C$6),COUNT(AC$4:AC1693)+1,"")</f>
        <v/>
      </c>
      <c r="AD1694">
        <f>IF(AND($A1694&lt;&gt;"",$B1694&lt;&gt;"",$R1694='تقرير أبريل'!$C$4,$P1694='تقرير أبريل'!$C$6),COUNT(AD$4:AD1693)+1,"")</f>
        <v/>
      </c>
      <c r="AE1694">
        <f>IF(AND($A1694&lt;&gt;"",$B1694&lt;&gt;"",$R1694='تقرير مايو'!$C$4,$P1694='تقرير مايو'!$C$6),COUNT(AE$4:AE1693)+1,"")</f>
        <v/>
      </c>
    </row>
    <row r="1695">
      <c r="A1695" s="16" t="n"/>
      <c r="B1695" s="17" t="n"/>
      <c r="C1695" s="17" t="n"/>
      <c r="D1695" s="18" t="n"/>
      <c r="E1695" s="17" t="n"/>
      <c r="F1695" s="17" t="n"/>
      <c r="G1695" s="19" t="n"/>
      <c r="H1695" s="17" t="n"/>
      <c r="I1695" s="17" t="n"/>
      <c r="J1695" s="17" t="n"/>
      <c r="K1695" s="20">
        <f>IF($B1695="","",IFERROR(INDEX(الموظفات!$A$5:$A$304,MATCH($B1695,الموظفات!$B$5:$B$304,0))&amp;"",""))</f>
        <v/>
      </c>
      <c r="L1695" s="21">
        <f>IF($B1695="","",IFERROR(INDEX(الموظفات!$C$5:$C$304,MATCH($B1695,الموظفات!$B$5:$B$304,0))&amp;"",""))</f>
        <v/>
      </c>
      <c r="M1695" s="20">
        <f>IF($B1695="","",IFERROR(INDEX(الموظفات!$D$5:$D$304,MATCH($B1695,الموظفات!$B$5:$B$304,0))&amp;"",""))</f>
        <v/>
      </c>
      <c r="N1695" s="20">
        <f>IF($B1695="","",IFERROR(INDEX(الموظفات!$E$5:$E$304,MATCH($B1695,الموظفات!$B$5:$B$304,0))&amp;"",""))</f>
        <v/>
      </c>
      <c r="O1695" s="21">
        <f>IF(C1695="","",IFERROR(INDEX(الإعدادات!$D$7:$D$35,MATCH(C1695,الإعدادات!$A$7:$A$35,0))&amp;"",""))</f>
        <v/>
      </c>
      <c r="P1695" s="20">
        <f>IF(A1695="","",INDEX(الإعدادات!$H$7:$H$18,MONTH(A1695)))</f>
        <v/>
      </c>
      <c r="Q1695" s="20">
        <f>IF(A1695="","",INDEX(الإعدادات!$I$7:$I$18,MONTH(A1695)))</f>
        <v/>
      </c>
      <c r="R1695" s="20">
        <f>IF(A1695="","",IF(MONTH(A1695)&gt;=8,YEAR(A1695)&amp;"-"&amp;(YEAR(A1695)+1),(YEAR(A1695)-1)&amp;"-"&amp;YEAR(A1695)))</f>
        <v/>
      </c>
      <c r="S1695" s="20">
        <f>IF(OR(A1695="",B1695=""),0,IF(AND(R1695=التقارير!$C$4,OR(التقارير!$C$5="سنوي",AND(التقارير!$C$5="شهري",P1695=التقارير!$C$6),AND(التقارير!$C$5="فصلي",Q1695=التقارير!$C$7))),1,0))</f>
        <v/>
      </c>
      <c r="T1695" s="20">
        <f>IF(S1695=1,COUNTIF($S$5:S1695,1),"")</f>
        <v/>
      </c>
      <c r="U1695">
        <f>IF(AND($A1695&lt;&gt;"",$B1695&lt;&gt;"",$R1695='تقرير الفصل الأول'!$C$4,$Q1695='تقرير الفصل الأول'!$C$7),COUNT(U$4:U1694)+1,"")</f>
        <v/>
      </c>
      <c r="V1695">
        <f>IF(AND($A1695&lt;&gt;"",$B1695&lt;&gt;"",$R1695='تقرير الفصل الثاني'!$C$4,$Q1695='تقرير الفصل الثاني'!$C$7),COUNT(V$4:V1694)+1,"")</f>
        <v/>
      </c>
      <c r="W1695">
        <f>IF(AND($A1695&lt;&gt;"",$B1695&lt;&gt;"",$R1695='تقرير سبتمبر'!$C$4,$P1695='تقرير سبتمبر'!$C$6),COUNT(W$4:W1694)+1,"")</f>
        <v/>
      </c>
      <c r="X1695">
        <f>IF(AND($A1695&lt;&gt;"",$B1695&lt;&gt;"",$R1695='تقرير أكتوبر'!$C$4,$P1695='تقرير أكتوبر'!$C$6),COUNT(X$4:X1694)+1,"")</f>
        <v/>
      </c>
      <c r="Y1695">
        <f>IF(AND($A1695&lt;&gt;"",$B1695&lt;&gt;"",$R1695='تقرير نوفمبر'!$C$4,$P1695='تقرير نوفمبر'!$C$6),COUNT(Y$4:Y1694)+1,"")</f>
        <v/>
      </c>
      <c r="Z1695">
        <f>IF(AND($A1695&lt;&gt;"",$B1695&lt;&gt;"",$R1695='تقرير ديسمبر'!$C$4,$P1695='تقرير ديسمبر'!$C$6),COUNT(Z$4:Z1694)+1,"")</f>
        <v/>
      </c>
      <c r="AA1695">
        <f>IF(AND($A1695&lt;&gt;"",$B1695&lt;&gt;"",$R1695='تقرير يناير'!$C$4,$P1695='تقرير يناير'!$C$6),COUNT(AA$4:AA1694)+1,"")</f>
        <v/>
      </c>
      <c r="AB1695">
        <f>IF(AND($A1695&lt;&gt;"",$B1695&lt;&gt;"",$R1695='تقرير فبراير'!$C$4,$P1695='تقرير فبراير'!$C$6),COUNT(AB$4:AB1694)+1,"")</f>
        <v/>
      </c>
      <c r="AC1695">
        <f>IF(AND($A1695&lt;&gt;"",$B1695&lt;&gt;"",$R1695='تقرير مارس'!$C$4,$P1695='تقرير مارس'!$C$6),COUNT(AC$4:AC1694)+1,"")</f>
        <v/>
      </c>
      <c r="AD1695">
        <f>IF(AND($A1695&lt;&gt;"",$B1695&lt;&gt;"",$R1695='تقرير أبريل'!$C$4,$P1695='تقرير أبريل'!$C$6),COUNT(AD$4:AD1694)+1,"")</f>
        <v/>
      </c>
      <c r="AE1695">
        <f>IF(AND($A1695&lt;&gt;"",$B1695&lt;&gt;"",$R1695='تقرير مايو'!$C$4,$P1695='تقرير مايو'!$C$6),COUNT(AE$4:AE1694)+1,"")</f>
        <v/>
      </c>
    </row>
    <row r="1696">
      <c r="A1696" s="16" t="n"/>
      <c r="B1696" s="17" t="n"/>
      <c r="C1696" s="17" t="n"/>
      <c r="D1696" s="18" t="n"/>
      <c r="E1696" s="17" t="n"/>
      <c r="F1696" s="17" t="n"/>
      <c r="G1696" s="19" t="n"/>
      <c r="H1696" s="17" t="n"/>
      <c r="I1696" s="17" t="n"/>
      <c r="J1696" s="17" t="n"/>
      <c r="K1696" s="20">
        <f>IF($B1696="","",IFERROR(INDEX(الموظفات!$A$5:$A$304,MATCH($B1696,الموظفات!$B$5:$B$304,0))&amp;"",""))</f>
        <v/>
      </c>
      <c r="L1696" s="21">
        <f>IF($B1696="","",IFERROR(INDEX(الموظفات!$C$5:$C$304,MATCH($B1696,الموظفات!$B$5:$B$304,0))&amp;"",""))</f>
        <v/>
      </c>
      <c r="M1696" s="20">
        <f>IF($B1696="","",IFERROR(INDEX(الموظفات!$D$5:$D$304,MATCH($B1696,الموظفات!$B$5:$B$304,0))&amp;"",""))</f>
        <v/>
      </c>
      <c r="N1696" s="20">
        <f>IF($B1696="","",IFERROR(INDEX(الموظفات!$E$5:$E$304,MATCH($B1696,الموظفات!$B$5:$B$304,0))&amp;"",""))</f>
        <v/>
      </c>
      <c r="O1696" s="21">
        <f>IF(C1696="","",IFERROR(INDEX(الإعدادات!$D$7:$D$35,MATCH(C1696,الإعدادات!$A$7:$A$35,0))&amp;"",""))</f>
        <v/>
      </c>
      <c r="P1696" s="20">
        <f>IF(A1696="","",INDEX(الإعدادات!$H$7:$H$18,MONTH(A1696)))</f>
        <v/>
      </c>
      <c r="Q1696" s="20">
        <f>IF(A1696="","",INDEX(الإعدادات!$I$7:$I$18,MONTH(A1696)))</f>
        <v/>
      </c>
      <c r="R1696" s="20">
        <f>IF(A1696="","",IF(MONTH(A1696)&gt;=8,YEAR(A1696)&amp;"-"&amp;(YEAR(A1696)+1),(YEAR(A1696)-1)&amp;"-"&amp;YEAR(A1696)))</f>
        <v/>
      </c>
      <c r="S1696" s="20">
        <f>IF(OR(A1696="",B1696=""),0,IF(AND(R1696=التقارير!$C$4,OR(التقارير!$C$5="سنوي",AND(التقارير!$C$5="شهري",P1696=التقارير!$C$6),AND(التقارير!$C$5="فصلي",Q1696=التقارير!$C$7))),1,0))</f>
        <v/>
      </c>
      <c r="T1696" s="20">
        <f>IF(S1696=1,COUNTIF($S$5:S1696,1),"")</f>
        <v/>
      </c>
      <c r="U1696">
        <f>IF(AND($A1696&lt;&gt;"",$B1696&lt;&gt;"",$R1696='تقرير الفصل الأول'!$C$4,$Q1696='تقرير الفصل الأول'!$C$7),COUNT(U$4:U1695)+1,"")</f>
        <v/>
      </c>
      <c r="V1696">
        <f>IF(AND($A1696&lt;&gt;"",$B1696&lt;&gt;"",$R1696='تقرير الفصل الثاني'!$C$4,$Q1696='تقرير الفصل الثاني'!$C$7),COUNT(V$4:V1695)+1,"")</f>
        <v/>
      </c>
      <c r="W1696">
        <f>IF(AND($A1696&lt;&gt;"",$B1696&lt;&gt;"",$R1696='تقرير سبتمبر'!$C$4,$P1696='تقرير سبتمبر'!$C$6),COUNT(W$4:W1695)+1,"")</f>
        <v/>
      </c>
      <c r="X1696">
        <f>IF(AND($A1696&lt;&gt;"",$B1696&lt;&gt;"",$R1696='تقرير أكتوبر'!$C$4,$P1696='تقرير أكتوبر'!$C$6),COUNT(X$4:X1695)+1,"")</f>
        <v/>
      </c>
      <c r="Y1696">
        <f>IF(AND($A1696&lt;&gt;"",$B1696&lt;&gt;"",$R1696='تقرير نوفمبر'!$C$4,$P1696='تقرير نوفمبر'!$C$6),COUNT(Y$4:Y1695)+1,"")</f>
        <v/>
      </c>
      <c r="Z1696">
        <f>IF(AND($A1696&lt;&gt;"",$B1696&lt;&gt;"",$R1696='تقرير ديسمبر'!$C$4,$P1696='تقرير ديسمبر'!$C$6),COUNT(Z$4:Z1695)+1,"")</f>
        <v/>
      </c>
      <c r="AA1696">
        <f>IF(AND($A1696&lt;&gt;"",$B1696&lt;&gt;"",$R1696='تقرير يناير'!$C$4,$P1696='تقرير يناير'!$C$6),COUNT(AA$4:AA1695)+1,"")</f>
        <v/>
      </c>
      <c r="AB1696">
        <f>IF(AND($A1696&lt;&gt;"",$B1696&lt;&gt;"",$R1696='تقرير فبراير'!$C$4,$P1696='تقرير فبراير'!$C$6),COUNT(AB$4:AB1695)+1,"")</f>
        <v/>
      </c>
      <c r="AC1696">
        <f>IF(AND($A1696&lt;&gt;"",$B1696&lt;&gt;"",$R1696='تقرير مارس'!$C$4,$P1696='تقرير مارس'!$C$6),COUNT(AC$4:AC1695)+1,"")</f>
        <v/>
      </c>
      <c r="AD1696">
        <f>IF(AND($A1696&lt;&gt;"",$B1696&lt;&gt;"",$R1696='تقرير أبريل'!$C$4,$P1696='تقرير أبريل'!$C$6),COUNT(AD$4:AD1695)+1,"")</f>
        <v/>
      </c>
      <c r="AE1696">
        <f>IF(AND($A1696&lt;&gt;"",$B1696&lt;&gt;"",$R1696='تقرير مايو'!$C$4,$P1696='تقرير مايو'!$C$6),COUNT(AE$4:AE1695)+1,"")</f>
        <v/>
      </c>
    </row>
    <row r="1697">
      <c r="A1697" s="16" t="n"/>
      <c r="B1697" s="17" t="n"/>
      <c r="C1697" s="17" t="n"/>
      <c r="D1697" s="18" t="n"/>
      <c r="E1697" s="17" t="n"/>
      <c r="F1697" s="17" t="n"/>
      <c r="G1697" s="19" t="n"/>
      <c r="H1697" s="17" t="n"/>
      <c r="I1697" s="17" t="n"/>
      <c r="J1697" s="17" t="n"/>
      <c r="K1697" s="20">
        <f>IF($B1697="","",IFERROR(INDEX(الموظفات!$A$5:$A$304,MATCH($B1697,الموظفات!$B$5:$B$304,0))&amp;"",""))</f>
        <v/>
      </c>
      <c r="L1697" s="21">
        <f>IF($B1697="","",IFERROR(INDEX(الموظفات!$C$5:$C$304,MATCH($B1697,الموظفات!$B$5:$B$304,0))&amp;"",""))</f>
        <v/>
      </c>
      <c r="M1697" s="20">
        <f>IF($B1697="","",IFERROR(INDEX(الموظفات!$D$5:$D$304,MATCH($B1697,الموظفات!$B$5:$B$304,0))&amp;"",""))</f>
        <v/>
      </c>
      <c r="N1697" s="20">
        <f>IF($B1697="","",IFERROR(INDEX(الموظفات!$E$5:$E$304,MATCH($B1697,الموظفات!$B$5:$B$304,0))&amp;"",""))</f>
        <v/>
      </c>
      <c r="O1697" s="21">
        <f>IF(C1697="","",IFERROR(INDEX(الإعدادات!$D$7:$D$35,MATCH(C1697,الإعدادات!$A$7:$A$35,0))&amp;"",""))</f>
        <v/>
      </c>
      <c r="P1697" s="20">
        <f>IF(A1697="","",INDEX(الإعدادات!$H$7:$H$18,MONTH(A1697)))</f>
        <v/>
      </c>
      <c r="Q1697" s="20">
        <f>IF(A1697="","",INDEX(الإعدادات!$I$7:$I$18,MONTH(A1697)))</f>
        <v/>
      </c>
      <c r="R1697" s="20">
        <f>IF(A1697="","",IF(MONTH(A1697)&gt;=8,YEAR(A1697)&amp;"-"&amp;(YEAR(A1697)+1),(YEAR(A1697)-1)&amp;"-"&amp;YEAR(A1697)))</f>
        <v/>
      </c>
      <c r="S1697" s="20">
        <f>IF(OR(A1697="",B1697=""),0,IF(AND(R1697=التقارير!$C$4,OR(التقارير!$C$5="سنوي",AND(التقارير!$C$5="شهري",P1697=التقارير!$C$6),AND(التقارير!$C$5="فصلي",Q1697=التقارير!$C$7))),1,0))</f>
        <v/>
      </c>
      <c r="T1697" s="20">
        <f>IF(S1697=1,COUNTIF($S$5:S1697,1),"")</f>
        <v/>
      </c>
      <c r="U1697">
        <f>IF(AND($A1697&lt;&gt;"",$B1697&lt;&gt;"",$R1697='تقرير الفصل الأول'!$C$4,$Q1697='تقرير الفصل الأول'!$C$7),COUNT(U$4:U1696)+1,"")</f>
        <v/>
      </c>
      <c r="V1697">
        <f>IF(AND($A1697&lt;&gt;"",$B1697&lt;&gt;"",$R1697='تقرير الفصل الثاني'!$C$4,$Q1697='تقرير الفصل الثاني'!$C$7),COUNT(V$4:V1696)+1,"")</f>
        <v/>
      </c>
      <c r="W1697">
        <f>IF(AND($A1697&lt;&gt;"",$B1697&lt;&gt;"",$R1697='تقرير سبتمبر'!$C$4,$P1697='تقرير سبتمبر'!$C$6),COUNT(W$4:W1696)+1,"")</f>
        <v/>
      </c>
      <c r="X1697">
        <f>IF(AND($A1697&lt;&gt;"",$B1697&lt;&gt;"",$R1697='تقرير أكتوبر'!$C$4,$P1697='تقرير أكتوبر'!$C$6),COUNT(X$4:X1696)+1,"")</f>
        <v/>
      </c>
      <c r="Y1697">
        <f>IF(AND($A1697&lt;&gt;"",$B1697&lt;&gt;"",$R1697='تقرير نوفمبر'!$C$4,$P1697='تقرير نوفمبر'!$C$6),COUNT(Y$4:Y1696)+1,"")</f>
        <v/>
      </c>
      <c r="Z1697">
        <f>IF(AND($A1697&lt;&gt;"",$B1697&lt;&gt;"",$R1697='تقرير ديسمبر'!$C$4,$P1697='تقرير ديسمبر'!$C$6),COUNT(Z$4:Z1696)+1,"")</f>
        <v/>
      </c>
      <c r="AA1697">
        <f>IF(AND($A1697&lt;&gt;"",$B1697&lt;&gt;"",$R1697='تقرير يناير'!$C$4,$P1697='تقرير يناير'!$C$6),COUNT(AA$4:AA1696)+1,"")</f>
        <v/>
      </c>
      <c r="AB1697">
        <f>IF(AND($A1697&lt;&gt;"",$B1697&lt;&gt;"",$R1697='تقرير فبراير'!$C$4,$P1697='تقرير فبراير'!$C$6),COUNT(AB$4:AB1696)+1,"")</f>
        <v/>
      </c>
      <c r="AC1697">
        <f>IF(AND($A1697&lt;&gt;"",$B1697&lt;&gt;"",$R1697='تقرير مارس'!$C$4,$P1697='تقرير مارس'!$C$6),COUNT(AC$4:AC1696)+1,"")</f>
        <v/>
      </c>
      <c r="AD1697">
        <f>IF(AND($A1697&lt;&gt;"",$B1697&lt;&gt;"",$R1697='تقرير أبريل'!$C$4,$P1697='تقرير أبريل'!$C$6),COUNT(AD$4:AD1696)+1,"")</f>
        <v/>
      </c>
      <c r="AE1697">
        <f>IF(AND($A1697&lt;&gt;"",$B1697&lt;&gt;"",$R1697='تقرير مايو'!$C$4,$P1697='تقرير مايو'!$C$6),COUNT(AE$4:AE1696)+1,"")</f>
        <v/>
      </c>
    </row>
    <row r="1698">
      <c r="A1698" s="16" t="n"/>
      <c r="B1698" s="17" t="n"/>
      <c r="C1698" s="17" t="n"/>
      <c r="D1698" s="18" t="n"/>
      <c r="E1698" s="17" t="n"/>
      <c r="F1698" s="17" t="n"/>
      <c r="G1698" s="19" t="n"/>
      <c r="H1698" s="17" t="n"/>
      <c r="I1698" s="17" t="n"/>
      <c r="J1698" s="17" t="n"/>
      <c r="K1698" s="20">
        <f>IF($B1698="","",IFERROR(INDEX(الموظفات!$A$5:$A$304,MATCH($B1698,الموظفات!$B$5:$B$304,0))&amp;"",""))</f>
        <v/>
      </c>
      <c r="L1698" s="21">
        <f>IF($B1698="","",IFERROR(INDEX(الموظفات!$C$5:$C$304,MATCH($B1698,الموظفات!$B$5:$B$304,0))&amp;"",""))</f>
        <v/>
      </c>
      <c r="M1698" s="20">
        <f>IF($B1698="","",IFERROR(INDEX(الموظفات!$D$5:$D$304,MATCH($B1698,الموظفات!$B$5:$B$304,0))&amp;"",""))</f>
        <v/>
      </c>
      <c r="N1698" s="20">
        <f>IF($B1698="","",IFERROR(INDEX(الموظفات!$E$5:$E$304,MATCH($B1698,الموظفات!$B$5:$B$304,0))&amp;"",""))</f>
        <v/>
      </c>
      <c r="O1698" s="21">
        <f>IF(C1698="","",IFERROR(INDEX(الإعدادات!$D$7:$D$35,MATCH(C1698,الإعدادات!$A$7:$A$35,0))&amp;"",""))</f>
        <v/>
      </c>
      <c r="P1698" s="20">
        <f>IF(A1698="","",INDEX(الإعدادات!$H$7:$H$18,MONTH(A1698)))</f>
        <v/>
      </c>
      <c r="Q1698" s="20">
        <f>IF(A1698="","",INDEX(الإعدادات!$I$7:$I$18,MONTH(A1698)))</f>
        <v/>
      </c>
      <c r="R1698" s="20">
        <f>IF(A1698="","",IF(MONTH(A1698)&gt;=8,YEAR(A1698)&amp;"-"&amp;(YEAR(A1698)+1),(YEAR(A1698)-1)&amp;"-"&amp;YEAR(A1698)))</f>
        <v/>
      </c>
      <c r="S1698" s="20">
        <f>IF(OR(A1698="",B1698=""),0,IF(AND(R1698=التقارير!$C$4,OR(التقارير!$C$5="سنوي",AND(التقارير!$C$5="شهري",P1698=التقارير!$C$6),AND(التقارير!$C$5="فصلي",Q1698=التقارير!$C$7))),1,0))</f>
        <v/>
      </c>
      <c r="T1698" s="20">
        <f>IF(S1698=1,COUNTIF($S$5:S1698,1),"")</f>
        <v/>
      </c>
      <c r="U1698">
        <f>IF(AND($A1698&lt;&gt;"",$B1698&lt;&gt;"",$R1698='تقرير الفصل الأول'!$C$4,$Q1698='تقرير الفصل الأول'!$C$7),COUNT(U$4:U1697)+1,"")</f>
        <v/>
      </c>
      <c r="V1698">
        <f>IF(AND($A1698&lt;&gt;"",$B1698&lt;&gt;"",$R1698='تقرير الفصل الثاني'!$C$4,$Q1698='تقرير الفصل الثاني'!$C$7),COUNT(V$4:V1697)+1,"")</f>
        <v/>
      </c>
      <c r="W1698">
        <f>IF(AND($A1698&lt;&gt;"",$B1698&lt;&gt;"",$R1698='تقرير سبتمبر'!$C$4,$P1698='تقرير سبتمبر'!$C$6),COUNT(W$4:W1697)+1,"")</f>
        <v/>
      </c>
      <c r="X1698">
        <f>IF(AND($A1698&lt;&gt;"",$B1698&lt;&gt;"",$R1698='تقرير أكتوبر'!$C$4,$P1698='تقرير أكتوبر'!$C$6),COUNT(X$4:X1697)+1,"")</f>
        <v/>
      </c>
      <c r="Y1698">
        <f>IF(AND($A1698&lt;&gt;"",$B1698&lt;&gt;"",$R1698='تقرير نوفمبر'!$C$4,$P1698='تقرير نوفمبر'!$C$6),COUNT(Y$4:Y1697)+1,"")</f>
        <v/>
      </c>
      <c r="Z1698">
        <f>IF(AND($A1698&lt;&gt;"",$B1698&lt;&gt;"",$R1698='تقرير ديسمبر'!$C$4,$P1698='تقرير ديسمبر'!$C$6),COUNT(Z$4:Z1697)+1,"")</f>
        <v/>
      </c>
      <c r="AA1698">
        <f>IF(AND($A1698&lt;&gt;"",$B1698&lt;&gt;"",$R1698='تقرير يناير'!$C$4,$P1698='تقرير يناير'!$C$6),COUNT(AA$4:AA1697)+1,"")</f>
        <v/>
      </c>
      <c r="AB1698">
        <f>IF(AND($A1698&lt;&gt;"",$B1698&lt;&gt;"",$R1698='تقرير فبراير'!$C$4,$P1698='تقرير فبراير'!$C$6),COUNT(AB$4:AB1697)+1,"")</f>
        <v/>
      </c>
      <c r="AC1698">
        <f>IF(AND($A1698&lt;&gt;"",$B1698&lt;&gt;"",$R1698='تقرير مارس'!$C$4,$P1698='تقرير مارس'!$C$6),COUNT(AC$4:AC1697)+1,"")</f>
        <v/>
      </c>
      <c r="AD1698">
        <f>IF(AND($A1698&lt;&gt;"",$B1698&lt;&gt;"",$R1698='تقرير أبريل'!$C$4,$P1698='تقرير أبريل'!$C$6),COUNT(AD$4:AD1697)+1,"")</f>
        <v/>
      </c>
      <c r="AE1698">
        <f>IF(AND($A1698&lt;&gt;"",$B1698&lt;&gt;"",$R1698='تقرير مايو'!$C$4,$P1698='تقرير مايو'!$C$6),COUNT(AE$4:AE1697)+1,"")</f>
        <v/>
      </c>
    </row>
    <row r="1699">
      <c r="A1699" s="16" t="n"/>
      <c r="B1699" s="17" t="n"/>
      <c r="C1699" s="17" t="n"/>
      <c r="D1699" s="18" t="n"/>
      <c r="E1699" s="17" t="n"/>
      <c r="F1699" s="17" t="n"/>
      <c r="G1699" s="19" t="n"/>
      <c r="H1699" s="17" t="n"/>
      <c r="I1699" s="17" t="n"/>
      <c r="J1699" s="17" t="n"/>
      <c r="K1699" s="20">
        <f>IF($B1699="","",IFERROR(INDEX(الموظفات!$A$5:$A$304,MATCH($B1699,الموظفات!$B$5:$B$304,0))&amp;"",""))</f>
        <v/>
      </c>
      <c r="L1699" s="21">
        <f>IF($B1699="","",IFERROR(INDEX(الموظفات!$C$5:$C$304,MATCH($B1699,الموظفات!$B$5:$B$304,0))&amp;"",""))</f>
        <v/>
      </c>
      <c r="M1699" s="20">
        <f>IF($B1699="","",IFERROR(INDEX(الموظفات!$D$5:$D$304,MATCH($B1699,الموظفات!$B$5:$B$304,0))&amp;"",""))</f>
        <v/>
      </c>
      <c r="N1699" s="20">
        <f>IF($B1699="","",IFERROR(INDEX(الموظفات!$E$5:$E$304,MATCH($B1699,الموظفات!$B$5:$B$304,0))&amp;"",""))</f>
        <v/>
      </c>
      <c r="O1699" s="21">
        <f>IF(C1699="","",IFERROR(INDEX(الإعدادات!$D$7:$D$35,MATCH(C1699,الإعدادات!$A$7:$A$35,0))&amp;"",""))</f>
        <v/>
      </c>
      <c r="P1699" s="20">
        <f>IF(A1699="","",INDEX(الإعدادات!$H$7:$H$18,MONTH(A1699)))</f>
        <v/>
      </c>
      <c r="Q1699" s="20">
        <f>IF(A1699="","",INDEX(الإعدادات!$I$7:$I$18,MONTH(A1699)))</f>
        <v/>
      </c>
      <c r="R1699" s="20">
        <f>IF(A1699="","",IF(MONTH(A1699)&gt;=8,YEAR(A1699)&amp;"-"&amp;(YEAR(A1699)+1),(YEAR(A1699)-1)&amp;"-"&amp;YEAR(A1699)))</f>
        <v/>
      </c>
      <c r="S1699" s="20">
        <f>IF(OR(A1699="",B1699=""),0,IF(AND(R1699=التقارير!$C$4,OR(التقارير!$C$5="سنوي",AND(التقارير!$C$5="شهري",P1699=التقارير!$C$6),AND(التقارير!$C$5="فصلي",Q1699=التقارير!$C$7))),1,0))</f>
        <v/>
      </c>
      <c r="T1699" s="20">
        <f>IF(S1699=1,COUNTIF($S$5:S1699,1),"")</f>
        <v/>
      </c>
      <c r="U1699">
        <f>IF(AND($A1699&lt;&gt;"",$B1699&lt;&gt;"",$R1699='تقرير الفصل الأول'!$C$4,$Q1699='تقرير الفصل الأول'!$C$7),COUNT(U$4:U1698)+1,"")</f>
        <v/>
      </c>
      <c r="V1699">
        <f>IF(AND($A1699&lt;&gt;"",$B1699&lt;&gt;"",$R1699='تقرير الفصل الثاني'!$C$4,$Q1699='تقرير الفصل الثاني'!$C$7),COUNT(V$4:V1698)+1,"")</f>
        <v/>
      </c>
      <c r="W1699">
        <f>IF(AND($A1699&lt;&gt;"",$B1699&lt;&gt;"",$R1699='تقرير سبتمبر'!$C$4,$P1699='تقرير سبتمبر'!$C$6),COUNT(W$4:W1698)+1,"")</f>
        <v/>
      </c>
      <c r="X1699">
        <f>IF(AND($A1699&lt;&gt;"",$B1699&lt;&gt;"",$R1699='تقرير أكتوبر'!$C$4,$P1699='تقرير أكتوبر'!$C$6),COUNT(X$4:X1698)+1,"")</f>
        <v/>
      </c>
      <c r="Y1699">
        <f>IF(AND($A1699&lt;&gt;"",$B1699&lt;&gt;"",$R1699='تقرير نوفمبر'!$C$4,$P1699='تقرير نوفمبر'!$C$6),COUNT(Y$4:Y1698)+1,"")</f>
        <v/>
      </c>
      <c r="Z1699">
        <f>IF(AND($A1699&lt;&gt;"",$B1699&lt;&gt;"",$R1699='تقرير ديسمبر'!$C$4,$P1699='تقرير ديسمبر'!$C$6),COUNT(Z$4:Z1698)+1,"")</f>
        <v/>
      </c>
      <c r="AA1699">
        <f>IF(AND($A1699&lt;&gt;"",$B1699&lt;&gt;"",$R1699='تقرير يناير'!$C$4,$P1699='تقرير يناير'!$C$6),COUNT(AA$4:AA1698)+1,"")</f>
        <v/>
      </c>
      <c r="AB1699">
        <f>IF(AND($A1699&lt;&gt;"",$B1699&lt;&gt;"",$R1699='تقرير فبراير'!$C$4,$P1699='تقرير فبراير'!$C$6),COUNT(AB$4:AB1698)+1,"")</f>
        <v/>
      </c>
      <c r="AC1699">
        <f>IF(AND($A1699&lt;&gt;"",$B1699&lt;&gt;"",$R1699='تقرير مارس'!$C$4,$P1699='تقرير مارس'!$C$6),COUNT(AC$4:AC1698)+1,"")</f>
        <v/>
      </c>
      <c r="AD1699">
        <f>IF(AND($A1699&lt;&gt;"",$B1699&lt;&gt;"",$R1699='تقرير أبريل'!$C$4,$P1699='تقرير أبريل'!$C$6),COUNT(AD$4:AD1698)+1,"")</f>
        <v/>
      </c>
      <c r="AE1699">
        <f>IF(AND($A1699&lt;&gt;"",$B1699&lt;&gt;"",$R1699='تقرير مايو'!$C$4,$P1699='تقرير مايو'!$C$6),COUNT(AE$4:AE1698)+1,"")</f>
        <v/>
      </c>
    </row>
    <row r="1700">
      <c r="A1700" s="16" t="n"/>
      <c r="B1700" s="17" t="n"/>
      <c r="C1700" s="17" t="n"/>
      <c r="D1700" s="18" t="n"/>
      <c r="E1700" s="17" t="n"/>
      <c r="F1700" s="17" t="n"/>
      <c r="G1700" s="19" t="n"/>
      <c r="H1700" s="17" t="n"/>
      <c r="I1700" s="17" t="n"/>
      <c r="J1700" s="17" t="n"/>
      <c r="K1700" s="20">
        <f>IF($B1700="","",IFERROR(INDEX(الموظفات!$A$5:$A$304,MATCH($B1700,الموظفات!$B$5:$B$304,0))&amp;"",""))</f>
        <v/>
      </c>
      <c r="L1700" s="21">
        <f>IF($B1700="","",IFERROR(INDEX(الموظفات!$C$5:$C$304,MATCH($B1700,الموظفات!$B$5:$B$304,0))&amp;"",""))</f>
        <v/>
      </c>
      <c r="M1700" s="20">
        <f>IF($B1700="","",IFERROR(INDEX(الموظفات!$D$5:$D$304,MATCH($B1700,الموظفات!$B$5:$B$304,0))&amp;"",""))</f>
        <v/>
      </c>
      <c r="N1700" s="20">
        <f>IF($B1700="","",IFERROR(INDEX(الموظفات!$E$5:$E$304,MATCH($B1700,الموظفات!$B$5:$B$304,0))&amp;"",""))</f>
        <v/>
      </c>
      <c r="O1700" s="21">
        <f>IF(C1700="","",IFERROR(INDEX(الإعدادات!$D$7:$D$35,MATCH(C1700,الإعدادات!$A$7:$A$35,0))&amp;"",""))</f>
        <v/>
      </c>
      <c r="P1700" s="20">
        <f>IF(A1700="","",INDEX(الإعدادات!$H$7:$H$18,MONTH(A1700)))</f>
        <v/>
      </c>
      <c r="Q1700" s="20">
        <f>IF(A1700="","",INDEX(الإعدادات!$I$7:$I$18,MONTH(A1700)))</f>
        <v/>
      </c>
      <c r="R1700" s="20">
        <f>IF(A1700="","",IF(MONTH(A1700)&gt;=8,YEAR(A1700)&amp;"-"&amp;(YEAR(A1700)+1),(YEAR(A1700)-1)&amp;"-"&amp;YEAR(A1700)))</f>
        <v/>
      </c>
      <c r="S1700" s="20">
        <f>IF(OR(A1700="",B1700=""),0,IF(AND(R1700=التقارير!$C$4,OR(التقارير!$C$5="سنوي",AND(التقارير!$C$5="شهري",P1700=التقارير!$C$6),AND(التقارير!$C$5="فصلي",Q1700=التقارير!$C$7))),1,0))</f>
        <v/>
      </c>
      <c r="T1700" s="20">
        <f>IF(S1700=1,COUNTIF($S$5:S1700,1),"")</f>
        <v/>
      </c>
      <c r="U1700">
        <f>IF(AND($A1700&lt;&gt;"",$B1700&lt;&gt;"",$R1700='تقرير الفصل الأول'!$C$4,$Q1700='تقرير الفصل الأول'!$C$7),COUNT(U$4:U1699)+1,"")</f>
        <v/>
      </c>
      <c r="V1700">
        <f>IF(AND($A1700&lt;&gt;"",$B1700&lt;&gt;"",$R1700='تقرير الفصل الثاني'!$C$4,$Q1700='تقرير الفصل الثاني'!$C$7),COUNT(V$4:V1699)+1,"")</f>
        <v/>
      </c>
      <c r="W1700">
        <f>IF(AND($A1700&lt;&gt;"",$B1700&lt;&gt;"",$R1700='تقرير سبتمبر'!$C$4,$P1700='تقرير سبتمبر'!$C$6),COUNT(W$4:W1699)+1,"")</f>
        <v/>
      </c>
      <c r="X1700">
        <f>IF(AND($A1700&lt;&gt;"",$B1700&lt;&gt;"",$R1700='تقرير أكتوبر'!$C$4,$P1700='تقرير أكتوبر'!$C$6),COUNT(X$4:X1699)+1,"")</f>
        <v/>
      </c>
      <c r="Y1700">
        <f>IF(AND($A1700&lt;&gt;"",$B1700&lt;&gt;"",$R1700='تقرير نوفمبر'!$C$4,$P1700='تقرير نوفمبر'!$C$6),COUNT(Y$4:Y1699)+1,"")</f>
        <v/>
      </c>
      <c r="Z1700">
        <f>IF(AND($A1700&lt;&gt;"",$B1700&lt;&gt;"",$R1700='تقرير ديسمبر'!$C$4,$P1700='تقرير ديسمبر'!$C$6),COUNT(Z$4:Z1699)+1,"")</f>
        <v/>
      </c>
      <c r="AA1700">
        <f>IF(AND($A1700&lt;&gt;"",$B1700&lt;&gt;"",$R1700='تقرير يناير'!$C$4,$P1700='تقرير يناير'!$C$6),COUNT(AA$4:AA1699)+1,"")</f>
        <v/>
      </c>
      <c r="AB1700">
        <f>IF(AND($A1700&lt;&gt;"",$B1700&lt;&gt;"",$R1700='تقرير فبراير'!$C$4,$P1700='تقرير فبراير'!$C$6),COUNT(AB$4:AB1699)+1,"")</f>
        <v/>
      </c>
      <c r="AC1700">
        <f>IF(AND($A1700&lt;&gt;"",$B1700&lt;&gt;"",$R1700='تقرير مارس'!$C$4,$P1700='تقرير مارس'!$C$6),COUNT(AC$4:AC1699)+1,"")</f>
        <v/>
      </c>
      <c r="AD1700">
        <f>IF(AND($A1700&lt;&gt;"",$B1700&lt;&gt;"",$R1700='تقرير أبريل'!$C$4,$P1700='تقرير أبريل'!$C$6),COUNT(AD$4:AD1699)+1,"")</f>
        <v/>
      </c>
      <c r="AE1700">
        <f>IF(AND($A1700&lt;&gt;"",$B1700&lt;&gt;"",$R1700='تقرير مايو'!$C$4,$P1700='تقرير مايو'!$C$6),COUNT(AE$4:AE1699)+1,"")</f>
        <v/>
      </c>
    </row>
    <row r="1701">
      <c r="A1701" s="16" t="n"/>
      <c r="B1701" s="17" t="n"/>
      <c r="C1701" s="17" t="n"/>
      <c r="D1701" s="18" t="n"/>
      <c r="E1701" s="17" t="n"/>
      <c r="F1701" s="17" t="n"/>
      <c r="G1701" s="19" t="n"/>
      <c r="H1701" s="17" t="n"/>
      <c r="I1701" s="17" t="n"/>
      <c r="J1701" s="17" t="n"/>
      <c r="K1701" s="20">
        <f>IF($B1701="","",IFERROR(INDEX(الموظفات!$A$5:$A$304,MATCH($B1701,الموظفات!$B$5:$B$304,0))&amp;"",""))</f>
        <v/>
      </c>
      <c r="L1701" s="21">
        <f>IF($B1701="","",IFERROR(INDEX(الموظفات!$C$5:$C$304,MATCH($B1701,الموظفات!$B$5:$B$304,0))&amp;"",""))</f>
        <v/>
      </c>
      <c r="M1701" s="20">
        <f>IF($B1701="","",IFERROR(INDEX(الموظفات!$D$5:$D$304,MATCH($B1701,الموظفات!$B$5:$B$304,0))&amp;"",""))</f>
        <v/>
      </c>
      <c r="N1701" s="20">
        <f>IF($B1701="","",IFERROR(INDEX(الموظفات!$E$5:$E$304,MATCH($B1701,الموظفات!$B$5:$B$304,0))&amp;"",""))</f>
        <v/>
      </c>
      <c r="O1701" s="21">
        <f>IF(C1701="","",IFERROR(INDEX(الإعدادات!$D$7:$D$35,MATCH(C1701,الإعدادات!$A$7:$A$35,0))&amp;"",""))</f>
        <v/>
      </c>
      <c r="P1701" s="20">
        <f>IF(A1701="","",INDEX(الإعدادات!$H$7:$H$18,MONTH(A1701)))</f>
        <v/>
      </c>
      <c r="Q1701" s="20">
        <f>IF(A1701="","",INDEX(الإعدادات!$I$7:$I$18,MONTH(A1701)))</f>
        <v/>
      </c>
      <c r="R1701" s="20">
        <f>IF(A1701="","",IF(MONTH(A1701)&gt;=8,YEAR(A1701)&amp;"-"&amp;(YEAR(A1701)+1),(YEAR(A1701)-1)&amp;"-"&amp;YEAR(A1701)))</f>
        <v/>
      </c>
      <c r="S1701" s="20">
        <f>IF(OR(A1701="",B1701=""),0,IF(AND(R1701=التقارير!$C$4,OR(التقارير!$C$5="سنوي",AND(التقارير!$C$5="شهري",P1701=التقارير!$C$6),AND(التقارير!$C$5="فصلي",Q1701=التقارير!$C$7))),1,0))</f>
        <v/>
      </c>
      <c r="T1701" s="20">
        <f>IF(S1701=1,COUNTIF($S$5:S1701,1),"")</f>
        <v/>
      </c>
      <c r="U1701">
        <f>IF(AND($A1701&lt;&gt;"",$B1701&lt;&gt;"",$R1701='تقرير الفصل الأول'!$C$4,$Q1701='تقرير الفصل الأول'!$C$7),COUNT(U$4:U1700)+1,"")</f>
        <v/>
      </c>
      <c r="V1701">
        <f>IF(AND($A1701&lt;&gt;"",$B1701&lt;&gt;"",$R1701='تقرير الفصل الثاني'!$C$4,$Q1701='تقرير الفصل الثاني'!$C$7),COUNT(V$4:V1700)+1,"")</f>
        <v/>
      </c>
      <c r="W1701">
        <f>IF(AND($A1701&lt;&gt;"",$B1701&lt;&gt;"",$R1701='تقرير سبتمبر'!$C$4,$P1701='تقرير سبتمبر'!$C$6),COUNT(W$4:W1700)+1,"")</f>
        <v/>
      </c>
      <c r="X1701">
        <f>IF(AND($A1701&lt;&gt;"",$B1701&lt;&gt;"",$R1701='تقرير أكتوبر'!$C$4,$P1701='تقرير أكتوبر'!$C$6),COUNT(X$4:X1700)+1,"")</f>
        <v/>
      </c>
      <c r="Y1701">
        <f>IF(AND($A1701&lt;&gt;"",$B1701&lt;&gt;"",$R1701='تقرير نوفمبر'!$C$4,$P1701='تقرير نوفمبر'!$C$6),COUNT(Y$4:Y1700)+1,"")</f>
        <v/>
      </c>
      <c r="Z1701">
        <f>IF(AND($A1701&lt;&gt;"",$B1701&lt;&gt;"",$R1701='تقرير ديسمبر'!$C$4,$P1701='تقرير ديسمبر'!$C$6),COUNT(Z$4:Z1700)+1,"")</f>
        <v/>
      </c>
      <c r="AA1701">
        <f>IF(AND($A1701&lt;&gt;"",$B1701&lt;&gt;"",$R1701='تقرير يناير'!$C$4,$P1701='تقرير يناير'!$C$6),COUNT(AA$4:AA1700)+1,"")</f>
        <v/>
      </c>
      <c r="AB1701">
        <f>IF(AND($A1701&lt;&gt;"",$B1701&lt;&gt;"",$R1701='تقرير فبراير'!$C$4,$P1701='تقرير فبراير'!$C$6),COUNT(AB$4:AB1700)+1,"")</f>
        <v/>
      </c>
      <c r="AC1701">
        <f>IF(AND($A1701&lt;&gt;"",$B1701&lt;&gt;"",$R1701='تقرير مارس'!$C$4,$P1701='تقرير مارس'!$C$6),COUNT(AC$4:AC1700)+1,"")</f>
        <v/>
      </c>
      <c r="AD1701">
        <f>IF(AND($A1701&lt;&gt;"",$B1701&lt;&gt;"",$R1701='تقرير أبريل'!$C$4,$P1701='تقرير أبريل'!$C$6),COUNT(AD$4:AD1700)+1,"")</f>
        <v/>
      </c>
      <c r="AE1701">
        <f>IF(AND($A1701&lt;&gt;"",$B1701&lt;&gt;"",$R1701='تقرير مايو'!$C$4,$P1701='تقرير مايو'!$C$6),COUNT(AE$4:AE1700)+1,"")</f>
        <v/>
      </c>
    </row>
    <row r="1702">
      <c r="A1702" s="16" t="n"/>
      <c r="B1702" s="17" t="n"/>
      <c r="C1702" s="17" t="n"/>
      <c r="D1702" s="18" t="n"/>
      <c r="E1702" s="17" t="n"/>
      <c r="F1702" s="17" t="n"/>
      <c r="G1702" s="19" t="n"/>
      <c r="H1702" s="17" t="n"/>
      <c r="I1702" s="17" t="n"/>
      <c r="J1702" s="17" t="n"/>
      <c r="K1702" s="20">
        <f>IF($B1702="","",IFERROR(INDEX(الموظفات!$A$5:$A$304,MATCH($B1702,الموظفات!$B$5:$B$304,0))&amp;"",""))</f>
        <v/>
      </c>
      <c r="L1702" s="21">
        <f>IF($B1702="","",IFERROR(INDEX(الموظفات!$C$5:$C$304,MATCH($B1702,الموظفات!$B$5:$B$304,0))&amp;"",""))</f>
        <v/>
      </c>
      <c r="M1702" s="20">
        <f>IF($B1702="","",IFERROR(INDEX(الموظفات!$D$5:$D$304,MATCH($B1702,الموظفات!$B$5:$B$304,0))&amp;"",""))</f>
        <v/>
      </c>
      <c r="N1702" s="20">
        <f>IF($B1702="","",IFERROR(INDEX(الموظفات!$E$5:$E$304,MATCH($B1702,الموظفات!$B$5:$B$304,0))&amp;"",""))</f>
        <v/>
      </c>
      <c r="O1702" s="21">
        <f>IF(C1702="","",IFERROR(INDEX(الإعدادات!$D$7:$D$35,MATCH(C1702,الإعدادات!$A$7:$A$35,0))&amp;"",""))</f>
        <v/>
      </c>
      <c r="P1702" s="20">
        <f>IF(A1702="","",INDEX(الإعدادات!$H$7:$H$18,MONTH(A1702)))</f>
        <v/>
      </c>
      <c r="Q1702" s="20">
        <f>IF(A1702="","",INDEX(الإعدادات!$I$7:$I$18,MONTH(A1702)))</f>
        <v/>
      </c>
      <c r="R1702" s="20">
        <f>IF(A1702="","",IF(MONTH(A1702)&gt;=8,YEAR(A1702)&amp;"-"&amp;(YEAR(A1702)+1),(YEAR(A1702)-1)&amp;"-"&amp;YEAR(A1702)))</f>
        <v/>
      </c>
      <c r="S1702" s="20">
        <f>IF(OR(A1702="",B1702=""),0,IF(AND(R1702=التقارير!$C$4,OR(التقارير!$C$5="سنوي",AND(التقارير!$C$5="شهري",P1702=التقارير!$C$6),AND(التقارير!$C$5="فصلي",Q1702=التقارير!$C$7))),1,0))</f>
        <v/>
      </c>
      <c r="T1702" s="20">
        <f>IF(S1702=1,COUNTIF($S$5:S1702,1),"")</f>
        <v/>
      </c>
      <c r="U1702">
        <f>IF(AND($A1702&lt;&gt;"",$B1702&lt;&gt;"",$R1702='تقرير الفصل الأول'!$C$4,$Q1702='تقرير الفصل الأول'!$C$7),COUNT(U$4:U1701)+1,"")</f>
        <v/>
      </c>
      <c r="V1702">
        <f>IF(AND($A1702&lt;&gt;"",$B1702&lt;&gt;"",$R1702='تقرير الفصل الثاني'!$C$4,$Q1702='تقرير الفصل الثاني'!$C$7),COUNT(V$4:V1701)+1,"")</f>
        <v/>
      </c>
      <c r="W1702">
        <f>IF(AND($A1702&lt;&gt;"",$B1702&lt;&gt;"",$R1702='تقرير سبتمبر'!$C$4,$P1702='تقرير سبتمبر'!$C$6),COUNT(W$4:W1701)+1,"")</f>
        <v/>
      </c>
      <c r="X1702">
        <f>IF(AND($A1702&lt;&gt;"",$B1702&lt;&gt;"",$R1702='تقرير أكتوبر'!$C$4,$P1702='تقرير أكتوبر'!$C$6),COUNT(X$4:X1701)+1,"")</f>
        <v/>
      </c>
      <c r="Y1702">
        <f>IF(AND($A1702&lt;&gt;"",$B1702&lt;&gt;"",$R1702='تقرير نوفمبر'!$C$4,$P1702='تقرير نوفمبر'!$C$6),COUNT(Y$4:Y1701)+1,"")</f>
        <v/>
      </c>
      <c r="Z1702">
        <f>IF(AND($A1702&lt;&gt;"",$B1702&lt;&gt;"",$R1702='تقرير ديسمبر'!$C$4,$P1702='تقرير ديسمبر'!$C$6),COUNT(Z$4:Z1701)+1,"")</f>
        <v/>
      </c>
      <c r="AA1702">
        <f>IF(AND($A1702&lt;&gt;"",$B1702&lt;&gt;"",$R1702='تقرير يناير'!$C$4,$P1702='تقرير يناير'!$C$6),COUNT(AA$4:AA1701)+1,"")</f>
        <v/>
      </c>
      <c r="AB1702">
        <f>IF(AND($A1702&lt;&gt;"",$B1702&lt;&gt;"",$R1702='تقرير فبراير'!$C$4,$P1702='تقرير فبراير'!$C$6),COUNT(AB$4:AB1701)+1,"")</f>
        <v/>
      </c>
      <c r="AC1702">
        <f>IF(AND($A1702&lt;&gt;"",$B1702&lt;&gt;"",$R1702='تقرير مارس'!$C$4,$P1702='تقرير مارس'!$C$6),COUNT(AC$4:AC1701)+1,"")</f>
        <v/>
      </c>
      <c r="AD1702">
        <f>IF(AND($A1702&lt;&gt;"",$B1702&lt;&gt;"",$R1702='تقرير أبريل'!$C$4,$P1702='تقرير أبريل'!$C$6),COUNT(AD$4:AD1701)+1,"")</f>
        <v/>
      </c>
      <c r="AE1702">
        <f>IF(AND($A1702&lt;&gt;"",$B1702&lt;&gt;"",$R1702='تقرير مايو'!$C$4,$P1702='تقرير مايو'!$C$6),COUNT(AE$4:AE1701)+1,"")</f>
        <v/>
      </c>
    </row>
    <row r="1703">
      <c r="A1703" s="16" t="n"/>
      <c r="B1703" s="17" t="n"/>
      <c r="C1703" s="17" t="n"/>
      <c r="D1703" s="18" t="n"/>
      <c r="E1703" s="17" t="n"/>
      <c r="F1703" s="17" t="n"/>
      <c r="G1703" s="19" t="n"/>
      <c r="H1703" s="17" t="n"/>
      <c r="I1703" s="17" t="n"/>
      <c r="J1703" s="17" t="n"/>
      <c r="K1703" s="20">
        <f>IF($B1703="","",IFERROR(INDEX(الموظفات!$A$5:$A$304,MATCH($B1703,الموظفات!$B$5:$B$304,0))&amp;"",""))</f>
        <v/>
      </c>
      <c r="L1703" s="21">
        <f>IF($B1703="","",IFERROR(INDEX(الموظفات!$C$5:$C$304,MATCH($B1703,الموظفات!$B$5:$B$304,0))&amp;"",""))</f>
        <v/>
      </c>
      <c r="M1703" s="20">
        <f>IF($B1703="","",IFERROR(INDEX(الموظفات!$D$5:$D$304,MATCH($B1703,الموظفات!$B$5:$B$304,0))&amp;"",""))</f>
        <v/>
      </c>
      <c r="N1703" s="20">
        <f>IF($B1703="","",IFERROR(INDEX(الموظفات!$E$5:$E$304,MATCH($B1703,الموظفات!$B$5:$B$304,0))&amp;"",""))</f>
        <v/>
      </c>
      <c r="O1703" s="21">
        <f>IF(C1703="","",IFERROR(INDEX(الإعدادات!$D$7:$D$35,MATCH(C1703,الإعدادات!$A$7:$A$35,0))&amp;"",""))</f>
        <v/>
      </c>
      <c r="P1703" s="20">
        <f>IF(A1703="","",INDEX(الإعدادات!$H$7:$H$18,MONTH(A1703)))</f>
        <v/>
      </c>
      <c r="Q1703" s="20">
        <f>IF(A1703="","",INDEX(الإعدادات!$I$7:$I$18,MONTH(A1703)))</f>
        <v/>
      </c>
      <c r="R1703" s="20">
        <f>IF(A1703="","",IF(MONTH(A1703)&gt;=8,YEAR(A1703)&amp;"-"&amp;(YEAR(A1703)+1),(YEAR(A1703)-1)&amp;"-"&amp;YEAR(A1703)))</f>
        <v/>
      </c>
      <c r="S1703" s="20">
        <f>IF(OR(A1703="",B1703=""),0,IF(AND(R1703=التقارير!$C$4,OR(التقارير!$C$5="سنوي",AND(التقارير!$C$5="شهري",P1703=التقارير!$C$6),AND(التقارير!$C$5="فصلي",Q1703=التقارير!$C$7))),1,0))</f>
        <v/>
      </c>
      <c r="T1703" s="20">
        <f>IF(S1703=1,COUNTIF($S$5:S1703,1),"")</f>
        <v/>
      </c>
      <c r="U1703">
        <f>IF(AND($A1703&lt;&gt;"",$B1703&lt;&gt;"",$R1703='تقرير الفصل الأول'!$C$4,$Q1703='تقرير الفصل الأول'!$C$7),COUNT(U$4:U1702)+1,"")</f>
        <v/>
      </c>
      <c r="V1703">
        <f>IF(AND($A1703&lt;&gt;"",$B1703&lt;&gt;"",$R1703='تقرير الفصل الثاني'!$C$4,$Q1703='تقرير الفصل الثاني'!$C$7),COUNT(V$4:V1702)+1,"")</f>
        <v/>
      </c>
      <c r="W1703">
        <f>IF(AND($A1703&lt;&gt;"",$B1703&lt;&gt;"",$R1703='تقرير سبتمبر'!$C$4,$P1703='تقرير سبتمبر'!$C$6),COUNT(W$4:W1702)+1,"")</f>
        <v/>
      </c>
      <c r="X1703">
        <f>IF(AND($A1703&lt;&gt;"",$B1703&lt;&gt;"",$R1703='تقرير أكتوبر'!$C$4,$P1703='تقرير أكتوبر'!$C$6),COUNT(X$4:X1702)+1,"")</f>
        <v/>
      </c>
      <c r="Y1703">
        <f>IF(AND($A1703&lt;&gt;"",$B1703&lt;&gt;"",$R1703='تقرير نوفمبر'!$C$4,$P1703='تقرير نوفمبر'!$C$6),COUNT(Y$4:Y1702)+1,"")</f>
        <v/>
      </c>
      <c r="Z1703">
        <f>IF(AND($A1703&lt;&gt;"",$B1703&lt;&gt;"",$R1703='تقرير ديسمبر'!$C$4,$P1703='تقرير ديسمبر'!$C$6),COUNT(Z$4:Z1702)+1,"")</f>
        <v/>
      </c>
      <c r="AA1703">
        <f>IF(AND($A1703&lt;&gt;"",$B1703&lt;&gt;"",$R1703='تقرير يناير'!$C$4,$P1703='تقرير يناير'!$C$6),COUNT(AA$4:AA1702)+1,"")</f>
        <v/>
      </c>
      <c r="AB1703">
        <f>IF(AND($A1703&lt;&gt;"",$B1703&lt;&gt;"",$R1703='تقرير فبراير'!$C$4,$P1703='تقرير فبراير'!$C$6),COUNT(AB$4:AB1702)+1,"")</f>
        <v/>
      </c>
      <c r="AC1703">
        <f>IF(AND($A1703&lt;&gt;"",$B1703&lt;&gt;"",$R1703='تقرير مارس'!$C$4,$P1703='تقرير مارس'!$C$6),COUNT(AC$4:AC1702)+1,"")</f>
        <v/>
      </c>
      <c r="AD1703">
        <f>IF(AND($A1703&lt;&gt;"",$B1703&lt;&gt;"",$R1703='تقرير أبريل'!$C$4,$P1703='تقرير أبريل'!$C$6),COUNT(AD$4:AD1702)+1,"")</f>
        <v/>
      </c>
      <c r="AE1703">
        <f>IF(AND($A1703&lt;&gt;"",$B1703&lt;&gt;"",$R1703='تقرير مايو'!$C$4,$P1703='تقرير مايو'!$C$6),COUNT(AE$4:AE1702)+1,"")</f>
        <v/>
      </c>
    </row>
    <row r="1704">
      <c r="A1704" s="16" t="n"/>
      <c r="B1704" s="17" t="n"/>
      <c r="C1704" s="17" t="n"/>
      <c r="D1704" s="18" t="n"/>
      <c r="E1704" s="17" t="n"/>
      <c r="F1704" s="17" t="n"/>
      <c r="G1704" s="19" t="n"/>
      <c r="H1704" s="17" t="n"/>
      <c r="I1704" s="17" t="n"/>
      <c r="J1704" s="17" t="n"/>
      <c r="K1704" s="20">
        <f>IF($B1704="","",IFERROR(INDEX(الموظفات!$A$5:$A$304,MATCH($B1704,الموظفات!$B$5:$B$304,0))&amp;"",""))</f>
        <v/>
      </c>
      <c r="L1704" s="21">
        <f>IF($B1704="","",IFERROR(INDEX(الموظفات!$C$5:$C$304,MATCH($B1704,الموظفات!$B$5:$B$304,0))&amp;"",""))</f>
        <v/>
      </c>
      <c r="M1704" s="20">
        <f>IF($B1704="","",IFERROR(INDEX(الموظفات!$D$5:$D$304,MATCH($B1704,الموظفات!$B$5:$B$304,0))&amp;"",""))</f>
        <v/>
      </c>
      <c r="N1704" s="20">
        <f>IF($B1704="","",IFERROR(INDEX(الموظفات!$E$5:$E$304,MATCH($B1704,الموظفات!$B$5:$B$304,0))&amp;"",""))</f>
        <v/>
      </c>
      <c r="O1704" s="21">
        <f>IF(C1704="","",IFERROR(INDEX(الإعدادات!$D$7:$D$35,MATCH(C1704,الإعدادات!$A$7:$A$35,0))&amp;"",""))</f>
        <v/>
      </c>
      <c r="P1704" s="20">
        <f>IF(A1704="","",INDEX(الإعدادات!$H$7:$H$18,MONTH(A1704)))</f>
        <v/>
      </c>
      <c r="Q1704" s="20">
        <f>IF(A1704="","",INDEX(الإعدادات!$I$7:$I$18,MONTH(A1704)))</f>
        <v/>
      </c>
      <c r="R1704" s="20">
        <f>IF(A1704="","",IF(MONTH(A1704)&gt;=8,YEAR(A1704)&amp;"-"&amp;(YEAR(A1704)+1),(YEAR(A1704)-1)&amp;"-"&amp;YEAR(A1704)))</f>
        <v/>
      </c>
      <c r="S1704" s="20">
        <f>IF(OR(A1704="",B1704=""),0,IF(AND(R1704=التقارير!$C$4,OR(التقارير!$C$5="سنوي",AND(التقارير!$C$5="شهري",P1704=التقارير!$C$6),AND(التقارير!$C$5="فصلي",Q1704=التقارير!$C$7))),1,0))</f>
        <v/>
      </c>
      <c r="T1704" s="20">
        <f>IF(S1704=1,COUNTIF($S$5:S1704,1),"")</f>
        <v/>
      </c>
      <c r="U1704">
        <f>IF(AND($A1704&lt;&gt;"",$B1704&lt;&gt;"",$R1704='تقرير الفصل الأول'!$C$4,$Q1704='تقرير الفصل الأول'!$C$7),COUNT(U$4:U1703)+1,"")</f>
        <v/>
      </c>
      <c r="V1704">
        <f>IF(AND($A1704&lt;&gt;"",$B1704&lt;&gt;"",$R1704='تقرير الفصل الثاني'!$C$4,$Q1704='تقرير الفصل الثاني'!$C$7),COUNT(V$4:V1703)+1,"")</f>
        <v/>
      </c>
      <c r="W1704">
        <f>IF(AND($A1704&lt;&gt;"",$B1704&lt;&gt;"",$R1704='تقرير سبتمبر'!$C$4,$P1704='تقرير سبتمبر'!$C$6),COUNT(W$4:W1703)+1,"")</f>
        <v/>
      </c>
      <c r="X1704">
        <f>IF(AND($A1704&lt;&gt;"",$B1704&lt;&gt;"",$R1704='تقرير أكتوبر'!$C$4,$P1704='تقرير أكتوبر'!$C$6),COUNT(X$4:X1703)+1,"")</f>
        <v/>
      </c>
      <c r="Y1704">
        <f>IF(AND($A1704&lt;&gt;"",$B1704&lt;&gt;"",$R1704='تقرير نوفمبر'!$C$4,$P1704='تقرير نوفمبر'!$C$6),COUNT(Y$4:Y1703)+1,"")</f>
        <v/>
      </c>
      <c r="Z1704">
        <f>IF(AND($A1704&lt;&gt;"",$B1704&lt;&gt;"",$R1704='تقرير ديسمبر'!$C$4,$P1704='تقرير ديسمبر'!$C$6),COUNT(Z$4:Z1703)+1,"")</f>
        <v/>
      </c>
      <c r="AA1704">
        <f>IF(AND($A1704&lt;&gt;"",$B1704&lt;&gt;"",$R1704='تقرير يناير'!$C$4,$P1704='تقرير يناير'!$C$6),COUNT(AA$4:AA1703)+1,"")</f>
        <v/>
      </c>
      <c r="AB1704">
        <f>IF(AND($A1704&lt;&gt;"",$B1704&lt;&gt;"",$R1704='تقرير فبراير'!$C$4,$P1704='تقرير فبراير'!$C$6),COUNT(AB$4:AB1703)+1,"")</f>
        <v/>
      </c>
      <c r="AC1704">
        <f>IF(AND($A1704&lt;&gt;"",$B1704&lt;&gt;"",$R1704='تقرير مارس'!$C$4,$P1704='تقرير مارس'!$C$6),COUNT(AC$4:AC1703)+1,"")</f>
        <v/>
      </c>
      <c r="AD1704">
        <f>IF(AND($A1704&lt;&gt;"",$B1704&lt;&gt;"",$R1704='تقرير أبريل'!$C$4,$P1704='تقرير أبريل'!$C$6),COUNT(AD$4:AD1703)+1,"")</f>
        <v/>
      </c>
      <c r="AE1704">
        <f>IF(AND($A1704&lt;&gt;"",$B1704&lt;&gt;"",$R1704='تقرير مايو'!$C$4,$P1704='تقرير مايو'!$C$6),COUNT(AE$4:AE1703)+1,"")</f>
        <v/>
      </c>
    </row>
    <row r="1705">
      <c r="A1705" s="16" t="n"/>
      <c r="B1705" s="17" t="n"/>
      <c r="C1705" s="17" t="n"/>
      <c r="D1705" s="18" t="n"/>
      <c r="E1705" s="17" t="n"/>
      <c r="F1705" s="17" t="n"/>
      <c r="G1705" s="19" t="n"/>
      <c r="H1705" s="17" t="n"/>
      <c r="I1705" s="17" t="n"/>
      <c r="J1705" s="17" t="n"/>
      <c r="K1705" s="20">
        <f>IF($B1705="","",IFERROR(INDEX(الموظفات!$A$5:$A$304,MATCH($B1705,الموظفات!$B$5:$B$304,0))&amp;"",""))</f>
        <v/>
      </c>
      <c r="L1705" s="21">
        <f>IF($B1705="","",IFERROR(INDEX(الموظفات!$C$5:$C$304,MATCH($B1705,الموظفات!$B$5:$B$304,0))&amp;"",""))</f>
        <v/>
      </c>
      <c r="M1705" s="20">
        <f>IF($B1705="","",IFERROR(INDEX(الموظفات!$D$5:$D$304,MATCH($B1705,الموظفات!$B$5:$B$304,0))&amp;"",""))</f>
        <v/>
      </c>
      <c r="N1705" s="20">
        <f>IF($B1705="","",IFERROR(INDEX(الموظفات!$E$5:$E$304,MATCH($B1705,الموظفات!$B$5:$B$304,0))&amp;"",""))</f>
        <v/>
      </c>
      <c r="O1705" s="21">
        <f>IF(C1705="","",IFERROR(INDEX(الإعدادات!$D$7:$D$35,MATCH(C1705,الإعدادات!$A$7:$A$35,0))&amp;"",""))</f>
        <v/>
      </c>
      <c r="P1705" s="20">
        <f>IF(A1705="","",INDEX(الإعدادات!$H$7:$H$18,MONTH(A1705)))</f>
        <v/>
      </c>
      <c r="Q1705" s="20">
        <f>IF(A1705="","",INDEX(الإعدادات!$I$7:$I$18,MONTH(A1705)))</f>
        <v/>
      </c>
      <c r="R1705" s="20">
        <f>IF(A1705="","",IF(MONTH(A1705)&gt;=8,YEAR(A1705)&amp;"-"&amp;(YEAR(A1705)+1),(YEAR(A1705)-1)&amp;"-"&amp;YEAR(A1705)))</f>
        <v/>
      </c>
      <c r="S1705" s="20">
        <f>IF(OR(A1705="",B1705=""),0,IF(AND(R1705=التقارير!$C$4,OR(التقارير!$C$5="سنوي",AND(التقارير!$C$5="شهري",P1705=التقارير!$C$6),AND(التقارير!$C$5="فصلي",Q1705=التقارير!$C$7))),1,0))</f>
        <v/>
      </c>
      <c r="T1705" s="20">
        <f>IF(S1705=1,COUNTIF($S$5:S1705,1),"")</f>
        <v/>
      </c>
      <c r="U1705">
        <f>IF(AND($A1705&lt;&gt;"",$B1705&lt;&gt;"",$R1705='تقرير الفصل الأول'!$C$4,$Q1705='تقرير الفصل الأول'!$C$7),COUNT(U$4:U1704)+1,"")</f>
        <v/>
      </c>
      <c r="V1705">
        <f>IF(AND($A1705&lt;&gt;"",$B1705&lt;&gt;"",$R1705='تقرير الفصل الثاني'!$C$4,$Q1705='تقرير الفصل الثاني'!$C$7),COUNT(V$4:V1704)+1,"")</f>
        <v/>
      </c>
      <c r="W1705">
        <f>IF(AND($A1705&lt;&gt;"",$B1705&lt;&gt;"",$R1705='تقرير سبتمبر'!$C$4,$P1705='تقرير سبتمبر'!$C$6),COUNT(W$4:W1704)+1,"")</f>
        <v/>
      </c>
      <c r="X1705">
        <f>IF(AND($A1705&lt;&gt;"",$B1705&lt;&gt;"",$R1705='تقرير أكتوبر'!$C$4,$P1705='تقرير أكتوبر'!$C$6),COUNT(X$4:X1704)+1,"")</f>
        <v/>
      </c>
      <c r="Y1705">
        <f>IF(AND($A1705&lt;&gt;"",$B1705&lt;&gt;"",$R1705='تقرير نوفمبر'!$C$4,$P1705='تقرير نوفمبر'!$C$6),COUNT(Y$4:Y1704)+1,"")</f>
        <v/>
      </c>
      <c r="Z1705">
        <f>IF(AND($A1705&lt;&gt;"",$B1705&lt;&gt;"",$R1705='تقرير ديسمبر'!$C$4,$P1705='تقرير ديسمبر'!$C$6),COUNT(Z$4:Z1704)+1,"")</f>
        <v/>
      </c>
      <c r="AA1705">
        <f>IF(AND($A1705&lt;&gt;"",$B1705&lt;&gt;"",$R1705='تقرير يناير'!$C$4,$P1705='تقرير يناير'!$C$6),COUNT(AA$4:AA1704)+1,"")</f>
        <v/>
      </c>
      <c r="AB1705">
        <f>IF(AND($A1705&lt;&gt;"",$B1705&lt;&gt;"",$R1705='تقرير فبراير'!$C$4,$P1705='تقرير فبراير'!$C$6),COUNT(AB$4:AB1704)+1,"")</f>
        <v/>
      </c>
      <c r="AC1705">
        <f>IF(AND($A1705&lt;&gt;"",$B1705&lt;&gt;"",$R1705='تقرير مارس'!$C$4,$P1705='تقرير مارس'!$C$6),COUNT(AC$4:AC1704)+1,"")</f>
        <v/>
      </c>
      <c r="AD1705">
        <f>IF(AND($A1705&lt;&gt;"",$B1705&lt;&gt;"",$R1705='تقرير أبريل'!$C$4,$P1705='تقرير أبريل'!$C$6),COUNT(AD$4:AD1704)+1,"")</f>
        <v/>
      </c>
      <c r="AE1705">
        <f>IF(AND($A1705&lt;&gt;"",$B1705&lt;&gt;"",$R1705='تقرير مايو'!$C$4,$P1705='تقرير مايو'!$C$6),COUNT(AE$4:AE1704)+1,"")</f>
        <v/>
      </c>
    </row>
    <row r="1706">
      <c r="A1706" s="16" t="n"/>
      <c r="B1706" s="17" t="n"/>
      <c r="C1706" s="17" t="n"/>
      <c r="D1706" s="18" t="n"/>
      <c r="E1706" s="17" t="n"/>
      <c r="F1706" s="17" t="n"/>
      <c r="G1706" s="19" t="n"/>
      <c r="H1706" s="17" t="n"/>
      <c r="I1706" s="17" t="n"/>
      <c r="J1706" s="17" t="n"/>
      <c r="K1706" s="20">
        <f>IF($B1706="","",IFERROR(INDEX(الموظفات!$A$5:$A$304,MATCH($B1706,الموظفات!$B$5:$B$304,0))&amp;"",""))</f>
        <v/>
      </c>
      <c r="L1706" s="21">
        <f>IF($B1706="","",IFERROR(INDEX(الموظفات!$C$5:$C$304,MATCH($B1706,الموظفات!$B$5:$B$304,0))&amp;"",""))</f>
        <v/>
      </c>
      <c r="M1706" s="20">
        <f>IF($B1706="","",IFERROR(INDEX(الموظفات!$D$5:$D$304,MATCH($B1706,الموظفات!$B$5:$B$304,0))&amp;"",""))</f>
        <v/>
      </c>
      <c r="N1706" s="20">
        <f>IF($B1706="","",IFERROR(INDEX(الموظفات!$E$5:$E$304,MATCH($B1706,الموظفات!$B$5:$B$304,0))&amp;"",""))</f>
        <v/>
      </c>
      <c r="O1706" s="21">
        <f>IF(C1706="","",IFERROR(INDEX(الإعدادات!$D$7:$D$35,MATCH(C1706,الإعدادات!$A$7:$A$35,0))&amp;"",""))</f>
        <v/>
      </c>
      <c r="P1706" s="20">
        <f>IF(A1706="","",INDEX(الإعدادات!$H$7:$H$18,MONTH(A1706)))</f>
        <v/>
      </c>
      <c r="Q1706" s="20">
        <f>IF(A1706="","",INDEX(الإعدادات!$I$7:$I$18,MONTH(A1706)))</f>
        <v/>
      </c>
      <c r="R1706" s="20">
        <f>IF(A1706="","",IF(MONTH(A1706)&gt;=8,YEAR(A1706)&amp;"-"&amp;(YEAR(A1706)+1),(YEAR(A1706)-1)&amp;"-"&amp;YEAR(A1706)))</f>
        <v/>
      </c>
      <c r="S1706" s="20">
        <f>IF(OR(A1706="",B1706=""),0,IF(AND(R1706=التقارير!$C$4,OR(التقارير!$C$5="سنوي",AND(التقارير!$C$5="شهري",P1706=التقارير!$C$6),AND(التقارير!$C$5="فصلي",Q1706=التقارير!$C$7))),1,0))</f>
        <v/>
      </c>
      <c r="T1706" s="20">
        <f>IF(S1706=1,COUNTIF($S$5:S1706,1),"")</f>
        <v/>
      </c>
      <c r="U1706">
        <f>IF(AND($A1706&lt;&gt;"",$B1706&lt;&gt;"",$R1706='تقرير الفصل الأول'!$C$4,$Q1706='تقرير الفصل الأول'!$C$7),COUNT(U$4:U1705)+1,"")</f>
        <v/>
      </c>
      <c r="V1706">
        <f>IF(AND($A1706&lt;&gt;"",$B1706&lt;&gt;"",$R1706='تقرير الفصل الثاني'!$C$4,$Q1706='تقرير الفصل الثاني'!$C$7),COUNT(V$4:V1705)+1,"")</f>
        <v/>
      </c>
      <c r="W1706">
        <f>IF(AND($A1706&lt;&gt;"",$B1706&lt;&gt;"",$R1706='تقرير سبتمبر'!$C$4,$P1706='تقرير سبتمبر'!$C$6),COUNT(W$4:W1705)+1,"")</f>
        <v/>
      </c>
      <c r="X1706">
        <f>IF(AND($A1706&lt;&gt;"",$B1706&lt;&gt;"",$R1706='تقرير أكتوبر'!$C$4,$P1706='تقرير أكتوبر'!$C$6),COUNT(X$4:X1705)+1,"")</f>
        <v/>
      </c>
      <c r="Y1706">
        <f>IF(AND($A1706&lt;&gt;"",$B1706&lt;&gt;"",$R1706='تقرير نوفمبر'!$C$4,$P1706='تقرير نوفمبر'!$C$6),COUNT(Y$4:Y1705)+1,"")</f>
        <v/>
      </c>
      <c r="Z1706">
        <f>IF(AND($A1706&lt;&gt;"",$B1706&lt;&gt;"",$R1706='تقرير ديسمبر'!$C$4,$P1706='تقرير ديسمبر'!$C$6),COUNT(Z$4:Z1705)+1,"")</f>
        <v/>
      </c>
      <c r="AA1706">
        <f>IF(AND($A1706&lt;&gt;"",$B1706&lt;&gt;"",$R1706='تقرير يناير'!$C$4,$P1706='تقرير يناير'!$C$6),COUNT(AA$4:AA1705)+1,"")</f>
        <v/>
      </c>
      <c r="AB1706">
        <f>IF(AND($A1706&lt;&gt;"",$B1706&lt;&gt;"",$R1706='تقرير فبراير'!$C$4,$P1706='تقرير فبراير'!$C$6),COUNT(AB$4:AB1705)+1,"")</f>
        <v/>
      </c>
      <c r="AC1706">
        <f>IF(AND($A1706&lt;&gt;"",$B1706&lt;&gt;"",$R1706='تقرير مارس'!$C$4,$P1706='تقرير مارس'!$C$6),COUNT(AC$4:AC1705)+1,"")</f>
        <v/>
      </c>
      <c r="AD1706">
        <f>IF(AND($A1706&lt;&gt;"",$B1706&lt;&gt;"",$R1706='تقرير أبريل'!$C$4,$P1706='تقرير أبريل'!$C$6),COUNT(AD$4:AD1705)+1,"")</f>
        <v/>
      </c>
      <c r="AE1706">
        <f>IF(AND($A1706&lt;&gt;"",$B1706&lt;&gt;"",$R1706='تقرير مايو'!$C$4,$P1706='تقرير مايو'!$C$6),COUNT(AE$4:AE1705)+1,"")</f>
        <v/>
      </c>
    </row>
    <row r="1707">
      <c r="A1707" s="16" t="n"/>
      <c r="B1707" s="17" t="n"/>
      <c r="C1707" s="17" t="n"/>
      <c r="D1707" s="18" t="n"/>
      <c r="E1707" s="17" t="n"/>
      <c r="F1707" s="17" t="n"/>
      <c r="G1707" s="19" t="n"/>
      <c r="H1707" s="17" t="n"/>
      <c r="I1707" s="17" t="n"/>
      <c r="J1707" s="17" t="n"/>
      <c r="K1707" s="20">
        <f>IF($B1707="","",IFERROR(INDEX(الموظفات!$A$5:$A$304,MATCH($B1707,الموظفات!$B$5:$B$304,0))&amp;"",""))</f>
        <v/>
      </c>
      <c r="L1707" s="21">
        <f>IF($B1707="","",IFERROR(INDEX(الموظفات!$C$5:$C$304,MATCH($B1707,الموظفات!$B$5:$B$304,0))&amp;"",""))</f>
        <v/>
      </c>
      <c r="M1707" s="20">
        <f>IF($B1707="","",IFERROR(INDEX(الموظفات!$D$5:$D$304,MATCH($B1707,الموظفات!$B$5:$B$304,0))&amp;"",""))</f>
        <v/>
      </c>
      <c r="N1707" s="20">
        <f>IF($B1707="","",IFERROR(INDEX(الموظفات!$E$5:$E$304,MATCH($B1707,الموظفات!$B$5:$B$304,0))&amp;"",""))</f>
        <v/>
      </c>
      <c r="O1707" s="21">
        <f>IF(C1707="","",IFERROR(INDEX(الإعدادات!$D$7:$D$35,MATCH(C1707,الإعدادات!$A$7:$A$35,0))&amp;"",""))</f>
        <v/>
      </c>
      <c r="P1707" s="20">
        <f>IF(A1707="","",INDEX(الإعدادات!$H$7:$H$18,MONTH(A1707)))</f>
        <v/>
      </c>
      <c r="Q1707" s="20">
        <f>IF(A1707="","",INDEX(الإعدادات!$I$7:$I$18,MONTH(A1707)))</f>
        <v/>
      </c>
      <c r="R1707" s="20">
        <f>IF(A1707="","",IF(MONTH(A1707)&gt;=8,YEAR(A1707)&amp;"-"&amp;(YEAR(A1707)+1),(YEAR(A1707)-1)&amp;"-"&amp;YEAR(A1707)))</f>
        <v/>
      </c>
      <c r="S1707" s="20">
        <f>IF(OR(A1707="",B1707=""),0,IF(AND(R1707=التقارير!$C$4,OR(التقارير!$C$5="سنوي",AND(التقارير!$C$5="شهري",P1707=التقارير!$C$6),AND(التقارير!$C$5="فصلي",Q1707=التقارير!$C$7))),1,0))</f>
        <v/>
      </c>
      <c r="T1707" s="20">
        <f>IF(S1707=1,COUNTIF($S$5:S1707,1),"")</f>
        <v/>
      </c>
      <c r="U1707">
        <f>IF(AND($A1707&lt;&gt;"",$B1707&lt;&gt;"",$R1707='تقرير الفصل الأول'!$C$4,$Q1707='تقرير الفصل الأول'!$C$7),COUNT(U$4:U1706)+1,"")</f>
        <v/>
      </c>
      <c r="V1707">
        <f>IF(AND($A1707&lt;&gt;"",$B1707&lt;&gt;"",$R1707='تقرير الفصل الثاني'!$C$4,$Q1707='تقرير الفصل الثاني'!$C$7),COUNT(V$4:V1706)+1,"")</f>
        <v/>
      </c>
      <c r="W1707">
        <f>IF(AND($A1707&lt;&gt;"",$B1707&lt;&gt;"",$R1707='تقرير سبتمبر'!$C$4,$P1707='تقرير سبتمبر'!$C$6),COUNT(W$4:W1706)+1,"")</f>
        <v/>
      </c>
      <c r="X1707">
        <f>IF(AND($A1707&lt;&gt;"",$B1707&lt;&gt;"",$R1707='تقرير أكتوبر'!$C$4,$P1707='تقرير أكتوبر'!$C$6),COUNT(X$4:X1706)+1,"")</f>
        <v/>
      </c>
      <c r="Y1707">
        <f>IF(AND($A1707&lt;&gt;"",$B1707&lt;&gt;"",$R1707='تقرير نوفمبر'!$C$4,$P1707='تقرير نوفمبر'!$C$6),COUNT(Y$4:Y1706)+1,"")</f>
        <v/>
      </c>
      <c r="Z1707">
        <f>IF(AND($A1707&lt;&gt;"",$B1707&lt;&gt;"",$R1707='تقرير ديسمبر'!$C$4,$P1707='تقرير ديسمبر'!$C$6),COUNT(Z$4:Z1706)+1,"")</f>
        <v/>
      </c>
      <c r="AA1707">
        <f>IF(AND($A1707&lt;&gt;"",$B1707&lt;&gt;"",$R1707='تقرير يناير'!$C$4,$P1707='تقرير يناير'!$C$6),COUNT(AA$4:AA1706)+1,"")</f>
        <v/>
      </c>
      <c r="AB1707">
        <f>IF(AND($A1707&lt;&gt;"",$B1707&lt;&gt;"",$R1707='تقرير فبراير'!$C$4,$P1707='تقرير فبراير'!$C$6),COUNT(AB$4:AB1706)+1,"")</f>
        <v/>
      </c>
      <c r="AC1707">
        <f>IF(AND($A1707&lt;&gt;"",$B1707&lt;&gt;"",$R1707='تقرير مارس'!$C$4,$P1707='تقرير مارس'!$C$6),COUNT(AC$4:AC1706)+1,"")</f>
        <v/>
      </c>
      <c r="AD1707">
        <f>IF(AND($A1707&lt;&gt;"",$B1707&lt;&gt;"",$R1707='تقرير أبريل'!$C$4,$P1707='تقرير أبريل'!$C$6),COUNT(AD$4:AD1706)+1,"")</f>
        <v/>
      </c>
      <c r="AE1707">
        <f>IF(AND($A1707&lt;&gt;"",$B1707&lt;&gt;"",$R1707='تقرير مايو'!$C$4,$P1707='تقرير مايو'!$C$6),COUNT(AE$4:AE1706)+1,"")</f>
        <v/>
      </c>
    </row>
    <row r="1708">
      <c r="A1708" s="16" t="n"/>
      <c r="B1708" s="17" t="n"/>
      <c r="C1708" s="17" t="n"/>
      <c r="D1708" s="18" t="n"/>
      <c r="E1708" s="17" t="n"/>
      <c r="F1708" s="17" t="n"/>
      <c r="G1708" s="19" t="n"/>
      <c r="H1708" s="17" t="n"/>
      <c r="I1708" s="17" t="n"/>
      <c r="J1708" s="17" t="n"/>
      <c r="K1708" s="20">
        <f>IF($B1708="","",IFERROR(INDEX(الموظفات!$A$5:$A$304,MATCH($B1708,الموظفات!$B$5:$B$304,0))&amp;"",""))</f>
        <v/>
      </c>
      <c r="L1708" s="21">
        <f>IF($B1708="","",IFERROR(INDEX(الموظفات!$C$5:$C$304,MATCH($B1708,الموظفات!$B$5:$B$304,0))&amp;"",""))</f>
        <v/>
      </c>
      <c r="M1708" s="20">
        <f>IF($B1708="","",IFERROR(INDEX(الموظفات!$D$5:$D$304,MATCH($B1708,الموظفات!$B$5:$B$304,0))&amp;"",""))</f>
        <v/>
      </c>
      <c r="N1708" s="20">
        <f>IF($B1708="","",IFERROR(INDEX(الموظفات!$E$5:$E$304,MATCH($B1708,الموظفات!$B$5:$B$304,0))&amp;"",""))</f>
        <v/>
      </c>
      <c r="O1708" s="21">
        <f>IF(C1708="","",IFERROR(INDEX(الإعدادات!$D$7:$D$35,MATCH(C1708,الإعدادات!$A$7:$A$35,0))&amp;"",""))</f>
        <v/>
      </c>
      <c r="P1708" s="20">
        <f>IF(A1708="","",INDEX(الإعدادات!$H$7:$H$18,MONTH(A1708)))</f>
        <v/>
      </c>
      <c r="Q1708" s="20">
        <f>IF(A1708="","",INDEX(الإعدادات!$I$7:$I$18,MONTH(A1708)))</f>
        <v/>
      </c>
      <c r="R1708" s="20">
        <f>IF(A1708="","",IF(MONTH(A1708)&gt;=8,YEAR(A1708)&amp;"-"&amp;(YEAR(A1708)+1),(YEAR(A1708)-1)&amp;"-"&amp;YEAR(A1708)))</f>
        <v/>
      </c>
      <c r="S1708" s="20">
        <f>IF(OR(A1708="",B1708=""),0,IF(AND(R1708=التقارير!$C$4,OR(التقارير!$C$5="سنوي",AND(التقارير!$C$5="شهري",P1708=التقارير!$C$6),AND(التقارير!$C$5="فصلي",Q1708=التقارير!$C$7))),1,0))</f>
        <v/>
      </c>
      <c r="T1708" s="20">
        <f>IF(S1708=1,COUNTIF($S$5:S1708,1),"")</f>
        <v/>
      </c>
      <c r="U1708">
        <f>IF(AND($A1708&lt;&gt;"",$B1708&lt;&gt;"",$R1708='تقرير الفصل الأول'!$C$4,$Q1708='تقرير الفصل الأول'!$C$7),COUNT(U$4:U1707)+1,"")</f>
        <v/>
      </c>
      <c r="V1708">
        <f>IF(AND($A1708&lt;&gt;"",$B1708&lt;&gt;"",$R1708='تقرير الفصل الثاني'!$C$4,$Q1708='تقرير الفصل الثاني'!$C$7),COUNT(V$4:V1707)+1,"")</f>
        <v/>
      </c>
      <c r="W1708">
        <f>IF(AND($A1708&lt;&gt;"",$B1708&lt;&gt;"",$R1708='تقرير سبتمبر'!$C$4,$P1708='تقرير سبتمبر'!$C$6),COUNT(W$4:W1707)+1,"")</f>
        <v/>
      </c>
      <c r="X1708">
        <f>IF(AND($A1708&lt;&gt;"",$B1708&lt;&gt;"",$R1708='تقرير أكتوبر'!$C$4,$P1708='تقرير أكتوبر'!$C$6),COUNT(X$4:X1707)+1,"")</f>
        <v/>
      </c>
      <c r="Y1708">
        <f>IF(AND($A1708&lt;&gt;"",$B1708&lt;&gt;"",$R1708='تقرير نوفمبر'!$C$4,$P1708='تقرير نوفمبر'!$C$6),COUNT(Y$4:Y1707)+1,"")</f>
        <v/>
      </c>
      <c r="Z1708">
        <f>IF(AND($A1708&lt;&gt;"",$B1708&lt;&gt;"",$R1708='تقرير ديسمبر'!$C$4,$P1708='تقرير ديسمبر'!$C$6),COUNT(Z$4:Z1707)+1,"")</f>
        <v/>
      </c>
      <c r="AA1708">
        <f>IF(AND($A1708&lt;&gt;"",$B1708&lt;&gt;"",$R1708='تقرير يناير'!$C$4,$P1708='تقرير يناير'!$C$6),COUNT(AA$4:AA1707)+1,"")</f>
        <v/>
      </c>
      <c r="AB1708">
        <f>IF(AND($A1708&lt;&gt;"",$B1708&lt;&gt;"",$R1708='تقرير فبراير'!$C$4,$P1708='تقرير فبراير'!$C$6),COUNT(AB$4:AB1707)+1,"")</f>
        <v/>
      </c>
      <c r="AC1708">
        <f>IF(AND($A1708&lt;&gt;"",$B1708&lt;&gt;"",$R1708='تقرير مارس'!$C$4,$P1708='تقرير مارس'!$C$6),COUNT(AC$4:AC1707)+1,"")</f>
        <v/>
      </c>
      <c r="AD1708">
        <f>IF(AND($A1708&lt;&gt;"",$B1708&lt;&gt;"",$R1708='تقرير أبريل'!$C$4,$P1708='تقرير أبريل'!$C$6),COUNT(AD$4:AD1707)+1,"")</f>
        <v/>
      </c>
      <c r="AE1708">
        <f>IF(AND($A1708&lt;&gt;"",$B1708&lt;&gt;"",$R1708='تقرير مايو'!$C$4,$P1708='تقرير مايو'!$C$6),COUNT(AE$4:AE1707)+1,"")</f>
        <v/>
      </c>
    </row>
    <row r="1709">
      <c r="A1709" s="16" t="n"/>
      <c r="B1709" s="17" t="n"/>
      <c r="C1709" s="17" t="n"/>
      <c r="D1709" s="18" t="n"/>
      <c r="E1709" s="17" t="n"/>
      <c r="F1709" s="17" t="n"/>
      <c r="G1709" s="19" t="n"/>
      <c r="H1709" s="17" t="n"/>
      <c r="I1709" s="17" t="n"/>
      <c r="J1709" s="17" t="n"/>
      <c r="K1709" s="20">
        <f>IF($B1709="","",IFERROR(INDEX(الموظفات!$A$5:$A$304,MATCH($B1709,الموظفات!$B$5:$B$304,0))&amp;"",""))</f>
        <v/>
      </c>
      <c r="L1709" s="21">
        <f>IF($B1709="","",IFERROR(INDEX(الموظفات!$C$5:$C$304,MATCH($B1709,الموظفات!$B$5:$B$304,0))&amp;"",""))</f>
        <v/>
      </c>
      <c r="M1709" s="20">
        <f>IF($B1709="","",IFERROR(INDEX(الموظفات!$D$5:$D$304,MATCH($B1709,الموظفات!$B$5:$B$304,0))&amp;"",""))</f>
        <v/>
      </c>
      <c r="N1709" s="20">
        <f>IF($B1709="","",IFERROR(INDEX(الموظفات!$E$5:$E$304,MATCH($B1709,الموظفات!$B$5:$B$304,0))&amp;"",""))</f>
        <v/>
      </c>
      <c r="O1709" s="21">
        <f>IF(C1709="","",IFERROR(INDEX(الإعدادات!$D$7:$D$35,MATCH(C1709,الإعدادات!$A$7:$A$35,0))&amp;"",""))</f>
        <v/>
      </c>
      <c r="P1709" s="20">
        <f>IF(A1709="","",INDEX(الإعدادات!$H$7:$H$18,MONTH(A1709)))</f>
        <v/>
      </c>
      <c r="Q1709" s="20">
        <f>IF(A1709="","",INDEX(الإعدادات!$I$7:$I$18,MONTH(A1709)))</f>
        <v/>
      </c>
      <c r="R1709" s="20">
        <f>IF(A1709="","",IF(MONTH(A1709)&gt;=8,YEAR(A1709)&amp;"-"&amp;(YEAR(A1709)+1),(YEAR(A1709)-1)&amp;"-"&amp;YEAR(A1709)))</f>
        <v/>
      </c>
      <c r="S1709" s="20">
        <f>IF(OR(A1709="",B1709=""),0,IF(AND(R1709=التقارير!$C$4,OR(التقارير!$C$5="سنوي",AND(التقارير!$C$5="شهري",P1709=التقارير!$C$6),AND(التقارير!$C$5="فصلي",Q1709=التقارير!$C$7))),1,0))</f>
        <v/>
      </c>
      <c r="T1709" s="20">
        <f>IF(S1709=1,COUNTIF($S$5:S1709,1),"")</f>
        <v/>
      </c>
      <c r="U1709">
        <f>IF(AND($A1709&lt;&gt;"",$B1709&lt;&gt;"",$R1709='تقرير الفصل الأول'!$C$4,$Q1709='تقرير الفصل الأول'!$C$7),COUNT(U$4:U1708)+1,"")</f>
        <v/>
      </c>
      <c r="V1709">
        <f>IF(AND($A1709&lt;&gt;"",$B1709&lt;&gt;"",$R1709='تقرير الفصل الثاني'!$C$4,$Q1709='تقرير الفصل الثاني'!$C$7),COUNT(V$4:V1708)+1,"")</f>
        <v/>
      </c>
      <c r="W1709">
        <f>IF(AND($A1709&lt;&gt;"",$B1709&lt;&gt;"",$R1709='تقرير سبتمبر'!$C$4,$P1709='تقرير سبتمبر'!$C$6),COUNT(W$4:W1708)+1,"")</f>
        <v/>
      </c>
      <c r="X1709">
        <f>IF(AND($A1709&lt;&gt;"",$B1709&lt;&gt;"",$R1709='تقرير أكتوبر'!$C$4,$P1709='تقرير أكتوبر'!$C$6),COUNT(X$4:X1708)+1,"")</f>
        <v/>
      </c>
      <c r="Y1709">
        <f>IF(AND($A1709&lt;&gt;"",$B1709&lt;&gt;"",$R1709='تقرير نوفمبر'!$C$4,$P1709='تقرير نوفمبر'!$C$6),COUNT(Y$4:Y1708)+1,"")</f>
        <v/>
      </c>
      <c r="Z1709">
        <f>IF(AND($A1709&lt;&gt;"",$B1709&lt;&gt;"",$R1709='تقرير ديسمبر'!$C$4,$P1709='تقرير ديسمبر'!$C$6),COUNT(Z$4:Z1708)+1,"")</f>
        <v/>
      </c>
      <c r="AA1709">
        <f>IF(AND($A1709&lt;&gt;"",$B1709&lt;&gt;"",$R1709='تقرير يناير'!$C$4,$P1709='تقرير يناير'!$C$6),COUNT(AA$4:AA1708)+1,"")</f>
        <v/>
      </c>
      <c r="AB1709">
        <f>IF(AND($A1709&lt;&gt;"",$B1709&lt;&gt;"",$R1709='تقرير فبراير'!$C$4,$P1709='تقرير فبراير'!$C$6),COUNT(AB$4:AB1708)+1,"")</f>
        <v/>
      </c>
      <c r="AC1709">
        <f>IF(AND($A1709&lt;&gt;"",$B1709&lt;&gt;"",$R1709='تقرير مارس'!$C$4,$P1709='تقرير مارس'!$C$6),COUNT(AC$4:AC1708)+1,"")</f>
        <v/>
      </c>
      <c r="AD1709">
        <f>IF(AND($A1709&lt;&gt;"",$B1709&lt;&gt;"",$R1709='تقرير أبريل'!$C$4,$P1709='تقرير أبريل'!$C$6),COUNT(AD$4:AD1708)+1,"")</f>
        <v/>
      </c>
      <c r="AE1709">
        <f>IF(AND($A1709&lt;&gt;"",$B1709&lt;&gt;"",$R1709='تقرير مايو'!$C$4,$P1709='تقرير مايو'!$C$6),COUNT(AE$4:AE1708)+1,"")</f>
        <v/>
      </c>
    </row>
    <row r="1710">
      <c r="A1710" s="16" t="n"/>
      <c r="B1710" s="17" t="n"/>
      <c r="C1710" s="17" t="n"/>
      <c r="D1710" s="18" t="n"/>
      <c r="E1710" s="17" t="n"/>
      <c r="F1710" s="17" t="n"/>
      <c r="G1710" s="19" t="n"/>
      <c r="H1710" s="17" t="n"/>
      <c r="I1710" s="17" t="n"/>
      <c r="J1710" s="17" t="n"/>
      <c r="K1710" s="20">
        <f>IF($B1710="","",IFERROR(INDEX(الموظفات!$A$5:$A$304,MATCH($B1710,الموظفات!$B$5:$B$304,0))&amp;"",""))</f>
        <v/>
      </c>
      <c r="L1710" s="21">
        <f>IF($B1710="","",IFERROR(INDEX(الموظفات!$C$5:$C$304,MATCH($B1710,الموظفات!$B$5:$B$304,0))&amp;"",""))</f>
        <v/>
      </c>
      <c r="M1710" s="20">
        <f>IF($B1710="","",IFERROR(INDEX(الموظفات!$D$5:$D$304,MATCH($B1710,الموظفات!$B$5:$B$304,0))&amp;"",""))</f>
        <v/>
      </c>
      <c r="N1710" s="20">
        <f>IF($B1710="","",IFERROR(INDEX(الموظفات!$E$5:$E$304,MATCH($B1710,الموظفات!$B$5:$B$304,0))&amp;"",""))</f>
        <v/>
      </c>
      <c r="O1710" s="21">
        <f>IF(C1710="","",IFERROR(INDEX(الإعدادات!$D$7:$D$35,MATCH(C1710,الإعدادات!$A$7:$A$35,0))&amp;"",""))</f>
        <v/>
      </c>
      <c r="P1710" s="20">
        <f>IF(A1710="","",INDEX(الإعدادات!$H$7:$H$18,MONTH(A1710)))</f>
        <v/>
      </c>
      <c r="Q1710" s="20">
        <f>IF(A1710="","",INDEX(الإعدادات!$I$7:$I$18,MONTH(A1710)))</f>
        <v/>
      </c>
      <c r="R1710" s="20">
        <f>IF(A1710="","",IF(MONTH(A1710)&gt;=8,YEAR(A1710)&amp;"-"&amp;(YEAR(A1710)+1),(YEAR(A1710)-1)&amp;"-"&amp;YEAR(A1710)))</f>
        <v/>
      </c>
      <c r="S1710" s="20">
        <f>IF(OR(A1710="",B1710=""),0,IF(AND(R1710=التقارير!$C$4,OR(التقارير!$C$5="سنوي",AND(التقارير!$C$5="شهري",P1710=التقارير!$C$6),AND(التقارير!$C$5="فصلي",Q1710=التقارير!$C$7))),1,0))</f>
        <v/>
      </c>
      <c r="T1710" s="20">
        <f>IF(S1710=1,COUNTIF($S$5:S1710,1),"")</f>
        <v/>
      </c>
      <c r="U1710">
        <f>IF(AND($A1710&lt;&gt;"",$B1710&lt;&gt;"",$R1710='تقرير الفصل الأول'!$C$4,$Q1710='تقرير الفصل الأول'!$C$7),COUNT(U$4:U1709)+1,"")</f>
        <v/>
      </c>
      <c r="V1710">
        <f>IF(AND($A1710&lt;&gt;"",$B1710&lt;&gt;"",$R1710='تقرير الفصل الثاني'!$C$4,$Q1710='تقرير الفصل الثاني'!$C$7),COUNT(V$4:V1709)+1,"")</f>
        <v/>
      </c>
      <c r="W1710">
        <f>IF(AND($A1710&lt;&gt;"",$B1710&lt;&gt;"",$R1710='تقرير سبتمبر'!$C$4,$P1710='تقرير سبتمبر'!$C$6),COUNT(W$4:W1709)+1,"")</f>
        <v/>
      </c>
      <c r="X1710">
        <f>IF(AND($A1710&lt;&gt;"",$B1710&lt;&gt;"",$R1710='تقرير أكتوبر'!$C$4,$P1710='تقرير أكتوبر'!$C$6),COUNT(X$4:X1709)+1,"")</f>
        <v/>
      </c>
      <c r="Y1710">
        <f>IF(AND($A1710&lt;&gt;"",$B1710&lt;&gt;"",$R1710='تقرير نوفمبر'!$C$4,$P1710='تقرير نوفمبر'!$C$6),COUNT(Y$4:Y1709)+1,"")</f>
        <v/>
      </c>
      <c r="Z1710">
        <f>IF(AND($A1710&lt;&gt;"",$B1710&lt;&gt;"",$R1710='تقرير ديسمبر'!$C$4,$P1710='تقرير ديسمبر'!$C$6),COUNT(Z$4:Z1709)+1,"")</f>
        <v/>
      </c>
      <c r="AA1710">
        <f>IF(AND($A1710&lt;&gt;"",$B1710&lt;&gt;"",$R1710='تقرير يناير'!$C$4,$P1710='تقرير يناير'!$C$6),COUNT(AA$4:AA1709)+1,"")</f>
        <v/>
      </c>
      <c r="AB1710">
        <f>IF(AND($A1710&lt;&gt;"",$B1710&lt;&gt;"",$R1710='تقرير فبراير'!$C$4,$P1710='تقرير فبراير'!$C$6),COUNT(AB$4:AB1709)+1,"")</f>
        <v/>
      </c>
      <c r="AC1710">
        <f>IF(AND($A1710&lt;&gt;"",$B1710&lt;&gt;"",$R1710='تقرير مارس'!$C$4,$P1710='تقرير مارس'!$C$6),COUNT(AC$4:AC1709)+1,"")</f>
        <v/>
      </c>
      <c r="AD1710">
        <f>IF(AND($A1710&lt;&gt;"",$B1710&lt;&gt;"",$R1710='تقرير أبريل'!$C$4,$P1710='تقرير أبريل'!$C$6),COUNT(AD$4:AD1709)+1,"")</f>
        <v/>
      </c>
      <c r="AE1710">
        <f>IF(AND($A1710&lt;&gt;"",$B1710&lt;&gt;"",$R1710='تقرير مايو'!$C$4,$P1710='تقرير مايو'!$C$6),COUNT(AE$4:AE1709)+1,"")</f>
        <v/>
      </c>
    </row>
    <row r="1711">
      <c r="A1711" s="16" t="n"/>
      <c r="B1711" s="17" t="n"/>
      <c r="C1711" s="17" t="n"/>
      <c r="D1711" s="18" t="n"/>
      <c r="E1711" s="17" t="n"/>
      <c r="F1711" s="17" t="n"/>
      <c r="G1711" s="19" t="n"/>
      <c r="H1711" s="17" t="n"/>
      <c r="I1711" s="17" t="n"/>
      <c r="J1711" s="17" t="n"/>
      <c r="K1711" s="20">
        <f>IF($B1711="","",IFERROR(INDEX(الموظفات!$A$5:$A$304,MATCH($B1711,الموظفات!$B$5:$B$304,0))&amp;"",""))</f>
        <v/>
      </c>
      <c r="L1711" s="21">
        <f>IF($B1711="","",IFERROR(INDEX(الموظفات!$C$5:$C$304,MATCH($B1711,الموظفات!$B$5:$B$304,0))&amp;"",""))</f>
        <v/>
      </c>
      <c r="M1711" s="20">
        <f>IF($B1711="","",IFERROR(INDEX(الموظفات!$D$5:$D$304,MATCH($B1711,الموظفات!$B$5:$B$304,0))&amp;"",""))</f>
        <v/>
      </c>
      <c r="N1711" s="20">
        <f>IF($B1711="","",IFERROR(INDEX(الموظفات!$E$5:$E$304,MATCH($B1711,الموظفات!$B$5:$B$304,0))&amp;"",""))</f>
        <v/>
      </c>
      <c r="O1711" s="21">
        <f>IF(C1711="","",IFERROR(INDEX(الإعدادات!$D$7:$D$35,MATCH(C1711,الإعدادات!$A$7:$A$35,0))&amp;"",""))</f>
        <v/>
      </c>
      <c r="P1711" s="20">
        <f>IF(A1711="","",INDEX(الإعدادات!$H$7:$H$18,MONTH(A1711)))</f>
        <v/>
      </c>
      <c r="Q1711" s="20">
        <f>IF(A1711="","",INDEX(الإعدادات!$I$7:$I$18,MONTH(A1711)))</f>
        <v/>
      </c>
      <c r="R1711" s="20">
        <f>IF(A1711="","",IF(MONTH(A1711)&gt;=8,YEAR(A1711)&amp;"-"&amp;(YEAR(A1711)+1),(YEAR(A1711)-1)&amp;"-"&amp;YEAR(A1711)))</f>
        <v/>
      </c>
      <c r="S1711" s="20">
        <f>IF(OR(A1711="",B1711=""),0,IF(AND(R1711=التقارير!$C$4,OR(التقارير!$C$5="سنوي",AND(التقارير!$C$5="شهري",P1711=التقارير!$C$6),AND(التقارير!$C$5="فصلي",Q1711=التقارير!$C$7))),1,0))</f>
        <v/>
      </c>
      <c r="T1711" s="20">
        <f>IF(S1711=1,COUNTIF($S$5:S1711,1),"")</f>
        <v/>
      </c>
      <c r="U1711">
        <f>IF(AND($A1711&lt;&gt;"",$B1711&lt;&gt;"",$R1711='تقرير الفصل الأول'!$C$4,$Q1711='تقرير الفصل الأول'!$C$7),COUNT(U$4:U1710)+1,"")</f>
        <v/>
      </c>
      <c r="V1711">
        <f>IF(AND($A1711&lt;&gt;"",$B1711&lt;&gt;"",$R1711='تقرير الفصل الثاني'!$C$4,$Q1711='تقرير الفصل الثاني'!$C$7),COUNT(V$4:V1710)+1,"")</f>
        <v/>
      </c>
      <c r="W1711">
        <f>IF(AND($A1711&lt;&gt;"",$B1711&lt;&gt;"",$R1711='تقرير سبتمبر'!$C$4,$P1711='تقرير سبتمبر'!$C$6),COUNT(W$4:W1710)+1,"")</f>
        <v/>
      </c>
      <c r="X1711">
        <f>IF(AND($A1711&lt;&gt;"",$B1711&lt;&gt;"",$R1711='تقرير أكتوبر'!$C$4,$P1711='تقرير أكتوبر'!$C$6),COUNT(X$4:X1710)+1,"")</f>
        <v/>
      </c>
      <c r="Y1711">
        <f>IF(AND($A1711&lt;&gt;"",$B1711&lt;&gt;"",$R1711='تقرير نوفمبر'!$C$4,$P1711='تقرير نوفمبر'!$C$6),COUNT(Y$4:Y1710)+1,"")</f>
        <v/>
      </c>
      <c r="Z1711">
        <f>IF(AND($A1711&lt;&gt;"",$B1711&lt;&gt;"",$R1711='تقرير ديسمبر'!$C$4,$P1711='تقرير ديسمبر'!$C$6),COUNT(Z$4:Z1710)+1,"")</f>
        <v/>
      </c>
      <c r="AA1711">
        <f>IF(AND($A1711&lt;&gt;"",$B1711&lt;&gt;"",$R1711='تقرير يناير'!$C$4,$P1711='تقرير يناير'!$C$6),COUNT(AA$4:AA1710)+1,"")</f>
        <v/>
      </c>
      <c r="AB1711">
        <f>IF(AND($A1711&lt;&gt;"",$B1711&lt;&gt;"",$R1711='تقرير فبراير'!$C$4,$P1711='تقرير فبراير'!$C$6),COUNT(AB$4:AB1710)+1,"")</f>
        <v/>
      </c>
      <c r="AC1711">
        <f>IF(AND($A1711&lt;&gt;"",$B1711&lt;&gt;"",$R1711='تقرير مارس'!$C$4,$P1711='تقرير مارس'!$C$6),COUNT(AC$4:AC1710)+1,"")</f>
        <v/>
      </c>
      <c r="AD1711">
        <f>IF(AND($A1711&lt;&gt;"",$B1711&lt;&gt;"",$R1711='تقرير أبريل'!$C$4,$P1711='تقرير أبريل'!$C$6),COUNT(AD$4:AD1710)+1,"")</f>
        <v/>
      </c>
      <c r="AE1711">
        <f>IF(AND($A1711&lt;&gt;"",$B1711&lt;&gt;"",$R1711='تقرير مايو'!$C$4,$P1711='تقرير مايو'!$C$6),COUNT(AE$4:AE1710)+1,"")</f>
        <v/>
      </c>
    </row>
    <row r="1712">
      <c r="A1712" s="16" t="n"/>
      <c r="B1712" s="17" t="n"/>
      <c r="C1712" s="17" t="n"/>
      <c r="D1712" s="18" t="n"/>
      <c r="E1712" s="17" t="n"/>
      <c r="F1712" s="17" t="n"/>
      <c r="G1712" s="19" t="n"/>
      <c r="H1712" s="17" t="n"/>
      <c r="I1712" s="17" t="n"/>
      <c r="J1712" s="17" t="n"/>
      <c r="K1712" s="20">
        <f>IF($B1712="","",IFERROR(INDEX(الموظفات!$A$5:$A$304,MATCH($B1712,الموظفات!$B$5:$B$304,0))&amp;"",""))</f>
        <v/>
      </c>
      <c r="L1712" s="21">
        <f>IF($B1712="","",IFERROR(INDEX(الموظفات!$C$5:$C$304,MATCH($B1712,الموظفات!$B$5:$B$304,0))&amp;"",""))</f>
        <v/>
      </c>
      <c r="M1712" s="20">
        <f>IF($B1712="","",IFERROR(INDEX(الموظفات!$D$5:$D$304,MATCH($B1712,الموظفات!$B$5:$B$304,0))&amp;"",""))</f>
        <v/>
      </c>
      <c r="N1712" s="20">
        <f>IF($B1712="","",IFERROR(INDEX(الموظفات!$E$5:$E$304,MATCH($B1712,الموظفات!$B$5:$B$304,0))&amp;"",""))</f>
        <v/>
      </c>
      <c r="O1712" s="21">
        <f>IF(C1712="","",IFERROR(INDEX(الإعدادات!$D$7:$D$35,MATCH(C1712,الإعدادات!$A$7:$A$35,0))&amp;"",""))</f>
        <v/>
      </c>
      <c r="P1712" s="20">
        <f>IF(A1712="","",INDEX(الإعدادات!$H$7:$H$18,MONTH(A1712)))</f>
        <v/>
      </c>
      <c r="Q1712" s="20">
        <f>IF(A1712="","",INDEX(الإعدادات!$I$7:$I$18,MONTH(A1712)))</f>
        <v/>
      </c>
      <c r="R1712" s="20">
        <f>IF(A1712="","",IF(MONTH(A1712)&gt;=8,YEAR(A1712)&amp;"-"&amp;(YEAR(A1712)+1),(YEAR(A1712)-1)&amp;"-"&amp;YEAR(A1712)))</f>
        <v/>
      </c>
      <c r="S1712" s="20">
        <f>IF(OR(A1712="",B1712=""),0,IF(AND(R1712=التقارير!$C$4,OR(التقارير!$C$5="سنوي",AND(التقارير!$C$5="شهري",P1712=التقارير!$C$6),AND(التقارير!$C$5="فصلي",Q1712=التقارير!$C$7))),1,0))</f>
        <v/>
      </c>
      <c r="T1712" s="20">
        <f>IF(S1712=1,COUNTIF($S$5:S1712,1),"")</f>
        <v/>
      </c>
      <c r="U1712">
        <f>IF(AND($A1712&lt;&gt;"",$B1712&lt;&gt;"",$R1712='تقرير الفصل الأول'!$C$4,$Q1712='تقرير الفصل الأول'!$C$7),COUNT(U$4:U1711)+1,"")</f>
        <v/>
      </c>
      <c r="V1712">
        <f>IF(AND($A1712&lt;&gt;"",$B1712&lt;&gt;"",$R1712='تقرير الفصل الثاني'!$C$4,$Q1712='تقرير الفصل الثاني'!$C$7),COUNT(V$4:V1711)+1,"")</f>
        <v/>
      </c>
      <c r="W1712">
        <f>IF(AND($A1712&lt;&gt;"",$B1712&lt;&gt;"",$R1712='تقرير سبتمبر'!$C$4,$P1712='تقرير سبتمبر'!$C$6),COUNT(W$4:W1711)+1,"")</f>
        <v/>
      </c>
      <c r="X1712">
        <f>IF(AND($A1712&lt;&gt;"",$B1712&lt;&gt;"",$R1712='تقرير أكتوبر'!$C$4,$P1712='تقرير أكتوبر'!$C$6),COUNT(X$4:X1711)+1,"")</f>
        <v/>
      </c>
      <c r="Y1712">
        <f>IF(AND($A1712&lt;&gt;"",$B1712&lt;&gt;"",$R1712='تقرير نوفمبر'!$C$4,$P1712='تقرير نوفمبر'!$C$6),COUNT(Y$4:Y1711)+1,"")</f>
        <v/>
      </c>
      <c r="Z1712">
        <f>IF(AND($A1712&lt;&gt;"",$B1712&lt;&gt;"",$R1712='تقرير ديسمبر'!$C$4,$P1712='تقرير ديسمبر'!$C$6),COUNT(Z$4:Z1711)+1,"")</f>
        <v/>
      </c>
      <c r="AA1712">
        <f>IF(AND($A1712&lt;&gt;"",$B1712&lt;&gt;"",$R1712='تقرير يناير'!$C$4,$P1712='تقرير يناير'!$C$6),COUNT(AA$4:AA1711)+1,"")</f>
        <v/>
      </c>
      <c r="AB1712">
        <f>IF(AND($A1712&lt;&gt;"",$B1712&lt;&gt;"",$R1712='تقرير فبراير'!$C$4,$P1712='تقرير فبراير'!$C$6),COUNT(AB$4:AB1711)+1,"")</f>
        <v/>
      </c>
      <c r="AC1712">
        <f>IF(AND($A1712&lt;&gt;"",$B1712&lt;&gt;"",$R1712='تقرير مارس'!$C$4,$P1712='تقرير مارس'!$C$6),COUNT(AC$4:AC1711)+1,"")</f>
        <v/>
      </c>
      <c r="AD1712">
        <f>IF(AND($A1712&lt;&gt;"",$B1712&lt;&gt;"",$R1712='تقرير أبريل'!$C$4,$P1712='تقرير أبريل'!$C$6),COUNT(AD$4:AD1711)+1,"")</f>
        <v/>
      </c>
      <c r="AE1712">
        <f>IF(AND($A1712&lt;&gt;"",$B1712&lt;&gt;"",$R1712='تقرير مايو'!$C$4,$P1712='تقرير مايو'!$C$6),COUNT(AE$4:AE1711)+1,"")</f>
        <v/>
      </c>
    </row>
    <row r="1713">
      <c r="A1713" s="16" t="n"/>
      <c r="B1713" s="17" t="n"/>
      <c r="C1713" s="17" t="n"/>
      <c r="D1713" s="18" t="n"/>
      <c r="E1713" s="17" t="n"/>
      <c r="F1713" s="17" t="n"/>
      <c r="G1713" s="19" t="n"/>
      <c r="H1713" s="17" t="n"/>
      <c r="I1713" s="17" t="n"/>
      <c r="J1713" s="17" t="n"/>
      <c r="K1713" s="20">
        <f>IF($B1713="","",IFERROR(INDEX(الموظفات!$A$5:$A$304,MATCH($B1713,الموظفات!$B$5:$B$304,0))&amp;"",""))</f>
        <v/>
      </c>
      <c r="L1713" s="21">
        <f>IF($B1713="","",IFERROR(INDEX(الموظفات!$C$5:$C$304,MATCH($B1713,الموظفات!$B$5:$B$304,0))&amp;"",""))</f>
        <v/>
      </c>
      <c r="M1713" s="20">
        <f>IF($B1713="","",IFERROR(INDEX(الموظفات!$D$5:$D$304,MATCH($B1713,الموظفات!$B$5:$B$304,0))&amp;"",""))</f>
        <v/>
      </c>
      <c r="N1713" s="20">
        <f>IF($B1713="","",IFERROR(INDEX(الموظفات!$E$5:$E$304,MATCH($B1713,الموظفات!$B$5:$B$304,0))&amp;"",""))</f>
        <v/>
      </c>
      <c r="O1713" s="21">
        <f>IF(C1713="","",IFERROR(INDEX(الإعدادات!$D$7:$D$35,MATCH(C1713,الإعدادات!$A$7:$A$35,0))&amp;"",""))</f>
        <v/>
      </c>
      <c r="P1713" s="20">
        <f>IF(A1713="","",INDEX(الإعدادات!$H$7:$H$18,MONTH(A1713)))</f>
        <v/>
      </c>
      <c r="Q1713" s="20">
        <f>IF(A1713="","",INDEX(الإعدادات!$I$7:$I$18,MONTH(A1713)))</f>
        <v/>
      </c>
      <c r="R1713" s="20">
        <f>IF(A1713="","",IF(MONTH(A1713)&gt;=8,YEAR(A1713)&amp;"-"&amp;(YEAR(A1713)+1),(YEAR(A1713)-1)&amp;"-"&amp;YEAR(A1713)))</f>
        <v/>
      </c>
      <c r="S1713" s="20">
        <f>IF(OR(A1713="",B1713=""),0,IF(AND(R1713=التقارير!$C$4,OR(التقارير!$C$5="سنوي",AND(التقارير!$C$5="شهري",P1713=التقارير!$C$6),AND(التقارير!$C$5="فصلي",Q1713=التقارير!$C$7))),1,0))</f>
        <v/>
      </c>
      <c r="T1713" s="20">
        <f>IF(S1713=1,COUNTIF($S$5:S1713,1),"")</f>
        <v/>
      </c>
      <c r="U1713">
        <f>IF(AND($A1713&lt;&gt;"",$B1713&lt;&gt;"",$R1713='تقرير الفصل الأول'!$C$4,$Q1713='تقرير الفصل الأول'!$C$7),COUNT(U$4:U1712)+1,"")</f>
        <v/>
      </c>
      <c r="V1713">
        <f>IF(AND($A1713&lt;&gt;"",$B1713&lt;&gt;"",$R1713='تقرير الفصل الثاني'!$C$4,$Q1713='تقرير الفصل الثاني'!$C$7),COUNT(V$4:V1712)+1,"")</f>
        <v/>
      </c>
      <c r="W1713">
        <f>IF(AND($A1713&lt;&gt;"",$B1713&lt;&gt;"",$R1713='تقرير سبتمبر'!$C$4,$P1713='تقرير سبتمبر'!$C$6),COUNT(W$4:W1712)+1,"")</f>
        <v/>
      </c>
      <c r="X1713">
        <f>IF(AND($A1713&lt;&gt;"",$B1713&lt;&gt;"",$R1713='تقرير أكتوبر'!$C$4,$P1713='تقرير أكتوبر'!$C$6),COUNT(X$4:X1712)+1,"")</f>
        <v/>
      </c>
      <c r="Y1713">
        <f>IF(AND($A1713&lt;&gt;"",$B1713&lt;&gt;"",$R1713='تقرير نوفمبر'!$C$4,$P1713='تقرير نوفمبر'!$C$6),COUNT(Y$4:Y1712)+1,"")</f>
        <v/>
      </c>
      <c r="Z1713">
        <f>IF(AND($A1713&lt;&gt;"",$B1713&lt;&gt;"",$R1713='تقرير ديسمبر'!$C$4,$P1713='تقرير ديسمبر'!$C$6),COUNT(Z$4:Z1712)+1,"")</f>
        <v/>
      </c>
      <c r="AA1713">
        <f>IF(AND($A1713&lt;&gt;"",$B1713&lt;&gt;"",$R1713='تقرير يناير'!$C$4,$P1713='تقرير يناير'!$C$6),COUNT(AA$4:AA1712)+1,"")</f>
        <v/>
      </c>
      <c r="AB1713">
        <f>IF(AND($A1713&lt;&gt;"",$B1713&lt;&gt;"",$R1713='تقرير فبراير'!$C$4,$P1713='تقرير فبراير'!$C$6),COUNT(AB$4:AB1712)+1,"")</f>
        <v/>
      </c>
      <c r="AC1713">
        <f>IF(AND($A1713&lt;&gt;"",$B1713&lt;&gt;"",$R1713='تقرير مارس'!$C$4,$P1713='تقرير مارس'!$C$6),COUNT(AC$4:AC1712)+1,"")</f>
        <v/>
      </c>
      <c r="AD1713">
        <f>IF(AND($A1713&lt;&gt;"",$B1713&lt;&gt;"",$R1713='تقرير أبريل'!$C$4,$P1713='تقرير أبريل'!$C$6),COUNT(AD$4:AD1712)+1,"")</f>
        <v/>
      </c>
      <c r="AE1713">
        <f>IF(AND($A1713&lt;&gt;"",$B1713&lt;&gt;"",$R1713='تقرير مايو'!$C$4,$P1713='تقرير مايو'!$C$6),COUNT(AE$4:AE1712)+1,"")</f>
        <v/>
      </c>
    </row>
    <row r="1714">
      <c r="A1714" s="16" t="n"/>
      <c r="B1714" s="17" t="n"/>
      <c r="C1714" s="17" t="n"/>
      <c r="D1714" s="18" t="n"/>
      <c r="E1714" s="17" t="n"/>
      <c r="F1714" s="17" t="n"/>
      <c r="G1714" s="19" t="n"/>
      <c r="H1714" s="17" t="n"/>
      <c r="I1714" s="17" t="n"/>
      <c r="J1714" s="17" t="n"/>
      <c r="K1714" s="20">
        <f>IF($B1714="","",IFERROR(INDEX(الموظفات!$A$5:$A$304,MATCH($B1714,الموظفات!$B$5:$B$304,0))&amp;"",""))</f>
        <v/>
      </c>
      <c r="L1714" s="21">
        <f>IF($B1714="","",IFERROR(INDEX(الموظفات!$C$5:$C$304,MATCH($B1714,الموظفات!$B$5:$B$304,0))&amp;"",""))</f>
        <v/>
      </c>
      <c r="M1714" s="20">
        <f>IF($B1714="","",IFERROR(INDEX(الموظفات!$D$5:$D$304,MATCH($B1714,الموظفات!$B$5:$B$304,0))&amp;"",""))</f>
        <v/>
      </c>
      <c r="N1714" s="20">
        <f>IF($B1714="","",IFERROR(INDEX(الموظفات!$E$5:$E$304,MATCH($B1714,الموظفات!$B$5:$B$304,0))&amp;"",""))</f>
        <v/>
      </c>
      <c r="O1714" s="21">
        <f>IF(C1714="","",IFERROR(INDEX(الإعدادات!$D$7:$D$35,MATCH(C1714,الإعدادات!$A$7:$A$35,0))&amp;"",""))</f>
        <v/>
      </c>
      <c r="P1714" s="20">
        <f>IF(A1714="","",INDEX(الإعدادات!$H$7:$H$18,MONTH(A1714)))</f>
        <v/>
      </c>
      <c r="Q1714" s="20">
        <f>IF(A1714="","",INDEX(الإعدادات!$I$7:$I$18,MONTH(A1714)))</f>
        <v/>
      </c>
      <c r="R1714" s="20">
        <f>IF(A1714="","",IF(MONTH(A1714)&gt;=8,YEAR(A1714)&amp;"-"&amp;(YEAR(A1714)+1),(YEAR(A1714)-1)&amp;"-"&amp;YEAR(A1714)))</f>
        <v/>
      </c>
      <c r="S1714" s="20">
        <f>IF(OR(A1714="",B1714=""),0,IF(AND(R1714=التقارير!$C$4,OR(التقارير!$C$5="سنوي",AND(التقارير!$C$5="شهري",P1714=التقارير!$C$6),AND(التقارير!$C$5="فصلي",Q1714=التقارير!$C$7))),1,0))</f>
        <v/>
      </c>
      <c r="T1714" s="20">
        <f>IF(S1714=1,COUNTIF($S$5:S1714,1),"")</f>
        <v/>
      </c>
      <c r="U1714">
        <f>IF(AND($A1714&lt;&gt;"",$B1714&lt;&gt;"",$R1714='تقرير الفصل الأول'!$C$4,$Q1714='تقرير الفصل الأول'!$C$7),COUNT(U$4:U1713)+1,"")</f>
        <v/>
      </c>
      <c r="V1714">
        <f>IF(AND($A1714&lt;&gt;"",$B1714&lt;&gt;"",$R1714='تقرير الفصل الثاني'!$C$4,$Q1714='تقرير الفصل الثاني'!$C$7),COUNT(V$4:V1713)+1,"")</f>
        <v/>
      </c>
      <c r="W1714">
        <f>IF(AND($A1714&lt;&gt;"",$B1714&lt;&gt;"",$R1714='تقرير سبتمبر'!$C$4,$P1714='تقرير سبتمبر'!$C$6),COUNT(W$4:W1713)+1,"")</f>
        <v/>
      </c>
      <c r="X1714">
        <f>IF(AND($A1714&lt;&gt;"",$B1714&lt;&gt;"",$R1714='تقرير أكتوبر'!$C$4,$P1714='تقرير أكتوبر'!$C$6),COUNT(X$4:X1713)+1,"")</f>
        <v/>
      </c>
      <c r="Y1714">
        <f>IF(AND($A1714&lt;&gt;"",$B1714&lt;&gt;"",$R1714='تقرير نوفمبر'!$C$4,$P1714='تقرير نوفمبر'!$C$6),COUNT(Y$4:Y1713)+1,"")</f>
        <v/>
      </c>
      <c r="Z1714">
        <f>IF(AND($A1714&lt;&gt;"",$B1714&lt;&gt;"",$R1714='تقرير ديسمبر'!$C$4,$P1714='تقرير ديسمبر'!$C$6),COUNT(Z$4:Z1713)+1,"")</f>
        <v/>
      </c>
      <c r="AA1714">
        <f>IF(AND($A1714&lt;&gt;"",$B1714&lt;&gt;"",$R1714='تقرير يناير'!$C$4,$P1714='تقرير يناير'!$C$6),COUNT(AA$4:AA1713)+1,"")</f>
        <v/>
      </c>
      <c r="AB1714">
        <f>IF(AND($A1714&lt;&gt;"",$B1714&lt;&gt;"",$R1714='تقرير فبراير'!$C$4,$P1714='تقرير فبراير'!$C$6),COUNT(AB$4:AB1713)+1,"")</f>
        <v/>
      </c>
      <c r="AC1714">
        <f>IF(AND($A1714&lt;&gt;"",$B1714&lt;&gt;"",$R1714='تقرير مارس'!$C$4,$P1714='تقرير مارس'!$C$6),COUNT(AC$4:AC1713)+1,"")</f>
        <v/>
      </c>
      <c r="AD1714">
        <f>IF(AND($A1714&lt;&gt;"",$B1714&lt;&gt;"",$R1714='تقرير أبريل'!$C$4,$P1714='تقرير أبريل'!$C$6),COUNT(AD$4:AD1713)+1,"")</f>
        <v/>
      </c>
      <c r="AE1714">
        <f>IF(AND($A1714&lt;&gt;"",$B1714&lt;&gt;"",$R1714='تقرير مايو'!$C$4,$P1714='تقرير مايو'!$C$6),COUNT(AE$4:AE1713)+1,"")</f>
        <v/>
      </c>
    </row>
    <row r="1715">
      <c r="A1715" s="16" t="n"/>
      <c r="B1715" s="17" t="n"/>
      <c r="C1715" s="17" t="n"/>
      <c r="D1715" s="18" t="n"/>
      <c r="E1715" s="17" t="n"/>
      <c r="F1715" s="17" t="n"/>
      <c r="G1715" s="19" t="n"/>
      <c r="H1715" s="17" t="n"/>
      <c r="I1715" s="17" t="n"/>
      <c r="J1715" s="17" t="n"/>
      <c r="K1715" s="20">
        <f>IF($B1715="","",IFERROR(INDEX(الموظفات!$A$5:$A$304,MATCH($B1715,الموظفات!$B$5:$B$304,0))&amp;"",""))</f>
        <v/>
      </c>
      <c r="L1715" s="21">
        <f>IF($B1715="","",IFERROR(INDEX(الموظفات!$C$5:$C$304,MATCH($B1715,الموظفات!$B$5:$B$304,0))&amp;"",""))</f>
        <v/>
      </c>
      <c r="M1715" s="20">
        <f>IF($B1715="","",IFERROR(INDEX(الموظفات!$D$5:$D$304,MATCH($B1715,الموظفات!$B$5:$B$304,0))&amp;"",""))</f>
        <v/>
      </c>
      <c r="N1715" s="20">
        <f>IF($B1715="","",IFERROR(INDEX(الموظفات!$E$5:$E$304,MATCH($B1715,الموظفات!$B$5:$B$304,0))&amp;"",""))</f>
        <v/>
      </c>
      <c r="O1715" s="21">
        <f>IF(C1715="","",IFERROR(INDEX(الإعدادات!$D$7:$D$35,MATCH(C1715,الإعدادات!$A$7:$A$35,0))&amp;"",""))</f>
        <v/>
      </c>
      <c r="P1715" s="20">
        <f>IF(A1715="","",INDEX(الإعدادات!$H$7:$H$18,MONTH(A1715)))</f>
        <v/>
      </c>
      <c r="Q1715" s="20">
        <f>IF(A1715="","",INDEX(الإعدادات!$I$7:$I$18,MONTH(A1715)))</f>
        <v/>
      </c>
      <c r="R1715" s="20">
        <f>IF(A1715="","",IF(MONTH(A1715)&gt;=8,YEAR(A1715)&amp;"-"&amp;(YEAR(A1715)+1),(YEAR(A1715)-1)&amp;"-"&amp;YEAR(A1715)))</f>
        <v/>
      </c>
      <c r="S1715" s="20">
        <f>IF(OR(A1715="",B1715=""),0,IF(AND(R1715=التقارير!$C$4,OR(التقارير!$C$5="سنوي",AND(التقارير!$C$5="شهري",P1715=التقارير!$C$6),AND(التقارير!$C$5="فصلي",Q1715=التقارير!$C$7))),1,0))</f>
        <v/>
      </c>
      <c r="T1715" s="20">
        <f>IF(S1715=1,COUNTIF($S$5:S1715,1),"")</f>
        <v/>
      </c>
      <c r="U1715">
        <f>IF(AND($A1715&lt;&gt;"",$B1715&lt;&gt;"",$R1715='تقرير الفصل الأول'!$C$4,$Q1715='تقرير الفصل الأول'!$C$7),COUNT(U$4:U1714)+1,"")</f>
        <v/>
      </c>
      <c r="V1715">
        <f>IF(AND($A1715&lt;&gt;"",$B1715&lt;&gt;"",$R1715='تقرير الفصل الثاني'!$C$4,$Q1715='تقرير الفصل الثاني'!$C$7),COUNT(V$4:V1714)+1,"")</f>
        <v/>
      </c>
      <c r="W1715">
        <f>IF(AND($A1715&lt;&gt;"",$B1715&lt;&gt;"",$R1715='تقرير سبتمبر'!$C$4,$P1715='تقرير سبتمبر'!$C$6),COUNT(W$4:W1714)+1,"")</f>
        <v/>
      </c>
      <c r="X1715">
        <f>IF(AND($A1715&lt;&gt;"",$B1715&lt;&gt;"",$R1715='تقرير أكتوبر'!$C$4,$P1715='تقرير أكتوبر'!$C$6),COUNT(X$4:X1714)+1,"")</f>
        <v/>
      </c>
      <c r="Y1715">
        <f>IF(AND($A1715&lt;&gt;"",$B1715&lt;&gt;"",$R1715='تقرير نوفمبر'!$C$4,$P1715='تقرير نوفمبر'!$C$6),COUNT(Y$4:Y1714)+1,"")</f>
        <v/>
      </c>
      <c r="Z1715">
        <f>IF(AND($A1715&lt;&gt;"",$B1715&lt;&gt;"",$R1715='تقرير ديسمبر'!$C$4,$P1715='تقرير ديسمبر'!$C$6),COUNT(Z$4:Z1714)+1,"")</f>
        <v/>
      </c>
      <c r="AA1715">
        <f>IF(AND($A1715&lt;&gt;"",$B1715&lt;&gt;"",$R1715='تقرير يناير'!$C$4,$P1715='تقرير يناير'!$C$6),COUNT(AA$4:AA1714)+1,"")</f>
        <v/>
      </c>
      <c r="AB1715">
        <f>IF(AND($A1715&lt;&gt;"",$B1715&lt;&gt;"",$R1715='تقرير فبراير'!$C$4,$P1715='تقرير فبراير'!$C$6),COUNT(AB$4:AB1714)+1,"")</f>
        <v/>
      </c>
      <c r="AC1715">
        <f>IF(AND($A1715&lt;&gt;"",$B1715&lt;&gt;"",$R1715='تقرير مارس'!$C$4,$P1715='تقرير مارس'!$C$6),COUNT(AC$4:AC1714)+1,"")</f>
        <v/>
      </c>
      <c r="AD1715">
        <f>IF(AND($A1715&lt;&gt;"",$B1715&lt;&gt;"",$R1715='تقرير أبريل'!$C$4,$P1715='تقرير أبريل'!$C$6),COUNT(AD$4:AD1714)+1,"")</f>
        <v/>
      </c>
      <c r="AE1715">
        <f>IF(AND($A1715&lt;&gt;"",$B1715&lt;&gt;"",$R1715='تقرير مايو'!$C$4,$P1715='تقرير مايو'!$C$6),COUNT(AE$4:AE1714)+1,"")</f>
        <v/>
      </c>
    </row>
    <row r="1716">
      <c r="A1716" s="16" t="n"/>
      <c r="B1716" s="17" t="n"/>
      <c r="C1716" s="17" t="n"/>
      <c r="D1716" s="18" t="n"/>
      <c r="E1716" s="17" t="n"/>
      <c r="F1716" s="17" t="n"/>
      <c r="G1716" s="19" t="n"/>
      <c r="H1716" s="17" t="n"/>
      <c r="I1716" s="17" t="n"/>
      <c r="J1716" s="17" t="n"/>
      <c r="K1716" s="20">
        <f>IF($B1716="","",IFERROR(INDEX(الموظفات!$A$5:$A$304,MATCH($B1716,الموظفات!$B$5:$B$304,0))&amp;"",""))</f>
        <v/>
      </c>
      <c r="L1716" s="21">
        <f>IF($B1716="","",IFERROR(INDEX(الموظفات!$C$5:$C$304,MATCH($B1716,الموظفات!$B$5:$B$304,0))&amp;"",""))</f>
        <v/>
      </c>
      <c r="M1716" s="20">
        <f>IF($B1716="","",IFERROR(INDEX(الموظفات!$D$5:$D$304,MATCH($B1716,الموظفات!$B$5:$B$304,0))&amp;"",""))</f>
        <v/>
      </c>
      <c r="N1716" s="20">
        <f>IF($B1716="","",IFERROR(INDEX(الموظفات!$E$5:$E$304,MATCH($B1716,الموظفات!$B$5:$B$304,0))&amp;"",""))</f>
        <v/>
      </c>
      <c r="O1716" s="21">
        <f>IF(C1716="","",IFERROR(INDEX(الإعدادات!$D$7:$D$35,MATCH(C1716,الإعدادات!$A$7:$A$35,0))&amp;"",""))</f>
        <v/>
      </c>
      <c r="P1716" s="20">
        <f>IF(A1716="","",INDEX(الإعدادات!$H$7:$H$18,MONTH(A1716)))</f>
        <v/>
      </c>
      <c r="Q1716" s="20">
        <f>IF(A1716="","",INDEX(الإعدادات!$I$7:$I$18,MONTH(A1716)))</f>
        <v/>
      </c>
      <c r="R1716" s="20">
        <f>IF(A1716="","",IF(MONTH(A1716)&gt;=8,YEAR(A1716)&amp;"-"&amp;(YEAR(A1716)+1),(YEAR(A1716)-1)&amp;"-"&amp;YEAR(A1716)))</f>
        <v/>
      </c>
      <c r="S1716" s="20">
        <f>IF(OR(A1716="",B1716=""),0,IF(AND(R1716=التقارير!$C$4,OR(التقارير!$C$5="سنوي",AND(التقارير!$C$5="شهري",P1716=التقارير!$C$6),AND(التقارير!$C$5="فصلي",Q1716=التقارير!$C$7))),1,0))</f>
        <v/>
      </c>
      <c r="T1716" s="20">
        <f>IF(S1716=1,COUNTIF($S$5:S1716,1),"")</f>
        <v/>
      </c>
      <c r="U1716">
        <f>IF(AND($A1716&lt;&gt;"",$B1716&lt;&gt;"",$R1716='تقرير الفصل الأول'!$C$4,$Q1716='تقرير الفصل الأول'!$C$7),COUNT(U$4:U1715)+1,"")</f>
        <v/>
      </c>
      <c r="V1716">
        <f>IF(AND($A1716&lt;&gt;"",$B1716&lt;&gt;"",$R1716='تقرير الفصل الثاني'!$C$4,$Q1716='تقرير الفصل الثاني'!$C$7),COUNT(V$4:V1715)+1,"")</f>
        <v/>
      </c>
      <c r="W1716">
        <f>IF(AND($A1716&lt;&gt;"",$B1716&lt;&gt;"",$R1716='تقرير سبتمبر'!$C$4,$P1716='تقرير سبتمبر'!$C$6),COUNT(W$4:W1715)+1,"")</f>
        <v/>
      </c>
      <c r="X1716">
        <f>IF(AND($A1716&lt;&gt;"",$B1716&lt;&gt;"",$R1716='تقرير أكتوبر'!$C$4,$P1716='تقرير أكتوبر'!$C$6),COUNT(X$4:X1715)+1,"")</f>
        <v/>
      </c>
      <c r="Y1716">
        <f>IF(AND($A1716&lt;&gt;"",$B1716&lt;&gt;"",$R1716='تقرير نوفمبر'!$C$4,$P1716='تقرير نوفمبر'!$C$6),COUNT(Y$4:Y1715)+1,"")</f>
        <v/>
      </c>
      <c r="Z1716">
        <f>IF(AND($A1716&lt;&gt;"",$B1716&lt;&gt;"",$R1716='تقرير ديسمبر'!$C$4,$P1716='تقرير ديسمبر'!$C$6),COUNT(Z$4:Z1715)+1,"")</f>
        <v/>
      </c>
      <c r="AA1716">
        <f>IF(AND($A1716&lt;&gt;"",$B1716&lt;&gt;"",$R1716='تقرير يناير'!$C$4,$P1716='تقرير يناير'!$C$6),COUNT(AA$4:AA1715)+1,"")</f>
        <v/>
      </c>
      <c r="AB1716">
        <f>IF(AND($A1716&lt;&gt;"",$B1716&lt;&gt;"",$R1716='تقرير فبراير'!$C$4,$P1716='تقرير فبراير'!$C$6),COUNT(AB$4:AB1715)+1,"")</f>
        <v/>
      </c>
      <c r="AC1716">
        <f>IF(AND($A1716&lt;&gt;"",$B1716&lt;&gt;"",$R1716='تقرير مارس'!$C$4,$P1716='تقرير مارس'!$C$6),COUNT(AC$4:AC1715)+1,"")</f>
        <v/>
      </c>
      <c r="AD1716">
        <f>IF(AND($A1716&lt;&gt;"",$B1716&lt;&gt;"",$R1716='تقرير أبريل'!$C$4,$P1716='تقرير أبريل'!$C$6),COUNT(AD$4:AD1715)+1,"")</f>
        <v/>
      </c>
      <c r="AE1716">
        <f>IF(AND($A1716&lt;&gt;"",$B1716&lt;&gt;"",$R1716='تقرير مايو'!$C$4,$P1716='تقرير مايو'!$C$6),COUNT(AE$4:AE1715)+1,"")</f>
        <v/>
      </c>
    </row>
    <row r="1717">
      <c r="A1717" s="16" t="n"/>
      <c r="B1717" s="17" t="n"/>
      <c r="C1717" s="17" t="n"/>
      <c r="D1717" s="18" t="n"/>
      <c r="E1717" s="17" t="n"/>
      <c r="F1717" s="17" t="n"/>
      <c r="G1717" s="19" t="n"/>
      <c r="H1717" s="17" t="n"/>
      <c r="I1717" s="17" t="n"/>
      <c r="J1717" s="17" t="n"/>
      <c r="K1717" s="20">
        <f>IF($B1717="","",IFERROR(INDEX(الموظفات!$A$5:$A$304,MATCH($B1717,الموظفات!$B$5:$B$304,0))&amp;"",""))</f>
        <v/>
      </c>
      <c r="L1717" s="21">
        <f>IF($B1717="","",IFERROR(INDEX(الموظفات!$C$5:$C$304,MATCH($B1717,الموظفات!$B$5:$B$304,0))&amp;"",""))</f>
        <v/>
      </c>
      <c r="M1717" s="20">
        <f>IF($B1717="","",IFERROR(INDEX(الموظفات!$D$5:$D$304,MATCH($B1717,الموظفات!$B$5:$B$304,0))&amp;"",""))</f>
        <v/>
      </c>
      <c r="N1717" s="20">
        <f>IF($B1717="","",IFERROR(INDEX(الموظفات!$E$5:$E$304,MATCH($B1717,الموظفات!$B$5:$B$304,0))&amp;"",""))</f>
        <v/>
      </c>
      <c r="O1717" s="21">
        <f>IF(C1717="","",IFERROR(INDEX(الإعدادات!$D$7:$D$35,MATCH(C1717,الإعدادات!$A$7:$A$35,0))&amp;"",""))</f>
        <v/>
      </c>
      <c r="P1717" s="20">
        <f>IF(A1717="","",INDEX(الإعدادات!$H$7:$H$18,MONTH(A1717)))</f>
        <v/>
      </c>
      <c r="Q1717" s="20">
        <f>IF(A1717="","",INDEX(الإعدادات!$I$7:$I$18,MONTH(A1717)))</f>
        <v/>
      </c>
      <c r="R1717" s="20">
        <f>IF(A1717="","",IF(MONTH(A1717)&gt;=8,YEAR(A1717)&amp;"-"&amp;(YEAR(A1717)+1),(YEAR(A1717)-1)&amp;"-"&amp;YEAR(A1717)))</f>
        <v/>
      </c>
      <c r="S1717" s="20">
        <f>IF(OR(A1717="",B1717=""),0,IF(AND(R1717=التقارير!$C$4,OR(التقارير!$C$5="سنوي",AND(التقارير!$C$5="شهري",P1717=التقارير!$C$6),AND(التقارير!$C$5="فصلي",Q1717=التقارير!$C$7))),1,0))</f>
        <v/>
      </c>
      <c r="T1717" s="20">
        <f>IF(S1717=1,COUNTIF($S$5:S1717,1),"")</f>
        <v/>
      </c>
      <c r="U1717">
        <f>IF(AND($A1717&lt;&gt;"",$B1717&lt;&gt;"",$R1717='تقرير الفصل الأول'!$C$4,$Q1717='تقرير الفصل الأول'!$C$7),COUNT(U$4:U1716)+1,"")</f>
        <v/>
      </c>
      <c r="V1717">
        <f>IF(AND($A1717&lt;&gt;"",$B1717&lt;&gt;"",$R1717='تقرير الفصل الثاني'!$C$4,$Q1717='تقرير الفصل الثاني'!$C$7),COUNT(V$4:V1716)+1,"")</f>
        <v/>
      </c>
      <c r="W1717">
        <f>IF(AND($A1717&lt;&gt;"",$B1717&lt;&gt;"",$R1717='تقرير سبتمبر'!$C$4,$P1717='تقرير سبتمبر'!$C$6),COUNT(W$4:W1716)+1,"")</f>
        <v/>
      </c>
      <c r="X1717">
        <f>IF(AND($A1717&lt;&gt;"",$B1717&lt;&gt;"",$R1717='تقرير أكتوبر'!$C$4,$P1717='تقرير أكتوبر'!$C$6),COUNT(X$4:X1716)+1,"")</f>
        <v/>
      </c>
      <c r="Y1717">
        <f>IF(AND($A1717&lt;&gt;"",$B1717&lt;&gt;"",$R1717='تقرير نوفمبر'!$C$4,$P1717='تقرير نوفمبر'!$C$6),COUNT(Y$4:Y1716)+1,"")</f>
        <v/>
      </c>
      <c r="Z1717">
        <f>IF(AND($A1717&lt;&gt;"",$B1717&lt;&gt;"",$R1717='تقرير ديسمبر'!$C$4,$P1717='تقرير ديسمبر'!$C$6),COUNT(Z$4:Z1716)+1,"")</f>
        <v/>
      </c>
      <c r="AA1717">
        <f>IF(AND($A1717&lt;&gt;"",$B1717&lt;&gt;"",$R1717='تقرير يناير'!$C$4,$P1717='تقرير يناير'!$C$6),COUNT(AA$4:AA1716)+1,"")</f>
        <v/>
      </c>
      <c r="AB1717">
        <f>IF(AND($A1717&lt;&gt;"",$B1717&lt;&gt;"",$R1717='تقرير فبراير'!$C$4,$P1717='تقرير فبراير'!$C$6),COUNT(AB$4:AB1716)+1,"")</f>
        <v/>
      </c>
      <c r="AC1717">
        <f>IF(AND($A1717&lt;&gt;"",$B1717&lt;&gt;"",$R1717='تقرير مارس'!$C$4,$P1717='تقرير مارس'!$C$6),COUNT(AC$4:AC1716)+1,"")</f>
        <v/>
      </c>
      <c r="AD1717">
        <f>IF(AND($A1717&lt;&gt;"",$B1717&lt;&gt;"",$R1717='تقرير أبريل'!$C$4,$P1717='تقرير أبريل'!$C$6),COUNT(AD$4:AD1716)+1,"")</f>
        <v/>
      </c>
      <c r="AE1717">
        <f>IF(AND($A1717&lt;&gt;"",$B1717&lt;&gt;"",$R1717='تقرير مايو'!$C$4,$P1717='تقرير مايو'!$C$6),COUNT(AE$4:AE1716)+1,"")</f>
        <v/>
      </c>
    </row>
    <row r="1718">
      <c r="A1718" s="16" t="n"/>
      <c r="B1718" s="17" t="n"/>
      <c r="C1718" s="17" t="n"/>
      <c r="D1718" s="18" t="n"/>
      <c r="E1718" s="17" t="n"/>
      <c r="F1718" s="17" t="n"/>
      <c r="G1718" s="19" t="n"/>
      <c r="H1718" s="17" t="n"/>
      <c r="I1718" s="17" t="n"/>
      <c r="J1718" s="17" t="n"/>
      <c r="K1718" s="20">
        <f>IF($B1718="","",IFERROR(INDEX(الموظفات!$A$5:$A$304,MATCH($B1718,الموظفات!$B$5:$B$304,0))&amp;"",""))</f>
        <v/>
      </c>
      <c r="L1718" s="21">
        <f>IF($B1718="","",IFERROR(INDEX(الموظفات!$C$5:$C$304,MATCH($B1718,الموظفات!$B$5:$B$304,0))&amp;"",""))</f>
        <v/>
      </c>
      <c r="M1718" s="20">
        <f>IF($B1718="","",IFERROR(INDEX(الموظفات!$D$5:$D$304,MATCH($B1718,الموظفات!$B$5:$B$304,0))&amp;"",""))</f>
        <v/>
      </c>
      <c r="N1718" s="20">
        <f>IF($B1718="","",IFERROR(INDEX(الموظفات!$E$5:$E$304,MATCH($B1718,الموظفات!$B$5:$B$304,0))&amp;"",""))</f>
        <v/>
      </c>
      <c r="O1718" s="21">
        <f>IF(C1718="","",IFERROR(INDEX(الإعدادات!$D$7:$D$35,MATCH(C1718,الإعدادات!$A$7:$A$35,0))&amp;"",""))</f>
        <v/>
      </c>
      <c r="P1718" s="20">
        <f>IF(A1718="","",INDEX(الإعدادات!$H$7:$H$18,MONTH(A1718)))</f>
        <v/>
      </c>
      <c r="Q1718" s="20">
        <f>IF(A1718="","",INDEX(الإعدادات!$I$7:$I$18,MONTH(A1718)))</f>
        <v/>
      </c>
      <c r="R1718" s="20">
        <f>IF(A1718="","",IF(MONTH(A1718)&gt;=8,YEAR(A1718)&amp;"-"&amp;(YEAR(A1718)+1),(YEAR(A1718)-1)&amp;"-"&amp;YEAR(A1718)))</f>
        <v/>
      </c>
      <c r="S1718" s="20">
        <f>IF(OR(A1718="",B1718=""),0,IF(AND(R1718=التقارير!$C$4,OR(التقارير!$C$5="سنوي",AND(التقارير!$C$5="شهري",P1718=التقارير!$C$6),AND(التقارير!$C$5="فصلي",Q1718=التقارير!$C$7))),1,0))</f>
        <v/>
      </c>
      <c r="T1718" s="20">
        <f>IF(S1718=1,COUNTIF($S$5:S1718,1),"")</f>
        <v/>
      </c>
      <c r="U1718">
        <f>IF(AND($A1718&lt;&gt;"",$B1718&lt;&gt;"",$R1718='تقرير الفصل الأول'!$C$4,$Q1718='تقرير الفصل الأول'!$C$7),COUNT(U$4:U1717)+1,"")</f>
        <v/>
      </c>
      <c r="V1718">
        <f>IF(AND($A1718&lt;&gt;"",$B1718&lt;&gt;"",$R1718='تقرير الفصل الثاني'!$C$4,$Q1718='تقرير الفصل الثاني'!$C$7),COUNT(V$4:V1717)+1,"")</f>
        <v/>
      </c>
      <c r="W1718">
        <f>IF(AND($A1718&lt;&gt;"",$B1718&lt;&gt;"",$R1718='تقرير سبتمبر'!$C$4,$P1718='تقرير سبتمبر'!$C$6),COUNT(W$4:W1717)+1,"")</f>
        <v/>
      </c>
      <c r="X1718">
        <f>IF(AND($A1718&lt;&gt;"",$B1718&lt;&gt;"",$R1718='تقرير أكتوبر'!$C$4,$P1718='تقرير أكتوبر'!$C$6),COUNT(X$4:X1717)+1,"")</f>
        <v/>
      </c>
      <c r="Y1718">
        <f>IF(AND($A1718&lt;&gt;"",$B1718&lt;&gt;"",$R1718='تقرير نوفمبر'!$C$4,$P1718='تقرير نوفمبر'!$C$6),COUNT(Y$4:Y1717)+1,"")</f>
        <v/>
      </c>
      <c r="Z1718">
        <f>IF(AND($A1718&lt;&gt;"",$B1718&lt;&gt;"",$R1718='تقرير ديسمبر'!$C$4,$P1718='تقرير ديسمبر'!$C$6),COUNT(Z$4:Z1717)+1,"")</f>
        <v/>
      </c>
      <c r="AA1718">
        <f>IF(AND($A1718&lt;&gt;"",$B1718&lt;&gt;"",$R1718='تقرير يناير'!$C$4,$P1718='تقرير يناير'!$C$6),COUNT(AA$4:AA1717)+1,"")</f>
        <v/>
      </c>
      <c r="AB1718">
        <f>IF(AND($A1718&lt;&gt;"",$B1718&lt;&gt;"",$R1718='تقرير فبراير'!$C$4,$P1718='تقرير فبراير'!$C$6),COUNT(AB$4:AB1717)+1,"")</f>
        <v/>
      </c>
      <c r="AC1718">
        <f>IF(AND($A1718&lt;&gt;"",$B1718&lt;&gt;"",$R1718='تقرير مارس'!$C$4,$P1718='تقرير مارس'!$C$6),COUNT(AC$4:AC1717)+1,"")</f>
        <v/>
      </c>
      <c r="AD1718">
        <f>IF(AND($A1718&lt;&gt;"",$B1718&lt;&gt;"",$R1718='تقرير أبريل'!$C$4,$P1718='تقرير أبريل'!$C$6),COUNT(AD$4:AD1717)+1,"")</f>
        <v/>
      </c>
      <c r="AE1718">
        <f>IF(AND($A1718&lt;&gt;"",$B1718&lt;&gt;"",$R1718='تقرير مايو'!$C$4,$P1718='تقرير مايو'!$C$6),COUNT(AE$4:AE1717)+1,"")</f>
        <v/>
      </c>
    </row>
    <row r="1719">
      <c r="A1719" s="16" t="n"/>
      <c r="B1719" s="17" t="n"/>
      <c r="C1719" s="17" t="n"/>
      <c r="D1719" s="18" t="n"/>
      <c r="E1719" s="17" t="n"/>
      <c r="F1719" s="17" t="n"/>
      <c r="G1719" s="19" t="n"/>
      <c r="H1719" s="17" t="n"/>
      <c r="I1719" s="17" t="n"/>
      <c r="J1719" s="17" t="n"/>
      <c r="K1719" s="20">
        <f>IF($B1719="","",IFERROR(INDEX(الموظفات!$A$5:$A$304,MATCH($B1719,الموظفات!$B$5:$B$304,0))&amp;"",""))</f>
        <v/>
      </c>
      <c r="L1719" s="21">
        <f>IF($B1719="","",IFERROR(INDEX(الموظفات!$C$5:$C$304,MATCH($B1719,الموظفات!$B$5:$B$304,0))&amp;"",""))</f>
        <v/>
      </c>
      <c r="M1719" s="20">
        <f>IF($B1719="","",IFERROR(INDEX(الموظفات!$D$5:$D$304,MATCH($B1719,الموظفات!$B$5:$B$304,0))&amp;"",""))</f>
        <v/>
      </c>
      <c r="N1719" s="20">
        <f>IF($B1719="","",IFERROR(INDEX(الموظفات!$E$5:$E$304,MATCH($B1719,الموظفات!$B$5:$B$304,0))&amp;"",""))</f>
        <v/>
      </c>
      <c r="O1719" s="21">
        <f>IF(C1719="","",IFERROR(INDEX(الإعدادات!$D$7:$D$35,MATCH(C1719,الإعدادات!$A$7:$A$35,0))&amp;"",""))</f>
        <v/>
      </c>
      <c r="P1719" s="20">
        <f>IF(A1719="","",INDEX(الإعدادات!$H$7:$H$18,MONTH(A1719)))</f>
        <v/>
      </c>
      <c r="Q1719" s="20">
        <f>IF(A1719="","",INDEX(الإعدادات!$I$7:$I$18,MONTH(A1719)))</f>
        <v/>
      </c>
      <c r="R1719" s="20">
        <f>IF(A1719="","",IF(MONTH(A1719)&gt;=8,YEAR(A1719)&amp;"-"&amp;(YEAR(A1719)+1),(YEAR(A1719)-1)&amp;"-"&amp;YEAR(A1719)))</f>
        <v/>
      </c>
      <c r="S1719" s="20">
        <f>IF(OR(A1719="",B1719=""),0,IF(AND(R1719=التقارير!$C$4,OR(التقارير!$C$5="سنوي",AND(التقارير!$C$5="شهري",P1719=التقارير!$C$6),AND(التقارير!$C$5="فصلي",Q1719=التقارير!$C$7))),1,0))</f>
        <v/>
      </c>
      <c r="T1719" s="20">
        <f>IF(S1719=1,COUNTIF($S$5:S1719,1),"")</f>
        <v/>
      </c>
      <c r="U1719">
        <f>IF(AND($A1719&lt;&gt;"",$B1719&lt;&gt;"",$R1719='تقرير الفصل الأول'!$C$4,$Q1719='تقرير الفصل الأول'!$C$7),COUNT(U$4:U1718)+1,"")</f>
        <v/>
      </c>
      <c r="V1719">
        <f>IF(AND($A1719&lt;&gt;"",$B1719&lt;&gt;"",$R1719='تقرير الفصل الثاني'!$C$4,$Q1719='تقرير الفصل الثاني'!$C$7),COUNT(V$4:V1718)+1,"")</f>
        <v/>
      </c>
      <c r="W1719">
        <f>IF(AND($A1719&lt;&gt;"",$B1719&lt;&gt;"",$R1719='تقرير سبتمبر'!$C$4,$P1719='تقرير سبتمبر'!$C$6),COUNT(W$4:W1718)+1,"")</f>
        <v/>
      </c>
      <c r="X1719">
        <f>IF(AND($A1719&lt;&gt;"",$B1719&lt;&gt;"",$R1719='تقرير أكتوبر'!$C$4,$P1719='تقرير أكتوبر'!$C$6),COUNT(X$4:X1718)+1,"")</f>
        <v/>
      </c>
      <c r="Y1719">
        <f>IF(AND($A1719&lt;&gt;"",$B1719&lt;&gt;"",$R1719='تقرير نوفمبر'!$C$4,$P1719='تقرير نوفمبر'!$C$6),COUNT(Y$4:Y1718)+1,"")</f>
        <v/>
      </c>
      <c r="Z1719">
        <f>IF(AND($A1719&lt;&gt;"",$B1719&lt;&gt;"",$R1719='تقرير ديسمبر'!$C$4,$P1719='تقرير ديسمبر'!$C$6),COUNT(Z$4:Z1718)+1,"")</f>
        <v/>
      </c>
      <c r="AA1719">
        <f>IF(AND($A1719&lt;&gt;"",$B1719&lt;&gt;"",$R1719='تقرير يناير'!$C$4,$P1719='تقرير يناير'!$C$6),COUNT(AA$4:AA1718)+1,"")</f>
        <v/>
      </c>
      <c r="AB1719">
        <f>IF(AND($A1719&lt;&gt;"",$B1719&lt;&gt;"",$R1719='تقرير فبراير'!$C$4,$P1719='تقرير فبراير'!$C$6),COUNT(AB$4:AB1718)+1,"")</f>
        <v/>
      </c>
      <c r="AC1719">
        <f>IF(AND($A1719&lt;&gt;"",$B1719&lt;&gt;"",$R1719='تقرير مارس'!$C$4,$P1719='تقرير مارس'!$C$6),COUNT(AC$4:AC1718)+1,"")</f>
        <v/>
      </c>
      <c r="AD1719">
        <f>IF(AND($A1719&lt;&gt;"",$B1719&lt;&gt;"",$R1719='تقرير أبريل'!$C$4,$P1719='تقرير أبريل'!$C$6),COUNT(AD$4:AD1718)+1,"")</f>
        <v/>
      </c>
      <c r="AE1719">
        <f>IF(AND($A1719&lt;&gt;"",$B1719&lt;&gt;"",$R1719='تقرير مايو'!$C$4,$P1719='تقرير مايو'!$C$6),COUNT(AE$4:AE1718)+1,"")</f>
        <v/>
      </c>
    </row>
    <row r="1720">
      <c r="A1720" s="16" t="n"/>
      <c r="B1720" s="17" t="n"/>
      <c r="C1720" s="17" t="n"/>
      <c r="D1720" s="18" t="n"/>
      <c r="E1720" s="17" t="n"/>
      <c r="F1720" s="17" t="n"/>
      <c r="G1720" s="19" t="n"/>
      <c r="H1720" s="17" t="n"/>
      <c r="I1720" s="17" t="n"/>
      <c r="J1720" s="17" t="n"/>
      <c r="K1720" s="20">
        <f>IF($B1720="","",IFERROR(INDEX(الموظفات!$A$5:$A$304,MATCH($B1720,الموظفات!$B$5:$B$304,0))&amp;"",""))</f>
        <v/>
      </c>
      <c r="L1720" s="21">
        <f>IF($B1720="","",IFERROR(INDEX(الموظفات!$C$5:$C$304,MATCH($B1720,الموظفات!$B$5:$B$304,0))&amp;"",""))</f>
        <v/>
      </c>
      <c r="M1720" s="20">
        <f>IF($B1720="","",IFERROR(INDEX(الموظفات!$D$5:$D$304,MATCH($B1720,الموظفات!$B$5:$B$304,0))&amp;"",""))</f>
        <v/>
      </c>
      <c r="N1720" s="20">
        <f>IF($B1720="","",IFERROR(INDEX(الموظفات!$E$5:$E$304,MATCH($B1720,الموظفات!$B$5:$B$304,0))&amp;"",""))</f>
        <v/>
      </c>
      <c r="O1720" s="21">
        <f>IF(C1720="","",IFERROR(INDEX(الإعدادات!$D$7:$D$35,MATCH(C1720,الإعدادات!$A$7:$A$35,0))&amp;"",""))</f>
        <v/>
      </c>
      <c r="P1720" s="20">
        <f>IF(A1720="","",INDEX(الإعدادات!$H$7:$H$18,MONTH(A1720)))</f>
        <v/>
      </c>
      <c r="Q1720" s="20">
        <f>IF(A1720="","",INDEX(الإعدادات!$I$7:$I$18,MONTH(A1720)))</f>
        <v/>
      </c>
      <c r="R1720" s="20">
        <f>IF(A1720="","",IF(MONTH(A1720)&gt;=8,YEAR(A1720)&amp;"-"&amp;(YEAR(A1720)+1),(YEAR(A1720)-1)&amp;"-"&amp;YEAR(A1720)))</f>
        <v/>
      </c>
      <c r="S1720" s="20">
        <f>IF(OR(A1720="",B1720=""),0,IF(AND(R1720=التقارير!$C$4,OR(التقارير!$C$5="سنوي",AND(التقارير!$C$5="شهري",P1720=التقارير!$C$6),AND(التقارير!$C$5="فصلي",Q1720=التقارير!$C$7))),1,0))</f>
        <v/>
      </c>
      <c r="T1720" s="20">
        <f>IF(S1720=1,COUNTIF($S$5:S1720,1),"")</f>
        <v/>
      </c>
      <c r="U1720">
        <f>IF(AND($A1720&lt;&gt;"",$B1720&lt;&gt;"",$R1720='تقرير الفصل الأول'!$C$4,$Q1720='تقرير الفصل الأول'!$C$7),COUNT(U$4:U1719)+1,"")</f>
        <v/>
      </c>
      <c r="V1720">
        <f>IF(AND($A1720&lt;&gt;"",$B1720&lt;&gt;"",$R1720='تقرير الفصل الثاني'!$C$4,$Q1720='تقرير الفصل الثاني'!$C$7),COUNT(V$4:V1719)+1,"")</f>
        <v/>
      </c>
      <c r="W1720">
        <f>IF(AND($A1720&lt;&gt;"",$B1720&lt;&gt;"",$R1720='تقرير سبتمبر'!$C$4,$P1720='تقرير سبتمبر'!$C$6),COUNT(W$4:W1719)+1,"")</f>
        <v/>
      </c>
      <c r="X1720">
        <f>IF(AND($A1720&lt;&gt;"",$B1720&lt;&gt;"",$R1720='تقرير أكتوبر'!$C$4,$P1720='تقرير أكتوبر'!$C$6),COUNT(X$4:X1719)+1,"")</f>
        <v/>
      </c>
      <c r="Y1720">
        <f>IF(AND($A1720&lt;&gt;"",$B1720&lt;&gt;"",$R1720='تقرير نوفمبر'!$C$4,$P1720='تقرير نوفمبر'!$C$6),COUNT(Y$4:Y1719)+1,"")</f>
        <v/>
      </c>
      <c r="Z1720">
        <f>IF(AND($A1720&lt;&gt;"",$B1720&lt;&gt;"",$R1720='تقرير ديسمبر'!$C$4,$P1720='تقرير ديسمبر'!$C$6),COUNT(Z$4:Z1719)+1,"")</f>
        <v/>
      </c>
      <c r="AA1720">
        <f>IF(AND($A1720&lt;&gt;"",$B1720&lt;&gt;"",$R1720='تقرير يناير'!$C$4,$P1720='تقرير يناير'!$C$6),COUNT(AA$4:AA1719)+1,"")</f>
        <v/>
      </c>
      <c r="AB1720">
        <f>IF(AND($A1720&lt;&gt;"",$B1720&lt;&gt;"",$R1720='تقرير فبراير'!$C$4,$P1720='تقرير فبراير'!$C$6),COUNT(AB$4:AB1719)+1,"")</f>
        <v/>
      </c>
      <c r="AC1720">
        <f>IF(AND($A1720&lt;&gt;"",$B1720&lt;&gt;"",$R1720='تقرير مارس'!$C$4,$P1720='تقرير مارس'!$C$6),COUNT(AC$4:AC1719)+1,"")</f>
        <v/>
      </c>
      <c r="AD1720">
        <f>IF(AND($A1720&lt;&gt;"",$B1720&lt;&gt;"",$R1720='تقرير أبريل'!$C$4,$P1720='تقرير أبريل'!$C$6),COUNT(AD$4:AD1719)+1,"")</f>
        <v/>
      </c>
      <c r="AE1720">
        <f>IF(AND($A1720&lt;&gt;"",$B1720&lt;&gt;"",$R1720='تقرير مايو'!$C$4,$P1720='تقرير مايو'!$C$6),COUNT(AE$4:AE1719)+1,"")</f>
        <v/>
      </c>
    </row>
    <row r="1721">
      <c r="A1721" s="16" t="n"/>
      <c r="B1721" s="17" t="n"/>
      <c r="C1721" s="17" t="n"/>
      <c r="D1721" s="18" t="n"/>
      <c r="E1721" s="17" t="n"/>
      <c r="F1721" s="17" t="n"/>
      <c r="G1721" s="19" t="n"/>
      <c r="H1721" s="17" t="n"/>
      <c r="I1721" s="17" t="n"/>
      <c r="J1721" s="17" t="n"/>
      <c r="K1721" s="20">
        <f>IF($B1721="","",IFERROR(INDEX(الموظفات!$A$5:$A$304,MATCH($B1721,الموظفات!$B$5:$B$304,0))&amp;"",""))</f>
        <v/>
      </c>
      <c r="L1721" s="21">
        <f>IF($B1721="","",IFERROR(INDEX(الموظفات!$C$5:$C$304,MATCH($B1721,الموظفات!$B$5:$B$304,0))&amp;"",""))</f>
        <v/>
      </c>
      <c r="M1721" s="20">
        <f>IF($B1721="","",IFERROR(INDEX(الموظفات!$D$5:$D$304,MATCH($B1721,الموظفات!$B$5:$B$304,0))&amp;"",""))</f>
        <v/>
      </c>
      <c r="N1721" s="20">
        <f>IF($B1721="","",IFERROR(INDEX(الموظفات!$E$5:$E$304,MATCH($B1721,الموظفات!$B$5:$B$304,0))&amp;"",""))</f>
        <v/>
      </c>
      <c r="O1721" s="21">
        <f>IF(C1721="","",IFERROR(INDEX(الإعدادات!$D$7:$D$35,MATCH(C1721,الإعدادات!$A$7:$A$35,0))&amp;"",""))</f>
        <v/>
      </c>
      <c r="P1721" s="20">
        <f>IF(A1721="","",INDEX(الإعدادات!$H$7:$H$18,MONTH(A1721)))</f>
        <v/>
      </c>
      <c r="Q1721" s="20">
        <f>IF(A1721="","",INDEX(الإعدادات!$I$7:$I$18,MONTH(A1721)))</f>
        <v/>
      </c>
      <c r="R1721" s="20">
        <f>IF(A1721="","",IF(MONTH(A1721)&gt;=8,YEAR(A1721)&amp;"-"&amp;(YEAR(A1721)+1),(YEAR(A1721)-1)&amp;"-"&amp;YEAR(A1721)))</f>
        <v/>
      </c>
      <c r="S1721" s="20">
        <f>IF(OR(A1721="",B1721=""),0,IF(AND(R1721=التقارير!$C$4,OR(التقارير!$C$5="سنوي",AND(التقارير!$C$5="شهري",P1721=التقارير!$C$6),AND(التقارير!$C$5="فصلي",Q1721=التقارير!$C$7))),1,0))</f>
        <v/>
      </c>
      <c r="T1721" s="20">
        <f>IF(S1721=1,COUNTIF($S$5:S1721,1),"")</f>
        <v/>
      </c>
      <c r="U1721">
        <f>IF(AND($A1721&lt;&gt;"",$B1721&lt;&gt;"",$R1721='تقرير الفصل الأول'!$C$4,$Q1721='تقرير الفصل الأول'!$C$7),COUNT(U$4:U1720)+1,"")</f>
        <v/>
      </c>
      <c r="V1721">
        <f>IF(AND($A1721&lt;&gt;"",$B1721&lt;&gt;"",$R1721='تقرير الفصل الثاني'!$C$4,$Q1721='تقرير الفصل الثاني'!$C$7),COUNT(V$4:V1720)+1,"")</f>
        <v/>
      </c>
      <c r="W1721">
        <f>IF(AND($A1721&lt;&gt;"",$B1721&lt;&gt;"",$R1721='تقرير سبتمبر'!$C$4,$P1721='تقرير سبتمبر'!$C$6),COUNT(W$4:W1720)+1,"")</f>
        <v/>
      </c>
      <c r="X1721">
        <f>IF(AND($A1721&lt;&gt;"",$B1721&lt;&gt;"",$R1721='تقرير أكتوبر'!$C$4,$P1721='تقرير أكتوبر'!$C$6),COUNT(X$4:X1720)+1,"")</f>
        <v/>
      </c>
      <c r="Y1721">
        <f>IF(AND($A1721&lt;&gt;"",$B1721&lt;&gt;"",$R1721='تقرير نوفمبر'!$C$4,$P1721='تقرير نوفمبر'!$C$6),COUNT(Y$4:Y1720)+1,"")</f>
        <v/>
      </c>
      <c r="Z1721">
        <f>IF(AND($A1721&lt;&gt;"",$B1721&lt;&gt;"",$R1721='تقرير ديسمبر'!$C$4,$P1721='تقرير ديسمبر'!$C$6),COUNT(Z$4:Z1720)+1,"")</f>
        <v/>
      </c>
      <c r="AA1721">
        <f>IF(AND($A1721&lt;&gt;"",$B1721&lt;&gt;"",$R1721='تقرير يناير'!$C$4,$P1721='تقرير يناير'!$C$6),COUNT(AA$4:AA1720)+1,"")</f>
        <v/>
      </c>
      <c r="AB1721">
        <f>IF(AND($A1721&lt;&gt;"",$B1721&lt;&gt;"",$R1721='تقرير فبراير'!$C$4,$P1721='تقرير فبراير'!$C$6),COUNT(AB$4:AB1720)+1,"")</f>
        <v/>
      </c>
      <c r="AC1721">
        <f>IF(AND($A1721&lt;&gt;"",$B1721&lt;&gt;"",$R1721='تقرير مارس'!$C$4,$P1721='تقرير مارس'!$C$6),COUNT(AC$4:AC1720)+1,"")</f>
        <v/>
      </c>
      <c r="AD1721">
        <f>IF(AND($A1721&lt;&gt;"",$B1721&lt;&gt;"",$R1721='تقرير أبريل'!$C$4,$P1721='تقرير أبريل'!$C$6),COUNT(AD$4:AD1720)+1,"")</f>
        <v/>
      </c>
      <c r="AE1721">
        <f>IF(AND($A1721&lt;&gt;"",$B1721&lt;&gt;"",$R1721='تقرير مايو'!$C$4,$P1721='تقرير مايو'!$C$6),COUNT(AE$4:AE1720)+1,"")</f>
        <v/>
      </c>
    </row>
    <row r="1722">
      <c r="A1722" s="16" t="n"/>
      <c r="B1722" s="17" t="n"/>
      <c r="C1722" s="17" t="n"/>
      <c r="D1722" s="18" t="n"/>
      <c r="E1722" s="17" t="n"/>
      <c r="F1722" s="17" t="n"/>
      <c r="G1722" s="19" t="n"/>
      <c r="H1722" s="17" t="n"/>
      <c r="I1722" s="17" t="n"/>
      <c r="J1722" s="17" t="n"/>
      <c r="K1722" s="20">
        <f>IF($B1722="","",IFERROR(INDEX(الموظفات!$A$5:$A$304,MATCH($B1722,الموظفات!$B$5:$B$304,0))&amp;"",""))</f>
        <v/>
      </c>
      <c r="L1722" s="21">
        <f>IF($B1722="","",IFERROR(INDEX(الموظفات!$C$5:$C$304,MATCH($B1722,الموظفات!$B$5:$B$304,0))&amp;"",""))</f>
        <v/>
      </c>
      <c r="M1722" s="20">
        <f>IF($B1722="","",IFERROR(INDEX(الموظفات!$D$5:$D$304,MATCH($B1722,الموظفات!$B$5:$B$304,0))&amp;"",""))</f>
        <v/>
      </c>
      <c r="N1722" s="20">
        <f>IF($B1722="","",IFERROR(INDEX(الموظفات!$E$5:$E$304,MATCH($B1722,الموظفات!$B$5:$B$304,0))&amp;"",""))</f>
        <v/>
      </c>
      <c r="O1722" s="21">
        <f>IF(C1722="","",IFERROR(INDEX(الإعدادات!$D$7:$D$35,MATCH(C1722,الإعدادات!$A$7:$A$35,0))&amp;"",""))</f>
        <v/>
      </c>
      <c r="P1722" s="20">
        <f>IF(A1722="","",INDEX(الإعدادات!$H$7:$H$18,MONTH(A1722)))</f>
        <v/>
      </c>
      <c r="Q1722" s="20">
        <f>IF(A1722="","",INDEX(الإعدادات!$I$7:$I$18,MONTH(A1722)))</f>
        <v/>
      </c>
      <c r="R1722" s="20">
        <f>IF(A1722="","",IF(MONTH(A1722)&gt;=8,YEAR(A1722)&amp;"-"&amp;(YEAR(A1722)+1),(YEAR(A1722)-1)&amp;"-"&amp;YEAR(A1722)))</f>
        <v/>
      </c>
      <c r="S1722" s="20">
        <f>IF(OR(A1722="",B1722=""),0,IF(AND(R1722=التقارير!$C$4,OR(التقارير!$C$5="سنوي",AND(التقارير!$C$5="شهري",P1722=التقارير!$C$6),AND(التقارير!$C$5="فصلي",Q1722=التقارير!$C$7))),1,0))</f>
        <v/>
      </c>
      <c r="T1722" s="20">
        <f>IF(S1722=1,COUNTIF($S$5:S1722,1),"")</f>
        <v/>
      </c>
      <c r="U1722">
        <f>IF(AND($A1722&lt;&gt;"",$B1722&lt;&gt;"",$R1722='تقرير الفصل الأول'!$C$4,$Q1722='تقرير الفصل الأول'!$C$7),COUNT(U$4:U1721)+1,"")</f>
        <v/>
      </c>
      <c r="V1722">
        <f>IF(AND($A1722&lt;&gt;"",$B1722&lt;&gt;"",$R1722='تقرير الفصل الثاني'!$C$4,$Q1722='تقرير الفصل الثاني'!$C$7),COUNT(V$4:V1721)+1,"")</f>
        <v/>
      </c>
      <c r="W1722">
        <f>IF(AND($A1722&lt;&gt;"",$B1722&lt;&gt;"",$R1722='تقرير سبتمبر'!$C$4,$P1722='تقرير سبتمبر'!$C$6),COUNT(W$4:W1721)+1,"")</f>
        <v/>
      </c>
      <c r="X1722">
        <f>IF(AND($A1722&lt;&gt;"",$B1722&lt;&gt;"",$R1722='تقرير أكتوبر'!$C$4,$P1722='تقرير أكتوبر'!$C$6),COUNT(X$4:X1721)+1,"")</f>
        <v/>
      </c>
      <c r="Y1722">
        <f>IF(AND($A1722&lt;&gt;"",$B1722&lt;&gt;"",$R1722='تقرير نوفمبر'!$C$4,$P1722='تقرير نوفمبر'!$C$6),COUNT(Y$4:Y1721)+1,"")</f>
        <v/>
      </c>
      <c r="Z1722">
        <f>IF(AND($A1722&lt;&gt;"",$B1722&lt;&gt;"",$R1722='تقرير ديسمبر'!$C$4,$P1722='تقرير ديسمبر'!$C$6),COUNT(Z$4:Z1721)+1,"")</f>
        <v/>
      </c>
      <c r="AA1722">
        <f>IF(AND($A1722&lt;&gt;"",$B1722&lt;&gt;"",$R1722='تقرير يناير'!$C$4,$P1722='تقرير يناير'!$C$6),COUNT(AA$4:AA1721)+1,"")</f>
        <v/>
      </c>
      <c r="AB1722">
        <f>IF(AND($A1722&lt;&gt;"",$B1722&lt;&gt;"",$R1722='تقرير فبراير'!$C$4,$P1722='تقرير فبراير'!$C$6),COUNT(AB$4:AB1721)+1,"")</f>
        <v/>
      </c>
      <c r="AC1722">
        <f>IF(AND($A1722&lt;&gt;"",$B1722&lt;&gt;"",$R1722='تقرير مارس'!$C$4,$P1722='تقرير مارس'!$C$6),COUNT(AC$4:AC1721)+1,"")</f>
        <v/>
      </c>
      <c r="AD1722">
        <f>IF(AND($A1722&lt;&gt;"",$B1722&lt;&gt;"",$R1722='تقرير أبريل'!$C$4,$P1722='تقرير أبريل'!$C$6),COUNT(AD$4:AD1721)+1,"")</f>
        <v/>
      </c>
      <c r="AE1722">
        <f>IF(AND($A1722&lt;&gt;"",$B1722&lt;&gt;"",$R1722='تقرير مايو'!$C$4,$P1722='تقرير مايو'!$C$6),COUNT(AE$4:AE1721)+1,"")</f>
        <v/>
      </c>
    </row>
    <row r="1723">
      <c r="A1723" s="16" t="n"/>
      <c r="B1723" s="17" t="n"/>
      <c r="C1723" s="17" t="n"/>
      <c r="D1723" s="18" t="n"/>
      <c r="E1723" s="17" t="n"/>
      <c r="F1723" s="17" t="n"/>
      <c r="G1723" s="19" t="n"/>
      <c r="H1723" s="17" t="n"/>
      <c r="I1723" s="17" t="n"/>
      <c r="J1723" s="17" t="n"/>
      <c r="K1723" s="20">
        <f>IF($B1723="","",IFERROR(INDEX(الموظفات!$A$5:$A$304,MATCH($B1723,الموظفات!$B$5:$B$304,0))&amp;"",""))</f>
        <v/>
      </c>
      <c r="L1723" s="21">
        <f>IF($B1723="","",IFERROR(INDEX(الموظفات!$C$5:$C$304,MATCH($B1723,الموظفات!$B$5:$B$304,0))&amp;"",""))</f>
        <v/>
      </c>
      <c r="M1723" s="20">
        <f>IF($B1723="","",IFERROR(INDEX(الموظفات!$D$5:$D$304,MATCH($B1723,الموظفات!$B$5:$B$304,0))&amp;"",""))</f>
        <v/>
      </c>
      <c r="N1723" s="20">
        <f>IF($B1723="","",IFERROR(INDEX(الموظفات!$E$5:$E$304,MATCH($B1723,الموظفات!$B$5:$B$304,0))&amp;"",""))</f>
        <v/>
      </c>
      <c r="O1723" s="21">
        <f>IF(C1723="","",IFERROR(INDEX(الإعدادات!$D$7:$D$35,MATCH(C1723,الإعدادات!$A$7:$A$35,0))&amp;"",""))</f>
        <v/>
      </c>
      <c r="P1723" s="20">
        <f>IF(A1723="","",INDEX(الإعدادات!$H$7:$H$18,MONTH(A1723)))</f>
        <v/>
      </c>
      <c r="Q1723" s="20">
        <f>IF(A1723="","",INDEX(الإعدادات!$I$7:$I$18,MONTH(A1723)))</f>
        <v/>
      </c>
      <c r="R1723" s="20">
        <f>IF(A1723="","",IF(MONTH(A1723)&gt;=8,YEAR(A1723)&amp;"-"&amp;(YEAR(A1723)+1),(YEAR(A1723)-1)&amp;"-"&amp;YEAR(A1723)))</f>
        <v/>
      </c>
      <c r="S1723" s="20">
        <f>IF(OR(A1723="",B1723=""),0,IF(AND(R1723=التقارير!$C$4,OR(التقارير!$C$5="سنوي",AND(التقارير!$C$5="شهري",P1723=التقارير!$C$6),AND(التقارير!$C$5="فصلي",Q1723=التقارير!$C$7))),1,0))</f>
        <v/>
      </c>
      <c r="T1723" s="20">
        <f>IF(S1723=1,COUNTIF($S$5:S1723,1),"")</f>
        <v/>
      </c>
      <c r="U1723">
        <f>IF(AND($A1723&lt;&gt;"",$B1723&lt;&gt;"",$R1723='تقرير الفصل الأول'!$C$4,$Q1723='تقرير الفصل الأول'!$C$7),COUNT(U$4:U1722)+1,"")</f>
        <v/>
      </c>
      <c r="V1723">
        <f>IF(AND($A1723&lt;&gt;"",$B1723&lt;&gt;"",$R1723='تقرير الفصل الثاني'!$C$4,$Q1723='تقرير الفصل الثاني'!$C$7),COUNT(V$4:V1722)+1,"")</f>
        <v/>
      </c>
      <c r="W1723">
        <f>IF(AND($A1723&lt;&gt;"",$B1723&lt;&gt;"",$R1723='تقرير سبتمبر'!$C$4,$P1723='تقرير سبتمبر'!$C$6),COUNT(W$4:W1722)+1,"")</f>
        <v/>
      </c>
      <c r="X1723">
        <f>IF(AND($A1723&lt;&gt;"",$B1723&lt;&gt;"",$R1723='تقرير أكتوبر'!$C$4,$P1723='تقرير أكتوبر'!$C$6),COUNT(X$4:X1722)+1,"")</f>
        <v/>
      </c>
      <c r="Y1723">
        <f>IF(AND($A1723&lt;&gt;"",$B1723&lt;&gt;"",$R1723='تقرير نوفمبر'!$C$4,$P1723='تقرير نوفمبر'!$C$6),COUNT(Y$4:Y1722)+1,"")</f>
        <v/>
      </c>
      <c r="Z1723">
        <f>IF(AND($A1723&lt;&gt;"",$B1723&lt;&gt;"",$R1723='تقرير ديسمبر'!$C$4,$P1723='تقرير ديسمبر'!$C$6),COUNT(Z$4:Z1722)+1,"")</f>
        <v/>
      </c>
      <c r="AA1723">
        <f>IF(AND($A1723&lt;&gt;"",$B1723&lt;&gt;"",$R1723='تقرير يناير'!$C$4,$P1723='تقرير يناير'!$C$6),COUNT(AA$4:AA1722)+1,"")</f>
        <v/>
      </c>
      <c r="AB1723">
        <f>IF(AND($A1723&lt;&gt;"",$B1723&lt;&gt;"",$R1723='تقرير فبراير'!$C$4,$P1723='تقرير فبراير'!$C$6),COUNT(AB$4:AB1722)+1,"")</f>
        <v/>
      </c>
      <c r="AC1723">
        <f>IF(AND($A1723&lt;&gt;"",$B1723&lt;&gt;"",$R1723='تقرير مارس'!$C$4,$P1723='تقرير مارس'!$C$6),COUNT(AC$4:AC1722)+1,"")</f>
        <v/>
      </c>
      <c r="AD1723">
        <f>IF(AND($A1723&lt;&gt;"",$B1723&lt;&gt;"",$R1723='تقرير أبريل'!$C$4,$P1723='تقرير أبريل'!$C$6),COUNT(AD$4:AD1722)+1,"")</f>
        <v/>
      </c>
      <c r="AE1723">
        <f>IF(AND($A1723&lt;&gt;"",$B1723&lt;&gt;"",$R1723='تقرير مايو'!$C$4,$P1723='تقرير مايو'!$C$6),COUNT(AE$4:AE1722)+1,"")</f>
        <v/>
      </c>
    </row>
    <row r="1724">
      <c r="A1724" s="16" t="n"/>
      <c r="B1724" s="17" t="n"/>
      <c r="C1724" s="17" t="n"/>
      <c r="D1724" s="18" t="n"/>
      <c r="E1724" s="17" t="n"/>
      <c r="F1724" s="17" t="n"/>
      <c r="G1724" s="19" t="n"/>
      <c r="H1724" s="17" t="n"/>
      <c r="I1724" s="17" t="n"/>
      <c r="J1724" s="17" t="n"/>
      <c r="K1724" s="20">
        <f>IF($B1724="","",IFERROR(INDEX(الموظفات!$A$5:$A$304,MATCH($B1724,الموظفات!$B$5:$B$304,0))&amp;"",""))</f>
        <v/>
      </c>
      <c r="L1724" s="21">
        <f>IF($B1724="","",IFERROR(INDEX(الموظفات!$C$5:$C$304,MATCH($B1724,الموظفات!$B$5:$B$304,0))&amp;"",""))</f>
        <v/>
      </c>
      <c r="M1724" s="20">
        <f>IF($B1724="","",IFERROR(INDEX(الموظفات!$D$5:$D$304,MATCH($B1724,الموظفات!$B$5:$B$304,0))&amp;"",""))</f>
        <v/>
      </c>
      <c r="N1724" s="20">
        <f>IF($B1724="","",IFERROR(INDEX(الموظفات!$E$5:$E$304,MATCH($B1724,الموظفات!$B$5:$B$304,0))&amp;"",""))</f>
        <v/>
      </c>
      <c r="O1724" s="21">
        <f>IF(C1724="","",IFERROR(INDEX(الإعدادات!$D$7:$D$35,MATCH(C1724,الإعدادات!$A$7:$A$35,0))&amp;"",""))</f>
        <v/>
      </c>
      <c r="P1724" s="20">
        <f>IF(A1724="","",INDEX(الإعدادات!$H$7:$H$18,MONTH(A1724)))</f>
        <v/>
      </c>
      <c r="Q1724" s="20">
        <f>IF(A1724="","",INDEX(الإعدادات!$I$7:$I$18,MONTH(A1724)))</f>
        <v/>
      </c>
      <c r="R1724" s="20">
        <f>IF(A1724="","",IF(MONTH(A1724)&gt;=8,YEAR(A1724)&amp;"-"&amp;(YEAR(A1724)+1),(YEAR(A1724)-1)&amp;"-"&amp;YEAR(A1724)))</f>
        <v/>
      </c>
      <c r="S1724" s="20">
        <f>IF(OR(A1724="",B1724=""),0,IF(AND(R1724=التقارير!$C$4,OR(التقارير!$C$5="سنوي",AND(التقارير!$C$5="شهري",P1724=التقارير!$C$6),AND(التقارير!$C$5="فصلي",Q1724=التقارير!$C$7))),1,0))</f>
        <v/>
      </c>
      <c r="T1724" s="20">
        <f>IF(S1724=1,COUNTIF($S$5:S1724,1),"")</f>
        <v/>
      </c>
      <c r="U1724">
        <f>IF(AND($A1724&lt;&gt;"",$B1724&lt;&gt;"",$R1724='تقرير الفصل الأول'!$C$4,$Q1724='تقرير الفصل الأول'!$C$7),COUNT(U$4:U1723)+1,"")</f>
        <v/>
      </c>
      <c r="V1724">
        <f>IF(AND($A1724&lt;&gt;"",$B1724&lt;&gt;"",$R1724='تقرير الفصل الثاني'!$C$4,$Q1724='تقرير الفصل الثاني'!$C$7),COUNT(V$4:V1723)+1,"")</f>
        <v/>
      </c>
      <c r="W1724">
        <f>IF(AND($A1724&lt;&gt;"",$B1724&lt;&gt;"",$R1724='تقرير سبتمبر'!$C$4,$P1724='تقرير سبتمبر'!$C$6),COUNT(W$4:W1723)+1,"")</f>
        <v/>
      </c>
      <c r="X1724">
        <f>IF(AND($A1724&lt;&gt;"",$B1724&lt;&gt;"",$R1724='تقرير أكتوبر'!$C$4,$P1724='تقرير أكتوبر'!$C$6),COUNT(X$4:X1723)+1,"")</f>
        <v/>
      </c>
      <c r="Y1724">
        <f>IF(AND($A1724&lt;&gt;"",$B1724&lt;&gt;"",$R1724='تقرير نوفمبر'!$C$4,$P1724='تقرير نوفمبر'!$C$6),COUNT(Y$4:Y1723)+1,"")</f>
        <v/>
      </c>
      <c r="Z1724">
        <f>IF(AND($A1724&lt;&gt;"",$B1724&lt;&gt;"",$R1724='تقرير ديسمبر'!$C$4,$P1724='تقرير ديسمبر'!$C$6),COUNT(Z$4:Z1723)+1,"")</f>
        <v/>
      </c>
      <c r="AA1724">
        <f>IF(AND($A1724&lt;&gt;"",$B1724&lt;&gt;"",$R1724='تقرير يناير'!$C$4,$P1724='تقرير يناير'!$C$6),COUNT(AA$4:AA1723)+1,"")</f>
        <v/>
      </c>
      <c r="AB1724">
        <f>IF(AND($A1724&lt;&gt;"",$B1724&lt;&gt;"",$R1724='تقرير فبراير'!$C$4,$P1724='تقرير فبراير'!$C$6),COUNT(AB$4:AB1723)+1,"")</f>
        <v/>
      </c>
      <c r="AC1724">
        <f>IF(AND($A1724&lt;&gt;"",$B1724&lt;&gt;"",$R1724='تقرير مارس'!$C$4,$P1724='تقرير مارس'!$C$6),COUNT(AC$4:AC1723)+1,"")</f>
        <v/>
      </c>
      <c r="AD1724">
        <f>IF(AND($A1724&lt;&gt;"",$B1724&lt;&gt;"",$R1724='تقرير أبريل'!$C$4,$P1724='تقرير أبريل'!$C$6),COUNT(AD$4:AD1723)+1,"")</f>
        <v/>
      </c>
      <c r="AE1724">
        <f>IF(AND($A1724&lt;&gt;"",$B1724&lt;&gt;"",$R1724='تقرير مايو'!$C$4,$P1724='تقرير مايو'!$C$6),COUNT(AE$4:AE1723)+1,"")</f>
        <v/>
      </c>
    </row>
    <row r="1725">
      <c r="A1725" s="16" t="n"/>
      <c r="B1725" s="17" t="n"/>
      <c r="C1725" s="17" t="n"/>
      <c r="D1725" s="18" t="n"/>
      <c r="E1725" s="17" t="n"/>
      <c r="F1725" s="17" t="n"/>
      <c r="G1725" s="19" t="n"/>
      <c r="H1725" s="17" t="n"/>
      <c r="I1725" s="17" t="n"/>
      <c r="J1725" s="17" t="n"/>
      <c r="K1725" s="20">
        <f>IF($B1725="","",IFERROR(INDEX(الموظفات!$A$5:$A$304,MATCH($B1725,الموظفات!$B$5:$B$304,0))&amp;"",""))</f>
        <v/>
      </c>
      <c r="L1725" s="21">
        <f>IF($B1725="","",IFERROR(INDEX(الموظفات!$C$5:$C$304,MATCH($B1725,الموظفات!$B$5:$B$304,0))&amp;"",""))</f>
        <v/>
      </c>
      <c r="M1725" s="20">
        <f>IF($B1725="","",IFERROR(INDEX(الموظفات!$D$5:$D$304,MATCH($B1725,الموظفات!$B$5:$B$304,0))&amp;"",""))</f>
        <v/>
      </c>
      <c r="N1725" s="20">
        <f>IF($B1725="","",IFERROR(INDEX(الموظفات!$E$5:$E$304,MATCH($B1725,الموظفات!$B$5:$B$304,0))&amp;"",""))</f>
        <v/>
      </c>
      <c r="O1725" s="21">
        <f>IF(C1725="","",IFERROR(INDEX(الإعدادات!$D$7:$D$35,MATCH(C1725,الإعدادات!$A$7:$A$35,0))&amp;"",""))</f>
        <v/>
      </c>
      <c r="P1725" s="20">
        <f>IF(A1725="","",INDEX(الإعدادات!$H$7:$H$18,MONTH(A1725)))</f>
        <v/>
      </c>
      <c r="Q1725" s="20">
        <f>IF(A1725="","",INDEX(الإعدادات!$I$7:$I$18,MONTH(A1725)))</f>
        <v/>
      </c>
      <c r="R1725" s="20">
        <f>IF(A1725="","",IF(MONTH(A1725)&gt;=8,YEAR(A1725)&amp;"-"&amp;(YEAR(A1725)+1),(YEAR(A1725)-1)&amp;"-"&amp;YEAR(A1725)))</f>
        <v/>
      </c>
      <c r="S1725" s="20">
        <f>IF(OR(A1725="",B1725=""),0,IF(AND(R1725=التقارير!$C$4,OR(التقارير!$C$5="سنوي",AND(التقارير!$C$5="شهري",P1725=التقارير!$C$6),AND(التقارير!$C$5="فصلي",Q1725=التقارير!$C$7))),1,0))</f>
        <v/>
      </c>
      <c r="T1725" s="20">
        <f>IF(S1725=1,COUNTIF($S$5:S1725,1),"")</f>
        <v/>
      </c>
      <c r="U1725">
        <f>IF(AND($A1725&lt;&gt;"",$B1725&lt;&gt;"",$R1725='تقرير الفصل الأول'!$C$4,$Q1725='تقرير الفصل الأول'!$C$7),COUNT(U$4:U1724)+1,"")</f>
        <v/>
      </c>
      <c r="V1725">
        <f>IF(AND($A1725&lt;&gt;"",$B1725&lt;&gt;"",$R1725='تقرير الفصل الثاني'!$C$4,$Q1725='تقرير الفصل الثاني'!$C$7),COUNT(V$4:V1724)+1,"")</f>
        <v/>
      </c>
      <c r="W1725">
        <f>IF(AND($A1725&lt;&gt;"",$B1725&lt;&gt;"",$R1725='تقرير سبتمبر'!$C$4,$P1725='تقرير سبتمبر'!$C$6),COUNT(W$4:W1724)+1,"")</f>
        <v/>
      </c>
      <c r="X1725">
        <f>IF(AND($A1725&lt;&gt;"",$B1725&lt;&gt;"",$R1725='تقرير أكتوبر'!$C$4,$P1725='تقرير أكتوبر'!$C$6),COUNT(X$4:X1724)+1,"")</f>
        <v/>
      </c>
      <c r="Y1725">
        <f>IF(AND($A1725&lt;&gt;"",$B1725&lt;&gt;"",$R1725='تقرير نوفمبر'!$C$4,$P1725='تقرير نوفمبر'!$C$6),COUNT(Y$4:Y1724)+1,"")</f>
        <v/>
      </c>
      <c r="Z1725">
        <f>IF(AND($A1725&lt;&gt;"",$B1725&lt;&gt;"",$R1725='تقرير ديسمبر'!$C$4,$P1725='تقرير ديسمبر'!$C$6),COUNT(Z$4:Z1724)+1,"")</f>
        <v/>
      </c>
      <c r="AA1725">
        <f>IF(AND($A1725&lt;&gt;"",$B1725&lt;&gt;"",$R1725='تقرير يناير'!$C$4,$P1725='تقرير يناير'!$C$6),COUNT(AA$4:AA1724)+1,"")</f>
        <v/>
      </c>
      <c r="AB1725">
        <f>IF(AND($A1725&lt;&gt;"",$B1725&lt;&gt;"",$R1725='تقرير فبراير'!$C$4,$P1725='تقرير فبراير'!$C$6),COUNT(AB$4:AB1724)+1,"")</f>
        <v/>
      </c>
      <c r="AC1725">
        <f>IF(AND($A1725&lt;&gt;"",$B1725&lt;&gt;"",$R1725='تقرير مارس'!$C$4,$P1725='تقرير مارس'!$C$6),COUNT(AC$4:AC1724)+1,"")</f>
        <v/>
      </c>
      <c r="AD1725">
        <f>IF(AND($A1725&lt;&gt;"",$B1725&lt;&gt;"",$R1725='تقرير أبريل'!$C$4,$P1725='تقرير أبريل'!$C$6),COUNT(AD$4:AD1724)+1,"")</f>
        <v/>
      </c>
      <c r="AE1725">
        <f>IF(AND($A1725&lt;&gt;"",$B1725&lt;&gt;"",$R1725='تقرير مايو'!$C$4,$P1725='تقرير مايو'!$C$6),COUNT(AE$4:AE1724)+1,"")</f>
        <v/>
      </c>
    </row>
    <row r="1726">
      <c r="A1726" s="16" t="n"/>
      <c r="B1726" s="17" t="n"/>
      <c r="C1726" s="17" t="n"/>
      <c r="D1726" s="18" t="n"/>
      <c r="E1726" s="17" t="n"/>
      <c r="F1726" s="17" t="n"/>
      <c r="G1726" s="19" t="n"/>
      <c r="H1726" s="17" t="n"/>
      <c r="I1726" s="17" t="n"/>
      <c r="J1726" s="17" t="n"/>
      <c r="K1726" s="20">
        <f>IF($B1726="","",IFERROR(INDEX(الموظفات!$A$5:$A$304,MATCH($B1726,الموظفات!$B$5:$B$304,0))&amp;"",""))</f>
        <v/>
      </c>
      <c r="L1726" s="21">
        <f>IF($B1726="","",IFERROR(INDEX(الموظفات!$C$5:$C$304,MATCH($B1726,الموظفات!$B$5:$B$304,0))&amp;"",""))</f>
        <v/>
      </c>
      <c r="M1726" s="20">
        <f>IF($B1726="","",IFERROR(INDEX(الموظفات!$D$5:$D$304,MATCH($B1726,الموظفات!$B$5:$B$304,0))&amp;"",""))</f>
        <v/>
      </c>
      <c r="N1726" s="20">
        <f>IF($B1726="","",IFERROR(INDEX(الموظفات!$E$5:$E$304,MATCH($B1726,الموظفات!$B$5:$B$304,0))&amp;"",""))</f>
        <v/>
      </c>
      <c r="O1726" s="21">
        <f>IF(C1726="","",IFERROR(INDEX(الإعدادات!$D$7:$D$35,MATCH(C1726,الإعدادات!$A$7:$A$35,0))&amp;"",""))</f>
        <v/>
      </c>
      <c r="P1726" s="20">
        <f>IF(A1726="","",INDEX(الإعدادات!$H$7:$H$18,MONTH(A1726)))</f>
        <v/>
      </c>
      <c r="Q1726" s="20">
        <f>IF(A1726="","",INDEX(الإعدادات!$I$7:$I$18,MONTH(A1726)))</f>
        <v/>
      </c>
      <c r="R1726" s="20">
        <f>IF(A1726="","",IF(MONTH(A1726)&gt;=8,YEAR(A1726)&amp;"-"&amp;(YEAR(A1726)+1),(YEAR(A1726)-1)&amp;"-"&amp;YEAR(A1726)))</f>
        <v/>
      </c>
      <c r="S1726" s="20">
        <f>IF(OR(A1726="",B1726=""),0,IF(AND(R1726=التقارير!$C$4,OR(التقارير!$C$5="سنوي",AND(التقارير!$C$5="شهري",P1726=التقارير!$C$6),AND(التقارير!$C$5="فصلي",Q1726=التقارير!$C$7))),1,0))</f>
        <v/>
      </c>
      <c r="T1726" s="20">
        <f>IF(S1726=1,COUNTIF($S$5:S1726,1),"")</f>
        <v/>
      </c>
      <c r="U1726">
        <f>IF(AND($A1726&lt;&gt;"",$B1726&lt;&gt;"",$R1726='تقرير الفصل الأول'!$C$4,$Q1726='تقرير الفصل الأول'!$C$7),COUNT(U$4:U1725)+1,"")</f>
        <v/>
      </c>
      <c r="V1726">
        <f>IF(AND($A1726&lt;&gt;"",$B1726&lt;&gt;"",$R1726='تقرير الفصل الثاني'!$C$4,$Q1726='تقرير الفصل الثاني'!$C$7),COUNT(V$4:V1725)+1,"")</f>
        <v/>
      </c>
      <c r="W1726">
        <f>IF(AND($A1726&lt;&gt;"",$B1726&lt;&gt;"",$R1726='تقرير سبتمبر'!$C$4,$P1726='تقرير سبتمبر'!$C$6),COUNT(W$4:W1725)+1,"")</f>
        <v/>
      </c>
      <c r="X1726">
        <f>IF(AND($A1726&lt;&gt;"",$B1726&lt;&gt;"",$R1726='تقرير أكتوبر'!$C$4,$P1726='تقرير أكتوبر'!$C$6),COUNT(X$4:X1725)+1,"")</f>
        <v/>
      </c>
      <c r="Y1726">
        <f>IF(AND($A1726&lt;&gt;"",$B1726&lt;&gt;"",$R1726='تقرير نوفمبر'!$C$4,$P1726='تقرير نوفمبر'!$C$6),COUNT(Y$4:Y1725)+1,"")</f>
        <v/>
      </c>
      <c r="Z1726">
        <f>IF(AND($A1726&lt;&gt;"",$B1726&lt;&gt;"",$R1726='تقرير ديسمبر'!$C$4,$P1726='تقرير ديسمبر'!$C$6),COUNT(Z$4:Z1725)+1,"")</f>
        <v/>
      </c>
      <c r="AA1726">
        <f>IF(AND($A1726&lt;&gt;"",$B1726&lt;&gt;"",$R1726='تقرير يناير'!$C$4,$P1726='تقرير يناير'!$C$6),COUNT(AA$4:AA1725)+1,"")</f>
        <v/>
      </c>
      <c r="AB1726">
        <f>IF(AND($A1726&lt;&gt;"",$B1726&lt;&gt;"",$R1726='تقرير فبراير'!$C$4,$P1726='تقرير فبراير'!$C$6),COUNT(AB$4:AB1725)+1,"")</f>
        <v/>
      </c>
      <c r="AC1726">
        <f>IF(AND($A1726&lt;&gt;"",$B1726&lt;&gt;"",$R1726='تقرير مارس'!$C$4,$P1726='تقرير مارس'!$C$6),COUNT(AC$4:AC1725)+1,"")</f>
        <v/>
      </c>
      <c r="AD1726">
        <f>IF(AND($A1726&lt;&gt;"",$B1726&lt;&gt;"",$R1726='تقرير أبريل'!$C$4,$P1726='تقرير أبريل'!$C$6),COUNT(AD$4:AD1725)+1,"")</f>
        <v/>
      </c>
      <c r="AE1726">
        <f>IF(AND($A1726&lt;&gt;"",$B1726&lt;&gt;"",$R1726='تقرير مايو'!$C$4,$P1726='تقرير مايو'!$C$6),COUNT(AE$4:AE1725)+1,"")</f>
        <v/>
      </c>
    </row>
    <row r="1727">
      <c r="A1727" s="16" t="n"/>
      <c r="B1727" s="17" t="n"/>
      <c r="C1727" s="17" t="n"/>
      <c r="D1727" s="18" t="n"/>
      <c r="E1727" s="17" t="n"/>
      <c r="F1727" s="17" t="n"/>
      <c r="G1727" s="19" t="n"/>
      <c r="H1727" s="17" t="n"/>
      <c r="I1727" s="17" t="n"/>
      <c r="J1727" s="17" t="n"/>
      <c r="K1727" s="20">
        <f>IF($B1727="","",IFERROR(INDEX(الموظفات!$A$5:$A$304,MATCH($B1727,الموظفات!$B$5:$B$304,0))&amp;"",""))</f>
        <v/>
      </c>
      <c r="L1727" s="21">
        <f>IF($B1727="","",IFERROR(INDEX(الموظفات!$C$5:$C$304,MATCH($B1727,الموظفات!$B$5:$B$304,0))&amp;"",""))</f>
        <v/>
      </c>
      <c r="M1727" s="20">
        <f>IF($B1727="","",IFERROR(INDEX(الموظفات!$D$5:$D$304,MATCH($B1727,الموظفات!$B$5:$B$304,0))&amp;"",""))</f>
        <v/>
      </c>
      <c r="N1727" s="20">
        <f>IF($B1727="","",IFERROR(INDEX(الموظفات!$E$5:$E$304,MATCH($B1727,الموظفات!$B$5:$B$304,0))&amp;"",""))</f>
        <v/>
      </c>
      <c r="O1727" s="21">
        <f>IF(C1727="","",IFERROR(INDEX(الإعدادات!$D$7:$D$35,MATCH(C1727,الإعدادات!$A$7:$A$35,0))&amp;"",""))</f>
        <v/>
      </c>
      <c r="P1727" s="20">
        <f>IF(A1727="","",INDEX(الإعدادات!$H$7:$H$18,MONTH(A1727)))</f>
        <v/>
      </c>
      <c r="Q1727" s="20">
        <f>IF(A1727="","",INDEX(الإعدادات!$I$7:$I$18,MONTH(A1727)))</f>
        <v/>
      </c>
      <c r="R1727" s="20">
        <f>IF(A1727="","",IF(MONTH(A1727)&gt;=8,YEAR(A1727)&amp;"-"&amp;(YEAR(A1727)+1),(YEAR(A1727)-1)&amp;"-"&amp;YEAR(A1727)))</f>
        <v/>
      </c>
      <c r="S1727" s="20">
        <f>IF(OR(A1727="",B1727=""),0,IF(AND(R1727=التقارير!$C$4,OR(التقارير!$C$5="سنوي",AND(التقارير!$C$5="شهري",P1727=التقارير!$C$6),AND(التقارير!$C$5="فصلي",Q1727=التقارير!$C$7))),1,0))</f>
        <v/>
      </c>
      <c r="T1727" s="20">
        <f>IF(S1727=1,COUNTIF($S$5:S1727,1),"")</f>
        <v/>
      </c>
      <c r="U1727">
        <f>IF(AND($A1727&lt;&gt;"",$B1727&lt;&gt;"",$R1727='تقرير الفصل الأول'!$C$4,$Q1727='تقرير الفصل الأول'!$C$7),COUNT(U$4:U1726)+1,"")</f>
        <v/>
      </c>
      <c r="V1727">
        <f>IF(AND($A1727&lt;&gt;"",$B1727&lt;&gt;"",$R1727='تقرير الفصل الثاني'!$C$4,$Q1727='تقرير الفصل الثاني'!$C$7),COUNT(V$4:V1726)+1,"")</f>
        <v/>
      </c>
      <c r="W1727">
        <f>IF(AND($A1727&lt;&gt;"",$B1727&lt;&gt;"",$R1727='تقرير سبتمبر'!$C$4,$P1727='تقرير سبتمبر'!$C$6),COUNT(W$4:W1726)+1,"")</f>
        <v/>
      </c>
      <c r="X1727">
        <f>IF(AND($A1727&lt;&gt;"",$B1727&lt;&gt;"",$R1727='تقرير أكتوبر'!$C$4,$P1727='تقرير أكتوبر'!$C$6),COUNT(X$4:X1726)+1,"")</f>
        <v/>
      </c>
      <c r="Y1727">
        <f>IF(AND($A1727&lt;&gt;"",$B1727&lt;&gt;"",$R1727='تقرير نوفمبر'!$C$4,$P1727='تقرير نوفمبر'!$C$6),COUNT(Y$4:Y1726)+1,"")</f>
        <v/>
      </c>
      <c r="Z1727">
        <f>IF(AND($A1727&lt;&gt;"",$B1727&lt;&gt;"",$R1727='تقرير ديسمبر'!$C$4,$P1727='تقرير ديسمبر'!$C$6),COUNT(Z$4:Z1726)+1,"")</f>
        <v/>
      </c>
      <c r="AA1727">
        <f>IF(AND($A1727&lt;&gt;"",$B1727&lt;&gt;"",$R1727='تقرير يناير'!$C$4,$P1727='تقرير يناير'!$C$6),COUNT(AA$4:AA1726)+1,"")</f>
        <v/>
      </c>
      <c r="AB1727">
        <f>IF(AND($A1727&lt;&gt;"",$B1727&lt;&gt;"",$R1727='تقرير فبراير'!$C$4,$P1727='تقرير فبراير'!$C$6),COUNT(AB$4:AB1726)+1,"")</f>
        <v/>
      </c>
      <c r="AC1727">
        <f>IF(AND($A1727&lt;&gt;"",$B1727&lt;&gt;"",$R1727='تقرير مارس'!$C$4,$P1727='تقرير مارس'!$C$6),COUNT(AC$4:AC1726)+1,"")</f>
        <v/>
      </c>
      <c r="AD1727">
        <f>IF(AND($A1727&lt;&gt;"",$B1727&lt;&gt;"",$R1727='تقرير أبريل'!$C$4,$P1727='تقرير أبريل'!$C$6),COUNT(AD$4:AD1726)+1,"")</f>
        <v/>
      </c>
      <c r="AE1727">
        <f>IF(AND($A1727&lt;&gt;"",$B1727&lt;&gt;"",$R1727='تقرير مايو'!$C$4,$P1727='تقرير مايو'!$C$6),COUNT(AE$4:AE1726)+1,"")</f>
        <v/>
      </c>
    </row>
    <row r="1728">
      <c r="A1728" s="16" t="n"/>
      <c r="B1728" s="17" t="n"/>
      <c r="C1728" s="17" t="n"/>
      <c r="D1728" s="18" t="n"/>
      <c r="E1728" s="17" t="n"/>
      <c r="F1728" s="17" t="n"/>
      <c r="G1728" s="19" t="n"/>
      <c r="H1728" s="17" t="n"/>
      <c r="I1728" s="17" t="n"/>
      <c r="J1728" s="17" t="n"/>
      <c r="K1728" s="20">
        <f>IF($B1728="","",IFERROR(INDEX(الموظفات!$A$5:$A$304,MATCH($B1728,الموظفات!$B$5:$B$304,0))&amp;"",""))</f>
        <v/>
      </c>
      <c r="L1728" s="21">
        <f>IF($B1728="","",IFERROR(INDEX(الموظفات!$C$5:$C$304,MATCH($B1728,الموظفات!$B$5:$B$304,0))&amp;"",""))</f>
        <v/>
      </c>
      <c r="M1728" s="20">
        <f>IF($B1728="","",IFERROR(INDEX(الموظفات!$D$5:$D$304,MATCH($B1728,الموظفات!$B$5:$B$304,0))&amp;"",""))</f>
        <v/>
      </c>
      <c r="N1728" s="20">
        <f>IF($B1728="","",IFERROR(INDEX(الموظفات!$E$5:$E$304,MATCH($B1728,الموظفات!$B$5:$B$304,0))&amp;"",""))</f>
        <v/>
      </c>
      <c r="O1728" s="21">
        <f>IF(C1728="","",IFERROR(INDEX(الإعدادات!$D$7:$D$35,MATCH(C1728,الإعدادات!$A$7:$A$35,0))&amp;"",""))</f>
        <v/>
      </c>
      <c r="P1728" s="20">
        <f>IF(A1728="","",INDEX(الإعدادات!$H$7:$H$18,MONTH(A1728)))</f>
        <v/>
      </c>
      <c r="Q1728" s="20">
        <f>IF(A1728="","",INDEX(الإعدادات!$I$7:$I$18,MONTH(A1728)))</f>
        <v/>
      </c>
      <c r="R1728" s="20">
        <f>IF(A1728="","",IF(MONTH(A1728)&gt;=8,YEAR(A1728)&amp;"-"&amp;(YEAR(A1728)+1),(YEAR(A1728)-1)&amp;"-"&amp;YEAR(A1728)))</f>
        <v/>
      </c>
      <c r="S1728" s="20">
        <f>IF(OR(A1728="",B1728=""),0,IF(AND(R1728=التقارير!$C$4,OR(التقارير!$C$5="سنوي",AND(التقارير!$C$5="شهري",P1728=التقارير!$C$6),AND(التقارير!$C$5="فصلي",Q1728=التقارير!$C$7))),1,0))</f>
        <v/>
      </c>
      <c r="T1728" s="20">
        <f>IF(S1728=1,COUNTIF($S$5:S1728,1),"")</f>
        <v/>
      </c>
      <c r="U1728">
        <f>IF(AND($A1728&lt;&gt;"",$B1728&lt;&gt;"",$R1728='تقرير الفصل الأول'!$C$4,$Q1728='تقرير الفصل الأول'!$C$7),COUNT(U$4:U1727)+1,"")</f>
        <v/>
      </c>
      <c r="V1728">
        <f>IF(AND($A1728&lt;&gt;"",$B1728&lt;&gt;"",$R1728='تقرير الفصل الثاني'!$C$4,$Q1728='تقرير الفصل الثاني'!$C$7),COUNT(V$4:V1727)+1,"")</f>
        <v/>
      </c>
      <c r="W1728">
        <f>IF(AND($A1728&lt;&gt;"",$B1728&lt;&gt;"",$R1728='تقرير سبتمبر'!$C$4,$P1728='تقرير سبتمبر'!$C$6),COUNT(W$4:W1727)+1,"")</f>
        <v/>
      </c>
      <c r="X1728">
        <f>IF(AND($A1728&lt;&gt;"",$B1728&lt;&gt;"",$R1728='تقرير أكتوبر'!$C$4,$P1728='تقرير أكتوبر'!$C$6),COUNT(X$4:X1727)+1,"")</f>
        <v/>
      </c>
      <c r="Y1728">
        <f>IF(AND($A1728&lt;&gt;"",$B1728&lt;&gt;"",$R1728='تقرير نوفمبر'!$C$4,$P1728='تقرير نوفمبر'!$C$6),COUNT(Y$4:Y1727)+1,"")</f>
        <v/>
      </c>
      <c r="Z1728">
        <f>IF(AND($A1728&lt;&gt;"",$B1728&lt;&gt;"",$R1728='تقرير ديسمبر'!$C$4,$P1728='تقرير ديسمبر'!$C$6),COUNT(Z$4:Z1727)+1,"")</f>
        <v/>
      </c>
      <c r="AA1728">
        <f>IF(AND($A1728&lt;&gt;"",$B1728&lt;&gt;"",$R1728='تقرير يناير'!$C$4,$P1728='تقرير يناير'!$C$6),COUNT(AA$4:AA1727)+1,"")</f>
        <v/>
      </c>
      <c r="AB1728">
        <f>IF(AND($A1728&lt;&gt;"",$B1728&lt;&gt;"",$R1728='تقرير فبراير'!$C$4,$P1728='تقرير فبراير'!$C$6),COUNT(AB$4:AB1727)+1,"")</f>
        <v/>
      </c>
      <c r="AC1728">
        <f>IF(AND($A1728&lt;&gt;"",$B1728&lt;&gt;"",$R1728='تقرير مارس'!$C$4,$P1728='تقرير مارس'!$C$6),COUNT(AC$4:AC1727)+1,"")</f>
        <v/>
      </c>
      <c r="AD1728">
        <f>IF(AND($A1728&lt;&gt;"",$B1728&lt;&gt;"",$R1728='تقرير أبريل'!$C$4,$P1728='تقرير أبريل'!$C$6),COUNT(AD$4:AD1727)+1,"")</f>
        <v/>
      </c>
      <c r="AE1728">
        <f>IF(AND($A1728&lt;&gt;"",$B1728&lt;&gt;"",$R1728='تقرير مايو'!$C$4,$P1728='تقرير مايو'!$C$6),COUNT(AE$4:AE1727)+1,"")</f>
        <v/>
      </c>
    </row>
    <row r="1729">
      <c r="A1729" s="16" t="n"/>
      <c r="B1729" s="17" t="n"/>
      <c r="C1729" s="17" t="n"/>
      <c r="D1729" s="18" t="n"/>
      <c r="E1729" s="17" t="n"/>
      <c r="F1729" s="17" t="n"/>
      <c r="G1729" s="19" t="n"/>
      <c r="H1729" s="17" t="n"/>
      <c r="I1729" s="17" t="n"/>
      <c r="J1729" s="17" t="n"/>
      <c r="K1729" s="20">
        <f>IF($B1729="","",IFERROR(INDEX(الموظفات!$A$5:$A$304,MATCH($B1729,الموظفات!$B$5:$B$304,0))&amp;"",""))</f>
        <v/>
      </c>
      <c r="L1729" s="21">
        <f>IF($B1729="","",IFERROR(INDEX(الموظفات!$C$5:$C$304,MATCH($B1729,الموظفات!$B$5:$B$304,0))&amp;"",""))</f>
        <v/>
      </c>
      <c r="M1729" s="20">
        <f>IF($B1729="","",IFERROR(INDEX(الموظفات!$D$5:$D$304,MATCH($B1729,الموظفات!$B$5:$B$304,0))&amp;"",""))</f>
        <v/>
      </c>
      <c r="N1729" s="20">
        <f>IF($B1729="","",IFERROR(INDEX(الموظفات!$E$5:$E$304,MATCH($B1729,الموظفات!$B$5:$B$304,0))&amp;"",""))</f>
        <v/>
      </c>
      <c r="O1729" s="21">
        <f>IF(C1729="","",IFERROR(INDEX(الإعدادات!$D$7:$D$35,MATCH(C1729,الإعدادات!$A$7:$A$35,0))&amp;"",""))</f>
        <v/>
      </c>
      <c r="P1729" s="20">
        <f>IF(A1729="","",INDEX(الإعدادات!$H$7:$H$18,MONTH(A1729)))</f>
        <v/>
      </c>
      <c r="Q1729" s="20">
        <f>IF(A1729="","",INDEX(الإعدادات!$I$7:$I$18,MONTH(A1729)))</f>
        <v/>
      </c>
      <c r="R1729" s="20">
        <f>IF(A1729="","",IF(MONTH(A1729)&gt;=8,YEAR(A1729)&amp;"-"&amp;(YEAR(A1729)+1),(YEAR(A1729)-1)&amp;"-"&amp;YEAR(A1729)))</f>
        <v/>
      </c>
      <c r="S1729" s="20">
        <f>IF(OR(A1729="",B1729=""),0,IF(AND(R1729=التقارير!$C$4,OR(التقارير!$C$5="سنوي",AND(التقارير!$C$5="شهري",P1729=التقارير!$C$6),AND(التقارير!$C$5="فصلي",Q1729=التقارير!$C$7))),1,0))</f>
        <v/>
      </c>
      <c r="T1729" s="20">
        <f>IF(S1729=1,COUNTIF($S$5:S1729,1),"")</f>
        <v/>
      </c>
      <c r="U1729">
        <f>IF(AND($A1729&lt;&gt;"",$B1729&lt;&gt;"",$R1729='تقرير الفصل الأول'!$C$4,$Q1729='تقرير الفصل الأول'!$C$7),COUNT(U$4:U1728)+1,"")</f>
        <v/>
      </c>
      <c r="V1729">
        <f>IF(AND($A1729&lt;&gt;"",$B1729&lt;&gt;"",$R1729='تقرير الفصل الثاني'!$C$4,$Q1729='تقرير الفصل الثاني'!$C$7),COUNT(V$4:V1728)+1,"")</f>
        <v/>
      </c>
      <c r="W1729">
        <f>IF(AND($A1729&lt;&gt;"",$B1729&lt;&gt;"",$R1729='تقرير سبتمبر'!$C$4,$P1729='تقرير سبتمبر'!$C$6),COUNT(W$4:W1728)+1,"")</f>
        <v/>
      </c>
      <c r="X1729">
        <f>IF(AND($A1729&lt;&gt;"",$B1729&lt;&gt;"",$R1729='تقرير أكتوبر'!$C$4,$P1729='تقرير أكتوبر'!$C$6),COUNT(X$4:X1728)+1,"")</f>
        <v/>
      </c>
      <c r="Y1729">
        <f>IF(AND($A1729&lt;&gt;"",$B1729&lt;&gt;"",$R1729='تقرير نوفمبر'!$C$4,$P1729='تقرير نوفمبر'!$C$6),COUNT(Y$4:Y1728)+1,"")</f>
        <v/>
      </c>
      <c r="Z1729">
        <f>IF(AND($A1729&lt;&gt;"",$B1729&lt;&gt;"",$R1729='تقرير ديسمبر'!$C$4,$P1729='تقرير ديسمبر'!$C$6),COUNT(Z$4:Z1728)+1,"")</f>
        <v/>
      </c>
      <c r="AA1729">
        <f>IF(AND($A1729&lt;&gt;"",$B1729&lt;&gt;"",$R1729='تقرير يناير'!$C$4,$P1729='تقرير يناير'!$C$6),COUNT(AA$4:AA1728)+1,"")</f>
        <v/>
      </c>
      <c r="AB1729">
        <f>IF(AND($A1729&lt;&gt;"",$B1729&lt;&gt;"",$R1729='تقرير فبراير'!$C$4,$P1729='تقرير فبراير'!$C$6),COUNT(AB$4:AB1728)+1,"")</f>
        <v/>
      </c>
      <c r="AC1729">
        <f>IF(AND($A1729&lt;&gt;"",$B1729&lt;&gt;"",$R1729='تقرير مارس'!$C$4,$P1729='تقرير مارس'!$C$6),COUNT(AC$4:AC1728)+1,"")</f>
        <v/>
      </c>
      <c r="AD1729">
        <f>IF(AND($A1729&lt;&gt;"",$B1729&lt;&gt;"",$R1729='تقرير أبريل'!$C$4,$P1729='تقرير أبريل'!$C$6),COUNT(AD$4:AD1728)+1,"")</f>
        <v/>
      </c>
      <c r="AE1729">
        <f>IF(AND($A1729&lt;&gt;"",$B1729&lt;&gt;"",$R1729='تقرير مايو'!$C$4,$P1729='تقرير مايو'!$C$6),COUNT(AE$4:AE1728)+1,"")</f>
        <v/>
      </c>
    </row>
    <row r="1730">
      <c r="A1730" s="16" t="n"/>
      <c r="B1730" s="17" t="n"/>
      <c r="C1730" s="17" t="n"/>
      <c r="D1730" s="18" t="n"/>
      <c r="E1730" s="17" t="n"/>
      <c r="F1730" s="17" t="n"/>
      <c r="G1730" s="19" t="n"/>
      <c r="H1730" s="17" t="n"/>
      <c r="I1730" s="17" t="n"/>
      <c r="J1730" s="17" t="n"/>
      <c r="K1730" s="20">
        <f>IF($B1730="","",IFERROR(INDEX(الموظفات!$A$5:$A$304,MATCH($B1730,الموظفات!$B$5:$B$304,0))&amp;"",""))</f>
        <v/>
      </c>
      <c r="L1730" s="21">
        <f>IF($B1730="","",IFERROR(INDEX(الموظفات!$C$5:$C$304,MATCH($B1730,الموظفات!$B$5:$B$304,0))&amp;"",""))</f>
        <v/>
      </c>
      <c r="M1730" s="20">
        <f>IF($B1730="","",IFERROR(INDEX(الموظفات!$D$5:$D$304,MATCH($B1730,الموظفات!$B$5:$B$304,0))&amp;"",""))</f>
        <v/>
      </c>
      <c r="N1730" s="20">
        <f>IF($B1730="","",IFERROR(INDEX(الموظفات!$E$5:$E$304,MATCH($B1730,الموظفات!$B$5:$B$304,0))&amp;"",""))</f>
        <v/>
      </c>
      <c r="O1730" s="21">
        <f>IF(C1730="","",IFERROR(INDEX(الإعدادات!$D$7:$D$35,MATCH(C1730,الإعدادات!$A$7:$A$35,0))&amp;"",""))</f>
        <v/>
      </c>
      <c r="P1730" s="20">
        <f>IF(A1730="","",INDEX(الإعدادات!$H$7:$H$18,MONTH(A1730)))</f>
        <v/>
      </c>
      <c r="Q1730" s="20">
        <f>IF(A1730="","",INDEX(الإعدادات!$I$7:$I$18,MONTH(A1730)))</f>
        <v/>
      </c>
      <c r="R1730" s="20">
        <f>IF(A1730="","",IF(MONTH(A1730)&gt;=8,YEAR(A1730)&amp;"-"&amp;(YEAR(A1730)+1),(YEAR(A1730)-1)&amp;"-"&amp;YEAR(A1730)))</f>
        <v/>
      </c>
      <c r="S1730" s="20">
        <f>IF(OR(A1730="",B1730=""),0,IF(AND(R1730=التقارير!$C$4,OR(التقارير!$C$5="سنوي",AND(التقارير!$C$5="شهري",P1730=التقارير!$C$6),AND(التقارير!$C$5="فصلي",Q1730=التقارير!$C$7))),1,0))</f>
        <v/>
      </c>
      <c r="T1730" s="20">
        <f>IF(S1730=1,COUNTIF($S$5:S1730,1),"")</f>
        <v/>
      </c>
      <c r="U1730">
        <f>IF(AND($A1730&lt;&gt;"",$B1730&lt;&gt;"",$R1730='تقرير الفصل الأول'!$C$4,$Q1730='تقرير الفصل الأول'!$C$7),COUNT(U$4:U1729)+1,"")</f>
        <v/>
      </c>
      <c r="V1730">
        <f>IF(AND($A1730&lt;&gt;"",$B1730&lt;&gt;"",$R1730='تقرير الفصل الثاني'!$C$4,$Q1730='تقرير الفصل الثاني'!$C$7),COUNT(V$4:V1729)+1,"")</f>
        <v/>
      </c>
      <c r="W1730">
        <f>IF(AND($A1730&lt;&gt;"",$B1730&lt;&gt;"",$R1730='تقرير سبتمبر'!$C$4,$P1730='تقرير سبتمبر'!$C$6),COUNT(W$4:W1729)+1,"")</f>
        <v/>
      </c>
      <c r="X1730">
        <f>IF(AND($A1730&lt;&gt;"",$B1730&lt;&gt;"",$R1730='تقرير أكتوبر'!$C$4,$P1730='تقرير أكتوبر'!$C$6),COUNT(X$4:X1729)+1,"")</f>
        <v/>
      </c>
      <c r="Y1730">
        <f>IF(AND($A1730&lt;&gt;"",$B1730&lt;&gt;"",$R1730='تقرير نوفمبر'!$C$4,$P1730='تقرير نوفمبر'!$C$6),COUNT(Y$4:Y1729)+1,"")</f>
        <v/>
      </c>
      <c r="Z1730">
        <f>IF(AND($A1730&lt;&gt;"",$B1730&lt;&gt;"",$R1730='تقرير ديسمبر'!$C$4,$P1730='تقرير ديسمبر'!$C$6),COUNT(Z$4:Z1729)+1,"")</f>
        <v/>
      </c>
      <c r="AA1730">
        <f>IF(AND($A1730&lt;&gt;"",$B1730&lt;&gt;"",$R1730='تقرير يناير'!$C$4,$P1730='تقرير يناير'!$C$6),COUNT(AA$4:AA1729)+1,"")</f>
        <v/>
      </c>
      <c r="AB1730">
        <f>IF(AND($A1730&lt;&gt;"",$B1730&lt;&gt;"",$R1730='تقرير فبراير'!$C$4,$P1730='تقرير فبراير'!$C$6),COUNT(AB$4:AB1729)+1,"")</f>
        <v/>
      </c>
      <c r="AC1730">
        <f>IF(AND($A1730&lt;&gt;"",$B1730&lt;&gt;"",$R1730='تقرير مارس'!$C$4,$P1730='تقرير مارس'!$C$6),COUNT(AC$4:AC1729)+1,"")</f>
        <v/>
      </c>
      <c r="AD1730">
        <f>IF(AND($A1730&lt;&gt;"",$B1730&lt;&gt;"",$R1730='تقرير أبريل'!$C$4,$P1730='تقرير أبريل'!$C$6),COUNT(AD$4:AD1729)+1,"")</f>
        <v/>
      </c>
      <c r="AE1730">
        <f>IF(AND($A1730&lt;&gt;"",$B1730&lt;&gt;"",$R1730='تقرير مايو'!$C$4,$P1730='تقرير مايو'!$C$6),COUNT(AE$4:AE1729)+1,"")</f>
        <v/>
      </c>
    </row>
    <row r="1731">
      <c r="A1731" s="16" t="n"/>
      <c r="B1731" s="17" t="n"/>
      <c r="C1731" s="17" t="n"/>
      <c r="D1731" s="18" t="n"/>
      <c r="E1731" s="17" t="n"/>
      <c r="F1731" s="17" t="n"/>
      <c r="G1731" s="19" t="n"/>
      <c r="H1731" s="17" t="n"/>
      <c r="I1731" s="17" t="n"/>
      <c r="J1731" s="17" t="n"/>
      <c r="K1731" s="20">
        <f>IF($B1731="","",IFERROR(INDEX(الموظفات!$A$5:$A$304,MATCH($B1731,الموظفات!$B$5:$B$304,0))&amp;"",""))</f>
        <v/>
      </c>
      <c r="L1731" s="21">
        <f>IF($B1731="","",IFERROR(INDEX(الموظفات!$C$5:$C$304,MATCH($B1731,الموظفات!$B$5:$B$304,0))&amp;"",""))</f>
        <v/>
      </c>
      <c r="M1731" s="20">
        <f>IF($B1731="","",IFERROR(INDEX(الموظفات!$D$5:$D$304,MATCH($B1731,الموظفات!$B$5:$B$304,0))&amp;"",""))</f>
        <v/>
      </c>
      <c r="N1731" s="20">
        <f>IF($B1731="","",IFERROR(INDEX(الموظفات!$E$5:$E$304,MATCH($B1731,الموظفات!$B$5:$B$304,0))&amp;"",""))</f>
        <v/>
      </c>
      <c r="O1731" s="21">
        <f>IF(C1731="","",IFERROR(INDEX(الإعدادات!$D$7:$D$35,MATCH(C1731,الإعدادات!$A$7:$A$35,0))&amp;"",""))</f>
        <v/>
      </c>
      <c r="P1731" s="20">
        <f>IF(A1731="","",INDEX(الإعدادات!$H$7:$H$18,MONTH(A1731)))</f>
        <v/>
      </c>
      <c r="Q1731" s="20">
        <f>IF(A1731="","",INDEX(الإعدادات!$I$7:$I$18,MONTH(A1731)))</f>
        <v/>
      </c>
      <c r="R1731" s="20">
        <f>IF(A1731="","",IF(MONTH(A1731)&gt;=8,YEAR(A1731)&amp;"-"&amp;(YEAR(A1731)+1),(YEAR(A1731)-1)&amp;"-"&amp;YEAR(A1731)))</f>
        <v/>
      </c>
      <c r="S1731" s="20">
        <f>IF(OR(A1731="",B1731=""),0,IF(AND(R1731=التقارير!$C$4,OR(التقارير!$C$5="سنوي",AND(التقارير!$C$5="شهري",P1731=التقارير!$C$6),AND(التقارير!$C$5="فصلي",Q1731=التقارير!$C$7))),1,0))</f>
        <v/>
      </c>
      <c r="T1731" s="20">
        <f>IF(S1731=1,COUNTIF($S$5:S1731,1),"")</f>
        <v/>
      </c>
      <c r="U1731">
        <f>IF(AND($A1731&lt;&gt;"",$B1731&lt;&gt;"",$R1731='تقرير الفصل الأول'!$C$4,$Q1731='تقرير الفصل الأول'!$C$7),COUNT(U$4:U1730)+1,"")</f>
        <v/>
      </c>
      <c r="V1731">
        <f>IF(AND($A1731&lt;&gt;"",$B1731&lt;&gt;"",$R1731='تقرير الفصل الثاني'!$C$4,$Q1731='تقرير الفصل الثاني'!$C$7),COUNT(V$4:V1730)+1,"")</f>
        <v/>
      </c>
      <c r="W1731">
        <f>IF(AND($A1731&lt;&gt;"",$B1731&lt;&gt;"",$R1731='تقرير سبتمبر'!$C$4,$P1731='تقرير سبتمبر'!$C$6),COUNT(W$4:W1730)+1,"")</f>
        <v/>
      </c>
      <c r="X1731">
        <f>IF(AND($A1731&lt;&gt;"",$B1731&lt;&gt;"",$R1731='تقرير أكتوبر'!$C$4,$P1731='تقرير أكتوبر'!$C$6),COUNT(X$4:X1730)+1,"")</f>
        <v/>
      </c>
      <c r="Y1731">
        <f>IF(AND($A1731&lt;&gt;"",$B1731&lt;&gt;"",$R1731='تقرير نوفمبر'!$C$4,$P1731='تقرير نوفمبر'!$C$6),COUNT(Y$4:Y1730)+1,"")</f>
        <v/>
      </c>
      <c r="Z1731">
        <f>IF(AND($A1731&lt;&gt;"",$B1731&lt;&gt;"",$R1731='تقرير ديسمبر'!$C$4,$P1731='تقرير ديسمبر'!$C$6),COUNT(Z$4:Z1730)+1,"")</f>
        <v/>
      </c>
      <c r="AA1731">
        <f>IF(AND($A1731&lt;&gt;"",$B1731&lt;&gt;"",$R1731='تقرير يناير'!$C$4,$P1731='تقرير يناير'!$C$6),COUNT(AA$4:AA1730)+1,"")</f>
        <v/>
      </c>
      <c r="AB1731">
        <f>IF(AND($A1731&lt;&gt;"",$B1731&lt;&gt;"",$R1731='تقرير فبراير'!$C$4,$P1731='تقرير فبراير'!$C$6),COUNT(AB$4:AB1730)+1,"")</f>
        <v/>
      </c>
      <c r="AC1731">
        <f>IF(AND($A1731&lt;&gt;"",$B1731&lt;&gt;"",$R1731='تقرير مارس'!$C$4,$P1731='تقرير مارس'!$C$6),COUNT(AC$4:AC1730)+1,"")</f>
        <v/>
      </c>
      <c r="AD1731">
        <f>IF(AND($A1731&lt;&gt;"",$B1731&lt;&gt;"",$R1731='تقرير أبريل'!$C$4,$P1731='تقرير أبريل'!$C$6),COUNT(AD$4:AD1730)+1,"")</f>
        <v/>
      </c>
      <c r="AE1731">
        <f>IF(AND($A1731&lt;&gt;"",$B1731&lt;&gt;"",$R1731='تقرير مايو'!$C$4,$P1731='تقرير مايو'!$C$6),COUNT(AE$4:AE1730)+1,"")</f>
        <v/>
      </c>
    </row>
    <row r="1732">
      <c r="A1732" s="16" t="n"/>
      <c r="B1732" s="17" t="n"/>
      <c r="C1732" s="17" t="n"/>
      <c r="D1732" s="18" t="n"/>
      <c r="E1732" s="17" t="n"/>
      <c r="F1732" s="17" t="n"/>
      <c r="G1732" s="19" t="n"/>
      <c r="H1732" s="17" t="n"/>
      <c r="I1732" s="17" t="n"/>
      <c r="J1732" s="17" t="n"/>
      <c r="K1732" s="20">
        <f>IF($B1732="","",IFERROR(INDEX(الموظفات!$A$5:$A$304,MATCH($B1732,الموظفات!$B$5:$B$304,0))&amp;"",""))</f>
        <v/>
      </c>
      <c r="L1732" s="21">
        <f>IF($B1732="","",IFERROR(INDEX(الموظفات!$C$5:$C$304,MATCH($B1732,الموظفات!$B$5:$B$304,0))&amp;"",""))</f>
        <v/>
      </c>
      <c r="M1732" s="20">
        <f>IF($B1732="","",IFERROR(INDEX(الموظفات!$D$5:$D$304,MATCH($B1732,الموظفات!$B$5:$B$304,0))&amp;"",""))</f>
        <v/>
      </c>
      <c r="N1732" s="20">
        <f>IF($B1732="","",IFERROR(INDEX(الموظفات!$E$5:$E$304,MATCH($B1732,الموظفات!$B$5:$B$304,0))&amp;"",""))</f>
        <v/>
      </c>
      <c r="O1732" s="21">
        <f>IF(C1732="","",IFERROR(INDEX(الإعدادات!$D$7:$D$35,MATCH(C1732,الإعدادات!$A$7:$A$35,0))&amp;"",""))</f>
        <v/>
      </c>
      <c r="P1732" s="20">
        <f>IF(A1732="","",INDEX(الإعدادات!$H$7:$H$18,MONTH(A1732)))</f>
        <v/>
      </c>
      <c r="Q1732" s="20">
        <f>IF(A1732="","",INDEX(الإعدادات!$I$7:$I$18,MONTH(A1732)))</f>
        <v/>
      </c>
      <c r="R1732" s="20">
        <f>IF(A1732="","",IF(MONTH(A1732)&gt;=8,YEAR(A1732)&amp;"-"&amp;(YEAR(A1732)+1),(YEAR(A1732)-1)&amp;"-"&amp;YEAR(A1732)))</f>
        <v/>
      </c>
      <c r="S1732" s="20">
        <f>IF(OR(A1732="",B1732=""),0,IF(AND(R1732=التقارير!$C$4,OR(التقارير!$C$5="سنوي",AND(التقارير!$C$5="شهري",P1732=التقارير!$C$6),AND(التقارير!$C$5="فصلي",Q1732=التقارير!$C$7))),1,0))</f>
        <v/>
      </c>
      <c r="T1732" s="20">
        <f>IF(S1732=1,COUNTIF($S$5:S1732,1),"")</f>
        <v/>
      </c>
      <c r="U1732">
        <f>IF(AND($A1732&lt;&gt;"",$B1732&lt;&gt;"",$R1732='تقرير الفصل الأول'!$C$4,$Q1732='تقرير الفصل الأول'!$C$7),COUNT(U$4:U1731)+1,"")</f>
        <v/>
      </c>
      <c r="V1732">
        <f>IF(AND($A1732&lt;&gt;"",$B1732&lt;&gt;"",$R1732='تقرير الفصل الثاني'!$C$4,$Q1732='تقرير الفصل الثاني'!$C$7),COUNT(V$4:V1731)+1,"")</f>
        <v/>
      </c>
      <c r="W1732">
        <f>IF(AND($A1732&lt;&gt;"",$B1732&lt;&gt;"",$R1732='تقرير سبتمبر'!$C$4,$P1732='تقرير سبتمبر'!$C$6),COUNT(W$4:W1731)+1,"")</f>
        <v/>
      </c>
      <c r="X1732">
        <f>IF(AND($A1732&lt;&gt;"",$B1732&lt;&gt;"",$R1732='تقرير أكتوبر'!$C$4,$P1732='تقرير أكتوبر'!$C$6),COUNT(X$4:X1731)+1,"")</f>
        <v/>
      </c>
      <c r="Y1732">
        <f>IF(AND($A1732&lt;&gt;"",$B1732&lt;&gt;"",$R1732='تقرير نوفمبر'!$C$4,$P1732='تقرير نوفمبر'!$C$6),COUNT(Y$4:Y1731)+1,"")</f>
        <v/>
      </c>
      <c r="Z1732">
        <f>IF(AND($A1732&lt;&gt;"",$B1732&lt;&gt;"",$R1732='تقرير ديسمبر'!$C$4,$P1732='تقرير ديسمبر'!$C$6),COUNT(Z$4:Z1731)+1,"")</f>
        <v/>
      </c>
      <c r="AA1732">
        <f>IF(AND($A1732&lt;&gt;"",$B1732&lt;&gt;"",$R1732='تقرير يناير'!$C$4,$P1732='تقرير يناير'!$C$6),COUNT(AA$4:AA1731)+1,"")</f>
        <v/>
      </c>
      <c r="AB1732">
        <f>IF(AND($A1732&lt;&gt;"",$B1732&lt;&gt;"",$R1732='تقرير فبراير'!$C$4,$P1732='تقرير فبراير'!$C$6),COUNT(AB$4:AB1731)+1,"")</f>
        <v/>
      </c>
      <c r="AC1732">
        <f>IF(AND($A1732&lt;&gt;"",$B1732&lt;&gt;"",$R1732='تقرير مارس'!$C$4,$P1732='تقرير مارس'!$C$6),COUNT(AC$4:AC1731)+1,"")</f>
        <v/>
      </c>
      <c r="AD1732">
        <f>IF(AND($A1732&lt;&gt;"",$B1732&lt;&gt;"",$R1732='تقرير أبريل'!$C$4,$P1732='تقرير أبريل'!$C$6),COUNT(AD$4:AD1731)+1,"")</f>
        <v/>
      </c>
      <c r="AE1732">
        <f>IF(AND($A1732&lt;&gt;"",$B1732&lt;&gt;"",$R1732='تقرير مايو'!$C$4,$P1732='تقرير مايو'!$C$6),COUNT(AE$4:AE1731)+1,"")</f>
        <v/>
      </c>
    </row>
    <row r="1733">
      <c r="A1733" s="16" t="n"/>
      <c r="B1733" s="17" t="n"/>
      <c r="C1733" s="17" t="n"/>
      <c r="D1733" s="18" t="n"/>
      <c r="E1733" s="17" t="n"/>
      <c r="F1733" s="17" t="n"/>
      <c r="G1733" s="19" t="n"/>
      <c r="H1733" s="17" t="n"/>
      <c r="I1733" s="17" t="n"/>
      <c r="J1733" s="17" t="n"/>
      <c r="K1733" s="20">
        <f>IF($B1733="","",IFERROR(INDEX(الموظفات!$A$5:$A$304,MATCH($B1733,الموظفات!$B$5:$B$304,0))&amp;"",""))</f>
        <v/>
      </c>
      <c r="L1733" s="21">
        <f>IF($B1733="","",IFERROR(INDEX(الموظفات!$C$5:$C$304,MATCH($B1733,الموظفات!$B$5:$B$304,0))&amp;"",""))</f>
        <v/>
      </c>
      <c r="M1733" s="20">
        <f>IF($B1733="","",IFERROR(INDEX(الموظفات!$D$5:$D$304,MATCH($B1733,الموظفات!$B$5:$B$304,0))&amp;"",""))</f>
        <v/>
      </c>
      <c r="N1733" s="20">
        <f>IF($B1733="","",IFERROR(INDEX(الموظفات!$E$5:$E$304,MATCH($B1733,الموظفات!$B$5:$B$304,0))&amp;"",""))</f>
        <v/>
      </c>
      <c r="O1733" s="21">
        <f>IF(C1733="","",IFERROR(INDEX(الإعدادات!$D$7:$D$35,MATCH(C1733,الإعدادات!$A$7:$A$35,0))&amp;"",""))</f>
        <v/>
      </c>
      <c r="P1733" s="20">
        <f>IF(A1733="","",INDEX(الإعدادات!$H$7:$H$18,MONTH(A1733)))</f>
        <v/>
      </c>
      <c r="Q1733" s="20">
        <f>IF(A1733="","",INDEX(الإعدادات!$I$7:$I$18,MONTH(A1733)))</f>
        <v/>
      </c>
      <c r="R1733" s="20">
        <f>IF(A1733="","",IF(MONTH(A1733)&gt;=8,YEAR(A1733)&amp;"-"&amp;(YEAR(A1733)+1),(YEAR(A1733)-1)&amp;"-"&amp;YEAR(A1733)))</f>
        <v/>
      </c>
      <c r="S1733" s="20">
        <f>IF(OR(A1733="",B1733=""),0,IF(AND(R1733=التقارير!$C$4,OR(التقارير!$C$5="سنوي",AND(التقارير!$C$5="شهري",P1733=التقارير!$C$6),AND(التقارير!$C$5="فصلي",Q1733=التقارير!$C$7))),1,0))</f>
        <v/>
      </c>
      <c r="T1733" s="20">
        <f>IF(S1733=1,COUNTIF($S$5:S1733,1),"")</f>
        <v/>
      </c>
      <c r="U1733">
        <f>IF(AND($A1733&lt;&gt;"",$B1733&lt;&gt;"",$R1733='تقرير الفصل الأول'!$C$4,$Q1733='تقرير الفصل الأول'!$C$7),COUNT(U$4:U1732)+1,"")</f>
        <v/>
      </c>
      <c r="V1733">
        <f>IF(AND($A1733&lt;&gt;"",$B1733&lt;&gt;"",$R1733='تقرير الفصل الثاني'!$C$4,$Q1733='تقرير الفصل الثاني'!$C$7),COUNT(V$4:V1732)+1,"")</f>
        <v/>
      </c>
      <c r="W1733">
        <f>IF(AND($A1733&lt;&gt;"",$B1733&lt;&gt;"",$R1733='تقرير سبتمبر'!$C$4,$P1733='تقرير سبتمبر'!$C$6),COUNT(W$4:W1732)+1,"")</f>
        <v/>
      </c>
      <c r="X1733">
        <f>IF(AND($A1733&lt;&gt;"",$B1733&lt;&gt;"",$R1733='تقرير أكتوبر'!$C$4,$P1733='تقرير أكتوبر'!$C$6),COUNT(X$4:X1732)+1,"")</f>
        <v/>
      </c>
      <c r="Y1733">
        <f>IF(AND($A1733&lt;&gt;"",$B1733&lt;&gt;"",$R1733='تقرير نوفمبر'!$C$4,$P1733='تقرير نوفمبر'!$C$6),COUNT(Y$4:Y1732)+1,"")</f>
        <v/>
      </c>
      <c r="Z1733">
        <f>IF(AND($A1733&lt;&gt;"",$B1733&lt;&gt;"",$R1733='تقرير ديسمبر'!$C$4,$P1733='تقرير ديسمبر'!$C$6),COUNT(Z$4:Z1732)+1,"")</f>
        <v/>
      </c>
      <c r="AA1733">
        <f>IF(AND($A1733&lt;&gt;"",$B1733&lt;&gt;"",$R1733='تقرير يناير'!$C$4,$P1733='تقرير يناير'!$C$6),COUNT(AA$4:AA1732)+1,"")</f>
        <v/>
      </c>
      <c r="AB1733">
        <f>IF(AND($A1733&lt;&gt;"",$B1733&lt;&gt;"",$R1733='تقرير فبراير'!$C$4,$P1733='تقرير فبراير'!$C$6),COUNT(AB$4:AB1732)+1,"")</f>
        <v/>
      </c>
      <c r="AC1733">
        <f>IF(AND($A1733&lt;&gt;"",$B1733&lt;&gt;"",$R1733='تقرير مارس'!$C$4,$P1733='تقرير مارس'!$C$6),COUNT(AC$4:AC1732)+1,"")</f>
        <v/>
      </c>
      <c r="AD1733">
        <f>IF(AND($A1733&lt;&gt;"",$B1733&lt;&gt;"",$R1733='تقرير أبريل'!$C$4,$P1733='تقرير أبريل'!$C$6),COUNT(AD$4:AD1732)+1,"")</f>
        <v/>
      </c>
      <c r="AE1733">
        <f>IF(AND($A1733&lt;&gt;"",$B1733&lt;&gt;"",$R1733='تقرير مايو'!$C$4,$P1733='تقرير مايو'!$C$6),COUNT(AE$4:AE1732)+1,"")</f>
        <v/>
      </c>
    </row>
    <row r="1734">
      <c r="A1734" s="16" t="n"/>
      <c r="B1734" s="17" t="n"/>
      <c r="C1734" s="17" t="n"/>
      <c r="D1734" s="18" t="n"/>
      <c r="E1734" s="17" t="n"/>
      <c r="F1734" s="17" t="n"/>
      <c r="G1734" s="19" t="n"/>
      <c r="H1734" s="17" t="n"/>
      <c r="I1734" s="17" t="n"/>
      <c r="J1734" s="17" t="n"/>
      <c r="K1734" s="20">
        <f>IF($B1734="","",IFERROR(INDEX(الموظفات!$A$5:$A$304,MATCH($B1734,الموظفات!$B$5:$B$304,0))&amp;"",""))</f>
        <v/>
      </c>
      <c r="L1734" s="21">
        <f>IF($B1734="","",IFERROR(INDEX(الموظفات!$C$5:$C$304,MATCH($B1734,الموظفات!$B$5:$B$304,0))&amp;"",""))</f>
        <v/>
      </c>
      <c r="M1734" s="20">
        <f>IF($B1734="","",IFERROR(INDEX(الموظفات!$D$5:$D$304,MATCH($B1734,الموظفات!$B$5:$B$304,0))&amp;"",""))</f>
        <v/>
      </c>
      <c r="N1734" s="20">
        <f>IF($B1734="","",IFERROR(INDEX(الموظفات!$E$5:$E$304,MATCH($B1734,الموظفات!$B$5:$B$304,0))&amp;"",""))</f>
        <v/>
      </c>
      <c r="O1734" s="21">
        <f>IF(C1734="","",IFERROR(INDEX(الإعدادات!$D$7:$D$35,MATCH(C1734,الإعدادات!$A$7:$A$35,0))&amp;"",""))</f>
        <v/>
      </c>
      <c r="P1734" s="20">
        <f>IF(A1734="","",INDEX(الإعدادات!$H$7:$H$18,MONTH(A1734)))</f>
        <v/>
      </c>
      <c r="Q1734" s="20">
        <f>IF(A1734="","",INDEX(الإعدادات!$I$7:$I$18,MONTH(A1734)))</f>
        <v/>
      </c>
      <c r="R1734" s="20">
        <f>IF(A1734="","",IF(MONTH(A1734)&gt;=8,YEAR(A1734)&amp;"-"&amp;(YEAR(A1734)+1),(YEAR(A1734)-1)&amp;"-"&amp;YEAR(A1734)))</f>
        <v/>
      </c>
      <c r="S1734" s="20">
        <f>IF(OR(A1734="",B1734=""),0,IF(AND(R1734=التقارير!$C$4,OR(التقارير!$C$5="سنوي",AND(التقارير!$C$5="شهري",P1734=التقارير!$C$6),AND(التقارير!$C$5="فصلي",Q1734=التقارير!$C$7))),1,0))</f>
        <v/>
      </c>
      <c r="T1734" s="20">
        <f>IF(S1734=1,COUNTIF($S$5:S1734,1),"")</f>
        <v/>
      </c>
      <c r="U1734">
        <f>IF(AND($A1734&lt;&gt;"",$B1734&lt;&gt;"",$R1734='تقرير الفصل الأول'!$C$4,$Q1734='تقرير الفصل الأول'!$C$7),COUNT(U$4:U1733)+1,"")</f>
        <v/>
      </c>
      <c r="V1734">
        <f>IF(AND($A1734&lt;&gt;"",$B1734&lt;&gt;"",$R1734='تقرير الفصل الثاني'!$C$4,$Q1734='تقرير الفصل الثاني'!$C$7),COUNT(V$4:V1733)+1,"")</f>
        <v/>
      </c>
      <c r="W1734">
        <f>IF(AND($A1734&lt;&gt;"",$B1734&lt;&gt;"",$R1734='تقرير سبتمبر'!$C$4,$P1734='تقرير سبتمبر'!$C$6),COUNT(W$4:W1733)+1,"")</f>
        <v/>
      </c>
      <c r="X1734">
        <f>IF(AND($A1734&lt;&gt;"",$B1734&lt;&gt;"",$R1734='تقرير أكتوبر'!$C$4,$P1734='تقرير أكتوبر'!$C$6),COUNT(X$4:X1733)+1,"")</f>
        <v/>
      </c>
      <c r="Y1734">
        <f>IF(AND($A1734&lt;&gt;"",$B1734&lt;&gt;"",$R1734='تقرير نوفمبر'!$C$4,$P1734='تقرير نوفمبر'!$C$6),COUNT(Y$4:Y1733)+1,"")</f>
        <v/>
      </c>
      <c r="Z1734">
        <f>IF(AND($A1734&lt;&gt;"",$B1734&lt;&gt;"",$R1734='تقرير ديسمبر'!$C$4,$P1734='تقرير ديسمبر'!$C$6),COUNT(Z$4:Z1733)+1,"")</f>
        <v/>
      </c>
      <c r="AA1734">
        <f>IF(AND($A1734&lt;&gt;"",$B1734&lt;&gt;"",$R1734='تقرير يناير'!$C$4,$P1734='تقرير يناير'!$C$6),COUNT(AA$4:AA1733)+1,"")</f>
        <v/>
      </c>
      <c r="AB1734">
        <f>IF(AND($A1734&lt;&gt;"",$B1734&lt;&gt;"",$R1734='تقرير فبراير'!$C$4,$P1734='تقرير فبراير'!$C$6),COUNT(AB$4:AB1733)+1,"")</f>
        <v/>
      </c>
      <c r="AC1734">
        <f>IF(AND($A1734&lt;&gt;"",$B1734&lt;&gt;"",$R1734='تقرير مارس'!$C$4,$P1734='تقرير مارس'!$C$6),COUNT(AC$4:AC1733)+1,"")</f>
        <v/>
      </c>
      <c r="AD1734">
        <f>IF(AND($A1734&lt;&gt;"",$B1734&lt;&gt;"",$R1734='تقرير أبريل'!$C$4,$P1734='تقرير أبريل'!$C$6),COUNT(AD$4:AD1733)+1,"")</f>
        <v/>
      </c>
      <c r="AE1734">
        <f>IF(AND($A1734&lt;&gt;"",$B1734&lt;&gt;"",$R1734='تقرير مايو'!$C$4,$P1734='تقرير مايو'!$C$6),COUNT(AE$4:AE1733)+1,"")</f>
        <v/>
      </c>
    </row>
    <row r="1735">
      <c r="A1735" s="16" t="n"/>
      <c r="B1735" s="17" t="n"/>
      <c r="C1735" s="17" t="n"/>
      <c r="D1735" s="18" t="n"/>
      <c r="E1735" s="17" t="n"/>
      <c r="F1735" s="17" t="n"/>
      <c r="G1735" s="19" t="n"/>
      <c r="H1735" s="17" t="n"/>
      <c r="I1735" s="17" t="n"/>
      <c r="J1735" s="17" t="n"/>
      <c r="K1735" s="20">
        <f>IF($B1735="","",IFERROR(INDEX(الموظفات!$A$5:$A$304,MATCH($B1735,الموظفات!$B$5:$B$304,0))&amp;"",""))</f>
        <v/>
      </c>
      <c r="L1735" s="21">
        <f>IF($B1735="","",IFERROR(INDEX(الموظفات!$C$5:$C$304,MATCH($B1735,الموظفات!$B$5:$B$304,0))&amp;"",""))</f>
        <v/>
      </c>
      <c r="M1735" s="20">
        <f>IF($B1735="","",IFERROR(INDEX(الموظفات!$D$5:$D$304,MATCH($B1735,الموظفات!$B$5:$B$304,0))&amp;"",""))</f>
        <v/>
      </c>
      <c r="N1735" s="20">
        <f>IF($B1735="","",IFERROR(INDEX(الموظفات!$E$5:$E$304,MATCH($B1735,الموظفات!$B$5:$B$304,0))&amp;"",""))</f>
        <v/>
      </c>
      <c r="O1735" s="21">
        <f>IF(C1735="","",IFERROR(INDEX(الإعدادات!$D$7:$D$35,MATCH(C1735,الإعدادات!$A$7:$A$35,0))&amp;"",""))</f>
        <v/>
      </c>
      <c r="P1735" s="20">
        <f>IF(A1735="","",INDEX(الإعدادات!$H$7:$H$18,MONTH(A1735)))</f>
        <v/>
      </c>
      <c r="Q1735" s="20">
        <f>IF(A1735="","",INDEX(الإعدادات!$I$7:$I$18,MONTH(A1735)))</f>
        <v/>
      </c>
      <c r="R1735" s="20">
        <f>IF(A1735="","",IF(MONTH(A1735)&gt;=8,YEAR(A1735)&amp;"-"&amp;(YEAR(A1735)+1),(YEAR(A1735)-1)&amp;"-"&amp;YEAR(A1735)))</f>
        <v/>
      </c>
      <c r="S1735" s="20">
        <f>IF(OR(A1735="",B1735=""),0,IF(AND(R1735=التقارير!$C$4,OR(التقارير!$C$5="سنوي",AND(التقارير!$C$5="شهري",P1735=التقارير!$C$6),AND(التقارير!$C$5="فصلي",Q1735=التقارير!$C$7))),1,0))</f>
        <v/>
      </c>
      <c r="T1735" s="20">
        <f>IF(S1735=1,COUNTIF($S$5:S1735,1),"")</f>
        <v/>
      </c>
      <c r="U1735">
        <f>IF(AND($A1735&lt;&gt;"",$B1735&lt;&gt;"",$R1735='تقرير الفصل الأول'!$C$4,$Q1735='تقرير الفصل الأول'!$C$7),COUNT(U$4:U1734)+1,"")</f>
        <v/>
      </c>
      <c r="V1735">
        <f>IF(AND($A1735&lt;&gt;"",$B1735&lt;&gt;"",$R1735='تقرير الفصل الثاني'!$C$4,$Q1735='تقرير الفصل الثاني'!$C$7),COUNT(V$4:V1734)+1,"")</f>
        <v/>
      </c>
      <c r="W1735">
        <f>IF(AND($A1735&lt;&gt;"",$B1735&lt;&gt;"",$R1735='تقرير سبتمبر'!$C$4,$P1735='تقرير سبتمبر'!$C$6),COUNT(W$4:W1734)+1,"")</f>
        <v/>
      </c>
      <c r="X1735">
        <f>IF(AND($A1735&lt;&gt;"",$B1735&lt;&gt;"",$R1735='تقرير أكتوبر'!$C$4,$P1735='تقرير أكتوبر'!$C$6),COUNT(X$4:X1734)+1,"")</f>
        <v/>
      </c>
      <c r="Y1735">
        <f>IF(AND($A1735&lt;&gt;"",$B1735&lt;&gt;"",$R1735='تقرير نوفمبر'!$C$4,$P1735='تقرير نوفمبر'!$C$6),COUNT(Y$4:Y1734)+1,"")</f>
        <v/>
      </c>
      <c r="Z1735">
        <f>IF(AND($A1735&lt;&gt;"",$B1735&lt;&gt;"",$R1735='تقرير ديسمبر'!$C$4,$P1735='تقرير ديسمبر'!$C$6),COUNT(Z$4:Z1734)+1,"")</f>
        <v/>
      </c>
      <c r="AA1735">
        <f>IF(AND($A1735&lt;&gt;"",$B1735&lt;&gt;"",$R1735='تقرير يناير'!$C$4,$P1735='تقرير يناير'!$C$6),COUNT(AA$4:AA1734)+1,"")</f>
        <v/>
      </c>
      <c r="AB1735">
        <f>IF(AND($A1735&lt;&gt;"",$B1735&lt;&gt;"",$R1735='تقرير فبراير'!$C$4,$P1735='تقرير فبراير'!$C$6),COUNT(AB$4:AB1734)+1,"")</f>
        <v/>
      </c>
      <c r="AC1735">
        <f>IF(AND($A1735&lt;&gt;"",$B1735&lt;&gt;"",$R1735='تقرير مارس'!$C$4,$P1735='تقرير مارس'!$C$6),COUNT(AC$4:AC1734)+1,"")</f>
        <v/>
      </c>
      <c r="AD1735">
        <f>IF(AND($A1735&lt;&gt;"",$B1735&lt;&gt;"",$R1735='تقرير أبريل'!$C$4,$P1735='تقرير أبريل'!$C$6),COUNT(AD$4:AD1734)+1,"")</f>
        <v/>
      </c>
      <c r="AE1735">
        <f>IF(AND($A1735&lt;&gt;"",$B1735&lt;&gt;"",$R1735='تقرير مايو'!$C$4,$P1735='تقرير مايو'!$C$6),COUNT(AE$4:AE1734)+1,"")</f>
        <v/>
      </c>
    </row>
    <row r="1736">
      <c r="A1736" s="16" t="n"/>
      <c r="B1736" s="17" t="n"/>
      <c r="C1736" s="17" t="n"/>
      <c r="D1736" s="18" t="n"/>
      <c r="E1736" s="17" t="n"/>
      <c r="F1736" s="17" t="n"/>
      <c r="G1736" s="19" t="n"/>
      <c r="H1736" s="17" t="n"/>
      <c r="I1736" s="17" t="n"/>
      <c r="J1736" s="17" t="n"/>
      <c r="K1736" s="20">
        <f>IF($B1736="","",IFERROR(INDEX(الموظفات!$A$5:$A$304,MATCH($B1736,الموظفات!$B$5:$B$304,0))&amp;"",""))</f>
        <v/>
      </c>
      <c r="L1736" s="21">
        <f>IF($B1736="","",IFERROR(INDEX(الموظفات!$C$5:$C$304,MATCH($B1736,الموظفات!$B$5:$B$304,0))&amp;"",""))</f>
        <v/>
      </c>
      <c r="M1736" s="20">
        <f>IF($B1736="","",IFERROR(INDEX(الموظفات!$D$5:$D$304,MATCH($B1736,الموظفات!$B$5:$B$304,0))&amp;"",""))</f>
        <v/>
      </c>
      <c r="N1736" s="20">
        <f>IF($B1736="","",IFERROR(INDEX(الموظفات!$E$5:$E$304,MATCH($B1736,الموظفات!$B$5:$B$304,0))&amp;"",""))</f>
        <v/>
      </c>
      <c r="O1736" s="21">
        <f>IF(C1736="","",IFERROR(INDEX(الإعدادات!$D$7:$D$35,MATCH(C1736,الإعدادات!$A$7:$A$35,0))&amp;"",""))</f>
        <v/>
      </c>
      <c r="P1736" s="20">
        <f>IF(A1736="","",INDEX(الإعدادات!$H$7:$H$18,MONTH(A1736)))</f>
        <v/>
      </c>
      <c r="Q1736" s="20">
        <f>IF(A1736="","",INDEX(الإعدادات!$I$7:$I$18,MONTH(A1736)))</f>
        <v/>
      </c>
      <c r="R1736" s="20">
        <f>IF(A1736="","",IF(MONTH(A1736)&gt;=8,YEAR(A1736)&amp;"-"&amp;(YEAR(A1736)+1),(YEAR(A1736)-1)&amp;"-"&amp;YEAR(A1736)))</f>
        <v/>
      </c>
      <c r="S1736" s="20">
        <f>IF(OR(A1736="",B1736=""),0,IF(AND(R1736=التقارير!$C$4,OR(التقارير!$C$5="سنوي",AND(التقارير!$C$5="شهري",P1736=التقارير!$C$6),AND(التقارير!$C$5="فصلي",Q1736=التقارير!$C$7))),1,0))</f>
        <v/>
      </c>
      <c r="T1736" s="20">
        <f>IF(S1736=1,COUNTIF($S$5:S1736,1),"")</f>
        <v/>
      </c>
      <c r="U1736">
        <f>IF(AND($A1736&lt;&gt;"",$B1736&lt;&gt;"",$R1736='تقرير الفصل الأول'!$C$4,$Q1736='تقرير الفصل الأول'!$C$7),COUNT(U$4:U1735)+1,"")</f>
        <v/>
      </c>
      <c r="V1736">
        <f>IF(AND($A1736&lt;&gt;"",$B1736&lt;&gt;"",$R1736='تقرير الفصل الثاني'!$C$4,$Q1736='تقرير الفصل الثاني'!$C$7),COUNT(V$4:V1735)+1,"")</f>
        <v/>
      </c>
      <c r="W1736">
        <f>IF(AND($A1736&lt;&gt;"",$B1736&lt;&gt;"",$R1736='تقرير سبتمبر'!$C$4,$P1736='تقرير سبتمبر'!$C$6),COUNT(W$4:W1735)+1,"")</f>
        <v/>
      </c>
      <c r="X1736">
        <f>IF(AND($A1736&lt;&gt;"",$B1736&lt;&gt;"",$R1736='تقرير أكتوبر'!$C$4,$P1736='تقرير أكتوبر'!$C$6),COUNT(X$4:X1735)+1,"")</f>
        <v/>
      </c>
      <c r="Y1736">
        <f>IF(AND($A1736&lt;&gt;"",$B1736&lt;&gt;"",$R1736='تقرير نوفمبر'!$C$4,$P1736='تقرير نوفمبر'!$C$6),COUNT(Y$4:Y1735)+1,"")</f>
        <v/>
      </c>
      <c r="Z1736">
        <f>IF(AND($A1736&lt;&gt;"",$B1736&lt;&gt;"",$R1736='تقرير ديسمبر'!$C$4,$P1736='تقرير ديسمبر'!$C$6),COUNT(Z$4:Z1735)+1,"")</f>
        <v/>
      </c>
      <c r="AA1736">
        <f>IF(AND($A1736&lt;&gt;"",$B1736&lt;&gt;"",$R1736='تقرير يناير'!$C$4,$P1736='تقرير يناير'!$C$6),COUNT(AA$4:AA1735)+1,"")</f>
        <v/>
      </c>
      <c r="AB1736">
        <f>IF(AND($A1736&lt;&gt;"",$B1736&lt;&gt;"",$R1736='تقرير فبراير'!$C$4,$P1736='تقرير فبراير'!$C$6),COUNT(AB$4:AB1735)+1,"")</f>
        <v/>
      </c>
      <c r="AC1736">
        <f>IF(AND($A1736&lt;&gt;"",$B1736&lt;&gt;"",$R1736='تقرير مارس'!$C$4,$P1736='تقرير مارس'!$C$6),COUNT(AC$4:AC1735)+1,"")</f>
        <v/>
      </c>
      <c r="AD1736">
        <f>IF(AND($A1736&lt;&gt;"",$B1736&lt;&gt;"",$R1736='تقرير أبريل'!$C$4,$P1736='تقرير أبريل'!$C$6),COUNT(AD$4:AD1735)+1,"")</f>
        <v/>
      </c>
      <c r="AE1736">
        <f>IF(AND($A1736&lt;&gt;"",$B1736&lt;&gt;"",$R1736='تقرير مايو'!$C$4,$P1736='تقرير مايو'!$C$6),COUNT(AE$4:AE1735)+1,"")</f>
        <v/>
      </c>
    </row>
    <row r="1737">
      <c r="A1737" s="16" t="n"/>
      <c r="B1737" s="17" t="n"/>
      <c r="C1737" s="17" t="n"/>
      <c r="D1737" s="18" t="n"/>
      <c r="E1737" s="17" t="n"/>
      <c r="F1737" s="17" t="n"/>
      <c r="G1737" s="19" t="n"/>
      <c r="H1737" s="17" t="n"/>
      <c r="I1737" s="17" t="n"/>
      <c r="J1737" s="17" t="n"/>
      <c r="K1737" s="20">
        <f>IF($B1737="","",IFERROR(INDEX(الموظفات!$A$5:$A$304,MATCH($B1737,الموظفات!$B$5:$B$304,0))&amp;"",""))</f>
        <v/>
      </c>
      <c r="L1737" s="21">
        <f>IF($B1737="","",IFERROR(INDEX(الموظفات!$C$5:$C$304,MATCH($B1737,الموظفات!$B$5:$B$304,0))&amp;"",""))</f>
        <v/>
      </c>
      <c r="M1737" s="20">
        <f>IF($B1737="","",IFERROR(INDEX(الموظفات!$D$5:$D$304,MATCH($B1737,الموظفات!$B$5:$B$304,0))&amp;"",""))</f>
        <v/>
      </c>
      <c r="N1737" s="20">
        <f>IF($B1737="","",IFERROR(INDEX(الموظفات!$E$5:$E$304,MATCH($B1737,الموظفات!$B$5:$B$304,0))&amp;"",""))</f>
        <v/>
      </c>
      <c r="O1737" s="21">
        <f>IF(C1737="","",IFERROR(INDEX(الإعدادات!$D$7:$D$35,MATCH(C1737,الإعدادات!$A$7:$A$35,0))&amp;"",""))</f>
        <v/>
      </c>
      <c r="P1737" s="20">
        <f>IF(A1737="","",INDEX(الإعدادات!$H$7:$H$18,MONTH(A1737)))</f>
        <v/>
      </c>
      <c r="Q1737" s="20">
        <f>IF(A1737="","",INDEX(الإعدادات!$I$7:$I$18,MONTH(A1737)))</f>
        <v/>
      </c>
      <c r="R1737" s="20">
        <f>IF(A1737="","",IF(MONTH(A1737)&gt;=8,YEAR(A1737)&amp;"-"&amp;(YEAR(A1737)+1),(YEAR(A1737)-1)&amp;"-"&amp;YEAR(A1737)))</f>
        <v/>
      </c>
      <c r="S1737" s="20">
        <f>IF(OR(A1737="",B1737=""),0,IF(AND(R1737=التقارير!$C$4,OR(التقارير!$C$5="سنوي",AND(التقارير!$C$5="شهري",P1737=التقارير!$C$6),AND(التقارير!$C$5="فصلي",Q1737=التقارير!$C$7))),1,0))</f>
        <v/>
      </c>
      <c r="T1737" s="20">
        <f>IF(S1737=1,COUNTIF($S$5:S1737,1),"")</f>
        <v/>
      </c>
      <c r="U1737">
        <f>IF(AND($A1737&lt;&gt;"",$B1737&lt;&gt;"",$R1737='تقرير الفصل الأول'!$C$4,$Q1737='تقرير الفصل الأول'!$C$7),COUNT(U$4:U1736)+1,"")</f>
        <v/>
      </c>
      <c r="V1737">
        <f>IF(AND($A1737&lt;&gt;"",$B1737&lt;&gt;"",$R1737='تقرير الفصل الثاني'!$C$4,$Q1737='تقرير الفصل الثاني'!$C$7),COUNT(V$4:V1736)+1,"")</f>
        <v/>
      </c>
      <c r="W1737">
        <f>IF(AND($A1737&lt;&gt;"",$B1737&lt;&gt;"",$R1737='تقرير سبتمبر'!$C$4,$P1737='تقرير سبتمبر'!$C$6),COUNT(W$4:W1736)+1,"")</f>
        <v/>
      </c>
      <c r="X1737">
        <f>IF(AND($A1737&lt;&gt;"",$B1737&lt;&gt;"",$R1737='تقرير أكتوبر'!$C$4,$P1737='تقرير أكتوبر'!$C$6),COUNT(X$4:X1736)+1,"")</f>
        <v/>
      </c>
      <c r="Y1737">
        <f>IF(AND($A1737&lt;&gt;"",$B1737&lt;&gt;"",$R1737='تقرير نوفمبر'!$C$4,$P1737='تقرير نوفمبر'!$C$6),COUNT(Y$4:Y1736)+1,"")</f>
        <v/>
      </c>
      <c r="Z1737">
        <f>IF(AND($A1737&lt;&gt;"",$B1737&lt;&gt;"",$R1737='تقرير ديسمبر'!$C$4,$P1737='تقرير ديسمبر'!$C$6),COUNT(Z$4:Z1736)+1,"")</f>
        <v/>
      </c>
      <c r="AA1737">
        <f>IF(AND($A1737&lt;&gt;"",$B1737&lt;&gt;"",$R1737='تقرير يناير'!$C$4,$P1737='تقرير يناير'!$C$6),COUNT(AA$4:AA1736)+1,"")</f>
        <v/>
      </c>
      <c r="AB1737">
        <f>IF(AND($A1737&lt;&gt;"",$B1737&lt;&gt;"",$R1737='تقرير فبراير'!$C$4,$P1737='تقرير فبراير'!$C$6),COUNT(AB$4:AB1736)+1,"")</f>
        <v/>
      </c>
      <c r="AC1737">
        <f>IF(AND($A1737&lt;&gt;"",$B1737&lt;&gt;"",$R1737='تقرير مارس'!$C$4,$P1737='تقرير مارس'!$C$6),COUNT(AC$4:AC1736)+1,"")</f>
        <v/>
      </c>
      <c r="AD1737">
        <f>IF(AND($A1737&lt;&gt;"",$B1737&lt;&gt;"",$R1737='تقرير أبريل'!$C$4,$P1737='تقرير أبريل'!$C$6),COUNT(AD$4:AD1736)+1,"")</f>
        <v/>
      </c>
      <c r="AE1737">
        <f>IF(AND($A1737&lt;&gt;"",$B1737&lt;&gt;"",$R1737='تقرير مايو'!$C$4,$P1737='تقرير مايو'!$C$6),COUNT(AE$4:AE1736)+1,"")</f>
        <v/>
      </c>
    </row>
    <row r="1738">
      <c r="A1738" s="16" t="n"/>
      <c r="B1738" s="17" t="n"/>
      <c r="C1738" s="17" t="n"/>
      <c r="D1738" s="18" t="n"/>
      <c r="E1738" s="17" t="n"/>
      <c r="F1738" s="17" t="n"/>
      <c r="G1738" s="19" t="n"/>
      <c r="H1738" s="17" t="n"/>
      <c r="I1738" s="17" t="n"/>
      <c r="J1738" s="17" t="n"/>
      <c r="K1738" s="20">
        <f>IF($B1738="","",IFERROR(INDEX(الموظفات!$A$5:$A$304,MATCH($B1738,الموظفات!$B$5:$B$304,0))&amp;"",""))</f>
        <v/>
      </c>
      <c r="L1738" s="21">
        <f>IF($B1738="","",IFERROR(INDEX(الموظفات!$C$5:$C$304,MATCH($B1738,الموظفات!$B$5:$B$304,0))&amp;"",""))</f>
        <v/>
      </c>
      <c r="M1738" s="20">
        <f>IF($B1738="","",IFERROR(INDEX(الموظفات!$D$5:$D$304,MATCH($B1738,الموظفات!$B$5:$B$304,0))&amp;"",""))</f>
        <v/>
      </c>
      <c r="N1738" s="20">
        <f>IF($B1738="","",IFERROR(INDEX(الموظفات!$E$5:$E$304,MATCH($B1738,الموظفات!$B$5:$B$304,0))&amp;"",""))</f>
        <v/>
      </c>
      <c r="O1738" s="21">
        <f>IF(C1738="","",IFERROR(INDEX(الإعدادات!$D$7:$D$35,MATCH(C1738,الإعدادات!$A$7:$A$35,0))&amp;"",""))</f>
        <v/>
      </c>
      <c r="P1738" s="20">
        <f>IF(A1738="","",INDEX(الإعدادات!$H$7:$H$18,MONTH(A1738)))</f>
        <v/>
      </c>
      <c r="Q1738" s="20">
        <f>IF(A1738="","",INDEX(الإعدادات!$I$7:$I$18,MONTH(A1738)))</f>
        <v/>
      </c>
      <c r="R1738" s="20">
        <f>IF(A1738="","",IF(MONTH(A1738)&gt;=8,YEAR(A1738)&amp;"-"&amp;(YEAR(A1738)+1),(YEAR(A1738)-1)&amp;"-"&amp;YEAR(A1738)))</f>
        <v/>
      </c>
      <c r="S1738" s="20">
        <f>IF(OR(A1738="",B1738=""),0,IF(AND(R1738=التقارير!$C$4,OR(التقارير!$C$5="سنوي",AND(التقارير!$C$5="شهري",P1738=التقارير!$C$6),AND(التقارير!$C$5="فصلي",Q1738=التقارير!$C$7))),1,0))</f>
        <v/>
      </c>
      <c r="T1738" s="20">
        <f>IF(S1738=1,COUNTIF($S$5:S1738,1),"")</f>
        <v/>
      </c>
      <c r="U1738">
        <f>IF(AND($A1738&lt;&gt;"",$B1738&lt;&gt;"",$R1738='تقرير الفصل الأول'!$C$4,$Q1738='تقرير الفصل الأول'!$C$7),COUNT(U$4:U1737)+1,"")</f>
        <v/>
      </c>
      <c r="V1738">
        <f>IF(AND($A1738&lt;&gt;"",$B1738&lt;&gt;"",$R1738='تقرير الفصل الثاني'!$C$4,$Q1738='تقرير الفصل الثاني'!$C$7),COUNT(V$4:V1737)+1,"")</f>
        <v/>
      </c>
      <c r="W1738">
        <f>IF(AND($A1738&lt;&gt;"",$B1738&lt;&gt;"",$R1738='تقرير سبتمبر'!$C$4,$P1738='تقرير سبتمبر'!$C$6),COUNT(W$4:W1737)+1,"")</f>
        <v/>
      </c>
      <c r="X1738">
        <f>IF(AND($A1738&lt;&gt;"",$B1738&lt;&gt;"",$R1738='تقرير أكتوبر'!$C$4,$P1738='تقرير أكتوبر'!$C$6),COUNT(X$4:X1737)+1,"")</f>
        <v/>
      </c>
      <c r="Y1738">
        <f>IF(AND($A1738&lt;&gt;"",$B1738&lt;&gt;"",$R1738='تقرير نوفمبر'!$C$4,$P1738='تقرير نوفمبر'!$C$6),COUNT(Y$4:Y1737)+1,"")</f>
        <v/>
      </c>
      <c r="Z1738">
        <f>IF(AND($A1738&lt;&gt;"",$B1738&lt;&gt;"",$R1738='تقرير ديسمبر'!$C$4,$P1738='تقرير ديسمبر'!$C$6),COUNT(Z$4:Z1737)+1,"")</f>
        <v/>
      </c>
      <c r="AA1738">
        <f>IF(AND($A1738&lt;&gt;"",$B1738&lt;&gt;"",$R1738='تقرير يناير'!$C$4,$P1738='تقرير يناير'!$C$6),COUNT(AA$4:AA1737)+1,"")</f>
        <v/>
      </c>
      <c r="AB1738">
        <f>IF(AND($A1738&lt;&gt;"",$B1738&lt;&gt;"",$R1738='تقرير فبراير'!$C$4,$P1738='تقرير فبراير'!$C$6),COUNT(AB$4:AB1737)+1,"")</f>
        <v/>
      </c>
      <c r="AC1738">
        <f>IF(AND($A1738&lt;&gt;"",$B1738&lt;&gt;"",$R1738='تقرير مارس'!$C$4,$P1738='تقرير مارس'!$C$6),COUNT(AC$4:AC1737)+1,"")</f>
        <v/>
      </c>
      <c r="AD1738">
        <f>IF(AND($A1738&lt;&gt;"",$B1738&lt;&gt;"",$R1738='تقرير أبريل'!$C$4,$P1738='تقرير أبريل'!$C$6),COUNT(AD$4:AD1737)+1,"")</f>
        <v/>
      </c>
      <c r="AE1738">
        <f>IF(AND($A1738&lt;&gt;"",$B1738&lt;&gt;"",$R1738='تقرير مايو'!$C$4,$P1738='تقرير مايو'!$C$6),COUNT(AE$4:AE1737)+1,"")</f>
        <v/>
      </c>
    </row>
    <row r="1739">
      <c r="A1739" s="16" t="n"/>
      <c r="B1739" s="17" t="n"/>
      <c r="C1739" s="17" t="n"/>
      <c r="D1739" s="18" t="n"/>
      <c r="E1739" s="17" t="n"/>
      <c r="F1739" s="17" t="n"/>
      <c r="G1739" s="19" t="n"/>
      <c r="H1739" s="17" t="n"/>
      <c r="I1739" s="17" t="n"/>
      <c r="J1739" s="17" t="n"/>
      <c r="K1739" s="20">
        <f>IF($B1739="","",IFERROR(INDEX(الموظفات!$A$5:$A$304,MATCH($B1739,الموظفات!$B$5:$B$304,0))&amp;"",""))</f>
        <v/>
      </c>
      <c r="L1739" s="21">
        <f>IF($B1739="","",IFERROR(INDEX(الموظفات!$C$5:$C$304,MATCH($B1739,الموظفات!$B$5:$B$304,0))&amp;"",""))</f>
        <v/>
      </c>
      <c r="M1739" s="20">
        <f>IF($B1739="","",IFERROR(INDEX(الموظفات!$D$5:$D$304,MATCH($B1739,الموظفات!$B$5:$B$304,0))&amp;"",""))</f>
        <v/>
      </c>
      <c r="N1739" s="20">
        <f>IF($B1739="","",IFERROR(INDEX(الموظفات!$E$5:$E$304,MATCH($B1739,الموظفات!$B$5:$B$304,0))&amp;"",""))</f>
        <v/>
      </c>
      <c r="O1739" s="21">
        <f>IF(C1739="","",IFERROR(INDEX(الإعدادات!$D$7:$D$35,MATCH(C1739,الإعدادات!$A$7:$A$35,0))&amp;"",""))</f>
        <v/>
      </c>
      <c r="P1739" s="20">
        <f>IF(A1739="","",INDEX(الإعدادات!$H$7:$H$18,MONTH(A1739)))</f>
        <v/>
      </c>
      <c r="Q1739" s="20">
        <f>IF(A1739="","",INDEX(الإعدادات!$I$7:$I$18,MONTH(A1739)))</f>
        <v/>
      </c>
      <c r="R1739" s="20">
        <f>IF(A1739="","",IF(MONTH(A1739)&gt;=8,YEAR(A1739)&amp;"-"&amp;(YEAR(A1739)+1),(YEAR(A1739)-1)&amp;"-"&amp;YEAR(A1739)))</f>
        <v/>
      </c>
      <c r="S1739" s="20">
        <f>IF(OR(A1739="",B1739=""),0,IF(AND(R1739=التقارير!$C$4,OR(التقارير!$C$5="سنوي",AND(التقارير!$C$5="شهري",P1739=التقارير!$C$6),AND(التقارير!$C$5="فصلي",Q1739=التقارير!$C$7))),1,0))</f>
        <v/>
      </c>
      <c r="T1739" s="20">
        <f>IF(S1739=1,COUNTIF($S$5:S1739,1),"")</f>
        <v/>
      </c>
      <c r="U1739">
        <f>IF(AND($A1739&lt;&gt;"",$B1739&lt;&gt;"",$R1739='تقرير الفصل الأول'!$C$4,$Q1739='تقرير الفصل الأول'!$C$7),COUNT(U$4:U1738)+1,"")</f>
        <v/>
      </c>
      <c r="V1739">
        <f>IF(AND($A1739&lt;&gt;"",$B1739&lt;&gt;"",$R1739='تقرير الفصل الثاني'!$C$4,$Q1739='تقرير الفصل الثاني'!$C$7),COUNT(V$4:V1738)+1,"")</f>
        <v/>
      </c>
      <c r="W1739">
        <f>IF(AND($A1739&lt;&gt;"",$B1739&lt;&gt;"",$R1739='تقرير سبتمبر'!$C$4,$P1739='تقرير سبتمبر'!$C$6),COUNT(W$4:W1738)+1,"")</f>
        <v/>
      </c>
      <c r="X1739">
        <f>IF(AND($A1739&lt;&gt;"",$B1739&lt;&gt;"",$R1739='تقرير أكتوبر'!$C$4,$P1739='تقرير أكتوبر'!$C$6),COUNT(X$4:X1738)+1,"")</f>
        <v/>
      </c>
      <c r="Y1739">
        <f>IF(AND($A1739&lt;&gt;"",$B1739&lt;&gt;"",$R1739='تقرير نوفمبر'!$C$4,$P1739='تقرير نوفمبر'!$C$6),COUNT(Y$4:Y1738)+1,"")</f>
        <v/>
      </c>
      <c r="Z1739">
        <f>IF(AND($A1739&lt;&gt;"",$B1739&lt;&gt;"",$R1739='تقرير ديسمبر'!$C$4,$P1739='تقرير ديسمبر'!$C$6),COUNT(Z$4:Z1738)+1,"")</f>
        <v/>
      </c>
      <c r="AA1739">
        <f>IF(AND($A1739&lt;&gt;"",$B1739&lt;&gt;"",$R1739='تقرير يناير'!$C$4,$P1739='تقرير يناير'!$C$6),COUNT(AA$4:AA1738)+1,"")</f>
        <v/>
      </c>
      <c r="AB1739">
        <f>IF(AND($A1739&lt;&gt;"",$B1739&lt;&gt;"",$R1739='تقرير فبراير'!$C$4,$P1739='تقرير فبراير'!$C$6),COUNT(AB$4:AB1738)+1,"")</f>
        <v/>
      </c>
      <c r="AC1739">
        <f>IF(AND($A1739&lt;&gt;"",$B1739&lt;&gt;"",$R1739='تقرير مارس'!$C$4,$P1739='تقرير مارس'!$C$6),COUNT(AC$4:AC1738)+1,"")</f>
        <v/>
      </c>
      <c r="AD1739">
        <f>IF(AND($A1739&lt;&gt;"",$B1739&lt;&gt;"",$R1739='تقرير أبريل'!$C$4,$P1739='تقرير أبريل'!$C$6),COUNT(AD$4:AD1738)+1,"")</f>
        <v/>
      </c>
      <c r="AE1739">
        <f>IF(AND($A1739&lt;&gt;"",$B1739&lt;&gt;"",$R1739='تقرير مايو'!$C$4,$P1739='تقرير مايو'!$C$6),COUNT(AE$4:AE1738)+1,"")</f>
        <v/>
      </c>
    </row>
    <row r="1740">
      <c r="A1740" s="16" t="n"/>
      <c r="B1740" s="17" t="n"/>
      <c r="C1740" s="17" t="n"/>
      <c r="D1740" s="18" t="n"/>
      <c r="E1740" s="17" t="n"/>
      <c r="F1740" s="17" t="n"/>
      <c r="G1740" s="19" t="n"/>
      <c r="H1740" s="17" t="n"/>
      <c r="I1740" s="17" t="n"/>
      <c r="J1740" s="17" t="n"/>
      <c r="K1740" s="20">
        <f>IF($B1740="","",IFERROR(INDEX(الموظفات!$A$5:$A$304,MATCH($B1740,الموظفات!$B$5:$B$304,0))&amp;"",""))</f>
        <v/>
      </c>
      <c r="L1740" s="21">
        <f>IF($B1740="","",IFERROR(INDEX(الموظفات!$C$5:$C$304,MATCH($B1740,الموظفات!$B$5:$B$304,0))&amp;"",""))</f>
        <v/>
      </c>
      <c r="M1740" s="20">
        <f>IF($B1740="","",IFERROR(INDEX(الموظفات!$D$5:$D$304,MATCH($B1740,الموظفات!$B$5:$B$304,0))&amp;"",""))</f>
        <v/>
      </c>
      <c r="N1740" s="20">
        <f>IF($B1740="","",IFERROR(INDEX(الموظفات!$E$5:$E$304,MATCH($B1740,الموظفات!$B$5:$B$304,0))&amp;"",""))</f>
        <v/>
      </c>
      <c r="O1740" s="21">
        <f>IF(C1740="","",IFERROR(INDEX(الإعدادات!$D$7:$D$35,MATCH(C1740,الإعدادات!$A$7:$A$35,0))&amp;"",""))</f>
        <v/>
      </c>
      <c r="P1740" s="20">
        <f>IF(A1740="","",INDEX(الإعدادات!$H$7:$H$18,MONTH(A1740)))</f>
        <v/>
      </c>
      <c r="Q1740" s="20">
        <f>IF(A1740="","",INDEX(الإعدادات!$I$7:$I$18,MONTH(A1740)))</f>
        <v/>
      </c>
      <c r="R1740" s="20">
        <f>IF(A1740="","",IF(MONTH(A1740)&gt;=8,YEAR(A1740)&amp;"-"&amp;(YEAR(A1740)+1),(YEAR(A1740)-1)&amp;"-"&amp;YEAR(A1740)))</f>
        <v/>
      </c>
      <c r="S1740" s="20">
        <f>IF(OR(A1740="",B1740=""),0,IF(AND(R1740=التقارير!$C$4,OR(التقارير!$C$5="سنوي",AND(التقارير!$C$5="شهري",P1740=التقارير!$C$6),AND(التقارير!$C$5="فصلي",Q1740=التقارير!$C$7))),1,0))</f>
        <v/>
      </c>
      <c r="T1740" s="20">
        <f>IF(S1740=1,COUNTIF($S$5:S1740,1),"")</f>
        <v/>
      </c>
      <c r="U1740">
        <f>IF(AND($A1740&lt;&gt;"",$B1740&lt;&gt;"",$R1740='تقرير الفصل الأول'!$C$4,$Q1740='تقرير الفصل الأول'!$C$7),COUNT(U$4:U1739)+1,"")</f>
        <v/>
      </c>
      <c r="V1740">
        <f>IF(AND($A1740&lt;&gt;"",$B1740&lt;&gt;"",$R1740='تقرير الفصل الثاني'!$C$4,$Q1740='تقرير الفصل الثاني'!$C$7),COUNT(V$4:V1739)+1,"")</f>
        <v/>
      </c>
      <c r="W1740">
        <f>IF(AND($A1740&lt;&gt;"",$B1740&lt;&gt;"",$R1740='تقرير سبتمبر'!$C$4,$P1740='تقرير سبتمبر'!$C$6),COUNT(W$4:W1739)+1,"")</f>
        <v/>
      </c>
      <c r="X1740">
        <f>IF(AND($A1740&lt;&gt;"",$B1740&lt;&gt;"",$R1740='تقرير أكتوبر'!$C$4,$P1740='تقرير أكتوبر'!$C$6),COUNT(X$4:X1739)+1,"")</f>
        <v/>
      </c>
      <c r="Y1740">
        <f>IF(AND($A1740&lt;&gt;"",$B1740&lt;&gt;"",$R1740='تقرير نوفمبر'!$C$4,$P1740='تقرير نوفمبر'!$C$6),COUNT(Y$4:Y1739)+1,"")</f>
        <v/>
      </c>
      <c r="Z1740">
        <f>IF(AND($A1740&lt;&gt;"",$B1740&lt;&gt;"",$R1740='تقرير ديسمبر'!$C$4,$P1740='تقرير ديسمبر'!$C$6),COUNT(Z$4:Z1739)+1,"")</f>
        <v/>
      </c>
      <c r="AA1740">
        <f>IF(AND($A1740&lt;&gt;"",$B1740&lt;&gt;"",$R1740='تقرير يناير'!$C$4,$P1740='تقرير يناير'!$C$6),COUNT(AA$4:AA1739)+1,"")</f>
        <v/>
      </c>
      <c r="AB1740">
        <f>IF(AND($A1740&lt;&gt;"",$B1740&lt;&gt;"",$R1740='تقرير فبراير'!$C$4,$P1740='تقرير فبراير'!$C$6),COUNT(AB$4:AB1739)+1,"")</f>
        <v/>
      </c>
      <c r="AC1740">
        <f>IF(AND($A1740&lt;&gt;"",$B1740&lt;&gt;"",$R1740='تقرير مارس'!$C$4,$P1740='تقرير مارس'!$C$6),COUNT(AC$4:AC1739)+1,"")</f>
        <v/>
      </c>
      <c r="AD1740">
        <f>IF(AND($A1740&lt;&gt;"",$B1740&lt;&gt;"",$R1740='تقرير أبريل'!$C$4,$P1740='تقرير أبريل'!$C$6),COUNT(AD$4:AD1739)+1,"")</f>
        <v/>
      </c>
      <c r="AE1740">
        <f>IF(AND($A1740&lt;&gt;"",$B1740&lt;&gt;"",$R1740='تقرير مايو'!$C$4,$P1740='تقرير مايو'!$C$6),COUNT(AE$4:AE1739)+1,"")</f>
        <v/>
      </c>
    </row>
    <row r="1741">
      <c r="A1741" s="16" t="n"/>
      <c r="B1741" s="17" t="n"/>
      <c r="C1741" s="17" t="n"/>
      <c r="D1741" s="18" t="n"/>
      <c r="E1741" s="17" t="n"/>
      <c r="F1741" s="17" t="n"/>
      <c r="G1741" s="19" t="n"/>
      <c r="H1741" s="17" t="n"/>
      <c r="I1741" s="17" t="n"/>
      <c r="J1741" s="17" t="n"/>
      <c r="K1741" s="20">
        <f>IF($B1741="","",IFERROR(INDEX(الموظفات!$A$5:$A$304,MATCH($B1741,الموظفات!$B$5:$B$304,0))&amp;"",""))</f>
        <v/>
      </c>
      <c r="L1741" s="21">
        <f>IF($B1741="","",IFERROR(INDEX(الموظفات!$C$5:$C$304,MATCH($B1741,الموظفات!$B$5:$B$304,0))&amp;"",""))</f>
        <v/>
      </c>
      <c r="M1741" s="20">
        <f>IF($B1741="","",IFERROR(INDEX(الموظفات!$D$5:$D$304,MATCH($B1741,الموظفات!$B$5:$B$304,0))&amp;"",""))</f>
        <v/>
      </c>
      <c r="N1741" s="20">
        <f>IF($B1741="","",IFERROR(INDEX(الموظفات!$E$5:$E$304,MATCH($B1741,الموظفات!$B$5:$B$304,0))&amp;"",""))</f>
        <v/>
      </c>
      <c r="O1741" s="21">
        <f>IF(C1741="","",IFERROR(INDEX(الإعدادات!$D$7:$D$35,MATCH(C1741,الإعدادات!$A$7:$A$35,0))&amp;"",""))</f>
        <v/>
      </c>
      <c r="P1741" s="20">
        <f>IF(A1741="","",INDEX(الإعدادات!$H$7:$H$18,MONTH(A1741)))</f>
        <v/>
      </c>
      <c r="Q1741" s="20">
        <f>IF(A1741="","",INDEX(الإعدادات!$I$7:$I$18,MONTH(A1741)))</f>
        <v/>
      </c>
      <c r="R1741" s="20">
        <f>IF(A1741="","",IF(MONTH(A1741)&gt;=8,YEAR(A1741)&amp;"-"&amp;(YEAR(A1741)+1),(YEAR(A1741)-1)&amp;"-"&amp;YEAR(A1741)))</f>
        <v/>
      </c>
      <c r="S1741" s="20">
        <f>IF(OR(A1741="",B1741=""),0,IF(AND(R1741=التقارير!$C$4,OR(التقارير!$C$5="سنوي",AND(التقارير!$C$5="شهري",P1741=التقارير!$C$6),AND(التقارير!$C$5="فصلي",Q1741=التقارير!$C$7))),1,0))</f>
        <v/>
      </c>
      <c r="T1741" s="20">
        <f>IF(S1741=1,COUNTIF($S$5:S1741,1),"")</f>
        <v/>
      </c>
      <c r="U1741">
        <f>IF(AND($A1741&lt;&gt;"",$B1741&lt;&gt;"",$R1741='تقرير الفصل الأول'!$C$4,$Q1741='تقرير الفصل الأول'!$C$7),COUNT(U$4:U1740)+1,"")</f>
        <v/>
      </c>
      <c r="V1741">
        <f>IF(AND($A1741&lt;&gt;"",$B1741&lt;&gt;"",$R1741='تقرير الفصل الثاني'!$C$4,$Q1741='تقرير الفصل الثاني'!$C$7),COUNT(V$4:V1740)+1,"")</f>
        <v/>
      </c>
      <c r="W1741">
        <f>IF(AND($A1741&lt;&gt;"",$B1741&lt;&gt;"",$R1741='تقرير سبتمبر'!$C$4,$P1741='تقرير سبتمبر'!$C$6),COUNT(W$4:W1740)+1,"")</f>
        <v/>
      </c>
      <c r="X1741">
        <f>IF(AND($A1741&lt;&gt;"",$B1741&lt;&gt;"",$R1741='تقرير أكتوبر'!$C$4,$P1741='تقرير أكتوبر'!$C$6),COUNT(X$4:X1740)+1,"")</f>
        <v/>
      </c>
      <c r="Y1741">
        <f>IF(AND($A1741&lt;&gt;"",$B1741&lt;&gt;"",$R1741='تقرير نوفمبر'!$C$4,$P1741='تقرير نوفمبر'!$C$6),COUNT(Y$4:Y1740)+1,"")</f>
        <v/>
      </c>
      <c r="Z1741">
        <f>IF(AND($A1741&lt;&gt;"",$B1741&lt;&gt;"",$R1741='تقرير ديسمبر'!$C$4,$P1741='تقرير ديسمبر'!$C$6),COUNT(Z$4:Z1740)+1,"")</f>
        <v/>
      </c>
      <c r="AA1741">
        <f>IF(AND($A1741&lt;&gt;"",$B1741&lt;&gt;"",$R1741='تقرير يناير'!$C$4,$P1741='تقرير يناير'!$C$6),COUNT(AA$4:AA1740)+1,"")</f>
        <v/>
      </c>
      <c r="AB1741">
        <f>IF(AND($A1741&lt;&gt;"",$B1741&lt;&gt;"",$R1741='تقرير فبراير'!$C$4,$P1741='تقرير فبراير'!$C$6),COUNT(AB$4:AB1740)+1,"")</f>
        <v/>
      </c>
      <c r="AC1741">
        <f>IF(AND($A1741&lt;&gt;"",$B1741&lt;&gt;"",$R1741='تقرير مارس'!$C$4,$P1741='تقرير مارس'!$C$6),COUNT(AC$4:AC1740)+1,"")</f>
        <v/>
      </c>
      <c r="AD1741">
        <f>IF(AND($A1741&lt;&gt;"",$B1741&lt;&gt;"",$R1741='تقرير أبريل'!$C$4,$P1741='تقرير أبريل'!$C$6),COUNT(AD$4:AD1740)+1,"")</f>
        <v/>
      </c>
      <c r="AE1741">
        <f>IF(AND($A1741&lt;&gt;"",$B1741&lt;&gt;"",$R1741='تقرير مايو'!$C$4,$P1741='تقرير مايو'!$C$6),COUNT(AE$4:AE1740)+1,"")</f>
        <v/>
      </c>
    </row>
    <row r="1742">
      <c r="A1742" s="16" t="n"/>
      <c r="B1742" s="17" t="n"/>
      <c r="C1742" s="17" t="n"/>
      <c r="D1742" s="18" t="n"/>
      <c r="E1742" s="17" t="n"/>
      <c r="F1742" s="17" t="n"/>
      <c r="G1742" s="19" t="n"/>
      <c r="H1742" s="17" t="n"/>
      <c r="I1742" s="17" t="n"/>
      <c r="J1742" s="17" t="n"/>
      <c r="K1742" s="20">
        <f>IF($B1742="","",IFERROR(INDEX(الموظفات!$A$5:$A$304,MATCH($B1742,الموظفات!$B$5:$B$304,0))&amp;"",""))</f>
        <v/>
      </c>
      <c r="L1742" s="21">
        <f>IF($B1742="","",IFERROR(INDEX(الموظفات!$C$5:$C$304,MATCH($B1742,الموظفات!$B$5:$B$304,0))&amp;"",""))</f>
        <v/>
      </c>
      <c r="M1742" s="20">
        <f>IF($B1742="","",IFERROR(INDEX(الموظفات!$D$5:$D$304,MATCH($B1742,الموظفات!$B$5:$B$304,0))&amp;"",""))</f>
        <v/>
      </c>
      <c r="N1742" s="20">
        <f>IF($B1742="","",IFERROR(INDEX(الموظفات!$E$5:$E$304,MATCH($B1742,الموظفات!$B$5:$B$304,0))&amp;"",""))</f>
        <v/>
      </c>
      <c r="O1742" s="21">
        <f>IF(C1742="","",IFERROR(INDEX(الإعدادات!$D$7:$D$35,MATCH(C1742,الإعدادات!$A$7:$A$35,0))&amp;"",""))</f>
        <v/>
      </c>
      <c r="P1742" s="20">
        <f>IF(A1742="","",INDEX(الإعدادات!$H$7:$H$18,MONTH(A1742)))</f>
        <v/>
      </c>
      <c r="Q1742" s="20">
        <f>IF(A1742="","",INDEX(الإعدادات!$I$7:$I$18,MONTH(A1742)))</f>
        <v/>
      </c>
      <c r="R1742" s="20">
        <f>IF(A1742="","",IF(MONTH(A1742)&gt;=8,YEAR(A1742)&amp;"-"&amp;(YEAR(A1742)+1),(YEAR(A1742)-1)&amp;"-"&amp;YEAR(A1742)))</f>
        <v/>
      </c>
      <c r="S1742" s="20">
        <f>IF(OR(A1742="",B1742=""),0,IF(AND(R1742=التقارير!$C$4,OR(التقارير!$C$5="سنوي",AND(التقارير!$C$5="شهري",P1742=التقارير!$C$6),AND(التقارير!$C$5="فصلي",Q1742=التقارير!$C$7))),1,0))</f>
        <v/>
      </c>
      <c r="T1742" s="20">
        <f>IF(S1742=1,COUNTIF($S$5:S1742,1),"")</f>
        <v/>
      </c>
      <c r="U1742">
        <f>IF(AND($A1742&lt;&gt;"",$B1742&lt;&gt;"",$R1742='تقرير الفصل الأول'!$C$4,$Q1742='تقرير الفصل الأول'!$C$7),COUNT(U$4:U1741)+1,"")</f>
        <v/>
      </c>
      <c r="V1742">
        <f>IF(AND($A1742&lt;&gt;"",$B1742&lt;&gt;"",$R1742='تقرير الفصل الثاني'!$C$4,$Q1742='تقرير الفصل الثاني'!$C$7),COUNT(V$4:V1741)+1,"")</f>
        <v/>
      </c>
      <c r="W1742">
        <f>IF(AND($A1742&lt;&gt;"",$B1742&lt;&gt;"",$R1742='تقرير سبتمبر'!$C$4,$P1742='تقرير سبتمبر'!$C$6),COUNT(W$4:W1741)+1,"")</f>
        <v/>
      </c>
      <c r="X1742">
        <f>IF(AND($A1742&lt;&gt;"",$B1742&lt;&gt;"",$R1742='تقرير أكتوبر'!$C$4,$P1742='تقرير أكتوبر'!$C$6),COUNT(X$4:X1741)+1,"")</f>
        <v/>
      </c>
      <c r="Y1742">
        <f>IF(AND($A1742&lt;&gt;"",$B1742&lt;&gt;"",$R1742='تقرير نوفمبر'!$C$4,$P1742='تقرير نوفمبر'!$C$6),COUNT(Y$4:Y1741)+1,"")</f>
        <v/>
      </c>
      <c r="Z1742">
        <f>IF(AND($A1742&lt;&gt;"",$B1742&lt;&gt;"",$R1742='تقرير ديسمبر'!$C$4,$P1742='تقرير ديسمبر'!$C$6),COUNT(Z$4:Z1741)+1,"")</f>
        <v/>
      </c>
      <c r="AA1742">
        <f>IF(AND($A1742&lt;&gt;"",$B1742&lt;&gt;"",$R1742='تقرير يناير'!$C$4,$P1742='تقرير يناير'!$C$6),COUNT(AA$4:AA1741)+1,"")</f>
        <v/>
      </c>
      <c r="AB1742">
        <f>IF(AND($A1742&lt;&gt;"",$B1742&lt;&gt;"",$R1742='تقرير فبراير'!$C$4,$P1742='تقرير فبراير'!$C$6),COUNT(AB$4:AB1741)+1,"")</f>
        <v/>
      </c>
      <c r="AC1742">
        <f>IF(AND($A1742&lt;&gt;"",$B1742&lt;&gt;"",$R1742='تقرير مارس'!$C$4,$P1742='تقرير مارس'!$C$6),COUNT(AC$4:AC1741)+1,"")</f>
        <v/>
      </c>
      <c r="AD1742">
        <f>IF(AND($A1742&lt;&gt;"",$B1742&lt;&gt;"",$R1742='تقرير أبريل'!$C$4,$P1742='تقرير أبريل'!$C$6),COUNT(AD$4:AD1741)+1,"")</f>
        <v/>
      </c>
      <c r="AE1742">
        <f>IF(AND($A1742&lt;&gt;"",$B1742&lt;&gt;"",$R1742='تقرير مايو'!$C$4,$P1742='تقرير مايو'!$C$6),COUNT(AE$4:AE1741)+1,"")</f>
        <v/>
      </c>
    </row>
    <row r="1743">
      <c r="A1743" s="16" t="n"/>
      <c r="B1743" s="17" t="n"/>
      <c r="C1743" s="17" t="n"/>
      <c r="D1743" s="18" t="n"/>
      <c r="E1743" s="17" t="n"/>
      <c r="F1743" s="17" t="n"/>
      <c r="G1743" s="19" t="n"/>
      <c r="H1743" s="17" t="n"/>
      <c r="I1743" s="17" t="n"/>
      <c r="J1743" s="17" t="n"/>
      <c r="K1743" s="20">
        <f>IF($B1743="","",IFERROR(INDEX(الموظفات!$A$5:$A$304,MATCH($B1743,الموظفات!$B$5:$B$304,0))&amp;"",""))</f>
        <v/>
      </c>
      <c r="L1743" s="21">
        <f>IF($B1743="","",IFERROR(INDEX(الموظفات!$C$5:$C$304,MATCH($B1743,الموظفات!$B$5:$B$304,0))&amp;"",""))</f>
        <v/>
      </c>
      <c r="M1743" s="20">
        <f>IF($B1743="","",IFERROR(INDEX(الموظفات!$D$5:$D$304,MATCH($B1743,الموظفات!$B$5:$B$304,0))&amp;"",""))</f>
        <v/>
      </c>
      <c r="N1743" s="20">
        <f>IF($B1743="","",IFERROR(INDEX(الموظفات!$E$5:$E$304,MATCH($B1743,الموظفات!$B$5:$B$304,0))&amp;"",""))</f>
        <v/>
      </c>
      <c r="O1743" s="21">
        <f>IF(C1743="","",IFERROR(INDEX(الإعدادات!$D$7:$D$35,MATCH(C1743,الإعدادات!$A$7:$A$35,0))&amp;"",""))</f>
        <v/>
      </c>
      <c r="P1743" s="20">
        <f>IF(A1743="","",INDEX(الإعدادات!$H$7:$H$18,MONTH(A1743)))</f>
        <v/>
      </c>
      <c r="Q1743" s="20">
        <f>IF(A1743="","",INDEX(الإعدادات!$I$7:$I$18,MONTH(A1743)))</f>
        <v/>
      </c>
      <c r="R1743" s="20">
        <f>IF(A1743="","",IF(MONTH(A1743)&gt;=8,YEAR(A1743)&amp;"-"&amp;(YEAR(A1743)+1),(YEAR(A1743)-1)&amp;"-"&amp;YEAR(A1743)))</f>
        <v/>
      </c>
      <c r="S1743" s="20">
        <f>IF(OR(A1743="",B1743=""),0,IF(AND(R1743=التقارير!$C$4,OR(التقارير!$C$5="سنوي",AND(التقارير!$C$5="شهري",P1743=التقارير!$C$6),AND(التقارير!$C$5="فصلي",Q1743=التقارير!$C$7))),1,0))</f>
        <v/>
      </c>
      <c r="T1743" s="20">
        <f>IF(S1743=1,COUNTIF($S$5:S1743,1),"")</f>
        <v/>
      </c>
      <c r="U1743">
        <f>IF(AND($A1743&lt;&gt;"",$B1743&lt;&gt;"",$R1743='تقرير الفصل الأول'!$C$4,$Q1743='تقرير الفصل الأول'!$C$7),COUNT(U$4:U1742)+1,"")</f>
        <v/>
      </c>
      <c r="V1743">
        <f>IF(AND($A1743&lt;&gt;"",$B1743&lt;&gt;"",$R1743='تقرير الفصل الثاني'!$C$4,$Q1743='تقرير الفصل الثاني'!$C$7),COUNT(V$4:V1742)+1,"")</f>
        <v/>
      </c>
      <c r="W1743">
        <f>IF(AND($A1743&lt;&gt;"",$B1743&lt;&gt;"",$R1743='تقرير سبتمبر'!$C$4,$P1743='تقرير سبتمبر'!$C$6),COUNT(W$4:W1742)+1,"")</f>
        <v/>
      </c>
      <c r="X1743">
        <f>IF(AND($A1743&lt;&gt;"",$B1743&lt;&gt;"",$R1743='تقرير أكتوبر'!$C$4,$P1743='تقرير أكتوبر'!$C$6),COUNT(X$4:X1742)+1,"")</f>
        <v/>
      </c>
      <c r="Y1743">
        <f>IF(AND($A1743&lt;&gt;"",$B1743&lt;&gt;"",$R1743='تقرير نوفمبر'!$C$4,$P1743='تقرير نوفمبر'!$C$6),COUNT(Y$4:Y1742)+1,"")</f>
        <v/>
      </c>
      <c r="Z1743">
        <f>IF(AND($A1743&lt;&gt;"",$B1743&lt;&gt;"",$R1743='تقرير ديسمبر'!$C$4,$P1743='تقرير ديسمبر'!$C$6),COUNT(Z$4:Z1742)+1,"")</f>
        <v/>
      </c>
      <c r="AA1743">
        <f>IF(AND($A1743&lt;&gt;"",$B1743&lt;&gt;"",$R1743='تقرير يناير'!$C$4,$P1743='تقرير يناير'!$C$6),COUNT(AA$4:AA1742)+1,"")</f>
        <v/>
      </c>
      <c r="AB1743">
        <f>IF(AND($A1743&lt;&gt;"",$B1743&lt;&gt;"",$R1743='تقرير فبراير'!$C$4,$P1743='تقرير فبراير'!$C$6),COUNT(AB$4:AB1742)+1,"")</f>
        <v/>
      </c>
      <c r="AC1743">
        <f>IF(AND($A1743&lt;&gt;"",$B1743&lt;&gt;"",$R1743='تقرير مارس'!$C$4,$P1743='تقرير مارس'!$C$6),COUNT(AC$4:AC1742)+1,"")</f>
        <v/>
      </c>
      <c r="AD1743">
        <f>IF(AND($A1743&lt;&gt;"",$B1743&lt;&gt;"",$R1743='تقرير أبريل'!$C$4,$P1743='تقرير أبريل'!$C$6),COUNT(AD$4:AD1742)+1,"")</f>
        <v/>
      </c>
      <c r="AE1743">
        <f>IF(AND($A1743&lt;&gt;"",$B1743&lt;&gt;"",$R1743='تقرير مايو'!$C$4,$P1743='تقرير مايو'!$C$6),COUNT(AE$4:AE1742)+1,"")</f>
        <v/>
      </c>
    </row>
    <row r="1744">
      <c r="A1744" s="16" t="n"/>
      <c r="B1744" s="17" t="n"/>
      <c r="C1744" s="17" t="n"/>
      <c r="D1744" s="18" t="n"/>
      <c r="E1744" s="17" t="n"/>
      <c r="F1744" s="17" t="n"/>
      <c r="G1744" s="19" t="n"/>
      <c r="H1744" s="17" t="n"/>
      <c r="I1744" s="17" t="n"/>
      <c r="J1744" s="17" t="n"/>
      <c r="K1744" s="20">
        <f>IF($B1744="","",IFERROR(INDEX(الموظفات!$A$5:$A$304,MATCH($B1744,الموظفات!$B$5:$B$304,0))&amp;"",""))</f>
        <v/>
      </c>
      <c r="L1744" s="21">
        <f>IF($B1744="","",IFERROR(INDEX(الموظفات!$C$5:$C$304,MATCH($B1744,الموظفات!$B$5:$B$304,0))&amp;"",""))</f>
        <v/>
      </c>
      <c r="M1744" s="20">
        <f>IF($B1744="","",IFERROR(INDEX(الموظفات!$D$5:$D$304,MATCH($B1744,الموظفات!$B$5:$B$304,0))&amp;"",""))</f>
        <v/>
      </c>
      <c r="N1744" s="20">
        <f>IF($B1744="","",IFERROR(INDEX(الموظفات!$E$5:$E$304,MATCH($B1744,الموظفات!$B$5:$B$304,0))&amp;"",""))</f>
        <v/>
      </c>
      <c r="O1744" s="21">
        <f>IF(C1744="","",IFERROR(INDEX(الإعدادات!$D$7:$D$35,MATCH(C1744,الإعدادات!$A$7:$A$35,0))&amp;"",""))</f>
        <v/>
      </c>
      <c r="P1744" s="20">
        <f>IF(A1744="","",INDEX(الإعدادات!$H$7:$H$18,MONTH(A1744)))</f>
        <v/>
      </c>
      <c r="Q1744" s="20">
        <f>IF(A1744="","",INDEX(الإعدادات!$I$7:$I$18,MONTH(A1744)))</f>
        <v/>
      </c>
      <c r="R1744" s="20">
        <f>IF(A1744="","",IF(MONTH(A1744)&gt;=8,YEAR(A1744)&amp;"-"&amp;(YEAR(A1744)+1),(YEAR(A1744)-1)&amp;"-"&amp;YEAR(A1744)))</f>
        <v/>
      </c>
      <c r="S1744" s="20">
        <f>IF(OR(A1744="",B1744=""),0,IF(AND(R1744=التقارير!$C$4,OR(التقارير!$C$5="سنوي",AND(التقارير!$C$5="شهري",P1744=التقارير!$C$6),AND(التقارير!$C$5="فصلي",Q1744=التقارير!$C$7))),1,0))</f>
        <v/>
      </c>
      <c r="T1744" s="20">
        <f>IF(S1744=1,COUNTIF($S$5:S1744,1),"")</f>
        <v/>
      </c>
      <c r="U1744">
        <f>IF(AND($A1744&lt;&gt;"",$B1744&lt;&gt;"",$R1744='تقرير الفصل الأول'!$C$4,$Q1744='تقرير الفصل الأول'!$C$7),COUNT(U$4:U1743)+1,"")</f>
        <v/>
      </c>
      <c r="V1744">
        <f>IF(AND($A1744&lt;&gt;"",$B1744&lt;&gt;"",$R1744='تقرير الفصل الثاني'!$C$4,$Q1744='تقرير الفصل الثاني'!$C$7),COUNT(V$4:V1743)+1,"")</f>
        <v/>
      </c>
      <c r="W1744">
        <f>IF(AND($A1744&lt;&gt;"",$B1744&lt;&gt;"",$R1744='تقرير سبتمبر'!$C$4,$P1744='تقرير سبتمبر'!$C$6),COUNT(W$4:W1743)+1,"")</f>
        <v/>
      </c>
      <c r="X1744">
        <f>IF(AND($A1744&lt;&gt;"",$B1744&lt;&gt;"",$R1744='تقرير أكتوبر'!$C$4,$P1744='تقرير أكتوبر'!$C$6),COUNT(X$4:X1743)+1,"")</f>
        <v/>
      </c>
      <c r="Y1744">
        <f>IF(AND($A1744&lt;&gt;"",$B1744&lt;&gt;"",$R1744='تقرير نوفمبر'!$C$4,$P1744='تقرير نوفمبر'!$C$6),COUNT(Y$4:Y1743)+1,"")</f>
        <v/>
      </c>
      <c r="Z1744">
        <f>IF(AND($A1744&lt;&gt;"",$B1744&lt;&gt;"",$R1744='تقرير ديسمبر'!$C$4,$P1744='تقرير ديسمبر'!$C$6),COUNT(Z$4:Z1743)+1,"")</f>
        <v/>
      </c>
      <c r="AA1744">
        <f>IF(AND($A1744&lt;&gt;"",$B1744&lt;&gt;"",$R1744='تقرير يناير'!$C$4,$P1744='تقرير يناير'!$C$6),COUNT(AA$4:AA1743)+1,"")</f>
        <v/>
      </c>
      <c r="AB1744">
        <f>IF(AND($A1744&lt;&gt;"",$B1744&lt;&gt;"",$R1744='تقرير فبراير'!$C$4,$P1744='تقرير فبراير'!$C$6),COUNT(AB$4:AB1743)+1,"")</f>
        <v/>
      </c>
      <c r="AC1744">
        <f>IF(AND($A1744&lt;&gt;"",$B1744&lt;&gt;"",$R1744='تقرير مارس'!$C$4,$P1744='تقرير مارس'!$C$6),COUNT(AC$4:AC1743)+1,"")</f>
        <v/>
      </c>
      <c r="AD1744">
        <f>IF(AND($A1744&lt;&gt;"",$B1744&lt;&gt;"",$R1744='تقرير أبريل'!$C$4,$P1744='تقرير أبريل'!$C$6),COUNT(AD$4:AD1743)+1,"")</f>
        <v/>
      </c>
      <c r="AE1744">
        <f>IF(AND($A1744&lt;&gt;"",$B1744&lt;&gt;"",$R1744='تقرير مايو'!$C$4,$P1744='تقرير مايو'!$C$6),COUNT(AE$4:AE1743)+1,"")</f>
        <v/>
      </c>
    </row>
    <row r="1745">
      <c r="A1745" s="16" t="n"/>
      <c r="B1745" s="17" t="n"/>
      <c r="C1745" s="17" t="n"/>
      <c r="D1745" s="18" t="n"/>
      <c r="E1745" s="17" t="n"/>
      <c r="F1745" s="17" t="n"/>
      <c r="G1745" s="19" t="n"/>
      <c r="H1745" s="17" t="n"/>
      <c r="I1745" s="17" t="n"/>
      <c r="J1745" s="17" t="n"/>
      <c r="K1745" s="20">
        <f>IF($B1745="","",IFERROR(INDEX(الموظفات!$A$5:$A$304,MATCH($B1745,الموظفات!$B$5:$B$304,0))&amp;"",""))</f>
        <v/>
      </c>
      <c r="L1745" s="21">
        <f>IF($B1745="","",IFERROR(INDEX(الموظفات!$C$5:$C$304,MATCH($B1745,الموظفات!$B$5:$B$304,0))&amp;"",""))</f>
        <v/>
      </c>
      <c r="M1745" s="20">
        <f>IF($B1745="","",IFERROR(INDEX(الموظفات!$D$5:$D$304,MATCH($B1745,الموظفات!$B$5:$B$304,0))&amp;"",""))</f>
        <v/>
      </c>
      <c r="N1745" s="20">
        <f>IF($B1745="","",IFERROR(INDEX(الموظفات!$E$5:$E$304,MATCH($B1745,الموظفات!$B$5:$B$304,0))&amp;"",""))</f>
        <v/>
      </c>
      <c r="O1745" s="21">
        <f>IF(C1745="","",IFERROR(INDEX(الإعدادات!$D$7:$D$35,MATCH(C1745,الإعدادات!$A$7:$A$35,0))&amp;"",""))</f>
        <v/>
      </c>
      <c r="P1745" s="20">
        <f>IF(A1745="","",INDEX(الإعدادات!$H$7:$H$18,MONTH(A1745)))</f>
        <v/>
      </c>
      <c r="Q1745" s="20">
        <f>IF(A1745="","",INDEX(الإعدادات!$I$7:$I$18,MONTH(A1745)))</f>
        <v/>
      </c>
      <c r="R1745" s="20">
        <f>IF(A1745="","",IF(MONTH(A1745)&gt;=8,YEAR(A1745)&amp;"-"&amp;(YEAR(A1745)+1),(YEAR(A1745)-1)&amp;"-"&amp;YEAR(A1745)))</f>
        <v/>
      </c>
      <c r="S1745" s="20">
        <f>IF(OR(A1745="",B1745=""),0,IF(AND(R1745=التقارير!$C$4,OR(التقارير!$C$5="سنوي",AND(التقارير!$C$5="شهري",P1745=التقارير!$C$6),AND(التقارير!$C$5="فصلي",Q1745=التقارير!$C$7))),1,0))</f>
        <v/>
      </c>
      <c r="T1745" s="20">
        <f>IF(S1745=1,COUNTIF($S$5:S1745,1),"")</f>
        <v/>
      </c>
      <c r="U1745">
        <f>IF(AND($A1745&lt;&gt;"",$B1745&lt;&gt;"",$R1745='تقرير الفصل الأول'!$C$4,$Q1745='تقرير الفصل الأول'!$C$7),COUNT(U$4:U1744)+1,"")</f>
        <v/>
      </c>
      <c r="V1745">
        <f>IF(AND($A1745&lt;&gt;"",$B1745&lt;&gt;"",$R1745='تقرير الفصل الثاني'!$C$4,$Q1745='تقرير الفصل الثاني'!$C$7),COUNT(V$4:V1744)+1,"")</f>
        <v/>
      </c>
      <c r="W1745">
        <f>IF(AND($A1745&lt;&gt;"",$B1745&lt;&gt;"",$R1745='تقرير سبتمبر'!$C$4,$P1745='تقرير سبتمبر'!$C$6),COUNT(W$4:W1744)+1,"")</f>
        <v/>
      </c>
      <c r="X1745">
        <f>IF(AND($A1745&lt;&gt;"",$B1745&lt;&gt;"",$R1745='تقرير أكتوبر'!$C$4,$P1745='تقرير أكتوبر'!$C$6),COUNT(X$4:X1744)+1,"")</f>
        <v/>
      </c>
      <c r="Y1745">
        <f>IF(AND($A1745&lt;&gt;"",$B1745&lt;&gt;"",$R1745='تقرير نوفمبر'!$C$4,$P1745='تقرير نوفمبر'!$C$6),COUNT(Y$4:Y1744)+1,"")</f>
        <v/>
      </c>
      <c r="Z1745">
        <f>IF(AND($A1745&lt;&gt;"",$B1745&lt;&gt;"",$R1745='تقرير ديسمبر'!$C$4,$P1745='تقرير ديسمبر'!$C$6),COUNT(Z$4:Z1744)+1,"")</f>
        <v/>
      </c>
      <c r="AA1745">
        <f>IF(AND($A1745&lt;&gt;"",$B1745&lt;&gt;"",$R1745='تقرير يناير'!$C$4,$P1745='تقرير يناير'!$C$6),COUNT(AA$4:AA1744)+1,"")</f>
        <v/>
      </c>
      <c r="AB1745">
        <f>IF(AND($A1745&lt;&gt;"",$B1745&lt;&gt;"",$R1745='تقرير فبراير'!$C$4,$P1745='تقرير فبراير'!$C$6),COUNT(AB$4:AB1744)+1,"")</f>
        <v/>
      </c>
      <c r="AC1745">
        <f>IF(AND($A1745&lt;&gt;"",$B1745&lt;&gt;"",$R1745='تقرير مارس'!$C$4,$P1745='تقرير مارس'!$C$6),COUNT(AC$4:AC1744)+1,"")</f>
        <v/>
      </c>
      <c r="AD1745">
        <f>IF(AND($A1745&lt;&gt;"",$B1745&lt;&gt;"",$R1745='تقرير أبريل'!$C$4,$P1745='تقرير أبريل'!$C$6),COUNT(AD$4:AD1744)+1,"")</f>
        <v/>
      </c>
      <c r="AE1745">
        <f>IF(AND($A1745&lt;&gt;"",$B1745&lt;&gt;"",$R1745='تقرير مايو'!$C$4,$P1745='تقرير مايو'!$C$6),COUNT(AE$4:AE1744)+1,"")</f>
        <v/>
      </c>
    </row>
    <row r="1746">
      <c r="A1746" s="16" t="n"/>
      <c r="B1746" s="17" t="n"/>
      <c r="C1746" s="17" t="n"/>
      <c r="D1746" s="18" t="n"/>
      <c r="E1746" s="17" t="n"/>
      <c r="F1746" s="17" t="n"/>
      <c r="G1746" s="19" t="n"/>
      <c r="H1746" s="17" t="n"/>
      <c r="I1746" s="17" t="n"/>
      <c r="J1746" s="17" t="n"/>
      <c r="K1746" s="20">
        <f>IF($B1746="","",IFERROR(INDEX(الموظفات!$A$5:$A$304,MATCH($B1746,الموظفات!$B$5:$B$304,0))&amp;"",""))</f>
        <v/>
      </c>
      <c r="L1746" s="21">
        <f>IF($B1746="","",IFERROR(INDEX(الموظفات!$C$5:$C$304,MATCH($B1746,الموظفات!$B$5:$B$304,0))&amp;"",""))</f>
        <v/>
      </c>
      <c r="M1746" s="20">
        <f>IF($B1746="","",IFERROR(INDEX(الموظفات!$D$5:$D$304,MATCH($B1746,الموظفات!$B$5:$B$304,0))&amp;"",""))</f>
        <v/>
      </c>
      <c r="N1746" s="20">
        <f>IF($B1746="","",IFERROR(INDEX(الموظفات!$E$5:$E$304,MATCH($B1746,الموظفات!$B$5:$B$304,0))&amp;"",""))</f>
        <v/>
      </c>
      <c r="O1746" s="21">
        <f>IF(C1746="","",IFERROR(INDEX(الإعدادات!$D$7:$D$35,MATCH(C1746,الإعدادات!$A$7:$A$35,0))&amp;"",""))</f>
        <v/>
      </c>
      <c r="P1746" s="20">
        <f>IF(A1746="","",INDEX(الإعدادات!$H$7:$H$18,MONTH(A1746)))</f>
        <v/>
      </c>
      <c r="Q1746" s="20">
        <f>IF(A1746="","",INDEX(الإعدادات!$I$7:$I$18,MONTH(A1746)))</f>
        <v/>
      </c>
      <c r="R1746" s="20">
        <f>IF(A1746="","",IF(MONTH(A1746)&gt;=8,YEAR(A1746)&amp;"-"&amp;(YEAR(A1746)+1),(YEAR(A1746)-1)&amp;"-"&amp;YEAR(A1746)))</f>
        <v/>
      </c>
      <c r="S1746" s="20">
        <f>IF(OR(A1746="",B1746=""),0,IF(AND(R1746=التقارير!$C$4,OR(التقارير!$C$5="سنوي",AND(التقارير!$C$5="شهري",P1746=التقارير!$C$6),AND(التقارير!$C$5="فصلي",Q1746=التقارير!$C$7))),1,0))</f>
        <v/>
      </c>
      <c r="T1746" s="20">
        <f>IF(S1746=1,COUNTIF($S$5:S1746,1),"")</f>
        <v/>
      </c>
      <c r="U1746">
        <f>IF(AND($A1746&lt;&gt;"",$B1746&lt;&gt;"",$R1746='تقرير الفصل الأول'!$C$4,$Q1746='تقرير الفصل الأول'!$C$7),COUNT(U$4:U1745)+1,"")</f>
        <v/>
      </c>
      <c r="V1746">
        <f>IF(AND($A1746&lt;&gt;"",$B1746&lt;&gt;"",$R1746='تقرير الفصل الثاني'!$C$4,$Q1746='تقرير الفصل الثاني'!$C$7),COUNT(V$4:V1745)+1,"")</f>
        <v/>
      </c>
      <c r="W1746">
        <f>IF(AND($A1746&lt;&gt;"",$B1746&lt;&gt;"",$R1746='تقرير سبتمبر'!$C$4,$P1746='تقرير سبتمبر'!$C$6),COUNT(W$4:W1745)+1,"")</f>
        <v/>
      </c>
      <c r="X1746">
        <f>IF(AND($A1746&lt;&gt;"",$B1746&lt;&gt;"",$R1746='تقرير أكتوبر'!$C$4,$P1746='تقرير أكتوبر'!$C$6),COUNT(X$4:X1745)+1,"")</f>
        <v/>
      </c>
      <c r="Y1746">
        <f>IF(AND($A1746&lt;&gt;"",$B1746&lt;&gt;"",$R1746='تقرير نوفمبر'!$C$4,$P1746='تقرير نوفمبر'!$C$6),COUNT(Y$4:Y1745)+1,"")</f>
        <v/>
      </c>
      <c r="Z1746">
        <f>IF(AND($A1746&lt;&gt;"",$B1746&lt;&gt;"",$R1746='تقرير ديسمبر'!$C$4,$P1746='تقرير ديسمبر'!$C$6),COUNT(Z$4:Z1745)+1,"")</f>
        <v/>
      </c>
      <c r="AA1746">
        <f>IF(AND($A1746&lt;&gt;"",$B1746&lt;&gt;"",$R1746='تقرير يناير'!$C$4,$P1746='تقرير يناير'!$C$6),COUNT(AA$4:AA1745)+1,"")</f>
        <v/>
      </c>
      <c r="AB1746">
        <f>IF(AND($A1746&lt;&gt;"",$B1746&lt;&gt;"",$R1746='تقرير فبراير'!$C$4,$P1746='تقرير فبراير'!$C$6),COUNT(AB$4:AB1745)+1,"")</f>
        <v/>
      </c>
      <c r="AC1746">
        <f>IF(AND($A1746&lt;&gt;"",$B1746&lt;&gt;"",$R1746='تقرير مارس'!$C$4,$P1746='تقرير مارس'!$C$6),COUNT(AC$4:AC1745)+1,"")</f>
        <v/>
      </c>
      <c r="AD1746">
        <f>IF(AND($A1746&lt;&gt;"",$B1746&lt;&gt;"",$R1746='تقرير أبريل'!$C$4,$P1746='تقرير أبريل'!$C$6),COUNT(AD$4:AD1745)+1,"")</f>
        <v/>
      </c>
      <c r="AE1746">
        <f>IF(AND($A1746&lt;&gt;"",$B1746&lt;&gt;"",$R1746='تقرير مايو'!$C$4,$P1746='تقرير مايو'!$C$6),COUNT(AE$4:AE1745)+1,"")</f>
        <v/>
      </c>
    </row>
    <row r="1747">
      <c r="A1747" s="16" t="n"/>
      <c r="B1747" s="17" t="n"/>
      <c r="C1747" s="17" t="n"/>
      <c r="D1747" s="18" t="n"/>
      <c r="E1747" s="17" t="n"/>
      <c r="F1747" s="17" t="n"/>
      <c r="G1747" s="19" t="n"/>
      <c r="H1747" s="17" t="n"/>
      <c r="I1747" s="17" t="n"/>
      <c r="J1747" s="17" t="n"/>
      <c r="K1747" s="20">
        <f>IF($B1747="","",IFERROR(INDEX(الموظفات!$A$5:$A$304,MATCH($B1747,الموظفات!$B$5:$B$304,0))&amp;"",""))</f>
        <v/>
      </c>
      <c r="L1747" s="21">
        <f>IF($B1747="","",IFERROR(INDEX(الموظفات!$C$5:$C$304,MATCH($B1747,الموظفات!$B$5:$B$304,0))&amp;"",""))</f>
        <v/>
      </c>
      <c r="M1747" s="20">
        <f>IF($B1747="","",IFERROR(INDEX(الموظفات!$D$5:$D$304,MATCH($B1747,الموظفات!$B$5:$B$304,0))&amp;"",""))</f>
        <v/>
      </c>
      <c r="N1747" s="20">
        <f>IF($B1747="","",IFERROR(INDEX(الموظفات!$E$5:$E$304,MATCH($B1747,الموظفات!$B$5:$B$304,0))&amp;"",""))</f>
        <v/>
      </c>
      <c r="O1747" s="21">
        <f>IF(C1747="","",IFERROR(INDEX(الإعدادات!$D$7:$D$35,MATCH(C1747,الإعدادات!$A$7:$A$35,0))&amp;"",""))</f>
        <v/>
      </c>
      <c r="P1747" s="20">
        <f>IF(A1747="","",INDEX(الإعدادات!$H$7:$H$18,MONTH(A1747)))</f>
        <v/>
      </c>
      <c r="Q1747" s="20">
        <f>IF(A1747="","",INDEX(الإعدادات!$I$7:$I$18,MONTH(A1747)))</f>
        <v/>
      </c>
      <c r="R1747" s="20">
        <f>IF(A1747="","",IF(MONTH(A1747)&gt;=8,YEAR(A1747)&amp;"-"&amp;(YEAR(A1747)+1),(YEAR(A1747)-1)&amp;"-"&amp;YEAR(A1747)))</f>
        <v/>
      </c>
      <c r="S1747" s="20">
        <f>IF(OR(A1747="",B1747=""),0,IF(AND(R1747=التقارير!$C$4,OR(التقارير!$C$5="سنوي",AND(التقارير!$C$5="شهري",P1747=التقارير!$C$6),AND(التقارير!$C$5="فصلي",Q1747=التقارير!$C$7))),1,0))</f>
        <v/>
      </c>
      <c r="T1747" s="20">
        <f>IF(S1747=1,COUNTIF($S$5:S1747,1),"")</f>
        <v/>
      </c>
      <c r="U1747">
        <f>IF(AND($A1747&lt;&gt;"",$B1747&lt;&gt;"",$R1747='تقرير الفصل الأول'!$C$4,$Q1747='تقرير الفصل الأول'!$C$7),COUNT(U$4:U1746)+1,"")</f>
        <v/>
      </c>
      <c r="V1747">
        <f>IF(AND($A1747&lt;&gt;"",$B1747&lt;&gt;"",$R1747='تقرير الفصل الثاني'!$C$4,$Q1747='تقرير الفصل الثاني'!$C$7),COUNT(V$4:V1746)+1,"")</f>
        <v/>
      </c>
      <c r="W1747">
        <f>IF(AND($A1747&lt;&gt;"",$B1747&lt;&gt;"",$R1747='تقرير سبتمبر'!$C$4,$P1747='تقرير سبتمبر'!$C$6),COUNT(W$4:W1746)+1,"")</f>
        <v/>
      </c>
      <c r="X1747">
        <f>IF(AND($A1747&lt;&gt;"",$B1747&lt;&gt;"",$R1747='تقرير أكتوبر'!$C$4,$P1747='تقرير أكتوبر'!$C$6),COUNT(X$4:X1746)+1,"")</f>
        <v/>
      </c>
      <c r="Y1747">
        <f>IF(AND($A1747&lt;&gt;"",$B1747&lt;&gt;"",$R1747='تقرير نوفمبر'!$C$4,$P1747='تقرير نوفمبر'!$C$6),COUNT(Y$4:Y1746)+1,"")</f>
        <v/>
      </c>
      <c r="Z1747">
        <f>IF(AND($A1747&lt;&gt;"",$B1747&lt;&gt;"",$R1747='تقرير ديسمبر'!$C$4,$P1747='تقرير ديسمبر'!$C$6),COUNT(Z$4:Z1746)+1,"")</f>
        <v/>
      </c>
      <c r="AA1747">
        <f>IF(AND($A1747&lt;&gt;"",$B1747&lt;&gt;"",$R1747='تقرير يناير'!$C$4,$P1747='تقرير يناير'!$C$6),COUNT(AA$4:AA1746)+1,"")</f>
        <v/>
      </c>
      <c r="AB1747">
        <f>IF(AND($A1747&lt;&gt;"",$B1747&lt;&gt;"",$R1747='تقرير فبراير'!$C$4,$P1747='تقرير فبراير'!$C$6),COUNT(AB$4:AB1746)+1,"")</f>
        <v/>
      </c>
      <c r="AC1747">
        <f>IF(AND($A1747&lt;&gt;"",$B1747&lt;&gt;"",$R1747='تقرير مارس'!$C$4,$P1747='تقرير مارس'!$C$6),COUNT(AC$4:AC1746)+1,"")</f>
        <v/>
      </c>
      <c r="AD1747">
        <f>IF(AND($A1747&lt;&gt;"",$B1747&lt;&gt;"",$R1747='تقرير أبريل'!$C$4,$P1747='تقرير أبريل'!$C$6),COUNT(AD$4:AD1746)+1,"")</f>
        <v/>
      </c>
      <c r="AE1747">
        <f>IF(AND($A1747&lt;&gt;"",$B1747&lt;&gt;"",$R1747='تقرير مايو'!$C$4,$P1747='تقرير مايو'!$C$6),COUNT(AE$4:AE1746)+1,"")</f>
        <v/>
      </c>
    </row>
    <row r="1748">
      <c r="A1748" s="16" t="n"/>
      <c r="B1748" s="17" t="n"/>
      <c r="C1748" s="17" t="n"/>
      <c r="D1748" s="18" t="n"/>
      <c r="E1748" s="17" t="n"/>
      <c r="F1748" s="17" t="n"/>
      <c r="G1748" s="19" t="n"/>
      <c r="H1748" s="17" t="n"/>
      <c r="I1748" s="17" t="n"/>
      <c r="J1748" s="17" t="n"/>
      <c r="K1748" s="20">
        <f>IF($B1748="","",IFERROR(INDEX(الموظفات!$A$5:$A$304,MATCH($B1748,الموظفات!$B$5:$B$304,0))&amp;"",""))</f>
        <v/>
      </c>
      <c r="L1748" s="21">
        <f>IF($B1748="","",IFERROR(INDEX(الموظفات!$C$5:$C$304,MATCH($B1748,الموظفات!$B$5:$B$304,0))&amp;"",""))</f>
        <v/>
      </c>
      <c r="M1748" s="20">
        <f>IF($B1748="","",IFERROR(INDEX(الموظفات!$D$5:$D$304,MATCH($B1748,الموظفات!$B$5:$B$304,0))&amp;"",""))</f>
        <v/>
      </c>
      <c r="N1748" s="20">
        <f>IF($B1748="","",IFERROR(INDEX(الموظفات!$E$5:$E$304,MATCH($B1748,الموظفات!$B$5:$B$304,0))&amp;"",""))</f>
        <v/>
      </c>
      <c r="O1748" s="21">
        <f>IF(C1748="","",IFERROR(INDEX(الإعدادات!$D$7:$D$35,MATCH(C1748,الإعدادات!$A$7:$A$35,0))&amp;"",""))</f>
        <v/>
      </c>
      <c r="P1748" s="20">
        <f>IF(A1748="","",INDEX(الإعدادات!$H$7:$H$18,MONTH(A1748)))</f>
        <v/>
      </c>
      <c r="Q1748" s="20">
        <f>IF(A1748="","",INDEX(الإعدادات!$I$7:$I$18,MONTH(A1748)))</f>
        <v/>
      </c>
      <c r="R1748" s="20">
        <f>IF(A1748="","",IF(MONTH(A1748)&gt;=8,YEAR(A1748)&amp;"-"&amp;(YEAR(A1748)+1),(YEAR(A1748)-1)&amp;"-"&amp;YEAR(A1748)))</f>
        <v/>
      </c>
      <c r="S1748" s="20">
        <f>IF(OR(A1748="",B1748=""),0,IF(AND(R1748=التقارير!$C$4,OR(التقارير!$C$5="سنوي",AND(التقارير!$C$5="شهري",P1748=التقارير!$C$6),AND(التقارير!$C$5="فصلي",Q1748=التقارير!$C$7))),1,0))</f>
        <v/>
      </c>
      <c r="T1748" s="20">
        <f>IF(S1748=1,COUNTIF($S$5:S1748,1),"")</f>
        <v/>
      </c>
      <c r="U1748">
        <f>IF(AND($A1748&lt;&gt;"",$B1748&lt;&gt;"",$R1748='تقرير الفصل الأول'!$C$4,$Q1748='تقرير الفصل الأول'!$C$7),COUNT(U$4:U1747)+1,"")</f>
        <v/>
      </c>
      <c r="V1748">
        <f>IF(AND($A1748&lt;&gt;"",$B1748&lt;&gt;"",$R1748='تقرير الفصل الثاني'!$C$4,$Q1748='تقرير الفصل الثاني'!$C$7),COUNT(V$4:V1747)+1,"")</f>
        <v/>
      </c>
      <c r="W1748">
        <f>IF(AND($A1748&lt;&gt;"",$B1748&lt;&gt;"",$R1748='تقرير سبتمبر'!$C$4,$P1748='تقرير سبتمبر'!$C$6),COUNT(W$4:W1747)+1,"")</f>
        <v/>
      </c>
      <c r="X1748">
        <f>IF(AND($A1748&lt;&gt;"",$B1748&lt;&gt;"",$R1748='تقرير أكتوبر'!$C$4,$P1748='تقرير أكتوبر'!$C$6),COUNT(X$4:X1747)+1,"")</f>
        <v/>
      </c>
      <c r="Y1748">
        <f>IF(AND($A1748&lt;&gt;"",$B1748&lt;&gt;"",$R1748='تقرير نوفمبر'!$C$4,$P1748='تقرير نوفمبر'!$C$6),COUNT(Y$4:Y1747)+1,"")</f>
        <v/>
      </c>
      <c r="Z1748">
        <f>IF(AND($A1748&lt;&gt;"",$B1748&lt;&gt;"",$R1748='تقرير ديسمبر'!$C$4,$P1748='تقرير ديسمبر'!$C$6),COUNT(Z$4:Z1747)+1,"")</f>
        <v/>
      </c>
      <c r="AA1748">
        <f>IF(AND($A1748&lt;&gt;"",$B1748&lt;&gt;"",$R1748='تقرير يناير'!$C$4,$P1748='تقرير يناير'!$C$6),COUNT(AA$4:AA1747)+1,"")</f>
        <v/>
      </c>
      <c r="AB1748">
        <f>IF(AND($A1748&lt;&gt;"",$B1748&lt;&gt;"",$R1748='تقرير فبراير'!$C$4,$P1748='تقرير فبراير'!$C$6),COUNT(AB$4:AB1747)+1,"")</f>
        <v/>
      </c>
      <c r="AC1748">
        <f>IF(AND($A1748&lt;&gt;"",$B1748&lt;&gt;"",$R1748='تقرير مارس'!$C$4,$P1748='تقرير مارس'!$C$6),COUNT(AC$4:AC1747)+1,"")</f>
        <v/>
      </c>
      <c r="AD1748">
        <f>IF(AND($A1748&lt;&gt;"",$B1748&lt;&gt;"",$R1748='تقرير أبريل'!$C$4,$P1748='تقرير أبريل'!$C$6),COUNT(AD$4:AD1747)+1,"")</f>
        <v/>
      </c>
      <c r="AE1748">
        <f>IF(AND($A1748&lt;&gt;"",$B1748&lt;&gt;"",$R1748='تقرير مايو'!$C$4,$P1748='تقرير مايو'!$C$6),COUNT(AE$4:AE1747)+1,"")</f>
        <v/>
      </c>
    </row>
    <row r="1749">
      <c r="A1749" s="16" t="n"/>
      <c r="B1749" s="17" t="n"/>
      <c r="C1749" s="17" t="n"/>
      <c r="D1749" s="18" t="n"/>
      <c r="E1749" s="17" t="n"/>
      <c r="F1749" s="17" t="n"/>
      <c r="G1749" s="19" t="n"/>
      <c r="H1749" s="17" t="n"/>
      <c r="I1749" s="17" t="n"/>
      <c r="J1749" s="17" t="n"/>
      <c r="K1749" s="20">
        <f>IF($B1749="","",IFERROR(INDEX(الموظفات!$A$5:$A$304,MATCH($B1749,الموظفات!$B$5:$B$304,0))&amp;"",""))</f>
        <v/>
      </c>
      <c r="L1749" s="21">
        <f>IF($B1749="","",IFERROR(INDEX(الموظفات!$C$5:$C$304,MATCH($B1749,الموظفات!$B$5:$B$304,0))&amp;"",""))</f>
        <v/>
      </c>
      <c r="M1749" s="20">
        <f>IF($B1749="","",IFERROR(INDEX(الموظفات!$D$5:$D$304,MATCH($B1749,الموظفات!$B$5:$B$304,0))&amp;"",""))</f>
        <v/>
      </c>
      <c r="N1749" s="20">
        <f>IF($B1749="","",IFERROR(INDEX(الموظفات!$E$5:$E$304,MATCH($B1749,الموظفات!$B$5:$B$304,0))&amp;"",""))</f>
        <v/>
      </c>
      <c r="O1749" s="21">
        <f>IF(C1749="","",IFERROR(INDEX(الإعدادات!$D$7:$D$35,MATCH(C1749,الإعدادات!$A$7:$A$35,0))&amp;"",""))</f>
        <v/>
      </c>
      <c r="P1749" s="20">
        <f>IF(A1749="","",INDEX(الإعدادات!$H$7:$H$18,MONTH(A1749)))</f>
        <v/>
      </c>
      <c r="Q1749" s="20">
        <f>IF(A1749="","",INDEX(الإعدادات!$I$7:$I$18,MONTH(A1749)))</f>
        <v/>
      </c>
      <c r="R1749" s="20">
        <f>IF(A1749="","",IF(MONTH(A1749)&gt;=8,YEAR(A1749)&amp;"-"&amp;(YEAR(A1749)+1),(YEAR(A1749)-1)&amp;"-"&amp;YEAR(A1749)))</f>
        <v/>
      </c>
      <c r="S1749" s="20">
        <f>IF(OR(A1749="",B1749=""),0,IF(AND(R1749=التقارير!$C$4,OR(التقارير!$C$5="سنوي",AND(التقارير!$C$5="شهري",P1749=التقارير!$C$6),AND(التقارير!$C$5="فصلي",Q1749=التقارير!$C$7))),1,0))</f>
        <v/>
      </c>
      <c r="T1749" s="20">
        <f>IF(S1749=1,COUNTIF($S$5:S1749,1),"")</f>
        <v/>
      </c>
      <c r="U1749">
        <f>IF(AND($A1749&lt;&gt;"",$B1749&lt;&gt;"",$R1749='تقرير الفصل الأول'!$C$4,$Q1749='تقرير الفصل الأول'!$C$7),COUNT(U$4:U1748)+1,"")</f>
        <v/>
      </c>
      <c r="V1749">
        <f>IF(AND($A1749&lt;&gt;"",$B1749&lt;&gt;"",$R1749='تقرير الفصل الثاني'!$C$4,$Q1749='تقرير الفصل الثاني'!$C$7),COUNT(V$4:V1748)+1,"")</f>
        <v/>
      </c>
      <c r="W1749">
        <f>IF(AND($A1749&lt;&gt;"",$B1749&lt;&gt;"",$R1749='تقرير سبتمبر'!$C$4,$P1749='تقرير سبتمبر'!$C$6),COUNT(W$4:W1748)+1,"")</f>
        <v/>
      </c>
      <c r="X1749">
        <f>IF(AND($A1749&lt;&gt;"",$B1749&lt;&gt;"",$R1749='تقرير أكتوبر'!$C$4,$P1749='تقرير أكتوبر'!$C$6),COUNT(X$4:X1748)+1,"")</f>
        <v/>
      </c>
      <c r="Y1749">
        <f>IF(AND($A1749&lt;&gt;"",$B1749&lt;&gt;"",$R1749='تقرير نوفمبر'!$C$4,$P1749='تقرير نوفمبر'!$C$6),COUNT(Y$4:Y1748)+1,"")</f>
        <v/>
      </c>
      <c r="Z1749">
        <f>IF(AND($A1749&lt;&gt;"",$B1749&lt;&gt;"",$R1749='تقرير ديسمبر'!$C$4,$P1749='تقرير ديسمبر'!$C$6),COUNT(Z$4:Z1748)+1,"")</f>
        <v/>
      </c>
      <c r="AA1749">
        <f>IF(AND($A1749&lt;&gt;"",$B1749&lt;&gt;"",$R1749='تقرير يناير'!$C$4,$P1749='تقرير يناير'!$C$6),COUNT(AA$4:AA1748)+1,"")</f>
        <v/>
      </c>
      <c r="AB1749">
        <f>IF(AND($A1749&lt;&gt;"",$B1749&lt;&gt;"",$R1749='تقرير فبراير'!$C$4,$P1749='تقرير فبراير'!$C$6),COUNT(AB$4:AB1748)+1,"")</f>
        <v/>
      </c>
      <c r="AC1749">
        <f>IF(AND($A1749&lt;&gt;"",$B1749&lt;&gt;"",$R1749='تقرير مارس'!$C$4,$P1749='تقرير مارس'!$C$6),COUNT(AC$4:AC1748)+1,"")</f>
        <v/>
      </c>
      <c r="AD1749">
        <f>IF(AND($A1749&lt;&gt;"",$B1749&lt;&gt;"",$R1749='تقرير أبريل'!$C$4,$P1749='تقرير أبريل'!$C$6),COUNT(AD$4:AD1748)+1,"")</f>
        <v/>
      </c>
      <c r="AE1749">
        <f>IF(AND($A1749&lt;&gt;"",$B1749&lt;&gt;"",$R1749='تقرير مايو'!$C$4,$P1749='تقرير مايو'!$C$6),COUNT(AE$4:AE1748)+1,"")</f>
        <v/>
      </c>
    </row>
    <row r="1750">
      <c r="A1750" s="16" t="n"/>
      <c r="B1750" s="17" t="n"/>
      <c r="C1750" s="17" t="n"/>
      <c r="D1750" s="18" t="n"/>
      <c r="E1750" s="17" t="n"/>
      <c r="F1750" s="17" t="n"/>
      <c r="G1750" s="19" t="n"/>
      <c r="H1750" s="17" t="n"/>
      <c r="I1750" s="17" t="n"/>
      <c r="J1750" s="17" t="n"/>
      <c r="K1750" s="20">
        <f>IF($B1750="","",IFERROR(INDEX(الموظفات!$A$5:$A$304,MATCH($B1750,الموظفات!$B$5:$B$304,0))&amp;"",""))</f>
        <v/>
      </c>
      <c r="L1750" s="21">
        <f>IF($B1750="","",IFERROR(INDEX(الموظفات!$C$5:$C$304,MATCH($B1750,الموظفات!$B$5:$B$304,0))&amp;"",""))</f>
        <v/>
      </c>
      <c r="M1750" s="20">
        <f>IF($B1750="","",IFERROR(INDEX(الموظفات!$D$5:$D$304,MATCH($B1750,الموظفات!$B$5:$B$304,0))&amp;"",""))</f>
        <v/>
      </c>
      <c r="N1750" s="20">
        <f>IF($B1750="","",IFERROR(INDEX(الموظفات!$E$5:$E$304,MATCH($B1750,الموظفات!$B$5:$B$304,0))&amp;"",""))</f>
        <v/>
      </c>
      <c r="O1750" s="21">
        <f>IF(C1750="","",IFERROR(INDEX(الإعدادات!$D$7:$D$35,MATCH(C1750,الإعدادات!$A$7:$A$35,0))&amp;"",""))</f>
        <v/>
      </c>
      <c r="P1750" s="20">
        <f>IF(A1750="","",INDEX(الإعدادات!$H$7:$H$18,MONTH(A1750)))</f>
        <v/>
      </c>
      <c r="Q1750" s="20">
        <f>IF(A1750="","",INDEX(الإعدادات!$I$7:$I$18,MONTH(A1750)))</f>
        <v/>
      </c>
      <c r="R1750" s="20">
        <f>IF(A1750="","",IF(MONTH(A1750)&gt;=8,YEAR(A1750)&amp;"-"&amp;(YEAR(A1750)+1),(YEAR(A1750)-1)&amp;"-"&amp;YEAR(A1750)))</f>
        <v/>
      </c>
      <c r="S1750" s="20">
        <f>IF(OR(A1750="",B1750=""),0,IF(AND(R1750=التقارير!$C$4,OR(التقارير!$C$5="سنوي",AND(التقارير!$C$5="شهري",P1750=التقارير!$C$6),AND(التقارير!$C$5="فصلي",Q1750=التقارير!$C$7))),1,0))</f>
        <v/>
      </c>
      <c r="T1750" s="20">
        <f>IF(S1750=1,COUNTIF($S$5:S1750,1),"")</f>
        <v/>
      </c>
      <c r="U1750">
        <f>IF(AND($A1750&lt;&gt;"",$B1750&lt;&gt;"",$R1750='تقرير الفصل الأول'!$C$4,$Q1750='تقرير الفصل الأول'!$C$7),COUNT(U$4:U1749)+1,"")</f>
        <v/>
      </c>
      <c r="V1750">
        <f>IF(AND($A1750&lt;&gt;"",$B1750&lt;&gt;"",$R1750='تقرير الفصل الثاني'!$C$4,$Q1750='تقرير الفصل الثاني'!$C$7),COUNT(V$4:V1749)+1,"")</f>
        <v/>
      </c>
      <c r="W1750">
        <f>IF(AND($A1750&lt;&gt;"",$B1750&lt;&gt;"",$R1750='تقرير سبتمبر'!$C$4,$P1750='تقرير سبتمبر'!$C$6),COUNT(W$4:W1749)+1,"")</f>
        <v/>
      </c>
      <c r="X1750">
        <f>IF(AND($A1750&lt;&gt;"",$B1750&lt;&gt;"",$R1750='تقرير أكتوبر'!$C$4,$P1750='تقرير أكتوبر'!$C$6),COUNT(X$4:X1749)+1,"")</f>
        <v/>
      </c>
      <c r="Y1750">
        <f>IF(AND($A1750&lt;&gt;"",$B1750&lt;&gt;"",$R1750='تقرير نوفمبر'!$C$4,$P1750='تقرير نوفمبر'!$C$6),COUNT(Y$4:Y1749)+1,"")</f>
        <v/>
      </c>
      <c r="Z1750">
        <f>IF(AND($A1750&lt;&gt;"",$B1750&lt;&gt;"",$R1750='تقرير ديسمبر'!$C$4,$P1750='تقرير ديسمبر'!$C$6),COUNT(Z$4:Z1749)+1,"")</f>
        <v/>
      </c>
      <c r="AA1750">
        <f>IF(AND($A1750&lt;&gt;"",$B1750&lt;&gt;"",$R1750='تقرير يناير'!$C$4,$P1750='تقرير يناير'!$C$6),COUNT(AA$4:AA1749)+1,"")</f>
        <v/>
      </c>
      <c r="AB1750">
        <f>IF(AND($A1750&lt;&gt;"",$B1750&lt;&gt;"",$R1750='تقرير فبراير'!$C$4,$P1750='تقرير فبراير'!$C$6),COUNT(AB$4:AB1749)+1,"")</f>
        <v/>
      </c>
      <c r="AC1750">
        <f>IF(AND($A1750&lt;&gt;"",$B1750&lt;&gt;"",$R1750='تقرير مارس'!$C$4,$P1750='تقرير مارس'!$C$6),COUNT(AC$4:AC1749)+1,"")</f>
        <v/>
      </c>
      <c r="AD1750">
        <f>IF(AND($A1750&lt;&gt;"",$B1750&lt;&gt;"",$R1750='تقرير أبريل'!$C$4,$P1750='تقرير أبريل'!$C$6),COUNT(AD$4:AD1749)+1,"")</f>
        <v/>
      </c>
      <c r="AE1750">
        <f>IF(AND($A1750&lt;&gt;"",$B1750&lt;&gt;"",$R1750='تقرير مايو'!$C$4,$P1750='تقرير مايو'!$C$6),COUNT(AE$4:AE1749)+1,"")</f>
        <v/>
      </c>
    </row>
    <row r="1751">
      <c r="A1751" s="16" t="n"/>
      <c r="B1751" s="17" t="n"/>
      <c r="C1751" s="17" t="n"/>
      <c r="D1751" s="18" t="n"/>
      <c r="E1751" s="17" t="n"/>
      <c r="F1751" s="17" t="n"/>
      <c r="G1751" s="19" t="n"/>
      <c r="H1751" s="17" t="n"/>
      <c r="I1751" s="17" t="n"/>
      <c r="J1751" s="17" t="n"/>
      <c r="K1751" s="20">
        <f>IF($B1751="","",IFERROR(INDEX(الموظفات!$A$5:$A$304,MATCH($B1751,الموظفات!$B$5:$B$304,0))&amp;"",""))</f>
        <v/>
      </c>
      <c r="L1751" s="21">
        <f>IF($B1751="","",IFERROR(INDEX(الموظفات!$C$5:$C$304,MATCH($B1751,الموظفات!$B$5:$B$304,0))&amp;"",""))</f>
        <v/>
      </c>
      <c r="M1751" s="20">
        <f>IF($B1751="","",IFERROR(INDEX(الموظفات!$D$5:$D$304,MATCH($B1751,الموظفات!$B$5:$B$304,0))&amp;"",""))</f>
        <v/>
      </c>
      <c r="N1751" s="20">
        <f>IF($B1751="","",IFERROR(INDEX(الموظفات!$E$5:$E$304,MATCH($B1751,الموظفات!$B$5:$B$304,0))&amp;"",""))</f>
        <v/>
      </c>
      <c r="O1751" s="21">
        <f>IF(C1751="","",IFERROR(INDEX(الإعدادات!$D$7:$D$35,MATCH(C1751,الإعدادات!$A$7:$A$35,0))&amp;"",""))</f>
        <v/>
      </c>
      <c r="P1751" s="20">
        <f>IF(A1751="","",INDEX(الإعدادات!$H$7:$H$18,MONTH(A1751)))</f>
        <v/>
      </c>
      <c r="Q1751" s="20">
        <f>IF(A1751="","",INDEX(الإعدادات!$I$7:$I$18,MONTH(A1751)))</f>
        <v/>
      </c>
      <c r="R1751" s="20">
        <f>IF(A1751="","",IF(MONTH(A1751)&gt;=8,YEAR(A1751)&amp;"-"&amp;(YEAR(A1751)+1),(YEAR(A1751)-1)&amp;"-"&amp;YEAR(A1751)))</f>
        <v/>
      </c>
      <c r="S1751" s="20">
        <f>IF(OR(A1751="",B1751=""),0,IF(AND(R1751=التقارير!$C$4,OR(التقارير!$C$5="سنوي",AND(التقارير!$C$5="شهري",P1751=التقارير!$C$6),AND(التقارير!$C$5="فصلي",Q1751=التقارير!$C$7))),1,0))</f>
        <v/>
      </c>
      <c r="T1751" s="20">
        <f>IF(S1751=1,COUNTIF($S$5:S1751,1),"")</f>
        <v/>
      </c>
      <c r="U1751">
        <f>IF(AND($A1751&lt;&gt;"",$B1751&lt;&gt;"",$R1751='تقرير الفصل الأول'!$C$4,$Q1751='تقرير الفصل الأول'!$C$7),COUNT(U$4:U1750)+1,"")</f>
        <v/>
      </c>
      <c r="V1751">
        <f>IF(AND($A1751&lt;&gt;"",$B1751&lt;&gt;"",$R1751='تقرير الفصل الثاني'!$C$4,$Q1751='تقرير الفصل الثاني'!$C$7),COUNT(V$4:V1750)+1,"")</f>
        <v/>
      </c>
      <c r="W1751">
        <f>IF(AND($A1751&lt;&gt;"",$B1751&lt;&gt;"",$R1751='تقرير سبتمبر'!$C$4,$P1751='تقرير سبتمبر'!$C$6),COUNT(W$4:W1750)+1,"")</f>
        <v/>
      </c>
      <c r="X1751">
        <f>IF(AND($A1751&lt;&gt;"",$B1751&lt;&gt;"",$R1751='تقرير أكتوبر'!$C$4,$P1751='تقرير أكتوبر'!$C$6),COUNT(X$4:X1750)+1,"")</f>
        <v/>
      </c>
      <c r="Y1751">
        <f>IF(AND($A1751&lt;&gt;"",$B1751&lt;&gt;"",$R1751='تقرير نوفمبر'!$C$4,$P1751='تقرير نوفمبر'!$C$6),COUNT(Y$4:Y1750)+1,"")</f>
        <v/>
      </c>
      <c r="Z1751">
        <f>IF(AND($A1751&lt;&gt;"",$B1751&lt;&gt;"",$R1751='تقرير ديسمبر'!$C$4,$P1751='تقرير ديسمبر'!$C$6),COUNT(Z$4:Z1750)+1,"")</f>
        <v/>
      </c>
      <c r="AA1751">
        <f>IF(AND($A1751&lt;&gt;"",$B1751&lt;&gt;"",$R1751='تقرير يناير'!$C$4,$P1751='تقرير يناير'!$C$6),COUNT(AA$4:AA1750)+1,"")</f>
        <v/>
      </c>
      <c r="AB1751">
        <f>IF(AND($A1751&lt;&gt;"",$B1751&lt;&gt;"",$R1751='تقرير فبراير'!$C$4,$P1751='تقرير فبراير'!$C$6),COUNT(AB$4:AB1750)+1,"")</f>
        <v/>
      </c>
      <c r="AC1751">
        <f>IF(AND($A1751&lt;&gt;"",$B1751&lt;&gt;"",$R1751='تقرير مارس'!$C$4,$P1751='تقرير مارس'!$C$6),COUNT(AC$4:AC1750)+1,"")</f>
        <v/>
      </c>
      <c r="AD1751">
        <f>IF(AND($A1751&lt;&gt;"",$B1751&lt;&gt;"",$R1751='تقرير أبريل'!$C$4,$P1751='تقرير أبريل'!$C$6),COUNT(AD$4:AD1750)+1,"")</f>
        <v/>
      </c>
      <c r="AE1751">
        <f>IF(AND($A1751&lt;&gt;"",$B1751&lt;&gt;"",$R1751='تقرير مايو'!$C$4,$P1751='تقرير مايو'!$C$6),COUNT(AE$4:AE1750)+1,"")</f>
        <v/>
      </c>
    </row>
    <row r="1752">
      <c r="A1752" s="16" t="n"/>
      <c r="B1752" s="17" t="n"/>
      <c r="C1752" s="17" t="n"/>
      <c r="D1752" s="18" t="n"/>
      <c r="E1752" s="17" t="n"/>
      <c r="F1752" s="17" t="n"/>
      <c r="G1752" s="19" t="n"/>
      <c r="H1752" s="17" t="n"/>
      <c r="I1752" s="17" t="n"/>
      <c r="J1752" s="17" t="n"/>
      <c r="K1752" s="20">
        <f>IF($B1752="","",IFERROR(INDEX(الموظفات!$A$5:$A$304,MATCH($B1752,الموظفات!$B$5:$B$304,0))&amp;"",""))</f>
        <v/>
      </c>
      <c r="L1752" s="21">
        <f>IF($B1752="","",IFERROR(INDEX(الموظفات!$C$5:$C$304,MATCH($B1752,الموظفات!$B$5:$B$304,0))&amp;"",""))</f>
        <v/>
      </c>
      <c r="M1752" s="20">
        <f>IF($B1752="","",IFERROR(INDEX(الموظفات!$D$5:$D$304,MATCH($B1752,الموظفات!$B$5:$B$304,0))&amp;"",""))</f>
        <v/>
      </c>
      <c r="N1752" s="20">
        <f>IF($B1752="","",IFERROR(INDEX(الموظفات!$E$5:$E$304,MATCH($B1752,الموظفات!$B$5:$B$304,0))&amp;"",""))</f>
        <v/>
      </c>
      <c r="O1752" s="21">
        <f>IF(C1752="","",IFERROR(INDEX(الإعدادات!$D$7:$D$35,MATCH(C1752,الإعدادات!$A$7:$A$35,0))&amp;"",""))</f>
        <v/>
      </c>
      <c r="P1752" s="20">
        <f>IF(A1752="","",INDEX(الإعدادات!$H$7:$H$18,MONTH(A1752)))</f>
        <v/>
      </c>
      <c r="Q1752" s="20">
        <f>IF(A1752="","",INDEX(الإعدادات!$I$7:$I$18,MONTH(A1752)))</f>
        <v/>
      </c>
      <c r="R1752" s="20">
        <f>IF(A1752="","",IF(MONTH(A1752)&gt;=8,YEAR(A1752)&amp;"-"&amp;(YEAR(A1752)+1),(YEAR(A1752)-1)&amp;"-"&amp;YEAR(A1752)))</f>
        <v/>
      </c>
      <c r="S1752" s="20">
        <f>IF(OR(A1752="",B1752=""),0,IF(AND(R1752=التقارير!$C$4,OR(التقارير!$C$5="سنوي",AND(التقارير!$C$5="شهري",P1752=التقارير!$C$6),AND(التقارير!$C$5="فصلي",Q1752=التقارير!$C$7))),1,0))</f>
        <v/>
      </c>
      <c r="T1752" s="20">
        <f>IF(S1752=1,COUNTIF($S$5:S1752,1),"")</f>
        <v/>
      </c>
      <c r="U1752">
        <f>IF(AND($A1752&lt;&gt;"",$B1752&lt;&gt;"",$R1752='تقرير الفصل الأول'!$C$4,$Q1752='تقرير الفصل الأول'!$C$7),COUNT(U$4:U1751)+1,"")</f>
        <v/>
      </c>
      <c r="V1752">
        <f>IF(AND($A1752&lt;&gt;"",$B1752&lt;&gt;"",$R1752='تقرير الفصل الثاني'!$C$4,$Q1752='تقرير الفصل الثاني'!$C$7),COUNT(V$4:V1751)+1,"")</f>
        <v/>
      </c>
      <c r="W1752">
        <f>IF(AND($A1752&lt;&gt;"",$B1752&lt;&gt;"",$R1752='تقرير سبتمبر'!$C$4,$P1752='تقرير سبتمبر'!$C$6),COUNT(W$4:W1751)+1,"")</f>
        <v/>
      </c>
      <c r="X1752">
        <f>IF(AND($A1752&lt;&gt;"",$B1752&lt;&gt;"",$R1752='تقرير أكتوبر'!$C$4,$P1752='تقرير أكتوبر'!$C$6),COUNT(X$4:X1751)+1,"")</f>
        <v/>
      </c>
      <c r="Y1752">
        <f>IF(AND($A1752&lt;&gt;"",$B1752&lt;&gt;"",$R1752='تقرير نوفمبر'!$C$4,$P1752='تقرير نوفمبر'!$C$6),COUNT(Y$4:Y1751)+1,"")</f>
        <v/>
      </c>
      <c r="Z1752">
        <f>IF(AND($A1752&lt;&gt;"",$B1752&lt;&gt;"",$R1752='تقرير ديسمبر'!$C$4,$P1752='تقرير ديسمبر'!$C$6),COUNT(Z$4:Z1751)+1,"")</f>
        <v/>
      </c>
      <c r="AA1752">
        <f>IF(AND($A1752&lt;&gt;"",$B1752&lt;&gt;"",$R1752='تقرير يناير'!$C$4,$P1752='تقرير يناير'!$C$6),COUNT(AA$4:AA1751)+1,"")</f>
        <v/>
      </c>
      <c r="AB1752">
        <f>IF(AND($A1752&lt;&gt;"",$B1752&lt;&gt;"",$R1752='تقرير فبراير'!$C$4,$P1752='تقرير فبراير'!$C$6),COUNT(AB$4:AB1751)+1,"")</f>
        <v/>
      </c>
      <c r="AC1752">
        <f>IF(AND($A1752&lt;&gt;"",$B1752&lt;&gt;"",$R1752='تقرير مارس'!$C$4,$P1752='تقرير مارس'!$C$6),COUNT(AC$4:AC1751)+1,"")</f>
        <v/>
      </c>
      <c r="AD1752">
        <f>IF(AND($A1752&lt;&gt;"",$B1752&lt;&gt;"",$R1752='تقرير أبريل'!$C$4,$P1752='تقرير أبريل'!$C$6),COUNT(AD$4:AD1751)+1,"")</f>
        <v/>
      </c>
      <c r="AE1752">
        <f>IF(AND($A1752&lt;&gt;"",$B1752&lt;&gt;"",$R1752='تقرير مايو'!$C$4,$P1752='تقرير مايو'!$C$6),COUNT(AE$4:AE1751)+1,"")</f>
        <v/>
      </c>
    </row>
    <row r="1753">
      <c r="A1753" s="16" t="n"/>
      <c r="B1753" s="17" t="n"/>
      <c r="C1753" s="17" t="n"/>
      <c r="D1753" s="18" t="n"/>
      <c r="E1753" s="17" t="n"/>
      <c r="F1753" s="17" t="n"/>
      <c r="G1753" s="19" t="n"/>
      <c r="H1753" s="17" t="n"/>
      <c r="I1753" s="17" t="n"/>
      <c r="J1753" s="17" t="n"/>
      <c r="K1753" s="20">
        <f>IF($B1753="","",IFERROR(INDEX(الموظفات!$A$5:$A$304,MATCH($B1753,الموظفات!$B$5:$B$304,0))&amp;"",""))</f>
        <v/>
      </c>
      <c r="L1753" s="21">
        <f>IF($B1753="","",IFERROR(INDEX(الموظفات!$C$5:$C$304,MATCH($B1753,الموظفات!$B$5:$B$304,0))&amp;"",""))</f>
        <v/>
      </c>
      <c r="M1753" s="20">
        <f>IF($B1753="","",IFERROR(INDEX(الموظفات!$D$5:$D$304,MATCH($B1753,الموظفات!$B$5:$B$304,0))&amp;"",""))</f>
        <v/>
      </c>
      <c r="N1753" s="20">
        <f>IF($B1753="","",IFERROR(INDEX(الموظفات!$E$5:$E$304,MATCH($B1753,الموظفات!$B$5:$B$304,0))&amp;"",""))</f>
        <v/>
      </c>
      <c r="O1753" s="21">
        <f>IF(C1753="","",IFERROR(INDEX(الإعدادات!$D$7:$D$35,MATCH(C1753,الإعدادات!$A$7:$A$35,0))&amp;"",""))</f>
        <v/>
      </c>
      <c r="P1753" s="20">
        <f>IF(A1753="","",INDEX(الإعدادات!$H$7:$H$18,MONTH(A1753)))</f>
        <v/>
      </c>
      <c r="Q1753" s="20">
        <f>IF(A1753="","",INDEX(الإعدادات!$I$7:$I$18,MONTH(A1753)))</f>
        <v/>
      </c>
      <c r="R1753" s="20">
        <f>IF(A1753="","",IF(MONTH(A1753)&gt;=8,YEAR(A1753)&amp;"-"&amp;(YEAR(A1753)+1),(YEAR(A1753)-1)&amp;"-"&amp;YEAR(A1753)))</f>
        <v/>
      </c>
      <c r="S1753" s="20">
        <f>IF(OR(A1753="",B1753=""),0,IF(AND(R1753=التقارير!$C$4,OR(التقارير!$C$5="سنوي",AND(التقارير!$C$5="شهري",P1753=التقارير!$C$6),AND(التقارير!$C$5="فصلي",Q1753=التقارير!$C$7))),1,0))</f>
        <v/>
      </c>
      <c r="T1753" s="20">
        <f>IF(S1753=1,COUNTIF($S$5:S1753,1),"")</f>
        <v/>
      </c>
      <c r="U1753">
        <f>IF(AND($A1753&lt;&gt;"",$B1753&lt;&gt;"",$R1753='تقرير الفصل الأول'!$C$4,$Q1753='تقرير الفصل الأول'!$C$7),COUNT(U$4:U1752)+1,"")</f>
        <v/>
      </c>
      <c r="V1753">
        <f>IF(AND($A1753&lt;&gt;"",$B1753&lt;&gt;"",$R1753='تقرير الفصل الثاني'!$C$4,$Q1753='تقرير الفصل الثاني'!$C$7),COUNT(V$4:V1752)+1,"")</f>
        <v/>
      </c>
      <c r="W1753">
        <f>IF(AND($A1753&lt;&gt;"",$B1753&lt;&gt;"",$R1753='تقرير سبتمبر'!$C$4,$P1753='تقرير سبتمبر'!$C$6),COUNT(W$4:W1752)+1,"")</f>
        <v/>
      </c>
      <c r="X1753">
        <f>IF(AND($A1753&lt;&gt;"",$B1753&lt;&gt;"",$R1753='تقرير أكتوبر'!$C$4,$P1753='تقرير أكتوبر'!$C$6),COUNT(X$4:X1752)+1,"")</f>
        <v/>
      </c>
      <c r="Y1753">
        <f>IF(AND($A1753&lt;&gt;"",$B1753&lt;&gt;"",$R1753='تقرير نوفمبر'!$C$4,$P1753='تقرير نوفمبر'!$C$6),COUNT(Y$4:Y1752)+1,"")</f>
        <v/>
      </c>
      <c r="Z1753">
        <f>IF(AND($A1753&lt;&gt;"",$B1753&lt;&gt;"",$R1753='تقرير ديسمبر'!$C$4,$P1753='تقرير ديسمبر'!$C$6),COUNT(Z$4:Z1752)+1,"")</f>
        <v/>
      </c>
      <c r="AA1753">
        <f>IF(AND($A1753&lt;&gt;"",$B1753&lt;&gt;"",$R1753='تقرير يناير'!$C$4,$P1753='تقرير يناير'!$C$6),COUNT(AA$4:AA1752)+1,"")</f>
        <v/>
      </c>
      <c r="AB1753">
        <f>IF(AND($A1753&lt;&gt;"",$B1753&lt;&gt;"",$R1753='تقرير فبراير'!$C$4,$P1753='تقرير فبراير'!$C$6),COUNT(AB$4:AB1752)+1,"")</f>
        <v/>
      </c>
      <c r="AC1753">
        <f>IF(AND($A1753&lt;&gt;"",$B1753&lt;&gt;"",$R1753='تقرير مارس'!$C$4,$P1753='تقرير مارس'!$C$6),COUNT(AC$4:AC1752)+1,"")</f>
        <v/>
      </c>
      <c r="AD1753">
        <f>IF(AND($A1753&lt;&gt;"",$B1753&lt;&gt;"",$R1753='تقرير أبريل'!$C$4,$P1753='تقرير أبريل'!$C$6),COUNT(AD$4:AD1752)+1,"")</f>
        <v/>
      </c>
      <c r="AE1753">
        <f>IF(AND($A1753&lt;&gt;"",$B1753&lt;&gt;"",$R1753='تقرير مايو'!$C$4,$P1753='تقرير مايو'!$C$6),COUNT(AE$4:AE1752)+1,"")</f>
        <v/>
      </c>
    </row>
    <row r="1754">
      <c r="A1754" s="16" t="n"/>
      <c r="B1754" s="17" t="n"/>
      <c r="C1754" s="17" t="n"/>
      <c r="D1754" s="18" t="n"/>
      <c r="E1754" s="17" t="n"/>
      <c r="F1754" s="17" t="n"/>
      <c r="G1754" s="19" t="n"/>
      <c r="H1754" s="17" t="n"/>
      <c r="I1754" s="17" t="n"/>
      <c r="J1754" s="17" t="n"/>
      <c r="K1754" s="20">
        <f>IF($B1754="","",IFERROR(INDEX(الموظفات!$A$5:$A$304,MATCH($B1754,الموظفات!$B$5:$B$304,0))&amp;"",""))</f>
        <v/>
      </c>
      <c r="L1754" s="21">
        <f>IF($B1754="","",IFERROR(INDEX(الموظفات!$C$5:$C$304,MATCH($B1754,الموظفات!$B$5:$B$304,0))&amp;"",""))</f>
        <v/>
      </c>
      <c r="M1754" s="20">
        <f>IF($B1754="","",IFERROR(INDEX(الموظفات!$D$5:$D$304,MATCH($B1754,الموظفات!$B$5:$B$304,0))&amp;"",""))</f>
        <v/>
      </c>
      <c r="N1754" s="20">
        <f>IF($B1754="","",IFERROR(INDEX(الموظفات!$E$5:$E$304,MATCH($B1754,الموظفات!$B$5:$B$304,0))&amp;"",""))</f>
        <v/>
      </c>
      <c r="O1754" s="21">
        <f>IF(C1754="","",IFERROR(INDEX(الإعدادات!$D$7:$D$35,MATCH(C1754,الإعدادات!$A$7:$A$35,0))&amp;"",""))</f>
        <v/>
      </c>
      <c r="P1754" s="20">
        <f>IF(A1754="","",INDEX(الإعدادات!$H$7:$H$18,MONTH(A1754)))</f>
        <v/>
      </c>
      <c r="Q1754" s="20">
        <f>IF(A1754="","",INDEX(الإعدادات!$I$7:$I$18,MONTH(A1754)))</f>
        <v/>
      </c>
      <c r="R1754" s="20">
        <f>IF(A1754="","",IF(MONTH(A1754)&gt;=8,YEAR(A1754)&amp;"-"&amp;(YEAR(A1754)+1),(YEAR(A1754)-1)&amp;"-"&amp;YEAR(A1754)))</f>
        <v/>
      </c>
      <c r="S1754" s="20">
        <f>IF(OR(A1754="",B1754=""),0,IF(AND(R1754=التقارير!$C$4,OR(التقارير!$C$5="سنوي",AND(التقارير!$C$5="شهري",P1754=التقارير!$C$6),AND(التقارير!$C$5="فصلي",Q1754=التقارير!$C$7))),1,0))</f>
        <v/>
      </c>
      <c r="T1754" s="20">
        <f>IF(S1754=1,COUNTIF($S$5:S1754,1),"")</f>
        <v/>
      </c>
      <c r="U1754">
        <f>IF(AND($A1754&lt;&gt;"",$B1754&lt;&gt;"",$R1754='تقرير الفصل الأول'!$C$4,$Q1754='تقرير الفصل الأول'!$C$7),COUNT(U$4:U1753)+1,"")</f>
        <v/>
      </c>
      <c r="V1754">
        <f>IF(AND($A1754&lt;&gt;"",$B1754&lt;&gt;"",$R1754='تقرير الفصل الثاني'!$C$4,$Q1754='تقرير الفصل الثاني'!$C$7),COUNT(V$4:V1753)+1,"")</f>
        <v/>
      </c>
      <c r="W1754">
        <f>IF(AND($A1754&lt;&gt;"",$B1754&lt;&gt;"",$R1754='تقرير سبتمبر'!$C$4,$P1754='تقرير سبتمبر'!$C$6),COUNT(W$4:W1753)+1,"")</f>
        <v/>
      </c>
      <c r="X1754">
        <f>IF(AND($A1754&lt;&gt;"",$B1754&lt;&gt;"",$R1754='تقرير أكتوبر'!$C$4,$P1754='تقرير أكتوبر'!$C$6),COUNT(X$4:X1753)+1,"")</f>
        <v/>
      </c>
      <c r="Y1754">
        <f>IF(AND($A1754&lt;&gt;"",$B1754&lt;&gt;"",$R1754='تقرير نوفمبر'!$C$4,$P1754='تقرير نوفمبر'!$C$6),COUNT(Y$4:Y1753)+1,"")</f>
        <v/>
      </c>
      <c r="Z1754">
        <f>IF(AND($A1754&lt;&gt;"",$B1754&lt;&gt;"",$R1754='تقرير ديسمبر'!$C$4,$P1754='تقرير ديسمبر'!$C$6),COUNT(Z$4:Z1753)+1,"")</f>
        <v/>
      </c>
      <c r="AA1754">
        <f>IF(AND($A1754&lt;&gt;"",$B1754&lt;&gt;"",$R1754='تقرير يناير'!$C$4,$P1754='تقرير يناير'!$C$6),COUNT(AA$4:AA1753)+1,"")</f>
        <v/>
      </c>
      <c r="AB1754">
        <f>IF(AND($A1754&lt;&gt;"",$B1754&lt;&gt;"",$R1754='تقرير فبراير'!$C$4,$P1754='تقرير فبراير'!$C$6),COUNT(AB$4:AB1753)+1,"")</f>
        <v/>
      </c>
      <c r="AC1754">
        <f>IF(AND($A1754&lt;&gt;"",$B1754&lt;&gt;"",$R1754='تقرير مارس'!$C$4,$P1754='تقرير مارس'!$C$6),COUNT(AC$4:AC1753)+1,"")</f>
        <v/>
      </c>
      <c r="AD1754">
        <f>IF(AND($A1754&lt;&gt;"",$B1754&lt;&gt;"",$R1754='تقرير أبريل'!$C$4,$P1754='تقرير أبريل'!$C$6),COUNT(AD$4:AD1753)+1,"")</f>
        <v/>
      </c>
      <c r="AE1754">
        <f>IF(AND($A1754&lt;&gt;"",$B1754&lt;&gt;"",$R1754='تقرير مايو'!$C$4,$P1754='تقرير مايو'!$C$6),COUNT(AE$4:AE1753)+1,"")</f>
        <v/>
      </c>
    </row>
    <row r="1755">
      <c r="A1755" s="16" t="n"/>
      <c r="B1755" s="17" t="n"/>
      <c r="C1755" s="17" t="n"/>
      <c r="D1755" s="18" t="n"/>
      <c r="E1755" s="17" t="n"/>
      <c r="F1755" s="17" t="n"/>
      <c r="G1755" s="19" t="n"/>
      <c r="H1755" s="17" t="n"/>
      <c r="I1755" s="17" t="n"/>
      <c r="J1755" s="17" t="n"/>
      <c r="K1755" s="20">
        <f>IF($B1755="","",IFERROR(INDEX(الموظفات!$A$5:$A$304,MATCH($B1755,الموظفات!$B$5:$B$304,0))&amp;"",""))</f>
        <v/>
      </c>
      <c r="L1755" s="21">
        <f>IF($B1755="","",IFERROR(INDEX(الموظفات!$C$5:$C$304,MATCH($B1755,الموظفات!$B$5:$B$304,0))&amp;"",""))</f>
        <v/>
      </c>
      <c r="M1755" s="20">
        <f>IF($B1755="","",IFERROR(INDEX(الموظفات!$D$5:$D$304,MATCH($B1755,الموظفات!$B$5:$B$304,0))&amp;"",""))</f>
        <v/>
      </c>
      <c r="N1755" s="20">
        <f>IF($B1755="","",IFERROR(INDEX(الموظفات!$E$5:$E$304,MATCH($B1755,الموظفات!$B$5:$B$304,0))&amp;"",""))</f>
        <v/>
      </c>
      <c r="O1755" s="21">
        <f>IF(C1755="","",IFERROR(INDEX(الإعدادات!$D$7:$D$35,MATCH(C1755,الإعدادات!$A$7:$A$35,0))&amp;"",""))</f>
        <v/>
      </c>
      <c r="P1755" s="20">
        <f>IF(A1755="","",INDEX(الإعدادات!$H$7:$H$18,MONTH(A1755)))</f>
        <v/>
      </c>
      <c r="Q1755" s="20">
        <f>IF(A1755="","",INDEX(الإعدادات!$I$7:$I$18,MONTH(A1755)))</f>
        <v/>
      </c>
      <c r="R1755" s="20">
        <f>IF(A1755="","",IF(MONTH(A1755)&gt;=8,YEAR(A1755)&amp;"-"&amp;(YEAR(A1755)+1),(YEAR(A1755)-1)&amp;"-"&amp;YEAR(A1755)))</f>
        <v/>
      </c>
      <c r="S1755" s="20">
        <f>IF(OR(A1755="",B1755=""),0,IF(AND(R1755=التقارير!$C$4,OR(التقارير!$C$5="سنوي",AND(التقارير!$C$5="شهري",P1755=التقارير!$C$6),AND(التقارير!$C$5="فصلي",Q1755=التقارير!$C$7))),1,0))</f>
        <v/>
      </c>
      <c r="T1755" s="20">
        <f>IF(S1755=1,COUNTIF($S$5:S1755,1),"")</f>
        <v/>
      </c>
      <c r="U1755">
        <f>IF(AND($A1755&lt;&gt;"",$B1755&lt;&gt;"",$R1755='تقرير الفصل الأول'!$C$4,$Q1755='تقرير الفصل الأول'!$C$7),COUNT(U$4:U1754)+1,"")</f>
        <v/>
      </c>
      <c r="V1755">
        <f>IF(AND($A1755&lt;&gt;"",$B1755&lt;&gt;"",$R1755='تقرير الفصل الثاني'!$C$4,$Q1755='تقرير الفصل الثاني'!$C$7),COUNT(V$4:V1754)+1,"")</f>
        <v/>
      </c>
      <c r="W1755">
        <f>IF(AND($A1755&lt;&gt;"",$B1755&lt;&gt;"",$R1755='تقرير سبتمبر'!$C$4,$P1755='تقرير سبتمبر'!$C$6),COUNT(W$4:W1754)+1,"")</f>
        <v/>
      </c>
      <c r="X1755">
        <f>IF(AND($A1755&lt;&gt;"",$B1755&lt;&gt;"",$R1755='تقرير أكتوبر'!$C$4,$P1755='تقرير أكتوبر'!$C$6),COUNT(X$4:X1754)+1,"")</f>
        <v/>
      </c>
      <c r="Y1755">
        <f>IF(AND($A1755&lt;&gt;"",$B1755&lt;&gt;"",$R1755='تقرير نوفمبر'!$C$4,$P1755='تقرير نوفمبر'!$C$6),COUNT(Y$4:Y1754)+1,"")</f>
        <v/>
      </c>
      <c r="Z1755">
        <f>IF(AND($A1755&lt;&gt;"",$B1755&lt;&gt;"",$R1755='تقرير ديسمبر'!$C$4,$P1755='تقرير ديسمبر'!$C$6),COUNT(Z$4:Z1754)+1,"")</f>
        <v/>
      </c>
      <c r="AA1755">
        <f>IF(AND($A1755&lt;&gt;"",$B1755&lt;&gt;"",$R1755='تقرير يناير'!$C$4,$P1755='تقرير يناير'!$C$6),COUNT(AA$4:AA1754)+1,"")</f>
        <v/>
      </c>
      <c r="AB1755">
        <f>IF(AND($A1755&lt;&gt;"",$B1755&lt;&gt;"",$R1755='تقرير فبراير'!$C$4,$P1755='تقرير فبراير'!$C$6),COUNT(AB$4:AB1754)+1,"")</f>
        <v/>
      </c>
      <c r="AC1755">
        <f>IF(AND($A1755&lt;&gt;"",$B1755&lt;&gt;"",$R1755='تقرير مارس'!$C$4,$P1755='تقرير مارس'!$C$6),COUNT(AC$4:AC1754)+1,"")</f>
        <v/>
      </c>
      <c r="AD1755">
        <f>IF(AND($A1755&lt;&gt;"",$B1755&lt;&gt;"",$R1755='تقرير أبريل'!$C$4,$P1755='تقرير أبريل'!$C$6),COUNT(AD$4:AD1754)+1,"")</f>
        <v/>
      </c>
      <c r="AE1755">
        <f>IF(AND($A1755&lt;&gt;"",$B1755&lt;&gt;"",$R1755='تقرير مايو'!$C$4,$P1755='تقرير مايو'!$C$6),COUNT(AE$4:AE1754)+1,"")</f>
        <v/>
      </c>
    </row>
    <row r="1756">
      <c r="A1756" s="16" t="n"/>
      <c r="B1756" s="17" t="n"/>
      <c r="C1756" s="17" t="n"/>
      <c r="D1756" s="18" t="n"/>
      <c r="E1756" s="17" t="n"/>
      <c r="F1756" s="17" t="n"/>
      <c r="G1756" s="19" t="n"/>
      <c r="H1756" s="17" t="n"/>
      <c r="I1756" s="17" t="n"/>
      <c r="J1756" s="17" t="n"/>
      <c r="K1756" s="20">
        <f>IF($B1756="","",IFERROR(INDEX(الموظفات!$A$5:$A$304,MATCH($B1756,الموظفات!$B$5:$B$304,0))&amp;"",""))</f>
        <v/>
      </c>
      <c r="L1756" s="21">
        <f>IF($B1756="","",IFERROR(INDEX(الموظفات!$C$5:$C$304,MATCH($B1756,الموظفات!$B$5:$B$304,0))&amp;"",""))</f>
        <v/>
      </c>
      <c r="M1756" s="20">
        <f>IF($B1756="","",IFERROR(INDEX(الموظفات!$D$5:$D$304,MATCH($B1756,الموظفات!$B$5:$B$304,0))&amp;"",""))</f>
        <v/>
      </c>
      <c r="N1756" s="20">
        <f>IF($B1756="","",IFERROR(INDEX(الموظفات!$E$5:$E$304,MATCH($B1756,الموظفات!$B$5:$B$304,0))&amp;"",""))</f>
        <v/>
      </c>
      <c r="O1756" s="21">
        <f>IF(C1756="","",IFERROR(INDEX(الإعدادات!$D$7:$D$35,MATCH(C1756,الإعدادات!$A$7:$A$35,0))&amp;"",""))</f>
        <v/>
      </c>
      <c r="P1756" s="20">
        <f>IF(A1756="","",INDEX(الإعدادات!$H$7:$H$18,MONTH(A1756)))</f>
        <v/>
      </c>
      <c r="Q1756" s="20">
        <f>IF(A1756="","",INDEX(الإعدادات!$I$7:$I$18,MONTH(A1756)))</f>
        <v/>
      </c>
      <c r="R1756" s="20">
        <f>IF(A1756="","",IF(MONTH(A1756)&gt;=8,YEAR(A1756)&amp;"-"&amp;(YEAR(A1756)+1),(YEAR(A1756)-1)&amp;"-"&amp;YEAR(A1756)))</f>
        <v/>
      </c>
      <c r="S1756" s="20">
        <f>IF(OR(A1756="",B1756=""),0,IF(AND(R1756=التقارير!$C$4,OR(التقارير!$C$5="سنوي",AND(التقارير!$C$5="شهري",P1756=التقارير!$C$6),AND(التقارير!$C$5="فصلي",Q1756=التقارير!$C$7))),1,0))</f>
        <v/>
      </c>
      <c r="T1756" s="20">
        <f>IF(S1756=1,COUNTIF($S$5:S1756,1),"")</f>
        <v/>
      </c>
      <c r="U1756">
        <f>IF(AND($A1756&lt;&gt;"",$B1756&lt;&gt;"",$R1756='تقرير الفصل الأول'!$C$4,$Q1756='تقرير الفصل الأول'!$C$7),COUNT(U$4:U1755)+1,"")</f>
        <v/>
      </c>
      <c r="V1756">
        <f>IF(AND($A1756&lt;&gt;"",$B1756&lt;&gt;"",$R1756='تقرير الفصل الثاني'!$C$4,$Q1756='تقرير الفصل الثاني'!$C$7),COUNT(V$4:V1755)+1,"")</f>
        <v/>
      </c>
      <c r="W1756">
        <f>IF(AND($A1756&lt;&gt;"",$B1756&lt;&gt;"",$R1756='تقرير سبتمبر'!$C$4,$P1756='تقرير سبتمبر'!$C$6),COUNT(W$4:W1755)+1,"")</f>
        <v/>
      </c>
      <c r="X1756">
        <f>IF(AND($A1756&lt;&gt;"",$B1756&lt;&gt;"",$R1756='تقرير أكتوبر'!$C$4,$P1756='تقرير أكتوبر'!$C$6),COUNT(X$4:X1755)+1,"")</f>
        <v/>
      </c>
      <c r="Y1756">
        <f>IF(AND($A1756&lt;&gt;"",$B1756&lt;&gt;"",$R1756='تقرير نوفمبر'!$C$4,$P1756='تقرير نوفمبر'!$C$6),COUNT(Y$4:Y1755)+1,"")</f>
        <v/>
      </c>
      <c r="Z1756">
        <f>IF(AND($A1756&lt;&gt;"",$B1756&lt;&gt;"",$R1756='تقرير ديسمبر'!$C$4,$P1756='تقرير ديسمبر'!$C$6),COUNT(Z$4:Z1755)+1,"")</f>
        <v/>
      </c>
      <c r="AA1756">
        <f>IF(AND($A1756&lt;&gt;"",$B1756&lt;&gt;"",$R1756='تقرير يناير'!$C$4,$P1756='تقرير يناير'!$C$6),COUNT(AA$4:AA1755)+1,"")</f>
        <v/>
      </c>
      <c r="AB1756">
        <f>IF(AND($A1756&lt;&gt;"",$B1756&lt;&gt;"",$R1756='تقرير فبراير'!$C$4,$P1756='تقرير فبراير'!$C$6),COUNT(AB$4:AB1755)+1,"")</f>
        <v/>
      </c>
      <c r="AC1756">
        <f>IF(AND($A1756&lt;&gt;"",$B1756&lt;&gt;"",$R1756='تقرير مارس'!$C$4,$P1756='تقرير مارس'!$C$6),COUNT(AC$4:AC1755)+1,"")</f>
        <v/>
      </c>
      <c r="AD1756">
        <f>IF(AND($A1756&lt;&gt;"",$B1756&lt;&gt;"",$R1756='تقرير أبريل'!$C$4,$P1756='تقرير أبريل'!$C$6),COUNT(AD$4:AD1755)+1,"")</f>
        <v/>
      </c>
      <c r="AE1756">
        <f>IF(AND($A1756&lt;&gt;"",$B1756&lt;&gt;"",$R1756='تقرير مايو'!$C$4,$P1756='تقرير مايو'!$C$6),COUNT(AE$4:AE1755)+1,"")</f>
        <v/>
      </c>
    </row>
    <row r="1757">
      <c r="A1757" s="16" t="n"/>
      <c r="B1757" s="17" t="n"/>
      <c r="C1757" s="17" t="n"/>
      <c r="D1757" s="18" t="n"/>
      <c r="E1757" s="17" t="n"/>
      <c r="F1757" s="17" t="n"/>
      <c r="G1757" s="19" t="n"/>
      <c r="H1757" s="17" t="n"/>
      <c r="I1757" s="17" t="n"/>
      <c r="J1757" s="17" t="n"/>
      <c r="K1757" s="20">
        <f>IF($B1757="","",IFERROR(INDEX(الموظفات!$A$5:$A$304,MATCH($B1757,الموظفات!$B$5:$B$304,0))&amp;"",""))</f>
        <v/>
      </c>
      <c r="L1757" s="21">
        <f>IF($B1757="","",IFERROR(INDEX(الموظفات!$C$5:$C$304,MATCH($B1757,الموظفات!$B$5:$B$304,0))&amp;"",""))</f>
        <v/>
      </c>
      <c r="M1757" s="20">
        <f>IF($B1757="","",IFERROR(INDEX(الموظفات!$D$5:$D$304,MATCH($B1757,الموظفات!$B$5:$B$304,0))&amp;"",""))</f>
        <v/>
      </c>
      <c r="N1757" s="20">
        <f>IF($B1757="","",IFERROR(INDEX(الموظفات!$E$5:$E$304,MATCH($B1757,الموظفات!$B$5:$B$304,0))&amp;"",""))</f>
        <v/>
      </c>
      <c r="O1757" s="21">
        <f>IF(C1757="","",IFERROR(INDEX(الإعدادات!$D$7:$D$35,MATCH(C1757,الإعدادات!$A$7:$A$35,0))&amp;"",""))</f>
        <v/>
      </c>
      <c r="P1757" s="20">
        <f>IF(A1757="","",INDEX(الإعدادات!$H$7:$H$18,MONTH(A1757)))</f>
        <v/>
      </c>
      <c r="Q1757" s="20">
        <f>IF(A1757="","",INDEX(الإعدادات!$I$7:$I$18,MONTH(A1757)))</f>
        <v/>
      </c>
      <c r="R1757" s="20">
        <f>IF(A1757="","",IF(MONTH(A1757)&gt;=8,YEAR(A1757)&amp;"-"&amp;(YEAR(A1757)+1),(YEAR(A1757)-1)&amp;"-"&amp;YEAR(A1757)))</f>
        <v/>
      </c>
      <c r="S1757" s="20">
        <f>IF(OR(A1757="",B1757=""),0,IF(AND(R1757=التقارير!$C$4,OR(التقارير!$C$5="سنوي",AND(التقارير!$C$5="شهري",P1757=التقارير!$C$6),AND(التقارير!$C$5="فصلي",Q1757=التقارير!$C$7))),1,0))</f>
        <v/>
      </c>
      <c r="T1757" s="20">
        <f>IF(S1757=1,COUNTIF($S$5:S1757,1),"")</f>
        <v/>
      </c>
      <c r="U1757">
        <f>IF(AND($A1757&lt;&gt;"",$B1757&lt;&gt;"",$R1757='تقرير الفصل الأول'!$C$4,$Q1757='تقرير الفصل الأول'!$C$7),COUNT(U$4:U1756)+1,"")</f>
        <v/>
      </c>
      <c r="V1757">
        <f>IF(AND($A1757&lt;&gt;"",$B1757&lt;&gt;"",$R1757='تقرير الفصل الثاني'!$C$4,$Q1757='تقرير الفصل الثاني'!$C$7),COUNT(V$4:V1756)+1,"")</f>
        <v/>
      </c>
      <c r="W1757">
        <f>IF(AND($A1757&lt;&gt;"",$B1757&lt;&gt;"",$R1757='تقرير سبتمبر'!$C$4,$P1757='تقرير سبتمبر'!$C$6),COUNT(W$4:W1756)+1,"")</f>
        <v/>
      </c>
      <c r="X1757">
        <f>IF(AND($A1757&lt;&gt;"",$B1757&lt;&gt;"",$R1757='تقرير أكتوبر'!$C$4,$P1757='تقرير أكتوبر'!$C$6),COUNT(X$4:X1756)+1,"")</f>
        <v/>
      </c>
      <c r="Y1757">
        <f>IF(AND($A1757&lt;&gt;"",$B1757&lt;&gt;"",$R1757='تقرير نوفمبر'!$C$4,$P1757='تقرير نوفمبر'!$C$6),COUNT(Y$4:Y1756)+1,"")</f>
        <v/>
      </c>
      <c r="Z1757">
        <f>IF(AND($A1757&lt;&gt;"",$B1757&lt;&gt;"",$R1757='تقرير ديسمبر'!$C$4,$P1757='تقرير ديسمبر'!$C$6),COUNT(Z$4:Z1756)+1,"")</f>
        <v/>
      </c>
      <c r="AA1757">
        <f>IF(AND($A1757&lt;&gt;"",$B1757&lt;&gt;"",$R1757='تقرير يناير'!$C$4,$P1757='تقرير يناير'!$C$6),COUNT(AA$4:AA1756)+1,"")</f>
        <v/>
      </c>
      <c r="AB1757">
        <f>IF(AND($A1757&lt;&gt;"",$B1757&lt;&gt;"",$R1757='تقرير فبراير'!$C$4,$P1757='تقرير فبراير'!$C$6),COUNT(AB$4:AB1756)+1,"")</f>
        <v/>
      </c>
      <c r="AC1757">
        <f>IF(AND($A1757&lt;&gt;"",$B1757&lt;&gt;"",$R1757='تقرير مارس'!$C$4,$P1757='تقرير مارس'!$C$6),COUNT(AC$4:AC1756)+1,"")</f>
        <v/>
      </c>
      <c r="AD1757">
        <f>IF(AND($A1757&lt;&gt;"",$B1757&lt;&gt;"",$R1757='تقرير أبريل'!$C$4,$P1757='تقرير أبريل'!$C$6),COUNT(AD$4:AD1756)+1,"")</f>
        <v/>
      </c>
      <c r="AE1757">
        <f>IF(AND($A1757&lt;&gt;"",$B1757&lt;&gt;"",$R1757='تقرير مايو'!$C$4,$P1757='تقرير مايو'!$C$6),COUNT(AE$4:AE1756)+1,"")</f>
        <v/>
      </c>
    </row>
    <row r="1758">
      <c r="A1758" s="16" t="n"/>
      <c r="B1758" s="17" t="n"/>
      <c r="C1758" s="17" t="n"/>
      <c r="D1758" s="18" t="n"/>
      <c r="E1758" s="17" t="n"/>
      <c r="F1758" s="17" t="n"/>
      <c r="G1758" s="19" t="n"/>
      <c r="H1758" s="17" t="n"/>
      <c r="I1758" s="17" t="n"/>
      <c r="J1758" s="17" t="n"/>
      <c r="K1758" s="20">
        <f>IF($B1758="","",IFERROR(INDEX(الموظفات!$A$5:$A$304,MATCH($B1758,الموظفات!$B$5:$B$304,0))&amp;"",""))</f>
        <v/>
      </c>
      <c r="L1758" s="21">
        <f>IF($B1758="","",IFERROR(INDEX(الموظفات!$C$5:$C$304,MATCH($B1758,الموظفات!$B$5:$B$304,0))&amp;"",""))</f>
        <v/>
      </c>
      <c r="M1758" s="20">
        <f>IF($B1758="","",IFERROR(INDEX(الموظفات!$D$5:$D$304,MATCH($B1758,الموظفات!$B$5:$B$304,0))&amp;"",""))</f>
        <v/>
      </c>
      <c r="N1758" s="20">
        <f>IF($B1758="","",IFERROR(INDEX(الموظفات!$E$5:$E$304,MATCH($B1758,الموظفات!$B$5:$B$304,0))&amp;"",""))</f>
        <v/>
      </c>
      <c r="O1758" s="21">
        <f>IF(C1758="","",IFERROR(INDEX(الإعدادات!$D$7:$D$35,MATCH(C1758,الإعدادات!$A$7:$A$35,0))&amp;"",""))</f>
        <v/>
      </c>
      <c r="P1758" s="20">
        <f>IF(A1758="","",INDEX(الإعدادات!$H$7:$H$18,MONTH(A1758)))</f>
        <v/>
      </c>
      <c r="Q1758" s="20">
        <f>IF(A1758="","",INDEX(الإعدادات!$I$7:$I$18,MONTH(A1758)))</f>
        <v/>
      </c>
      <c r="R1758" s="20">
        <f>IF(A1758="","",IF(MONTH(A1758)&gt;=8,YEAR(A1758)&amp;"-"&amp;(YEAR(A1758)+1),(YEAR(A1758)-1)&amp;"-"&amp;YEAR(A1758)))</f>
        <v/>
      </c>
      <c r="S1758" s="20">
        <f>IF(OR(A1758="",B1758=""),0,IF(AND(R1758=التقارير!$C$4,OR(التقارير!$C$5="سنوي",AND(التقارير!$C$5="شهري",P1758=التقارير!$C$6),AND(التقارير!$C$5="فصلي",Q1758=التقارير!$C$7))),1,0))</f>
        <v/>
      </c>
      <c r="T1758" s="20">
        <f>IF(S1758=1,COUNTIF($S$5:S1758,1),"")</f>
        <v/>
      </c>
      <c r="U1758">
        <f>IF(AND($A1758&lt;&gt;"",$B1758&lt;&gt;"",$R1758='تقرير الفصل الأول'!$C$4,$Q1758='تقرير الفصل الأول'!$C$7),COUNT(U$4:U1757)+1,"")</f>
        <v/>
      </c>
      <c r="V1758">
        <f>IF(AND($A1758&lt;&gt;"",$B1758&lt;&gt;"",$R1758='تقرير الفصل الثاني'!$C$4,$Q1758='تقرير الفصل الثاني'!$C$7),COUNT(V$4:V1757)+1,"")</f>
        <v/>
      </c>
      <c r="W1758">
        <f>IF(AND($A1758&lt;&gt;"",$B1758&lt;&gt;"",$R1758='تقرير سبتمبر'!$C$4,$P1758='تقرير سبتمبر'!$C$6),COUNT(W$4:W1757)+1,"")</f>
        <v/>
      </c>
      <c r="X1758">
        <f>IF(AND($A1758&lt;&gt;"",$B1758&lt;&gt;"",$R1758='تقرير أكتوبر'!$C$4,$P1758='تقرير أكتوبر'!$C$6),COUNT(X$4:X1757)+1,"")</f>
        <v/>
      </c>
      <c r="Y1758">
        <f>IF(AND($A1758&lt;&gt;"",$B1758&lt;&gt;"",$R1758='تقرير نوفمبر'!$C$4,$P1758='تقرير نوفمبر'!$C$6),COUNT(Y$4:Y1757)+1,"")</f>
        <v/>
      </c>
      <c r="Z1758">
        <f>IF(AND($A1758&lt;&gt;"",$B1758&lt;&gt;"",$R1758='تقرير ديسمبر'!$C$4,$P1758='تقرير ديسمبر'!$C$6),COUNT(Z$4:Z1757)+1,"")</f>
        <v/>
      </c>
      <c r="AA1758">
        <f>IF(AND($A1758&lt;&gt;"",$B1758&lt;&gt;"",$R1758='تقرير يناير'!$C$4,$P1758='تقرير يناير'!$C$6),COUNT(AA$4:AA1757)+1,"")</f>
        <v/>
      </c>
      <c r="AB1758">
        <f>IF(AND($A1758&lt;&gt;"",$B1758&lt;&gt;"",$R1758='تقرير فبراير'!$C$4,$P1758='تقرير فبراير'!$C$6),COUNT(AB$4:AB1757)+1,"")</f>
        <v/>
      </c>
      <c r="AC1758">
        <f>IF(AND($A1758&lt;&gt;"",$B1758&lt;&gt;"",$R1758='تقرير مارس'!$C$4,$P1758='تقرير مارس'!$C$6),COUNT(AC$4:AC1757)+1,"")</f>
        <v/>
      </c>
      <c r="AD1758">
        <f>IF(AND($A1758&lt;&gt;"",$B1758&lt;&gt;"",$R1758='تقرير أبريل'!$C$4,$P1758='تقرير أبريل'!$C$6),COUNT(AD$4:AD1757)+1,"")</f>
        <v/>
      </c>
      <c r="AE1758">
        <f>IF(AND($A1758&lt;&gt;"",$B1758&lt;&gt;"",$R1758='تقرير مايو'!$C$4,$P1758='تقرير مايو'!$C$6),COUNT(AE$4:AE1757)+1,"")</f>
        <v/>
      </c>
    </row>
    <row r="1759">
      <c r="A1759" s="16" t="n"/>
      <c r="B1759" s="17" t="n"/>
      <c r="C1759" s="17" t="n"/>
      <c r="D1759" s="18" t="n"/>
      <c r="E1759" s="17" t="n"/>
      <c r="F1759" s="17" t="n"/>
      <c r="G1759" s="19" t="n"/>
      <c r="H1759" s="17" t="n"/>
      <c r="I1759" s="17" t="n"/>
      <c r="J1759" s="17" t="n"/>
      <c r="K1759" s="20">
        <f>IF($B1759="","",IFERROR(INDEX(الموظفات!$A$5:$A$304,MATCH($B1759,الموظفات!$B$5:$B$304,0))&amp;"",""))</f>
        <v/>
      </c>
      <c r="L1759" s="21">
        <f>IF($B1759="","",IFERROR(INDEX(الموظفات!$C$5:$C$304,MATCH($B1759,الموظفات!$B$5:$B$304,0))&amp;"",""))</f>
        <v/>
      </c>
      <c r="M1759" s="20">
        <f>IF($B1759="","",IFERROR(INDEX(الموظفات!$D$5:$D$304,MATCH($B1759,الموظفات!$B$5:$B$304,0))&amp;"",""))</f>
        <v/>
      </c>
      <c r="N1759" s="20">
        <f>IF($B1759="","",IFERROR(INDEX(الموظفات!$E$5:$E$304,MATCH($B1759,الموظفات!$B$5:$B$304,0))&amp;"",""))</f>
        <v/>
      </c>
      <c r="O1759" s="21">
        <f>IF(C1759="","",IFERROR(INDEX(الإعدادات!$D$7:$D$35,MATCH(C1759,الإعدادات!$A$7:$A$35,0))&amp;"",""))</f>
        <v/>
      </c>
      <c r="P1759" s="20">
        <f>IF(A1759="","",INDEX(الإعدادات!$H$7:$H$18,MONTH(A1759)))</f>
        <v/>
      </c>
      <c r="Q1759" s="20">
        <f>IF(A1759="","",INDEX(الإعدادات!$I$7:$I$18,MONTH(A1759)))</f>
        <v/>
      </c>
      <c r="R1759" s="20">
        <f>IF(A1759="","",IF(MONTH(A1759)&gt;=8,YEAR(A1759)&amp;"-"&amp;(YEAR(A1759)+1),(YEAR(A1759)-1)&amp;"-"&amp;YEAR(A1759)))</f>
        <v/>
      </c>
      <c r="S1759" s="20">
        <f>IF(OR(A1759="",B1759=""),0,IF(AND(R1759=التقارير!$C$4,OR(التقارير!$C$5="سنوي",AND(التقارير!$C$5="شهري",P1759=التقارير!$C$6),AND(التقارير!$C$5="فصلي",Q1759=التقارير!$C$7))),1,0))</f>
        <v/>
      </c>
      <c r="T1759" s="20">
        <f>IF(S1759=1,COUNTIF($S$5:S1759,1),"")</f>
        <v/>
      </c>
      <c r="U1759">
        <f>IF(AND($A1759&lt;&gt;"",$B1759&lt;&gt;"",$R1759='تقرير الفصل الأول'!$C$4,$Q1759='تقرير الفصل الأول'!$C$7),COUNT(U$4:U1758)+1,"")</f>
        <v/>
      </c>
      <c r="V1759">
        <f>IF(AND($A1759&lt;&gt;"",$B1759&lt;&gt;"",$R1759='تقرير الفصل الثاني'!$C$4,$Q1759='تقرير الفصل الثاني'!$C$7),COUNT(V$4:V1758)+1,"")</f>
        <v/>
      </c>
      <c r="W1759">
        <f>IF(AND($A1759&lt;&gt;"",$B1759&lt;&gt;"",$R1759='تقرير سبتمبر'!$C$4,$P1759='تقرير سبتمبر'!$C$6),COUNT(W$4:W1758)+1,"")</f>
        <v/>
      </c>
      <c r="X1759">
        <f>IF(AND($A1759&lt;&gt;"",$B1759&lt;&gt;"",$R1759='تقرير أكتوبر'!$C$4,$P1759='تقرير أكتوبر'!$C$6),COUNT(X$4:X1758)+1,"")</f>
        <v/>
      </c>
      <c r="Y1759">
        <f>IF(AND($A1759&lt;&gt;"",$B1759&lt;&gt;"",$R1759='تقرير نوفمبر'!$C$4,$P1759='تقرير نوفمبر'!$C$6),COUNT(Y$4:Y1758)+1,"")</f>
        <v/>
      </c>
      <c r="Z1759">
        <f>IF(AND($A1759&lt;&gt;"",$B1759&lt;&gt;"",$R1759='تقرير ديسمبر'!$C$4,$P1759='تقرير ديسمبر'!$C$6),COUNT(Z$4:Z1758)+1,"")</f>
        <v/>
      </c>
      <c r="AA1759">
        <f>IF(AND($A1759&lt;&gt;"",$B1759&lt;&gt;"",$R1759='تقرير يناير'!$C$4,$P1759='تقرير يناير'!$C$6),COUNT(AA$4:AA1758)+1,"")</f>
        <v/>
      </c>
      <c r="AB1759">
        <f>IF(AND($A1759&lt;&gt;"",$B1759&lt;&gt;"",$R1759='تقرير فبراير'!$C$4,$P1759='تقرير فبراير'!$C$6),COUNT(AB$4:AB1758)+1,"")</f>
        <v/>
      </c>
      <c r="AC1759">
        <f>IF(AND($A1759&lt;&gt;"",$B1759&lt;&gt;"",$R1759='تقرير مارس'!$C$4,$P1759='تقرير مارس'!$C$6),COUNT(AC$4:AC1758)+1,"")</f>
        <v/>
      </c>
      <c r="AD1759">
        <f>IF(AND($A1759&lt;&gt;"",$B1759&lt;&gt;"",$R1759='تقرير أبريل'!$C$4,$P1759='تقرير أبريل'!$C$6),COUNT(AD$4:AD1758)+1,"")</f>
        <v/>
      </c>
      <c r="AE1759">
        <f>IF(AND($A1759&lt;&gt;"",$B1759&lt;&gt;"",$R1759='تقرير مايو'!$C$4,$P1759='تقرير مايو'!$C$6),COUNT(AE$4:AE1758)+1,"")</f>
        <v/>
      </c>
    </row>
    <row r="1760">
      <c r="A1760" s="16" t="n"/>
      <c r="B1760" s="17" t="n"/>
      <c r="C1760" s="17" t="n"/>
      <c r="D1760" s="18" t="n"/>
      <c r="E1760" s="17" t="n"/>
      <c r="F1760" s="17" t="n"/>
      <c r="G1760" s="19" t="n"/>
      <c r="H1760" s="17" t="n"/>
      <c r="I1760" s="17" t="n"/>
      <c r="J1760" s="17" t="n"/>
      <c r="K1760" s="20">
        <f>IF($B1760="","",IFERROR(INDEX(الموظفات!$A$5:$A$304,MATCH($B1760,الموظفات!$B$5:$B$304,0))&amp;"",""))</f>
        <v/>
      </c>
      <c r="L1760" s="21">
        <f>IF($B1760="","",IFERROR(INDEX(الموظفات!$C$5:$C$304,MATCH($B1760,الموظفات!$B$5:$B$304,0))&amp;"",""))</f>
        <v/>
      </c>
      <c r="M1760" s="20">
        <f>IF($B1760="","",IFERROR(INDEX(الموظفات!$D$5:$D$304,MATCH($B1760,الموظفات!$B$5:$B$304,0))&amp;"",""))</f>
        <v/>
      </c>
      <c r="N1760" s="20">
        <f>IF($B1760="","",IFERROR(INDEX(الموظفات!$E$5:$E$304,MATCH($B1760,الموظفات!$B$5:$B$304,0))&amp;"",""))</f>
        <v/>
      </c>
      <c r="O1760" s="21">
        <f>IF(C1760="","",IFERROR(INDEX(الإعدادات!$D$7:$D$35,MATCH(C1760,الإعدادات!$A$7:$A$35,0))&amp;"",""))</f>
        <v/>
      </c>
      <c r="P1760" s="20">
        <f>IF(A1760="","",INDEX(الإعدادات!$H$7:$H$18,MONTH(A1760)))</f>
        <v/>
      </c>
      <c r="Q1760" s="20">
        <f>IF(A1760="","",INDEX(الإعدادات!$I$7:$I$18,MONTH(A1760)))</f>
        <v/>
      </c>
      <c r="R1760" s="20">
        <f>IF(A1760="","",IF(MONTH(A1760)&gt;=8,YEAR(A1760)&amp;"-"&amp;(YEAR(A1760)+1),(YEAR(A1760)-1)&amp;"-"&amp;YEAR(A1760)))</f>
        <v/>
      </c>
      <c r="S1760" s="20">
        <f>IF(OR(A1760="",B1760=""),0,IF(AND(R1760=التقارير!$C$4,OR(التقارير!$C$5="سنوي",AND(التقارير!$C$5="شهري",P1760=التقارير!$C$6),AND(التقارير!$C$5="فصلي",Q1760=التقارير!$C$7))),1,0))</f>
        <v/>
      </c>
      <c r="T1760" s="20">
        <f>IF(S1760=1,COUNTIF($S$5:S1760,1),"")</f>
        <v/>
      </c>
      <c r="U1760">
        <f>IF(AND($A1760&lt;&gt;"",$B1760&lt;&gt;"",$R1760='تقرير الفصل الأول'!$C$4,$Q1760='تقرير الفصل الأول'!$C$7),COUNT(U$4:U1759)+1,"")</f>
        <v/>
      </c>
      <c r="V1760">
        <f>IF(AND($A1760&lt;&gt;"",$B1760&lt;&gt;"",$R1760='تقرير الفصل الثاني'!$C$4,$Q1760='تقرير الفصل الثاني'!$C$7),COUNT(V$4:V1759)+1,"")</f>
        <v/>
      </c>
      <c r="W1760">
        <f>IF(AND($A1760&lt;&gt;"",$B1760&lt;&gt;"",$R1760='تقرير سبتمبر'!$C$4,$P1760='تقرير سبتمبر'!$C$6),COUNT(W$4:W1759)+1,"")</f>
        <v/>
      </c>
      <c r="X1760">
        <f>IF(AND($A1760&lt;&gt;"",$B1760&lt;&gt;"",$R1760='تقرير أكتوبر'!$C$4,$P1760='تقرير أكتوبر'!$C$6),COUNT(X$4:X1759)+1,"")</f>
        <v/>
      </c>
      <c r="Y1760">
        <f>IF(AND($A1760&lt;&gt;"",$B1760&lt;&gt;"",$R1760='تقرير نوفمبر'!$C$4,$P1760='تقرير نوفمبر'!$C$6),COUNT(Y$4:Y1759)+1,"")</f>
        <v/>
      </c>
      <c r="Z1760">
        <f>IF(AND($A1760&lt;&gt;"",$B1760&lt;&gt;"",$R1760='تقرير ديسمبر'!$C$4,$P1760='تقرير ديسمبر'!$C$6),COUNT(Z$4:Z1759)+1,"")</f>
        <v/>
      </c>
      <c r="AA1760">
        <f>IF(AND($A1760&lt;&gt;"",$B1760&lt;&gt;"",$R1760='تقرير يناير'!$C$4,$P1760='تقرير يناير'!$C$6),COUNT(AA$4:AA1759)+1,"")</f>
        <v/>
      </c>
      <c r="AB1760">
        <f>IF(AND($A1760&lt;&gt;"",$B1760&lt;&gt;"",$R1760='تقرير فبراير'!$C$4,$P1760='تقرير فبراير'!$C$6),COUNT(AB$4:AB1759)+1,"")</f>
        <v/>
      </c>
      <c r="AC1760">
        <f>IF(AND($A1760&lt;&gt;"",$B1760&lt;&gt;"",$R1760='تقرير مارس'!$C$4,$P1760='تقرير مارس'!$C$6),COUNT(AC$4:AC1759)+1,"")</f>
        <v/>
      </c>
      <c r="AD1760">
        <f>IF(AND($A1760&lt;&gt;"",$B1760&lt;&gt;"",$R1760='تقرير أبريل'!$C$4,$P1760='تقرير أبريل'!$C$6),COUNT(AD$4:AD1759)+1,"")</f>
        <v/>
      </c>
      <c r="AE1760">
        <f>IF(AND($A1760&lt;&gt;"",$B1760&lt;&gt;"",$R1760='تقرير مايو'!$C$4,$P1760='تقرير مايو'!$C$6),COUNT(AE$4:AE1759)+1,"")</f>
        <v/>
      </c>
    </row>
    <row r="1761">
      <c r="A1761" s="16" t="n"/>
      <c r="B1761" s="17" t="n"/>
      <c r="C1761" s="17" t="n"/>
      <c r="D1761" s="18" t="n"/>
      <c r="E1761" s="17" t="n"/>
      <c r="F1761" s="17" t="n"/>
      <c r="G1761" s="19" t="n"/>
      <c r="H1761" s="17" t="n"/>
      <c r="I1761" s="17" t="n"/>
      <c r="J1761" s="17" t="n"/>
      <c r="K1761" s="20">
        <f>IF($B1761="","",IFERROR(INDEX(الموظفات!$A$5:$A$304,MATCH($B1761,الموظفات!$B$5:$B$304,0))&amp;"",""))</f>
        <v/>
      </c>
      <c r="L1761" s="21">
        <f>IF($B1761="","",IFERROR(INDEX(الموظفات!$C$5:$C$304,MATCH($B1761,الموظفات!$B$5:$B$304,0))&amp;"",""))</f>
        <v/>
      </c>
      <c r="M1761" s="20">
        <f>IF($B1761="","",IFERROR(INDEX(الموظفات!$D$5:$D$304,MATCH($B1761,الموظفات!$B$5:$B$304,0))&amp;"",""))</f>
        <v/>
      </c>
      <c r="N1761" s="20">
        <f>IF($B1761="","",IFERROR(INDEX(الموظفات!$E$5:$E$304,MATCH($B1761,الموظفات!$B$5:$B$304,0))&amp;"",""))</f>
        <v/>
      </c>
      <c r="O1761" s="21">
        <f>IF(C1761="","",IFERROR(INDEX(الإعدادات!$D$7:$D$35,MATCH(C1761,الإعدادات!$A$7:$A$35,0))&amp;"",""))</f>
        <v/>
      </c>
      <c r="P1761" s="20">
        <f>IF(A1761="","",INDEX(الإعدادات!$H$7:$H$18,MONTH(A1761)))</f>
        <v/>
      </c>
      <c r="Q1761" s="20">
        <f>IF(A1761="","",INDEX(الإعدادات!$I$7:$I$18,MONTH(A1761)))</f>
        <v/>
      </c>
      <c r="R1761" s="20">
        <f>IF(A1761="","",IF(MONTH(A1761)&gt;=8,YEAR(A1761)&amp;"-"&amp;(YEAR(A1761)+1),(YEAR(A1761)-1)&amp;"-"&amp;YEAR(A1761)))</f>
        <v/>
      </c>
      <c r="S1761" s="20">
        <f>IF(OR(A1761="",B1761=""),0,IF(AND(R1761=التقارير!$C$4,OR(التقارير!$C$5="سنوي",AND(التقارير!$C$5="شهري",P1761=التقارير!$C$6),AND(التقارير!$C$5="فصلي",Q1761=التقارير!$C$7))),1,0))</f>
        <v/>
      </c>
      <c r="T1761" s="20">
        <f>IF(S1761=1,COUNTIF($S$5:S1761,1),"")</f>
        <v/>
      </c>
      <c r="U1761">
        <f>IF(AND($A1761&lt;&gt;"",$B1761&lt;&gt;"",$R1761='تقرير الفصل الأول'!$C$4,$Q1761='تقرير الفصل الأول'!$C$7),COUNT(U$4:U1760)+1,"")</f>
        <v/>
      </c>
      <c r="V1761">
        <f>IF(AND($A1761&lt;&gt;"",$B1761&lt;&gt;"",$R1761='تقرير الفصل الثاني'!$C$4,$Q1761='تقرير الفصل الثاني'!$C$7),COUNT(V$4:V1760)+1,"")</f>
        <v/>
      </c>
      <c r="W1761">
        <f>IF(AND($A1761&lt;&gt;"",$B1761&lt;&gt;"",$R1761='تقرير سبتمبر'!$C$4,$P1761='تقرير سبتمبر'!$C$6),COUNT(W$4:W1760)+1,"")</f>
        <v/>
      </c>
      <c r="X1761">
        <f>IF(AND($A1761&lt;&gt;"",$B1761&lt;&gt;"",$R1761='تقرير أكتوبر'!$C$4,$P1761='تقرير أكتوبر'!$C$6),COUNT(X$4:X1760)+1,"")</f>
        <v/>
      </c>
      <c r="Y1761">
        <f>IF(AND($A1761&lt;&gt;"",$B1761&lt;&gt;"",$R1761='تقرير نوفمبر'!$C$4,$P1761='تقرير نوفمبر'!$C$6),COUNT(Y$4:Y1760)+1,"")</f>
        <v/>
      </c>
      <c r="Z1761">
        <f>IF(AND($A1761&lt;&gt;"",$B1761&lt;&gt;"",$R1761='تقرير ديسمبر'!$C$4,$P1761='تقرير ديسمبر'!$C$6),COUNT(Z$4:Z1760)+1,"")</f>
        <v/>
      </c>
      <c r="AA1761">
        <f>IF(AND($A1761&lt;&gt;"",$B1761&lt;&gt;"",$R1761='تقرير يناير'!$C$4,$P1761='تقرير يناير'!$C$6),COUNT(AA$4:AA1760)+1,"")</f>
        <v/>
      </c>
      <c r="AB1761">
        <f>IF(AND($A1761&lt;&gt;"",$B1761&lt;&gt;"",$R1761='تقرير فبراير'!$C$4,$P1761='تقرير فبراير'!$C$6),COUNT(AB$4:AB1760)+1,"")</f>
        <v/>
      </c>
      <c r="AC1761">
        <f>IF(AND($A1761&lt;&gt;"",$B1761&lt;&gt;"",$R1761='تقرير مارس'!$C$4,$P1761='تقرير مارس'!$C$6),COUNT(AC$4:AC1760)+1,"")</f>
        <v/>
      </c>
      <c r="AD1761">
        <f>IF(AND($A1761&lt;&gt;"",$B1761&lt;&gt;"",$R1761='تقرير أبريل'!$C$4,$P1761='تقرير أبريل'!$C$6),COUNT(AD$4:AD1760)+1,"")</f>
        <v/>
      </c>
      <c r="AE1761">
        <f>IF(AND($A1761&lt;&gt;"",$B1761&lt;&gt;"",$R1761='تقرير مايو'!$C$4,$P1761='تقرير مايو'!$C$6),COUNT(AE$4:AE1760)+1,"")</f>
        <v/>
      </c>
    </row>
    <row r="1762">
      <c r="A1762" s="16" t="n"/>
      <c r="B1762" s="17" t="n"/>
      <c r="C1762" s="17" t="n"/>
      <c r="D1762" s="18" t="n"/>
      <c r="E1762" s="17" t="n"/>
      <c r="F1762" s="17" t="n"/>
      <c r="G1762" s="19" t="n"/>
      <c r="H1762" s="17" t="n"/>
      <c r="I1762" s="17" t="n"/>
      <c r="J1762" s="17" t="n"/>
      <c r="K1762" s="20">
        <f>IF($B1762="","",IFERROR(INDEX(الموظفات!$A$5:$A$304,MATCH($B1762,الموظفات!$B$5:$B$304,0))&amp;"",""))</f>
        <v/>
      </c>
      <c r="L1762" s="21">
        <f>IF($B1762="","",IFERROR(INDEX(الموظفات!$C$5:$C$304,MATCH($B1762,الموظفات!$B$5:$B$304,0))&amp;"",""))</f>
        <v/>
      </c>
      <c r="M1762" s="20">
        <f>IF($B1762="","",IFERROR(INDEX(الموظفات!$D$5:$D$304,MATCH($B1762,الموظفات!$B$5:$B$304,0))&amp;"",""))</f>
        <v/>
      </c>
      <c r="N1762" s="20">
        <f>IF($B1762="","",IFERROR(INDEX(الموظفات!$E$5:$E$304,MATCH($B1762,الموظفات!$B$5:$B$304,0))&amp;"",""))</f>
        <v/>
      </c>
      <c r="O1762" s="21">
        <f>IF(C1762="","",IFERROR(INDEX(الإعدادات!$D$7:$D$35,MATCH(C1762,الإعدادات!$A$7:$A$35,0))&amp;"",""))</f>
        <v/>
      </c>
      <c r="P1762" s="20">
        <f>IF(A1762="","",INDEX(الإعدادات!$H$7:$H$18,MONTH(A1762)))</f>
        <v/>
      </c>
      <c r="Q1762" s="20">
        <f>IF(A1762="","",INDEX(الإعدادات!$I$7:$I$18,MONTH(A1762)))</f>
        <v/>
      </c>
      <c r="R1762" s="20">
        <f>IF(A1762="","",IF(MONTH(A1762)&gt;=8,YEAR(A1762)&amp;"-"&amp;(YEAR(A1762)+1),(YEAR(A1762)-1)&amp;"-"&amp;YEAR(A1762)))</f>
        <v/>
      </c>
      <c r="S1762" s="20">
        <f>IF(OR(A1762="",B1762=""),0,IF(AND(R1762=التقارير!$C$4,OR(التقارير!$C$5="سنوي",AND(التقارير!$C$5="شهري",P1762=التقارير!$C$6),AND(التقارير!$C$5="فصلي",Q1762=التقارير!$C$7))),1,0))</f>
        <v/>
      </c>
      <c r="T1762" s="20">
        <f>IF(S1762=1,COUNTIF($S$5:S1762,1),"")</f>
        <v/>
      </c>
      <c r="U1762">
        <f>IF(AND($A1762&lt;&gt;"",$B1762&lt;&gt;"",$R1762='تقرير الفصل الأول'!$C$4,$Q1762='تقرير الفصل الأول'!$C$7),COUNT(U$4:U1761)+1,"")</f>
        <v/>
      </c>
      <c r="V1762">
        <f>IF(AND($A1762&lt;&gt;"",$B1762&lt;&gt;"",$R1762='تقرير الفصل الثاني'!$C$4,$Q1762='تقرير الفصل الثاني'!$C$7),COUNT(V$4:V1761)+1,"")</f>
        <v/>
      </c>
      <c r="W1762">
        <f>IF(AND($A1762&lt;&gt;"",$B1762&lt;&gt;"",$R1762='تقرير سبتمبر'!$C$4,$P1762='تقرير سبتمبر'!$C$6),COUNT(W$4:W1761)+1,"")</f>
        <v/>
      </c>
      <c r="X1762">
        <f>IF(AND($A1762&lt;&gt;"",$B1762&lt;&gt;"",$R1762='تقرير أكتوبر'!$C$4,$P1762='تقرير أكتوبر'!$C$6),COUNT(X$4:X1761)+1,"")</f>
        <v/>
      </c>
      <c r="Y1762">
        <f>IF(AND($A1762&lt;&gt;"",$B1762&lt;&gt;"",$R1762='تقرير نوفمبر'!$C$4,$P1762='تقرير نوفمبر'!$C$6),COUNT(Y$4:Y1761)+1,"")</f>
        <v/>
      </c>
      <c r="Z1762">
        <f>IF(AND($A1762&lt;&gt;"",$B1762&lt;&gt;"",$R1762='تقرير ديسمبر'!$C$4,$P1762='تقرير ديسمبر'!$C$6),COUNT(Z$4:Z1761)+1,"")</f>
        <v/>
      </c>
      <c r="AA1762">
        <f>IF(AND($A1762&lt;&gt;"",$B1762&lt;&gt;"",$R1762='تقرير يناير'!$C$4,$P1762='تقرير يناير'!$C$6),COUNT(AA$4:AA1761)+1,"")</f>
        <v/>
      </c>
      <c r="AB1762">
        <f>IF(AND($A1762&lt;&gt;"",$B1762&lt;&gt;"",$R1762='تقرير فبراير'!$C$4,$P1762='تقرير فبراير'!$C$6),COUNT(AB$4:AB1761)+1,"")</f>
        <v/>
      </c>
      <c r="AC1762">
        <f>IF(AND($A1762&lt;&gt;"",$B1762&lt;&gt;"",$R1762='تقرير مارس'!$C$4,$P1762='تقرير مارس'!$C$6),COUNT(AC$4:AC1761)+1,"")</f>
        <v/>
      </c>
      <c r="AD1762">
        <f>IF(AND($A1762&lt;&gt;"",$B1762&lt;&gt;"",$R1762='تقرير أبريل'!$C$4,$P1762='تقرير أبريل'!$C$6),COUNT(AD$4:AD1761)+1,"")</f>
        <v/>
      </c>
      <c r="AE1762">
        <f>IF(AND($A1762&lt;&gt;"",$B1762&lt;&gt;"",$R1762='تقرير مايو'!$C$4,$P1762='تقرير مايو'!$C$6),COUNT(AE$4:AE1761)+1,"")</f>
        <v/>
      </c>
    </row>
    <row r="1763">
      <c r="A1763" s="16" t="n"/>
      <c r="B1763" s="17" t="n"/>
      <c r="C1763" s="17" t="n"/>
      <c r="D1763" s="18" t="n"/>
      <c r="E1763" s="17" t="n"/>
      <c r="F1763" s="17" t="n"/>
      <c r="G1763" s="19" t="n"/>
      <c r="H1763" s="17" t="n"/>
      <c r="I1763" s="17" t="n"/>
      <c r="J1763" s="17" t="n"/>
      <c r="K1763" s="20">
        <f>IF($B1763="","",IFERROR(INDEX(الموظفات!$A$5:$A$304,MATCH($B1763,الموظفات!$B$5:$B$304,0))&amp;"",""))</f>
        <v/>
      </c>
      <c r="L1763" s="21">
        <f>IF($B1763="","",IFERROR(INDEX(الموظفات!$C$5:$C$304,MATCH($B1763,الموظفات!$B$5:$B$304,0))&amp;"",""))</f>
        <v/>
      </c>
      <c r="M1763" s="20">
        <f>IF($B1763="","",IFERROR(INDEX(الموظفات!$D$5:$D$304,MATCH($B1763,الموظفات!$B$5:$B$304,0))&amp;"",""))</f>
        <v/>
      </c>
      <c r="N1763" s="20">
        <f>IF($B1763="","",IFERROR(INDEX(الموظفات!$E$5:$E$304,MATCH($B1763,الموظفات!$B$5:$B$304,0))&amp;"",""))</f>
        <v/>
      </c>
      <c r="O1763" s="21">
        <f>IF(C1763="","",IFERROR(INDEX(الإعدادات!$D$7:$D$35,MATCH(C1763,الإعدادات!$A$7:$A$35,0))&amp;"",""))</f>
        <v/>
      </c>
      <c r="P1763" s="20">
        <f>IF(A1763="","",INDEX(الإعدادات!$H$7:$H$18,MONTH(A1763)))</f>
        <v/>
      </c>
      <c r="Q1763" s="20">
        <f>IF(A1763="","",INDEX(الإعدادات!$I$7:$I$18,MONTH(A1763)))</f>
        <v/>
      </c>
      <c r="R1763" s="20">
        <f>IF(A1763="","",IF(MONTH(A1763)&gt;=8,YEAR(A1763)&amp;"-"&amp;(YEAR(A1763)+1),(YEAR(A1763)-1)&amp;"-"&amp;YEAR(A1763)))</f>
        <v/>
      </c>
      <c r="S1763" s="20">
        <f>IF(OR(A1763="",B1763=""),0,IF(AND(R1763=التقارير!$C$4,OR(التقارير!$C$5="سنوي",AND(التقارير!$C$5="شهري",P1763=التقارير!$C$6),AND(التقارير!$C$5="فصلي",Q1763=التقارير!$C$7))),1,0))</f>
        <v/>
      </c>
      <c r="T1763" s="20">
        <f>IF(S1763=1,COUNTIF($S$5:S1763,1),"")</f>
        <v/>
      </c>
      <c r="U1763">
        <f>IF(AND($A1763&lt;&gt;"",$B1763&lt;&gt;"",$R1763='تقرير الفصل الأول'!$C$4,$Q1763='تقرير الفصل الأول'!$C$7),COUNT(U$4:U1762)+1,"")</f>
        <v/>
      </c>
      <c r="V1763">
        <f>IF(AND($A1763&lt;&gt;"",$B1763&lt;&gt;"",$R1763='تقرير الفصل الثاني'!$C$4,$Q1763='تقرير الفصل الثاني'!$C$7),COUNT(V$4:V1762)+1,"")</f>
        <v/>
      </c>
      <c r="W1763">
        <f>IF(AND($A1763&lt;&gt;"",$B1763&lt;&gt;"",$R1763='تقرير سبتمبر'!$C$4,$P1763='تقرير سبتمبر'!$C$6),COUNT(W$4:W1762)+1,"")</f>
        <v/>
      </c>
      <c r="X1763">
        <f>IF(AND($A1763&lt;&gt;"",$B1763&lt;&gt;"",$R1763='تقرير أكتوبر'!$C$4,$P1763='تقرير أكتوبر'!$C$6),COUNT(X$4:X1762)+1,"")</f>
        <v/>
      </c>
      <c r="Y1763">
        <f>IF(AND($A1763&lt;&gt;"",$B1763&lt;&gt;"",$R1763='تقرير نوفمبر'!$C$4,$P1763='تقرير نوفمبر'!$C$6),COUNT(Y$4:Y1762)+1,"")</f>
        <v/>
      </c>
      <c r="Z1763">
        <f>IF(AND($A1763&lt;&gt;"",$B1763&lt;&gt;"",$R1763='تقرير ديسمبر'!$C$4,$P1763='تقرير ديسمبر'!$C$6),COUNT(Z$4:Z1762)+1,"")</f>
        <v/>
      </c>
      <c r="AA1763">
        <f>IF(AND($A1763&lt;&gt;"",$B1763&lt;&gt;"",$R1763='تقرير يناير'!$C$4,$P1763='تقرير يناير'!$C$6),COUNT(AA$4:AA1762)+1,"")</f>
        <v/>
      </c>
      <c r="AB1763">
        <f>IF(AND($A1763&lt;&gt;"",$B1763&lt;&gt;"",$R1763='تقرير فبراير'!$C$4,$P1763='تقرير فبراير'!$C$6),COUNT(AB$4:AB1762)+1,"")</f>
        <v/>
      </c>
      <c r="AC1763">
        <f>IF(AND($A1763&lt;&gt;"",$B1763&lt;&gt;"",$R1763='تقرير مارس'!$C$4,$P1763='تقرير مارس'!$C$6),COUNT(AC$4:AC1762)+1,"")</f>
        <v/>
      </c>
      <c r="AD1763">
        <f>IF(AND($A1763&lt;&gt;"",$B1763&lt;&gt;"",$R1763='تقرير أبريل'!$C$4,$P1763='تقرير أبريل'!$C$6),COUNT(AD$4:AD1762)+1,"")</f>
        <v/>
      </c>
      <c r="AE1763">
        <f>IF(AND($A1763&lt;&gt;"",$B1763&lt;&gt;"",$R1763='تقرير مايو'!$C$4,$P1763='تقرير مايو'!$C$6),COUNT(AE$4:AE1762)+1,"")</f>
        <v/>
      </c>
    </row>
    <row r="1764">
      <c r="A1764" s="16" t="n"/>
      <c r="B1764" s="17" t="n"/>
      <c r="C1764" s="17" t="n"/>
      <c r="D1764" s="18" t="n"/>
      <c r="E1764" s="17" t="n"/>
      <c r="F1764" s="17" t="n"/>
      <c r="G1764" s="19" t="n"/>
      <c r="H1764" s="17" t="n"/>
      <c r="I1764" s="17" t="n"/>
      <c r="J1764" s="17" t="n"/>
      <c r="K1764" s="20">
        <f>IF($B1764="","",IFERROR(INDEX(الموظفات!$A$5:$A$304,MATCH($B1764,الموظفات!$B$5:$B$304,0))&amp;"",""))</f>
        <v/>
      </c>
      <c r="L1764" s="21">
        <f>IF($B1764="","",IFERROR(INDEX(الموظفات!$C$5:$C$304,MATCH($B1764,الموظفات!$B$5:$B$304,0))&amp;"",""))</f>
        <v/>
      </c>
      <c r="M1764" s="20">
        <f>IF($B1764="","",IFERROR(INDEX(الموظفات!$D$5:$D$304,MATCH($B1764,الموظفات!$B$5:$B$304,0))&amp;"",""))</f>
        <v/>
      </c>
      <c r="N1764" s="20">
        <f>IF($B1764="","",IFERROR(INDEX(الموظفات!$E$5:$E$304,MATCH($B1764,الموظفات!$B$5:$B$304,0))&amp;"",""))</f>
        <v/>
      </c>
      <c r="O1764" s="21">
        <f>IF(C1764="","",IFERROR(INDEX(الإعدادات!$D$7:$D$35,MATCH(C1764,الإعدادات!$A$7:$A$35,0))&amp;"",""))</f>
        <v/>
      </c>
      <c r="P1764" s="20">
        <f>IF(A1764="","",INDEX(الإعدادات!$H$7:$H$18,MONTH(A1764)))</f>
        <v/>
      </c>
      <c r="Q1764" s="20">
        <f>IF(A1764="","",INDEX(الإعدادات!$I$7:$I$18,MONTH(A1764)))</f>
        <v/>
      </c>
      <c r="R1764" s="20">
        <f>IF(A1764="","",IF(MONTH(A1764)&gt;=8,YEAR(A1764)&amp;"-"&amp;(YEAR(A1764)+1),(YEAR(A1764)-1)&amp;"-"&amp;YEAR(A1764)))</f>
        <v/>
      </c>
      <c r="S1764" s="20">
        <f>IF(OR(A1764="",B1764=""),0,IF(AND(R1764=التقارير!$C$4,OR(التقارير!$C$5="سنوي",AND(التقارير!$C$5="شهري",P1764=التقارير!$C$6),AND(التقارير!$C$5="فصلي",Q1764=التقارير!$C$7))),1,0))</f>
        <v/>
      </c>
      <c r="T1764" s="20">
        <f>IF(S1764=1,COUNTIF($S$5:S1764,1),"")</f>
        <v/>
      </c>
      <c r="U1764">
        <f>IF(AND($A1764&lt;&gt;"",$B1764&lt;&gt;"",$R1764='تقرير الفصل الأول'!$C$4,$Q1764='تقرير الفصل الأول'!$C$7),COUNT(U$4:U1763)+1,"")</f>
        <v/>
      </c>
      <c r="V1764">
        <f>IF(AND($A1764&lt;&gt;"",$B1764&lt;&gt;"",$R1764='تقرير الفصل الثاني'!$C$4,$Q1764='تقرير الفصل الثاني'!$C$7),COUNT(V$4:V1763)+1,"")</f>
        <v/>
      </c>
      <c r="W1764">
        <f>IF(AND($A1764&lt;&gt;"",$B1764&lt;&gt;"",$R1764='تقرير سبتمبر'!$C$4,$P1764='تقرير سبتمبر'!$C$6),COUNT(W$4:W1763)+1,"")</f>
        <v/>
      </c>
      <c r="X1764">
        <f>IF(AND($A1764&lt;&gt;"",$B1764&lt;&gt;"",$R1764='تقرير أكتوبر'!$C$4,$P1764='تقرير أكتوبر'!$C$6),COUNT(X$4:X1763)+1,"")</f>
        <v/>
      </c>
      <c r="Y1764">
        <f>IF(AND($A1764&lt;&gt;"",$B1764&lt;&gt;"",$R1764='تقرير نوفمبر'!$C$4,$P1764='تقرير نوفمبر'!$C$6),COUNT(Y$4:Y1763)+1,"")</f>
        <v/>
      </c>
      <c r="Z1764">
        <f>IF(AND($A1764&lt;&gt;"",$B1764&lt;&gt;"",$R1764='تقرير ديسمبر'!$C$4,$P1764='تقرير ديسمبر'!$C$6),COUNT(Z$4:Z1763)+1,"")</f>
        <v/>
      </c>
      <c r="AA1764">
        <f>IF(AND($A1764&lt;&gt;"",$B1764&lt;&gt;"",$R1764='تقرير يناير'!$C$4,$P1764='تقرير يناير'!$C$6),COUNT(AA$4:AA1763)+1,"")</f>
        <v/>
      </c>
      <c r="AB1764">
        <f>IF(AND($A1764&lt;&gt;"",$B1764&lt;&gt;"",$R1764='تقرير فبراير'!$C$4,$P1764='تقرير فبراير'!$C$6),COUNT(AB$4:AB1763)+1,"")</f>
        <v/>
      </c>
      <c r="AC1764">
        <f>IF(AND($A1764&lt;&gt;"",$B1764&lt;&gt;"",$R1764='تقرير مارس'!$C$4,$P1764='تقرير مارس'!$C$6),COUNT(AC$4:AC1763)+1,"")</f>
        <v/>
      </c>
      <c r="AD1764">
        <f>IF(AND($A1764&lt;&gt;"",$B1764&lt;&gt;"",$R1764='تقرير أبريل'!$C$4,$P1764='تقرير أبريل'!$C$6),COUNT(AD$4:AD1763)+1,"")</f>
        <v/>
      </c>
      <c r="AE1764">
        <f>IF(AND($A1764&lt;&gt;"",$B1764&lt;&gt;"",$R1764='تقرير مايو'!$C$4,$P1764='تقرير مايو'!$C$6),COUNT(AE$4:AE1763)+1,"")</f>
        <v/>
      </c>
    </row>
    <row r="1765">
      <c r="A1765" s="16" t="n"/>
      <c r="B1765" s="17" t="n"/>
      <c r="C1765" s="17" t="n"/>
      <c r="D1765" s="18" t="n"/>
      <c r="E1765" s="17" t="n"/>
      <c r="F1765" s="17" t="n"/>
      <c r="G1765" s="19" t="n"/>
      <c r="H1765" s="17" t="n"/>
      <c r="I1765" s="17" t="n"/>
      <c r="J1765" s="17" t="n"/>
      <c r="K1765" s="20">
        <f>IF($B1765="","",IFERROR(INDEX(الموظفات!$A$5:$A$304,MATCH($B1765,الموظفات!$B$5:$B$304,0))&amp;"",""))</f>
        <v/>
      </c>
      <c r="L1765" s="21">
        <f>IF($B1765="","",IFERROR(INDEX(الموظفات!$C$5:$C$304,MATCH($B1765,الموظفات!$B$5:$B$304,0))&amp;"",""))</f>
        <v/>
      </c>
      <c r="M1765" s="20">
        <f>IF($B1765="","",IFERROR(INDEX(الموظفات!$D$5:$D$304,MATCH($B1765,الموظفات!$B$5:$B$304,0))&amp;"",""))</f>
        <v/>
      </c>
      <c r="N1765" s="20">
        <f>IF($B1765="","",IFERROR(INDEX(الموظفات!$E$5:$E$304,MATCH($B1765,الموظفات!$B$5:$B$304,0))&amp;"",""))</f>
        <v/>
      </c>
      <c r="O1765" s="21">
        <f>IF(C1765="","",IFERROR(INDEX(الإعدادات!$D$7:$D$35,MATCH(C1765,الإعدادات!$A$7:$A$35,0))&amp;"",""))</f>
        <v/>
      </c>
      <c r="P1765" s="20">
        <f>IF(A1765="","",INDEX(الإعدادات!$H$7:$H$18,MONTH(A1765)))</f>
        <v/>
      </c>
      <c r="Q1765" s="20">
        <f>IF(A1765="","",INDEX(الإعدادات!$I$7:$I$18,MONTH(A1765)))</f>
        <v/>
      </c>
      <c r="R1765" s="20">
        <f>IF(A1765="","",IF(MONTH(A1765)&gt;=8,YEAR(A1765)&amp;"-"&amp;(YEAR(A1765)+1),(YEAR(A1765)-1)&amp;"-"&amp;YEAR(A1765)))</f>
        <v/>
      </c>
      <c r="S1765" s="20">
        <f>IF(OR(A1765="",B1765=""),0,IF(AND(R1765=التقارير!$C$4,OR(التقارير!$C$5="سنوي",AND(التقارير!$C$5="شهري",P1765=التقارير!$C$6),AND(التقارير!$C$5="فصلي",Q1765=التقارير!$C$7))),1,0))</f>
        <v/>
      </c>
      <c r="T1765" s="20">
        <f>IF(S1765=1,COUNTIF($S$5:S1765,1),"")</f>
        <v/>
      </c>
      <c r="U1765">
        <f>IF(AND($A1765&lt;&gt;"",$B1765&lt;&gt;"",$R1765='تقرير الفصل الأول'!$C$4,$Q1765='تقرير الفصل الأول'!$C$7),COUNT(U$4:U1764)+1,"")</f>
        <v/>
      </c>
      <c r="V1765">
        <f>IF(AND($A1765&lt;&gt;"",$B1765&lt;&gt;"",$R1765='تقرير الفصل الثاني'!$C$4,$Q1765='تقرير الفصل الثاني'!$C$7),COUNT(V$4:V1764)+1,"")</f>
        <v/>
      </c>
      <c r="W1765">
        <f>IF(AND($A1765&lt;&gt;"",$B1765&lt;&gt;"",$R1765='تقرير سبتمبر'!$C$4,$P1765='تقرير سبتمبر'!$C$6),COUNT(W$4:W1764)+1,"")</f>
        <v/>
      </c>
      <c r="X1765">
        <f>IF(AND($A1765&lt;&gt;"",$B1765&lt;&gt;"",$R1765='تقرير أكتوبر'!$C$4,$P1765='تقرير أكتوبر'!$C$6),COUNT(X$4:X1764)+1,"")</f>
        <v/>
      </c>
      <c r="Y1765">
        <f>IF(AND($A1765&lt;&gt;"",$B1765&lt;&gt;"",$R1765='تقرير نوفمبر'!$C$4,$P1765='تقرير نوفمبر'!$C$6),COUNT(Y$4:Y1764)+1,"")</f>
        <v/>
      </c>
      <c r="Z1765">
        <f>IF(AND($A1765&lt;&gt;"",$B1765&lt;&gt;"",$R1765='تقرير ديسمبر'!$C$4,$P1765='تقرير ديسمبر'!$C$6),COUNT(Z$4:Z1764)+1,"")</f>
        <v/>
      </c>
      <c r="AA1765">
        <f>IF(AND($A1765&lt;&gt;"",$B1765&lt;&gt;"",$R1765='تقرير يناير'!$C$4,$P1765='تقرير يناير'!$C$6),COUNT(AA$4:AA1764)+1,"")</f>
        <v/>
      </c>
      <c r="AB1765">
        <f>IF(AND($A1765&lt;&gt;"",$B1765&lt;&gt;"",$R1765='تقرير فبراير'!$C$4,$P1765='تقرير فبراير'!$C$6),COUNT(AB$4:AB1764)+1,"")</f>
        <v/>
      </c>
      <c r="AC1765">
        <f>IF(AND($A1765&lt;&gt;"",$B1765&lt;&gt;"",$R1765='تقرير مارس'!$C$4,$P1765='تقرير مارس'!$C$6),COUNT(AC$4:AC1764)+1,"")</f>
        <v/>
      </c>
      <c r="AD1765">
        <f>IF(AND($A1765&lt;&gt;"",$B1765&lt;&gt;"",$R1765='تقرير أبريل'!$C$4,$P1765='تقرير أبريل'!$C$6),COUNT(AD$4:AD1764)+1,"")</f>
        <v/>
      </c>
      <c r="AE1765">
        <f>IF(AND($A1765&lt;&gt;"",$B1765&lt;&gt;"",$R1765='تقرير مايو'!$C$4,$P1765='تقرير مايو'!$C$6),COUNT(AE$4:AE1764)+1,"")</f>
        <v/>
      </c>
    </row>
    <row r="1766">
      <c r="A1766" s="16" t="n"/>
      <c r="B1766" s="17" t="n"/>
      <c r="C1766" s="17" t="n"/>
      <c r="D1766" s="18" t="n"/>
      <c r="E1766" s="17" t="n"/>
      <c r="F1766" s="17" t="n"/>
      <c r="G1766" s="19" t="n"/>
      <c r="H1766" s="17" t="n"/>
      <c r="I1766" s="17" t="n"/>
      <c r="J1766" s="17" t="n"/>
      <c r="K1766" s="20">
        <f>IF($B1766="","",IFERROR(INDEX(الموظفات!$A$5:$A$304,MATCH($B1766,الموظفات!$B$5:$B$304,0))&amp;"",""))</f>
        <v/>
      </c>
      <c r="L1766" s="21">
        <f>IF($B1766="","",IFERROR(INDEX(الموظفات!$C$5:$C$304,MATCH($B1766,الموظفات!$B$5:$B$304,0))&amp;"",""))</f>
        <v/>
      </c>
      <c r="M1766" s="20">
        <f>IF($B1766="","",IFERROR(INDEX(الموظفات!$D$5:$D$304,MATCH($B1766,الموظفات!$B$5:$B$304,0))&amp;"",""))</f>
        <v/>
      </c>
      <c r="N1766" s="20">
        <f>IF($B1766="","",IFERROR(INDEX(الموظفات!$E$5:$E$304,MATCH($B1766,الموظفات!$B$5:$B$304,0))&amp;"",""))</f>
        <v/>
      </c>
      <c r="O1766" s="21">
        <f>IF(C1766="","",IFERROR(INDEX(الإعدادات!$D$7:$D$35,MATCH(C1766,الإعدادات!$A$7:$A$35,0))&amp;"",""))</f>
        <v/>
      </c>
      <c r="P1766" s="20">
        <f>IF(A1766="","",INDEX(الإعدادات!$H$7:$H$18,MONTH(A1766)))</f>
        <v/>
      </c>
      <c r="Q1766" s="20">
        <f>IF(A1766="","",INDEX(الإعدادات!$I$7:$I$18,MONTH(A1766)))</f>
        <v/>
      </c>
      <c r="R1766" s="20">
        <f>IF(A1766="","",IF(MONTH(A1766)&gt;=8,YEAR(A1766)&amp;"-"&amp;(YEAR(A1766)+1),(YEAR(A1766)-1)&amp;"-"&amp;YEAR(A1766)))</f>
        <v/>
      </c>
      <c r="S1766" s="20">
        <f>IF(OR(A1766="",B1766=""),0,IF(AND(R1766=التقارير!$C$4,OR(التقارير!$C$5="سنوي",AND(التقارير!$C$5="شهري",P1766=التقارير!$C$6),AND(التقارير!$C$5="فصلي",Q1766=التقارير!$C$7))),1,0))</f>
        <v/>
      </c>
      <c r="T1766" s="20">
        <f>IF(S1766=1,COUNTIF($S$5:S1766,1),"")</f>
        <v/>
      </c>
      <c r="U1766">
        <f>IF(AND($A1766&lt;&gt;"",$B1766&lt;&gt;"",$R1766='تقرير الفصل الأول'!$C$4,$Q1766='تقرير الفصل الأول'!$C$7),COUNT(U$4:U1765)+1,"")</f>
        <v/>
      </c>
      <c r="V1766">
        <f>IF(AND($A1766&lt;&gt;"",$B1766&lt;&gt;"",$R1766='تقرير الفصل الثاني'!$C$4,$Q1766='تقرير الفصل الثاني'!$C$7),COUNT(V$4:V1765)+1,"")</f>
        <v/>
      </c>
      <c r="W1766">
        <f>IF(AND($A1766&lt;&gt;"",$B1766&lt;&gt;"",$R1766='تقرير سبتمبر'!$C$4,$P1766='تقرير سبتمبر'!$C$6),COUNT(W$4:W1765)+1,"")</f>
        <v/>
      </c>
      <c r="X1766">
        <f>IF(AND($A1766&lt;&gt;"",$B1766&lt;&gt;"",$R1766='تقرير أكتوبر'!$C$4,$P1766='تقرير أكتوبر'!$C$6),COUNT(X$4:X1765)+1,"")</f>
        <v/>
      </c>
      <c r="Y1766">
        <f>IF(AND($A1766&lt;&gt;"",$B1766&lt;&gt;"",$R1766='تقرير نوفمبر'!$C$4,$P1766='تقرير نوفمبر'!$C$6),COUNT(Y$4:Y1765)+1,"")</f>
        <v/>
      </c>
      <c r="Z1766">
        <f>IF(AND($A1766&lt;&gt;"",$B1766&lt;&gt;"",$R1766='تقرير ديسمبر'!$C$4,$P1766='تقرير ديسمبر'!$C$6),COUNT(Z$4:Z1765)+1,"")</f>
        <v/>
      </c>
      <c r="AA1766">
        <f>IF(AND($A1766&lt;&gt;"",$B1766&lt;&gt;"",$R1766='تقرير يناير'!$C$4,$P1766='تقرير يناير'!$C$6),COUNT(AA$4:AA1765)+1,"")</f>
        <v/>
      </c>
      <c r="AB1766">
        <f>IF(AND($A1766&lt;&gt;"",$B1766&lt;&gt;"",$R1766='تقرير فبراير'!$C$4,$P1766='تقرير فبراير'!$C$6),COUNT(AB$4:AB1765)+1,"")</f>
        <v/>
      </c>
      <c r="AC1766">
        <f>IF(AND($A1766&lt;&gt;"",$B1766&lt;&gt;"",$R1766='تقرير مارس'!$C$4,$P1766='تقرير مارس'!$C$6),COUNT(AC$4:AC1765)+1,"")</f>
        <v/>
      </c>
      <c r="AD1766">
        <f>IF(AND($A1766&lt;&gt;"",$B1766&lt;&gt;"",$R1766='تقرير أبريل'!$C$4,$P1766='تقرير أبريل'!$C$6),COUNT(AD$4:AD1765)+1,"")</f>
        <v/>
      </c>
      <c r="AE1766">
        <f>IF(AND($A1766&lt;&gt;"",$B1766&lt;&gt;"",$R1766='تقرير مايو'!$C$4,$P1766='تقرير مايو'!$C$6),COUNT(AE$4:AE1765)+1,"")</f>
        <v/>
      </c>
    </row>
    <row r="1767">
      <c r="A1767" s="16" t="n"/>
      <c r="B1767" s="17" t="n"/>
      <c r="C1767" s="17" t="n"/>
      <c r="D1767" s="18" t="n"/>
      <c r="E1767" s="17" t="n"/>
      <c r="F1767" s="17" t="n"/>
      <c r="G1767" s="19" t="n"/>
      <c r="H1767" s="17" t="n"/>
      <c r="I1767" s="17" t="n"/>
      <c r="J1767" s="17" t="n"/>
      <c r="K1767" s="20">
        <f>IF($B1767="","",IFERROR(INDEX(الموظفات!$A$5:$A$304,MATCH($B1767,الموظفات!$B$5:$B$304,0))&amp;"",""))</f>
        <v/>
      </c>
      <c r="L1767" s="21">
        <f>IF($B1767="","",IFERROR(INDEX(الموظفات!$C$5:$C$304,MATCH($B1767,الموظفات!$B$5:$B$304,0))&amp;"",""))</f>
        <v/>
      </c>
      <c r="M1767" s="20">
        <f>IF($B1767="","",IFERROR(INDEX(الموظفات!$D$5:$D$304,MATCH($B1767,الموظفات!$B$5:$B$304,0))&amp;"",""))</f>
        <v/>
      </c>
      <c r="N1767" s="20">
        <f>IF($B1767="","",IFERROR(INDEX(الموظفات!$E$5:$E$304,MATCH($B1767,الموظفات!$B$5:$B$304,0))&amp;"",""))</f>
        <v/>
      </c>
      <c r="O1767" s="21">
        <f>IF(C1767="","",IFERROR(INDEX(الإعدادات!$D$7:$D$35,MATCH(C1767,الإعدادات!$A$7:$A$35,0))&amp;"",""))</f>
        <v/>
      </c>
      <c r="P1767" s="20">
        <f>IF(A1767="","",INDEX(الإعدادات!$H$7:$H$18,MONTH(A1767)))</f>
        <v/>
      </c>
      <c r="Q1767" s="20">
        <f>IF(A1767="","",INDEX(الإعدادات!$I$7:$I$18,MONTH(A1767)))</f>
        <v/>
      </c>
      <c r="R1767" s="20">
        <f>IF(A1767="","",IF(MONTH(A1767)&gt;=8,YEAR(A1767)&amp;"-"&amp;(YEAR(A1767)+1),(YEAR(A1767)-1)&amp;"-"&amp;YEAR(A1767)))</f>
        <v/>
      </c>
      <c r="S1767" s="20">
        <f>IF(OR(A1767="",B1767=""),0,IF(AND(R1767=التقارير!$C$4,OR(التقارير!$C$5="سنوي",AND(التقارير!$C$5="شهري",P1767=التقارير!$C$6),AND(التقارير!$C$5="فصلي",Q1767=التقارير!$C$7))),1,0))</f>
        <v/>
      </c>
      <c r="T1767" s="20">
        <f>IF(S1767=1,COUNTIF($S$5:S1767,1),"")</f>
        <v/>
      </c>
      <c r="U1767">
        <f>IF(AND($A1767&lt;&gt;"",$B1767&lt;&gt;"",$R1767='تقرير الفصل الأول'!$C$4,$Q1767='تقرير الفصل الأول'!$C$7),COUNT(U$4:U1766)+1,"")</f>
        <v/>
      </c>
      <c r="V1767">
        <f>IF(AND($A1767&lt;&gt;"",$B1767&lt;&gt;"",$R1767='تقرير الفصل الثاني'!$C$4,$Q1767='تقرير الفصل الثاني'!$C$7),COUNT(V$4:V1766)+1,"")</f>
        <v/>
      </c>
      <c r="W1767">
        <f>IF(AND($A1767&lt;&gt;"",$B1767&lt;&gt;"",$R1767='تقرير سبتمبر'!$C$4,$P1767='تقرير سبتمبر'!$C$6),COUNT(W$4:W1766)+1,"")</f>
        <v/>
      </c>
      <c r="X1767">
        <f>IF(AND($A1767&lt;&gt;"",$B1767&lt;&gt;"",$R1767='تقرير أكتوبر'!$C$4,$P1767='تقرير أكتوبر'!$C$6),COUNT(X$4:X1766)+1,"")</f>
        <v/>
      </c>
      <c r="Y1767">
        <f>IF(AND($A1767&lt;&gt;"",$B1767&lt;&gt;"",$R1767='تقرير نوفمبر'!$C$4,$P1767='تقرير نوفمبر'!$C$6),COUNT(Y$4:Y1766)+1,"")</f>
        <v/>
      </c>
      <c r="Z1767">
        <f>IF(AND($A1767&lt;&gt;"",$B1767&lt;&gt;"",$R1767='تقرير ديسمبر'!$C$4,$P1767='تقرير ديسمبر'!$C$6),COUNT(Z$4:Z1766)+1,"")</f>
        <v/>
      </c>
      <c r="AA1767">
        <f>IF(AND($A1767&lt;&gt;"",$B1767&lt;&gt;"",$R1767='تقرير يناير'!$C$4,$P1767='تقرير يناير'!$C$6),COUNT(AA$4:AA1766)+1,"")</f>
        <v/>
      </c>
      <c r="AB1767">
        <f>IF(AND($A1767&lt;&gt;"",$B1767&lt;&gt;"",$R1767='تقرير فبراير'!$C$4,$P1767='تقرير فبراير'!$C$6),COUNT(AB$4:AB1766)+1,"")</f>
        <v/>
      </c>
      <c r="AC1767">
        <f>IF(AND($A1767&lt;&gt;"",$B1767&lt;&gt;"",$R1767='تقرير مارس'!$C$4,$P1767='تقرير مارس'!$C$6),COUNT(AC$4:AC1766)+1,"")</f>
        <v/>
      </c>
      <c r="AD1767">
        <f>IF(AND($A1767&lt;&gt;"",$B1767&lt;&gt;"",$R1767='تقرير أبريل'!$C$4,$P1767='تقرير أبريل'!$C$6),COUNT(AD$4:AD1766)+1,"")</f>
        <v/>
      </c>
      <c r="AE1767">
        <f>IF(AND($A1767&lt;&gt;"",$B1767&lt;&gt;"",$R1767='تقرير مايو'!$C$4,$P1767='تقرير مايو'!$C$6),COUNT(AE$4:AE1766)+1,"")</f>
        <v/>
      </c>
    </row>
    <row r="1768">
      <c r="A1768" s="16" t="n"/>
      <c r="B1768" s="17" t="n"/>
      <c r="C1768" s="17" t="n"/>
      <c r="D1768" s="18" t="n"/>
      <c r="E1768" s="17" t="n"/>
      <c r="F1768" s="17" t="n"/>
      <c r="G1768" s="19" t="n"/>
      <c r="H1768" s="17" t="n"/>
      <c r="I1768" s="17" t="n"/>
      <c r="J1768" s="17" t="n"/>
      <c r="K1768" s="20">
        <f>IF($B1768="","",IFERROR(INDEX(الموظفات!$A$5:$A$304,MATCH($B1768,الموظفات!$B$5:$B$304,0))&amp;"",""))</f>
        <v/>
      </c>
      <c r="L1768" s="21">
        <f>IF($B1768="","",IFERROR(INDEX(الموظفات!$C$5:$C$304,MATCH($B1768,الموظفات!$B$5:$B$304,0))&amp;"",""))</f>
        <v/>
      </c>
      <c r="M1768" s="20">
        <f>IF($B1768="","",IFERROR(INDEX(الموظفات!$D$5:$D$304,MATCH($B1768,الموظفات!$B$5:$B$304,0))&amp;"",""))</f>
        <v/>
      </c>
      <c r="N1768" s="20">
        <f>IF($B1768="","",IFERROR(INDEX(الموظفات!$E$5:$E$304,MATCH($B1768,الموظفات!$B$5:$B$304,0))&amp;"",""))</f>
        <v/>
      </c>
      <c r="O1768" s="21">
        <f>IF(C1768="","",IFERROR(INDEX(الإعدادات!$D$7:$D$35,MATCH(C1768,الإعدادات!$A$7:$A$35,0))&amp;"",""))</f>
        <v/>
      </c>
      <c r="P1768" s="20">
        <f>IF(A1768="","",INDEX(الإعدادات!$H$7:$H$18,MONTH(A1768)))</f>
        <v/>
      </c>
      <c r="Q1768" s="20">
        <f>IF(A1768="","",INDEX(الإعدادات!$I$7:$I$18,MONTH(A1768)))</f>
        <v/>
      </c>
      <c r="R1768" s="20">
        <f>IF(A1768="","",IF(MONTH(A1768)&gt;=8,YEAR(A1768)&amp;"-"&amp;(YEAR(A1768)+1),(YEAR(A1768)-1)&amp;"-"&amp;YEAR(A1768)))</f>
        <v/>
      </c>
      <c r="S1768" s="20">
        <f>IF(OR(A1768="",B1768=""),0,IF(AND(R1768=التقارير!$C$4,OR(التقارير!$C$5="سنوي",AND(التقارير!$C$5="شهري",P1768=التقارير!$C$6),AND(التقارير!$C$5="فصلي",Q1768=التقارير!$C$7))),1,0))</f>
        <v/>
      </c>
      <c r="T1768" s="20">
        <f>IF(S1768=1,COUNTIF($S$5:S1768,1),"")</f>
        <v/>
      </c>
      <c r="U1768">
        <f>IF(AND($A1768&lt;&gt;"",$B1768&lt;&gt;"",$R1768='تقرير الفصل الأول'!$C$4,$Q1768='تقرير الفصل الأول'!$C$7),COUNT(U$4:U1767)+1,"")</f>
        <v/>
      </c>
      <c r="V1768">
        <f>IF(AND($A1768&lt;&gt;"",$B1768&lt;&gt;"",$R1768='تقرير الفصل الثاني'!$C$4,$Q1768='تقرير الفصل الثاني'!$C$7),COUNT(V$4:V1767)+1,"")</f>
        <v/>
      </c>
      <c r="W1768">
        <f>IF(AND($A1768&lt;&gt;"",$B1768&lt;&gt;"",$R1768='تقرير سبتمبر'!$C$4,$P1768='تقرير سبتمبر'!$C$6),COUNT(W$4:W1767)+1,"")</f>
        <v/>
      </c>
      <c r="X1768">
        <f>IF(AND($A1768&lt;&gt;"",$B1768&lt;&gt;"",$R1768='تقرير أكتوبر'!$C$4,$P1768='تقرير أكتوبر'!$C$6),COUNT(X$4:X1767)+1,"")</f>
        <v/>
      </c>
      <c r="Y1768">
        <f>IF(AND($A1768&lt;&gt;"",$B1768&lt;&gt;"",$R1768='تقرير نوفمبر'!$C$4,$P1768='تقرير نوفمبر'!$C$6),COUNT(Y$4:Y1767)+1,"")</f>
        <v/>
      </c>
      <c r="Z1768">
        <f>IF(AND($A1768&lt;&gt;"",$B1768&lt;&gt;"",$R1768='تقرير ديسمبر'!$C$4,$P1768='تقرير ديسمبر'!$C$6),COUNT(Z$4:Z1767)+1,"")</f>
        <v/>
      </c>
      <c r="AA1768">
        <f>IF(AND($A1768&lt;&gt;"",$B1768&lt;&gt;"",$R1768='تقرير يناير'!$C$4,$P1768='تقرير يناير'!$C$6),COUNT(AA$4:AA1767)+1,"")</f>
        <v/>
      </c>
      <c r="AB1768">
        <f>IF(AND($A1768&lt;&gt;"",$B1768&lt;&gt;"",$R1768='تقرير فبراير'!$C$4,$P1768='تقرير فبراير'!$C$6),COUNT(AB$4:AB1767)+1,"")</f>
        <v/>
      </c>
      <c r="AC1768">
        <f>IF(AND($A1768&lt;&gt;"",$B1768&lt;&gt;"",$R1768='تقرير مارس'!$C$4,$P1768='تقرير مارس'!$C$6),COUNT(AC$4:AC1767)+1,"")</f>
        <v/>
      </c>
      <c r="AD1768">
        <f>IF(AND($A1768&lt;&gt;"",$B1768&lt;&gt;"",$R1768='تقرير أبريل'!$C$4,$P1768='تقرير أبريل'!$C$6),COUNT(AD$4:AD1767)+1,"")</f>
        <v/>
      </c>
      <c r="AE1768">
        <f>IF(AND($A1768&lt;&gt;"",$B1768&lt;&gt;"",$R1768='تقرير مايو'!$C$4,$P1768='تقرير مايو'!$C$6),COUNT(AE$4:AE1767)+1,"")</f>
        <v/>
      </c>
    </row>
    <row r="1769">
      <c r="A1769" s="16" t="n"/>
      <c r="B1769" s="17" t="n"/>
      <c r="C1769" s="17" t="n"/>
      <c r="D1769" s="18" t="n"/>
      <c r="E1769" s="17" t="n"/>
      <c r="F1769" s="17" t="n"/>
      <c r="G1769" s="19" t="n"/>
      <c r="H1769" s="17" t="n"/>
      <c r="I1769" s="17" t="n"/>
      <c r="J1769" s="17" t="n"/>
      <c r="K1769" s="20">
        <f>IF($B1769="","",IFERROR(INDEX(الموظفات!$A$5:$A$304,MATCH($B1769,الموظفات!$B$5:$B$304,0))&amp;"",""))</f>
        <v/>
      </c>
      <c r="L1769" s="21">
        <f>IF($B1769="","",IFERROR(INDEX(الموظفات!$C$5:$C$304,MATCH($B1769,الموظفات!$B$5:$B$304,0))&amp;"",""))</f>
        <v/>
      </c>
      <c r="M1769" s="20">
        <f>IF($B1769="","",IFERROR(INDEX(الموظفات!$D$5:$D$304,MATCH($B1769,الموظفات!$B$5:$B$304,0))&amp;"",""))</f>
        <v/>
      </c>
      <c r="N1769" s="20">
        <f>IF($B1769="","",IFERROR(INDEX(الموظفات!$E$5:$E$304,MATCH($B1769,الموظفات!$B$5:$B$304,0))&amp;"",""))</f>
        <v/>
      </c>
      <c r="O1769" s="21">
        <f>IF(C1769="","",IFERROR(INDEX(الإعدادات!$D$7:$D$35,MATCH(C1769,الإعدادات!$A$7:$A$35,0))&amp;"",""))</f>
        <v/>
      </c>
      <c r="P1769" s="20">
        <f>IF(A1769="","",INDEX(الإعدادات!$H$7:$H$18,MONTH(A1769)))</f>
        <v/>
      </c>
      <c r="Q1769" s="20">
        <f>IF(A1769="","",INDEX(الإعدادات!$I$7:$I$18,MONTH(A1769)))</f>
        <v/>
      </c>
      <c r="R1769" s="20">
        <f>IF(A1769="","",IF(MONTH(A1769)&gt;=8,YEAR(A1769)&amp;"-"&amp;(YEAR(A1769)+1),(YEAR(A1769)-1)&amp;"-"&amp;YEAR(A1769)))</f>
        <v/>
      </c>
      <c r="S1769" s="20">
        <f>IF(OR(A1769="",B1769=""),0,IF(AND(R1769=التقارير!$C$4,OR(التقارير!$C$5="سنوي",AND(التقارير!$C$5="شهري",P1769=التقارير!$C$6),AND(التقارير!$C$5="فصلي",Q1769=التقارير!$C$7))),1,0))</f>
        <v/>
      </c>
      <c r="T1769" s="20">
        <f>IF(S1769=1,COUNTIF($S$5:S1769,1),"")</f>
        <v/>
      </c>
      <c r="U1769">
        <f>IF(AND($A1769&lt;&gt;"",$B1769&lt;&gt;"",$R1769='تقرير الفصل الأول'!$C$4,$Q1769='تقرير الفصل الأول'!$C$7),COUNT(U$4:U1768)+1,"")</f>
        <v/>
      </c>
      <c r="V1769">
        <f>IF(AND($A1769&lt;&gt;"",$B1769&lt;&gt;"",$R1769='تقرير الفصل الثاني'!$C$4,$Q1769='تقرير الفصل الثاني'!$C$7),COUNT(V$4:V1768)+1,"")</f>
        <v/>
      </c>
      <c r="W1769">
        <f>IF(AND($A1769&lt;&gt;"",$B1769&lt;&gt;"",$R1769='تقرير سبتمبر'!$C$4,$P1769='تقرير سبتمبر'!$C$6),COUNT(W$4:W1768)+1,"")</f>
        <v/>
      </c>
      <c r="X1769">
        <f>IF(AND($A1769&lt;&gt;"",$B1769&lt;&gt;"",$R1769='تقرير أكتوبر'!$C$4,$P1769='تقرير أكتوبر'!$C$6),COUNT(X$4:X1768)+1,"")</f>
        <v/>
      </c>
      <c r="Y1769">
        <f>IF(AND($A1769&lt;&gt;"",$B1769&lt;&gt;"",$R1769='تقرير نوفمبر'!$C$4,$P1769='تقرير نوفمبر'!$C$6),COUNT(Y$4:Y1768)+1,"")</f>
        <v/>
      </c>
      <c r="Z1769">
        <f>IF(AND($A1769&lt;&gt;"",$B1769&lt;&gt;"",$R1769='تقرير ديسمبر'!$C$4,$P1769='تقرير ديسمبر'!$C$6),COUNT(Z$4:Z1768)+1,"")</f>
        <v/>
      </c>
      <c r="AA1769">
        <f>IF(AND($A1769&lt;&gt;"",$B1769&lt;&gt;"",$R1769='تقرير يناير'!$C$4,$P1769='تقرير يناير'!$C$6),COUNT(AA$4:AA1768)+1,"")</f>
        <v/>
      </c>
      <c r="AB1769">
        <f>IF(AND($A1769&lt;&gt;"",$B1769&lt;&gt;"",$R1769='تقرير فبراير'!$C$4,$P1769='تقرير فبراير'!$C$6),COUNT(AB$4:AB1768)+1,"")</f>
        <v/>
      </c>
      <c r="AC1769">
        <f>IF(AND($A1769&lt;&gt;"",$B1769&lt;&gt;"",$R1769='تقرير مارس'!$C$4,$P1769='تقرير مارس'!$C$6),COUNT(AC$4:AC1768)+1,"")</f>
        <v/>
      </c>
      <c r="AD1769">
        <f>IF(AND($A1769&lt;&gt;"",$B1769&lt;&gt;"",$R1769='تقرير أبريل'!$C$4,$P1769='تقرير أبريل'!$C$6),COUNT(AD$4:AD1768)+1,"")</f>
        <v/>
      </c>
      <c r="AE1769">
        <f>IF(AND($A1769&lt;&gt;"",$B1769&lt;&gt;"",$R1769='تقرير مايو'!$C$4,$P1769='تقرير مايو'!$C$6),COUNT(AE$4:AE1768)+1,"")</f>
        <v/>
      </c>
    </row>
    <row r="1770">
      <c r="A1770" s="16" t="n"/>
      <c r="B1770" s="17" t="n"/>
      <c r="C1770" s="17" t="n"/>
      <c r="D1770" s="18" t="n"/>
      <c r="E1770" s="17" t="n"/>
      <c r="F1770" s="17" t="n"/>
      <c r="G1770" s="19" t="n"/>
      <c r="H1770" s="17" t="n"/>
      <c r="I1770" s="17" t="n"/>
      <c r="J1770" s="17" t="n"/>
      <c r="K1770" s="20">
        <f>IF($B1770="","",IFERROR(INDEX(الموظفات!$A$5:$A$304,MATCH($B1770,الموظفات!$B$5:$B$304,0))&amp;"",""))</f>
        <v/>
      </c>
      <c r="L1770" s="21">
        <f>IF($B1770="","",IFERROR(INDEX(الموظفات!$C$5:$C$304,MATCH($B1770,الموظفات!$B$5:$B$304,0))&amp;"",""))</f>
        <v/>
      </c>
      <c r="M1770" s="20">
        <f>IF($B1770="","",IFERROR(INDEX(الموظفات!$D$5:$D$304,MATCH($B1770,الموظفات!$B$5:$B$304,0))&amp;"",""))</f>
        <v/>
      </c>
      <c r="N1770" s="20">
        <f>IF($B1770="","",IFERROR(INDEX(الموظفات!$E$5:$E$304,MATCH($B1770,الموظفات!$B$5:$B$304,0))&amp;"",""))</f>
        <v/>
      </c>
      <c r="O1770" s="21">
        <f>IF(C1770="","",IFERROR(INDEX(الإعدادات!$D$7:$D$35,MATCH(C1770,الإعدادات!$A$7:$A$35,0))&amp;"",""))</f>
        <v/>
      </c>
      <c r="P1770" s="20">
        <f>IF(A1770="","",INDEX(الإعدادات!$H$7:$H$18,MONTH(A1770)))</f>
        <v/>
      </c>
      <c r="Q1770" s="20">
        <f>IF(A1770="","",INDEX(الإعدادات!$I$7:$I$18,MONTH(A1770)))</f>
        <v/>
      </c>
      <c r="R1770" s="20">
        <f>IF(A1770="","",IF(MONTH(A1770)&gt;=8,YEAR(A1770)&amp;"-"&amp;(YEAR(A1770)+1),(YEAR(A1770)-1)&amp;"-"&amp;YEAR(A1770)))</f>
        <v/>
      </c>
      <c r="S1770" s="20">
        <f>IF(OR(A1770="",B1770=""),0,IF(AND(R1770=التقارير!$C$4,OR(التقارير!$C$5="سنوي",AND(التقارير!$C$5="شهري",P1770=التقارير!$C$6),AND(التقارير!$C$5="فصلي",Q1770=التقارير!$C$7))),1,0))</f>
        <v/>
      </c>
      <c r="T1770" s="20">
        <f>IF(S1770=1,COUNTIF($S$5:S1770,1),"")</f>
        <v/>
      </c>
      <c r="U1770">
        <f>IF(AND($A1770&lt;&gt;"",$B1770&lt;&gt;"",$R1770='تقرير الفصل الأول'!$C$4,$Q1770='تقرير الفصل الأول'!$C$7),COUNT(U$4:U1769)+1,"")</f>
        <v/>
      </c>
      <c r="V1770">
        <f>IF(AND($A1770&lt;&gt;"",$B1770&lt;&gt;"",$R1770='تقرير الفصل الثاني'!$C$4,$Q1770='تقرير الفصل الثاني'!$C$7),COUNT(V$4:V1769)+1,"")</f>
        <v/>
      </c>
      <c r="W1770">
        <f>IF(AND($A1770&lt;&gt;"",$B1770&lt;&gt;"",$R1770='تقرير سبتمبر'!$C$4,$P1770='تقرير سبتمبر'!$C$6),COUNT(W$4:W1769)+1,"")</f>
        <v/>
      </c>
      <c r="X1770">
        <f>IF(AND($A1770&lt;&gt;"",$B1770&lt;&gt;"",$R1770='تقرير أكتوبر'!$C$4,$P1770='تقرير أكتوبر'!$C$6),COUNT(X$4:X1769)+1,"")</f>
        <v/>
      </c>
      <c r="Y1770">
        <f>IF(AND($A1770&lt;&gt;"",$B1770&lt;&gt;"",$R1770='تقرير نوفمبر'!$C$4,$P1770='تقرير نوفمبر'!$C$6),COUNT(Y$4:Y1769)+1,"")</f>
        <v/>
      </c>
      <c r="Z1770">
        <f>IF(AND($A1770&lt;&gt;"",$B1770&lt;&gt;"",$R1770='تقرير ديسمبر'!$C$4,$P1770='تقرير ديسمبر'!$C$6),COUNT(Z$4:Z1769)+1,"")</f>
        <v/>
      </c>
      <c r="AA1770">
        <f>IF(AND($A1770&lt;&gt;"",$B1770&lt;&gt;"",$R1770='تقرير يناير'!$C$4,$P1770='تقرير يناير'!$C$6),COUNT(AA$4:AA1769)+1,"")</f>
        <v/>
      </c>
      <c r="AB1770">
        <f>IF(AND($A1770&lt;&gt;"",$B1770&lt;&gt;"",$R1770='تقرير فبراير'!$C$4,$P1770='تقرير فبراير'!$C$6),COUNT(AB$4:AB1769)+1,"")</f>
        <v/>
      </c>
      <c r="AC1770">
        <f>IF(AND($A1770&lt;&gt;"",$B1770&lt;&gt;"",$R1770='تقرير مارس'!$C$4,$P1770='تقرير مارس'!$C$6),COUNT(AC$4:AC1769)+1,"")</f>
        <v/>
      </c>
      <c r="AD1770">
        <f>IF(AND($A1770&lt;&gt;"",$B1770&lt;&gt;"",$R1770='تقرير أبريل'!$C$4,$P1770='تقرير أبريل'!$C$6),COUNT(AD$4:AD1769)+1,"")</f>
        <v/>
      </c>
      <c r="AE1770">
        <f>IF(AND($A1770&lt;&gt;"",$B1770&lt;&gt;"",$R1770='تقرير مايو'!$C$4,$P1770='تقرير مايو'!$C$6),COUNT(AE$4:AE1769)+1,"")</f>
        <v/>
      </c>
    </row>
    <row r="1771">
      <c r="A1771" s="16" t="n"/>
      <c r="B1771" s="17" t="n"/>
      <c r="C1771" s="17" t="n"/>
      <c r="D1771" s="18" t="n"/>
      <c r="E1771" s="17" t="n"/>
      <c r="F1771" s="17" t="n"/>
      <c r="G1771" s="19" t="n"/>
      <c r="H1771" s="17" t="n"/>
      <c r="I1771" s="17" t="n"/>
      <c r="J1771" s="17" t="n"/>
      <c r="K1771" s="20">
        <f>IF($B1771="","",IFERROR(INDEX(الموظفات!$A$5:$A$304,MATCH($B1771,الموظفات!$B$5:$B$304,0))&amp;"",""))</f>
        <v/>
      </c>
      <c r="L1771" s="21">
        <f>IF($B1771="","",IFERROR(INDEX(الموظفات!$C$5:$C$304,MATCH($B1771,الموظفات!$B$5:$B$304,0))&amp;"",""))</f>
        <v/>
      </c>
      <c r="M1771" s="20">
        <f>IF($B1771="","",IFERROR(INDEX(الموظفات!$D$5:$D$304,MATCH($B1771,الموظفات!$B$5:$B$304,0))&amp;"",""))</f>
        <v/>
      </c>
      <c r="N1771" s="20">
        <f>IF($B1771="","",IFERROR(INDEX(الموظفات!$E$5:$E$304,MATCH($B1771,الموظفات!$B$5:$B$304,0))&amp;"",""))</f>
        <v/>
      </c>
      <c r="O1771" s="21">
        <f>IF(C1771="","",IFERROR(INDEX(الإعدادات!$D$7:$D$35,MATCH(C1771,الإعدادات!$A$7:$A$35,0))&amp;"",""))</f>
        <v/>
      </c>
      <c r="P1771" s="20">
        <f>IF(A1771="","",INDEX(الإعدادات!$H$7:$H$18,MONTH(A1771)))</f>
        <v/>
      </c>
      <c r="Q1771" s="20">
        <f>IF(A1771="","",INDEX(الإعدادات!$I$7:$I$18,MONTH(A1771)))</f>
        <v/>
      </c>
      <c r="R1771" s="20">
        <f>IF(A1771="","",IF(MONTH(A1771)&gt;=8,YEAR(A1771)&amp;"-"&amp;(YEAR(A1771)+1),(YEAR(A1771)-1)&amp;"-"&amp;YEAR(A1771)))</f>
        <v/>
      </c>
      <c r="S1771" s="20">
        <f>IF(OR(A1771="",B1771=""),0,IF(AND(R1771=التقارير!$C$4,OR(التقارير!$C$5="سنوي",AND(التقارير!$C$5="شهري",P1771=التقارير!$C$6),AND(التقارير!$C$5="فصلي",Q1771=التقارير!$C$7))),1,0))</f>
        <v/>
      </c>
      <c r="T1771" s="20">
        <f>IF(S1771=1,COUNTIF($S$5:S1771,1),"")</f>
        <v/>
      </c>
      <c r="U1771">
        <f>IF(AND($A1771&lt;&gt;"",$B1771&lt;&gt;"",$R1771='تقرير الفصل الأول'!$C$4,$Q1771='تقرير الفصل الأول'!$C$7),COUNT(U$4:U1770)+1,"")</f>
        <v/>
      </c>
      <c r="V1771">
        <f>IF(AND($A1771&lt;&gt;"",$B1771&lt;&gt;"",$R1771='تقرير الفصل الثاني'!$C$4,$Q1771='تقرير الفصل الثاني'!$C$7),COUNT(V$4:V1770)+1,"")</f>
        <v/>
      </c>
      <c r="W1771">
        <f>IF(AND($A1771&lt;&gt;"",$B1771&lt;&gt;"",$R1771='تقرير سبتمبر'!$C$4,$P1771='تقرير سبتمبر'!$C$6),COUNT(W$4:W1770)+1,"")</f>
        <v/>
      </c>
      <c r="X1771">
        <f>IF(AND($A1771&lt;&gt;"",$B1771&lt;&gt;"",$R1771='تقرير أكتوبر'!$C$4,$P1771='تقرير أكتوبر'!$C$6),COUNT(X$4:X1770)+1,"")</f>
        <v/>
      </c>
      <c r="Y1771">
        <f>IF(AND($A1771&lt;&gt;"",$B1771&lt;&gt;"",$R1771='تقرير نوفمبر'!$C$4,$P1771='تقرير نوفمبر'!$C$6),COUNT(Y$4:Y1770)+1,"")</f>
        <v/>
      </c>
      <c r="Z1771">
        <f>IF(AND($A1771&lt;&gt;"",$B1771&lt;&gt;"",$R1771='تقرير ديسمبر'!$C$4,$P1771='تقرير ديسمبر'!$C$6),COUNT(Z$4:Z1770)+1,"")</f>
        <v/>
      </c>
      <c r="AA1771">
        <f>IF(AND($A1771&lt;&gt;"",$B1771&lt;&gt;"",$R1771='تقرير يناير'!$C$4,$P1771='تقرير يناير'!$C$6),COUNT(AA$4:AA1770)+1,"")</f>
        <v/>
      </c>
      <c r="AB1771">
        <f>IF(AND($A1771&lt;&gt;"",$B1771&lt;&gt;"",$R1771='تقرير فبراير'!$C$4,$P1771='تقرير فبراير'!$C$6),COUNT(AB$4:AB1770)+1,"")</f>
        <v/>
      </c>
      <c r="AC1771">
        <f>IF(AND($A1771&lt;&gt;"",$B1771&lt;&gt;"",$R1771='تقرير مارس'!$C$4,$P1771='تقرير مارس'!$C$6),COUNT(AC$4:AC1770)+1,"")</f>
        <v/>
      </c>
      <c r="AD1771">
        <f>IF(AND($A1771&lt;&gt;"",$B1771&lt;&gt;"",$R1771='تقرير أبريل'!$C$4,$P1771='تقرير أبريل'!$C$6),COUNT(AD$4:AD1770)+1,"")</f>
        <v/>
      </c>
      <c r="AE1771">
        <f>IF(AND($A1771&lt;&gt;"",$B1771&lt;&gt;"",$R1771='تقرير مايو'!$C$4,$P1771='تقرير مايو'!$C$6),COUNT(AE$4:AE1770)+1,"")</f>
        <v/>
      </c>
    </row>
    <row r="1772">
      <c r="A1772" s="16" t="n"/>
      <c r="B1772" s="17" t="n"/>
      <c r="C1772" s="17" t="n"/>
      <c r="D1772" s="18" t="n"/>
      <c r="E1772" s="17" t="n"/>
      <c r="F1772" s="17" t="n"/>
      <c r="G1772" s="19" t="n"/>
      <c r="H1772" s="17" t="n"/>
      <c r="I1772" s="17" t="n"/>
      <c r="J1772" s="17" t="n"/>
      <c r="K1772" s="20">
        <f>IF($B1772="","",IFERROR(INDEX(الموظفات!$A$5:$A$304,MATCH($B1772,الموظفات!$B$5:$B$304,0))&amp;"",""))</f>
        <v/>
      </c>
      <c r="L1772" s="21">
        <f>IF($B1772="","",IFERROR(INDEX(الموظفات!$C$5:$C$304,MATCH($B1772,الموظفات!$B$5:$B$304,0))&amp;"",""))</f>
        <v/>
      </c>
      <c r="M1772" s="20">
        <f>IF($B1772="","",IFERROR(INDEX(الموظفات!$D$5:$D$304,MATCH($B1772,الموظفات!$B$5:$B$304,0))&amp;"",""))</f>
        <v/>
      </c>
      <c r="N1772" s="20">
        <f>IF($B1772="","",IFERROR(INDEX(الموظفات!$E$5:$E$304,MATCH($B1772,الموظفات!$B$5:$B$304,0))&amp;"",""))</f>
        <v/>
      </c>
      <c r="O1772" s="21">
        <f>IF(C1772="","",IFERROR(INDEX(الإعدادات!$D$7:$D$35,MATCH(C1772,الإعدادات!$A$7:$A$35,0))&amp;"",""))</f>
        <v/>
      </c>
      <c r="P1772" s="20">
        <f>IF(A1772="","",INDEX(الإعدادات!$H$7:$H$18,MONTH(A1772)))</f>
        <v/>
      </c>
      <c r="Q1772" s="20">
        <f>IF(A1772="","",INDEX(الإعدادات!$I$7:$I$18,MONTH(A1772)))</f>
        <v/>
      </c>
      <c r="R1772" s="20">
        <f>IF(A1772="","",IF(MONTH(A1772)&gt;=8,YEAR(A1772)&amp;"-"&amp;(YEAR(A1772)+1),(YEAR(A1772)-1)&amp;"-"&amp;YEAR(A1772)))</f>
        <v/>
      </c>
      <c r="S1772" s="20">
        <f>IF(OR(A1772="",B1772=""),0,IF(AND(R1772=التقارير!$C$4,OR(التقارير!$C$5="سنوي",AND(التقارير!$C$5="شهري",P1772=التقارير!$C$6),AND(التقارير!$C$5="فصلي",Q1772=التقارير!$C$7))),1,0))</f>
        <v/>
      </c>
      <c r="T1772" s="20">
        <f>IF(S1772=1,COUNTIF($S$5:S1772,1),"")</f>
        <v/>
      </c>
      <c r="U1772">
        <f>IF(AND($A1772&lt;&gt;"",$B1772&lt;&gt;"",$R1772='تقرير الفصل الأول'!$C$4,$Q1772='تقرير الفصل الأول'!$C$7),COUNT(U$4:U1771)+1,"")</f>
        <v/>
      </c>
      <c r="V1772">
        <f>IF(AND($A1772&lt;&gt;"",$B1772&lt;&gt;"",$R1772='تقرير الفصل الثاني'!$C$4,$Q1772='تقرير الفصل الثاني'!$C$7),COUNT(V$4:V1771)+1,"")</f>
        <v/>
      </c>
      <c r="W1772">
        <f>IF(AND($A1772&lt;&gt;"",$B1772&lt;&gt;"",$R1772='تقرير سبتمبر'!$C$4,$P1772='تقرير سبتمبر'!$C$6),COUNT(W$4:W1771)+1,"")</f>
        <v/>
      </c>
      <c r="X1772">
        <f>IF(AND($A1772&lt;&gt;"",$B1772&lt;&gt;"",$R1772='تقرير أكتوبر'!$C$4,$P1772='تقرير أكتوبر'!$C$6),COUNT(X$4:X1771)+1,"")</f>
        <v/>
      </c>
      <c r="Y1772">
        <f>IF(AND($A1772&lt;&gt;"",$B1772&lt;&gt;"",$R1772='تقرير نوفمبر'!$C$4,$P1772='تقرير نوفمبر'!$C$6),COUNT(Y$4:Y1771)+1,"")</f>
        <v/>
      </c>
      <c r="Z1772">
        <f>IF(AND($A1772&lt;&gt;"",$B1772&lt;&gt;"",$R1772='تقرير ديسمبر'!$C$4,$P1772='تقرير ديسمبر'!$C$6),COUNT(Z$4:Z1771)+1,"")</f>
        <v/>
      </c>
      <c r="AA1772">
        <f>IF(AND($A1772&lt;&gt;"",$B1772&lt;&gt;"",$R1772='تقرير يناير'!$C$4,$P1772='تقرير يناير'!$C$6),COUNT(AA$4:AA1771)+1,"")</f>
        <v/>
      </c>
      <c r="AB1772">
        <f>IF(AND($A1772&lt;&gt;"",$B1772&lt;&gt;"",$R1772='تقرير فبراير'!$C$4,$P1772='تقرير فبراير'!$C$6),COUNT(AB$4:AB1771)+1,"")</f>
        <v/>
      </c>
      <c r="AC1772">
        <f>IF(AND($A1772&lt;&gt;"",$B1772&lt;&gt;"",$R1772='تقرير مارس'!$C$4,$P1772='تقرير مارس'!$C$6),COUNT(AC$4:AC1771)+1,"")</f>
        <v/>
      </c>
      <c r="AD1772">
        <f>IF(AND($A1772&lt;&gt;"",$B1772&lt;&gt;"",$R1772='تقرير أبريل'!$C$4,$P1772='تقرير أبريل'!$C$6),COUNT(AD$4:AD1771)+1,"")</f>
        <v/>
      </c>
      <c r="AE1772">
        <f>IF(AND($A1772&lt;&gt;"",$B1772&lt;&gt;"",$R1772='تقرير مايو'!$C$4,$P1772='تقرير مايو'!$C$6),COUNT(AE$4:AE1771)+1,"")</f>
        <v/>
      </c>
    </row>
    <row r="1773">
      <c r="A1773" s="16" t="n"/>
      <c r="B1773" s="17" t="n"/>
      <c r="C1773" s="17" t="n"/>
      <c r="D1773" s="18" t="n"/>
      <c r="E1773" s="17" t="n"/>
      <c r="F1773" s="17" t="n"/>
      <c r="G1773" s="19" t="n"/>
      <c r="H1773" s="17" t="n"/>
      <c r="I1773" s="17" t="n"/>
      <c r="J1773" s="17" t="n"/>
      <c r="K1773" s="20">
        <f>IF($B1773="","",IFERROR(INDEX(الموظفات!$A$5:$A$304,MATCH($B1773,الموظفات!$B$5:$B$304,0))&amp;"",""))</f>
        <v/>
      </c>
      <c r="L1773" s="21">
        <f>IF($B1773="","",IFERROR(INDEX(الموظفات!$C$5:$C$304,MATCH($B1773,الموظفات!$B$5:$B$304,0))&amp;"",""))</f>
        <v/>
      </c>
      <c r="M1773" s="20">
        <f>IF($B1773="","",IFERROR(INDEX(الموظفات!$D$5:$D$304,MATCH($B1773,الموظفات!$B$5:$B$304,0))&amp;"",""))</f>
        <v/>
      </c>
      <c r="N1773" s="20">
        <f>IF($B1773="","",IFERROR(INDEX(الموظفات!$E$5:$E$304,MATCH($B1773,الموظفات!$B$5:$B$304,0))&amp;"",""))</f>
        <v/>
      </c>
      <c r="O1773" s="21">
        <f>IF(C1773="","",IFERROR(INDEX(الإعدادات!$D$7:$D$35,MATCH(C1773,الإعدادات!$A$7:$A$35,0))&amp;"",""))</f>
        <v/>
      </c>
      <c r="P1773" s="20">
        <f>IF(A1773="","",INDEX(الإعدادات!$H$7:$H$18,MONTH(A1773)))</f>
        <v/>
      </c>
      <c r="Q1773" s="20">
        <f>IF(A1773="","",INDEX(الإعدادات!$I$7:$I$18,MONTH(A1773)))</f>
        <v/>
      </c>
      <c r="R1773" s="20">
        <f>IF(A1773="","",IF(MONTH(A1773)&gt;=8,YEAR(A1773)&amp;"-"&amp;(YEAR(A1773)+1),(YEAR(A1773)-1)&amp;"-"&amp;YEAR(A1773)))</f>
        <v/>
      </c>
      <c r="S1773" s="20">
        <f>IF(OR(A1773="",B1773=""),0,IF(AND(R1773=التقارير!$C$4,OR(التقارير!$C$5="سنوي",AND(التقارير!$C$5="شهري",P1773=التقارير!$C$6),AND(التقارير!$C$5="فصلي",Q1773=التقارير!$C$7))),1,0))</f>
        <v/>
      </c>
      <c r="T1773" s="20">
        <f>IF(S1773=1,COUNTIF($S$5:S1773,1),"")</f>
        <v/>
      </c>
      <c r="U1773">
        <f>IF(AND($A1773&lt;&gt;"",$B1773&lt;&gt;"",$R1773='تقرير الفصل الأول'!$C$4,$Q1773='تقرير الفصل الأول'!$C$7),COUNT(U$4:U1772)+1,"")</f>
        <v/>
      </c>
      <c r="V1773">
        <f>IF(AND($A1773&lt;&gt;"",$B1773&lt;&gt;"",$R1773='تقرير الفصل الثاني'!$C$4,$Q1773='تقرير الفصل الثاني'!$C$7),COUNT(V$4:V1772)+1,"")</f>
        <v/>
      </c>
      <c r="W1773">
        <f>IF(AND($A1773&lt;&gt;"",$B1773&lt;&gt;"",$R1773='تقرير سبتمبر'!$C$4,$P1773='تقرير سبتمبر'!$C$6),COUNT(W$4:W1772)+1,"")</f>
        <v/>
      </c>
      <c r="X1773">
        <f>IF(AND($A1773&lt;&gt;"",$B1773&lt;&gt;"",$R1773='تقرير أكتوبر'!$C$4,$P1773='تقرير أكتوبر'!$C$6),COUNT(X$4:X1772)+1,"")</f>
        <v/>
      </c>
      <c r="Y1773">
        <f>IF(AND($A1773&lt;&gt;"",$B1773&lt;&gt;"",$R1773='تقرير نوفمبر'!$C$4,$P1773='تقرير نوفمبر'!$C$6),COUNT(Y$4:Y1772)+1,"")</f>
        <v/>
      </c>
      <c r="Z1773">
        <f>IF(AND($A1773&lt;&gt;"",$B1773&lt;&gt;"",$R1773='تقرير ديسمبر'!$C$4,$P1773='تقرير ديسمبر'!$C$6),COUNT(Z$4:Z1772)+1,"")</f>
        <v/>
      </c>
      <c r="AA1773">
        <f>IF(AND($A1773&lt;&gt;"",$B1773&lt;&gt;"",$R1773='تقرير يناير'!$C$4,$P1773='تقرير يناير'!$C$6),COUNT(AA$4:AA1772)+1,"")</f>
        <v/>
      </c>
      <c r="AB1773">
        <f>IF(AND($A1773&lt;&gt;"",$B1773&lt;&gt;"",$R1773='تقرير فبراير'!$C$4,$P1773='تقرير فبراير'!$C$6),COUNT(AB$4:AB1772)+1,"")</f>
        <v/>
      </c>
      <c r="AC1773">
        <f>IF(AND($A1773&lt;&gt;"",$B1773&lt;&gt;"",$R1773='تقرير مارس'!$C$4,$P1773='تقرير مارس'!$C$6),COUNT(AC$4:AC1772)+1,"")</f>
        <v/>
      </c>
      <c r="AD1773">
        <f>IF(AND($A1773&lt;&gt;"",$B1773&lt;&gt;"",$R1773='تقرير أبريل'!$C$4,$P1773='تقرير أبريل'!$C$6),COUNT(AD$4:AD1772)+1,"")</f>
        <v/>
      </c>
      <c r="AE1773">
        <f>IF(AND($A1773&lt;&gt;"",$B1773&lt;&gt;"",$R1773='تقرير مايو'!$C$4,$P1773='تقرير مايو'!$C$6),COUNT(AE$4:AE1772)+1,"")</f>
        <v/>
      </c>
    </row>
    <row r="1774">
      <c r="A1774" s="16" t="n"/>
      <c r="B1774" s="17" t="n"/>
      <c r="C1774" s="17" t="n"/>
      <c r="D1774" s="18" t="n"/>
      <c r="E1774" s="17" t="n"/>
      <c r="F1774" s="17" t="n"/>
      <c r="G1774" s="19" t="n"/>
      <c r="H1774" s="17" t="n"/>
      <c r="I1774" s="17" t="n"/>
      <c r="J1774" s="17" t="n"/>
      <c r="K1774" s="20">
        <f>IF($B1774="","",IFERROR(INDEX(الموظفات!$A$5:$A$304,MATCH($B1774,الموظفات!$B$5:$B$304,0))&amp;"",""))</f>
        <v/>
      </c>
      <c r="L1774" s="21">
        <f>IF($B1774="","",IFERROR(INDEX(الموظفات!$C$5:$C$304,MATCH($B1774,الموظفات!$B$5:$B$304,0))&amp;"",""))</f>
        <v/>
      </c>
      <c r="M1774" s="20">
        <f>IF($B1774="","",IFERROR(INDEX(الموظفات!$D$5:$D$304,MATCH($B1774,الموظفات!$B$5:$B$304,0))&amp;"",""))</f>
        <v/>
      </c>
      <c r="N1774" s="20">
        <f>IF($B1774="","",IFERROR(INDEX(الموظفات!$E$5:$E$304,MATCH($B1774,الموظفات!$B$5:$B$304,0))&amp;"",""))</f>
        <v/>
      </c>
      <c r="O1774" s="21">
        <f>IF(C1774="","",IFERROR(INDEX(الإعدادات!$D$7:$D$35,MATCH(C1774,الإعدادات!$A$7:$A$35,0))&amp;"",""))</f>
        <v/>
      </c>
      <c r="P1774" s="20">
        <f>IF(A1774="","",INDEX(الإعدادات!$H$7:$H$18,MONTH(A1774)))</f>
        <v/>
      </c>
      <c r="Q1774" s="20">
        <f>IF(A1774="","",INDEX(الإعدادات!$I$7:$I$18,MONTH(A1774)))</f>
        <v/>
      </c>
      <c r="R1774" s="20">
        <f>IF(A1774="","",IF(MONTH(A1774)&gt;=8,YEAR(A1774)&amp;"-"&amp;(YEAR(A1774)+1),(YEAR(A1774)-1)&amp;"-"&amp;YEAR(A1774)))</f>
        <v/>
      </c>
      <c r="S1774" s="20">
        <f>IF(OR(A1774="",B1774=""),0,IF(AND(R1774=التقارير!$C$4,OR(التقارير!$C$5="سنوي",AND(التقارير!$C$5="شهري",P1774=التقارير!$C$6),AND(التقارير!$C$5="فصلي",Q1774=التقارير!$C$7))),1,0))</f>
        <v/>
      </c>
      <c r="T1774" s="20">
        <f>IF(S1774=1,COUNTIF($S$5:S1774,1),"")</f>
        <v/>
      </c>
      <c r="U1774">
        <f>IF(AND($A1774&lt;&gt;"",$B1774&lt;&gt;"",$R1774='تقرير الفصل الأول'!$C$4,$Q1774='تقرير الفصل الأول'!$C$7),COUNT(U$4:U1773)+1,"")</f>
        <v/>
      </c>
      <c r="V1774">
        <f>IF(AND($A1774&lt;&gt;"",$B1774&lt;&gt;"",$R1774='تقرير الفصل الثاني'!$C$4,$Q1774='تقرير الفصل الثاني'!$C$7),COUNT(V$4:V1773)+1,"")</f>
        <v/>
      </c>
      <c r="W1774">
        <f>IF(AND($A1774&lt;&gt;"",$B1774&lt;&gt;"",$R1774='تقرير سبتمبر'!$C$4,$P1774='تقرير سبتمبر'!$C$6),COUNT(W$4:W1773)+1,"")</f>
        <v/>
      </c>
      <c r="X1774">
        <f>IF(AND($A1774&lt;&gt;"",$B1774&lt;&gt;"",$R1774='تقرير أكتوبر'!$C$4,$P1774='تقرير أكتوبر'!$C$6),COUNT(X$4:X1773)+1,"")</f>
        <v/>
      </c>
      <c r="Y1774">
        <f>IF(AND($A1774&lt;&gt;"",$B1774&lt;&gt;"",$R1774='تقرير نوفمبر'!$C$4,$P1774='تقرير نوفمبر'!$C$6),COUNT(Y$4:Y1773)+1,"")</f>
        <v/>
      </c>
      <c r="Z1774">
        <f>IF(AND($A1774&lt;&gt;"",$B1774&lt;&gt;"",$R1774='تقرير ديسمبر'!$C$4,$P1774='تقرير ديسمبر'!$C$6),COUNT(Z$4:Z1773)+1,"")</f>
        <v/>
      </c>
      <c r="AA1774">
        <f>IF(AND($A1774&lt;&gt;"",$B1774&lt;&gt;"",$R1774='تقرير يناير'!$C$4,$P1774='تقرير يناير'!$C$6),COUNT(AA$4:AA1773)+1,"")</f>
        <v/>
      </c>
      <c r="AB1774">
        <f>IF(AND($A1774&lt;&gt;"",$B1774&lt;&gt;"",$R1774='تقرير فبراير'!$C$4,$P1774='تقرير فبراير'!$C$6),COUNT(AB$4:AB1773)+1,"")</f>
        <v/>
      </c>
      <c r="AC1774">
        <f>IF(AND($A1774&lt;&gt;"",$B1774&lt;&gt;"",$R1774='تقرير مارس'!$C$4,$P1774='تقرير مارس'!$C$6),COUNT(AC$4:AC1773)+1,"")</f>
        <v/>
      </c>
      <c r="AD1774">
        <f>IF(AND($A1774&lt;&gt;"",$B1774&lt;&gt;"",$R1774='تقرير أبريل'!$C$4,$P1774='تقرير أبريل'!$C$6),COUNT(AD$4:AD1773)+1,"")</f>
        <v/>
      </c>
      <c r="AE1774">
        <f>IF(AND($A1774&lt;&gt;"",$B1774&lt;&gt;"",$R1774='تقرير مايو'!$C$4,$P1774='تقرير مايو'!$C$6),COUNT(AE$4:AE1773)+1,"")</f>
        <v/>
      </c>
    </row>
    <row r="1775">
      <c r="A1775" s="16" t="n"/>
      <c r="B1775" s="17" t="n"/>
      <c r="C1775" s="17" t="n"/>
      <c r="D1775" s="18" t="n"/>
      <c r="E1775" s="17" t="n"/>
      <c r="F1775" s="17" t="n"/>
      <c r="G1775" s="19" t="n"/>
      <c r="H1775" s="17" t="n"/>
      <c r="I1775" s="17" t="n"/>
      <c r="J1775" s="17" t="n"/>
      <c r="K1775" s="20">
        <f>IF($B1775="","",IFERROR(INDEX(الموظفات!$A$5:$A$304,MATCH($B1775,الموظفات!$B$5:$B$304,0))&amp;"",""))</f>
        <v/>
      </c>
      <c r="L1775" s="21">
        <f>IF($B1775="","",IFERROR(INDEX(الموظفات!$C$5:$C$304,MATCH($B1775,الموظفات!$B$5:$B$304,0))&amp;"",""))</f>
        <v/>
      </c>
      <c r="M1775" s="20">
        <f>IF($B1775="","",IFERROR(INDEX(الموظفات!$D$5:$D$304,MATCH($B1775,الموظفات!$B$5:$B$304,0))&amp;"",""))</f>
        <v/>
      </c>
      <c r="N1775" s="20">
        <f>IF($B1775="","",IFERROR(INDEX(الموظفات!$E$5:$E$304,MATCH($B1775,الموظفات!$B$5:$B$304,0))&amp;"",""))</f>
        <v/>
      </c>
      <c r="O1775" s="21">
        <f>IF(C1775="","",IFERROR(INDEX(الإعدادات!$D$7:$D$35,MATCH(C1775,الإعدادات!$A$7:$A$35,0))&amp;"",""))</f>
        <v/>
      </c>
      <c r="P1775" s="20">
        <f>IF(A1775="","",INDEX(الإعدادات!$H$7:$H$18,MONTH(A1775)))</f>
        <v/>
      </c>
      <c r="Q1775" s="20">
        <f>IF(A1775="","",INDEX(الإعدادات!$I$7:$I$18,MONTH(A1775)))</f>
        <v/>
      </c>
      <c r="R1775" s="20">
        <f>IF(A1775="","",IF(MONTH(A1775)&gt;=8,YEAR(A1775)&amp;"-"&amp;(YEAR(A1775)+1),(YEAR(A1775)-1)&amp;"-"&amp;YEAR(A1775)))</f>
        <v/>
      </c>
      <c r="S1775" s="20">
        <f>IF(OR(A1775="",B1775=""),0,IF(AND(R1775=التقارير!$C$4,OR(التقارير!$C$5="سنوي",AND(التقارير!$C$5="شهري",P1775=التقارير!$C$6),AND(التقارير!$C$5="فصلي",Q1775=التقارير!$C$7))),1,0))</f>
        <v/>
      </c>
      <c r="T1775" s="20">
        <f>IF(S1775=1,COUNTIF($S$5:S1775,1),"")</f>
        <v/>
      </c>
      <c r="U1775">
        <f>IF(AND($A1775&lt;&gt;"",$B1775&lt;&gt;"",$R1775='تقرير الفصل الأول'!$C$4,$Q1775='تقرير الفصل الأول'!$C$7),COUNT(U$4:U1774)+1,"")</f>
        <v/>
      </c>
      <c r="V1775">
        <f>IF(AND($A1775&lt;&gt;"",$B1775&lt;&gt;"",$R1775='تقرير الفصل الثاني'!$C$4,$Q1775='تقرير الفصل الثاني'!$C$7),COUNT(V$4:V1774)+1,"")</f>
        <v/>
      </c>
      <c r="W1775">
        <f>IF(AND($A1775&lt;&gt;"",$B1775&lt;&gt;"",$R1775='تقرير سبتمبر'!$C$4,$P1775='تقرير سبتمبر'!$C$6),COUNT(W$4:W1774)+1,"")</f>
        <v/>
      </c>
      <c r="X1775">
        <f>IF(AND($A1775&lt;&gt;"",$B1775&lt;&gt;"",$R1775='تقرير أكتوبر'!$C$4,$P1775='تقرير أكتوبر'!$C$6),COUNT(X$4:X1774)+1,"")</f>
        <v/>
      </c>
      <c r="Y1775">
        <f>IF(AND($A1775&lt;&gt;"",$B1775&lt;&gt;"",$R1775='تقرير نوفمبر'!$C$4,$P1775='تقرير نوفمبر'!$C$6),COUNT(Y$4:Y1774)+1,"")</f>
        <v/>
      </c>
      <c r="Z1775">
        <f>IF(AND($A1775&lt;&gt;"",$B1775&lt;&gt;"",$R1775='تقرير ديسمبر'!$C$4,$P1775='تقرير ديسمبر'!$C$6),COUNT(Z$4:Z1774)+1,"")</f>
        <v/>
      </c>
      <c r="AA1775">
        <f>IF(AND($A1775&lt;&gt;"",$B1775&lt;&gt;"",$R1775='تقرير يناير'!$C$4,$P1775='تقرير يناير'!$C$6),COUNT(AA$4:AA1774)+1,"")</f>
        <v/>
      </c>
      <c r="AB1775">
        <f>IF(AND($A1775&lt;&gt;"",$B1775&lt;&gt;"",$R1775='تقرير فبراير'!$C$4,$P1775='تقرير فبراير'!$C$6),COUNT(AB$4:AB1774)+1,"")</f>
        <v/>
      </c>
      <c r="AC1775">
        <f>IF(AND($A1775&lt;&gt;"",$B1775&lt;&gt;"",$R1775='تقرير مارس'!$C$4,$P1775='تقرير مارس'!$C$6),COUNT(AC$4:AC1774)+1,"")</f>
        <v/>
      </c>
      <c r="AD1775">
        <f>IF(AND($A1775&lt;&gt;"",$B1775&lt;&gt;"",$R1775='تقرير أبريل'!$C$4,$P1775='تقرير أبريل'!$C$6),COUNT(AD$4:AD1774)+1,"")</f>
        <v/>
      </c>
      <c r="AE1775">
        <f>IF(AND($A1775&lt;&gt;"",$B1775&lt;&gt;"",$R1775='تقرير مايو'!$C$4,$P1775='تقرير مايو'!$C$6),COUNT(AE$4:AE1774)+1,"")</f>
        <v/>
      </c>
    </row>
    <row r="1776">
      <c r="A1776" s="16" t="n"/>
      <c r="B1776" s="17" t="n"/>
      <c r="C1776" s="17" t="n"/>
      <c r="D1776" s="18" t="n"/>
      <c r="E1776" s="17" t="n"/>
      <c r="F1776" s="17" t="n"/>
      <c r="G1776" s="19" t="n"/>
      <c r="H1776" s="17" t="n"/>
      <c r="I1776" s="17" t="n"/>
      <c r="J1776" s="17" t="n"/>
      <c r="K1776" s="20">
        <f>IF($B1776="","",IFERROR(INDEX(الموظفات!$A$5:$A$304,MATCH($B1776,الموظفات!$B$5:$B$304,0))&amp;"",""))</f>
        <v/>
      </c>
      <c r="L1776" s="21">
        <f>IF($B1776="","",IFERROR(INDEX(الموظفات!$C$5:$C$304,MATCH($B1776,الموظفات!$B$5:$B$304,0))&amp;"",""))</f>
        <v/>
      </c>
      <c r="M1776" s="20">
        <f>IF($B1776="","",IFERROR(INDEX(الموظفات!$D$5:$D$304,MATCH($B1776,الموظفات!$B$5:$B$304,0))&amp;"",""))</f>
        <v/>
      </c>
      <c r="N1776" s="20">
        <f>IF($B1776="","",IFERROR(INDEX(الموظفات!$E$5:$E$304,MATCH($B1776,الموظفات!$B$5:$B$304,0))&amp;"",""))</f>
        <v/>
      </c>
      <c r="O1776" s="21">
        <f>IF(C1776="","",IFERROR(INDEX(الإعدادات!$D$7:$D$35,MATCH(C1776,الإعدادات!$A$7:$A$35,0))&amp;"",""))</f>
        <v/>
      </c>
      <c r="P1776" s="20">
        <f>IF(A1776="","",INDEX(الإعدادات!$H$7:$H$18,MONTH(A1776)))</f>
        <v/>
      </c>
      <c r="Q1776" s="20">
        <f>IF(A1776="","",INDEX(الإعدادات!$I$7:$I$18,MONTH(A1776)))</f>
        <v/>
      </c>
      <c r="R1776" s="20">
        <f>IF(A1776="","",IF(MONTH(A1776)&gt;=8,YEAR(A1776)&amp;"-"&amp;(YEAR(A1776)+1),(YEAR(A1776)-1)&amp;"-"&amp;YEAR(A1776)))</f>
        <v/>
      </c>
      <c r="S1776" s="20">
        <f>IF(OR(A1776="",B1776=""),0,IF(AND(R1776=التقارير!$C$4,OR(التقارير!$C$5="سنوي",AND(التقارير!$C$5="شهري",P1776=التقارير!$C$6),AND(التقارير!$C$5="فصلي",Q1776=التقارير!$C$7))),1,0))</f>
        <v/>
      </c>
      <c r="T1776" s="20">
        <f>IF(S1776=1,COUNTIF($S$5:S1776,1),"")</f>
        <v/>
      </c>
      <c r="U1776">
        <f>IF(AND($A1776&lt;&gt;"",$B1776&lt;&gt;"",$R1776='تقرير الفصل الأول'!$C$4,$Q1776='تقرير الفصل الأول'!$C$7),COUNT(U$4:U1775)+1,"")</f>
        <v/>
      </c>
      <c r="V1776">
        <f>IF(AND($A1776&lt;&gt;"",$B1776&lt;&gt;"",$R1776='تقرير الفصل الثاني'!$C$4,$Q1776='تقرير الفصل الثاني'!$C$7),COUNT(V$4:V1775)+1,"")</f>
        <v/>
      </c>
      <c r="W1776">
        <f>IF(AND($A1776&lt;&gt;"",$B1776&lt;&gt;"",$R1776='تقرير سبتمبر'!$C$4,$P1776='تقرير سبتمبر'!$C$6),COUNT(W$4:W1775)+1,"")</f>
        <v/>
      </c>
      <c r="X1776">
        <f>IF(AND($A1776&lt;&gt;"",$B1776&lt;&gt;"",$R1776='تقرير أكتوبر'!$C$4,$P1776='تقرير أكتوبر'!$C$6),COUNT(X$4:X1775)+1,"")</f>
        <v/>
      </c>
      <c r="Y1776">
        <f>IF(AND($A1776&lt;&gt;"",$B1776&lt;&gt;"",$R1776='تقرير نوفمبر'!$C$4,$P1776='تقرير نوفمبر'!$C$6),COUNT(Y$4:Y1775)+1,"")</f>
        <v/>
      </c>
      <c r="Z1776">
        <f>IF(AND($A1776&lt;&gt;"",$B1776&lt;&gt;"",$R1776='تقرير ديسمبر'!$C$4,$P1776='تقرير ديسمبر'!$C$6),COUNT(Z$4:Z1775)+1,"")</f>
        <v/>
      </c>
      <c r="AA1776">
        <f>IF(AND($A1776&lt;&gt;"",$B1776&lt;&gt;"",$R1776='تقرير يناير'!$C$4,$P1776='تقرير يناير'!$C$6),COUNT(AA$4:AA1775)+1,"")</f>
        <v/>
      </c>
      <c r="AB1776">
        <f>IF(AND($A1776&lt;&gt;"",$B1776&lt;&gt;"",$R1776='تقرير فبراير'!$C$4,$P1776='تقرير فبراير'!$C$6),COUNT(AB$4:AB1775)+1,"")</f>
        <v/>
      </c>
      <c r="AC1776">
        <f>IF(AND($A1776&lt;&gt;"",$B1776&lt;&gt;"",$R1776='تقرير مارس'!$C$4,$P1776='تقرير مارس'!$C$6),COUNT(AC$4:AC1775)+1,"")</f>
        <v/>
      </c>
      <c r="AD1776">
        <f>IF(AND($A1776&lt;&gt;"",$B1776&lt;&gt;"",$R1776='تقرير أبريل'!$C$4,$P1776='تقرير أبريل'!$C$6),COUNT(AD$4:AD1775)+1,"")</f>
        <v/>
      </c>
      <c r="AE1776">
        <f>IF(AND($A1776&lt;&gt;"",$B1776&lt;&gt;"",$R1776='تقرير مايو'!$C$4,$P1776='تقرير مايو'!$C$6),COUNT(AE$4:AE1775)+1,"")</f>
        <v/>
      </c>
    </row>
    <row r="1777">
      <c r="A1777" s="16" t="n"/>
      <c r="B1777" s="17" t="n"/>
      <c r="C1777" s="17" t="n"/>
      <c r="D1777" s="18" t="n"/>
      <c r="E1777" s="17" t="n"/>
      <c r="F1777" s="17" t="n"/>
      <c r="G1777" s="19" t="n"/>
      <c r="H1777" s="17" t="n"/>
      <c r="I1777" s="17" t="n"/>
      <c r="J1777" s="17" t="n"/>
      <c r="K1777" s="20">
        <f>IF($B1777="","",IFERROR(INDEX(الموظفات!$A$5:$A$304,MATCH($B1777,الموظفات!$B$5:$B$304,0))&amp;"",""))</f>
        <v/>
      </c>
      <c r="L1777" s="21">
        <f>IF($B1777="","",IFERROR(INDEX(الموظفات!$C$5:$C$304,MATCH($B1777,الموظفات!$B$5:$B$304,0))&amp;"",""))</f>
        <v/>
      </c>
      <c r="M1777" s="20">
        <f>IF($B1777="","",IFERROR(INDEX(الموظفات!$D$5:$D$304,MATCH($B1777,الموظفات!$B$5:$B$304,0))&amp;"",""))</f>
        <v/>
      </c>
      <c r="N1777" s="20">
        <f>IF($B1777="","",IFERROR(INDEX(الموظفات!$E$5:$E$304,MATCH($B1777,الموظفات!$B$5:$B$304,0))&amp;"",""))</f>
        <v/>
      </c>
      <c r="O1777" s="21">
        <f>IF(C1777="","",IFERROR(INDEX(الإعدادات!$D$7:$D$35,MATCH(C1777,الإعدادات!$A$7:$A$35,0))&amp;"",""))</f>
        <v/>
      </c>
      <c r="P1777" s="20">
        <f>IF(A1777="","",INDEX(الإعدادات!$H$7:$H$18,MONTH(A1777)))</f>
        <v/>
      </c>
      <c r="Q1777" s="20">
        <f>IF(A1777="","",INDEX(الإعدادات!$I$7:$I$18,MONTH(A1777)))</f>
        <v/>
      </c>
      <c r="R1777" s="20">
        <f>IF(A1777="","",IF(MONTH(A1777)&gt;=8,YEAR(A1777)&amp;"-"&amp;(YEAR(A1777)+1),(YEAR(A1777)-1)&amp;"-"&amp;YEAR(A1777)))</f>
        <v/>
      </c>
      <c r="S1777" s="20">
        <f>IF(OR(A1777="",B1777=""),0,IF(AND(R1777=التقارير!$C$4,OR(التقارير!$C$5="سنوي",AND(التقارير!$C$5="شهري",P1777=التقارير!$C$6),AND(التقارير!$C$5="فصلي",Q1777=التقارير!$C$7))),1,0))</f>
        <v/>
      </c>
      <c r="T1777" s="20">
        <f>IF(S1777=1,COUNTIF($S$5:S1777,1),"")</f>
        <v/>
      </c>
      <c r="U1777">
        <f>IF(AND($A1777&lt;&gt;"",$B1777&lt;&gt;"",$R1777='تقرير الفصل الأول'!$C$4,$Q1777='تقرير الفصل الأول'!$C$7),COUNT(U$4:U1776)+1,"")</f>
        <v/>
      </c>
      <c r="V1777">
        <f>IF(AND($A1777&lt;&gt;"",$B1777&lt;&gt;"",$R1777='تقرير الفصل الثاني'!$C$4,$Q1777='تقرير الفصل الثاني'!$C$7),COUNT(V$4:V1776)+1,"")</f>
        <v/>
      </c>
      <c r="W1777">
        <f>IF(AND($A1777&lt;&gt;"",$B1777&lt;&gt;"",$R1777='تقرير سبتمبر'!$C$4,$P1777='تقرير سبتمبر'!$C$6),COUNT(W$4:W1776)+1,"")</f>
        <v/>
      </c>
      <c r="X1777">
        <f>IF(AND($A1777&lt;&gt;"",$B1777&lt;&gt;"",$R1777='تقرير أكتوبر'!$C$4,$P1777='تقرير أكتوبر'!$C$6),COUNT(X$4:X1776)+1,"")</f>
        <v/>
      </c>
      <c r="Y1777">
        <f>IF(AND($A1777&lt;&gt;"",$B1777&lt;&gt;"",$R1777='تقرير نوفمبر'!$C$4,$P1777='تقرير نوفمبر'!$C$6),COUNT(Y$4:Y1776)+1,"")</f>
        <v/>
      </c>
      <c r="Z1777">
        <f>IF(AND($A1777&lt;&gt;"",$B1777&lt;&gt;"",$R1777='تقرير ديسمبر'!$C$4,$P1777='تقرير ديسمبر'!$C$6),COUNT(Z$4:Z1776)+1,"")</f>
        <v/>
      </c>
      <c r="AA1777">
        <f>IF(AND($A1777&lt;&gt;"",$B1777&lt;&gt;"",$R1777='تقرير يناير'!$C$4,$P1777='تقرير يناير'!$C$6),COUNT(AA$4:AA1776)+1,"")</f>
        <v/>
      </c>
      <c r="AB1777">
        <f>IF(AND($A1777&lt;&gt;"",$B1777&lt;&gt;"",$R1777='تقرير فبراير'!$C$4,$P1777='تقرير فبراير'!$C$6),COUNT(AB$4:AB1776)+1,"")</f>
        <v/>
      </c>
      <c r="AC1777">
        <f>IF(AND($A1777&lt;&gt;"",$B1777&lt;&gt;"",$R1777='تقرير مارس'!$C$4,$P1777='تقرير مارس'!$C$6),COUNT(AC$4:AC1776)+1,"")</f>
        <v/>
      </c>
      <c r="AD1777">
        <f>IF(AND($A1777&lt;&gt;"",$B1777&lt;&gt;"",$R1777='تقرير أبريل'!$C$4,$P1777='تقرير أبريل'!$C$6),COUNT(AD$4:AD1776)+1,"")</f>
        <v/>
      </c>
      <c r="AE1777">
        <f>IF(AND($A1777&lt;&gt;"",$B1777&lt;&gt;"",$R1777='تقرير مايو'!$C$4,$P1777='تقرير مايو'!$C$6),COUNT(AE$4:AE1776)+1,"")</f>
        <v/>
      </c>
    </row>
    <row r="1778">
      <c r="A1778" s="16" t="n"/>
      <c r="B1778" s="17" t="n"/>
      <c r="C1778" s="17" t="n"/>
      <c r="D1778" s="18" t="n"/>
      <c r="E1778" s="17" t="n"/>
      <c r="F1778" s="17" t="n"/>
      <c r="G1778" s="19" t="n"/>
      <c r="H1778" s="17" t="n"/>
      <c r="I1778" s="17" t="n"/>
      <c r="J1778" s="17" t="n"/>
      <c r="K1778" s="20">
        <f>IF($B1778="","",IFERROR(INDEX(الموظفات!$A$5:$A$304,MATCH($B1778,الموظفات!$B$5:$B$304,0))&amp;"",""))</f>
        <v/>
      </c>
      <c r="L1778" s="21">
        <f>IF($B1778="","",IFERROR(INDEX(الموظفات!$C$5:$C$304,MATCH($B1778,الموظفات!$B$5:$B$304,0))&amp;"",""))</f>
        <v/>
      </c>
      <c r="M1778" s="20">
        <f>IF($B1778="","",IFERROR(INDEX(الموظفات!$D$5:$D$304,MATCH($B1778,الموظفات!$B$5:$B$304,0))&amp;"",""))</f>
        <v/>
      </c>
      <c r="N1778" s="20">
        <f>IF($B1778="","",IFERROR(INDEX(الموظفات!$E$5:$E$304,MATCH($B1778,الموظفات!$B$5:$B$304,0))&amp;"",""))</f>
        <v/>
      </c>
      <c r="O1778" s="21">
        <f>IF(C1778="","",IFERROR(INDEX(الإعدادات!$D$7:$D$35,MATCH(C1778,الإعدادات!$A$7:$A$35,0))&amp;"",""))</f>
        <v/>
      </c>
      <c r="P1778" s="20">
        <f>IF(A1778="","",INDEX(الإعدادات!$H$7:$H$18,MONTH(A1778)))</f>
        <v/>
      </c>
      <c r="Q1778" s="20">
        <f>IF(A1778="","",INDEX(الإعدادات!$I$7:$I$18,MONTH(A1778)))</f>
        <v/>
      </c>
      <c r="R1778" s="20">
        <f>IF(A1778="","",IF(MONTH(A1778)&gt;=8,YEAR(A1778)&amp;"-"&amp;(YEAR(A1778)+1),(YEAR(A1778)-1)&amp;"-"&amp;YEAR(A1778)))</f>
        <v/>
      </c>
      <c r="S1778" s="20">
        <f>IF(OR(A1778="",B1778=""),0,IF(AND(R1778=التقارير!$C$4,OR(التقارير!$C$5="سنوي",AND(التقارير!$C$5="شهري",P1778=التقارير!$C$6),AND(التقارير!$C$5="فصلي",Q1778=التقارير!$C$7))),1,0))</f>
        <v/>
      </c>
      <c r="T1778" s="20">
        <f>IF(S1778=1,COUNTIF($S$5:S1778,1),"")</f>
        <v/>
      </c>
      <c r="U1778">
        <f>IF(AND($A1778&lt;&gt;"",$B1778&lt;&gt;"",$R1778='تقرير الفصل الأول'!$C$4,$Q1778='تقرير الفصل الأول'!$C$7),COUNT(U$4:U1777)+1,"")</f>
        <v/>
      </c>
      <c r="V1778">
        <f>IF(AND($A1778&lt;&gt;"",$B1778&lt;&gt;"",$R1778='تقرير الفصل الثاني'!$C$4,$Q1778='تقرير الفصل الثاني'!$C$7),COUNT(V$4:V1777)+1,"")</f>
        <v/>
      </c>
      <c r="W1778">
        <f>IF(AND($A1778&lt;&gt;"",$B1778&lt;&gt;"",$R1778='تقرير سبتمبر'!$C$4,$P1778='تقرير سبتمبر'!$C$6),COUNT(W$4:W1777)+1,"")</f>
        <v/>
      </c>
      <c r="X1778">
        <f>IF(AND($A1778&lt;&gt;"",$B1778&lt;&gt;"",$R1778='تقرير أكتوبر'!$C$4,$P1778='تقرير أكتوبر'!$C$6),COUNT(X$4:X1777)+1,"")</f>
        <v/>
      </c>
      <c r="Y1778">
        <f>IF(AND($A1778&lt;&gt;"",$B1778&lt;&gt;"",$R1778='تقرير نوفمبر'!$C$4,$P1778='تقرير نوفمبر'!$C$6),COUNT(Y$4:Y1777)+1,"")</f>
        <v/>
      </c>
      <c r="Z1778">
        <f>IF(AND($A1778&lt;&gt;"",$B1778&lt;&gt;"",$R1778='تقرير ديسمبر'!$C$4,$P1778='تقرير ديسمبر'!$C$6),COUNT(Z$4:Z1777)+1,"")</f>
        <v/>
      </c>
      <c r="AA1778">
        <f>IF(AND($A1778&lt;&gt;"",$B1778&lt;&gt;"",$R1778='تقرير يناير'!$C$4,$P1778='تقرير يناير'!$C$6),COUNT(AA$4:AA1777)+1,"")</f>
        <v/>
      </c>
      <c r="AB1778">
        <f>IF(AND($A1778&lt;&gt;"",$B1778&lt;&gt;"",$R1778='تقرير فبراير'!$C$4,$P1778='تقرير فبراير'!$C$6),COUNT(AB$4:AB1777)+1,"")</f>
        <v/>
      </c>
      <c r="AC1778">
        <f>IF(AND($A1778&lt;&gt;"",$B1778&lt;&gt;"",$R1778='تقرير مارس'!$C$4,$P1778='تقرير مارس'!$C$6),COUNT(AC$4:AC1777)+1,"")</f>
        <v/>
      </c>
      <c r="AD1778">
        <f>IF(AND($A1778&lt;&gt;"",$B1778&lt;&gt;"",$R1778='تقرير أبريل'!$C$4,$P1778='تقرير أبريل'!$C$6),COUNT(AD$4:AD1777)+1,"")</f>
        <v/>
      </c>
      <c r="AE1778">
        <f>IF(AND($A1778&lt;&gt;"",$B1778&lt;&gt;"",$R1778='تقرير مايو'!$C$4,$P1778='تقرير مايو'!$C$6),COUNT(AE$4:AE1777)+1,"")</f>
        <v/>
      </c>
    </row>
    <row r="1779">
      <c r="A1779" s="16" t="n"/>
      <c r="B1779" s="17" t="n"/>
      <c r="C1779" s="17" t="n"/>
      <c r="D1779" s="18" t="n"/>
      <c r="E1779" s="17" t="n"/>
      <c r="F1779" s="17" t="n"/>
      <c r="G1779" s="19" t="n"/>
      <c r="H1779" s="17" t="n"/>
      <c r="I1779" s="17" t="n"/>
      <c r="J1779" s="17" t="n"/>
      <c r="K1779" s="20">
        <f>IF($B1779="","",IFERROR(INDEX(الموظفات!$A$5:$A$304,MATCH($B1779,الموظفات!$B$5:$B$304,0))&amp;"",""))</f>
        <v/>
      </c>
      <c r="L1779" s="21">
        <f>IF($B1779="","",IFERROR(INDEX(الموظفات!$C$5:$C$304,MATCH($B1779,الموظفات!$B$5:$B$304,0))&amp;"",""))</f>
        <v/>
      </c>
      <c r="M1779" s="20">
        <f>IF($B1779="","",IFERROR(INDEX(الموظفات!$D$5:$D$304,MATCH($B1779,الموظفات!$B$5:$B$304,0))&amp;"",""))</f>
        <v/>
      </c>
      <c r="N1779" s="20">
        <f>IF($B1779="","",IFERROR(INDEX(الموظفات!$E$5:$E$304,MATCH($B1779,الموظفات!$B$5:$B$304,0))&amp;"",""))</f>
        <v/>
      </c>
      <c r="O1779" s="21">
        <f>IF(C1779="","",IFERROR(INDEX(الإعدادات!$D$7:$D$35,MATCH(C1779,الإعدادات!$A$7:$A$35,0))&amp;"",""))</f>
        <v/>
      </c>
      <c r="P1779" s="20">
        <f>IF(A1779="","",INDEX(الإعدادات!$H$7:$H$18,MONTH(A1779)))</f>
        <v/>
      </c>
      <c r="Q1779" s="20">
        <f>IF(A1779="","",INDEX(الإعدادات!$I$7:$I$18,MONTH(A1779)))</f>
        <v/>
      </c>
      <c r="R1779" s="20">
        <f>IF(A1779="","",IF(MONTH(A1779)&gt;=8,YEAR(A1779)&amp;"-"&amp;(YEAR(A1779)+1),(YEAR(A1779)-1)&amp;"-"&amp;YEAR(A1779)))</f>
        <v/>
      </c>
      <c r="S1779" s="20">
        <f>IF(OR(A1779="",B1779=""),0,IF(AND(R1779=التقارير!$C$4,OR(التقارير!$C$5="سنوي",AND(التقارير!$C$5="شهري",P1779=التقارير!$C$6),AND(التقارير!$C$5="فصلي",Q1779=التقارير!$C$7))),1,0))</f>
        <v/>
      </c>
      <c r="T1779" s="20">
        <f>IF(S1779=1,COUNTIF($S$5:S1779,1),"")</f>
        <v/>
      </c>
      <c r="U1779">
        <f>IF(AND($A1779&lt;&gt;"",$B1779&lt;&gt;"",$R1779='تقرير الفصل الأول'!$C$4,$Q1779='تقرير الفصل الأول'!$C$7),COUNT(U$4:U1778)+1,"")</f>
        <v/>
      </c>
      <c r="V1779">
        <f>IF(AND($A1779&lt;&gt;"",$B1779&lt;&gt;"",$R1779='تقرير الفصل الثاني'!$C$4,$Q1779='تقرير الفصل الثاني'!$C$7),COUNT(V$4:V1778)+1,"")</f>
        <v/>
      </c>
      <c r="W1779">
        <f>IF(AND($A1779&lt;&gt;"",$B1779&lt;&gt;"",$R1779='تقرير سبتمبر'!$C$4,$P1779='تقرير سبتمبر'!$C$6),COUNT(W$4:W1778)+1,"")</f>
        <v/>
      </c>
      <c r="X1779">
        <f>IF(AND($A1779&lt;&gt;"",$B1779&lt;&gt;"",$R1779='تقرير أكتوبر'!$C$4,$P1779='تقرير أكتوبر'!$C$6),COUNT(X$4:X1778)+1,"")</f>
        <v/>
      </c>
      <c r="Y1779">
        <f>IF(AND($A1779&lt;&gt;"",$B1779&lt;&gt;"",$R1779='تقرير نوفمبر'!$C$4,$P1779='تقرير نوفمبر'!$C$6),COUNT(Y$4:Y1778)+1,"")</f>
        <v/>
      </c>
      <c r="Z1779">
        <f>IF(AND($A1779&lt;&gt;"",$B1779&lt;&gt;"",$R1779='تقرير ديسمبر'!$C$4,$P1779='تقرير ديسمبر'!$C$6),COUNT(Z$4:Z1778)+1,"")</f>
        <v/>
      </c>
      <c r="AA1779">
        <f>IF(AND($A1779&lt;&gt;"",$B1779&lt;&gt;"",$R1779='تقرير يناير'!$C$4,$P1779='تقرير يناير'!$C$6),COUNT(AA$4:AA1778)+1,"")</f>
        <v/>
      </c>
      <c r="AB1779">
        <f>IF(AND($A1779&lt;&gt;"",$B1779&lt;&gt;"",$R1779='تقرير فبراير'!$C$4,$P1779='تقرير فبراير'!$C$6),COUNT(AB$4:AB1778)+1,"")</f>
        <v/>
      </c>
      <c r="AC1779">
        <f>IF(AND($A1779&lt;&gt;"",$B1779&lt;&gt;"",$R1779='تقرير مارس'!$C$4,$P1779='تقرير مارس'!$C$6),COUNT(AC$4:AC1778)+1,"")</f>
        <v/>
      </c>
      <c r="AD1779">
        <f>IF(AND($A1779&lt;&gt;"",$B1779&lt;&gt;"",$R1779='تقرير أبريل'!$C$4,$P1779='تقرير أبريل'!$C$6),COUNT(AD$4:AD1778)+1,"")</f>
        <v/>
      </c>
      <c r="AE1779">
        <f>IF(AND($A1779&lt;&gt;"",$B1779&lt;&gt;"",$R1779='تقرير مايو'!$C$4,$P1779='تقرير مايو'!$C$6),COUNT(AE$4:AE1778)+1,"")</f>
        <v/>
      </c>
    </row>
    <row r="1780">
      <c r="A1780" s="16" t="n"/>
      <c r="B1780" s="17" t="n"/>
      <c r="C1780" s="17" t="n"/>
      <c r="D1780" s="18" t="n"/>
      <c r="E1780" s="17" t="n"/>
      <c r="F1780" s="17" t="n"/>
      <c r="G1780" s="19" t="n"/>
      <c r="H1780" s="17" t="n"/>
      <c r="I1780" s="17" t="n"/>
      <c r="J1780" s="17" t="n"/>
      <c r="K1780" s="20">
        <f>IF($B1780="","",IFERROR(INDEX(الموظفات!$A$5:$A$304,MATCH($B1780,الموظفات!$B$5:$B$304,0))&amp;"",""))</f>
        <v/>
      </c>
      <c r="L1780" s="21">
        <f>IF($B1780="","",IFERROR(INDEX(الموظفات!$C$5:$C$304,MATCH($B1780,الموظفات!$B$5:$B$304,0))&amp;"",""))</f>
        <v/>
      </c>
      <c r="M1780" s="20">
        <f>IF($B1780="","",IFERROR(INDEX(الموظفات!$D$5:$D$304,MATCH($B1780,الموظفات!$B$5:$B$304,0))&amp;"",""))</f>
        <v/>
      </c>
      <c r="N1780" s="20">
        <f>IF($B1780="","",IFERROR(INDEX(الموظفات!$E$5:$E$304,MATCH($B1780,الموظفات!$B$5:$B$304,0))&amp;"",""))</f>
        <v/>
      </c>
      <c r="O1780" s="21">
        <f>IF(C1780="","",IFERROR(INDEX(الإعدادات!$D$7:$D$35,MATCH(C1780,الإعدادات!$A$7:$A$35,0))&amp;"",""))</f>
        <v/>
      </c>
      <c r="P1780" s="20">
        <f>IF(A1780="","",INDEX(الإعدادات!$H$7:$H$18,MONTH(A1780)))</f>
        <v/>
      </c>
      <c r="Q1780" s="20">
        <f>IF(A1780="","",INDEX(الإعدادات!$I$7:$I$18,MONTH(A1780)))</f>
        <v/>
      </c>
      <c r="R1780" s="20">
        <f>IF(A1780="","",IF(MONTH(A1780)&gt;=8,YEAR(A1780)&amp;"-"&amp;(YEAR(A1780)+1),(YEAR(A1780)-1)&amp;"-"&amp;YEAR(A1780)))</f>
        <v/>
      </c>
      <c r="S1780" s="20">
        <f>IF(OR(A1780="",B1780=""),0,IF(AND(R1780=التقارير!$C$4,OR(التقارير!$C$5="سنوي",AND(التقارير!$C$5="شهري",P1780=التقارير!$C$6),AND(التقارير!$C$5="فصلي",Q1780=التقارير!$C$7))),1,0))</f>
        <v/>
      </c>
      <c r="T1780" s="20">
        <f>IF(S1780=1,COUNTIF($S$5:S1780,1),"")</f>
        <v/>
      </c>
      <c r="U1780">
        <f>IF(AND($A1780&lt;&gt;"",$B1780&lt;&gt;"",$R1780='تقرير الفصل الأول'!$C$4,$Q1780='تقرير الفصل الأول'!$C$7),COUNT(U$4:U1779)+1,"")</f>
        <v/>
      </c>
      <c r="V1780">
        <f>IF(AND($A1780&lt;&gt;"",$B1780&lt;&gt;"",$R1780='تقرير الفصل الثاني'!$C$4,$Q1780='تقرير الفصل الثاني'!$C$7),COUNT(V$4:V1779)+1,"")</f>
        <v/>
      </c>
      <c r="W1780">
        <f>IF(AND($A1780&lt;&gt;"",$B1780&lt;&gt;"",$R1780='تقرير سبتمبر'!$C$4,$P1780='تقرير سبتمبر'!$C$6),COUNT(W$4:W1779)+1,"")</f>
        <v/>
      </c>
      <c r="X1780">
        <f>IF(AND($A1780&lt;&gt;"",$B1780&lt;&gt;"",$R1780='تقرير أكتوبر'!$C$4,$P1780='تقرير أكتوبر'!$C$6),COUNT(X$4:X1779)+1,"")</f>
        <v/>
      </c>
      <c r="Y1780">
        <f>IF(AND($A1780&lt;&gt;"",$B1780&lt;&gt;"",$R1780='تقرير نوفمبر'!$C$4,$P1780='تقرير نوفمبر'!$C$6),COUNT(Y$4:Y1779)+1,"")</f>
        <v/>
      </c>
      <c r="Z1780">
        <f>IF(AND($A1780&lt;&gt;"",$B1780&lt;&gt;"",$R1780='تقرير ديسمبر'!$C$4,$P1780='تقرير ديسمبر'!$C$6),COUNT(Z$4:Z1779)+1,"")</f>
        <v/>
      </c>
      <c r="AA1780">
        <f>IF(AND($A1780&lt;&gt;"",$B1780&lt;&gt;"",$R1780='تقرير يناير'!$C$4,$P1780='تقرير يناير'!$C$6),COUNT(AA$4:AA1779)+1,"")</f>
        <v/>
      </c>
      <c r="AB1780">
        <f>IF(AND($A1780&lt;&gt;"",$B1780&lt;&gt;"",$R1780='تقرير فبراير'!$C$4,$P1780='تقرير فبراير'!$C$6),COUNT(AB$4:AB1779)+1,"")</f>
        <v/>
      </c>
      <c r="AC1780">
        <f>IF(AND($A1780&lt;&gt;"",$B1780&lt;&gt;"",$R1780='تقرير مارس'!$C$4,$P1780='تقرير مارس'!$C$6),COUNT(AC$4:AC1779)+1,"")</f>
        <v/>
      </c>
      <c r="AD1780">
        <f>IF(AND($A1780&lt;&gt;"",$B1780&lt;&gt;"",$R1780='تقرير أبريل'!$C$4,$P1780='تقرير أبريل'!$C$6),COUNT(AD$4:AD1779)+1,"")</f>
        <v/>
      </c>
      <c r="AE1780">
        <f>IF(AND($A1780&lt;&gt;"",$B1780&lt;&gt;"",$R1780='تقرير مايو'!$C$4,$P1780='تقرير مايو'!$C$6),COUNT(AE$4:AE1779)+1,"")</f>
        <v/>
      </c>
    </row>
    <row r="1781">
      <c r="A1781" s="16" t="n"/>
      <c r="B1781" s="17" t="n"/>
      <c r="C1781" s="17" t="n"/>
      <c r="D1781" s="18" t="n"/>
      <c r="E1781" s="17" t="n"/>
      <c r="F1781" s="17" t="n"/>
      <c r="G1781" s="19" t="n"/>
      <c r="H1781" s="17" t="n"/>
      <c r="I1781" s="17" t="n"/>
      <c r="J1781" s="17" t="n"/>
      <c r="K1781" s="20">
        <f>IF($B1781="","",IFERROR(INDEX(الموظفات!$A$5:$A$304,MATCH($B1781,الموظفات!$B$5:$B$304,0))&amp;"",""))</f>
        <v/>
      </c>
      <c r="L1781" s="21">
        <f>IF($B1781="","",IFERROR(INDEX(الموظفات!$C$5:$C$304,MATCH($B1781,الموظفات!$B$5:$B$304,0))&amp;"",""))</f>
        <v/>
      </c>
      <c r="M1781" s="20">
        <f>IF($B1781="","",IFERROR(INDEX(الموظفات!$D$5:$D$304,MATCH($B1781,الموظفات!$B$5:$B$304,0))&amp;"",""))</f>
        <v/>
      </c>
      <c r="N1781" s="20">
        <f>IF($B1781="","",IFERROR(INDEX(الموظفات!$E$5:$E$304,MATCH($B1781,الموظفات!$B$5:$B$304,0))&amp;"",""))</f>
        <v/>
      </c>
      <c r="O1781" s="21">
        <f>IF(C1781="","",IFERROR(INDEX(الإعدادات!$D$7:$D$35,MATCH(C1781,الإعدادات!$A$7:$A$35,0))&amp;"",""))</f>
        <v/>
      </c>
      <c r="P1781" s="20">
        <f>IF(A1781="","",INDEX(الإعدادات!$H$7:$H$18,MONTH(A1781)))</f>
        <v/>
      </c>
      <c r="Q1781" s="20">
        <f>IF(A1781="","",INDEX(الإعدادات!$I$7:$I$18,MONTH(A1781)))</f>
        <v/>
      </c>
      <c r="R1781" s="20">
        <f>IF(A1781="","",IF(MONTH(A1781)&gt;=8,YEAR(A1781)&amp;"-"&amp;(YEAR(A1781)+1),(YEAR(A1781)-1)&amp;"-"&amp;YEAR(A1781)))</f>
        <v/>
      </c>
      <c r="S1781" s="20">
        <f>IF(OR(A1781="",B1781=""),0,IF(AND(R1781=التقارير!$C$4,OR(التقارير!$C$5="سنوي",AND(التقارير!$C$5="شهري",P1781=التقارير!$C$6),AND(التقارير!$C$5="فصلي",Q1781=التقارير!$C$7))),1,0))</f>
        <v/>
      </c>
      <c r="T1781" s="20">
        <f>IF(S1781=1,COUNTIF($S$5:S1781,1),"")</f>
        <v/>
      </c>
      <c r="U1781">
        <f>IF(AND($A1781&lt;&gt;"",$B1781&lt;&gt;"",$R1781='تقرير الفصل الأول'!$C$4,$Q1781='تقرير الفصل الأول'!$C$7),COUNT(U$4:U1780)+1,"")</f>
        <v/>
      </c>
      <c r="V1781">
        <f>IF(AND($A1781&lt;&gt;"",$B1781&lt;&gt;"",$R1781='تقرير الفصل الثاني'!$C$4,$Q1781='تقرير الفصل الثاني'!$C$7),COUNT(V$4:V1780)+1,"")</f>
        <v/>
      </c>
      <c r="W1781">
        <f>IF(AND($A1781&lt;&gt;"",$B1781&lt;&gt;"",$R1781='تقرير سبتمبر'!$C$4,$P1781='تقرير سبتمبر'!$C$6),COUNT(W$4:W1780)+1,"")</f>
        <v/>
      </c>
      <c r="X1781">
        <f>IF(AND($A1781&lt;&gt;"",$B1781&lt;&gt;"",$R1781='تقرير أكتوبر'!$C$4,$P1781='تقرير أكتوبر'!$C$6),COUNT(X$4:X1780)+1,"")</f>
        <v/>
      </c>
      <c r="Y1781">
        <f>IF(AND($A1781&lt;&gt;"",$B1781&lt;&gt;"",$R1781='تقرير نوفمبر'!$C$4,$P1781='تقرير نوفمبر'!$C$6),COUNT(Y$4:Y1780)+1,"")</f>
        <v/>
      </c>
      <c r="Z1781">
        <f>IF(AND($A1781&lt;&gt;"",$B1781&lt;&gt;"",$R1781='تقرير ديسمبر'!$C$4,$P1781='تقرير ديسمبر'!$C$6),COUNT(Z$4:Z1780)+1,"")</f>
        <v/>
      </c>
      <c r="AA1781">
        <f>IF(AND($A1781&lt;&gt;"",$B1781&lt;&gt;"",$R1781='تقرير يناير'!$C$4,$P1781='تقرير يناير'!$C$6),COUNT(AA$4:AA1780)+1,"")</f>
        <v/>
      </c>
      <c r="AB1781">
        <f>IF(AND($A1781&lt;&gt;"",$B1781&lt;&gt;"",$R1781='تقرير فبراير'!$C$4,$P1781='تقرير فبراير'!$C$6),COUNT(AB$4:AB1780)+1,"")</f>
        <v/>
      </c>
      <c r="AC1781">
        <f>IF(AND($A1781&lt;&gt;"",$B1781&lt;&gt;"",$R1781='تقرير مارس'!$C$4,$P1781='تقرير مارس'!$C$6),COUNT(AC$4:AC1780)+1,"")</f>
        <v/>
      </c>
      <c r="AD1781">
        <f>IF(AND($A1781&lt;&gt;"",$B1781&lt;&gt;"",$R1781='تقرير أبريل'!$C$4,$P1781='تقرير أبريل'!$C$6),COUNT(AD$4:AD1780)+1,"")</f>
        <v/>
      </c>
      <c r="AE1781">
        <f>IF(AND($A1781&lt;&gt;"",$B1781&lt;&gt;"",$R1781='تقرير مايو'!$C$4,$P1781='تقرير مايو'!$C$6),COUNT(AE$4:AE1780)+1,"")</f>
        <v/>
      </c>
    </row>
    <row r="1782">
      <c r="A1782" s="16" t="n"/>
      <c r="B1782" s="17" t="n"/>
      <c r="C1782" s="17" t="n"/>
      <c r="D1782" s="18" t="n"/>
      <c r="E1782" s="17" t="n"/>
      <c r="F1782" s="17" t="n"/>
      <c r="G1782" s="19" t="n"/>
      <c r="H1782" s="17" t="n"/>
      <c r="I1782" s="17" t="n"/>
      <c r="J1782" s="17" t="n"/>
      <c r="K1782" s="20">
        <f>IF($B1782="","",IFERROR(INDEX(الموظفات!$A$5:$A$304,MATCH($B1782,الموظفات!$B$5:$B$304,0))&amp;"",""))</f>
        <v/>
      </c>
      <c r="L1782" s="21">
        <f>IF($B1782="","",IFERROR(INDEX(الموظفات!$C$5:$C$304,MATCH($B1782,الموظفات!$B$5:$B$304,0))&amp;"",""))</f>
        <v/>
      </c>
      <c r="M1782" s="20">
        <f>IF($B1782="","",IFERROR(INDEX(الموظفات!$D$5:$D$304,MATCH($B1782,الموظفات!$B$5:$B$304,0))&amp;"",""))</f>
        <v/>
      </c>
      <c r="N1782" s="20">
        <f>IF($B1782="","",IFERROR(INDEX(الموظفات!$E$5:$E$304,MATCH($B1782,الموظفات!$B$5:$B$304,0))&amp;"",""))</f>
        <v/>
      </c>
      <c r="O1782" s="21">
        <f>IF(C1782="","",IFERROR(INDEX(الإعدادات!$D$7:$D$35,MATCH(C1782,الإعدادات!$A$7:$A$35,0))&amp;"",""))</f>
        <v/>
      </c>
      <c r="P1782" s="20">
        <f>IF(A1782="","",INDEX(الإعدادات!$H$7:$H$18,MONTH(A1782)))</f>
        <v/>
      </c>
      <c r="Q1782" s="20">
        <f>IF(A1782="","",INDEX(الإعدادات!$I$7:$I$18,MONTH(A1782)))</f>
        <v/>
      </c>
      <c r="R1782" s="20">
        <f>IF(A1782="","",IF(MONTH(A1782)&gt;=8,YEAR(A1782)&amp;"-"&amp;(YEAR(A1782)+1),(YEAR(A1782)-1)&amp;"-"&amp;YEAR(A1782)))</f>
        <v/>
      </c>
      <c r="S1782" s="20">
        <f>IF(OR(A1782="",B1782=""),0,IF(AND(R1782=التقارير!$C$4,OR(التقارير!$C$5="سنوي",AND(التقارير!$C$5="شهري",P1782=التقارير!$C$6),AND(التقارير!$C$5="فصلي",Q1782=التقارير!$C$7))),1,0))</f>
        <v/>
      </c>
      <c r="T1782" s="20">
        <f>IF(S1782=1,COUNTIF($S$5:S1782,1),"")</f>
        <v/>
      </c>
      <c r="U1782">
        <f>IF(AND($A1782&lt;&gt;"",$B1782&lt;&gt;"",$R1782='تقرير الفصل الأول'!$C$4,$Q1782='تقرير الفصل الأول'!$C$7),COUNT(U$4:U1781)+1,"")</f>
        <v/>
      </c>
      <c r="V1782">
        <f>IF(AND($A1782&lt;&gt;"",$B1782&lt;&gt;"",$R1782='تقرير الفصل الثاني'!$C$4,$Q1782='تقرير الفصل الثاني'!$C$7),COUNT(V$4:V1781)+1,"")</f>
        <v/>
      </c>
      <c r="W1782">
        <f>IF(AND($A1782&lt;&gt;"",$B1782&lt;&gt;"",$R1782='تقرير سبتمبر'!$C$4,$P1782='تقرير سبتمبر'!$C$6),COUNT(W$4:W1781)+1,"")</f>
        <v/>
      </c>
      <c r="X1782">
        <f>IF(AND($A1782&lt;&gt;"",$B1782&lt;&gt;"",$R1782='تقرير أكتوبر'!$C$4,$P1782='تقرير أكتوبر'!$C$6),COUNT(X$4:X1781)+1,"")</f>
        <v/>
      </c>
      <c r="Y1782">
        <f>IF(AND($A1782&lt;&gt;"",$B1782&lt;&gt;"",$R1782='تقرير نوفمبر'!$C$4,$P1782='تقرير نوفمبر'!$C$6),COUNT(Y$4:Y1781)+1,"")</f>
        <v/>
      </c>
      <c r="Z1782">
        <f>IF(AND($A1782&lt;&gt;"",$B1782&lt;&gt;"",$R1782='تقرير ديسمبر'!$C$4,$P1782='تقرير ديسمبر'!$C$6),COUNT(Z$4:Z1781)+1,"")</f>
        <v/>
      </c>
      <c r="AA1782">
        <f>IF(AND($A1782&lt;&gt;"",$B1782&lt;&gt;"",$R1782='تقرير يناير'!$C$4,$P1782='تقرير يناير'!$C$6),COUNT(AA$4:AA1781)+1,"")</f>
        <v/>
      </c>
      <c r="AB1782">
        <f>IF(AND($A1782&lt;&gt;"",$B1782&lt;&gt;"",$R1782='تقرير فبراير'!$C$4,$P1782='تقرير فبراير'!$C$6),COUNT(AB$4:AB1781)+1,"")</f>
        <v/>
      </c>
      <c r="AC1782">
        <f>IF(AND($A1782&lt;&gt;"",$B1782&lt;&gt;"",$R1782='تقرير مارس'!$C$4,$P1782='تقرير مارس'!$C$6),COUNT(AC$4:AC1781)+1,"")</f>
        <v/>
      </c>
      <c r="AD1782">
        <f>IF(AND($A1782&lt;&gt;"",$B1782&lt;&gt;"",$R1782='تقرير أبريل'!$C$4,$P1782='تقرير أبريل'!$C$6),COUNT(AD$4:AD1781)+1,"")</f>
        <v/>
      </c>
      <c r="AE1782">
        <f>IF(AND($A1782&lt;&gt;"",$B1782&lt;&gt;"",$R1782='تقرير مايو'!$C$4,$P1782='تقرير مايو'!$C$6),COUNT(AE$4:AE1781)+1,"")</f>
        <v/>
      </c>
    </row>
    <row r="1783">
      <c r="A1783" s="16" t="n"/>
      <c r="B1783" s="17" t="n"/>
      <c r="C1783" s="17" t="n"/>
      <c r="D1783" s="18" t="n"/>
      <c r="E1783" s="17" t="n"/>
      <c r="F1783" s="17" t="n"/>
      <c r="G1783" s="19" t="n"/>
      <c r="H1783" s="17" t="n"/>
      <c r="I1783" s="17" t="n"/>
      <c r="J1783" s="17" t="n"/>
      <c r="K1783" s="20">
        <f>IF($B1783="","",IFERROR(INDEX(الموظفات!$A$5:$A$304,MATCH($B1783,الموظفات!$B$5:$B$304,0))&amp;"",""))</f>
        <v/>
      </c>
      <c r="L1783" s="21">
        <f>IF($B1783="","",IFERROR(INDEX(الموظفات!$C$5:$C$304,MATCH($B1783,الموظفات!$B$5:$B$304,0))&amp;"",""))</f>
        <v/>
      </c>
      <c r="M1783" s="20">
        <f>IF($B1783="","",IFERROR(INDEX(الموظفات!$D$5:$D$304,MATCH($B1783,الموظفات!$B$5:$B$304,0))&amp;"",""))</f>
        <v/>
      </c>
      <c r="N1783" s="20">
        <f>IF($B1783="","",IFERROR(INDEX(الموظفات!$E$5:$E$304,MATCH($B1783,الموظفات!$B$5:$B$304,0))&amp;"",""))</f>
        <v/>
      </c>
      <c r="O1783" s="21">
        <f>IF(C1783="","",IFERROR(INDEX(الإعدادات!$D$7:$D$35,MATCH(C1783,الإعدادات!$A$7:$A$35,0))&amp;"",""))</f>
        <v/>
      </c>
      <c r="P1783" s="20">
        <f>IF(A1783="","",INDEX(الإعدادات!$H$7:$H$18,MONTH(A1783)))</f>
        <v/>
      </c>
      <c r="Q1783" s="20">
        <f>IF(A1783="","",INDEX(الإعدادات!$I$7:$I$18,MONTH(A1783)))</f>
        <v/>
      </c>
      <c r="R1783" s="20">
        <f>IF(A1783="","",IF(MONTH(A1783)&gt;=8,YEAR(A1783)&amp;"-"&amp;(YEAR(A1783)+1),(YEAR(A1783)-1)&amp;"-"&amp;YEAR(A1783)))</f>
        <v/>
      </c>
      <c r="S1783" s="20">
        <f>IF(OR(A1783="",B1783=""),0,IF(AND(R1783=التقارير!$C$4,OR(التقارير!$C$5="سنوي",AND(التقارير!$C$5="شهري",P1783=التقارير!$C$6),AND(التقارير!$C$5="فصلي",Q1783=التقارير!$C$7))),1,0))</f>
        <v/>
      </c>
      <c r="T1783" s="20">
        <f>IF(S1783=1,COUNTIF($S$5:S1783,1),"")</f>
        <v/>
      </c>
      <c r="U1783">
        <f>IF(AND($A1783&lt;&gt;"",$B1783&lt;&gt;"",$R1783='تقرير الفصل الأول'!$C$4,$Q1783='تقرير الفصل الأول'!$C$7),COUNT(U$4:U1782)+1,"")</f>
        <v/>
      </c>
      <c r="V1783">
        <f>IF(AND($A1783&lt;&gt;"",$B1783&lt;&gt;"",$R1783='تقرير الفصل الثاني'!$C$4,$Q1783='تقرير الفصل الثاني'!$C$7),COUNT(V$4:V1782)+1,"")</f>
        <v/>
      </c>
      <c r="W1783">
        <f>IF(AND($A1783&lt;&gt;"",$B1783&lt;&gt;"",$R1783='تقرير سبتمبر'!$C$4,$P1783='تقرير سبتمبر'!$C$6),COUNT(W$4:W1782)+1,"")</f>
        <v/>
      </c>
      <c r="X1783">
        <f>IF(AND($A1783&lt;&gt;"",$B1783&lt;&gt;"",$R1783='تقرير أكتوبر'!$C$4,$P1783='تقرير أكتوبر'!$C$6),COUNT(X$4:X1782)+1,"")</f>
        <v/>
      </c>
      <c r="Y1783">
        <f>IF(AND($A1783&lt;&gt;"",$B1783&lt;&gt;"",$R1783='تقرير نوفمبر'!$C$4,$P1783='تقرير نوفمبر'!$C$6),COUNT(Y$4:Y1782)+1,"")</f>
        <v/>
      </c>
      <c r="Z1783">
        <f>IF(AND($A1783&lt;&gt;"",$B1783&lt;&gt;"",$R1783='تقرير ديسمبر'!$C$4,$P1783='تقرير ديسمبر'!$C$6),COUNT(Z$4:Z1782)+1,"")</f>
        <v/>
      </c>
      <c r="AA1783">
        <f>IF(AND($A1783&lt;&gt;"",$B1783&lt;&gt;"",$R1783='تقرير يناير'!$C$4,$P1783='تقرير يناير'!$C$6),COUNT(AA$4:AA1782)+1,"")</f>
        <v/>
      </c>
      <c r="AB1783">
        <f>IF(AND($A1783&lt;&gt;"",$B1783&lt;&gt;"",$R1783='تقرير فبراير'!$C$4,$P1783='تقرير فبراير'!$C$6),COUNT(AB$4:AB1782)+1,"")</f>
        <v/>
      </c>
      <c r="AC1783">
        <f>IF(AND($A1783&lt;&gt;"",$B1783&lt;&gt;"",$R1783='تقرير مارس'!$C$4,$P1783='تقرير مارس'!$C$6),COUNT(AC$4:AC1782)+1,"")</f>
        <v/>
      </c>
      <c r="AD1783">
        <f>IF(AND($A1783&lt;&gt;"",$B1783&lt;&gt;"",$R1783='تقرير أبريل'!$C$4,$P1783='تقرير أبريل'!$C$6),COUNT(AD$4:AD1782)+1,"")</f>
        <v/>
      </c>
      <c r="AE1783">
        <f>IF(AND($A1783&lt;&gt;"",$B1783&lt;&gt;"",$R1783='تقرير مايو'!$C$4,$P1783='تقرير مايو'!$C$6),COUNT(AE$4:AE1782)+1,"")</f>
        <v/>
      </c>
    </row>
    <row r="1784">
      <c r="A1784" s="16" t="n"/>
      <c r="B1784" s="17" t="n"/>
      <c r="C1784" s="17" t="n"/>
      <c r="D1784" s="18" t="n"/>
      <c r="E1784" s="17" t="n"/>
      <c r="F1784" s="17" t="n"/>
      <c r="G1784" s="19" t="n"/>
      <c r="H1784" s="17" t="n"/>
      <c r="I1784" s="17" t="n"/>
      <c r="J1784" s="17" t="n"/>
      <c r="K1784" s="20">
        <f>IF($B1784="","",IFERROR(INDEX(الموظفات!$A$5:$A$304,MATCH($B1784,الموظفات!$B$5:$B$304,0))&amp;"",""))</f>
        <v/>
      </c>
      <c r="L1784" s="21">
        <f>IF($B1784="","",IFERROR(INDEX(الموظفات!$C$5:$C$304,MATCH($B1784,الموظفات!$B$5:$B$304,0))&amp;"",""))</f>
        <v/>
      </c>
      <c r="M1784" s="20">
        <f>IF($B1784="","",IFERROR(INDEX(الموظفات!$D$5:$D$304,MATCH($B1784,الموظفات!$B$5:$B$304,0))&amp;"",""))</f>
        <v/>
      </c>
      <c r="N1784" s="20">
        <f>IF($B1784="","",IFERROR(INDEX(الموظفات!$E$5:$E$304,MATCH($B1784,الموظفات!$B$5:$B$304,0))&amp;"",""))</f>
        <v/>
      </c>
      <c r="O1784" s="21">
        <f>IF(C1784="","",IFERROR(INDEX(الإعدادات!$D$7:$D$35,MATCH(C1784,الإعدادات!$A$7:$A$35,0))&amp;"",""))</f>
        <v/>
      </c>
      <c r="P1784" s="20">
        <f>IF(A1784="","",INDEX(الإعدادات!$H$7:$H$18,MONTH(A1784)))</f>
        <v/>
      </c>
      <c r="Q1784" s="20">
        <f>IF(A1784="","",INDEX(الإعدادات!$I$7:$I$18,MONTH(A1784)))</f>
        <v/>
      </c>
      <c r="R1784" s="20">
        <f>IF(A1784="","",IF(MONTH(A1784)&gt;=8,YEAR(A1784)&amp;"-"&amp;(YEAR(A1784)+1),(YEAR(A1784)-1)&amp;"-"&amp;YEAR(A1784)))</f>
        <v/>
      </c>
      <c r="S1784" s="20">
        <f>IF(OR(A1784="",B1784=""),0,IF(AND(R1784=التقارير!$C$4,OR(التقارير!$C$5="سنوي",AND(التقارير!$C$5="شهري",P1784=التقارير!$C$6),AND(التقارير!$C$5="فصلي",Q1784=التقارير!$C$7))),1,0))</f>
        <v/>
      </c>
      <c r="T1784" s="20">
        <f>IF(S1784=1,COUNTIF($S$5:S1784,1),"")</f>
        <v/>
      </c>
      <c r="U1784">
        <f>IF(AND($A1784&lt;&gt;"",$B1784&lt;&gt;"",$R1784='تقرير الفصل الأول'!$C$4,$Q1784='تقرير الفصل الأول'!$C$7),COUNT(U$4:U1783)+1,"")</f>
        <v/>
      </c>
      <c r="V1784">
        <f>IF(AND($A1784&lt;&gt;"",$B1784&lt;&gt;"",$R1784='تقرير الفصل الثاني'!$C$4,$Q1784='تقرير الفصل الثاني'!$C$7),COUNT(V$4:V1783)+1,"")</f>
        <v/>
      </c>
      <c r="W1784">
        <f>IF(AND($A1784&lt;&gt;"",$B1784&lt;&gt;"",$R1784='تقرير سبتمبر'!$C$4,$P1784='تقرير سبتمبر'!$C$6),COUNT(W$4:W1783)+1,"")</f>
        <v/>
      </c>
      <c r="X1784">
        <f>IF(AND($A1784&lt;&gt;"",$B1784&lt;&gt;"",$R1784='تقرير أكتوبر'!$C$4,$P1784='تقرير أكتوبر'!$C$6),COUNT(X$4:X1783)+1,"")</f>
        <v/>
      </c>
      <c r="Y1784">
        <f>IF(AND($A1784&lt;&gt;"",$B1784&lt;&gt;"",$R1784='تقرير نوفمبر'!$C$4,$P1784='تقرير نوفمبر'!$C$6),COUNT(Y$4:Y1783)+1,"")</f>
        <v/>
      </c>
      <c r="Z1784">
        <f>IF(AND($A1784&lt;&gt;"",$B1784&lt;&gt;"",$R1784='تقرير ديسمبر'!$C$4,$P1784='تقرير ديسمبر'!$C$6),COUNT(Z$4:Z1783)+1,"")</f>
        <v/>
      </c>
      <c r="AA1784">
        <f>IF(AND($A1784&lt;&gt;"",$B1784&lt;&gt;"",$R1784='تقرير يناير'!$C$4,$P1784='تقرير يناير'!$C$6),COUNT(AA$4:AA1783)+1,"")</f>
        <v/>
      </c>
      <c r="AB1784">
        <f>IF(AND($A1784&lt;&gt;"",$B1784&lt;&gt;"",$R1784='تقرير فبراير'!$C$4,$P1784='تقرير فبراير'!$C$6),COUNT(AB$4:AB1783)+1,"")</f>
        <v/>
      </c>
      <c r="AC1784">
        <f>IF(AND($A1784&lt;&gt;"",$B1784&lt;&gt;"",$R1784='تقرير مارس'!$C$4,$P1784='تقرير مارس'!$C$6),COUNT(AC$4:AC1783)+1,"")</f>
        <v/>
      </c>
      <c r="AD1784">
        <f>IF(AND($A1784&lt;&gt;"",$B1784&lt;&gt;"",$R1784='تقرير أبريل'!$C$4,$P1784='تقرير أبريل'!$C$6),COUNT(AD$4:AD1783)+1,"")</f>
        <v/>
      </c>
      <c r="AE1784">
        <f>IF(AND($A1784&lt;&gt;"",$B1784&lt;&gt;"",$R1784='تقرير مايو'!$C$4,$P1784='تقرير مايو'!$C$6),COUNT(AE$4:AE1783)+1,"")</f>
        <v/>
      </c>
    </row>
    <row r="1785">
      <c r="A1785" s="16" t="n"/>
      <c r="B1785" s="17" t="n"/>
      <c r="C1785" s="17" t="n"/>
      <c r="D1785" s="18" t="n"/>
      <c r="E1785" s="17" t="n"/>
      <c r="F1785" s="17" t="n"/>
      <c r="G1785" s="19" t="n"/>
      <c r="H1785" s="17" t="n"/>
      <c r="I1785" s="17" t="n"/>
      <c r="J1785" s="17" t="n"/>
      <c r="K1785" s="20">
        <f>IF($B1785="","",IFERROR(INDEX(الموظفات!$A$5:$A$304,MATCH($B1785,الموظفات!$B$5:$B$304,0))&amp;"",""))</f>
        <v/>
      </c>
      <c r="L1785" s="21">
        <f>IF($B1785="","",IFERROR(INDEX(الموظفات!$C$5:$C$304,MATCH($B1785,الموظفات!$B$5:$B$304,0))&amp;"",""))</f>
        <v/>
      </c>
      <c r="M1785" s="20">
        <f>IF($B1785="","",IFERROR(INDEX(الموظفات!$D$5:$D$304,MATCH($B1785,الموظفات!$B$5:$B$304,0))&amp;"",""))</f>
        <v/>
      </c>
      <c r="N1785" s="20">
        <f>IF($B1785="","",IFERROR(INDEX(الموظفات!$E$5:$E$304,MATCH($B1785,الموظفات!$B$5:$B$304,0))&amp;"",""))</f>
        <v/>
      </c>
      <c r="O1785" s="21">
        <f>IF(C1785="","",IFERROR(INDEX(الإعدادات!$D$7:$D$35,MATCH(C1785,الإعدادات!$A$7:$A$35,0))&amp;"",""))</f>
        <v/>
      </c>
      <c r="P1785" s="20">
        <f>IF(A1785="","",INDEX(الإعدادات!$H$7:$H$18,MONTH(A1785)))</f>
        <v/>
      </c>
      <c r="Q1785" s="20">
        <f>IF(A1785="","",INDEX(الإعدادات!$I$7:$I$18,MONTH(A1785)))</f>
        <v/>
      </c>
      <c r="R1785" s="20">
        <f>IF(A1785="","",IF(MONTH(A1785)&gt;=8,YEAR(A1785)&amp;"-"&amp;(YEAR(A1785)+1),(YEAR(A1785)-1)&amp;"-"&amp;YEAR(A1785)))</f>
        <v/>
      </c>
      <c r="S1785" s="20">
        <f>IF(OR(A1785="",B1785=""),0,IF(AND(R1785=التقارير!$C$4,OR(التقارير!$C$5="سنوي",AND(التقارير!$C$5="شهري",P1785=التقارير!$C$6),AND(التقارير!$C$5="فصلي",Q1785=التقارير!$C$7))),1,0))</f>
        <v/>
      </c>
      <c r="T1785" s="20">
        <f>IF(S1785=1,COUNTIF($S$5:S1785,1),"")</f>
        <v/>
      </c>
      <c r="U1785">
        <f>IF(AND($A1785&lt;&gt;"",$B1785&lt;&gt;"",$R1785='تقرير الفصل الأول'!$C$4,$Q1785='تقرير الفصل الأول'!$C$7),COUNT(U$4:U1784)+1,"")</f>
        <v/>
      </c>
      <c r="V1785">
        <f>IF(AND($A1785&lt;&gt;"",$B1785&lt;&gt;"",$R1785='تقرير الفصل الثاني'!$C$4,$Q1785='تقرير الفصل الثاني'!$C$7),COUNT(V$4:V1784)+1,"")</f>
        <v/>
      </c>
      <c r="W1785">
        <f>IF(AND($A1785&lt;&gt;"",$B1785&lt;&gt;"",$R1785='تقرير سبتمبر'!$C$4,$P1785='تقرير سبتمبر'!$C$6),COUNT(W$4:W1784)+1,"")</f>
        <v/>
      </c>
      <c r="X1785">
        <f>IF(AND($A1785&lt;&gt;"",$B1785&lt;&gt;"",$R1785='تقرير أكتوبر'!$C$4,$P1785='تقرير أكتوبر'!$C$6),COUNT(X$4:X1784)+1,"")</f>
        <v/>
      </c>
      <c r="Y1785">
        <f>IF(AND($A1785&lt;&gt;"",$B1785&lt;&gt;"",$R1785='تقرير نوفمبر'!$C$4,$P1785='تقرير نوفمبر'!$C$6),COUNT(Y$4:Y1784)+1,"")</f>
        <v/>
      </c>
      <c r="Z1785">
        <f>IF(AND($A1785&lt;&gt;"",$B1785&lt;&gt;"",$R1785='تقرير ديسمبر'!$C$4,$P1785='تقرير ديسمبر'!$C$6),COUNT(Z$4:Z1784)+1,"")</f>
        <v/>
      </c>
      <c r="AA1785">
        <f>IF(AND($A1785&lt;&gt;"",$B1785&lt;&gt;"",$R1785='تقرير يناير'!$C$4,$P1785='تقرير يناير'!$C$6),COUNT(AA$4:AA1784)+1,"")</f>
        <v/>
      </c>
      <c r="AB1785">
        <f>IF(AND($A1785&lt;&gt;"",$B1785&lt;&gt;"",$R1785='تقرير فبراير'!$C$4,$P1785='تقرير فبراير'!$C$6),COUNT(AB$4:AB1784)+1,"")</f>
        <v/>
      </c>
      <c r="AC1785">
        <f>IF(AND($A1785&lt;&gt;"",$B1785&lt;&gt;"",$R1785='تقرير مارس'!$C$4,$P1785='تقرير مارس'!$C$6),COUNT(AC$4:AC1784)+1,"")</f>
        <v/>
      </c>
      <c r="AD1785">
        <f>IF(AND($A1785&lt;&gt;"",$B1785&lt;&gt;"",$R1785='تقرير أبريل'!$C$4,$P1785='تقرير أبريل'!$C$6),COUNT(AD$4:AD1784)+1,"")</f>
        <v/>
      </c>
      <c r="AE1785">
        <f>IF(AND($A1785&lt;&gt;"",$B1785&lt;&gt;"",$R1785='تقرير مايو'!$C$4,$P1785='تقرير مايو'!$C$6),COUNT(AE$4:AE1784)+1,"")</f>
        <v/>
      </c>
    </row>
    <row r="1786">
      <c r="A1786" s="16" t="n"/>
      <c r="B1786" s="17" t="n"/>
      <c r="C1786" s="17" t="n"/>
      <c r="D1786" s="18" t="n"/>
      <c r="E1786" s="17" t="n"/>
      <c r="F1786" s="17" t="n"/>
      <c r="G1786" s="19" t="n"/>
      <c r="H1786" s="17" t="n"/>
      <c r="I1786" s="17" t="n"/>
      <c r="J1786" s="17" t="n"/>
      <c r="K1786" s="20">
        <f>IF($B1786="","",IFERROR(INDEX(الموظفات!$A$5:$A$304,MATCH($B1786,الموظفات!$B$5:$B$304,0))&amp;"",""))</f>
        <v/>
      </c>
      <c r="L1786" s="21">
        <f>IF($B1786="","",IFERROR(INDEX(الموظفات!$C$5:$C$304,MATCH($B1786,الموظفات!$B$5:$B$304,0))&amp;"",""))</f>
        <v/>
      </c>
      <c r="M1786" s="20">
        <f>IF($B1786="","",IFERROR(INDEX(الموظفات!$D$5:$D$304,MATCH($B1786,الموظفات!$B$5:$B$304,0))&amp;"",""))</f>
        <v/>
      </c>
      <c r="N1786" s="20">
        <f>IF($B1786="","",IFERROR(INDEX(الموظفات!$E$5:$E$304,MATCH($B1786,الموظفات!$B$5:$B$304,0))&amp;"",""))</f>
        <v/>
      </c>
      <c r="O1786" s="21">
        <f>IF(C1786="","",IFERROR(INDEX(الإعدادات!$D$7:$D$35,MATCH(C1786,الإعدادات!$A$7:$A$35,0))&amp;"",""))</f>
        <v/>
      </c>
      <c r="P1786" s="20">
        <f>IF(A1786="","",INDEX(الإعدادات!$H$7:$H$18,MONTH(A1786)))</f>
        <v/>
      </c>
      <c r="Q1786" s="20">
        <f>IF(A1786="","",INDEX(الإعدادات!$I$7:$I$18,MONTH(A1786)))</f>
        <v/>
      </c>
      <c r="R1786" s="20">
        <f>IF(A1786="","",IF(MONTH(A1786)&gt;=8,YEAR(A1786)&amp;"-"&amp;(YEAR(A1786)+1),(YEAR(A1786)-1)&amp;"-"&amp;YEAR(A1786)))</f>
        <v/>
      </c>
      <c r="S1786" s="20">
        <f>IF(OR(A1786="",B1786=""),0,IF(AND(R1786=التقارير!$C$4,OR(التقارير!$C$5="سنوي",AND(التقارير!$C$5="شهري",P1786=التقارير!$C$6),AND(التقارير!$C$5="فصلي",Q1786=التقارير!$C$7))),1,0))</f>
        <v/>
      </c>
      <c r="T1786" s="20">
        <f>IF(S1786=1,COUNTIF($S$5:S1786,1),"")</f>
        <v/>
      </c>
      <c r="U1786">
        <f>IF(AND($A1786&lt;&gt;"",$B1786&lt;&gt;"",$R1786='تقرير الفصل الأول'!$C$4,$Q1786='تقرير الفصل الأول'!$C$7),COUNT(U$4:U1785)+1,"")</f>
        <v/>
      </c>
      <c r="V1786">
        <f>IF(AND($A1786&lt;&gt;"",$B1786&lt;&gt;"",$R1786='تقرير الفصل الثاني'!$C$4,$Q1786='تقرير الفصل الثاني'!$C$7),COUNT(V$4:V1785)+1,"")</f>
        <v/>
      </c>
      <c r="W1786">
        <f>IF(AND($A1786&lt;&gt;"",$B1786&lt;&gt;"",$R1786='تقرير سبتمبر'!$C$4,$P1786='تقرير سبتمبر'!$C$6),COUNT(W$4:W1785)+1,"")</f>
        <v/>
      </c>
      <c r="X1786">
        <f>IF(AND($A1786&lt;&gt;"",$B1786&lt;&gt;"",$R1786='تقرير أكتوبر'!$C$4,$P1786='تقرير أكتوبر'!$C$6),COUNT(X$4:X1785)+1,"")</f>
        <v/>
      </c>
      <c r="Y1786">
        <f>IF(AND($A1786&lt;&gt;"",$B1786&lt;&gt;"",$R1786='تقرير نوفمبر'!$C$4,$P1786='تقرير نوفمبر'!$C$6),COUNT(Y$4:Y1785)+1,"")</f>
        <v/>
      </c>
      <c r="Z1786">
        <f>IF(AND($A1786&lt;&gt;"",$B1786&lt;&gt;"",$R1786='تقرير ديسمبر'!$C$4,$P1786='تقرير ديسمبر'!$C$6),COUNT(Z$4:Z1785)+1,"")</f>
        <v/>
      </c>
      <c r="AA1786">
        <f>IF(AND($A1786&lt;&gt;"",$B1786&lt;&gt;"",$R1786='تقرير يناير'!$C$4,$P1786='تقرير يناير'!$C$6),COUNT(AA$4:AA1785)+1,"")</f>
        <v/>
      </c>
      <c r="AB1786">
        <f>IF(AND($A1786&lt;&gt;"",$B1786&lt;&gt;"",$R1786='تقرير فبراير'!$C$4,$P1786='تقرير فبراير'!$C$6),COUNT(AB$4:AB1785)+1,"")</f>
        <v/>
      </c>
      <c r="AC1786">
        <f>IF(AND($A1786&lt;&gt;"",$B1786&lt;&gt;"",$R1786='تقرير مارس'!$C$4,$P1786='تقرير مارس'!$C$6),COUNT(AC$4:AC1785)+1,"")</f>
        <v/>
      </c>
      <c r="AD1786">
        <f>IF(AND($A1786&lt;&gt;"",$B1786&lt;&gt;"",$R1786='تقرير أبريل'!$C$4,$P1786='تقرير أبريل'!$C$6),COUNT(AD$4:AD1785)+1,"")</f>
        <v/>
      </c>
      <c r="AE1786">
        <f>IF(AND($A1786&lt;&gt;"",$B1786&lt;&gt;"",$R1786='تقرير مايو'!$C$4,$P1786='تقرير مايو'!$C$6),COUNT(AE$4:AE1785)+1,"")</f>
        <v/>
      </c>
    </row>
    <row r="1787">
      <c r="A1787" s="16" t="n"/>
      <c r="B1787" s="17" t="n"/>
      <c r="C1787" s="17" t="n"/>
      <c r="D1787" s="18" t="n"/>
      <c r="E1787" s="17" t="n"/>
      <c r="F1787" s="17" t="n"/>
      <c r="G1787" s="19" t="n"/>
      <c r="H1787" s="17" t="n"/>
      <c r="I1787" s="17" t="n"/>
      <c r="J1787" s="17" t="n"/>
      <c r="K1787" s="20">
        <f>IF($B1787="","",IFERROR(INDEX(الموظفات!$A$5:$A$304,MATCH($B1787,الموظفات!$B$5:$B$304,0))&amp;"",""))</f>
        <v/>
      </c>
      <c r="L1787" s="21">
        <f>IF($B1787="","",IFERROR(INDEX(الموظفات!$C$5:$C$304,MATCH($B1787,الموظفات!$B$5:$B$304,0))&amp;"",""))</f>
        <v/>
      </c>
      <c r="M1787" s="20">
        <f>IF($B1787="","",IFERROR(INDEX(الموظفات!$D$5:$D$304,MATCH($B1787,الموظفات!$B$5:$B$304,0))&amp;"",""))</f>
        <v/>
      </c>
      <c r="N1787" s="20">
        <f>IF($B1787="","",IFERROR(INDEX(الموظفات!$E$5:$E$304,MATCH($B1787,الموظفات!$B$5:$B$304,0))&amp;"",""))</f>
        <v/>
      </c>
      <c r="O1787" s="21">
        <f>IF(C1787="","",IFERROR(INDEX(الإعدادات!$D$7:$D$35,MATCH(C1787,الإعدادات!$A$7:$A$35,0))&amp;"",""))</f>
        <v/>
      </c>
      <c r="P1787" s="20">
        <f>IF(A1787="","",INDEX(الإعدادات!$H$7:$H$18,MONTH(A1787)))</f>
        <v/>
      </c>
      <c r="Q1787" s="20">
        <f>IF(A1787="","",INDEX(الإعدادات!$I$7:$I$18,MONTH(A1787)))</f>
        <v/>
      </c>
      <c r="R1787" s="20">
        <f>IF(A1787="","",IF(MONTH(A1787)&gt;=8,YEAR(A1787)&amp;"-"&amp;(YEAR(A1787)+1),(YEAR(A1787)-1)&amp;"-"&amp;YEAR(A1787)))</f>
        <v/>
      </c>
      <c r="S1787" s="20">
        <f>IF(OR(A1787="",B1787=""),0,IF(AND(R1787=التقارير!$C$4,OR(التقارير!$C$5="سنوي",AND(التقارير!$C$5="شهري",P1787=التقارير!$C$6),AND(التقارير!$C$5="فصلي",Q1787=التقارير!$C$7))),1,0))</f>
        <v/>
      </c>
      <c r="T1787" s="20">
        <f>IF(S1787=1,COUNTIF($S$5:S1787,1),"")</f>
        <v/>
      </c>
      <c r="U1787">
        <f>IF(AND($A1787&lt;&gt;"",$B1787&lt;&gt;"",$R1787='تقرير الفصل الأول'!$C$4,$Q1787='تقرير الفصل الأول'!$C$7),COUNT(U$4:U1786)+1,"")</f>
        <v/>
      </c>
      <c r="V1787">
        <f>IF(AND($A1787&lt;&gt;"",$B1787&lt;&gt;"",$R1787='تقرير الفصل الثاني'!$C$4,$Q1787='تقرير الفصل الثاني'!$C$7),COUNT(V$4:V1786)+1,"")</f>
        <v/>
      </c>
      <c r="W1787">
        <f>IF(AND($A1787&lt;&gt;"",$B1787&lt;&gt;"",$R1787='تقرير سبتمبر'!$C$4,$P1787='تقرير سبتمبر'!$C$6),COUNT(W$4:W1786)+1,"")</f>
        <v/>
      </c>
      <c r="X1787">
        <f>IF(AND($A1787&lt;&gt;"",$B1787&lt;&gt;"",$R1787='تقرير أكتوبر'!$C$4,$P1787='تقرير أكتوبر'!$C$6),COUNT(X$4:X1786)+1,"")</f>
        <v/>
      </c>
      <c r="Y1787">
        <f>IF(AND($A1787&lt;&gt;"",$B1787&lt;&gt;"",$R1787='تقرير نوفمبر'!$C$4,$P1787='تقرير نوفمبر'!$C$6),COUNT(Y$4:Y1786)+1,"")</f>
        <v/>
      </c>
      <c r="Z1787">
        <f>IF(AND($A1787&lt;&gt;"",$B1787&lt;&gt;"",$R1787='تقرير ديسمبر'!$C$4,$P1787='تقرير ديسمبر'!$C$6),COUNT(Z$4:Z1786)+1,"")</f>
        <v/>
      </c>
      <c r="AA1787">
        <f>IF(AND($A1787&lt;&gt;"",$B1787&lt;&gt;"",$R1787='تقرير يناير'!$C$4,$P1787='تقرير يناير'!$C$6),COUNT(AA$4:AA1786)+1,"")</f>
        <v/>
      </c>
      <c r="AB1787">
        <f>IF(AND($A1787&lt;&gt;"",$B1787&lt;&gt;"",$R1787='تقرير فبراير'!$C$4,$P1787='تقرير فبراير'!$C$6),COUNT(AB$4:AB1786)+1,"")</f>
        <v/>
      </c>
      <c r="AC1787">
        <f>IF(AND($A1787&lt;&gt;"",$B1787&lt;&gt;"",$R1787='تقرير مارس'!$C$4,$P1787='تقرير مارس'!$C$6),COUNT(AC$4:AC1786)+1,"")</f>
        <v/>
      </c>
      <c r="AD1787">
        <f>IF(AND($A1787&lt;&gt;"",$B1787&lt;&gt;"",$R1787='تقرير أبريل'!$C$4,$P1787='تقرير أبريل'!$C$6),COUNT(AD$4:AD1786)+1,"")</f>
        <v/>
      </c>
      <c r="AE1787">
        <f>IF(AND($A1787&lt;&gt;"",$B1787&lt;&gt;"",$R1787='تقرير مايو'!$C$4,$P1787='تقرير مايو'!$C$6),COUNT(AE$4:AE1786)+1,"")</f>
        <v/>
      </c>
    </row>
    <row r="1788">
      <c r="A1788" s="16" t="n"/>
      <c r="B1788" s="17" t="n"/>
      <c r="C1788" s="17" t="n"/>
      <c r="D1788" s="18" t="n"/>
      <c r="E1788" s="17" t="n"/>
      <c r="F1788" s="17" t="n"/>
      <c r="G1788" s="19" t="n"/>
      <c r="H1788" s="17" t="n"/>
      <c r="I1788" s="17" t="n"/>
      <c r="J1788" s="17" t="n"/>
      <c r="K1788" s="20">
        <f>IF($B1788="","",IFERROR(INDEX(الموظفات!$A$5:$A$304,MATCH($B1788,الموظفات!$B$5:$B$304,0))&amp;"",""))</f>
        <v/>
      </c>
      <c r="L1788" s="21">
        <f>IF($B1788="","",IFERROR(INDEX(الموظفات!$C$5:$C$304,MATCH($B1788,الموظفات!$B$5:$B$304,0))&amp;"",""))</f>
        <v/>
      </c>
      <c r="M1788" s="20">
        <f>IF($B1788="","",IFERROR(INDEX(الموظفات!$D$5:$D$304,MATCH($B1788,الموظفات!$B$5:$B$304,0))&amp;"",""))</f>
        <v/>
      </c>
      <c r="N1788" s="20">
        <f>IF($B1788="","",IFERROR(INDEX(الموظفات!$E$5:$E$304,MATCH($B1788,الموظفات!$B$5:$B$304,0))&amp;"",""))</f>
        <v/>
      </c>
      <c r="O1788" s="21">
        <f>IF(C1788="","",IFERROR(INDEX(الإعدادات!$D$7:$D$35,MATCH(C1788,الإعدادات!$A$7:$A$35,0))&amp;"",""))</f>
        <v/>
      </c>
      <c r="P1788" s="20">
        <f>IF(A1788="","",INDEX(الإعدادات!$H$7:$H$18,MONTH(A1788)))</f>
        <v/>
      </c>
      <c r="Q1788" s="20">
        <f>IF(A1788="","",INDEX(الإعدادات!$I$7:$I$18,MONTH(A1788)))</f>
        <v/>
      </c>
      <c r="R1788" s="20">
        <f>IF(A1788="","",IF(MONTH(A1788)&gt;=8,YEAR(A1788)&amp;"-"&amp;(YEAR(A1788)+1),(YEAR(A1788)-1)&amp;"-"&amp;YEAR(A1788)))</f>
        <v/>
      </c>
      <c r="S1788" s="20">
        <f>IF(OR(A1788="",B1788=""),0,IF(AND(R1788=التقارير!$C$4,OR(التقارير!$C$5="سنوي",AND(التقارير!$C$5="شهري",P1788=التقارير!$C$6),AND(التقارير!$C$5="فصلي",Q1788=التقارير!$C$7))),1,0))</f>
        <v/>
      </c>
      <c r="T1788" s="20">
        <f>IF(S1788=1,COUNTIF($S$5:S1788,1),"")</f>
        <v/>
      </c>
      <c r="U1788">
        <f>IF(AND($A1788&lt;&gt;"",$B1788&lt;&gt;"",$R1788='تقرير الفصل الأول'!$C$4,$Q1788='تقرير الفصل الأول'!$C$7),COUNT(U$4:U1787)+1,"")</f>
        <v/>
      </c>
      <c r="V1788">
        <f>IF(AND($A1788&lt;&gt;"",$B1788&lt;&gt;"",$R1788='تقرير الفصل الثاني'!$C$4,$Q1788='تقرير الفصل الثاني'!$C$7),COUNT(V$4:V1787)+1,"")</f>
        <v/>
      </c>
      <c r="W1788">
        <f>IF(AND($A1788&lt;&gt;"",$B1788&lt;&gt;"",$R1788='تقرير سبتمبر'!$C$4,$P1788='تقرير سبتمبر'!$C$6),COUNT(W$4:W1787)+1,"")</f>
        <v/>
      </c>
      <c r="X1788">
        <f>IF(AND($A1788&lt;&gt;"",$B1788&lt;&gt;"",$R1788='تقرير أكتوبر'!$C$4,$P1788='تقرير أكتوبر'!$C$6),COUNT(X$4:X1787)+1,"")</f>
        <v/>
      </c>
      <c r="Y1788">
        <f>IF(AND($A1788&lt;&gt;"",$B1788&lt;&gt;"",$R1788='تقرير نوفمبر'!$C$4,$P1788='تقرير نوفمبر'!$C$6),COUNT(Y$4:Y1787)+1,"")</f>
        <v/>
      </c>
      <c r="Z1788">
        <f>IF(AND($A1788&lt;&gt;"",$B1788&lt;&gt;"",$R1788='تقرير ديسمبر'!$C$4,$P1788='تقرير ديسمبر'!$C$6),COUNT(Z$4:Z1787)+1,"")</f>
        <v/>
      </c>
      <c r="AA1788">
        <f>IF(AND($A1788&lt;&gt;"",$B1788&lt;&gt;"",$R1788='تقرير يناير'!$C$4,$P1788='تقرير يناير'!$C$6),COUNT(AA$4:AA1787)+1,"")</f>
        <v/>
      </c>
      <c r="AB1788">
        <f>IF(AND($A1788&lt;&gt;"",$B1788&lt;&gt;"",$R1788='تقرير فبراير'!$C$4,$P1788='تقرير فبراير'!$C$6),COUNT(AB$4:AB1787)+1,"")</f>
        <v/>
      </c>
      <c r="AC1788">
        <f>IF(AND($A1788&lt;&gt;"",$B1788&lt;&gt;"",$R1788='تقرير مارس'!$C$4,$P1788='تقرير مارس'!$C$6),COUNT(AC$4:AC1787)+1,"")</f>
        <v/>
      </c>
      <c r="AD1788">
        <f>IF(AND($A1788&lt;&gt;"",$B1788&lt;&gt;"",$R1788='تقرير أبريل'!$C$4,$P1788='تقرير أبريل'!$C$6),COUNT(AD$4:AD1787)+1,"")</f>
        <v/>
      </c>
      <c r="AE1788">
        <f>IF(AND($A1788&lt;&gt;"",$B1788&lt;&gt;"",$R1788='تقرير مايو'!$C$4,$P1788='تقرير مايو'!$C$6),COUNT(AE$4:AE1787)+1,"")</f>
        <v/>
      </c>
    </row>
    <row r="1789">
      <c r="A1789" s="16" t="n"/>
      <c r="B1789" s="17" t="n"/>
      <c r="C1789" s="17" t="n"/>
      <c r="D1789" s="18" t="n"/>
      <c r="E1789" s="17" t="n"/>
      <c r="F1789" s="17" t="n"/>
      <c r="G1789" s="19" t="n"/>
      <c r="H1789" s="17" t="n"/>
      <c r="I1789" s="17" t="n"/>
      <c r="J1789" s="17" t="n"/>
      <c r="K1789" s="20">
        <f>IF($B1789="","",IFERROR(INDEX(الموظفات!$A$5:$A$304,MATCH($B1789,الموظفات!$B$5:$B$304,0))&amp;"",""))</f>
        <v/>
      </c>
      <c r="L1789" s="21">
        <f>IF($B1789="","",IFERROR(INDEX(الموظفات!$C$5:$C$304,MATCH($B1789,الموظفات!$B$5:$B$304,0))&amp;"",""))</f>
        <v/>
      </c>
      <c r="M1789" s="20">
        <f>IF($B1789="","",IFERROR(INDEX(الموظفات!$D$5:$D$304,MATCH($B1789,الموظفات!$B$5:$B$304,0))&amp;"",""))</f>
        <v/>
      </c>
      <c r="N1789" s="20">
        <f>IF($B1789="","",IFERROR(INDEX(الموظفات!$E$5:$E$304,MATCH($B1789,الموظفات!$B$5:$B$304,0))&amp;"",""))</f>
        <v/>
      </c>
      <c r="O1789" s="21">
        <f>IF(C1789="","",IFERROR(INDEX(الإعدادات!$D$7:$D$35,MATCH(C1789,الإعدادات!$A$7:$A$35,0))&amp;"",""))</f>
        <v/>
      </c>
      <c r="P1789" s="20">
        <f>IF(A1789="","",INDEX(الإعدادات!$H$7:$H$18,MONTH(A1789)))</f>
        <v/>
      </c>
      <c r="Q1789" s="20">
        <f>IF(A1789="","",INDEX(الإعدادات!$I$7:$I$18,MONTH(A1789)))</f>
        <v/>
      </c>
      <c r="R1789" s="20">
        <f>IF(A1789="","",IF(MONTH(A1789)&gt;=8,YEAR(A1789)&amp;"-"&amp;(YEAR(A1789)+1),(YEAR(A1789)-1)&amp;"-"&amp;YEAR(A1789)))</f>
        <v/>
      </c>
      <c r="S1789" s="20">
        <f>IF(OR(A1789="",B1789=""),0,IF(AND(R1789=التقارير!$C$4,OR(التقارير!$C$5="سنوي",AND(التقارير!$C$5="شهري",P1789=التقارير!$C$6),AND(التقارير!$C$5="فصلي",Q1789=التقارير!$C$7))),1,0))</f>
        <v/>
      </c>
      <c r="T1789" s="20">
        <f>IF(S1789=1,COUNTIF($S$5:S1789,1),"")</f>
        <v/>
      </c>
      <c r="U1789">
        <f>IF(AND($A1789&lt;&gt;"",$B1789&lt;&gt;"",$R1789='تقرير الفصل الأول'!$C$4,$Q1789='تقرير الفصل الأول'!$C$7),COUNT(U$4:U1788)+1,"")</f>
        <v/>
      </c>
      <c r="V1789">
        <f>IF(AND($A1789&lt;&gt;"",$B1789&lt;&gt;"",$R1789='تقرير الفصل الثاني'!$C$4,$Q1789='تقرير الفصل الثاني'!$C$7),COUNT(V$4:V1788)+1,"")</f>
        <v/>
      </c>
      <c r="W1789">
        <f>IF(AND($A1789&lt;&gt;"",$B1789&lt;&gt;"",$R1789='تقرير سبتمبر'!$C$4,$P1789='تقرير سبتمبر'!$C$6),COUNT(W$4:W1788)+1,"")</f>
        <v/>
      </c>
      <c r="X1789">
        <f>IF(AND($A1789&lt;&gt;"",$B1789&lt;&gt;"",$R1789='تقرير أكتوبر'!$C$4,$P1789='تقرير أكتوبر'!$C$6),COUNT(X$4:X1788)+1,"")</f>
        <v/>
      </c>
      <c r="Y1789">
        <f>IF(AND($A1789&lt;&gt;"",$B1789&lt;&gt;"",$R1789='تقرير نوفمبر'!$C$4,$P1789='تقرير نوفمبر'!$C$6),COUNT(Y$4:Y1788)+1,"")</f>
        <v/>
      </c>
      <c r="Z1789">
        <f>IF(AND($A1789&lt;&gt;"",$B1789&lt;&gt;"",$R1789='تقرير ديسمبر'!$C$4,$P1789='تقرير ديسمبر'!$C$6),COUNT(Z$4:Z1788)+1,"")</f>
        <v/>
      </c>
      <c r="AA1789">
        <f>IF(AND($A1789&lt;&gt;"",$B1789&lt;&gt;"",$R1789='تقرير يناير'!$C$4,$P1789='تقرير يناير'!$C$6),COUNT(AA$4:AA1788)+1,"")</f>
        <v/>
      </c>
      <c r="AB1789">
        <f>IF(AND($A1789&lt;&gt;"",$B1789&lt;&gt;"",$R1789='تقرير فبراير'!$C$4,$P1789='تقرير فبراير'!$C$6),COUNT(AB$4:AB1788)+1,"")</f>
        <v/>
      </c>
      <c r="AC1789">
        <f>IF(AND($A1789&lt;&gt;"",$B1789&lt;&gt;"",$R1789='تقرير مارس'!$C$4,$P1789='تقرير مارس'!$C$6),COUNT(AC$4:AC1788)+1,"")</f>
        <v/>
      </c>
      <c r="AD1789">
        <f>IF(AND($A1789&lt;&gt;"",$B1789&lt;&gt;"",$R1789='تقرير أبريل'!$C$4,$P1789='تقرير أبريل'!$C$6),COUNT(AD$4:AD1788)+1,"")</f>
        <v/>
      </c>
      <c r="AE1789">
        <f>IF(AND($A1789&lt;&gt;"",$B1789&lt;&gt;"",$R1789='تقرير مايو'!$C$4,$P1789='تقرير مايو'!$C$6),COUNT(AE$4:AE1788)+1,"")</f>
        <v/>
      </c>
    </row>
    <row r="1790">
      <c r="A1790" s="16" t="n"/>
      <c r="B1790" s="17" t="n"/>
      <c r="C1790" s="17" t="n"/>
      <c r="D1790" s="18" t="n"/>
      <c r="E1790" s="17" t="n"/>
      <c r="F1790" s="17" t="n"/>
      <c r="G1790" s="19" t="n"/>
      <c r="H1790" s="17" t="n"/>
      <c r="I1790" s="17" t="n"/>
      <c r="J1790" s="17" t="n"/>
      <c r="K1790" s="20">
        <f>IF($B1790="","",IFERROR(INDEX(الموظفات!$A$5:$A$304,MATCH($B1790,الموظفات!$B$5:$B$304,0))&amp;"",""))</f>
        <v/>
      </c>
      <c r="L1790" s="21">
        <f>IF($B1790="","",IFERROR(INDEX(الموظفات!$C$5:$C$304,MATCH($B1790,الموظفات!$B$5:$B$304,0))&amp;"",""))</f>
        <v/>
      </c>
      <c r="M1790" s="20">
        <f>IF($B1790="","",IFERROR(INDEX(الموظفات!$D$5:$D$304,MATCH($B1790,الموظفات!$B$5:$B$304,0))&amp;"",""))</f>
        <v/>
      </c>
      <c r="N1790" s="20">
        <f>IF($B1790="","",IFERROR(INDEX(الموظفات!$E$5:$E$304,MATCH($B1790,الموظفات!$B$5:$B$304,0))&amp;"",""))</f>
        <v/>
      </c>
      <c r="O1790" s="21">
        <f>IF(C1790="","",IFERROR(INDEX(الإعدادات!$D$7:$D$35,MATCH(C1790,الإعدادات!$A$7:$A$35,0))&amp;"",""))</f>
        <v/>
      </c>
      <c r="P1790" s="20">
        <f>IF(A1790="","",INDEX(الإعدادات!$H$7:$H$18,MONTH(A1790)))</f>
        <v/>
      </c>
      <c r="Q1790" s="20">
        <f>IF(A1790="","",INDEX(الإعدادات!$I$7:$I$18,MONTH(A1790)))</f>
        <v/>
      </c>
      <c r="R1790" s="20">
        <f>IF(A1790="","",IF(MONTH(A1790)&gt;=8,YEAR(A1790)&amp;"-"&amp;(YEAR(A1790)+1),(YEAR(A1790)-1)&amp;"-"&amp;YEAR(A1790)))</f>
        <v/>
      </c>
      <c r="S1790" s="20">
        <f>IF(OR(A1790="",B1790=""),0,IF(AND(R1790=التقارير!$C$4,OR(التقارير!$C$5="سنوي",AND(التقارير!$C$5="شهري",P1790=التقارير!$C$6),AND(التقارير!$C$5="فصلي",Q1790=التقارير!$C$7))),1,0))</f>
        <v/>
      </c>
      <c r="T1790" s="20">
        <f>IF(S1790=1,COUNTIF($S$5:S1790,1),"")</f>
        <v/>
      </c>
      <c r="U1790">
        <f>IF(AND($A1790&lt;&gt;"",$B1790&lt;&gt;"",$R1790='تقرير الفصل الأول'!$C$4,$Q1790='تقرير الفصل الأول'!$C$7),COUNT(U$4:U1789)+1,"")</f>
        <v/>
      </c>
      <c r="V1790">
        <f>IF(AND($A1790&lt;&gt;"",$B1790&lt;&gt;"",$R1790='تقرير الفصل الثاني'!$C$4,$Q1790='تقرير الفصل الثاني'!$C$7),COUNT(V$4:V1789)+1,"")</f>
        <v/>
      </c>
      <c r="W1790">
        <f>IF(AND($A1790&lt;&gt;"",$B1790&lt;&gt;"",$R1790='تقرير سبتمبر'!$C$4,$P1790='تقرير سبتمبر'!$C$6),COUNT(W$4:W1789)+1,"")</f>
        <v/>
      </c>
      <c r="X1790">
        <f>IF(AND($A1790&lt;&gt;"",$B1790&lt;&gt;"",$R1790='تقرير أكتوبر'!$C$4,$P1790='تقرير أكتوبر'!$C$6),COUNT(X$4:X1789)+1,"")</f>
        <v/>
      </c>
      <c r="Y1790">
        <f>IF(AND($A1790&lt;&gt;"",$B1790&lt;&gt;"",$R1790='تقرير نوفمبر'!$C$4,$P1790='تقرير نوفمبر'!$C$6),COUNT(Y$4:Y1789)+1,"")</f>
        <v/>
      </c>
      <c r="Z1790">
        <f>IF(AND($A1790&lt;&gt;"",$B1790&lt;&gt;"",$R1790='تقرير ديسمبر'!$C$4,$P1790='تقرير ديسمبر'!$C$6),COUNT(Z$4:Z1789)+1,"")</f>
        <v/>
      </c>
      <c r="AA1790">
        <f>IF(AND($A1790&lt;&gt;"",$B1790&lt;&gt;"",$R1790='تقرير يناير'!$C$4,$P1790='تقرير يناير'!$C$6),COUNT(AA$4:AA1789)+1,"")</f>
        <v/>
      </c>
      <c r="AB1790">
        <f>IF(AND($A1790&lt;&gt;"",$B1790&lt;&gt;"",$R1790='تقرير فبراير'!$C$4,$P1790='تقرير فبراير'!$C$6),COUNT(AB$4:AB1789)+1,"")</f>
        <v/>
      </c>
      <c r="AC1790">
        <f>IF(AND($A1790&lt;&gt;"",$B1790&lt;&gt;"",$R1790='تقرير مارس'!$C$4,$P1790='تقرير مارس'!$C$6),COUNT(AC$4:AC1789)+1,"")</f>
        <v/>
      </c>
      <c r="AD1790">
        <f>IF(AND($A1790&lt;&gt;"",$B1790&lt;&gt;"",$R1790='تقرير أبريل'!$C$4,$P1790='تقرير أبريل'!$C$6),COUNT(AD$4:AD1789)+1,"")</f>
        <v/>
      </c>
      <c r="AE1790">
        <f>IF(AND($A1790&lt;&gt;"",$B1790&lt;&gt;"",$R1790='تقرير مايو'!$C$4,$P1790='تقرير مايو'!$C$6),COUNT(AE$4:AE1789)+1,"")</f>
        <v/>
      </c>
    </row>
    <row r="1791">
      <c r="A1791" s="16" t="n"/>
      <c r="B1791" s="17" t="n"/>
      <c r="C1791" s="17" t="n"/>
      <c r="D1791" s="18" t="n"/>
      <c r="E1791" s="17" t="n"/>
      <c r="F1791" s="17" t="n"/>
      <c r="G1791" s="19" t="n"/>
      <c r="H1791" s="17" t="n"/>
      <c r="I1791" s="17" t="n"/>
      <c r="J1791" s="17" t="n"/>
      <c r="K1791" s="20">
        <f>IF($B1791="","",IFERROR(INDEX(الموظفات!$A$5:$A$304,MATCH($B1791,الموظفات!$B$5:$B$304,0))&amp;"",""))</f>
        <v/>
      </c>
      <c r="L1791" s="21">
        <f>IF($B1791="","",IFERROR(INDEX(الموظفات!$C$5:$C$304,MATCH($B1791,الموظفات!$B$5:$B$304,0))&amp;"",""))</f>
        <v/>
      </c>
      <c r="M1791" s="20">
        <f>IF($B1791="","",IFERROR(INDEX(الموظفات!$D$5:$D$304,MATCH($B1791,الموظفات!$B$5:$B$304,0))&amp;"",""))</f>
        <v/>
      </c>
      <c r="N1791" s="20">
        <f>IF($B1791="","",IFERROR(INDEX(الموظفات!$E$5:$E$304,MATCH($B1791,الموظفات!$B$5:$B$304,0))&amp;"",""))</f>
        <v/>
      </c>
      <c r="O1791" s="21">
        <f>IF(C1791="","",IFERROR(INDEX(الإعدادات!$D$7:$D$35,MATCH(C1791,الإعدادات!$A$7:$A$35,0))&amp;"",""))</f>
        <v/>
      </c>
      <c r="P1791" s="20">
        <f>IF(A1791="","",INDEX(الإعدادات!$H$7:$H$18,MONTH(A1791)))</f>
        <v/>
      </c>
      <c r="Q1791" s="20">
        <f>IF(A1791="","",INDEX(الإعدادات!$I$7:$I$18,MONTH(A1791)))</f>
        <v/>
      </c>
      <c r="R1791" s="20">
        <f>IF(A1791="","",IF(MONTH(A1791)&gt;=8,YEAR(A1791)&amp;"-"&amp;(YEAR(A1791)+1),(YEAR(A1791)-1)&amp;"-"&amp;YEAR(A1791)))</f>
        <v/>
      </c>
      <c r="S1791" s="20">
        <f>IF(OR(A1791="",B1791=""),0,IF(AND(R1791=التقارير!$C$4,OR(التقارير!$C$5="سنوي",AND(التقارير!$C$5="شهري",P1791=التقارير!$C$6),AND(التقارير!$C$5="فصلي",Q1791=التقارير!$C$7))),1,0))</f>
        <v/>
      </c>
      <c r="T1791" s="20">
        <f>IF(S1791=1,COUNTIF($S$5:S1791,1),"")</f>
        <v/>
      </c>
      <c r="U1791">
        <f>IF(AND($A1791&lt;&gt;"",$B1791&lt;&gt;"",$R1791='تقرير الفصل الأول'!$C$4,$Q1791='تقرير الفصل الأول'!$C$7),COUNT(U$4:U1790)+1,"")</f>
        <v/>
      </c>
      <c r="V1791">
        <f>IF(AND($A1791&lt;&gt;"",$B1791&lt;&gt;"",$R1791='تقرير الفصل الثاني'!$C$4,$Q1791='تقرير الفصل الثاني'!$C$7),COUNT(V$4:V1790)+1,"")</f>
        <v/>
      </c>
      <c r="W1791">
        <f>IF(AND($A1791&lt;&gt;"",$B1791&lt;&gt;"",$R1791='تقرير سبتمبر'!$C$4,$P1791='تقرير سبتمبر'!$C$6),COUNT(W$4:W1790)+1,"")</f>
        <v/>
      </c>
      <c r="X1791">
        <f>IF(AND($A1791&lt;&gt;"",$B1791&lt;&gt;"",$R1791='تقرير أكتوبر'!$C$4,$P1791='تقرير أكتوبر'!$C$6),COUNT(X$4:X1790)+1,"")</f>
        <v/>
      </c>
      <c r="Y1791">
        <f>IF(AND($A1791&lt;&gt;"",$B1791&lt;&gt;"",$R1791='تقرير نوفمبر'!$C$4,$P1791='تقرير نوفمبر'!$C$6),COUNT(Y$4:Y1790)+1,"")</f>
        <v/>
      </c>
      <c r="Z1791">
        <f>IF(AND($A1791&lt;&gt;"",$B1791&lt;&gt;"",$R1791='تقرير ديسمبر'!$C$4,$P1791='تقرير ديسمبر'!$C$6),COUNT(Z$4:Z1790)+1,"")</f>
        <v/>
      </c>
      <c r="AA1791">
        <f>IF(AND($A1791&lt;&gt;"",$B1791&lt;&gt;"",$R1791='تقرير يناير'!$C$4,$P1791='تقرير يناير'!$C$6),COUNT(AA$4:AA1790)+1,"")</f>
        <v/>
      </c>
      <c r="AB1791">
        <f>IF(AND($A1791&lt;&gt;"",$B1791&lt;&gt;"",$R1791='تقرير فبراير'!$C$4,$P1791='تقرير فبراير'!$C$6),COUNT(AB$4:AB1790)+1,"")</f>
        <v/>
      </c>
      <c r="AC1791">
        <f>IF(AND($A1791&lt;&gt;"",$B1791&lt;&gt;"",$R1791='تقرير مارس'!$C$4,$P1791='تقرير مارس'!$C$6),COUNT(AC$4:AC1790)+1,"")</f>
        <v/>
      </c>
      <c r="AD1791">
        <f>IF(AND($A1791&lt;&gt;"",$B1791&lt;&gt;"",$R1791='تقرير أبريل'!$C$4,$P1791='تقرير أبريل'!$C$6),COUNT(AD$4:AD1790)+1,"")</f>
        <v/>
      </c>
      <c r="AE1791">
        <f>IF(AND($A1791&lt;&gt;"",$B1791&lt;&gt;"",$R1791='تقرير مايو'!$C$4,$P1791='تقرير مايو'!$C$6),COUNT(AE$4:AE1790)+1,"")</f>
        <v/>
      </c>
    </row>
    <row r="1792">
      <c r="A1792" s="16" t="n"/>
      <c r="B1792" s="17" t="n"/>
      <c r="C1792" s="17" t="n"/>
      <c r="D1792" s="18" t="n"/>
      <c r="E1792" s="17" t="n"/>
      <c r="F1792" s="17" t="n"/>
      <c r="G1792" s="19" t="n"/>
      <c r="H1792" s="17" t="n"/>
      <c r="I1792" s="17" t="n"/>
      <c r="J1792" s="17" t="n"/>
      <c r="K1792" s="20">
        <f>IF($B1792="","",IFERROR(INDEX(الموظفات!$A$5:$A$304,MATCH($B1792,الموظفات!$B$5:$B$304,0))&amp;"",""))</f>
        <v/>
      </c>
      <c r="L1792" s="21">
        <f>IF($B1792="","",IFERROR(INDEX(الموظفات!$C$5:$C$304,MATCH($B1792,الموظفات!$B$5:$B$304,0))&amp;"",""))</f>
        <v/>
      </c>
      <c r="M1792" s="20">
        <f>IF($B1792="","",IFERROR(INDEX(الموظفات!$D$5:$D$304,MATCH($B1792,الموظفات!$B$5:$B$304,0))&amp;"",""))</f>
        <v/>
      </c>
      <c r="N1792" s="20">
        <f>IF($B1792="","",IFERROR(INDEX(الموظفات!$E$5:$E$304,MATCH($B1792,الموظفات!$B$5:$B$304,0))&amp;"",""))</f>
        <v/>
      </c>
      <c r="O1792" s="21">
        <f>IF(C1792="","",IFERROR(INDEX(الإعدادات!$D$7:$D$35,MATCH(C1792,الإعدادات!$A$7:$A$35,0))&amp;"",""))</f>
        <v/>
      </c>
      <c r="P1792" s="20">
        <f>IF(A1792="","",INDEX(الإعدادات!$H$7:$H$18,MONTH(A1792)))</f>
        <v/>
      </c>
      <c r="Q1792" s="20">
        <f>IF(A1792="","",INDEX(الإعدادات!$I$7:$I$18,MONTH(A1792)))</f>
        <v/>
      </c>
      <c r="R1792" s="20">
        <f>IF(A1792="","",IF(MONTH(A1792)&gt;=8,YEAR(A1792)&amp;"-"&amp;(YEAR(A1792)+1),(YEAR(A1792)-1)&amp;"-"&amp;YEAR(A1792)))</f>
        <v/>
      </c>
      <c r="S1792" s="20">
        <f>IF(OR(A1792="",B1792=""),0,IF(AND(R1792=التقارير!$C$4,OR(التقارير!$C$5="سنوي",AND(التقارير!$C$5="شهري",P1792=التقارير!$C$6),AND(التقارير!$C$5="فصلي",Q1792=التقارير!$C$7))),1,0))</f>
        <v/>
      </c>
      <c r="T1792" s="20">
        <f>IF(S1792=1,COUNTIF($S$5:S1792,1),"")</f>
        <v/>
      </c>
      <c r="U1792">
        <f>IF(AND($A1792&lt;&gt;"",$B1792&lt;&gt;"",$R1792='تقرير الفصل الأول'!$C$4,$Q1792='تقرير الفصل الأول'!$C$7),COUNT(U$4:U1791)+1,"")</f>
        <v/>
      </c>
      <c r="V1792">
        <f>IF(AND($A1792&lt;&gt;"",$B1792&lt;&gt;"",$R1792='تقرير الفصل الثاني'!$C$4,$Q1792='تقرير الفصل الثاني'!$C$7),COUNT(V$4:V1791)+1,"")</f>
        <v/>
      </c>
      <c r="W1792">
        <f>IF(AND($A1792&lt;&gt;"",$B1792&lt;&gt;"",$R1792='تقرير سبتمبر'!$C$4,$P1792='تقرير سبتمبر'!$C$6),COUNT(W$4:W1791)+1,"")</f>
        <v/>
      </c>
      <c r="X1792">
        <f>IF(AND($A1792&lt;&gt;"",$B1792&lt;&gt;"",$R1792='تقرير أكتوبر'!$C$4,$P1792='تقرير أكتوبر'!$C$6),COUNT(X$4:X1791)+1,"")</f>
        <v/>
      </c>
      <c r="Y1792">
        <f>IF(AND($A1792&lt;&gt;"",$B1792&lt;&gt;"",$R1792='تقرير نوفمبر'!$C$4,$P1792='تقرير نوفمبر'!$C$6),COUNT(Y$4:Y1791)+1,"")</f>
        <v/>
      </c>
      <c r="Z1792">
        <f>IF(AND($A1792&lt;&gt;"",$B1792&lt;&gt;"",$R1792='تقرير ديسمبر'!$C$4,$P1792='تقرير ديسمبر'!$C$6),COUNT(Z$4:Z1791)+1,"")</f>
        <v/>
      </c>
      <c r="AA1792">
        <f>IF(AND($A1792&lt;&gt;"",$B1792&lt;&gt;"",$R1792='تقرير يناير'!$C$4,$P1792='تقرير يناير'!$C$6),COUNT(AA$4:AA1791)+1,"")</f>
        <v/>
      </c>
      <c r="AB1792">
        <f>IF(AND($A1792&lt;&gt;"",$B1792&lt;&gt;"",$R1792='تقرير فبراير'!$C$4,$P1792='تقرير فبراير'!$C$6),COUNT(AB$4:AB1791)+1,"")</f>
        <v/>
      </c>
      <c r="AC1792">
        <f>IF(AND($A1792&lt;&gt;"",$B1792&lt;&gt;"",$R1792='تقرير مارس'!$C$4,$P1792='تقرير مارس'!$C$6),COUNT(AC$4:AC1791)+1,"")</f>
        <v/>
      </c>
      <c r="AD1792">
        <f>IF(AND($A1792&lt;&gt;"",$B1792&lt;&gt;"",$R1792='تقرير أبريل'!$C$4,$P1792='تقرير أبريل'!$C$6),COUNT(AD$4:AD1791)+1,"")</f>
        <v/>
      </c>
      <c r="AE1792">
        <f>IF(AND($A1792&lt;&gt;"",$B1792&lt;&gt;"",$R1792='تقرير مايو'!$C$4,$P1792='تقرير مايو'!$C$6),COUNT(AE$4:AE1791)+1,"")</f>
        <v/>
      </c>
    </row>
    <row r="1793">
      <c r="A1793" s="16" t="n"/>
      <c r="B1793" s="17" t="n"/>
      <c r="C1793" s="17" t="n"/>
      <c r="D1793" s="18" t="n"/>
      <c r="E1793" s="17" t="n"/>
      <c r="F1793" s="17" t="n"/>
      <c r="G1793" s="19" t="n"/>
      <c r="H1793" s="17" t="n"/>
      <c r="I1793" s="17" t="n"/>
      <c r="J1793" s="17" t="n"/>
      <c r="K1793" s="20">
        <f>IF($B1793="","",IFERROR(INDEX(الموظفات!$A$5:$A$304,MATCH($B1793,الموظفات!$B$5:$B$304,0))&amp;"",""))</f>
        <v/>
      </c>
      <c r="L1793" s="21">
        <f>IF($B1793="","",IFERROR(INDEX(الموظفات!$C$5:$C$304,MATCH($B1793,الموظفات!$B$5:$B$304,0))&amp;"",""))</f>
        <v/>
      </c>
      <c r="M1793" s="20">
        <f>IF($B1793="","",IFERROR(INDEX(الموظفات!$D$5:$D$304,MATCH($B1793,الموظفات!$B$5:$B$304,0))&amp;"",""))</f>
        <v/>
      </c>
      <c r="N1793" s="20">
        <f>IF($B1793="","",IFERROR(INDEX(الموظفات!$E$5:$E$304,MATCH($B1793,الموظفات!$B$5:$B$304,0))&amp;"",""))</f>
        <v/>
      </c>
      <c r="O1793" s="21">
        <f>IF(C1793="","",IFERROR(INDEX(الإعدادات!$D$7:$D$35,MATCH(C1793,الإعدادات!$A$7:$A$35,0))&amp;"",""))</f>
        <v/>
      </c>
      <c r="P1793" s="20">
        <f>IF(A1793="","",INDEX(الإعدادات!$H$7:$H$18,MONTH(A1793)))</f>
        <v/>
      </c>
      <c r="Q1793" s="20">
        <f>IF(A1793="","",INDEX(الإعدادات!$I$7:$I$18,MONTH(A1793)))</f>
        <v/>
      </c>
      <c r="R1793" s="20">
        <f>IF(A1793="","",IF(MONTH(A1793)&gt;=8,YEAR(A1793)&amp;"-"&amp;(YEAR(A1793)+1),(YEAR(A1793)-1)&amp;"-"&amp;YEAR(A1793)))</f>
        <v/>
      </c>
      <c r="S1793" s="20">
        <f>IF(OR(A1793="",B1793=""),0,IF(AND(R1793=التقارير!$C$4,OR(التقارير!$C$5="سنوي",AND(التقارير!$C$5="شهري",P1793=التقارير!$C$6),AND(التقارير!$C$5="فصلي",Q1793=التقارير!$C$7))),1,0))</f>
        <v/>
      </c>
      <c r="T1793" s="20">
        <f>IF(S1793=1,COUNTIF($S$5:S1793,1),"")</f>
        <v/>
      </c>
      <c r="U1793">
        <f>IF(AND($A1793&lt;&gt;"",$B1793&lt;&gt;"",$R1793='تقرير الفصل الأول'!$C$4,$Q1793='تقرير الفصل الأول'!$C$7),COUNT(U$4:U1792)+1,"")</f>
        <v/>
      </c>
      <c r="V1793">
        <f>IF(AND($A1793&lt;&gt;"",$B1793&lt;&gt;"",$R1793='تقرير الفصل الثاني'!$C$4,$Q1793='تقرير الفصل الثاني'!$C$7),COUNT(V$4:V1792)+1,"")</f>
        <v/>
      </c>
      <c r="W1793">
        <f>IF(AND($A1793&lt;&gt;"",$B1793&lt;&gt;"",$R1793='تقرير سبتمبر'!$C$4,$P1793='تقرير سبتمبر'!$C$6),COUNT(W$4:W1792)+1,"")</f>
        <v/>
      </c>
      <c r="X1793">
        <f>IF(AND($A1793&lt;&gt;"",$B1793&lt;&gt;"",$R1793='تقرير أكتوبر'!$C$4,$P1793='تقرير أكتوبر'!$C$6),COUNT(X$4:X1792)+1,"")</f>
        <v/>
      </c>
      <c r="Y1793">
        <f>IF(AND($A1793&lt;&gt;"",$B1793&lt;&gt;"",$R1793='تقرير نوفمبر'!$C$4,$P1793='تقرير نوفمبر'!$C$6),COUNT(Y$4:Y1792)+1,"")</f>
        <v/>
      </c>
      <c r="Z1793">
        <f>IF(AND($A1793&lt;&gt;"",$B1793&lt;&gt;"",$R1793='تقرير ديسمبر'!$C$4,$P1793='تقرير ديسمبر'!$C$6),COUNT(Z$4:Z1792)+1,"")</f>
        <v/>
      </c>
      <c r="AA1793">
        <f>IF(AND($A1793&lt;&gt;"",$B1793&lt;&gt;"",$R1793='تقرير يناير'!$C$4,$P1793='تقرير يناير'!$C$6),COUNT(AA$4:AA1792)+1,"")</f>
        <v/>
      </c>
      <c r="AB1793">
        <f>IF(AND($A1793&lt;&gt;"",$B1793&lt;&gt;"",$R1793='تقرير فبراير'!$C$4,$P1793='تقرير فبراير'!$C$6),COUNT(AB$4:AB1792)+1,"")</f>
        <v/>
      </c>
      <c r="AC1793">
        <f>IF(AND($A1793&lt;&gt;"",$B1793&lt;&gt;"",$R1793='تقرير مارس'!$C$4,$P1793='تقرير مارس'!$C$6),COUNT(AC$4:AC1792)+1,"")</f>
        <v/>
      </c>
      <c r="AD1793">
        <f>IF(AND($A1793&lt;&gt;"",$B1793&lt;&gt;"",$R1793='تقرير أبريل'!$C$4,$P1793='تقرير أبريل'!$C$6),COUNT(AD$4:AD1792)+1,"")</f>
        <v/>
      </c>
      <c r="AE1793">
        <f>IF(AND($A1793&lt;&gt;"",$B1793&lt;&gt;"",$R1793='تقرير مايو'!$C$4,$P1793='تقرير مايو'!$C$6),COUNT(AE$4:AE1792)+1,"")</f>
        <v/>
      </c>
    </row>
    <row r="1794">
      <c r="A1794" s="16" t="n"/>
      <c r="B1794" s="17" t="n"/>
      <c r="C1794" s="17" t="n"/>
      <c r="D1794" s="18" t="n"/>
      <c r="E1794" s="17" t="n"/>
      <c r="F1794" s="17" t="n"/>
      <c r="G1794" s="19" t="n"/>
      <c r="H1794" s="17" t="n"/>
      <c r="I1794" s="17" t="n"/>
      <c r="J1794" s="17" t="n"/>
      <c r="K1794" s="20">
        <f>IF($B1794="","",IFERROR(INDEX(الموظفات!$A$5:$A$304,MATCH($B1794,الموظفات!$B$5:$B$304,0))&amp;"",""))</f>
        <v/>
      </c>
      <c r="L1794" s="21">
        <f>IF($B1794="","",IFERROR(INDEX(الموظفات!$C$5:$C$304,MATCH($B1794,الموظفات!$B$5:$B$304,0))&amp;"",""))</f>
        <v/>
      </c>
      <c r="M1794" s="20">
        <f>IF($B1794="","",IFERROR(INDEX(الموظفات!$D$5:$D$304,MATCH($B1794,الموظفات!$B$5:$B$304,0))&amp;"",""))</f>
        <v/>
      </c>
      <c r="N1794" s="20">
        <f>IF($B1794="","",IFERROR(INDEX(الموظفات!$E$5:$E$304,MATCH($B1794,الموظفات!$B$5:$B$304,0))&amp;"",""))</f>
        <v/>
      </c>
      <c r="O1794" s="21">
        <f>IF(C1794="","",IFERROR(INDEX(الإعدادات!$D$7:$D$35,MATCH(C1794,الإعدادات!$A$7:$A$35,0))&amp;"",""))</f>
        <v/>
      </c>
      <c r="P1794" s="20">
        <f>IF(A1794="","",INDEX(الإعدادات!$H$7:$H$18,MONTH(A1794)))</f>
        <v/>
      </c>
      <c r="Q1794" s="20">
        <f>IF(A1794="","",INDEX(الإعدادات!$I$7:$I$18,MONTH(A1794)))</f>
        <v/>
      </c>
      <c r="R1794" s="20">
        <f>IF(A1794="","",IF(MONTH(A1794)&gt;=8,YEAR(A1794)&amp;"-"&amp;(YEAR(A1794)+1),(YEAR(A1794)-1)&amp;"-"&amp;YEAR(A1794)))</f>
        <v/>
      </c>
      <c r="S1794" s="20">
        <f>IF(OR(A1794="",B1794=""),0,IF(AND(R1794=التقارير!$C$4,OR(التقارير!$C$5="سنوي",AND(التقارير!$C$5="شهري",P1794=التقارير!$C$6),AND(التقارير!$C$5="فصلي",Q1794=التقارير!$C$7))),1,0))</f>
        <v/>
      </c>
      <c r="T1794" s="20">
        <f>IF(S1794=1,COUNTIF($S$5:S1794,1),"")</f>
        <v/>
      </c>
      <c r="U1794">
        <f>IF(AND($A1794&lt;&gt;"",$B1794&lt;&gt;"",$R1794='تقرير الفصل الأول'!$C$4,$Q1794='تقرير الفصل الأول'!$C$7),COUNT(U$4:U1793)+1,"")</f>
        <v/>
      </c>
      <c r="V1794">
        <f>IF(AND($A1794&lt;&gt;"",$B1794&lt;&gt;"",$R1794='تقرير الفصل الثاني'!$C$4,$Q1794='تقرير الفصل الثاني'!$C$7),COUNT(V$4:V1793)+1,"")</f>
        <v/>
      </c>
      <c r="W1794">
        <f>IF(AND($A1794&lt;&gt;"",$B1794&lt;&gt;"",$R1794='تقرير سبتمبر'!$C$4,$P1794='تقرير سبتمبر'!$C$6),COUNT(W$4:W1793)+1,"")</f>
        <v/>
      </c>
      <c r="X1794">
        <f>IF(AND($A1794&lt;&gt;"",$B1794&lt;&gt;"",$R1794='تقرير أكتوبر'!$C$4,$P1794='تقرير أكتوبر'!$C$6),COUNT(X$4:X1793)+1,"")</f>
        <v/>
      </c>
      <c r="Y1794">
        <f>IF(AND($A1794&lt;&gt;"",$B1794&lt;&gt;"",$R1794='تقرير نوفمبر'!$C$4,$P1794='تقرير نوفمبر'!$C$6),COUNT(Y$4:Y1793)+1,"")</f>
        <v/>
      </c>
      <c r="Z1794">
        <f>IF(AND($A1794&lt;&gt;"",$B1794&lt;&gt;"",$R1794='تقرير ديسمبر'!$C$4,$P1794='تقرير ديسمبر'!$C$6),COUNT(Z$4:Z1793)+1,"")</f>
        <v/>
      </c>
      <c r="AA1794">
        <f>IF(AND($A1794&lt;&gt;"",$B1794&lt;&gt;"",$R1794='تقرير يناير'!$C$4,$P1794='تقرير يناير'!$C$6),COUNT(AA$4:AA1793)+1,"")</f>
        <v/>
      </c>
      <c r="AB1794">
        <f>IF(AND($A1794&lt;&gt;"",$B1794&lt;&gt;"",$R1794='تقرير فبراير'!$C$4,$P1794='تقرير فبراير'!$C$6),COUNT(AB$4:AB1793)+1,"")</f>
        <v/>
      </c>
      <c r="AC1794">
        <f>IF(AND($A1794&lt;&gt;"",$B1794&lt;&gt;"",$R1794='تقرير مارس'!$C$4,$P1794='تقرير مارس'!$C$6),COUNT(AC$4:AC1793)+1,"")</f>
        <v/>
      </c>
      <c r="AD1794">
        <f>IF(AND($A1794&lt;&gt;"",$B1794&lt;&gt;"",$R1794='تقرير أبريل'!$C$4,$P1794='تقرير أبريل'!$C$6),COUNT(AD$4:AD1793)+1,"")</f>
        <v/>
      </c>
      <c r="AE1794">
        <f>IF(AND($A1794&lt;&gt;"",$B1794&lt;&gt;"",$R1794='تقرير مايو'!$C$4,$P1794='تقرير مايو'!$C$6),COUNT(AE$4:AE1793)+1,"")</f>
        <v/>
      </c>
    </row>
    <row r="1795">
      <c r="A1795" s="16" t="n"/>
      <c r="B1795" s="17" t="n"/>
      <c r="C1795" s="17" t="n"/>
      <c r="D1795" s="18" t="n"/>
      <c r="E1795" s="17" t="n"/>
      <c r="F1795" s="17" t="n"/>
      <c r="G1795" s="19" t="n"/>
      <c r="H1795" s="17" t="n"/>
      <c r="I1795" s="17" t="n"/>
      <c r="J1795" s="17" t="n"/>
      <c r="K1795" s="20">
        <f>IF($B1795="","",IFERROR(INDEX(الموظفات!$A$5:$A$304,MATCH($B1795,الموظفات!$B$5:$B$304,0))&amp;"",""))</f>
        <v/>
      </c>
      <c r="L1795" s="21">
        <f>IF($B1795="","",IFERROR(INDEX(الموظفات!$C$5:$C$304,MATCH($B1795,الموظفات!$B$5:$B$304,0))&amp;"",""))</f>
        <v/>
      </c>
      <c r="M1795" s="20">
        <f>IF($B1795="","",IFERROR(INDEX(الموظفات!$D$5:$D$304,MATCH($B1795,الموظفات!$B$5:$B$304,0))&amp;"",""))</f>
        <v/>
      </c>
      <c r="N1795" s="20">
        <f>IF($B1795="","",IFERROR(INDEX(الموظفات!$E$5:$E$304,MATCH($B1795,الموظفات!$B$5:$B$304,0))&amp;"",""))</f>
        <v/>
      </c>
      <c r="O1795" s="21">
        <f>IF(C1795="","",IFERROR(INDEX(الإعدادات!$D$7:$D$35,MATCH(C1795,الإعدادات!$A$7:$A$35,0))&amp;"",""))</f>
        <v/>
      </c>
      <c r="P1795" s="20">
        <f>IF(A1795="","",INDEX(الإعدادات!$H$7:$H$18,MONTH(A1795)))</f>
        <v/>
      </c>
      <c r="Q1795" s="20">
        <f>IF(A1795="","",INDEX(الإعدادات!$I$7:$I$18,MONTH(A1795)))</f>
        <v/>
      </c>
      <c r="R1795" s="20">
        <f>IF(A1795="","",IF(MONTH(A1795)&gt;=8,YEAR(A1795)&amp;"-"&amp;(YEAR(A1795)+1),(YEAR(A1795)-1)&amp;"-"&amp;YEAR(A1795)))</f>
        <v/>
      </c>
      <c r="S1795" s="20">
        <f>IF(OR(A1795="",B1795=""),0,IF(AND(R1795=التقارير!$C$4,OR(التقارير!$C$5="سنوي",AND(التقارير!$C$5="شهري",P1795=التقارير!$C$6),AND(التقارير!$C$5="فصلي",Q1795=التقارير!$C$7))),1,0))</f>
        <v/>
      </c>
      <c r="T1795" s="20">
        <f>IF(S1795=1,COUNTIF($S$5:S1795,1),"")</f>
        <v/>
      </c>
      <c r="U1795">
        <f>IF(AND($A1795&lt;&gt;"",$B1795&lt;&gt;"",$R1795='تقرير الفصل الأول'!$C$4,$Q1795='تقرير الفصل الأول'!$C$7),COUNT(U$4:U1794)+1,"")</f>
        <v/>
      </c>
      <c r="V1795">
        <f>IF(AND($A1795&lt;&gt;"",$B1795&lt;&gt;"",$R1795='تقرير الفصل الثاني'!$C$4,$Q1795='تقرير الفصل الثاني'!$C$7),COUNT(V$4:V1794)+1,"")</f>
        <v/>
      </c>
      <c r="W1795">
        <f>IF(AND($A1795&lt;&gt;"",$B1795&lt;&gt;"",$R1795='تقرير سبتمبر'!$C$4,$P1795='تقرير سبتمبر'!$C$6),COUNT(W$4:W1794)+1,"")</f>
        <v/>
      </c>
      <c r="X1795">
        <f>IF(AND($A1795&lt;&gt;"",$B1795&lt;&gt;"",$R1795='تقرير أكتوبر'!$C$4,$P1795='تقرير أكتوبر'!$C$6),COUNT(X$4:X1794)+1,"")</f>
        <v/>
      </c>
      <c r="Y1795">
        <f>IF(AND($A1795&lt;&gt;"",$B1795&lt;&gt;"",$R1795='تقرير نوفمبر'!$C$4,$P1795='تقرير نوفمبر'!$C$6),COUNT(Y$4:Y1794)+1,"")</f>
        <v/>
      </c>
      <c r="Z1795">
        <f>IF(AND($A1795&lt;&gt;"",$B1795&lt;&gt;"",$R1795='تقرير ديسمبر'!$C$4,$P1795='تقرير ديسمبر'!$C$6),COUNT(Z$4:Z1794)+1,"")</f>
        <v/>
      </c>
      <c r="AA1795">
        <f>IF(AND($A1795&lt;&gt;"",$B1795&lt;&gt;"",$R1795='تقرير يناير'!$C$4,$P1795='تقرير يناير'!$C$6),COUNT(AA$4:AA1794)+1,"")</f>
        <v/>
      </c>
      <c r="AB1795">
        <f>IF(AND($A1795&lt;&gt;"",$B1795&lt;&gt;"",$R1795='تقرير فبراير'!$C$4,$P1795='تقرير فبراير'!$C$6),COUNT(AB$4:AB1794)+1,"")</f>
        <v/>
      </c>
      <c r="AC1795">
        <f>IF(AND($A1795&lt;&gt;"",$B1795&lt;&gt;"",$R1795='تقرير مارس'!$C$4,$P1795='تقرير مارس'!$C$6),COUNT(AC$4:AC1794)+1,"")</f>
        <v/>
      </c>
      <c r="AD1795">
        <f>IF(AND($A1795&lt;&gt;"",$B1795&lt;&gt;"",$R1795='تقرير أبريل'!$C$4,$P1795='تقرير أبريل'!$C$6),COUNT(AD$4:AD1794)+1,"")</f>
        <v/>
      </c>
      <c r="AE1795">
        <f>IF(AND($A1795&lt;&gt;"",$B1795&lt;&gt;"",$R1795='تقرير مايو'!$C$4,$P1795='تقرير مايو'!$C$6),COUNT(AE$4:AE1794)+1,"")</f>
        <v/>
      </c>
    </row>
    <row r="1796">
      <c r="A1796" s="16" t="n"/>
      <c r="B1796" s="17" t="n"/>
      <c r="C1796" s="17" t="n"/>
      <c r="D1796" s="18" t="n"/>
      <c r="E1796" s="17" t="n"/>
      <c r="F1796" s="17" t="n"/>
      <c r="G1796" s="19" t="n"/>
      <c r="H1796" s="17" t="n"/>
      <c r="I1796" s="17" t="n"/>
      <c r="J1796" s="17" t="n"/>
      <c r="K1796" s="20">
        <f>IF($B1796="","",IFERROR(INDEX(الموظفات!$A$5:$A$304,MATCH($B1796,الموظفات!$B$5:$B$304,0))&amp;"",""))</f>
        <v/>
      </c>
      <c r="L1796" s="21">
        <f>IF($B1796="","",IFERROR(INDEX(الموظفات!$C$5:$C$304,MATCH($B1796,الموظفات!$B$5:$B$304,0))&amp;"",""))</f>
        <v/>
      </c>
      <c r="M1796" s="20">
        <f>IF($B1796="","",IFERROR(INDEX(الموظفات!$D$5:$D$304,MATCH($B1796,الموظفات!$B$5:$B$304,0))&amp;"",""))</f>
        <v/>
      </c>
      <c r="N1796" s="20">
        <f>IF($B1796="","",IFERROR(INDEX(الموظفات!$E$5:$E$304,MATCH($B1796,الموظفات!$B$5:$B$304,0))&amp;"",""))</f>
        <v/>
      </c>
      <c r="O1796" s="21">
        <f>IF(C1796="","",IFERROR(INDEX(الإعدادات!$D$7:$D$35,MATCH(C1796,الإعدادات!$A$7:$A$35,0))&amp;"",""))</f>
        <v/>
      </c>
      <c r="P1796" s="20">
        <f>IF(A1796="","",INDEX(الإعدادات!$H$7:$H$18,MONTH(A1796)))</f>
        <v/>
      </c>
      <c r="Q1796" s="20">
        <f>IF(A1796="","",INDEX(الإعدادات!$I$7:$I$18,MONTH(A1796)))</f>
        <v/>
      </c>
      <c r="R1796" s="20">
        <f>IF(A1796="","",IF(MONTH(A1796)&gt;=8,YEAR(A1796)&amp;"-"&amp;(YEAR(A1796)+1),(YEAR(A1796)-1)&amp;"-"&amp;YEAR(A1796)))</f>
        <v/>
      </c>
      <c r="S1796" s="20">
        <f>IF(OR(A1796="",B1796=""),0,IF(AND(R1796=التقارير!$C$4,OR(التقارير!$C$5="سنوي",AND(التقارير!$C$5="شهري",P1796=التقارير!$C$6),AND(التقارير!$C$5="فصلي",Q1796=التقارير!$C$7))),1,0))</f>
        <v/>
      </c>
      <c r="T1796" s="20">
        <f>IF(S1796=1,COUNTIF($S$5:S1796,1),"")</f>
        <v/>
      </c>
      <c r="U1796">
        <f>IF(AND($A1796&lt;&gt;"",$B1796&lt;&gt;"",$R1796='تقرير الفصل الأول'!$C$4,$Q1796='تقرير الفصل الأول'!$C$7),COUNT(U$4:U1795)+1,"")</f>
        <v/>
      </c>
      <c r="V1796">
        <f>IF(AND($A1796&lt;&gt;"",$B1796&lt;&gt;"",$R1796='تقرير الفصل الثاني'!$C$4,$Q1796='تقرير الفصل الثاني'!$C$7),COUNT(V$4:V1795)+1,"")</f>
        <v/>
      </c>
      <c r="W1796">
        <f>IF(AND($A1796&lt;&gt;"",$B1796&lt;&gt;"",$R1796='تقرير سبتمبر'!$C$4,$P1796='تقرير سبتمبر'!$C$6),COUNT(W$4:W1795)+1,"")</f>
        <v/>
      </c>
      <c r="X1796">
        <f>IF(AND($A1796&lt;&gt;"",$B1796&lt;&gt;"",$R1796='تقرير أكتوبر'!$C$4,$P1796='تقرير أكتوبر'!$C$6),COUNT(X$4:X1795)+1,"")</f>
        <v/>
      </c>
      <c r="Y1796">
        <f>IF(AND($A1796&lt;&gt;"",$B1796&lt;&gt;"",$R1796='تقرير نوفمبر'!$C$4,$P1796='تقرير نوفمبر'!$C$6),COUNT(Y$4:Y1795)+1,"")</f>
        <v/>
      </c>
      <c r="Z1796">
        <f>IF(AND($A1796&lt;&gt;"",$B1796&lt;&gt;"",$R1796='تقرير ديسمبر'!$C$4,$P1796='تقرير ديسمبر'!$C$6),COUNT(Z$4:Z1795)+1,"")</f>
        <v/>
      </c>
      <c r="AA1796">
        <f>IF(AND($A1796&lt;&gt;"",$B1796&lt;&gt;"",$R1796='تقرير يناير'!$C$4,$P1796='تقرير يناير'!$C$6),COUNT(AA$4:AA1795)+1,"")</f>
        <v/>
      </c>
      <c r="AB1796">
        <f>IF(AND($A1796&lt;&gt;"",$B1796&lt;&gt;"",$R1796='تقرير فبراير'!$C$4,$P1796='تقرير فبراير'!$C$6),COUNT(AB$4:AB1795)+1,"")</f>
        <v/>
      </c>
      <c r="AC1796">
        <f>IF(AND($A1796&lt;&gt;"",$B1796&lt;&gt;"",$R1796='تقرير مارس'!$C$4,$P1796='تقرير مارس'!$C$6),COUNT(AC$4:AC1795)+1,"")</f>
        <v/>
      </c>
      <c r="AD1796">
        <f>IF(AND($A1796&lt;&gt;"",$B1796&lt;&gt;"",$R1796='تقرير أبريل'!$C$4,$P1796='تقرير أبريل'!$C$6),COUNT(AD$4:AD1795)+1,"")</f>
        <v/>
      </c>
      <c r="AE1796">
        <f>IF(AND($A1796&lt;&gt;"",$B1796&lt;&gt;"",$R1796='تقرير مايو'!$C$4,$P1796='تقرير مايو'!$C$6),COUNT(AE$4:AE1795)+1,"")</f>
        <v/>
      </c>
    </row>
    <row r="1797">
      <c r="A1797" s="16" t="n"/>
      <c r="B1797" s="17" t="n"/>
      <c r="C1797" s="17" t="n"/>
      <c r="D1797" s="18" t="n"/>
      <c r="E1797" s="17" t="n"/>
      <c r="F1797" s="17" t="n"/>
      <c r="G1797" s="19" t="n"/>
      <c r="H1797" s="17" t="n"/>
      <c r="I1797" s="17" t="n"/>
      <c r="J1797" s="17" t="n"/>
      <c r="K1797" s="20">
        <f>IF($B1797="","",IFERROR(INDEX(الموظفات!$A$5:$A$304,MATCH($B1797,الموظفات!$B$5:$B$304,0))&amp;"",""))</f>
        <v/>
      </c>
      <c r="L1797" s="21">
        <f>IF($B1797="","",IFERROR(INDEX(الموظفات!$C$5:$C$304,MATCH($B1797,الموظفات!$B$5:$B$304,0))&amp;"",""))</f>
        <v/>
      </c>
      <c r="M1797" s="20">
        <f>IF($B1797="","",IFERROR(INDEX(الموظفات!$D$5:$D$304,MATCH($B1797,الموظفات!$B$5:$B$304,0))&amp;"",""))</f>
        <v/>
      </c>
      <c r="N1797" s="20">
        <f>IF($B1797="","",IFERROR(INDEX(الموظفات!$E$5:$E$304,MATCH($B1797,الموظفات!$B$5:$B$304,0))&amp;"",""))</f>
        <v/>
      </c>
      <c r="O1797" s="21">
        <f>IF(C1797="","",IFERROR(INDEX(الإعدادات!$D$7:$D$35,MATCH(C1797,الإعدادات!$A$7:$A$35,0))&amp;"",""))</f>
        <v/>
      </c>
      <c r="P1797" s="20">
        <f>IF(A1797="","",INDEX(الإعدادات!$H$7:$H$18,MONTH(A1797)))</f>
        <v/>
      </c>
      <c r="Q1797" s="20">
        <f>IF(A1797="","",INDEX(الإعدادات!$I$7:$I$18,MONTH(A1797)))</f>
        <v/>
      </c>
      <c r="R1797" s="20">
        <f>IF(A1797="","",IF(MONTH(A1797)&gt;=8,YEAR(A1797)&amp;"-"&amp;(YEAR(A1797)+1),(YEAR(A1797)-1)&amp;"-"&amp;YEAR(A1797)))</f>
        <v/>
      </c>
      <c r="S1797" s="20">
        <f>IF(OR(A1797="",B1797=""),0,IF(AND(R1797=التقارير!$C$4,OR(التقارير!$C$5="سنوي",AND(التقارير!$C$5="شهري",P1797=التقارير!$C$6),AND(التقارير!$C$5="فصلي",Q1797=التقارير!$C$7))),1,0))</f>
        <v/>
      </c>
      <c r="T1797" s="20">
        <f>IF(S1797=1,COUNTIF($S$5:S1797,1),"")</f>
        <v/>
      </c>
      <c r="U1797">
        <f>IF(AND($A1797&lt;&gt;"",$B1797&lt;&gt;"",$R1797='تقرير الفصل الأول'!$C$4,$Q1797='تقرير الفصل الأول'!$C$7),COUNT(U$4:U1796)+1,"")</f>
        <v/>
      </c>
      <c r="V1797">
        <f>IF(AND($A1797&lt;&gt;"",$B1797&lt;&gt;"",$R1797='تقرير الفصل الثاني'!$C$4,$Q1797='تقرير الفصل الثاني'!$C$7),COUNT(V$4:V1796)+1,"")</f>
        <v/>
      </c>
      <c r="W1797">
        <f>IF(AND($A1797&lt;&gt;"",$B1797&lt;&gt;"",$R1797='تقرير سبتمبر'!$C$4,$P1797='تقرير سبتمبر'!$C$6),COUNT(W$4:W1796)+1,"")</f>
        <v/>
      </c>
      <c r="X1797">
        <f>IF(AND($A1797&lt;&gt;"",$B1797&lt;&gt;"",$R1797='تقرير أكتوبر'!$C$4,$P1797='تقرير أكتوبر'!$C$6),COUNT(X$4:X1796)+1,"")</f>
        <v/>
      </c>
      <c r="Y1797">
        <f>IF(AND($A1797&lt;&gt;"",$B1797&lt;&gt;"",$R1797='تقرير نوفمبر'!$C$4,$P1797='تقرير نوفمبر'!$C$6),COUNT(Y$4:Y1796)+1,"")</f>
        <v/>
      </c>
      <c r="Z1797">
        <f>IF(AND($A1797&lt;&gt;"",$B1797&lt;&gt;"",$R1797='تقرير ديسمبر'!$C$4,$P1797='تقرير ديسمبر'!$C$6),COUNT(Z$4:Z1796)+1,"")</f>
        <v/>
      </c>
      <c r="AA1797">
        <f>IF(AND($A1797&lt;&gt;"",$B1797&lt;&gt;"",$R1797='تقرير يناير'!$C$4,$P1797='تقرير يناير'!$C$6),COUNT(AA$4:AA1796)+1,"")</f>
        <v/>
      </c>
      <c r="AB1797">
        <f>IF(AND($A1797&lt;&gt;"",$B1797&lt;&gt;"",$R1797='تقرير فبراير'!$C$4,$P1797='تقرير فبراير'!$C$6),COUNT(AB$4:AB1796)+1,"")</f>
        <v/>
      </c>
      <c r="AC1797">
        <f>IF(AND($A1797&lt;&gt;"",$B1797&lt;&gt;"",$R1797='تقرير مارس'!$C$4,$P1797='تقرير مارس'!$C$6),COUNT(AC$4:AC1796)+1,"")</f>
        <v/>
      </c>
      <c r="AD1797">
        <f>IF(AND($A1797&lt;&gt;"",$B1797&lt;&gt;"",$R1797='تقرير أبريل'!$C$4,$P1797='تقرير أبريل'!$C$6),COUNT(AD$4:AD1796)+1,"")</f>
        <v/>
      </c>
      <c r="AE1797">
        <f>IF(AND($A1797&lt;&gt;"",$B1797&lt;&gt;"",$R1797='تقرير مايو'!$C$4,$P1797='تقرير مايو'!$C$6),COUNT(AE$4:AE1796)+1,"")</f>
        <v/>
      </c>
    </row>
    <row r="1798">
      <c r="A1798" s="16" t="n"/>
      <c r="B1798" s="17" t="n"/>
      <c r="C1798" s="17" t="n"/>
      <c r="D1798" s="18" t="n"/>
      <c r="E1798" s="17" t="n"/>
      <c r="F1798" s="17" t="n"/>
      <c r="G1798" s="19" t="n"/>
      <c r="H1798" s="17" t="n"/>
      <c r="I1798" s="17" t="n"/>
      <c r="J1798" s="17" t="n"/>
      <c r="K1798" s="20">
        <f>IF($B1798="","",IFERROR(INDEX(الموظفات!$A$5:$A$304,MATCH($B1798,الموظفات!$B$5:$B$304,0))&amp;"",""))</f>
        <v/>
      </c>
      <c r="L1798" s="21">
        <f>IF($B1798="","",IFERROR(INDEX(الموظفات!$C$5:$C$304,MATCH($B1798,الموظفات!$B$5:$B$304,0))&amp;"",""))</f>
        <v/>
      </c>
      <c r="M1798" s="20">
        <f>IF($B1798="","",IFERROR(INDEX(الموظفات!$D$5:$D$304,MATCH($B1798,الموظفات!$B$5:$B$304,0))&amp;"",""))</f>
        <v/>
      </c>
      <c r="N1798" s="20">
        <f>IF($B1798="","",IFERROR(INDEX(الموظفات!$E$5:$E$304,MATCH($B1798,الموظفات!$B$5:$B$304,0))&amp;"",""))</f>
        <v/>
      </c>
      <c r="O1798" s="21">
        <f>IF(C1798="","",IFERROR(INDEX(الإعدادات!$D$7:$D$35,MATCH(C1798,الإعدادات!$A$7:$A$35,0))&amp;"",""))</f>
        <v/>
      </c>
      <c r="P1798" s="20">
        <f>IF(A1798="","",INDEX(الإعدادات!$H$7:$H$18,MONTH(A1798)))</f>
        <v/>
      </c>
      <c r="Q1798" s="20">
        <f>IF(A1798="","",INDEX(الإعدادات!$I$7:$I$18,MONTH(A1798)))</f>
        <v/>
      </c>
      <c r="R1798" s="20">
        <f>IF(A1798="","",IF(MONTH(A1798)&gt;=8,YEAR(A1798)&amp;"-"&amp;(YEAR(A1798)+1),(YEAR(A1798)-1)&amp;"-"&amp;YEAR(A1798)))</f>
        <v/>
      </c>
      <c r="S1798" s="20">
        <f>IF(OR(A1798="",B1798=""),0,IF(AND(R1798=التقارير!$C$4,OR(التقارير!$C$5="سنوي",AND(التقارير!$C$5="شهري",P1798=التقارير!$C$6),AND(التقارير!$C$5="فصلي",Q1798=التقارير!$C$7))),1,0))</f>
        <v/>
      </c>
      <c r="T1798" s="20">
        <f>IF(S1798=1,COUNTIF($S$5:S1798,1),"")</f>
        <v/>
      </c>
      <c r="U1798">
        <f>IF(AND($A1798&lt;&gt;"",$B1798&lt;&gt;"",$R1798='تقرير الفصل الأول'!$C$4,$Q1798='تقرير الفصل الأول'!$C$7),COUNT(U$4:U1797)+1,"")</f>
        <v/>
      </c>
      <c r="V1798">
        <f>IF(AND($A1798&lt;&gt;"",$B1798&lt;&gt;"",$R1798='تقرير الفصل الثاني'!$C$4,$Q1798='تقرير الفصل الثاني'!$C$7),COUNT(V$4:V1797)+1,"")</f>
        <v/>
      </c>
      <c r="W1798">
        <f>IF(AND($A1798&lt;&gt;"",$B1798&lt;&gt;"",$R1798='تقرير سبتمبر'!$C$4,$P1798='تقرير سبتمبر'!$C$6),COUNT(W$4:W1797)+1,"")</f>
        <v/>
      </c>
      <c r="X1798">
        <f>IF(AND($A1798&lt;&gt;"",$B1798&lt;&gt;"",$R1798='تقرير أكتوبر'!$C$4,$P1798='تقرير أكتوبر'!$C$6),COUNT(X$4:X1797)+1,"")</f>
        <v/>
      </c>
      <c r="Y1798">
        <f>IF(AND($A1798&lt;&gt;"",$B1798&lt;&gt;"",$R1798='تقرير نوفمبر'!$C$4,$P1798='تقرير نوفمبر'!$C$6),COUNT(Y$4:Y1797)+1,"")</f>
        <v/>
      </c>
      <c r="Z1798">
        <f>IF(AND($A1798&lt;&gt;"",$B1798&lt;&gt;"",$R1798='تقرير ديسمبر'!$C$4,$P1798='تقرير ديسمبر'!$C$6),COUNT(Z$4:Z1797)+1,"")</f>
        <v/>
      </c>
      <c r="AA1798">
        <f>IF(AND($A1798&lt;&gt;"",$B1798&lt;&gt;"",$R1798='تقرير يناير'!$C$4,$P1798='تقرير يناير'!$C$6),COUNT(AA$4:AA1797)+1,"")</f>
        <v/>
      </c>
      <c r="AB1798">
        <f>IF(AND($A1798&lt;&gt;"",$B1798&lt;&gt;"",$R1798='تقرير فبراير'!$C$4,$P1798='تقرير فبراير'!$C$6),COUNT(AB$4:AB1797)+1,"")</f>
        <v/>
      </c>
      <c r="AC1798">
        <f>IF(AND($A1798&lt;&gt;"",$B1798&lt;&gt;"",$R1798='تقرير مارس'!$C$4,$P1798='تقرير مارس'!$C$6),COUNT(AC$4:AC1797)+1,"")</f>
        <v/>
      </c>
      <c r="AD1798">
        <f>IF(AND($A1798&lt;&gt;"",$B1798&lt;&gt;"",$R1798='تقرير أبريل'!$C$4,$P1798='تقرير أبريل'!$C$6),COUNT(AD$4:AD1797)+1,"")</f>
        <v/>
      </c>
      <c r="AE1798">
        <f>IF(AND($A1798&lt;&gt;"",$B1798&lt;&gt;"",$R1798='تقرير مايو'!$C$4,$P1798='تقرير مايو'!$C$6),COUNT(AE$4:AE1797)+1,"")</f>
        <v/>
      </c>
    </row>
    <row r="1799">
      <c r="A1799" s="16" t="n"/>
      <c r="B1799" s="17" t="n"/>
      <c r="C1799" s="17" t="n"/>
      <c r="D1799" s="18" t="n"/>
      <c r="E1799" s="17" t="n"/>
      <c r="F1799" s="17" t="n"/>
      <c r="G1799" s="19" t="n"/>
      <c r="H1799" s="17" t="n"/>
      <c r="I1799" s="17" t="n"/>
      <c r="J1799" s="17" t="n"/>
      <c r="K1799" s="20">
        <f>IF($B1799="","",IFERROR(INDEX(الموظفات!$A$5:$A$304,MATCH($B1799,الموظفات!$B$5:$B$304,0))&amp;"",""))</f>
        <v/>
      </c>
      <c r="L1799" s="21">
        <f>IF($B1799="","",IFERROR(INDEX(الموظفات!$C$5:$C$304,MATCH($B1799,الموظفات!$B$5:$B$304,0))&amp;"",""))</f>
        <v/>
      </c>
      <c r="M1799" s="20">
        <f>IF($B1799="","",IFERROR(INDEX(الموظفات!$D$5:$D$304,MATCH($B1799,الموظفات!$B$5:$B$304,0))&amp;"",""))</f>
        <v/>
      </c>
      <c r="N1799" s="20">
        <f>IF($B1799="","",IFERROR(INDEX(الموظفات!$E$5:$E$304,MATCH($B1799,الموظفات!$B$5:$B$304,0))&amp;"",""))</f>
        <v/>
      </c>
      <c r="O1799" s="21">
        <f>IF(C1799="","",IFERROR(INDEX(الإعدادات!$D$7:$D$35,MATCH(C1799,الإعدادات!$A$7:$A$35,0))&amp;"",""))</f>
        <v/>
      </c>
      <c r="P1799" s="20">
        <f>IF(A1799="","",INDEX(الإعدادات!$H$7:$H$18,MONTH(A1799)))</f>
        <v/>
      </c>
      <c r="Q1799" s="20">
        <f>IF(A1799="","",INDEX(الإعدادات!$I$7:$I$18,MONTH(A1799)))</f>
        <v/>
      </c>
      <c r="R1799" s="20">
        <f>IF(A1799="","",IF(MONTH(A1799)&gt;=8,YEAR(A1799)&amp;"-"&amp;(YEAR(A1799)+1),(YEAR(A1799)-1)&amp;"-"&amp;YEAR(A1799)))</f>
        <v/>
      </c>
      <c r="S1799" s="20">
        <f>IF(OR(A1799="",B1799=""),0,IF(AND(R1799=التقارير!$C$4,OR(التقارير!$C$5="سنوي",AND(التقارير!$C$5="شهري",P1799=التقارير!$C$6),AND(التقارير!$C$5="فصلي",Q1799=التقارير!$C$7))),1,0))</f>
        <v/>
      </c>
      <c r="T1799" s="20">
        <f>IF(S1799=1,COUNTIF($S$5:S1799,1),"")</f>
        <v/>
      </c>
      <c r="U1799">
        <f>IF(AND($A1799&lt;&gt;"",$B1799&lt;&gt;"",$R1799='تقرير الفصل الأول'!$C$4,$Q1799='تقرير الفصل الأول'!$C$7),COUNT(U$4:U1798)+1,"")</f>
        <v/>
      </c>
      <c r="V1799">
        <f>IF(AND($A1799&lt;&gt;"",$B1799&lt;&gt;"",$R1799='تقرير الفصل الثاني'!$C$4,$Q1799='تقرير الفصل الثاني'!$C$7),COUNT(V$4:V1798)+1,"")</f>
        <v/>
      </c>
      <c r="W1799">
        <f>IF(AND($A1799&lt;&gt;"",$B1799&lt;&gt;"",$R1799='تقرير سبتمبر'!$C$4,$P1799='تقرير سبتمبر'!$C$6),COUNT(W$4:W1798)+1,"")</f>
        <v/>
      </c>
      <c r="X1799">
        <f>IF(AND($A1799&lt;&gt;"",$B1799&lt;&gt;"",$R1799='تقرير أكتوبر'!$C$4,$P1799='تقرير أكتوبر'!$C$6),COUNT(X$4:X1798)+1,"")</f>
        <v/>
      </c>
      <c r="Y1799">
        <f>IF(AND($A1799&lt;&gt;"",$B1799&lt;&gt;"",$R1799='تقرير نوفمبر'!$C$4,$P1799='تقرير نوفمبر'!$C$6),COUNT(Y$4:Y1798)+1,"")</f>
        <v/>
      </c>
      <c r="Z1799">
        <f>IF(AND($A1799&lt;&gt;"",$B1799&lt;&gt;"",$R1799='تقرير ديسمبر'!$C$4,$P1799='تقرير ديسمبر'!$C$6),COUNT(Z$4:Z1798)+1,"")</f>
        <v/>
      </c>
      <c r="AA1799">
        <f>IF(AND($A1799&lt;&gt;"",$B1799&lt;&gt;"",$R1799='تقرير يناير'!$C$4,$P1799='تقرير يناير'!$C$6),COUNT(AA$4:AA1798)+1,"")</f>
        <v/>
      </c>
      <c r="AB1799">
        <f>IF(AND($A1799&lt;&gt;"",$B1799&lt;&gt;"",$R1799='تقرير فبراير'!$C$4,$P1799='تقرير فبراير'!$C$6),COUNT(AB$4:AB1798)+1,"")</f>
        <v/>
      </c>
      <c r="AC1799">
        <f>IF(AND($A1799&lt;&gt;"",$B1799&lt;&gt;"",$R1799='تقرير مارس'!$C$4,$P1799='تقرير مارس'!$C$6),COUNT(AC$4:AC1798)+1,"")</f>
        <v/>
      </c>
      <c r="AD1799">
        <f>IF(AND($A1799&lt;&gt;"",$B1799&lt;&gt;"",$R1799='تقرير أبريل'!$C$4,$P1799='تقرير أبريل'!$C$6),COUNT(AD$4:AD1798)+1,"")</f>
        <v/>
      </c>
      <c r="AE1799">
        <f>IF(AND($A1799&lt;&gt;"",$B1799&lt;&gt;"",$R1799='تقرير مايو'!$C$4,$P1799='تقرير مايو'!$C$6),COUNT(AE$4:AE1798)+1,"")</f>
        <v/>
      </c>
    </row>
    <row r="1800">
      <c r="A1800" s="16" t="n"/>
      <c r="B1800" s="17" t="n"/>
      <c r="C1800" s="17" t="n"/>
      <c r="D1800" s="18" t="n"/>
      <c r="E1800" s="17" t="n"/>
      <c r="F1800" s="17" t="n"/>
      <c r="G1800" s="19" t="n"/>
      <c r="H1800" s="17" t="n"/>
      <c r="I1800" s="17" t="n"/>
      <c r="J1800" s="17" t="n"/>
      <c r="K1800" s="20">
        <f>IF($B1800="","",IFERROR(INDEX(الموظفات!$A$5:$A$304,MATCH($B1800,الموظفات!$B$5:$B$304,0))&amp;"",""))</f>
        <v/>
      </c>
      <c r="L1800" s="21">
        <f>IF($B1800="","",IFERROR(INDEX(الموظفات!$C$5:$C$304,MATCH($B1800,الموظفات!$B$5:$B$304,0))&amp;"",""))</f>
        <v/>
      </c>
      <c r="M1800" s="20">
        <f>IF($B1800="","",IFERROR(INDEX(الموظفات!$D$5:$D$304,MATCH($B1800,الموظفات!$B$5:$B$304,0))&amp;"",""))</f>
        <v/>
      </c>
      <c r="N1800" s="20">
        <f>IF($B1800="","",IFERROR(INDEX(الموظفات!$E$5:$E$304,MATCH($B1800,الموظفات!$B$5:$B$304,0))&amp;"",""))</f>
        <v/>
      </c>
      <c r="O1800" s="21">
        <f>IF(C1800="","",IFERROR(INDEX(الإعدادات!$D$7:$D$35,MATCH(C1800,الإعدادات!$A$7:$A$35,0))&amp;"",""))</f>
        <v/>
      </c>
      <c r="P1800" s="20">
        <f>IF(A1800="","",INDEX(الإعدادات!$H$7:$H$18,MONTH(A1800)))</f>
        <v/>
      </c>
      <c r="Q1800" s="20">
        <f>IF(A1800="","",INDEX(الإعدادات!$I$7:$I$18,MONTH(A1800)))</f>
        <v/>
      </c>
      <c r="R1800" s="20">
        <f>IF(A1800="","",IF(MONTH(A1800)&gt;=8,YEAR(A1800)&amp;"-"&amp;(YEAR(A1800)+1),(YEAR(A1800)-1)&amp;"-"&amp;YEAR(A1800)))</f>
        <v/>
      </c>
      <c r="S1800" s="20">
        <f>IF(OR(A1800="",B1800=""),0,IF(AND(R1800=التقارير!$C$4,OR(التقارير!$C$5="سنوي",AND(التقارير!$C$5="شهري",P1800=التقارير!$C$6),AND(التقارير!$C$5="فصلي",Q1800=التقارير!$C$7))),1,0))</f>
        <v/>
      </c>
      <c r="T1800" s="20">
        <f>IF(S1800=1,COUNTIF($S$5:S1800,1),"")</f>
        <v/>
      </c>
      <c r="U1800">
        <f>IF(AND($A1800&lt;&gt;"",$B1800&lt;&gt;"",$R1800='تقرير الفصل الأول'!$C$4,$Q1800='تقرير الفصل الأول'!$C$7),COUNT(U$4:U1799)+1,"")</f>
        <v/>
      </c>
      <c r="V1800">
        <f>IF(AND($A1800&lt;&gt;"",$B1800&lt;&gt;"",$R1800='تقرير الفصل الثاني'!$C$4,$Q1800='تقرير الفصل الثاني'!$C$7),COUNT(V$4:V1799)+1,"")</f>
        <v/>
      </c>
      <c r="W1800">
        <f>IF(AND($A1800&lt;&gt;"",$B1800&lt;&gt;"",$R1800='تقرير سبتمبر'!$C$4,$P1800='تقرير سبتمبر'!$C$6),COUNT(W$4:W1799)+1,"")</f>
        <v/>
      </c>
      <c r="X1800">
        <f>IF(AND($A1800&lt;&gt;"",$B1800&lt;&gt;"",$R1800='تقرير أكتوبر'!$C$4,$P1800='تقرير أكتوبر'!$C$6),COUNT(X$4:X1799)+1,"")</f>
        <v/>
      </c>
      <c r="Y1800">
        <f>IF(AND($A1800&lt;&gt;"",$B1800&lt;&gt;"",$R1800='تقرير نوفمبر'!$C$4,$P1800='تقرير نوفمبر'!$C$6),COUNT(Y$4:Y1799)+1,"")</f>
        <v/>
      </c>
      <c r="Z1800">
        <f>IF(AND($A1800&lt;&gt;"",$B1800&lt;&gt;"",$R1800='تقرير ديسمبر'!$C$4,$P1800='تقرير ديسمبر'!$C$6),COUNT(Z$4:Z1799)+1,"")</f>
        <v/>
      </c>
      <c r="AA1800">
        <f>IF(AND($A1800&lt;&gt;"",$B1800&lt;&gt;"",$R1800='تقرير يناير'!$C$4,$P1800='تقرير يناير'!$C$6),COUNT(AA$4:AA1799)+1,"")</f>
        <v/>
      </c>
      <c r="AB1800">
        <f>IF(AND($A1800&lt;&gt;"",$B1800&lt;&gt;"",$R1800='تقرير فبراير'!$C$4,$P1800='تقرير فبراير'!$C$6),COUNT(AB$4:AB1799)+1,"")</f>
        <v/>
      </c>
      <c r="AC1800">
        <f>IF(AND($A1800&lt;&gt;"",$B1800&lt;&gt;"",$R1800='تقرير مارس'!$C$4,$P1800='تقرير مارس'!$C$6),COUNT(AC$4:AC1799)+1,"")</f>
        <v/>
      </c>
      <c r="AD1800">
        <f>IF(AND($A1800&lt;&gt;"",$B1800&lt;&gt;"",$R1800='تقرير أبريل'!$C$4,$P1800='تقرير أبريل'!$C$6),COUNT(AD$4:AD1799)+1,"")</f>
        <v/>
      </c>
      <c r="AE1800">
        <f>IF(AND($A1800&lt;&gt;"",$B1800&lt;&gt;"",$R1800='تقرير مايو'!$C$4,$P1800='تقرير مايو'!$C$6),COUNT(AE$4:AE1799)+1,"")</f>
        <v/>
      </c>
    </row>
    <row r="1801">
      <c r="A1801" s="16" t="n"/>
      <c r="B1801" s="17" t="n"/>
      <c r="C1801" s="17" t="n"/>
      <c r="D1801" s="18" t="n"/>
      <c r="E1801" s="17" t="n"/>
      <c r="F1801" s="17" t="n"/>
      <c r="G1801" s="19" t="n"/>
      <c r="H1801" s="17" t="n"/>
      <c r="I1801" s="17" t="n"/>
      <c r="J1801" s="17" t="n"/>
      <c r="K1801" s="20">
        <f>IF($B1801="","",IFERROR(INDEX(الموظفات!$A$5:$A$304,MATCH($B1801,الموظفات!$B$5:$B$304,0))&amp;"",""))</f>
        <v/>
      </c>
      <c r="L1801" s="21">
        <f>IF($B1801="","",IFERROR(INDEX(الموظفات!$C$5:$C$304,MATCH($B1801,الموظفات!$B$5:$B$304,0))&amp;"",""))</f>
        <v/>
      </c>
      <c r="M1801" s="20">
        <f>IF($B1801="","",IFERROR(INDEX(الموظفات!$D$5:$D$304,MATCH($B1801,الموظفات!$B$5:$B$304,0))&amp;"",""))</f>
        <v/>
      </c>
      <c r="N1801" s="20">
        <f>IF($B1801="","",IFERROR(INDEX(الموظفات!$E$5:$E$304,MATCH($B1801,الموظفات!$B$5:$B$304,0))&amp;"",""))</f>
        <v/>
      </c>
      <c r="O1801" s="21">
        <f>IF(C1801="","",IFERROR(INDEX(الإعدادات!$D$7:$D$35,MATCH(C1801,الإعدادات!$A$7:$A$35,0))&amp;"",""))</f>
        <v/>
      </c>
      <c r="P1801" s="20">
        <f>IF(A1801="","",INDEX(الإعدادات!$H$7:$H$18,MONTH(A1801)))</f>
        <v/>
      </c>
      <c r="Q1801" s="20">
        <f>IF(A1801="","",INDEX(الإعدادات!$I$7:$I$18,MONTH(A1801)))</f>
        <v/>
      </c>
      <c r="R1801" s="20">
        <f>IF(A1801="","",IF(MONTH(A1801)&gt;=8,YEAR(A1801)&amp;"-"&amp;(YEAR(A1801)+1),(YEAR(A1801)-1)&amp;"-"&amp;YEAR(A1801)))</f>
        <v/>
      </c>
      <c r="S1801" s="20">
        <f>IF(OR(A1801="",B1801=""),0,IF(AND(R1801=التقارير!$C$4,OR(التقارير!$C$5="سنوي",AND(التقارير!$C$5="شهري",P1801=التقارير!$C$6),AND(التقارير!$C$5="فصلي",Q1801=التقارير!$C$7))),1,0))</f>
        <v/>
      </c>
      <c r="T1801" s="20">
        <f>IF(S1801=1,COUNTIF($S$5:S1801,1),"")</f>
        <v/>
      </c>
      <c r="U1801">
        <f>IF(AND($A1801&lt;&gt;"",$B1801&lt;&gt;"",$R1801='تقرير الفصل الأول'!$C$4,$Q1801='تقرير الفصل الأول'!$C$7),COUNT(U$4:U1800)+1,"")</f>
        <v/>
      </c>
      <c r="V1801">
        <f>IF(AND($A1801&lt;&gt;"",$B1801&lt;&gt;"",$R1801='تقرير الفصل الثاني'!$C$4,$Q1801='تقرير الفصل الثاني'!$C$7),COUNT(V$4:V1800)+1,"")</f>
        <v/>
      </c>
      <c r="W1801">
        <f>IF(AND($A1801&lt;&gt;"",$B1801&lt;&gt;"",$R1801='تقرير سبتمبر'!$C$4,$P1801='تقرير سبتمبر'!$C$6),COUNT(W$4:W1800)+1,"")</f>
        <v/>
      </c>
      <c r="X1801">
        <f>IF(AND($A1801&lt;&gt;"",$B1801&lt;&gt;"",$R1801='تقرير أكتوبر'!$C$4,$P1801='تقرير أكتوبر'!$C$6),COUNT(X$4:X1800)+1,"")</f>
        <v/>
      </c>
      <c r="Y1801">
        <f>IF(AND($A1801&lt;&gt;"",$B1801&lt;&gt;"",$R1801='تقرير نوفمبر'!$C$4,$P1801='تقرير نوفمبر'!$C$6),COUNT(Y$4:Y1800)+1,"")</f>
        <v/>
      </c>
      <c r="Z1801">
        <f>IF(AND($A1801&lt;&gt;"",$B1801&lt;&gt;"",$R1801='تقرير ديسمبر'!$C$4,$P1801='تقرير ديسمبر'!$C$6),COUNT(Z$4:Z1800)+1,"")</f>
        <v/>
      </c>
      <c r="AA1801">
        <f>IF(AND($A1801&lt;&gt;"",$B1801&lt;&gt;"",$R1801='تقرير يناير'!$C$4,$P1801='تقرير يناير'!$C$6),COUNT(AA$4:AA1800)+1,"")</f>
        <v/>
      </c>
      <c r="AB1801">
        <f>IF(AND($A1801&lt;&gt;"",$B1801&lt;&gt;"",$R1801='تقرير فبراير'!$C$4,$P1801='تقرير فبراير'!$C$6),COUNT(AB$4:AB1800)+1,"")</f>
        <v/>
      </c>
      <c r="AC1801">
        <f>IF(AND($A1801&lt;&gt;"",$B1801&lt;&gt;"",$R1801='تقرير مارس'!$C$4,$P1801='تقرير مارس'!$C$6),COUNT(AC$4:AC1800)+1,"")</f>
        <v/>
      </c>
      <c r="AD1801">
        <f>IF(AND($A1801&lt;&gt;"",$B1801&lt;&gt;"",$R1801='تقرير أبريل'!$C$4,$P1801='تقرير أبريل'!$C$6),COUNT(AD$4:AD1800)+1,"")</f>
        <v/>
      </c>
      <c r="AE1801">
        <f>IF(AND($A1801&lt;&gt;"",$B1801&lt;&gt;"",$R1801='تقرير مايو'!$C$4,$P1801='تقرير مايو'!$C$6),COUNT(AE$4:AE1800)+1,"")</f>
        <v/>
      </c>
    </row>
    <row r="1802">
      <c r="A1802" s="16" t="n"/>
      <c r="B1802" s="17" t="n"/>
      <c r="C1802" s="17" t="n"/>
      <c r="D1802" s="18" t="n"/>
      <c r="E1802" s="17" t="n"/>
      <c r="F1802" s="17" t="n"/>
      <c r="G1802" s="19" t="n"/>
      <c r="H1802" s="17" t="n"/>
      <c r="I1802" s="17" t="n"/>
      <c r="J1802" s="17" t="n"/>
      <c r="K1802" s="20">
        <f>IF($B1802="","",IFERROR(INDEX(الموظفات!$A$5:$A$304,MATCH($B1802,الموظفات!$B$5:$B$304,0))&amp;"",""))</f>
        <v/>
      </c>
      <c r="L1802" s="21">
        <f>IF($B1802="","",IFERROR(INDEX(الموظفات!$C$5:$C$304,MATCH($B1802,الموظفات!$B$5:$B$304,0))&amp;"",""))</f>
        <v/>
      </c>
      <c r="M1802" s="20">
        <f>IF($B1802="","",IFERROR(INDEX(الموظفات!$D$5:$D$304,MATCH($B1802,الموظفات!$B$5:$B$304,0))&amp;"",""))</f>
        <v/>
      </c>
      <c r="N1802" s="20">
        <f>IF($B1802="","",IFERROR(INDEX(الموظفات!$E$5:$E$304,MATCH($B1802,الموظفات!$B$5:$B$304,0))&amp;"",""))</f>
        <v/>
      </c>
      <c r="O1802" s="21">
        <f>IF(C1802="","",IFERROR(INDEX(الإعدادات!$D$7:$D$35,MATCH(C1802,الإعدادات!$A$7:$A$35,0))&amp;"",""))</f>
        <v/>
      </c>
      <c r="P1802" s="20">
        <f>IF(A1802="","",INDEX(الإعدادات!$H$7:$H$18,MONTH(A1802)))</f>
        <v/>
      </c>
      <c r="Q1802" s="20">
        <f>IF(A1802="","",INDEX(الإعدادات!$I$7:$I$18,MONTH(A1802)))</f>
        <v/>
      </c>
      <c r="R1802" s="20">
        <f>IF(A1802="","",IF(MONTH(A1802)&gt;=8,YEAR(A1802)&amp;"-"&amp;(YEAR(A1802)+1),(YEAR(A1802)-1)&amp;"-"&amp;YEAR(A1802)))</f>
        <v/>
      </c>
      <c r="S1802" s="20">
        <f>IF(OR(A1802="",B1802=""),0,IF(AND(R1802=التقارير!$C$4,OR(التقارير!$C$5="سنوي",AND(التقارير!$C$5="شهري",P1802=التقارير!$C$6),AND(التقارير!$C$5="فصلي",Q1802=التقارير!$C$7))),1,0))</f>
        <v/>
      </c>
      <c r="T1802" s="20">
        <f>IF(S1802=1,COUNTIF($S$5:S1802,1),"")</f>
        <v/>
      </c>
      <c r="U1802">
        <f>IF(AND($A1802&lt;&gt;"",$B1802&lt;&gt;"",$R1802='تقرير الفصل الأول'!$C$4,$Q1802='تقرير الفصل الأول'!$C$7),COUNT(U$4:U1801)+1,"")</f>
        <v/>
      </c>
      <c r="V1802">
        <f>IF(AND($A1802&lt;&gt;"",$B1802&lt;&gt;"",$R1802='تقرير الفصل الثاني'!$C$4,$Q1802='تقرير الفصل الثاني'!$C$7),COUNT(V$4:V1801)+1,"")</f>
        <v/>
      </c>
      <c r="W1802">
        <f>IF(AND($A1802&lt;&gt;"",$B1802&lt;&gt;"",$R1802='تقرير سبتمبر'!$C$4,$P1802='تقرير سبتمبر'!$C$6),COUNT(W$4:W1801)+1,"")</f>
        <v/>
      </c>
      <c r="X1802">
        <f>IF(AND($A1802&lt;&gt;"",$B1802&lt;&gt;"",$R1802='تقرير أكتوبر'!$C$4,$P1802='تقرير أكتوبر'!$C$6),COUNT(X$4:X1801)+1,"")</f>
        <v/>
      </c>
      <c r="Y1802">
        <f>IF(AND($A1802&lt;&gt;"",$B1802&lt;&gt;"",$R1802='تقرير نوفمبر'!$C$4,$P1802='تقرير نوفمبر'!$C$6),COUNT(Y$4:Y1801)+1,"")</f>
        <v/>
      </c>
      <c r="Z1802">
        <f>IF(AND($A1802&lt;&gt;"",$B1802&lt;&gt;"",$R1802='تقرير ديسمبر'!$C$4,$P1802='تقرير ديسمبر'!$C$6),COUNT(Z$4:Z1801)+1,"")</f>
        <v/>
      </c>
      <c r="AA1802">
        <f>IF(AND($A1802&lt;&gt;"",$B1802&lt;&gt;"",$R1802='تقرير يناير'!$C$4,$P1802='تقرير يناير'!$C$6),COUNT(AA$4:AA1801)+1,"")</f>
        <v/>
      </c>
      <c r="AB1802">
        <f>IF(AND($A1802&lt;&gt;"",$B1802&lt;&gt;"",$R1802='تقرير فبراير'!$C$4,$P1802='تقرير فبراير'!$C$6),COUNT(AB$4:AB1801)+1,"")</f>
        <v/>
      </c>
      <c r="AC1802">
        <f>IF(AND($A1802&lt;&gt;"",$B1802&lt;&gt;"",$R1802='تقرير مارس'!$C$4,$P1802='تقرير مارس'!$C$6),COUNT(AC$4:AC1801)+1,"")</f>
        <v/>
      </c>
      <c r="AD1802">
        <f>IF(AND($A1802&lt;&gt;"",$B1802&lt;&gt;"",$R1802='تقرير أبريل'!$C$4,$P1802='تقرير أبريل'!$C$6),COUNT(AD$4:AD1801)+1,"")</f>
        <v/>
      </c>
      <c r="AE1802">
        <f>IF(AND($A1802&lt;&gt;"",$B1802&lt;&gt;"",$R1802='تقرير مايو'!$C$4,$P1802='تقرير مايو'!$C$6),COUNT(AE$4:AE1801)+1,"")</f>
        <v/>
      </c>
    </row>
    <row r="1803">
      <c r="A1803" s="16" t="n"/>
      <c r="B1803" s="17" t="n"/>
      <c r="C1803" s="17" t="n"/>
      <c r="D1803" s="18" t="n"/>
      <c r="E1803" s="17" t="n"/>
      <c r="F1803" s="17" t="n"/>
      <c r="G1803" s="19" t="n"/>
      <c r="H1803" s="17" t="n"/>
      <c r="I1803" s="17" t="n"/>
      <c r="J1803" s="17" t="n"/>
      <c r="K1803" s="20">
        <f>IF($B1803="","",IFERROR(INDEX(الموظفات!$A$5:$A$304,MATCH($B1803,الموظفات!$B$5:$B$304,0))&amp;"",""))</f>
        <v/>
      </c>
      <c r="L1803" s="21">
        <f>IF($B1803="","",IFERROR(INDEX(الموظفات!$C$5:$C$304,MATCH($B1803,الموظفات!$B$5:$B$304,0))&amp;"",""))</f>
        <v/>
      </c>
      <c r="M1803" s="20">
        <f>IF($B1803="","",IFERROR(INDEX(الموظفات!$D$5:$D$304,MATCH($B1803,الموظفات!$B$5:$B$304,0))&amp;"",""))</f>
        <v/>
      </c>
      <c r="N1803" s="20">
        <f>IF($B1803="","",IFERROR(INDEX(الموظفات!$E$5:$E$304,MATCH($B1803,الموظفات!$B$5:$B$304,0))&amp;"",""))</f>
        <v/>
      </c>
      <c r="O1803" s="21">
        <f>IF(C1803="","",IFERROR(INDEX(الإعدادات!$D$7:$D$35,MATCH(C1803,الإعدادات!$A$7:$A$35,0))&amp;"",""))</f>
        <v/>
      </c>
      <c r="P1803" s="20">
        <f>IF(A1803="","",INDEX(الإعدادات!$H$7:$H$18,MONTH(A1803)))</f>
        <v/>
      </c>
      <c r="Q1803" s="20">
        <f>IF(A1803="","",INDEX(الإعدادات!$I$7:$I$18,MONTH(A1803)))</f>
        <v/>
      </c>
      <c r="R1803" s="20">
        <f>IF(A1803="","",IF(MONTH(A1803)&gt;=8,YEAR(A1803)&amp;"-"&amp;(YEAR(A1803)+1),(YEAR(A1803)-1)&amp;"-"&amp;YEAR(A1803)))</f>
        <v/>
      </c>
      <c r="S1803" s="20">
        <f>IF(OR(A1803="",B1803=""),0,IF(AND(R1803=التقارير!$C$4,OR(التقارير!$C$5="سنوي",AND(التقارير!$C$5="شهري",P1803=التقارير!$C$6),AND(التقارير!$C$5="فصلي",Q1803=التقارير!$C$7))),1,0))</f>
        <v/>
      </c>
      <c r="T1803" s="20">
        <f>IF(S1803=1,COUNTIF($S$5:S1803,1),"")</f>
        <v/>
      </c>
      <c r="U1803">
        <f>IF(AND($A1803&lt;&gt;"",$B1803&lt;&gt;"",$R1803='تقرير الفصل الأول'!$C$4,$Q1803='تقرير الفصل الأول'!$C$7),COUNT(U$4:U1802)+1,"")</f>
        <v/>
      </c>
      <c r="V1803">
        <f>IF(AND($A1803&lt;&gt;"",$B1803&lt;&gt;"",$R1803='تقرير الفصل الثاني'!$C$4,$Q1803='تقرير الفصل الثاني'!$C$7),COUNT(V$4:V1802)+1,"")</f>
        <v/>
      </c>
      <c r="W1803">
        <f>IF(AND($A1803&lt;&gt;"",$B1803&lt;&gt;"",$R1803='تقرير سبتمبر'!$C$4,$P1803='تقرير سبتمبر'!$C$6),COUNT(W$4:W1802)+1,"")</f>
        <v/>
      </c>
      <c r="X1803">
        <f>IF(AND($A1803&lt;&gt;"",$B1803&lt;&gt;"",$R1803='تقرير أكتوبر'!$C$4,$P1803='تقرير أكتوبر'!$C$6),COUNT(X$4:X1802)+1,"")</f>
        <v/>
      </c>
      <c r="Y1803">
        <f>IF(AND($A1803&lt;&gt;"",$B1803&lt;&gt;"",$R1803='تقرير نوفمبر'!$C$4,$P1803='تقرير نوفمبر'!$C$6),COUNT(Y$4:Y1802)+1,"")</f>
        <v/>
      </c>
      <c r="Z1803">
        <f>IF(AND($A1803&lt;&gt;"",$B1803&lt;&gt;"",$R1803='تقرير ديسمبر'!$C$4,$P1803='تقرير ديسمبر'!$C$6),COUNT(Z$4:Z1802)+1,"")</f>
        <v/>
      </c>
      <c r="AA1803">
        <f>IF(AND($A1803&lt;&gt;"",$B1803&lt;&gt;"",$R1803='تقرير يناير'!$C$4,$P1803='تقرير يناير'!$C$6),COUNT(AA$4:AA1802)+1,"")</f>
        <v/>
      </c>
      <c r="AB1803">
        <f>IF(AND($A1803&lt;&gt;"",$B1803&lt;&gt;"",$R1803='تقرير فبراير'!$C$4,$P1803='تقرير فبراير'!$C$6),COUNT(AB$4:AB1802)+1,"")</f>
        <v/>
      </c>
      <c r="AC1803">
        <f>IF(AND($A1803&lt;&gt;"",$B1803&lt;&gt;"",$R1803='تقرير مارس'!$C$4,$P1803='تقرير مارس'!$C$6),COUNT(AC$4:AC1802)+1,"")</f>
        <v/>
      </c>
      <c r="AD1803">
        <f>IF(AND($A1803&lt;&gt;"",$B1803&lt;&gt;"",$R1803='تقرير أبريل'!$C$4,$P1803='تقرير أبريل'!$C$6),COUNT(AD$4:AD1802)+1,"")</f>
        <v/>
      </c>
      <c r="AE1803">
        <f>IF(AND($A1803&lt;&gt;"",$B1803&lt;&gt;"",$R1803='تقرير مايو'!$C$4,$P1803='تقرير مايو'!$C$6),COUNT(AE$4:AE1802)+1,"")</f>
        <v/>
      </c>
    </row>
    <row r="1804">
      <c r="A1804" s="16" t="n"/>
      <c r="B1804" s="17" t="n"/>
      <c r="C1804" s="17" t="n"/>
      <c r="D1804" s="18" t="n"/>
      <c r="E1804" s="17" t="n"/>
      <c r="F1804" s="17" t="n"/>
      <c r="G1804" s="19" t="n"/>
      <c r="H1804" s="17" t="n"/>
      <c r="I1804" s="17" t="n"/>
      <c r="J1804" s="17" t="n"/>
      <c r="K1804" s="20">
        <f>IF($B1804="","",IFERROR(INDEX(الموظفات!$A$5:$A$304,MATCH($B1804,الموظفات!$B$5:$B$304,0))&amp;"",""))</f>
        <v/>
      </c>
      <c r="L1804" s="21">
        <f>IF($B1804="","",IFERROR(INDEX(الموظفات!$C$5:$C$304,MATCH($B1804,الموظفات!$B$5:$B$304,0))&amp;"",""))</f>
        <v/>
      </c>
      <c r="M1804" s="20">
        <f>IF($B1804="","",IFERROR(INDEX(الموظفات!$D$5:$D$304,MATCH($B1804,الموظفات!$B$5:$B$304,0))&amp;"",""))</f>
        <v/>
      </c>
      <c r="N1804" s="20">
        <f>IF($B1804="","",IFERROR(INDEX(الموظفات!$E$5:$E$304,MATCH($B1804,الموظفات!$B$5:$B$304,0))&amp;"",""))</f>
        <v/>
      </c>
      <c r="O1804" s="21">
        <f>IF(C1804="","",IFERROR(INDEX(الإعدادات!$D$7:$D$35,MATCH(C1804,الإعدادات!$A$7:$A$35,0))&amp;"",""))</f>
        <v/>
      </c>
      <c r="P1804" s="20">
        <f>IF(A1804="","",INDEX(الإعدادات!$H$7:$H$18,MONTH(A1804)))</f>
        <v/>
      </c>
      <c r="Q1804" s="20">
        <f>IF(A1804="","",INDEX(الإعدادات!$I$7:$I$18,MONTH(A1804)))</f>
        <v/>
      </c>
      <c r="R1804" s="20">
        <f>IF(A1804="","",IF(MONTH(A1804)&gt;=8,YEAR(A1804)&amp;"-"&amp;(YEAR(A1804)+1),(YEAR(A1804)-1)&amp;"-"&amp;YEAR(A1804)))</f>
        <v/>
      </c>
      <c r="S1804" s="20">
        <f>IF(OR(A1804="",B1804=""),0,IF(AND(R1804=التقارير!$C$4,OR(التقارير!$C$5="سنوي",AND(التقارير!$C$5="شهري",P1804=التقارير!$C$6),AND(التقارير!$C$5="فصلي",Q1804=التقارير!$C$7))),1,0))</f>
        <v/>
      </c>
      <c r="T1804" s="20">
        <f>IF(S1804=1,COUNTIF($S$5:S1804,1),"")</f>
        <v/>
      </c>
      <c r="U1804">
        <f>IF(AND($A1804&lt;&gt;"",$B1804&lt;&gt;"",$R1804='تقرير الفصل الأول'!$C$4,$Q1804='تقرير الفصل الأول'!$C$7),COUNT(U$4:U1803)+1,"")</f>
        <v/>
      </c>
      <c r="V1804">
        <f>IF(AND($A1804&lt;&gt;"",$B1804&lt;&gt;"",$R1804='تقرير الفصل الثاني'!$C$4,$Q1804='تقرير الفصل الثاني'!$C$7),COUNT(V$4:V1803)+1,"")</f>
        <v/>
      </c>
      <c r="W1804">
        <f>IF(AND($A1804&lt;&gt;"",$B1804&lt;&gt;"",$R1804='تقرير سبتمبر'!$C$4,$P1804='تقرير سبتمبر'!$C$6),COUNT(W$4:W1803)+1,"")</f>
        <v/>
      </c>
      <c r="X1804">
        <f>IF(AND($A1804&lt;&gt;"",$B1804&lt;&gt;"",$R1804='تقرير أكتوبر'!$C$4,$P1804='تقرير أكتوبر'!$C$6),COUNT(X$4:X1803)+1,"")</f>
        <v/>
      </c>
      <c r="Y1804">
        <f>IF(AND($A1804&lt;&gt;"",$B1804&lt;&gt;"",$R1804='تقرير نوفمبر'!$C$4,$P1804='تقرير نوفمبر'!$C$6),COUNT(Y$4:Y1803)+1,"")</f>
        <v/>
      </c>
      <c r="Z1804">
        <f>IF(AND($A1804&lt;&gt;"",$B1804&lt;&gt;"",$R1804='تقرير ديسمبر'!$C$4,$P1804='تقرير ديسمبر'!$C$6),COUNT(Z$4:Z1803)+1,"")</f>
        <v/>
      </c>
      <c r="AA1804">
        <f>IF(AND($A1804&lt;&gt;"",$B1804&lt;&gt;"",$R1804='تقرير يناير'!$C$4,$P1804='تقرير يناير'!$C$6),COUNT(AA$4:AA1803)+1,"")</f>
        <v/>
      </c>
      <c r="AB1804">
        <f>IF(AND($A1804&lt;&gt;"",$B1804&lt;&gt;"",$R1804='تقرير فبراير'!$C$4,$P1804='تقرير فبراير'!$C$6),COUNT(AB$4:AB1803)+1,"")</f>
        <v/>
      </c>
      <c r="AC1804">
        <f>IF(AND($A1804&lt;&gt;"",$B1804&lt;&gt;"",$R1804='تقرير مارس'!$C$4,$P1804='تقرير مارس'!$C$6),COUNT(AC$4:AC1803)+1,"")</f>
        <v/>
      </c>
      <c r="AD1804">
        <f>IF(AND($A1804&lt;&gt;"",$B1804&lt;&gt;"",$R1804='تقرير أبريل'!$C$4,$P1804='تقرير أبريل'!$C$6),COUNT(AD$4:AD1803)+1,"")</f>
        <v/>
      </c>
      <c r="AE1804">
        <f>IF(AND($A1804&lt;&gt;"",$B1804&lt;&gt;"",$R1804='تقرير مايو'!$C$4,$P1804='تقرير مايو'!$C$6),COUNT(AE$4:AE1803)+1,"")</f>
        <v/>
      </c>
    </row>
    <row r="1805">
      <c r="A1805" s="16" t="n"/>
      <c r="B1805" s="17" t="n"/>
      <c r="C1805" s="17" t="n"/>
      <c r="D1805" s="18" t="n"/>
      <c r="E1805" s="17" t="n"/>
      <c r="F1805" s="17" t="n"/>
      <c r="G1805" s="19" t="n"/>
      <c r="H1805" s="17" t="n"/>
      <c r="I1805" s="17" t="n"/>
      <c r="J1805" s="17" t="n"/>
      <c r="K1805" s="20">
        <f>IF($B1805="","",IFERROR(INDEX(الموظفات!$A$5:$A$304,MATCH($B1805,الموظفات!$B$5:$B$304,0))&amp;"",""))</f>
        <v/>
      </c>
      <c r="L1805" s="21">
        <f>IF($B1805="","",IFERROR(INDEX(الموظفات!$C$5:$C$304,MATCH($B1805,الموظفات!$B$5:$B$304,0))&amp;"",""))</f>
        <v/>
      </c>
      <c r="M1805" s="20">
        <f>IF($B1805="","",IFERROR(INDEX(الموظفات!$D$5:$D$304,MATCH($B1805,الموظفات!$B$5:$B$304,0))&amp;"",""))</f>
        <v/>
      </c>
      <c r="N1805" s="20">
        <f>IF($B1805="","",IFERROR(INDEX(الموظفات!$E$5:$E$304,MATCH($B1805,الموظفات!$B$5:$B$304,0))&amp;"",""))</f>
        <v/>
      </c>
      <c r="O1805" s="21">
        <f>IF(C1805="","",IFERROR(INDEX(الإعدادات!$D$7:$D$35,MATCH(C1805,الإعدادات!$A$7:$A$35,0))&amp;"",""))</f>
        <v/>
      </c>
      <c r="P1805" s="20">
        <f>IF(A1805="","",INDEX(الإعدادات!$H$7:$H$18,MONTH(A1805)))</f>
        <v/>
      </c>
      <c r="Q1805" s="20">
        <f>IF(A1805="","",INDEX(الإعدادات!$I$7:$I$18,MONTH(A1805)))</f>
        <v/>
      </c>
      <c r="R1805" s="20">
        <f>IF(A1805="","",IF(MONTH(A1805)&gt;=8,YEAR(A1805)&amp;"-"&amp;(YEAR(A1805)+1),(YEAR(A1805)-1)&amp;"-"&amp;YEAR(A1805)))</f>
        <v/>
      </c>
      <c r="S1805" s="20">
        <f>IF(OR(A1805="",B1805=""),0,IF(AND(R1805=التقارير!$C$4,OR(التقارير!$C$5="سنوي",AND(التقارير!$C$5="شهري",P1805=التقارير!$C$6),AND(التقارير!$C$5="فصلي",Q1805=التقارير!$C$7))),1,0))</f>
        <v/>
      </c>
      <c r="T1805" s="20">
        <f>IF(S1805=1,COUNTIF($S$5:S1805,1),"")</f>
        <v/>
      </c>
      <c r="U1805">
        <f>IF(AND($A1805&lt;&gt;"",$B1805&lt;&gt;"",$R1805='تقرير الفصل الأول'!$C$4,$Q1805='تقرير الفصل الأول'!$C$7),COUNT(U$4:U1804)+1,"")</f>
        <v/>
      </c>
      <c r="V1805">
        <f>IF(AND($A1805&lt;&gt;"",$B1805&lt;&gt;"",$R1805='تقرير الفصل الثاني'!$C$4,$Q1805='تقرير الفصل الثاني'!$C$7),COUNT(V$4:V1804)+1,"")</f>
        <v/>
      </c>
      <c r="W1805">
        <f>IF(AND($A1805&lt;&gt;"",$B1805&lt;&gt;"",$R1805='تقرير سبتمبر'!$C$4,$P1805='تقرير سبتمبر'!$C$6),COUNT(W$4:W1804)+1,"")</f>
        <v/>
      </c>
      <c r="X1805">
        <f>IF(AND($A1805&lt;&gt;"",$B1805&lt;&gt;"",$R1805='تقرير أكتوبر'!$C$4,$P1805='تقرير أكتوبر'!$C$6),COUNT(X$4:X1804)+1,"")</f>
        <v/>
      </c>
      <c r="Y1805">
        <f>IF(AND($A1805&lt;&gt;"",$B1805&lt;&gt;"",$R1805='تقرير نوفمبر'!$C$4,$P1805='تقرير نوفمبر'!$C$6),COUNT(Y$4:Y1804)+1,"")</f>
        <v/>
      </c>
      <c r="Z1805">
        <f>IF(AND($A1805&lt;&gt;"",$B1805&lt;&gt;"",$R1805='تقرير ديسمبر'!$C$4,$P1805='تقرير ديسمبر'!$C$6),COUNT(Z$4:Z1804)+1,"")</f>
        <v/>
      </c>
      <c r="AA1805">
        <f>IF(AND($A1805&lt;&gt;"",$B1805&lt;&gt;"",$R1805='تقرير يناير'!$C$4,$P1805='تقرير يناير'!$C$6),COUNT(AA$4:AA1804)+1,"")</f>
        <v/>
      </c>
      <c r="AB1805">
        <f>IF(AND($A1805&lt;&gt;"",$B1805&lt;&gt;"",$R1805='تقرير فبراير'!$C$4,$P1805='تقرير فبراير'!$C$6),COUNT(AB$4:AB1804)+1,"")</f>
        <v/>
      </c>
      <c r="AC1805">
        <f>IF(AND($A1805&lt;&gt;"",$B1805&lt;&gt;"",$R1805='تقرير مارس'!$C$4,$P1805='تقرير مارس'!$C$6),COUNT(AC$4:AC1804)+1,"")</f>
        <v/>
      </c>
      <c r="AD1805">
        <f>IF(AND($A1805&lt;&gt;"",$B1805&lt;&gt;"",$R1805='تقرير أبريل'!$C$4,$P1805='تقرير أبريل'!$C$6),COUNT(AD$4:AD1804)+1,"")</f>
        <v/>
      </c>
      <c r="AE1805">
        <f>IF(AND($A1805&lt;&gt;"",$B1805&lt;&gt;"",$R1805='تقرير مايو'!$C$4,$P1805='تقرير مايو'!$C$6),COUNT(AE$4:AE1804)+1,"")</f>
        <v/>
      </c>
    </row>
    <row r="1806">
      <c r="A1806" s="16" t="n"/>
      <c r="B1806" s="17" t="n"/>
      <c r="C1806" s="17" t="n"/>
      <c r="D1806" s="18" t="n"/>
      <c r="E1806" s="17" t="n"/>
      <c r="F1806" s="17" t="n"/>
      <c r="G1806" s="19" t="n"/>
      <c r="H1806" s="17" t="n"/>
      <c r="I1806" s="17" t="n"/>
      <c r="J1806" s="17" t="n"/>
      <c r="K1806" s="20">
        <f>IF($B1806="","",IFERROR(INDEX(الموظفات!$A$5:$A$304,MATCH($B1806,الموظفات!$B$5:$B$304,0))&amp;"",""))</f>
        <v/>
      </c>
      <c r="L1806" s="21">
        <f>IF($B1806="","",IFERROR(INDEX(الموظفات!$C$5:$C$304,MATCH($B1806,الموظفات!$B$5:$B$304,0))&amp;"",""))</f>
        <v/>
      </c>
      <c r="M1806" s="20">
        <f>IF($B1806="","",IFERROR(INDEX(الموظفات!$D$5:$D$304,MATCH($B1806,الموظفات!$B$5:$B$304,0))&amp;"",""))</f>
        <v/>
      </c>
      <c r="N1806" s="20">
        <f>IF($B1806="","",IFERROR(INDEX(الموظفات!$E$5:$E$304,MATCH($B1806,الموظفات!$B$5:$B$304,0))&amp;"",""))</f>
        <v/>
      </c>
      <c r="O1806" s="21">
        <f>IF(C1806="","",IFERROR(INDEX(الإعدادات!$D$7:$D$35,MATCH(C1806,الإعدادات!$A$7:$A$35,0))&amp;"",""))</f>
        <v/>
      </c>
      <c r="P1806" s="20">
        <f>IF(A1806="","",INDEX(الإعدادات!$H$7:$H$18,MONTH(A1806)))</f>
        <v/>
      </c>
      <c r="Q1806" s="20">
        <f>IF(A1806="","",INDEX(الإعدادات!$I$7:$I$18,MONTH(A1806)))</f>
        <v/>
      </c>
      <c r="R1806" s="20">
        <f>IF(A1806="","",IF(MONTH(A1806)&gt;=8,YEAR(A1806)&amp;"-"&amp;(YEAR(A1806)+1),(YEAR(A1806)-1)&amp;"-"&amp;YEAR(A1806)))</f>
        <v/>
      </c>
      <c r="S1806" s="20">
        <f>IF(OR(A1806="",B1806=""),0,IF(AND(R1806=التقارير!$C$4,OR(التقارير!$C$5="سنوي",AND(التقارير!$C$5="شهري",P1806=التقارير!$C$6),AND(التقارير!$C$5="فصلي",Q1806=التقارير!$C$7))),1,0))</f>
        <v/>
      </c>
      <c r="T1806" s="20">
        <f>IF(S1806=1,COUNTIF($S$5:S1806,1),"")</f>
        <v/>
      </c>
      <c r="U1806">
        <f>IF(AND($A1806&lt;&gt;"",$B1806&lt;&gt;"",$R1806='تقرير الفصل الأول'!$C$4,$Q1806='تقرير الفصل الأول'!$C$7),COUNT(U$4:U1805)+1,"")</f>
        <v/>
      </c>
      <c r="V1806">
        <f>IF(AND($A1806&lt;&gt;"",$B1806&lt;&gt;"",$R1806='تقرير الفصل الثاني'!$C$4,$Q1806='تقرير الفصل الثاني'!$C$7),COUNT(V$4:V1805)+1,"")</f>
        <v/>
      </c>
      <c r="W1806">
        <f>IF(AND($A1806&lt;&gt;"",$B1806&lt;&gt;"",$R1806='تقرير سبتمبر'!$C$4,$P1806='تقرير سبتمبر'!$C$6),COUNT(W$4:W1805)+1,"")</f>
        <v/>
      </c>
      <c r="X1806">
        <f>IF(AND($A1806&lt;&gt;"",$B1806&lt;&gt;"",$R1806='تقرير أكتوبر'!$C$4,$P1806='تقرير أكتوبر'!$C$6),COUNT(X$4:X1805)+1,"")</f>
        <v/>
      </c>
      <c r="Y1806">
        <f>IF(AND($A1806&lt;&gt;"",$B1806&lt;&gt;"",$R1806='تقرير نوفمبر'!$C$4,$P1806='تقرير نوفمبر'!$C$6),COUNT(Y$4:Y1805)+1,"")</f>
        <v/>
      </c>
      <c r="Z1806">
        <f>IF(AND($A1806&lt;&gt;"",$B1806&lt;&gt;"",$R1806='تقرير ديسمبر'!$C$4,$P1806='تقرير ديسمبر'!$C$6),COUNT(Z$4:Z1805)+1,"")</f>
        <v/>
      </c>
      <c r="AA1806">
        <f>IF(AND($A1806&lt;&gt;"",$B1806&lt;&gt;"",$R1806='تقرير يناير'!$C$4,$P1806='تقرير يناير'!$C$6),COUNT(AA$4:AA1805)+1,"")</f>
        <v/>
      </c>
      <c r="AB1806">
        <f>IF(AND($A1806&lt;&gt;"",$B1806&lt;&gt;"",$R1806='تقرير فبراير'!$C$4,$P1806='تقرير فبراير'!$C$6),COUNT(AB$4:AB1805)+1,"")</f>
        <v/>
      </c>
      <c r="AC1806">
        <f>IF(AND($A1806&lt;&gt;"",$B1806&lt;&gt;"",$R1806='تقرير مارس'!$C$4,$P1806='تقرير مارس'!$C$6),COUNT(AC$4:AC1805)+1,"")</f>
        <v/>
      </c>
      <c r="AD1806">
        <f>IF(AND($A1806&lt;&gt;"",$B1806&lt;&gt;"",$R1806='تقرير أبريل'!$C$4,$P1806='تقرير أبريل'!$C$6),COUNT(AD$4:AD1805)+1,"")</f>
        <v/>
      </c>
      <c r="AE1806">
        <f>IF(AND($A1806&lt;&gt;"",$B1806&lt;&gt;"",$R1806='تقرير مايو'!$C$4,$P1806='تقرير مايو'!$C$6),COUNT(AE$4:AE1805)+1,"")</f>
        <v/>
      </c>
    </row>
    <row r="1807">
      <c r="A1807" s="16" t="n"/>
      <c r="B1807" s="17" t="n"/>
      <c r="C1807" s="17" t="n"/>
      <c r="D1807" s="18" t="n"/>
      <c r="E1807" s="17" t="n"/>
      <c r="F1807" s="17" t="n"/>
      <c r="G1807" s="19" t="n"/>
      <c r="H1807" s="17" t="n"/>
      <c r="I1807" s="17" t="n"/>
      <c r="J1807" s="17" t="n"/>
      <c r="K1807" s="20">
        <f>IF($B1807="","",IFERROR(INDEX(الموظفات!$A$5:$A$304,MATCH($B1807,الموظفات!$B$5:$B$304,0))&amp;"",""))</f>
        <v/>
      </c>
      <c r="L1807" s="21">
        <f>IF($B1807="","",IFERROR(INDEX(الموظفات!$C$5:$C$304,MATCH($B1807,الموظفات!$B$5:$B$304,0))&amp;"",""))</f>
        <v/>
      </c>
      <c r="M1807" s="20">
        <f>IF($B1807="","",IFERROR(INDEX(الموظفات!$D$5:$D$304,MATCH($B1807,الموظفات!$B$5:$B$304,0))&amp;"",""))</f>
        <v/>
      </c>
      <c r="N1807" s="20">
        <f>IF($B1807="","",IFERROR(INDEX(الموظفات!$E$5:$E$304,MATCH($B1807,الموظفات!$B$5:$B$304,0))&amp;"",""))</f>
        <v/>
      </c>
      <c r="O1807" s="21">
        <f>IF(C1807="","",IFERROR(INDEX(الإعدادات!$D$7:$D$35,MATCH(C1807,الإعدادات!$A$7:$A$35,0))&amp;"",""))</f>
        <v/>
      </c>
      <c r="P1807" s="20">
        <f>IF(A1807="","",INDEX(الإعدادات!$H$7:$H$18,MONTH(A1807)))</f>
        <v/>
      </c>
      <c r="Q1807" s="20">
        <f>IF(A1807="","",INDEX(الإعدادات!$I$7:$I$18,MONTH(A1807)))</f>
        <v/>
      </c>
      <c r="R1807" s="20">
        <f>IF(A1807="","",IF(MONTH(A1807)&gt;=8,YEAR(A1807)&amp;"-"&amp;(YEAR(A1807)+1),(YEAR(A1807)-1)&amp;"-"&amp;YEAR(A1807)))</f>
        <v/>
      </c>
      <c r="S1807" s="20">
        <f>IF(OR(A1807="",B1807=""),0,IF(AND(R1807=التقارير!$C$4,OR(التقارير!$C$5="سنوي",AND(التقارير!$C$5="شهري",P1807=التقارير!$C$6),AND(التقارير!$C$5="فصلي",Q1807=التقارير!$C$7))),1,0))</f>
        <v/>
      </c>
      <c r="T1807" s="20">
        <f>IF(S1807=1,COUNTIF($S$5:S1807,1),"")</f>
        <v/>
      </c>
      <c r="U1807">
        <f>IF(AND($A1807&lt;&gt;"",$B1807&lt;&gt;"",$R1807='تقرير الفصل الأول'!$C$4,$Q1807='تقرير الفصل الأول'!$C$7),COUNT(U$4:U1806)+1,"")</f>
        <v/>
      </c>
      <c r="V1807">
        <f>IF(AND($A1807&lt;&gt;"",$B1807&lt;&gt;"",$R1807='تقرير الفصل الثاني'!$C$4,$Q1807='تقرير الفصل الثاني'!$C$7),COUNT(V$4:V1806)+1,"")</f>
        <v/>
      </c>
      <c r="W1807">
        <f>IF(AND($A1807&lt;&gt;"",$B1807&lt;&gt;"",$R1807='تقرير سبتمبر'!$C$4,$P1807='تقرير سبتمبر'!$C$6),COUNT(W$4:W1806)+1,"")</f>
        <v/>
      </c>
      <c r="X1807">
        <f>IF(AND($A1807&lt;&gt;"",$B1807&lt;&gt;"",$R1807='تقرير أكتوبر'!$C$4,$P1807='تقرير أكتوبر'!$C$6),COUNT(X$4:X1806)+1,"")</f>
        <v/>
      </c>
      <c r="Y1807">
        <f>IF(AND($A1807&lt;&gt;"",$B1807&lt;&gt;"",$R1807='تقرير نوفمبر'!$C$4,$P1807='تقرير نوفمبر'!$C$6),COUNT(Y$4:Y1806)+1,"")</f>
        <v/>
      </c>
      <c r="Z1807">
        <f>IF(AND($A1807&lt;&gt;"",$B1807&lt;&gt;"",$R1807='تقرير ديسمبر'!$C$4,$P1807='تقرير ديسمبر'!$C$6),COUNT(Z$4:Z1806)+1,"")</f>
        <v/>
      </c>
      <c r="AA1807">
        <f>IF(AND($A1807&lt;&gt;"",$B1807&lt;&gt;"",$R1807='تقرير يناير'!$C$4,$P1807='تقرير يناير'!$C$6),COUNT(AA$4:AA1806)+1,"")</f>
        <v/>
      </c>
      <c r="AB1807">
        <f>IF(AND($A1807&lt;&gt;"",$B1807&lt;&gt;"",$R1807='تقرير فبراير'!$C$4,$P1807='تقرير فبراير'!$C$6),COUNT(AB$4:AB1806)+1,"")</f>
        <v/>
      </c>
      <c r="AC1807">
        <f>IF(AND($A1807&lt;&gt;"",$B1807&lt;&gt;"",$R1807='تقرير مارس'!$C$4,$P1807='تقرير مارس'!$C$6),COUNT(AC$4:AC1806)+1,"")</f>
        <v/>
      </c>
      <c r="AD1807">
        <f>IF(AND($A1807&lt;&gt;"",$B1807&lt;&gt;"",$R1807='تقرير أبريل'!$C$4,$P1807='تقرير أبريل'!$C$6),COUNT(AD$4:AD1806)+1,"")</f>
        <v/>
      </c>
      <c r="AE1807">
        <f>IF(AND($A1807&lt;&gt;"",$B1807&lt;&gt;"",$R1807='تقرير مايو'!$C$4,$P1807='تقرير مايو'!$C$6),COUNT(AE$4:AE1806)+1,"")</f>
        <v/>
      </c>
    </row>
    <row r="1808">
      <c r="A1808" s="16" t="n"/>
      <c r="B1808" s="17" t="n"/>
      <c r="C1808" s="17" t="n"/>
      <c r="D1808" s="18" t="n"/>
      <c r="E1808" s="17" t="n"/>
      <c r="F1808" s="17" t="n"/>
      <c r="G1808" s="19" t="n"/>
      <c r="H1808" s="17" t="n"/>
      <c r="I1808" s="17" t="n"/>
      <c r="J1808" s="17" t="n"/>
      <c r="K1808" s="20">
        <f>IF($B1808="","",IFERROR(INDEX(الموظفات!$A$5:$A$304,MATCH($B1808,الموظفات!$B$5:$B$304,0))&amp;"",""))</f>
        <v/>
      </c>
      <c r="L1808" s="21">
        <f>IF($B1808="","",IFERROR(INDEX(الموظفات!$C$5:$C$304,MATCH($B1808,الموظفات!$B$5:$B$304,0))&amp;"",""))</f>
        <v/>
      </c>
      <c r="M1808" s="20">
        <f>IF($B1808="","",IFERROR(INDEX(الموظفات!$D$5:$D$304,MATCH($B1808,الموظفات!$B$5:$B$304,0))&amp;"",""))</f>
        <v/>
      </c>
      <c r="N1808" s="20">
        <f>IF($B1808="","",IFERROR(INDEX(الموظفات!$E$5:$E$304,MATCH($B1808,الموظفات!$B$5:$B$304,0))&amp;"",""))</f>
        <v/>
      </c>
      <c r="O1808" s="21">
        <f>IF(C1808="","",IFERROR(INDEX(الإعدادات!$D$7:$D$35,MATCH(C1808,الإعدادات!$A$7:$A$35,0))&amp;"",""))</f>
        <v/>
      </c>
      <c r="P1808" s="20">
        <f>IF(A1808="","",INDEX(الإعدادات!$H$7:$H$18,MONTH(A1808)))</f>
        <v/>
      </c>
      <c r="Q1808" s="20">
        <f>IF(A1808="","",INDEX(الإعدادات!$I$7:$I$18,MONTH(A1808)))</f>
        <v/>
      </c>
      <c r="R1808" s="20">
        <f>IF(A1808="","",IF(MONTH(A1808)&gt;=8,YEAR(A1808)&amp;"-"&amp;(YEAR(A1808)+1),(YEAR(A1808)-1)&amp;"-"&amp;YEAR(A1808)))</f>
        <v/>
      </c>
      <c r="S1808" s="20">
        <f>IF(OR(A1808="",B1808=""),0,IF(AND(R1808=التقارير!$C$4,OR(التقارير!$C$5="سنوي",AND(التقارير!$C$5="شهري",P1808=التقارير!$C$6),AND(التقارير!$C$5="فصلي",Q1808=التقارير!$C$7))),1,0))</f>
        <v/>
      </c>
      <c r="T1808" s="20">
        <f>IF(S1808=1,COUNTIF($S$5:S1808,1),"")</f>
        <v/>
      </c>
      <c r="U1808">
        <f>IF(AND($A1808&lt;&gt;"",$B1808&lt;&gt;"",$R1808='تقرير الفصل الأول'!$C$4,$Q1808='تقرير الفصل الأول'!$C$7),COUNT(U$4:U1807)+1,"")</f>
        <v/>
      </c>
      <c r="V1808">
        <f>IF(AND($A1808&lt;&gt;"",$B1808&lt;&gt;"",$R1808='تقرير الفصل الثاني'!$C$4,$Q1808='تقرير الفصل الثاني'!$C$7),COUNT(V$4:V1807)+1,"")</f>
        <v/>
      </c>
      <c r="W1808">
        <f>IF(AND($A1808&lt;&gt;"",$B1808&lt;&gt;"",$R1808='تقرير سبتمبر'!$C$4,$P1808='تقرير سبتمبر'!$C$6),COUNT(W$4:W1807)+1,"")</f>
        <v/>
      </c>
      <c r="X1808">
        <f>IF(AND($A1808&lt;&gt;"",$B1808&lt;&gt;"",$R1808='تقرير أكتوبر'!$C$4,$P1808='تقرير أكتوبر'!$C$6),COUNT(X$4:X1807)+1,"")</f>
        <v/>
      </c>
      <c r="Y1808">
        <f>IF(AND($A1808&lt;&gt;"",$B1808&lt;&gt;"",$R1808='تقرير نوفمبر'!$C$4,$P1808='تقرير نوفمبر'!$C$6),COUNT(Y$4:Y1807)+1,"")</f>
        <v/>
      </c>
      <c r="Z1808">
        <f>IF(AND($A1808&lt;&gt;"",$B1808&lt;&gt;"",$R1808='تقرير ديسمبر'!$C$4,$P1808='تقرير ديسمبر'!$C$6),COUNT(Z$4:Z1807)+1,"")</f>
        <v/>
      </c>
      <c r="AA1808">
        <f>IF(AND($A1808&lt;&gt;"",$B1808&lt;&gt;"",$R1808='تقرير يناير'!$C$4,$P1808='تقرير يناير'!$C$6),COUNT(AA$4:AA1807)+1,"")</f>
        <v/>
      </c>
      <c r="AB1808">
        <f>IF(AND($A1808&lt;&gt;"",$B1808&lt;&gt;"",$R1808='تقرير فبراير'!$C$4,$P1808='تقرير فبراير'!$C$6),COUNT(AB$4:AB1807)+1,"")</f>
        <v/>
      </c>
      <c r="AC1808">
        <f>IF(AND($A1808&lt;&gt;"",$B1808&lt;&gt;"",$R1808='تقرير مارس'!$C$4,$P1808='تقرير مارس'!$C$6),COUNT(AC$4:AC1807)+1,"")</f>
        <v/>
      </c>
      <c r="AD1808">
        <f>IF(AND($A1808&lt;&gt;"",$B1808&lt;&gt;"",$R1808='تقرير أبريل'!$C$4,$P1808='تقرير أبريل'!$C$6),COUNT(AD$4:AD1807)+1,"")</f>
        <v/>
      </c>
      <c r="AE1808">
        <f>IF(AND($A1808&lt;&gt;"",$B1808&lt;&gt;"",$R1808='تقرير مايو'!$C$4,$P1808='تقرير مايو'!$C$6),COUNT(AE$4:AE1807)+1,"")</f>
        <v/>
      </c>
    </row>
    <row r="1809">
      <c r="A1809" s="16" t="n"/>
      <c r="B1809" s="17" t="n"/>
      <c r="C1809" s="17" t="n"/>
      <c r="D1809" s="18" t="n"/>
      <c r="E1809" s="17" t="n"/>
      <c r="F1809" s="17" t="n"/>
      <c r="G1809" s="19" t="n"/>
      <c r="H1809" s="17" t="n"/>
      <c r="I1809" s="17" t="n"/>
      <c r="J1809" s="17" t="n"/>
      <c r="K1809" s="20">
        <f>IF($B1809="","",IFERROR(INDEX(الموظفات!$A$5:$A$304,MATCH($B1809,الموظفات!$B$5:$B$304,0))&amp;"",""))</f>
        <v/>
      </c>
      <c r="L1809" s="21">
        <f>IF($B1809="","",IFERROR(INDEX(الموظفات!$C$5:$C$304,MATCH($B1809,الموظفات!$B$5:$B$304,0))&amp;"",""))</f>
        <v/>
      </c>
      <c r="M1809" s="20">
        <f>IF($B1809="","",IFERROR(INDEX(الموظفات!$D$5:$D$304,MATCH($B1809,الموظفات!$B$5:$B$304,0))&amp;"",""))</f>
        <v/>
      </c>
      <c r="N1809" s="20">
        <f>IF($B1809="","",IFERROR(INDEX(الموظفات!$E$5:$E$304,MATCH($B1809,الموظفات!$B$5:$B$304,0))&amp;"",""))</f>
        <v/>
      </c>
      <c r="O1809" s="21">
        <f>IF(C1809="","",IFERROR(INDEX(الإعدادات!$D$7:$D$35,MATCH(C1809,الإعدادات!$A$7:$A$35,0))&amp;"",""))</f>
        <v/>
      </c>
      <c r="P1809" s="20">
        <f>IF(A1809="","",INDEX(الإعدادات!$H$7:$H$18,MONTH(A1809)))</f>
        <v/>
      </c>
      <c r="Q1809" s="20">
        <f>IF(A1809="","",INDEX(الإعدادات!$I$7:$I$18,MONTH(A1809)))</f>
        <v/>
      </c>
      <c r="R1809" s="20">
        <f>IF(A1809="","",IF(MONTH(A1809)&gt;=8,YEAR(A1809)&amp;"-"&amp;(YEAR(A1809)+1),(YEAR(A1809)-1)&amp;"-"&amp;YEAR(A1809)))</f>
        <v/>
      </c>
      <c r="S1809" s="20">
        <f>IF(OR(A1809="",B1809=""),0,IF(AND(R1809=التقارير!$C$4,OR(التقارير!$C$5="سنوي",AND(التقارير!$C$5="شهري",P1809=التقارير!$C$6),AND(التقارير!$C$5="فصلي",Q1809=التقارير!$C$7))),1,0))</f>
        <v/>
      </c>
      <c r="T1809" s="20">
        <f>IF(S1809=1,COUNTIF($S$5:S1809,1),"")</f>
        <v/>
      </c>
      <c r="U1809">
        <f>IF(AND($A1809&lt;&gt;"",$B1809&lt;&gt;"",$R1809='تقرير الفصل الأول'!$C$4,$Q1809='تقرير الفصل الأول'!$C$7),COUNT(U$4:U1808)+1,"")</f>
        <v/>
      </c>
      <c r="V1809">
        <f>IF(AND($A1809&lt;&gt;"",$B1809&lt;&gt;"",$R1809='تقرير الفصل الثاني'!$C$4,$Q1809='تقرير الفصل الثاني'!$C$7),COUNT(V$4:V1808)+1,"")</f>
        <v/>
      </c>
      <c r="W1809">
        <f>IF(AND($A1809&lt;&gt;"",$B1809&lt;&gt;"",$R1809='تقرير سبتمبر'!$C$4,$P1809='تقرير سبتمبر'!$C$6),COUNT(W$4:W1808)+1,"")</f>
        <v/>
      </c>
      <c r="X1809">
        <f>IF(AND($A1809&lt;&gt;"",$B1809&lt;&gt;"",$R1809='تقرير أكتوبر'!$C$4,$P1809='تقرير أكتوبر'!$C$6),COUNT(X$4:X1808)+1,"")</f>
        <v/>
      </c>
      <c r="Y1809">
        <f>IF(AND($A1809&lt;&gt;"",$B1809&lt;&gt;"",$R1809='تقرير نوفمبر'!$C$4,$P1809='تقرير نوفمبر'!$C$6),COUNT(Y$4:Y1808)+1,"")</f>
        <v/>
      </c>
      <c r="Z1809">
        <f>IF(AND($A1809&lt;&gt;"",$B1809&lt;&gt;"",$R1809='تقرير ديسمبر'!$C$4,$P1809='تقرير ديسمبر'!$C$6),COUNT(Z$4:Z1808)+1,"")</f>
        <v/>
      </c>
      <c r="AA1809">
        <f>IF(AND($A1809&lt;&gt;"",$B1809&lt;&gt;"",$R1809='تقرير يناير'!$C$4,$P1809='تقرير يناير'!$C$6),COUNT(AA$4:AA1808)+1,"")</f>
        <v/>
      </c>
      <c r="AB1809">
        <f>IF(AND($A1809&lt;&gt;"",$B1809&lt;&gt;"",$R1809='تقرير فبراير'!$C$4,$P1809='تقرير فبراير'!$C$6),COUNT(AB$4:AB1808)+1,"")</f>
        <v/>
      </c>
      <c r="AC1809">
        <f>IF(AND($A1809&lt;&gt;"",$B1809&lt;&gt;"",$R1809='تقرير مارس'!$C$4,$P1809='تقرير مارس'!$C$6),COUNT(AC$4:AC1808)+1,"")</f>
        <v/>
      </c>
      <c r="AD1809">
        <f>IF(AND($A1809&lt;&gt;"",$B1809&lt;&gt;"",$R1809='تقرير أبريل'!$C$4,$P1809='تقرير أبريل'!$C$6),COUNT(AD$4:AD1808)+1,"")</f>
        <v/>
      </c>
      <c r="AE1809">
        <f>IF(AND($A1809&lt;&gt;"",$B1809&lt;&gt;"",$R1809='تقرير مايو'!$C$4,$P1809='تقرير مايو'!$C$6),COUNT(AE$4:AE1808)+1,"")</f>
        <v/>
      </c>
    </row>
    <row r="1810">
      <c r="A1810" s="16" t="n"/>
      <c r="B1810" s="17" t="n"/>
      <c r="C1810" s="17" t="n"/>
      <c r="D1810" s="18" t="n"/>
      <c r="E1810" s="17" t="n"/>
      <c r="F1810" s="17" t="n"/>
      <c r="G1810" s="19" t="n"/>
      <c r="H1810" s="17" t="n"/>
      <c r="I1810" s="17" t="n"/>
      <c r="J1810" s="17" t="n"/>
      <c r="K1810" s="20">
        <f>IF($B1810="","",IFERROR(INDEX(الموظفات!$A$5:$A$304,MATCH($B1810,الموظفات!$B$5:$B$304,0))&amp;"",""))</f>
        <v/>
      </c>
      <c r="L1810" s="21">
        <f>IF($B1810="","",IFERROR(INDEX(الموظفات!$C$5:$C$304,MATCH($B1810,الموظفات!$B$5:$B$304,0))&amp;"",""))</f>
        <v/>
      </c>
      <c r="M1810" s="20">
        <f>IF($B1810="","",IFERROR(INDEX(الموظفات!$D$5:$D$304,MATCH($B1810,الموظفات!$B$5:$B$304,0))&amp;"",""))</f>
        <v/>
      </c>
      <c r="N1810" s="20">
        <f>IF($B1810="","",IFERROR(INDEX(الموظفات!$E$5:$E$304,MATCH($B1810,الموظفات!$B$5:$B$304,0))&amp;"",""))</f>
        <v/>
      </c>
      <c r="O1810" s="21">
        <f>IF(C1810="","",IFERROR(INDEX(الإعدادات!$D$7:$D$35,MATCH(C1810,الإعدادات!$A$7:$A$35,0))&amp;"",""))</f>
        <v/>
      </c>
      <c r="P1810" s="20">
        <f>IF(A1810="","",INDEX(الإعدادات!$H$7:$H$18,MONTH(A1810)))</f>
        <v/>
      </c>
      <c r="Q1810" s="20">
        <f>IF(A1810="","",INDEX(الإعدادات!$I$7:$I$18,MONTH(A1810)))</f>
        <v/>
      </c>
      <c r="R1810" s="20">
        <f>IF(A1810="","",IF(MONTH(A1810)&gt;=8,YEAR(A1810)&amp;"-"&amp;(YEAR(A1810)+1),(YEAR(A1810)-1)&amp;"-"&amp;YEAR(A1810)))</f>
        <v/>
      </c>
      <c r="S1810" s="20">
        <f>IF(OR(A1810="",B1810=""),0,IF(AND(R1810=التقارير!$C$4,OR(التقارير!$C$5="سنوي",AND(التقارير!$C$5="شهري",P1810=التقارير!$C$6),AND(التقارير!$C$5="فصلي",Q1810=التقارير!$C$7))),1,0))</f>
        <v/>
      </c>
      <c r="T1810" s="20">
        <f>IF(S1810=1,COUNTIF($S$5:S1810,1),"")</f>
        <v/>
      </c>
      <c r="U1810">
        <f>IF(AND($A1810&lt;&gt;"",$B1810&lt;&gt;"",$R1810='تقرير الفصل الأول'!$C$4,$Q1810='تقرير الفصل الأول'!$C$7),COUNT(U$4:U1809)+1,"")</f>
        <v/>
      </c>
      <c r="V1810">
        <f>IF(AND($A1810&lt;&gt;"",$B1810&lt;&gt;"",$R1810='تقرير الفصل الثاني'!$C$4,$Q1810='تقرير الفصل الثاني'!$C$7),COUNT(V$4:V1809)+1,"")</f>
        <v/>
      </c>
      <c r="W1810">
        <f>IF(AND($A1810&lt;&gt;"",$B1810&lt;&gt;"",$R1810='تقرير سبتمبر'!$C$4,$P1810='تقرير سبتمبر'!$C$6),COUNT(W$4:W1809)+1,"")</f>
        <v/>
      </c>
      <c r="X1810">
        <f>IF(AND($A1810&lt;&gt;"",$B1810&lt;&gt;"",$R1810='تقرير أكتوبر'!$C$4,$P1810='تقرير أكتوبر'!$C$6),COUNT(X$4:X1809)+1,"")</f>
        <v/>
      </c>
      <c r="Y1810">
        <f>IF(AND($A1810&lt;&gt;"",$B1810&lt;&gt;"",$R1810='تقرير نوفمبر'!$C$4,$P1810='تقرير نوفمبر'!$C$6),COUNT(Y$4:Y1809)+1,"")</f>
        <v/>
      </c>
      <c r="Z1810">
        <f>IF(AND($A1810&lt;&gt;"",$B1810&lt;&gt;"",$R1810='تقرير ديسمبر'!$C$4,$P1810='تقرير ديسمبر'!$C$6),COUNT(Z$4:Z1809)+1,"")</f>
        <v/>
      </c>
      <c r="AA1810">
        <f>IF(AND($A1810&lt;&gt;"",$B1810&lt;&gt;"",$R1810='تقرير يناير'!$C$4,$P1810='تقرير يناير'!$C$6),COUNT(AA$4:AA1809)+1,"")</f>
        <v/>
      </c>
      <c r="AB1810">
        <f>IF(AND($A1810&lt;&gt;"",$B1810&lt;&gt;"",$R1810='تقرير فبراير'!$C$4,$P1810='تقرير فبراير'!$C$6),COUNT(AB$4:AB1809)+1,"")</f>
        <v/>
      </c>
      <c r="AC1810">
        <f>IF(AND($A1810&lt;&gt;"",$B1810&lt;&gt;"",$R1810='تقرير مارس'!$C$4,$P1810='تقرير مارس'!$C$6),COUNT(AC$4:AC1809)+1,"")</f>
        <v/>
      </c>
      <c r="AD1810">
        <f>IF(AND($A1810&lt;&gt;"",$B1810&lt;&gt;"",$R1810='تقرير أبريل'!$C$4,$P1810='تقرير أبريل'!$C$6),COUNT(AD$4:AD1809)+1,"")</f>
        <v/>
      </c>
      <c r="AE1810">
        <f>IF(AND($A1810&lt;&gt;"",$B1810&lt;&gt;"",$R1810='تقرير مايو'!$C$4,$P1810='تقرير مايو'!$C$6),COUNT(AE$4:AE1809)+1,"")</f>
        <v/>
      </c>
    </row>
    <row r="1811">
      <c r="A1811" s="16" t="n"/>
      <c r="B1811" s="17" t="n"/>
      <c r="C1811" s="17" t="n"/>
      <c r="D1811" s="18" t="n"/>
      <c r="E1811" s="17" t="n"/>
      <c r="F1811" s="17" t="n"/>
      <c r="G1811" s="19" t="n"/>
      <c r="H1811" s="17" t="n"/>
      <c r="I1811" s="17" t="n"/>
      <c r="J1811" s="17" t="n"/>
      <c r="K1811" s="20">
        <f>IF($B1811="","",IFERROR(INDEX(الموظفات!$A$5:$A$304,MATCH($B1811,الموظفات!$B$5:$B$304,0))&amp;"",""))</f>
        <v/>
      </c>
      <c r="L1811" s="21">
        <f>IF($B1811="","",IFERROR(INDEX(الموظفات!$C$5:$C$304,MATCH($B1811,الموظفات!$B$5:$B$304,0))&amp;"",""))</f>
        <v/>
      </c>
      <c r="M1811" s="20">
        <f>IF($B1811="","",IFERROR(INDEX(الموظفات!$D$5:$D$304,MATCH($B1811,الموظفات!$B$5:$B$304,0))&amp;"",""))</f>
        <v/>
      </c>
      <c r="N1811" s="20">
        <f>IF($B1811="","",IFERROR(INDEX(الموظفات!$E$5:$E$304,MATCH($B1811,الموظفات!$B$5:$B$304,0))&amp;"",""))</f>
        <v/>
      </c>
      <c r="O1811" s="21">
        <f>IF(C1811="","",IFERROR(INDEX(الإعدادات!$D$7:$D$35,MATCH(C1811,الإعدادات!$A$7:$A$35,0))&amp;"",""))</f>
        <v/>
      </c>
      <c r="P1811" s="20">
        <f>IF(A1811="","",INDEX(الإعدادات!$H$7:$H$18,MONTH(A1811)))</f>
        <v/>
      </c>
      <c r="Q1811" s="20">
        <f>IF(A1811="","",INDEX(الإعدادات!$I$7:$I$18,MONTH(A1811)))</f>
        <v/>
      </c>
      <c r="R1811" s="20">
        <f>IF(A1811="","",IF(MONTH(A1811)&gt;=8,YEAR(A1811)&amp;"-"&amp;(YEAR(A1811)+1),(YEAR(A1811)-1)&amp;"-"&amp;YEAR(A1811)))</f>
        <v/>
      </c>
      <c r="S1811" s="20">
        <f>IF(OR(A1811="",B1811=""),0,IF(AND(R1811=التقارير!$C$4,OR(التقارير!$C$5="سنوي",AND(التقارير!$C$5="شهري",P1811=التقارير!$C$6),AND(التقارير!$C$5="فصلي",Q1811=التقارير!$C$7))),1,0))</f>
        <v/>
      </c>
      <c r="T1811" s="20">
        <f>IF(S1811=1,COUNTIF($S$5:S1811,1),"")</f>
        <v/>
      </c>
      <c r="U1811">
        <f>IF(AND($A1811&lt;&gt;"",$B1811&lt;&gt;"",$R1811='تقرير الفصل الأول'!$C$4,$Q1811='تقرير الفصل الأول'!$C$7),COUNT(U$4:U1810)+1,"")</f>
        <v/>
      </c>
      <c r="V1811">
        <f>IF(AND($A1811&lt;&gt;"",$B1811&lt;&gt;"",$R1811='تقرير الفصل الثاني'!$C$4,$Q1811='تقرير الفصل الثاني'!$C$7),COUNT(V$4:V1810)+1,"")</f>
        <v/>
      </c>
      <c r="W1811">
        <f>IF(AND($A1811&lt;&gt;"",$B1811&lt;&gt;"",$R1811='تقرير سبتمبر'!$C$4,$P1811='تقرير سبتمبر'!$C$6),COUNT(W$4:W1810)+1,"")</f>
        <v/>
      </c>
      <c r="X1811">
        <f>IF(AND($A1811&lt;&gt;"",$B1811&lt;&gt;"",$R1811='تقرير أكتوبر'!$C$4,$P1811='تقرير أكتوبر'!$C$6),COUNT(X$4:X1810)+1,"")</f>
        <v/>
      </c>
      <c r="Y1811">
        <f>IF(AND($A1811&lt;&gt;"",$B1811&lt;&gt;"",$R1811='تقرير نوفمبر'!$C$4,$P1811='تقرير نوفمبر'!$C$6),COUNT(Y$4:Y1810)+1,"")</f>
        <v/>
      </c>
      <c r="Z1811">
        <f>IF(AND($A1811&lt;&gt;"",$B1811&lt;&gt;"",$R1811='تقرير ديسمبر'!$C$4,$P1811='تقرير ديسمبر'!$C$6),COUNT(Z$4:Z1810)+1,"")</f>
        <v/>
      </c>
      <c r="AA1811">
        <f>IF(AND($A1811&lt;&gt;"",$B1811&lt;&gt;"",$R1811='تقرير يناير'!$C$4,$P1811='تقرير يناير'!$C$6),COUNT(AA$4:AA1810)+1,"")</f>
        <v/>
      </c>
      <c r="AB1811">
        <f>IF(AND($A1811&lt;&gt;"",$B1811&lt;&gt;"",$R1811='تقرير فبراير'!$C$4,$P1811='تقرير فبراير'!$C$6),COUNT(AB$4:AB1810)+1,"")</f>
        <v/>
      </c>
      <c r="AC1811">
        <f>IF(AND($A1811&lt;&gt;"",$B1811&lt;&gt;"",$R1811='تقرير مارس'!$C$4,$P1811='تقرير مارس'!$C$6),COUNT(AC$4:AC1810)+1,"")</f>
        <v/>
      </c>
      <c r="AD1811">
        <f>IF(AND($A1811&lt;&gt;"",$B1811&lt;&gt;"",$R1811='تقرير أبريل'!$C$4,$P1811='تقرير أبريل'!$C$6),COUNT(AD$4:AD1810)+1,"")</f>
        <v/>
      </c>
      <c r="AE1811">
        <f>IF(AND($A1811&lt;&gt;"",$B1811&lt;&gt;"",$R1811='تقرير مايو'!$C$4,$P1811='تقرير مايو'!$C$6),COUNT(AE$4:AE1810)+1,"")</f>
        <v/>
      </c>
    </row>
    <row r="1812">
      <c r="A1812" s="16" t="n"/>
      <c r="B1812" s="17" t="n"/>
      <c r="C1812" s="17" t="n"/>
      <c r="D1812" s="18" t="n"/>
      <c r="E1812" s="17" t="n"/>
      <c r="F1812" s="17" t="n"/>
      <c r="G1812" s="19" t="n"/>
      <c r="H1812" s="17" t="n"/>
      <c r="I1812" s="17" t="n"/>
      <c r="J1812" s="17" t="n"/>
      <c r="K1812" s="20">
        <f>IF($B1812="","",IFERROR(INDEX(الموظفات!$A$5:$A$304,MATCH($B1812,الموظفات!$B$5:$B$304,0))&amp;"",""))</f>
        <v/>
      </c>
      <c r="L1812" s="21">
        <f>IF($B1812="","",IFERROR(INDEX(الموظفات!$C$5:$C$304,MATCH($B1812,الموظفات!$B$5:$B$304,0))&amp;"",""))</f>
        <v/>
      </c>
      <c r="M1812" s="20">
        <f>IF($B1812="","",IFERROR(INDEX(الموظفات!$D$5:$D$304,MATCH($B1812,الموظفات!$B$5:$B$304,0))&amp;"",""))</f>
        <v/>
      </c>
      <c r="N1812" s="20">
        <f>IF($B1812="","",IFERROR(INDEX(الموظفات!$E$5:$E$304,MATCH($B1812,الموظفات!$B$5:$B$304,0))&amp;"",""))</f>
        <v/>
      </c>
      <c r="O1812" s="21">
        <f>IF(C1812="","",IFERROR(INDEX(الإعدادات!$D$7:$D$35,MATCH(C1812,الإعدادات!$A$7:$A$35,0))&amp;"",""))</f>
        <v/>
      </c>
      <c r="P1812" s="20">
        <f>IF(A1812="","",INDEX(الإعدادات!$H$7:$H$18,MONTH(A1812)))</f>
        <v/>
      </c>
      <c r="Q1812" s="20">
        <f>IF(A1812="","",INDEX(الإعدادات!$I$7:$I$18,MONTH(A1812)))</f>
        <v/>
      </c>
      <c r="R1812" s="20">
        <f>IF(A1812="","",IF(MONTH(A1812)&gt;=8,YEAR(A1812)&amp;"-"&amp;(YEAR(A1812)+1),(YEAR(A1812)-1)&amp;"-"&amp;YEAR(A1812)))</f>
        <v/>
      </c>
      <c r="S1812" s="20">
        <f>IF(OR(A1812="",B1812=""),0,IF(AND(R1812=التقارير!$C$4,OR(التقارير!$C$5="سنوي",AND(التقارير!$C$5="شهري",P1812=التقارير!$C$6),AND(التقارير!$C$5="فصلي",Q1812=التقارير!$C$7))),1,0))</f>
        <v/>
      </c>
      <c r="T1812" s="20">
        <f>IF(S1812=1,COUNTIF($S$5:S1812,1),"")</f>
        <v/>
      </c>
      <c r="U1812">
        <f>IF(AND($A1812&lt;&gt;"",$B1812&lt;&gt;"",$R1812='تقرير الفصل الأول'!$C$4,$Q1812='تقرير الفصل الأول'!$C$7),COUNT(U$4:U1811)+1,"")</f>
        <v/>
      </c>
      <c r="V1812">
        <f>IF(AND($A1812&lt;&gt;"",$B1812&lt;&gt;"",$R1812='تقرير الفصل الثاني'!$C$4,$Q1812='تقرير الفصل الثاني'!$C$7),COUNT(V$4:V1811)+1,"")</f>
        <v/>
      </c>
      <c r="W1812">
        <f>IF(AND($A1812&lt;&gt;"",$B1812&lt;&gt;"",$R1812='تقرير سبتمبر'!$C$4,$P1812='تقرير سبتمبر'!$C$6),COUNT(W$4:W1811)+1,"")</f>
        <v/>
      </c>
      <c r="X1812">
        <f>IF(AND($A1812&lt;&gt;"",$B1812&lt;&gt;"",$R1812='تقرير أكتوبر'!$C$4,$P1812='تقرير أكتوبر'!$C$6),COUNT(X$4:X1811)+1,"")</f>
        <v/>
      </c>
      <c r="Y1812">
        <f>IF(AND($A1812&lt;&gt;"",$B1812&lt;&gt;"",$R1812='تقرير نوفمبر'!$C$4,$P1812='تقرير نوفمبر'!$C$6),COUNT(Y$4:Y1811)+1,"")</f>
        <v/>
      </c>
      <c r="Z1812">
        <f>IF(AND($A1812&lt;&gt;"",$B1812&lt;&gt;"",$R1812='تقرير ديسمبر'!$C$4,$P1812='تقرير ديسمبر'!$C$6),COUNT(Z$4:Z1811)+1,"")</f>
        <v/>
      </c>
      <c r="AA1812">
        <f>IF(AND($A1812&lt;&gt;"",$B1812&lt;&gt;"",$R1812='تقرير يناير'!$C$4,$P1812='تقرير يناير'!$C$6),COUNT(AA$4:AA1811)+1,"")</f>
        <v/>
      </c>
      <c r="AB1812">
        <f>IF(AND($A1812&lt;&gt;"",$B1812&lt;&gt;"",$R1812='تقرير فبراير'!$C$4,$P1812='تقرير فبراير'!$C$6),COUNT(AB$4:AB1811)+1,"")</f>
        <v/>
      </c>
      <c r="AC1812">
        <f>IF(AND($A1812&lt;&gt;"",$B1812&lt;&gt;"",$R1812='تقرير مارس'!$C$4,$P1812='تقرير مارس'!$C$6),COUNT(AC$4:AC1811)+1,"")</f>
        <v/>
      </c>
      <c r="AD1812">
        <f>IF(AND($A1812&lt;&gt;"",$B1812&lt;&gt;"",$R1812='تقرير أبريل'!$C$4,$P1812='تقرير أبريل'!$C$6),COUNT(AD$4:AD1811)+1,"")</f>
        <v/>
      </c>
      <c r="AE1812">
        <f>IF(AND($A1812&lt;&gt;"",$B1812&lt;&gt;"",$R1812='تقرير مايو'!$C$4,$P1812='تقرير مايو'!$C$6),COUNT(AE$4:AE1811)+1,"")</f>
        <v/>
      </c>
    </row>
    <row r="1813">
      <c r="A1813" s="16" t="n"/>
      <c r="B1813" s="17" t="n"/>
      <c r="C1813" s="17" t="n"/>
      <c r="D1813" s="18" t="n"/>
      <c r="E1813" s="17" t="n"/>
      <c r="F1813" s="17" t="n"/>
      <c r="G1813" s="19" t="n"/>
      <c r="H1813" s="17" t="n"/>
      <c r="I1813" s="17" t="n"/>
      <c r="J1813" s="17" t="n"/>
      <c r="K1813" s="20">
        <f>IF($B1813="","",IFERROR(INDEX(الموظفات!$A$5:$A$304,MATCH($B1813,الموظفات!$B$5:$B$304,0))&amp;"",""))</f>
        <v/>
      </c>
      <c r="L1813" s="21">
        <f>IF($B1813="","",IFERROR(INDEX(الموظفات!$C$5:$C$304,MATCH($B1813,الموظفات!$B$5:$B$304,0))&amp;"",""))</f>
        <v/>
      </c>
      <c r="M1813" s="20">
        <f>IF($B1813="","",IFERROR(INDEX(الموظفات!$D$5:$D$304,MATCH($B1813,الموظفات!$B$5:$B$304,0))&amp;"",""))</f>
        <v/>
      </c>
      <c r="N1813" s="20">
        <f>IF($B1813="","",IFERROR(INDEX(الموظفات!$E$5:$E$304,MATCH($B1813,الموظفات!$B$5:$B$304,0))&amp;"",""))</f>
        <v/>
      </c>
      <c r="O1813" s="21">
        <f>IF(C1813="","",IFERROR(INDEX(الإعدادات!$D$7:$D$35,MATCH(C1813,الإعدادات!$A$7:$A$35,0))&amp;"",""))</f>
        <v/>
      </c>
      <c r="P1813" s="20">
        <f>IF(A1813="","",INDEX(الإعدادات!$H$7:$H$18,MONTH(A1813)))</f>
        <v/>
      </c>
      <c r="Q1813" s="20">
        <f>IF(A1813="","",INDEX(الإعدادات!$I$7:$I$18,MONTH(A1813)))</f>
        <v/>
      </c>
      <c r="R1813" s="20">
        <f>IF(A1813="","",IF(MONTH(A1813)&gt;=8,YEAR(A1813)&amp;"-"&amp;(YEAR(A1813)+1),(YEAR(A1813)-1)&amp;"-"&amp;YEAR(A1813)))</f>
        <v/>
      </c>
      <c r="S1813" s="20">
        <f>IF(OR(A1813="",B1813=""),0,IF(AND(R1813=التقارير!$C$4,OR(التقارير!$C$5="سنوي",AND(التقارير!$C$5="شهري",P1813=التقارير!$C$6),AND(التقارير!$C$5="فصلي",Q1813=التقارير!$C$7))),1,0))</f>
        <v/>
      </c>
      <c r="T1813" s="20">
        <f>IF(S1813=1,COUNTIF($S$5:S1813,1),"")</f>
        <v/>
      </c>
      <c r="U1813">
        <f>IF(AND($A1813&lt;&gt;"",$B1813&lt;&gt;"",$R1813='تقرير الفصل الأول'!$C$4,$Q1813='تقرير الفصل الأول'!$C$7),COUNT(U$4:U1812)+1,"")</f>
        <v/>
      </c>
      <c r="V1813">
        <f>IF(AND($A1813&lt;&gt;"",$B1813&lt;&gt;"",$R1813='تقرير الفصل الثاني'!$C$4,$Q1813='تقرير الفصل الثاني'!$C$7),COUNT(V$4:V1812)+1,"")</f>
        <v/>
      </c>
      <c r="W1813">
        <f>IF(AND($A1813&lt;&gt;"",$B1813&lt;&gt;"",$R1813='تقرير سبتمبر'!$C$4,$P1813='تقرير سبتمبر'!$C$6),COUNT(W$4:W1812)+1,"")</f>
        <v/>
      </c>
      <c r="X1813">
        <f>IF(AND($A1813&lt;&gt;"",$B1813&lt;&gt;"",$R1813='تقرير أكتوبر'!$C$4,$P1813='تقرير أكتوبر'!$C$6),COUNT(X$4:X1812)+1,"")</f>
        <v/>
      </c>
      <c r="Y1813">
        <f>IF(AND($A1813&lt;&gt;"",$B1813&lt;&gt;"",$R1813='تقرير نوفمبر'!$C$4,$P1813='تقرير نوفمبر'!$C$6),COUNT(Y$4:Y1812)+1,"")</f>
        <v/>
      </c>
      <c r="Z1813">
        <f>IF(AND($A1813&lt;&gt;"",$B1813&lt;&gt;"",$R1813='تقرير ديسمبر'!$C$4,$P1813='تقرير ديسمبر'!$C$6),COUNT(Z$4:Z1812)+1,"")</f>
        <v/>
      </c>
      <c r="AA1813">
        <f>IF(AND($A1813&lt;&gt;"",$B1813&lt;&gt;"",$R1813='تقرير يناير'!$C$4,$P1813='تقرير يناير'!$C$6),COUNT(AA$4:AA1812)+1,"")</f>
        <v/>
      </c>
      <c r="AB1813">
        <f>IF(AND($A1813&lt;&gt;"",$B1813&lt;&gt;"",$R1813='تقرير فبراير'!$C$4,$P1813='تقرير فبراير'!$C$6),COUNT(AB$4:AB1812)+1,"")</f>
        <v/>
      </c>
      <c r="AC1813">
        <f>IF(AND($A1813&lt;&gt;"",$B1813&lt;&gt;"",$R1813='تقرير مارس'!$C$4,$P1813='تقرير مارس'!$C$6),COUNT(AC$4:AC1812)+1,"")</f>
        <v/>
      </c>
      <c r="AD1813">
        <f>IF(AND($A1813&lt;&gt;"",$B1813&lt;&gt;"",$R1813='تقرير أبريل'!$C$4,$P1813='تقرير أبريل'!$C$6),COUNT(AD$4:AD1812)+1,"")</f>
        <v/>
      </c>
      <c r="AE1813">
        <f>IF(AND($A1813&lt;&gt;"",$B1813&lt;&gt;"",$R1813='تقرير مايو'!$C$4,$P1813='تقرير مايو'!$C$6),COUNT(AE$4:AE1812)+1,"")</f>
        <v/>
      </c>
    </row>
    <row r="1814">
      <c r="A1814" s="16" t="n"/>
      <c r="B1814" s="17" t="n"/>
      <c r="C1814" s="17" t="n"/>
      <c r="D1814" s="18" t="n"/>
      <c r="E1814" s="17" t="n"/>
      <c r="F1814" s="17" t="n"/>
      <c r="G1814" s="19" t="n"/>
      <c r="H1814" s="17" t="n"/>
      <c r="I1814" s="17" t="n"/>
      <c r="J1814" s="17" t="n"/>
      <c r="K1814" s="20">
        <f>IF($B1814="","",IFERROR(INDEX(الموظفات!$A$5:$A$304,MATCH($B1814,الموظفات!$B$5:$B$304,0))&amp;"",""))</f>
        <v/>
      </c>
      <c r="L1814" s="21">
        <f>IF($B1814="","",IFERROR(INDEX(الموظفات!$C$5:$C$304,MATCH($B1814,الموظفات!$B$5:$B$304,0))&amp;"",""))</f>
        <v/>
      </c>
      <c r="M1814" s="20">
        <f>IF($B1814="","",IFERROR(INDEX(الموظفات!$D$5:$D$304,MATCH($B1814,الموظفات!$B$5:$B$304,0))&amp;"",""))</f>
        <v/>
      </c>
      <c r="N1814" s="20">
        <f>IF($B1814="","",IFERROR(INDEX(الموظفات!$E$5:$E$304,MATCH($B1814,الموظفات!$B$5:$B$304,0))&amp;"",""))</f>
        <v/>
      </c>
      <c r="O1814" s="21">
        <f>IF(C1814="","",IFERROR(INDEX(الإعدادات!$D$7:$D$35,MATCH(C1814,الإعدادات!$A$7:$A$35,0))&amp;"",""))</f>
        <v/>
      </c>
      <c r="P1814" s="20">
        <f>IF(A1814="","",INDEX(الإعدادات!$H$7:$H$18,MONTH(A1814)))</f>
        <v/>
      </c>
      <c r="Q1814" s="20">
        <f>IF(A1814="","",INDEX(الإعدادات!$I$7:$I$18,MONTH(A1814)))</f>
        <v/>
      </c>
      <c r="R1814" s="20">
        <f>IF(A1814="","",IF(MONTH(A1814)&gt;=8,YEAR(A1814)&amp;"-"&amp;(YEAR(A1814)+1),(YEAR(A1814)-1)&amp;"-"&amp;YEAR(A1814)))</f>
        <v/>
      </c>
      <c r="S1814" s="20">
        <f>IF(OR(A1814="",B1814=""),0,IF(AND(R1814=التقارير!$C$4,OR(التقارير!$C$5="سنوي",AND(التقارير!$C$5="شهري",P1814=التقارير!$C$6),AND(التقارير!$C$5="فصلي",Q1814=التقارير!$C$7))),1,0))</f>
        <v/>
      </c>
      <c r="T1814" s="20">
        <f>IF(S1814=1,COUNTIF($S$5:S1814,1),"")</f>
        <v/>
      </c>
      <c r="U1814">
        <f>IF(AND($A1814&lt;&gt;"",$B1814&lt;&gt;"",$R1814='تقرير الفصل الأول'!$C$4,$Q1814='تقرير الفصل الأول'!$C$7),COUNT(U$4:U1813)+1,"")</f>
        <v/>
      </c>
      <c r="V1814">
        <f>IF(AND($A1814&lt;&gt;"",$B1814&lt;&gt;"",$R1814='تقرير الفصل الثاني'!$C$4,$Q1814='تقرير الفصل الثاني'!$C$7),COUNT(V$4:V1813)+1,"")</f>
        <v/>
      </c>
      <c r="W1814">
        <f>IF(AND($A1814&lt;&gt;"",$B1814&lt;&gt;"",$R1814='تقرير سبتمبر'!$C$4,$P1814='تقرير سبتمبر'!$C$6),COUNT(W$4:W1813)+1,"")</f>
        <v/>
      </c>
      <c r="X1814">
        <f>IF(AND($A1814&lt;&gt;"",$B1814&lt;&gt;"",$R1814='تقرير أكتوبر'!$C$4,$P1814='تقرير أكتوبر'!$C$6),COUNT(X$4:X1813)+1,"")</f>
        <v/>
      </c>
      <c r="Y1814">
        <f>IF(AND($A1814&lt;&gt;"",$B1814&lt;&gt;"",$R1814='تقرير نوفمبر'!$C$4,$P1814='تقرير نوفمبر'!$C$6),COUNT(Y$4:Y1813)+1,"")</f>
        <v/>
      </c>
      <c r="Z1814">
        <f>IF(AND($A1814&lt;&gt;"",$B1814&lt;&gt;"",$R1814='تقرير ديسمبر'!$C$4,$P1814='تقرير ديسمبر'!$C$6),COUNT(Z$4:Z1813)+1,"")</f>
        <v/>
      </c>
      <c r="AA1814">
        <f>IF(AND($A1814&lt;&gt;"",$B1814&lt;&gt;"",$R1814='تقرير يناير'!$C$4,$P1814='تقرير يناير'!$C$6),COUNT(AA$4:AA1813)+1,"")</f>
        <v/>
      </c>
      <c r="AB1814">
        <f>IF(AND($A1814&lt;&gt;"",$B1814&lt;&gt;"",$R1814='تقرير فبراير'!$C$4,$P1814='تقرير فبراير'!$C$6),COUNT(AB$4:AB1813)+1,"")</f>
        <v/>
      </c>
      <c r="AC1814">
        <f>IF(AND($A1814&lt;&gt;"",$B1814&lt;&gt;"",$R1814='تقرير مارس'!$C$4,$P1814='تقرير مارس'!$C$6),COUNT(AC$4:AC1813)+1,"")</f>
        <v/>
      </c>
      <c r="AD1814">
        <f>IF(AND($A1814&lt;&gt;"",$B1814&lt;&gt;"",$R1814='تقرير أبريل'!$C$4,$P1814='تقرير أبريل'!$C$6),COUNT(AD$4:AD1813)+1,"")</f>
        <v/>
      </c>
      <c r="AE1814">
        <f>IF(AND($A1814&lt;&gt;"",$B1814&lt;&gt;"",$R1814='تقرير مايو'!$C$4,$P1814='تقرير مايو'!$C$6),COUNT(AE$4:AE1813)+1,"")</f>
        <v/>
      </c>
    </row>
    <row r="1815">
      <c r="A1815" s="16" t="n"/>
      <c r="B1815" s="17" t="n"/>
      <c r="C1815" s="17" t="n"/>
      <c r="D1815" s="18" t="n"/>
      <c r="E1815" s="17" t="n"/>
      <c r="F1815" s="17" t="n"/>
      <c r="G1815" s="19" t="n"/>
      <c r="H1815" s="17" t="n"/>
      <c r="I1815" s="17" t="n"/>
      <c r="J1815" s="17" t="n"/>
      <c r="K1815" s="20">
        <f>IF($B1815="","",IFERROR(INDEX(الموظفات!$A$5:$A$304,MATCH($B1815,الموظفات!$B$5:$B$304,0))&amp;"",""))</f>
        <v/>
      </c>
      <c r="L1815" s="21">
        <f>IF($B1815="","",IFERROR(INDEX(الموظفات!$C$5:$C$304,MATCH($B1815,الموظفات!$B$5:$B$304,0))&amp;"",""))</f>
        <v/>
      </c>
      <c r="M1815" s="20">
        <f>IF($B1815="","",IFERROR(INDEX(الموظفات!$D$5:$D$304,MATCH($B1815,الموظفات!$B$5:$B$304,0))&amp;"",""))</f>
        <v/>
      </c>
      <c r="N1815" s="20">
        <f>IF($B1815="","",IFERROR(INDEX(الموظفات!$E$5:$E$304,MATCH($B1815,الموظفات!$B$5:$B$304,0))&amp;"",""))</f>
        <v/>
      </c>
      <c r="O1815" s="21">
        <f>IF(C1815="","",IFERROR(INDEX(الإعدادات!$D$7:$D$35,MATCH(C1815,الإعدادات!$A$7:$A$35,0))&amp;"",""))</f>
        <v/>
      </c>
      <c r="P1815" s="20">
        <f>IF(A1815="","",INDEX(الإعدادات!$H$7:$H$18,MONTH(A1815)))</f>
        <v/>
      </c>
      <c r="Q1815" s="20">
        <f>IF(A1815="","",INDEX(الإعدادات!$I$7:$I$18,MONTH(A1815)))</f>
        <v/>
      </c>
      <c r="R1815" s="20">
        <f>IF(A1815="","",IF(MONTH(A1815)&gt;=8,YEAR(A1815)&amp;"-"&amp;(YEAR(A1815)+1),(YEAR(A1815)-1)&amp;"-"&amp;YEAR(A1815)))</f>
        <v/>
      </c>
      <c r="S1815" s="20">
        <f>IF(OR(A1815="",B1815=""),0,IF(AND(R1815=التقارير!$C$4,OR(التقارير!$C$5="سنوي",AND(التقارير!$C$5="شهري",P1815=التقارير!$C$6),AND(التقارير!$C$5="فصلي",Q1815=التقارير!$C$7))),1,0))</f>
        <v/>
      </c>
      <c r="T1815" s="20">
        <f>IF(S1815=1,COUNTIF($S$5:S1815,1),"")</f>
        <v/>
      </c>
      <c r="U1815">
        <f>IF(AND($A1815&lt;&gt;"",$B1815&lt;&gt;"",$R1815='تقرير الفصل الأول'!$C$4,$Q1815='تقرير الفصل الأول'!$C$7),COUNT(U$4:U1814)+1,"")</f>
        <v/>
      </c>
      <c r="V1815">
        <f>IF(AND($A1815&lt;&gt;"",$B1815&lt;&gt;"",$R1815='تقرير الفصل الثاني'!$C$4,$Q1815='تقرير الفصل الثاني'!$C$7),COUNT(V$4:V1814)+1,"")</f>
        <v/>
      </c>
      <c r="W1815">
        <f>IF(AND($A1815&lt;&gt;"",$B1815&lt;&gt;"",$R1815='تقرير سبتمبر'!$C$4,$P1815='تقرير سبتمبر'!$C$6),COUNT(W$4:W1814)+1,"")</f>
        <v/>
      </c>
      <c r="X1815">
        <f>IF(AND($A1815&lt;&gt;"",$B1815&lt;&gt;"",$R1815='تقرير أكتوبر'!$C$4,$P1815='تقرير أكتوبر'!$C$6),COUNT(X$4:X1814)+1,"")</f>
        <v/>
      </c>
      <c r="Y1815">
        <f>IF(AND($A1815&lt;&gt;"",$B1815&lt;&gt;"",$R1815='تقرير نوفمبر'!$C$4,$P1815='تقرير نوفمبر'!$C$6),COUNT(Y$4:Y1814)+1,"")</f>
        <v/>
      </c>
      <c r="Z1815">
        <f>IF(AND($A1815&lt;&gt;"",$B1815&lt;&gt;"",$R1815='تقرير ديسمبر'!$C$4,$P1815='تقرير ديسمبر'!$C$6),COUNT(Z$4:Z1814)+1,"")</f>
        <v/>
      </c>
      <c r="AA1815">
        <f>IF(AND($A1815&lt;&gt;"",$B1815&lt;&gt;"",$R1815='تقرير يناير'!$C$4,$P1815='تقرير يناير'!$C$6),COUNT(AA$4:AA1814)+1,"")</f>
        <v/>
      </c>
      <c r="AB1815">
        <f>IF(AND($A1815&lt;&gt;"",$B1815&lt;&gt;"",$R1815='تقرير فبراير'!$C$4,$P1815='تقرير فبراير'!$C$6),COUNT(AB$4:AB1814)+1,"")</f>
        <v/>
      </c>
      <c r="AC1815">
        <f>IF(AND($A1815&lt;&gt;"",$B1815&lt;&gt;"",$R1815='تقرير مارس'!$C$4,$P1815='تقرير مارس'!$C$6),COUNT(AC$4:AC1814)+1,"")</f>
        <v/>
      </c>
      <c r="AD1815">
        <f>IF(AND($A1815&lt;&gt;"",$B1815&lt;&gt;"",$R1815='تقرير أبريل'!$C$4,$P1815='تقرير أبريل'!$C$6),COUNT(AD$4:AD1814)+1,"")</f>
        <v/>
      </c>
      <c r="AE1815">
        <f>IF(AND($A1815&lt;&gt;"",$B1815&lt;&gt;"",$R1815='تقرير مايو'!$C$4,$P1815='تقرير مايو'!$C$6),COUNT(AE$4:AE1814)+1,"")</f>
        <v/>
      </c>
    </row>
    <row r="1816">
      <c r="A1816" s="16" t="n"/>
      <c r="B1816" s="17" t="n"/>
      <c r="C1816" s="17" t="n"/>
      <c r="D1816" s="18" t="n"/>
      <c r="E1816" s="17" t="n"/>
      <c r="F1816" s="17" t="n"/>
      <c r="G1816" s="19" t="n"/>
      <c r="H1816" s="17" t="n"/>
      <c r="I1816" s="17" t="n"/>
      <c r="J1816" s="17" t="n"/>
      <c r="K1816" s="20">
        <f>IF($B1816="","",IFERROR(INDEX(الموظفات!$A$5:$A$304,MATCH($B1816,الموظفات!$B$5:$B$304,0))&amp;"",""))</f>
        <v/>
      </c>
      <c r="L1816" s="21">
        <f>IF($B1816="","",IFERROR(INDEX(الموظفات!$C$5:$C$304,MATCH($B1816,الموظفات!$B$5:$B$304,0))&amp;"",""))</f>
        <v/>
      </c>
      <c r="M1816" s="20">
        <f>IF($B1816="","",IFERROR(INDEX(الموظفات!$D$5:$D$304,MATCH($B1816,الموظفات!$B$5:$B$304,0))&amp;"",""))</f>
        <v/>
      </c>
      <c r="N1816" s="20">
        <f>IF($B1816="","",IFERROR(INDEX(الموظفات!$E$5:$E$304,MATCH($B1816,الموظفات!$B$5:$B$304,0))&amp;"",""))</f>
        <v/>
      </c>
      <c r="O1816" s="21">
        <f>IF(C1816="","",IFERROR(INDEX(الإعدادات!$D$7:$D$35,MATCH(C1816,الإعدادات!$A$7:$A$35,0))&amp;"",""))</f>
        <v/>
      </c>
      <c r="P1816" s="20">
        <f>IF(A1816="","",INDEX(الإعدادات!$H$7:$H$18,MONTH(A1816)))</f>
        <v/>
      </c>
      <c r="Q1816" s="20">
        <f>IF(A1816="","",INDEX(الإعدادات!$I$7:$I$18,MONTH(A1816)))</f>
        <v/>
      </c>
      <c r="R1816" s="20">
        <f>IF(A1816="","",IF(MONTH(A1816)&gt;=8,YEAR(A1816)&amp;"-"&amp;(YEAR(A1816)+1),(YEAR(A1816)-1)&amp;"-"&amp;YEAR(A1816)))</f>
        <v/>
      </c>
      <c r="S1816" s="20">
        <f>IF(OR(A1816="",B1816=""),0,IF(AND(R1816=التقارير!$C$4,OR(التقارير!$C$5="سنوي",AND(التقارير!$C$5="شهري",P1816=التقارير!$C$6),AND(التقارير!$C$5="فصلي",Q1816=التقارير!$C$7))),1,0))</f>
        <v/>
      </c>
      <c r="T1816" s="20">
        <f>IF(S1816=1,COUNTIF($S$5:S1816,1),"")</f>
        <v/>
      </c>
      <c r="U1816">
        <f>IF(AND($A1816&lt;&gt;"",$B1816&lt;&gt;"",$R1816='تقرير الفصل الأول'!$C$4,$Q1816='تقرير الفصل الأول'!$C$7),COUNT(U$4:U1815)+1,"")</f>
        <v/>
      </c>
      <c r="V1816">
        <f>IF(AND($A1816&lt;&gt;"",$B1816&lt;&gt;"",$R1816='تقرير الفصل الثاني'!$C$4,$Q1816='تقرير الفصل الثاني'!$C$7),COUNT(V$4:V1815)+1,"")</f>
        <v/>
      </c>
      <c r="W1816">
        <f>IF(AND($A1816&lt;&gt;"",$B1816&lt;&gt;"",$R1816='تقرير سبتمبر'!$C$4,$P1816='تقرير سبتمبر'!$C$6),COUNT(W$4:W1815)+1,"")</f>
        <v/>
      </c>
      <c r="X1816">
        <f>IF(AND($A1816&lt;&gt;"",$B1816&lt;&gt;"",$R1816='تقرير أكتوبر'!$C$4,$P1816='تقرير أكتوبر'!$C$6),COUNT(X$4:X1815)+1,"")</f>
        <v/>
      </c>
      <c r="Y1816">
        <f>IF(AND($A1816&lt;&gt;"",$B1816&lt;&gt;"",$R1816='تقرير نوفمبر'!$C$4,$P1816='تقرير نوفمبر'!$C$6),COUNT(Y$4:Y1815)+1,"")</f>
        <v/>
      </c>
      <c r="Z1816">
        <f>IF(AND($A1816&lt;&gt;"",$B1816&lt;&gt;"",$R1816='تقرير ديسمبر'!$C$4,$P1816='تقرير ديسمبر'!$C$6),COUNT(Z$4:Z1815)+1,"")</f>
        <v/>
      </c>
      <c r="AA1816">
        <f>IF(AND($A1816&lt;&gt;"",$B1816&lt;&gt;"",$R1816='تقرير يناير'!$C$4,$P1816='تقرير يناير'!$C$6),COUNT(AA$4:AA1815)+1,"")</f>
        <v/>
      </c>
      <c r="AB1816">
        <f>IF(AND($A1816&lt;&gt;"",$B1816&lt;&gt;"",$R1816='تقرير فبراير'!$C$4,$P1816='تقرير فبراير'!$C$6),COUNT(AB$4:AB1815)+1,"")</f>
        <v/>
      </c>
      <c r="AC1816">
        <f>IF(AND($A1816&lt;&gt;"",$B1816&lt;&gt;"",$R1816='تقرير مارس'!$C$4,$P1816='تقرير مارس'!$C$6),COUNT(AC$4:AC1815)+1,"")</f>
        <v/>
      </c>
      <c r="AD1816">
        <f>IF(AND($A1816&lt;&gt;"",$B1816&lt;&gt;"",$R1816='تقرير أبريل'!$C$4,$P1816='تقرير أبريل'!$C$6),COUNT(AD$4:AD1815)+1,"")</f>
        <v/>
      </c>
      <c r="AE1816">
        <f>IF(AND($A1816&lt;&gt;"",$B1816&lt;&gt;"",$R1816='تقرير مايو'!$C$4,$P1816='تقرير مايو'!$C$6),COUNT(AE$4:AE1815)+1,"")</f>
        <v/>
      </c>
    </row>
    <row r="1817">
      <c r="A1817" s="16" t="n"/>
      <c r="B1817" s="17" t="n"/>
      <c r="C1817" s="17" t="n"/>
      <c r="D1817" s="18" t="n"/>
      <c r="E1817" s="17" t="n"/>
      <c r="F1817" s="17" t="n"/>
      <c r="G1817" s="19" t="n"/>
      <c r="H1817" s="17" t="n"/>
      <c r="I1817" s="17" t="n"/>
      <c r="J1817" s="17" t="n"/>
      <c r="K1817" s="20">
        <f>IF($B1817="","",IFERROR(INDEX(الموظفات!$A$5:$A$304,MATCH($B1817,الموظفات!$B$5:$B$304,0))&amp;"",""))</f>
        <v/>
      </c>
      <c r="L1817" s="21">
        <f>IF($B1817="","",IFERROR(INDEX(الموظفات!$C$5:$C$304,MATCH($B1817,الموظفات!$B$5:$B$304,0))&amp;"",""))</f>
        <v/>
      </c>
      <c r="M1817" s="20">
        <f>IF($B1817="","",IFERROR(INDEX(الموظفات!$D$5:$D$304,MATCH($B1817,الموظفات!$B$5:$B$304,0))&amp;"",""))</f>
        <v/>
      </c>
      <c r="N1817" s="20">
        <f>IF($B1817="","",IFERROR(INDEX(الموظفات!$E$5:$E$304,MATCH($B1817,الموظفات!$B$5:$B$304,0))&amp;"",""))</f>
        <v/>
      </c>
      <c r="O1817" s="21">
        <f>IF(C1817="","",IFERROR(INDEX(الإعدادات!$D$7:$D$35,MATCH(C1817,الإعدادات!$A$7:$A$35,0))&amp;"",""))</f>
        <v/>
      </c>
      <c r="P1817" s="20">
        <f>IF(A1817="","",INDEX(الإعدادات!$H$7:$H$18,MONTH(A1817)))</f>
        <v/>
      </c>
      <c r="Q1817" s="20">
        <f>IF(A1817="","",INDEX(الإعدادات!$I$7:$I$18,MONTH(A1817)))</f>
        <v/>
      </c>
      <c r="R1817" s="20">
        <f>IF(A1817="","",IF(MONTH(A1817)&gt;=8,YEAR(A1817)&amp;"-"&amp;(YEAR(A1817)+1),(YEAR(A1817)-1)&amp;"-"&amp;YEAR(A1817)))</f>
        <v/>
      </c>
      <c r="S1817" s="20">
        <f>IF(OR(A1817="",B1817=""),0,IF(AND(R1817=التقارير!$C$4,OR(التقارير!$C$5="سنوي",AND(التقارير!$C$5="شهري",P1817=التقارير!$C$6),AND(التقارير!$C$5="فصلي",Q1817=التقارير!$C$7))),1,0))</f>
        <v/>
      </c>
      <c r="T1817" s="20">
        <f>IF(S1817=1,COUNTIF($S$5:S1817,1),"")</f>
        <v/>
      </c>
      <c r="U1817">
        <f>IF(AND($A1817&lt;&gt;"",$B1817&lt;&gt;"",$R1817='تقرير الفصل الأول'!$C$4,$Q1817='تقرير الفصل الأول'!$C$7),COUNT(U$4:U1816)+1,"")</f>
        <v/>
      </c>
      <c r="V1817">
        <f>IF(AND($A1817&lt;&gt;"",$B1817&lt;&gt;"",$R1817='تقرير الفصل الثاني'!$C$4,$Q1817='تقرير الفصل الثاني'!$C$7),COUNT(V$4:V1816)+1,"")</f>
        <v/>
      </c>
      <c r="W1817">
        <f>IF(AND($A1817&lt;&gt;"",$B1817&lt;&gt;"",$R1817='تقرير سبتمبر'!$C$4,$P1817='تقرير سبتمبر'!$C$6),COUNT(W$4:W1816)+1,"")</f>
        <v/>
      </c>
      <c r="X1817">
        <f>IF(AND($A1817&lt;&gt;"",$B1817&lt;&gt;"",$R1817='تقرير أكتوبر'!$C$4,$P1817='تقرير أكتوبر'!$C$6),COUNT(X$4:X1816)+1,"")</f>
        <v/>
      </c>
      <c r="Y1817">
        <f>IF(AND($A1817&lt;&gt;"",$B1817&lt;&gt;"",$R1817='تقرير نوفمبر'!$C$4,$P1817='تقرير نوفمبر'!$C$6),COUNT(Y$4:Y1816)+1,"")</f>
        <v/>
      </c>
      <c r="Z1817">
        <f>IF(AND($A1817&lt;&gt;"",$B1817&lt;&gt;"",$R1817='تقرير ديسمبر'!$C$4,$P1817='تقرير ديسمبر'!$C$6),COUNT(Z$4:Z1816)+1,"")</f>
        <v/>
      </c>
      <c r="AA1817">
        <f>IF(AND($A1817&lt;&gt;"",$B1817&lt;&gt;"",$R1817='تقرير يناير'!$C$4,$P1817='تقرير يناير'!$C$6),COUNT(AA$4:AA1816)+1,"")</f>
        <v/>
      </c>
      <c r="AB1817">
        <f>IF(AND($A1817&lt;&gt;"",$B1817&lt;&gt;"",$R1817='تقرير فبراير'!$C$4,$P1817='تقرير فبراير'!$C$6),COUNT(AB$4:AB1816)+1,"")</f>
        <v/>
      </c>
      <c r="AC1817">
        <f>IF(AND($A1817&lt;&gt;"",$B1817&lt;&gt;"",$R1817='تقرير مارس'!$C$4,$P1817='تقرير مارس'!$C$6),COUNT(AC$4:AC1816)+1,"")</f>
        <v/>
      </c>
      <c r="AD1817">
        <f>IF(AND($A1817&lt;&gt;"",$B1817&lt;&gt;"",$R1817='تقرير أبريل'!$C$4,$P1817='تقرير أبريل'!$C$6),COUNT(AD$4:AD1816)+1,"")</f>
        <v/>
      </c>
      <c r="AE1817">
        <f>IF(AND($A1817&lt;&gt;"",$B1817&lt;&gt;"",$R1817='تقرير مايو'!$C$4,$P1817='تقرير مايو'!$C$6),COUNT(AE$4:AE1816)+1,"")</f>
        <v/>
      </c>
    </row>
    <row r="1818">
      <c r="A1818" s="16" t="n"/>
      <c r="B1818" s="17" t="n"/>
      <c r="C1818" s="17" t="n"/>
      <c r="D1818" s="18" t="n"/>
      <c r="E1818" s="17" t="n"/>
      <c r="F1818" s="17" t="n"/>
      <c r="G1818" s="19" t="n"/>
      <c r="H1818" s="17" t="n"/>
      <c r="I1818" s="17" t="n"/>
      <c r="J1818" s="17" t="n"/>
      <c r="K1818" s="20">
        <f>IF($B1818="","",IFERROR(INDEX(الموظفات!$A$5:$A$304,MATCH($B1818,الموظفات!$B$5:$B$304,0))&amp;"",""))</f>
        <v/>
      </c>
      <c r="L1818" s="21">
        <f>IF($B1818="","",IFERROR(INDEX(الموظفات!$C$5:$C$304,MATCH($B1818,الموظفات!$B$5:$B$304,0))&amp;"",""))</f>
        <v/>
      </c>
      <c r="M1818" s="20">
        <f>IF($B1818="","",IFERROR(INDEX(الموظفات!$D$5:$D$304,MATCH($B1818,الموظفات!$B$5:$B$304,0))&amp;"",""))</f>
        <v/>
      </c>
      <c r="N1818" s="20">
        <f>IF($B1818="","",IFERROR(INDEX(الموظفات!$E$5:$E$304,MATCH($B1818,الموظفات!$B$5:$B$304,0))&amp;"",""))</f>
        <v/>
      </c>
      <c r="O1818" s="21">
        <f>IF(C1818="","",IFERROR(INDEX(الإعدادات!$D$7:$D$35,MATCH(C1818,الإعدادات!$A$7:$A$35,0))&amp;"",""))</f>
        <v/>
      </c>
      <c r="P1818" s="20">
        <f>IF(A1818="","",INDEX(الإعدادات!$H$7:$H$18,MONTH(A1818)))</f>
        <v/>
      </c>
      <c r="Q1818" s="20">
        <f>IF(A1818="","",INDEX(الإعدادات!$I$7:$I$18,MONTH(A1818)))</f>
        <v/>
      </c>
      <c r="R1818" s="20">
        <f>IF(A1818="","",IF(MONTH(A1818)&gt;=8,YEAR(A1818)&amp;"-"&amp;(YEAR(A1818)+1),(YEAR(A1818)-1)&amp;"-"&amp;YEAR(A1818)))</f>
        <v/>
      </c>
      <c r="S1818" s="20">
        <f>IF(OR(A1818="",B1818=""),0,IF(AND(R1818=التقارير!$C$4,OR(التقارير!$C$5="سنوي",AND(التقارير!$C$5="شهري",P1818=التقارير!$C$6),AND(التقارير!$C$5="فصلي",Q1818=التقارير!$C$7))),1,0))</f>
        <v/>
      </c>
      <c r="T1818" s="20">
        <f>IF(S1818=1,COUNTIF($S$5:S1818,1),"")</f>
        <v/>
      </c>
      <c r="U1818">
        <f>IF(AND($A1818&lt;&gt;"",$B1818&lt;&gt;"",$R1818='تقرير الفصل الأول'!$C$4,$Q1818='تقرير الفصل الأول'!$C$7),COUNT(U$4:U1817)+1,"")</f>
        <v/>
      </c>
      <c r="V1818">
        <f>IF(AND($A1818&lt;&gt;"",$B1818&lt;&gt;"",$R1818='تقرير الفصل الثاني'!$C$4,$Q1818='تقرير الفصل الثاني'!$C$7),COUNT(V$4:V1817)+1,"")</f>
        <v/>
      </c>
      <c r="W1818">
        <f>IF(AND($A1818&lt;&gt;"",$B1818&lt;&gt;"",$R1818='تقرير سبتمبر'!$C$4,$P1818='تقرير سبتمبر'!$C$6),COUNT(W$4:W1817)+1,"")</f>
        <v/>
      </c>
      <c r="X1818">
        <f>IF(AND($A1818&lt;&gt;"",$B1818&lt;&gt;"",$R1818='تقرير أكتوبر'!$C$4,$P1818='تقرير أكتوبر'!$C$6),COUNT(X$4:X1817)+1,"")</f>
        <v/>
      </c>
      <c r="Y1818">
        <f>IF(AND($A1818&lt;&gt;"",$B1818&lt;&gt;"",$R1818='تقرير نوفمبر'!$C$4,$P1818='تقرير نوفمبر'!$C$6),COUNT(Y$4:Y1817)+1,"")</f>
        <v/>
      </c>
      <c r="Z1818">
        <f>IF(AND($A1818&lt;&gt;"",$B1818&lt;&gt;"",$R1818='تقرير ديسمبر'!$C$4,$P1818='تقرير ديسمبر'!$C$6),COUNT(Z$4:Z1817)+1,"")</f>
        <v/>
      </c>
      <c r="AA1818">
        <f>IF(AND($A1818&lt;&gt;"",$B1818&lt;&gt;"",$R1818='تقرير يناير'!$C$4,$P1818='تقرير يناير'!$C$6),COUNT(AA$4:AA1817)+1,"")</f>
        <v/>
      </c>
      <c r="AB1818">
        <f>IF(AND($A1818&lt;&gt;"",$B1818&lt;&gt;"",$R1818='تقرير فبراير'!$C$4,$P1818='تقرير فبراير'!$C$6),COUNT(AB$4:AB1817)+1,"")</f>
        <v/>
      </c>
      <c r="AC1818">
        <f>IF(AND($A1818&lt;&gt;"",$B1818&lt;&gt;"",$R1818='تقرير مارس'!$C$4,$P1818='تقرير مارس'!$C$6),COUNT(AC$4:AC1817)+1,"")</f>
        <v/>
      </c>
      <c r="AD1818">
        <f>IF(AND($A1818&lt;&gt;"",$B1818&lt;&gt;"",$R1818='تقرير أبريل'!$C$4,$P1818='تقرير أبريل'!$C$6),COUNT(AD$4:AD1817)+1,"")</f>
        <v/>
      </c>
      <c r="AE1818">
        <f>IF(AND($A1818&lt;&gt;"",$B1818&lt;&gt;"",$R1818='تقرير مايو'!$C$4,$P1818='تقرير مايو'!$C$6),COUNT(AE$4:AE1817)+1,"")</f>
        <v/>
      </c>
    </row>
    <row r="1819">
      <c r="A1819" s="16" t="n"/>
      <c r="B1819" s="17" t="n"/>
      <c r="C1819" s="17" t="n"/>
      <c r="D1819" s="18" t="n"/>
      <c r="E1819" s="17" t="n"/>
      <c r="F1819" s="17" t="n"/>
      <c r="G1819" s="19" t="n"/>
      <c r="H1819" s="17" t="n"/>
      <c r="I1819" s="17" t="n"/>
      <c r="J1819" s="17" t="n"/>
      <c r="K1819" s="20">
        <f>IF($B1819="","",IFERROR(INDEX(الموظفات!$A$5:$A$304,MATCH($B1819,الموظفات!$B$5:$B$304,0))&amp;"",""))</f>
        <v/>
      </c>
      <c r="L1819" s="21">
        <f>IF($B1819="","",IFERROR(INDEX(الموظفات!$C$5:$C$304,MATCH($B1819,الموظفات!$B$5:$B$304,0))&amp;"",""))</f>
        <v/>
      </c>
      <c r="M1819" s="20">
        <f>IF($B1819="","",IFERROR(INDEX(الموظفات!$D$5:$D$304,MATCH($B1819,الموظفات!$B$5:$B$304,0))&amp;"",""))</f>
        <v/>
      </c>
      <c r="N1819" s="20">
        <f>IF($B1819="","",IFERROR(INDEX(الموظفات!$E$5:$E$304,MATCH($B1819,الموظفات!$B$5:$B$304,0))&amp;"",""))</f>
        <v/>
      </c>
      <c r="O1819" s="21">
        <f>IF(C1819="","",IFERROR(INDEX(الإعدادات!$D$7:$D$35,MATCH(C1819,الإعدادات!$A$7:$A$35,0))&amp;"",""))</f>
        <v/>
      </c>
      <c r="P1819" s="20">
        <f>IF(A1819="","",INDEX(الإعدادات!$H$7:$H$18,MONTH(A1819)))</f>
        <v/>
      </c>
      <c r="Q1819" s="20">
        <f>IF(A1819="","",INDEX(الإعدادات!$I$7:$I$18,MONTH(A1819)))</f>
        <v/>
      </c>
      <c r="R1819" s="20">
        <f>IF(A1819="","",IF(MONTH(A1819)&gt;=8,YEAR(A1819)&amp;"-"&amp;(YEAR(A1819)+1),(YEAR(A1819)-1)&amp;"-"&amp;YEAR(A1819)))</f>
        <v/>
      </c>
      <c r="S1819" s="20">
        <f>IF(OR(A1819="",B1819=""),0,IF(AND(R1819=التقارير!$C$4,OR(التقارير!$C$5="سنوي",AND(التقارير!$C$5="شهري",P1819=التقارير!$C$6),AND(التقارير!$C$5="فصلي",Q1819=التقارير!$C$7))),1,0))</f>
        <v/>
      </c>
      <c r="T1819" s="20">
        <f>IF(S1819=1,COUNTIF($S$5:S1819,1),"")</f>
        <v/>
      </c>
      <c r="U1819">
        <f>IF(AND($A1819&lt;&gt;"",$B1819&lt;&gt;"",$R1819='تقرير الفصل الأول'!$C$4,$Q1819='تقرير الفصل الأول'!$C$7),COUNT(U$4:U1818)+1,"")</f>
        <v/>
      </c>
      <c r="V1819">
        <f>IF(AND($A1819&lt;&gt;"",$B1819&lt;&gt;"",$R1819='تقرير الفصل الثاني'!$C$4,$Q1819='تقرير الفصل الثاني'!$C$7),COUNT(V$4:V1818)+1,"")</f>
        <v/>
      </c>
      <c r="W1819">
        <f>IF(AND($A1819&lt;&gt;"",$B1819&lt;&gt;"",$R1819='تقرير سبتمبر'!$C$4,$P1819='تقرير سبتمبر'!$C$6),COUNT(W$4:W1818)+1,"")</f>
        <v/>
      </c>
      <c r="X1819">
        <f>IF(AND($A1819&lt;&gt;"",$B1819&lt;&gt;"",$R1819='تقرير أكتوبر'!$C$4,$P1819='تقرير أكتوبر'!$C$6),COUNT(X$4:X1818)+1,"")</f>
        <v/>
      </c>
      <c r="Y1819">
        <f>IF(AND($A1819&lt;&gt;"",$B1819&lt;&gt;"",$R1819='تقرير نوفمبر'!$C$4,$P1819='تقرير نوفمبر'!$C$6),COUNT(Y$4:Y1818)+1,"")</f>
        <v/>
      </c>
      <c r="Z1819">
        <f>IF(AND($A1819&lt;&gt;"",$B1819&lt;&gt;"",$R1819='تقرير ديسمبر'!$C$4,$P1819='تقرير ديسمبر'!$C$6),COUNT(Z$4:Z1818)+1,"")</f>
        <v/>
      </c>
      <c r="AA1819">
        <f>IF(AND($A1819&lt;&gt;"",$B1819&lt;&gt;"",$R1819='تقرير يناير'!$C$4,$P1819='تقرير يناير'!$C$6),COUNT(AA$4:AA1818)+1,"")</f>
        <v/>
      </c>
      <c r="AB1819">
        <f>IF(AND($A1819&lt;&gt;"",$B1819&lt;&gt;"",$R1819='تقرير فبراير'!$C$4,$P1819='تقرير فبراير'!$C$6),COUNT(AB$4:AB1818)+1,"")</f>
        <v/>
      </c>
      <c r="AC1819">
        <f>IF(AND($A1819&lt;&gt;"",$B1819&lt;&gt;"",$R1819='تقرير مارس'!$C$4,$P1819='تقرير مارس'!$C$6),COUNT(AC$4:AC1818)+1,"")</f>
        <v/>
      </c>
      <c r="AD1819">
        <f>IF(AND($A1819&lt;&gt;"",$B1819&lt;&gt;"",$R1819='تقرير أبريل'!$C$4,$P1819='تقرير أبريل'!$C$6),COUNT(AD$4:AD1818)+1,"")</f>
        <v/>
      </c>
      <c r="AE1819">
        <f>IF(AND($A1819&lt;&gt;"",$B1819&lt;&gt;"",$R1819='تقرير مايو'!$C$4,$P1819='تقرير مايو'!$C$6),COUNT(AE$4:AE1818)+1,"")</f>
        <v/>
      </c>
    </row>
    <row r="1820">
      <c r="A1820" s="16" t="n"/>
      <c r="B1820" s="17" t="n"/>
      <c r="C1820" s="17" t="n"/>
      <c r="D1820" s="18" t="n"/>
      <c r="E1820" s="17" t="n"/>
      <c r="F1820" s="17" t="n"/>
      <c r="G1820" s="19" t="n"/>
      <c r="H1820" s="17" t="n"/>
      <c r="I1820" s="17" t="n"/>
      <c r="J1820" s="17" t="n"/>
      <c r="K1820" s="20">
        <f>IF($B1820="","",IFERROR(INDEX(الموظفات!$A$5:$A$304,MATCH($B1820,الموظفات!$B$5:$B$304,0))&amp;"",""))</f>
        <v/>
      </c>
      <c r="L1820" s="21">
        <f>IF($B1820="","",IFERROR(INDEX(الموظفات!$C$5:$C$304,MATCH($B1820,الموظفات!$B$5:$B$304,0))&amp;"",""))</f>
        <v/>
      </c>
      <c r="M1820" s="20">
        <f>IF($B1820="","",IFERROR(INDEX(الموظفات!$D$5:$D$304,MATCH($B1820,الموظفات!$B$5:$B$304,0))&amp;"",""))</f>
        <v/>
      </c>
      <c r="N1820" s="20">
        <f>IF($B1820="","",IFERROR(INDEX(الموظفات!$E$5:$E$304,MATCH($B1820,الموظفات!$B$5:$B$304,0))&amp;"",""))</f>
        <v/>
      </c>
      <c r="O1820" s="21">
        <f>IF(C1820="","",IFERROR(INDEX(الإعدادات!$D$7:$D$35,MATCH(C1820,الإعدادات!$A$7:$A$35,0))&amp;"",""))</f>
        <v/>
      </c>
      <c r="P1820" s="20">
        <f>IF(A1820="","",INDEX(الإعدادات!$H$7:$H$18,MONTH(A1820)))</f>
        <v/>
      </c>
      <c r="Q1820" s="20">
        <f>IF(A1820="","",INDEX(الإعدادات!$I$7:$I$18,MONTH(A1820)))</f>
        <v/>
      </c>
      <c r="R1820" s="20">
        <f>IF(A1820="","",IF(MONTH(A1820)&gt;=8,YEAR(A1820)&amp;"-"&amp;(YEAR(A1820)+1),(YEAR(A1820)-1)&amp;"-"&amp;YEAR(A1820)))</f>
        <v/>
      </c>
      <c r="S1820" s="20">
        <f>IF(OR(A1820="",B1820=""),0,IF(AND(R1820=التقارير!$C$4,OR(التقارير!$C$5="سنوي",AND(التقارير!$C$5="شهري",P1820=التقارير!$C$6),AND(التقارير!$C$5="فصلي",Q1820=التقارير!$C$7))),1,0))</f>
        <v/>
      </c>
      <c r="T1820" s="20">
        <f>IF(S1820=1,COUNTIF($S$5:S1820,1),"")</f>
        <v/>
      </c>
      <c r="U1820">
        <f>IF(AND($A1820&lt;&gt;"",$B1820&lt;&gt;"",$R1820='تقرير الفصل الأول'!$C$4,$Q1820='تقرير الفصل الأول'!$C$7),COUNT(U$4:U1819)+1,"")</f>
        <v/>
      </c>
      <c r="V1820">
        <f>IF(AND($A1820&lt;&gt;"",$B1820&lt;&gt;"",$R1820='تقرير الفصل الثاني'!$C$4,$Q1820='تقرير الفصل الثاني'!$C$7),COUNT(V$4:V1819)+1,"")</f>
        <v/>
      </c>
      <c r="W1820">
        <f>IF(AND($A1820&lt;&gt;"",$B1820&lt;&gt;"",$R1820='تقرير سبتمبر'!$C$4,$P1820='تقرير سبتمبر'!$C$6),COUNT(W$4:W1819)+1,"")</f>
        <v/>
      </c>
      <c r="X1820">
        <f>IF(AND($A1820&lt;&gt;"",$B1820&lt;&gt;"",$R1820='تقرير أكتوبر'!$C$4,$P1820='تقرير أكتوبر'!$C$6),COUNT(X$4:X1819)+1,"")</f>
        <v/>
      </c>
      <c r="Y1820">
        <f>IF(AND($A1820&lt;&gt;"",$B1820&lt;&gt;"",$R1820='تقرير نوفمبر'!$C$4,$P1820='تقرير نوفمبر'!$C$6),COUNT(Y$4:Y1819)+1,"")</f>
        <v/>
      </c>
      <c r="Z1820">
        <f>IF(AND($A1820&lt;&gt;"",$B1820&lt;&gt;"",$R1820='تقرير ديسمبر'!$C$4,$P1820='تقرير ديسمبر'!$C$6),COUNT(Z$4:Z1819)+1,"")</f>
        <v/>
      </c>
      <c r="AA1820">
        <f>IF(AND($A1820&lt;&gt;"",$B1820&lt;&gt;"",$R1820='تقرير يناير'!$C$4,$P1820='تقرير يناير'!$C$6),COUNT(AA$4:AA1819)+1,"")</f>
        <v/>
      </c>
      <c r="AB1820">
        <f>IF(AND($A1820&lt;&gt;"",$B1820&lt;&gt;"",$R1820='تقرير فبراير'!$C$4,$P1820='تقرير فبراير'!$C$6),COUNT(AB$4:AB1819)+1,"")</f>
        <v/>
      </c>
      <c r="AC1820">
        <f>IF(AND($A1820&lt;&gt;"",$B1820&lt;&gt;"",$R1820='تقرير مارس'!$C$4,$P1820='تقرير مارس'!$C$6),COUNT(AC$4:AC1819)+1,"")</f>
        <v/>
      </c>
      <c r="AD1820">
        <f>IF(AND($A1820&lt;&gt;"",$B1820&lt;&gt;"",$R1820='تقرير أبريل'!$C$4,$P1820='تقرير أبريل'!$C$6),COUNT(AD$4:AD1819)+1,"")</f>
        <v/>
      </c>
      <c r="AE1820">
        <f>IF(AND($A1820&lt;&gt;"",$B1820&lt;&gt;"",$R1820='تقرير مايو'!$C$4,$P1820='تقرير مايو'!$C$6),COUNT(AE$4:AE1819)+1,"")</f>
        <v/>
      </c>
    </row>
    <row r="1821">
      <c r="A1821" s="16" t="n"/>
      <c r="B1821" s="17" t="n"/>
      <c r="C1821" s="17" t="n"/>
      <c r="D1821" s="18" t="n"/>
      <c r="E1821" s="17" t="n"/>
      <c r="F1821" s="17" t="n"/>
      <c r="G1821" s="19" t="n"/>
      <c r="H1821" s="17" t="n"/>
      <c r="I1821" s="17" t="n"/>
      <c r="J1821" s="17" t="n"/>
      <c r="K1821" s="20">
        <f>IF($B1821="","",IFERROR(INDEX(الموظفات!$A$5:$A$304,MATCH($B1821,الموظفات!$B$5:$B$304,0))&amp;"",""))</f>
        <v/>
      </c>
      <c r="L1821" s="21">
        <f>IF($B1821="","",IFERROR(INDEX(الموظفات!$C$5:$C$304,MATCH($B1821,الموظفات!$B$5:$B$304,0))&amp;"",""))</f>
        <v/>
      </c>
      <c r="M1821" s="20">
        <f>IF($B1821="","",IFERROR(INDEX(الموظفات!$D$5:$D$304,MATCH($B1821,الموظفات!$B$5:$B$304,0))&amp;"",""))</f>
        <v/>
      </c>
      <c r="N1821" s="20">
        <f>IF($B1821="","",IFERROR(INDEX(الموظفات!$E$5:$E$304,MATCH($B1821,الموظفات!$B$5:$B$304,0))&amp;"",""))</f>
        <v/>
      </c>
      <c r="O1821" s="21">
        <f>IF(C1821="","",IFERROR(INDEX(الإعدادات!$D$7:$D$35,MATCH(C1821,الإعدادات!$A$7:$A$35,0))&amp;"",""))</f>
        <v/>
      </c>
      <c r="P1821" s="20">
        <f>IF(A1821="","",INDEX(الإعدادات!$H$7:$H$18,MONTH(A1821)))</f>
        <v/>
      </c>
      <c r="Q1821" s="20">
        <f>IF(A1821="","",INDEX(الإعدادات!$I$7:$I$18,MONTH(A1821)))</f>
        <v/>
      </c>
      <c r="R1821" s="20">
        <f>IF(A1821="","",IF(MONTH(A1821)&gt;=8,YEAR(A1821)&amp;"-"&amp;(YEAR(A1821)+1),(YEAR(A1821)-1)&amp;"-"&amp;YEAR(A1821)))</f>
        <v/>
      </c>
      <c r="S1821" s="20">
        <f>IF(OR(A1821="",B1821=""),0,IF(AND(R1821=التقارير!$C$4,OR(التقارير!$C$5="سنوي",AND(التقارير!$C$5="شهري",P1821=التقارير!$C$6),AND(التقارير!$C$5="فصلي",Q1821=التقارير!$C$7))),1,0))</f>
        <v/>
      </c>
      <c r="T1821" s="20">
        <f>IF(S1821=1,COUNTIF($S$5:S1821,1),"")</f>
        <v/>
      </c>
      <c r="U1821">
        <f>IF(AND($A1821&lt;&gt;"",$B1821&lt;&gt;"",$R1821='تقرير الفصل الأول'!$C$4,$Q1821='تقرير الفصل الأول'!$C$7),COUNT(U$4:U1820)+1,"")</f>
        <v/>
      </c>
      <c r="V1821">
        <f>IF(AND($A1821&lt;&gt;"",$B1821&lt;&gt;"",$R1821='تقرير الفصل الثاني'!$C$4,$Q1821='تقرير الفصل الثاني'!$C$7),COUNT(V$4:V1820)+1,"")</f>
        <v/>
      </c>
      <c r="W1821">
        <f>IF(AND($A1821&lt;&gt;"",$B1821&lt;&gt;"",$R1821='تقرير سبتمبر'!$C$4,$P1821='تقرير سبتمبر'!$C$6),COUNT(W$4:W1820)+1,"")</f>
        <v/>
      </c>
      <c r="X1821">
        <f>IF(AND($A1821&lt;&gt;"",$B1821&lt;&gt;"",$R1821='تقرير أكتوبر'!$C$4,$P1821='تقرير أكتوبر'!$C$6),COUNT(X$4:X1820)+1,"")</f>
        <v/>
      </c>
      <c r="Y1821">
        <f>IF(AND($A1821&lt;&gt;"",$B1821&lt;&gt;"",$R1821='تقرير نوفمبر'!$C$4,$P1821='تقرير نوفمبر'!$C$6),COUNT(Y$4:Y1820)+1,"")</f>
        <v/>
      </c>
      <c r="Z1821">
        <f>IF(AND($A1821&lt;&gt;"",$B1821&lt;&gt;"",$R1821='تقرير ديسمبر'!$C$4,$P1821='تقرير ديسمبر'!$C$6),COUNT(Z$4:Z1820)+1,"")</f>
        <v/>
      </c>
      <c r="AA1821">
        <f>IF(AND($A1821&lt;&gt;"",$B1821&lt;&gt;"",$R1821='تقرير يناير'!$C$4,$P1821='تقرير يناير'!$C$6),COUNT(AA$4:AA1820)+1,"")</f>
        <v/>
      </c>
      <c r="AB1821">
        <f>IF(AND($A1821&lt;&gt;"",$B1821&lt;&gt;"",$R1821='تقرير فبراير'!$C$4,$P1821='تقرير فبراير'!$C$6),COUNT(AB$4:AB1820)+1,"")</f>
        <v/>
      </c>
      <c r="AC1821">
        <f>IF(AND($A1821&lt;&gt;"",$B1821&lt;&gt;"",$R1821='تقرير مارس'!$C$4,$P1821='تقرير مارس'!$C$6),COUNT(AC$4:AC1820)+1,"")</f>
        <v/>
      </c>
      <c r="AD1821">
        <f>IF(AND($A1821&lt;&gt;"",$B1821&lt;&gt;"",$R1821='تقرير أبريل'!$C$4,$P1821='تقرير أبريل'!$C$6),COUNT(AD$4:AD1820)+1,"")</f>
        <v/>
      </c>
      <c r="AE1821">
        <f>IF(AND($A1821&lt;&gt;"",$B1821&lt;&gt;"",$R1821='تقرير مايو'!$C$4,$P1821='تقرير مايو'!$C$6),COUNT(AE$4:AE1820)+1,"")</f>
        <v/>
      </c>
    </row>
    <row r="1822">
      <c r="A1822" s="16" t="n"/>
      <c r="B1822" s="17" t="n"/>
      <c r="C1822" s="17" t="n"/>
      <c r="D1822" s="18" t="n"/>
      <c r="E1822" s="17" t="n"/>
      <c r="F1822" s="17" t="n"/>
      <c r="G1822" s="19" t="n"/>
      <c r="H1822" s="17" t="n"/>
      <c r="I1822" s="17" t="n"/>
      <c r="J1822" s="17" t="n"/>
      <c r="K1822" s="20">
        <f>IF($B1822="","",IFERROR(INDEX(الموظفات!$A$5:$A$304,MATCH($B1822,الموظفات!$B$5:$B$304,0))&amp;"",""))</f>
        <v/>
      </c>
      <c r="L1822" s="21">
        <f>IF($B1822="","",IFERROR(INDEX(الموظفات!$C$5:$C$304,MATCH($B1822,الموظفات!$B$5:$B$304,0))&amp;"",""))</f>
        <v/>
      </c>
      <c r="M1822" s="20">
        <f>IF($B1822="","",IFERROR(INDEX(الموظفات!$D$5:$D$304,MATCH($B1822,الموظفات!$B$5:$B$304,0))&amp;"",""))</f>
        <v/>
      </c>
      <c r="N1822" s="20">
        <f>IF($B1822="","",IFERROR(INDEX(الموظفات!$E$5:$E$304,MATCH($B1822,الموظفات!$B$5:$B$304,0))&amp;"",""))</f>
        <v/>
      </c>
      <c r="O1822" s="21">
        <f>IF(C1822="","",IFERROR(INDEX(الإعدادات!$D$7:$D$35,MATCH(C1822,الإعدادات!$A$7:$A$35,0))&amp;"",""))</f>
        <v/>
      </c>
      <c r="P1822" s="20">
        <f>IF(A1822="","",INDEX(الإعدادات!$H$7:$H$18,MONTH(A1822)))</f>
        <v/>
      </c>
      <c r="Q1822" s="20">
        <f>IF(A1822="","",INDEX(الإعدادات!$I$7:$I$18,MONTH(A1822)))</f>
        <v/>
      </c>
      <c r="R1822" s="20">
        <f>IF(A1822="","",IF(MONTH(A1822)&gt;=8,YEAR(A1822)&amp;"-"&amp;(YEAR(A1822)+1),(YEAR(A1822)-1)&amp;"-"&amp;YEAR(A1822)))</f>
        <v/>
      </c>
      <c r="S1822" s="20">
        <f>IF(OR(A1822="",B1822=""),0,IF(AND(R1822=التقارير!$C$4,OR(التقارير!$C$5="سنوي",AND(التقارير!$C$5="شهري",P1822=التقارير!$C$6),AND(التقارير!$C$5="فصلي",Q1822=التقارير!$C$7))),1,0))</f>
        <v/>
      </c>
      <c r="T1822" s="20">
        <f>IF(S1822=1,COUNTIF($S$5:S1822,1),"")</f>
        <v/>
      </c>
      <c r="U1822">
        <f>IF(AND($A1822&lt;&gt;"",$B1822&lt;&gt;"",$R1822='تقرير الفصل الأول'!$C$4,$Q1822='تقرير الفصل الأول'!$C$7),COUNT(U$4:U1821)+1,"")</f>
        <v/>
      </c>
      <c r="V1822">
        <f>IF(AND($A1822&lt;&gt;"",$B1822&lt;&gt;"",$R1822='تقرير الفصل الثاني'!$C$4,$Q1822='تقرير الفصل الثاني'!$C$7),COUNT(V$4:V1821)+1,"")</f>
        <v/>
      </c>
      <c r="W1822">
        <f>IF(AND($A1822&lt;&gt;"",$B1822&lt;&gt;"",$R1822='تقرير سبتمبر'!$C$4,$P1822='تقرير سبتمبر'!$C$6),COUNT(W$4:W1821)+1,"")</f>
        <v/>
      </c>
      <c r="X1822">
        <f>IF(AND($A1822&lt;&gt;"",$B1822&lt;&gt;"",$R1822='تقرير أكتوبر'!$C$4,$P1822='تقرير أكتوبر'!$C$6),COUNT(X$4:X1821)+1,"")</f>
        <v/>
      </c>
      <c r="Y1822">
        <f>IF(AND($A1822&lt;&gt;"",$B1822&lt;&gt;"",$R1822='تقرير نوفمبر'!$C$4,$P1822='تقرير نوفمبر'!$C$6),COUNT(Y$4:Y1821)+1,"")</f>
        <v/>
      </c>
      <c r="Z1822">
        <f>IF(AND($A1822&lt;&gt;"",$B1822&lt;&gt;"",$R1822='تقرير ديسمبر'!$C$4,$P1822='تقرير ديسمبر'!$C$6),COUNT(Z$4:Z1821)+1,"")</f>
        <v/>
      </c>
      <c r="AA1822">
        <f>IF(AND($A1822&lt;&gt;"",$B1822&lt;&gt;"",$R1822='تقرير يناير'!$C$4,$P1822='تقرير يناير'!$C$6),COUNT(AA$4:AA1821)+1,"")</f>
        <v/>
      </c>
      <c r="AB1822">
        <f>IF(AND($A1822&lt;&gt;"",$B1822&lt;&gt;"",$R1822='تقرير فبراير'!$C$4,$P1822='تقرير فبراير'!$C$6),COUNT(AB$4:AB1821)+1,"")</f>
        <v/>
      </c>
      <c r="AC1822">
        <f>IF(AND($A1822&lt;&gt;"",$B1822&lt;&gt;"",$R1822='تقرير مارس'!$C$4,$P1822='تقرير مارس'!$C$6),COUNT(AC$4:AC1821)+1,"")</f>
        <v/>
      </c>
      <c r="AD1822">
        <f>IF(AND($A1822&lt;&gt;"",$B1822&lt;&gt;"",$R1822='تقرير أبريل'!$C$4,$P1822='تقرير أبريل'!$C$6),COUNT(AD$4:AD1821)+1,"")</f>
        <v/>
      </c>
      <c r="AE1822">
        <f>IF(AND($A1822&lt;&gt;"",$B1822&lt;&gt;"",$R1822='تقرير مايو'!$C$4,$P1822='تقرير مايو'!$C$6),COUNT(AE$4:AE1821)+1,"")</f>
        <v/>
      </c>
    </row>
    <row r="1823">
      <c r="A1823" s="16" t="n"/>
      <c r="B1823" s="17" t="n"/>
      <c r="C1823" s="17" t="n"/>
      <c r="D1823" s="18" t="n"/>
      <c r="E1823" s="17" t="n"/>
      <c r="F1823" s="17" t="n"/>
      <c r="G1823" s="19" t="n"/>
      <c r="H1823" s="17" t="n"/>
      <c r="I1823" s="17" t="n"/>
      <c r="J1823" s="17" t="n"/>
      <c r="K1823" s="20">
        <f>IF($B1823="","",IFERROR(INDEX(الموظفات!$A$5:$A$304,MATCH($B1823,الموظفات!$B$5:$B$304,0))&amp;"",""))</f>
        <v/>
      </c>
      <c r="L1823" s="21">
        <f>IF($B1823="","",IFERROR(INDEX(الموظفات!$C$5:$C$304,MATCH($B1823,الموظفات!$B$5:$B$304,0))&amp;"",""))</f>
        <v/>
      </c>
      <c r="M1823" s="20">
        <f>IF($B1823="","",IFERROR(INDEX(الموظفات!$D$5:$D$304,MATCH($B1823,الموظفات!$B$5:$B$304,0))&amp;"",""))</f>
        <v/>
      </c>
      <c r="N1823" s="20">
        <f>IF($B1823="","",IFERROR(INDEX(الموظفات!$E$5:$E$304,MATCH($B1823,الموظفات!$B$5:$B$304,0))&amp;"",""))</f>
        <v/>
      </c>
      <c r="O1823" s="21">
        <f>IF(C1823="","",IFERROR(INDEX(الإعدادات!$D$7:$D$35,MATCH(C1823,الإعدادات!$A$7:$A$35,0))&amp;"",""))</f>
        <v/>
      </c>
      <c r="P1823" s="20">
        <f>IF(A1823="","",INDEX(الإعدادات!$H$7:$H$18,MONTH(A1823)))</f>
        <v/>
      </c>
      <c r="Q1823" s="20">
        <f>IF(A1823="","",INDEX(الإعدادات!$I$7:$I$18,MONTH(A1823)))</f>
        <v/>
      </c>
      <c r="R1823" s="20">
        <f>IF(A1823="","",IF(MONTH(A1823)&gt;=8,YEAR(A1823)&amp;"-"&amp;(YEAR(A1823)+1),(YEAR(A1823)-1)&amp;"-"&amp;YEAR(A1823)))</f>
        <v/>
      </c>
      <c r="S1823" s="20">
        <f>IF(OR(A1823="",B1823=""),0,IF(AND(R1823=التقارير!$C$4,OR(التقارير!$C$5="سنوي",AND(التقارير!$C$5="شهري",P1823=التقارير!$C$6),AND(التقارير!$C$5="فصلي",Q1823=التقارير!$C$7))),1,0))</f>
        <v/>
      </c>
      <c r="T1823" s="20">
        <f>IF(S1823=1,COUNTIF($S$5:S1823,1),"")</f>
        <v/>
      </c>
      <c r="U1823">
        <f>IF(AND($A1823&lt;&gt;"",$B1823&lt;&gt;"",$R1823='تقرير الفصل الأول'!$C$4,$Q1823='تقرير الفصل الأول'!$C$7),COUNT(U$4:U1822)+1,"")</f>
        <v/>
      </c>
      <c r="V1823">
        <f>IF(AND($A1823&lt;&gt;"",$B1823&lt;&gt;"",$R1823='تقرير الفصل الثاني'!$C$4,$Q1823='تقرير الفصل الثاني'!$C$7),COUNT(V$4:V1822)+1,"")</f>
        <v/>
      </c>
      <c r="W1823">
        <f>IF(AND($A1823&lt;&gt;"",$B1823&lt;&gt;"",$R1823='تقرير سبتمبر'!$C$4,$P1823='تقرير سبتمبر'!$C$6),COUNT(W$4:W1822)+1,"")</f>
        <v/>
      </c>
      <c r="X1823">
        <f>IF(AND($A1823&lt;&gt;"",$B1823&lt;&gt;"",$R1823='تقرير أكتوبر'!$C$4,$P1823='تقرير أكتوبر'!$C$6),COUNT(X$4:X1822)+1,"")</f>
        <v/>
      </c>
      <c r="Y1823">
        <f>IF(AND($A1823&lt;&gt;"",$B1823&lt;&gt;"",$R1823='تقرير نوفمبر'!$C$4,$P1823='تقرير نوفمبر'!$C$6),COUNT(Y$4:Y1822)+1,"")</f>
        <v/>
      </c>
      <c r="Z1823">
        <f>IF(AND($A1823&lt;&gt;"",$B1823&lt;&gt;"",$R1823='تقرير ديسمبر'!$C$4,$P1823='تقرير ديسمبر'!$C$6),COUNT(Z$4:Z1822)+1,"")</f>
        <v/>
      </c>
      <c r="AA1823">
        <f>IF(AND($A1823&lt;&gt;"",$B1823&lt;&gt;"",$R1823='تقرير يناير'!$C$4,$P1823='تقرير يناير'!$C$6),COUNT(AA$4:AA1822)+1,"")</f>
        <v/>
      </c>
      <c r="AB1823">
        <f>IF(AND($A1823&lt;&gt;"",$B1823&lt;&gt;"",$R1823='تقرير فبراير'!$C$4,$P1823='تقرير فبراير'!$C$6),COUNT(AB$4:AB1822)+1,"")</f>
        <v/>
      </c>
      <c r="AC1823">
        <f>IF(AND($A1823&lt;&gt;"",$B1823&lt;&gt;"",$R1823='تقرير مارس'!$C$4,$P1823='تقرير مارس'!$C$6),COUNT(AC$4:AC1822)+1,"")</f>
        <v/>
      </c>
      <c r="AD1823">
        <f>IF(AND($A1823&lt;&gt;"",$B1823&lt;&gt;"",$R1823='تقرير أبريل'!$C$4,$P1823='تقرير أبريل'!$C$6),COUNT(AD$4:AD1822)+1,"")</f>
        <v/>
      </c>
      <c r="AE1823">
        <f>IF(AND($A1823&lt;&gt;"",$B1823&lt;&gt;"",$R1823='تقرير مايو'!$C$4,$P1823='تقرير مايو'!$C$6),COUNT(AE$4:AE1822)+1,"")</f>
        <v/>
      </c>
    </row>
    <row r="1824">
      <c r="A1824" s="16" t="n"/>
      <c r="B1824" s="17" t="n"/>
      <c r="C1824" s="17" t="n"/>
      <c r="D1824" s="18" t="n"/>
      <c r="E1824" s="17" t="n"/>
      <c r="F1824" s="17" t="n"/>
      <c r="G1824" s="19" t="n"/>
      <c r="H1824" s="17" t="n"/>
      <c r="I1824" s="17" t="n"/>
      <c r="J1824" s="17" t="n"/>
      <c r="K1824" s="20">
        <f>IF($B1824="","",IFERROR(INDEX(الموظفات!$A$5:$A$304,MATCH($B1824,الموظفات!$B$5:$B$304,0))&amp;"",""))</f>
        <v/>
      </c>
      <c r="L1824" s="21">
        <f>IF($B1824="","",IFERROR(INDEX(الموظفات!$C$5:$C$304,MATCH($B1824,الموظفات!$B$5:$B$304,0))&amp;"",""))</f>
        <v/>
      </c>
      <c r="M1824" s="20">
        <f>IF($B1824="","",IFERROR(INDEX(الموظفات!$D$5:$D$304,MATCH($B1824,الموظفات!$B$5:$B$304,0))&amp;"",""))</f>
        <v/>
      </c>
      <c r="N1824" s="20">
        <f>IF($B1824="","",IFERROR(INDEX(الموظفات!$E$5:$E$304,MATCH($B1824,الموظفات!$B$5:$B$304,0))&amp;"",""))</f>
        <v/>
      </c>
      <c r="O1824" s="21">
        <f>IF(C1824="","",IFERROR(INDEX(الإعدادات!$D$7:$D$35,MATCH(C1824,الإعدادات!$A$7:$A$35,0))&amp;"",""))</f>
        <v/>
      </c>
      <c r="P1824" s="20">
        <f>IF(A1824="","",INDEX(الإعدادات!$H$7:$H$18,MONTH(A1824)))</f>
        <v/>
      </c>
      <c r="Q1824" s="20">
        <f>IF(A1824="","",INDEX(الإعدادات!$I$7:$I$18,MONTH(A1824)))</f>
        <v/>
      </c>
      <c r="R1824" s="20">
        <f>IF(A1824="","",IF(MONTH(A1824)&gt;=8,YEAR(A1824)&amp;"-"&amp;(YEAR(A1824)+1),(YEAR(A1824)-1)&amp;"-"&amp;YEAR(A1824)))</f>
        <v/>
      </c>
      <c r="S1824" s="20">
        <f>IF(OR(A1824="",B1824=""),0,IF(AND(R1824=التقارير!$C$4,OR(التقارير!$C$5="سنوي",AND(التقارير!$C$5="شهري",P1824=التقارير!$C$6),AND(التقارير!$C$5="فصلي",Q1824=التقارير!$C$7))),1,0))</f>
        <v/>
      </c>
      <c r="T1824" s="20">
        <f>IF(S1824=1,COUNTIF($S$5:S1824,1),"")</f>
        <v/>
      </c>
      <c r="U1824">
        <f>IF(AND($A1824&lt;&gt;"",$B1824&lt;&gt;"",$R1824='تقرير الفصل الأول'!$C$4,$Q1824='تقرير الفصل الأول'!$C$7),COUNT(U$4:U1823)+1,"")</f>
        <v/>
      </c>
      <c r="V1824">
        <f>IF(AND($A1824&lt;&gt;"",$B1824&lt;&gt;"",$R1824='تقرير الفصل الثاني'!$C$4,$Q1824='تقرير الفصل الثاني'!$C$7),COUNT(V$4:V1823)+1,"")</f>
        <v/>
      </c>
      <c r="W1824">
        <f>IF(AND($A1824&lt;&gt;"",$B1824&lt;&gt;"",$R1824='تقرير سبتمبر'!$C$4,$P1824='تقرير سبتمبر'!$C$6),COUNT(W$4:W1823)+1,"")</f>
        <v/>
      </c>
      <c r="X1824">
        <f>IF(AND($A1824&lt;&gt;"",$B1824&lt;&gt;"",$R1824='تقرير أكتوبر'!$C$4,$P1824='تقرير أكتوبر'!$C$6),COUNT(X$4:X1823)+1,"")</f>
        <v/>
      </c>
      <c r="Y1824">
        <f>IF(AND($A1824&lt;&gt;"",$B1824&lt;&gt;"",$R1824='تقرير نوفمبر'!$C$4,$P1824='تقرير نوفمبر'!$C$6),COUNT(Y$4:Y1823)+1,"")</f>
        <v/>
      </c>
      <c r="Z1824">
        <f>IF(AND($A1824&lt;&gt;"",$B1824&lt;&gt;"",$R1824='تقرير ديسمبر'!$C$4,$P1824='تقرير ديسمبر'!$C$6),COUNT(Z$4:Z1823)+1,"")</f>
        <v/>
      </c>
      <c r="AA1824">
        <f>IF(AND($A1824&lt;&gt;"",$B1824&lt;&gt;"",$R1824='تقرير يناير'!$C$4,$P1824='تقرير يناير'!$C$6),COUNT(AA$4:AA1823)+1,"")</f>
        <v/>
      </c>
      <c r="AB1824">
        <f>IF(AND($A1824&lt;&gt;"",$B1824&lt;&gt;"",$R1824='تقرير فبراير'!$C$4,$P1824='تقرير فبراير'!$C$6),COUNT(AB$4:AB1823)+1,"")</f>
        <v/>
      </c>
      <c r="AC1824">
        <f>IF(AND($A1824&lt;&gt;"",$B1824&lt;&gt;"",$R1824='تقرير مارس'!$C$4,$P1824='تقرير مارس'!$C$6),COUNT(AC$4:AC1823)+1,"")</f>
        <v/>
      </c>
      <c r="AD1824">
        <f>IF(AND($A1824&lt;&gt;"",$B1824&lt;&gt;"",$R1824='تقرير أبريل'!$C$4,$P1824='تقرير أبريل'!$C$6),COUNT(AD$4:AD1823)+1,"")</f>
        <v/>
      </c>
      <c r="AE1824">
        <f>IF(AND($A1824&lt;&gt;"",$B1824&lt;&gt;"",$R1824='تقرير مايو'!$C$4,$P1824='تقرير مايو'!$C$6),COUNT(AE$4:AE1823)+1,"")</f>
        <v/>
      </c>
    </row>
    <row r="1825">
      <c r="A1825" s="16" t="n"/>
      <c r="B1825" s="17" t="n"/>
      <c r="C1825" s="17" t="n"/>
      <c r="D1825" s="18" t="n"/>
      <c r="E1825" s="17" t="n"/>
      <c r="F1825" s="17" t="n"/>
      <c r="G1825" s="19" t="n"/>
      <c r="H1825" s="17" t="n"/>
      <c r="I1825" s="17" t="n"/>
      <c r="J1825" s="17" t="n"/>
      <c r="K1825" s="20">
        <f>IF($B1825="","",IFERROR(INDEX(الموظفات!$A$5:$A$304,MATCH($B1825,الموظفات!$B$5:$B$304,0))&amp;"",""))</f>
        <v/>
      </c>
      <c r="L1825" s="21">
        <f>IF($B1825="","",IFERROR(INDEX(الموظفات!$C$5:$C$304,MATCH($B1825,الموظفات!$B$5:$B$304,0))&amp;"",""))</f>
        <v/>
      </c>
      <c r="M1825" s="20">
        <f>IF($B1825="","",IFERROR(INDEX(الموظفات!$D$5:$D$304,MATCH($B1825,الموظفات!$B$5:$B$304,0))&amp;"",""))</f>
        <v/>
      </c>
      <c r="N1825" s="20">
        <f>IF($B1825="","",IFERROR(INDEX(الموظفات!$E$5:$E$304,MATCH($B1825,الموظفات!$B$5:$B$304,0))&amp;"",""))</f>
        <v/>
      </c>
      <c r="O1825" s="21">
        <f>IF(C1825="","",IFERROR(INDEX(الإعدادات!$D$7:$D$35,MATCH(C1825,الإعدادات!$A$7:$A$35,0))&amp;"",""))</f>
        <v/>
      </c>
      <c r="P1825" s="20">
        <f>IF(A1825="","",INDEX(الإعدادات!$H$7:$H$18,MONTH(A1825)))</f>
        <v/>
      </c>
      <c r="Q1825" s="20">
        <f>IF(A1825="","",INDEX(الإعدادات!$I$7:$I$18,MONTH(A1825)))</f>
        <v/>
      </c>
      <c r="R1825" s="20">
        <f>IF(A1825="","",IF(MONTH(A1825)&gt;=8,YEAR(A1825)&amp;"-"&amp;(YEAR(A1825)+1),(YEAR(A1825)-1)&amp;"-"&amp;YEAR(A1825)))</f>
        <v/>
      </c>
      <c r="S1825" s="20">
        <f>IF(OR(A1825="",B1825=""),0,IF(AND(R1825=التقارير!$C$4,OR(التقارير!$C$5="سنوي",AND(التقارير!$C$5="شهري",P1825=التقارير!$C$6),AND(التقارير!$C$5="فصلي",Q1825=التقارير!$C$7))),1,0))</f>
        <v/>
      </c>
      <c r="T1825" s="20">
        <f>IF(S1825=1,COUNTIF($S$5:S1825,1),"")</f>
        <v/>
      </c>
      <c r="U1825">
        <f>IF(AND($A1825&lt;&gt;"",$B1825&lt;&gt;"",$R1825='تقرير الفصل الأول'!$C$4,$Q1825='تقرير الفصل الأول'!$C$7),COUNT(U$4:U1824)+1,"")</f>
        <v/>
      </c>
      <c r="V1825">
        <f>IF(AND($A1825&lt;&gt;"",$B1825&lt;&gt;"",$R1825='تقرير الفصل الثاني'!$C$4,$Q1825='تقرير الفصل الثاني'!$C$7),COUNT(V$4:V1824)+1,"")</f>
        <v/>
      </c>
      <c r="W1825">
        <f>IF(AND($A1825&lt;&gt;"",$B1825&lt;&gt;"",$R1825='تقرير سبتمبر'!$C$4,$P1825='تقرير سبتمبر'!$C$6),COUNT(W$4:W1824)+1,"")</f>
        <v/>
      </c>
      <c r="X1825">
        <f>IF(AND($A1825&lt;&gt;"",$B1825&lt;&gt;"",$R1825='تقرير أكتوبر'!$C$4,$P1825='تقرير أكتوبر'!$C$6),COUNT(X$4:X1824)+1,"")</f>
        <v/>
      </c>
      <c r="Y1825">
        <f>IF(AND($A1825&lt;&gt;"",$B1825&lt;&gt;"",$R1825='تقرير نوفمبر'!$C$4,$P1825='تقرير نوفمبر'!$C$6),COUNT(Y$4:Y1824)+1,"")</f>
        <v/>
      </c>
      <c r="Z1825">
        <f>IF(AND($A1825&lt;&gt;"",$B1825&lt;&gt;"",$R1825='تقرير ديسمبر'!$C$4,$P1825='تقرير ديسمبر'!$C$6),COUNT(Z$4:Z1824)+1,"")</f>
        <v/>
      </c>
      <c r="AA1825">
        <f>IF(AND($A1825&lt;&gt;"",$B1825&lt;&gt;"",$R1825='تقرير يناير'!$C$4,$P1825='تقرير يناير'!$C$6),COUNT(AA$4:AA1824)+1,"")</f>
        <v/>
      </c>
      <c r="AB1825">
        <f>IF(AND($A1825&lt;&gt;"",$B1825&lt;&gt;"",$R1825='تقرير فبراير'!$C$4,$P1825='تقرير فبراير'!$C$6),COUNT(AB$4:AB1824)+1,"")</f>
        <v/>
      </c>
      <c r="AC1825">
        <f>IF(AND($A1825&lt;&gt;"",$B1825&lt;&gt;"",$R1825='تقرير مارس'!$C$4,$P1825='تقرير مارس'!$C$6),COUNT(AC$4:AC1824)+1,"")</f>
        <v/>
      </c>
      <c r="AD1825">
        <f>IF(AND($A1825&lt;&gt;"",$B1825&lt;&gt;"",$R1825='تقرير أبريل'!$C$4,$P1825='تقرير أبريل'!$C$6),COUNT(AD$4:AD1824)+1,"")</f>
        <v/>
      </c>
      <c r="AE1825">
        <f>IF(AND($A1825&lt;&gt;"",$B1825&lt;&gt;"",$R1825='تقرير مايو'!$C$4,$P1825='تقرير مايو'!$C$6),COUNT(AE$4:AE1824)+1,"")</f>
        <v/>
      </c>
    </row>
    <row r="1826">
      <c r="A1826" s="16" t="n"/>
      <c r="B1826" s="17" t="n"/>
      <c r="C1826" s="17" t="n"/>
      <c r="D1826" s="18" t="n"/>
      <c r="E1826" s="17" t="n"/>
      <c r="F1826" s="17" t="n"/>
      <c r="G1826" s="19" t="n"/>
      <c r="H1826" s="17" t="n"/>
      <c r="I1826" s="17" t="n"/>
      <c r="J1826" s="17" t="n"/>
      <c r="K1826" s="20">
        <f>IF($B1826="","",IFERROR(INDEX(الموظفات!$A$5:$A$304,MATCH($B1826,الموظفات!$B$5:$B$304,0))&amp;"",""))</f>
        <v/>
      </c>
      <c r="L1826" s="21">
        <f>IF($B1826="","",IFERROR(INDEX(الموظفات!$C$5:$C$304,MATCH($B1826,الموظفات!$B$5:$B$304,0))&amp;"",""))</f>
        <v/>
      </c>
      <c r="M1826" s="20">
        <f>IF($B1826="","",IFERROR(INDEX(الموظفات!$D$5:$D$304,MATCH($B1826,الموظفات!$B$5:$B$304,0))&amp;"",""))</f>
        <v/>
      </c>
      <c r="N1826" s="20">
        <f>IF($B1826="","",IFERROR(INDEX(الموظفات!$E$5:$E$304,MATCH($B1826,الموظفات!$B$5:$B$304,0))&amp;"",""))</f>
        <v/>
      </c>
      <c r="O1826" s="21">
        <f>IF(C1826="","",IFERROR(INDEX(الإعدادات!$D$7:$D$35,MATCH(C1826,الإعدادات!$A$7:$A$35,0))&amp;"",""))</f>
        <v/>
      </c>
      <c r="P1826" s="20">
        <f>IF(A1826="","",INDEX(الإعدادات!$H$7:$H$18,MONTH(A1826)))</f>
        <v/>
      </c>
      <c r="Q1826" s="20">
        <f>IF(A1826="","",INDEX(الإعدادات!$I$7:$I$18,MONTH(A1826)))</f>
        <v/>
      </c>
      <c r="R1826" s="20">
        <f>IF(A1826="","",IF(MONTH(A1826)&gt;=8,YEAR(A1826)&amp;"-"&amp;(YEAR(A1826)+1),(YEAR(A1826)-1)&amp;"-"&amp;YEAR(A1826)))</f>
        <v/>
      </c>
      <c r="S1826" s="20">
        <f>IF(OR(A1826="",B1826=""),0,IF(AND(R1826=التقارير!$C$4,OR(التقارير!$C$5="سنوي",AND(التقارير!$C$5="شهري",P1826=التقارير!$C$6),AND(التقارير!$C$5="فصلي",Q1826=التقارير!$C$7))),1,0))</f>
        <v/>
      </c>
      <c r="T1826" s="20">
        <f>IF(S1826=1,COUNTIF($S$5:S1826,1),"")</f>
        <v/>
      </c>
      <c r="U1826">
        <f>IF(AND($A1826&lt;&gt;"",$B1826&lt;&gt;"",$R1826='تقرير الفصل الأول'!$C$4,$Q1826='تقرير الفصل الأول'!$C$7),COUNT(U$4:U1825)+1,"")</f>
        <v/>
      </c>
      <c r="V1826">
        <f>IF(AND($A1826&lt;&gt;"",$B1826&lt;&gt;"",$R1826='تقرير الفصل الثاني'!$C$4,$Q1826='تقرير الفصل الثاني'!$C$7),COUNT(V$4:V1825)+1,"")</f>
        <v/>
      </c>
      <c r="W1826">
        <f>IF(AND($A1826&lt;&gt;"",$B1826&lt;&gt;"",$R1826='تقرير سبتمبر'!$C$4,$P1826='تقرير سبتمبر'!$C$6),COUNT(W$4:W1825)+1,"")</f>
        <v/>
      </c>
      <c r="X1826">
        <f>IF(AND($A1826&lt;&gt;"",$B1826&lt;&gt;"",$R1826='تقرير أكتوبر'!$C$4,$P1826='تقرير أكتوبر'!$C$6),COUNT(X$4:X1825)+1,"")</f>
        <v/>
      </c>
      <c r="Y1826">
        <f>IF(AND($A1826&lt;&gt;"",$B1826&lt;&gt;"",$R1826='تقرير نوفمبر'!$C$4,$P1826='تقرير نوفمبر'!$C$6),COUNT(Y$4:Y1825)+1,"")</f>
        <v/>
      </c>
      <c r="Z1826">
        <f>IF(AND($A1826&lt;&gt;"",$B1826&lt;&gt;"",$R1826='تقرير ديسمبر'!$C$4,$P1826='تقرير ديسمبر'!$C$6),COUNT(Z$4:Z1825)+1,"")</f>
        <v/>
      </c>
      <c r="AA1826">
        <f>IF(AND($A1826&lt;&gt;"",$B1826&lt;&gt;"",$R1826='تقرير يناير'!$C$4,$P1826='تقرير يناير'!$C$6),COUNT(AA$4:AA1825)+1,"")</f>
        <v/>
      </c>
      <c r="AB1826">
        <f>IF(AND($A1826&lt;&gt;"",$B1826&lt;&gt;"",$R1826='تقرير فبراير'!$C$4,$P1826='تقرير فبراير'!$C$6),COUNT(AB$4:AB1825)+1,"")</f>
        <v/>
      </c>
      <c r="AC1826">
        <f>IF(AND($A1826&lt;&gt;"",$B1826&lt;&gt;"",$R1826='تقرير مارس'!$C$4,$P1826='تقرير مارس'!$C$6),COUNT(AC$4:AC1825)+1,"")</f>
        <v/>
      </c>
      <c r="AD1826">
        <f>IF(AND($A1826&lt;&gt;"",$B1826&lt;&gt;"",$R1826='تقرير أبريل'!$C$4,$P1826='تقرير أبريل'!$C$6),COUNT(AD$4:AD1825)+1,"")</f>
        <v/>
      </c>
      <c r="AE1826">
        <f>IF(AND($A1826&lt;&gt;"",$B1826&lt;&gt;"",$R1826='تقرير مايو'!$C$4,$P1826='تقرير مايو'!$C$6),COUNT(AE$4:AE1825)+1,"")</f>
        <v/>
      </c>
    </row>
    <row r="1827">
      <c r="A1827" s="16" t="n"/>
      <c r="B1827" s="17" t="n"/>
      <c r="C1827" s="17" t="n"/>
      <c r="D1827" s="18" t="n"/>
      <c r="E1827" s="17" t="n"/>
      <c r="F1827" s="17" t="n"/>
      <c r="G1827" s="19" t="n"/>
      <c r="H1827" s="17" t="n"/>
      <c r="I1827" s="17" t="n"/>
      <c r="J1827" s="17" t="n"/>
      <c r="K1827" s="20">
        <f>IF($B1827="","",IFERROR(INDEX(الموظفات!$A$5:$A$304,MATCH($B1827,الموظفات!$B$5:$B$304,0))&amp;"",""))</f>
        <v/>
      </c>
      <c r="L1827" s="21">
        <f>IF($B1827="","",IFERROR(INDEX(الموظفات!$C$5:$C$304,MATCH($B1827,الموظفات!$B$5:$B$304,0))&amp;"",""))</f>
        <v/>
      </c>
      <c r="M1827" s="20">
        <f>IF($B1827="","",IFERROR(INDEX(الموظفات!$D$5:$D$304,MATCH($B1827,الموظفات!$B$5:$B$304,0))&amp;"",""))</f>
        <v/>
      </c>
      <c r="N1827" s="20">
        <f>IF($B1827="","",IFERROR(INDEX(الموظفات!$E$5:$E$304,MATCH($B1827,الموظفات!$B$5:$B$304,0))&amp;"",""))</f>
        <v/>
      </c>
      <c r="O1827" s="21">
        <f>IF(C1827="","",IFERROR(INDEX(الإعدادات!$D$7:$D$35,MATCH(C1827,الإعدادات!$A$7:$A$35,0))&amp;"",""))</f>
        <v/>
      </c>
      <c r="P1827" s="20">
        <f>IF(A1827="","",INDEX(الإعدادات!$H$7:$H$18,MONTH(A1827)))</f>
        <v/>
      </c>
      <c r="Q1827" s="20">
        <f>IF(A1827="","",INDEX(الإعدادات!$I$7:$I$18,MONTH(A1827)))</f>
        <v/>
      </c>
      <c r="R1827" s="20">
        <f>IF(A1827="","",IF(MONTH(A1827)&gt;=8,YEAR(A1827)&amp;"-"&amp;(YEAR(A1827)+1),(YEAR(A1827)-1)&amp;"-"&amp;YEAR(A1827)))</f>
        <v/>
      </c>
      <c r="S1827" s="20">
        <f>IF(OR(A1827="",B1827=""),0,IF(AND(R1827=التقارير!$C$4,OR(التقارير!$C$5="سنوي",AND(التقارير!$C$5="شهري",P1827=التقارير!$C$6),AND(التقارير!$C$5="فصلي",Q1827=التقارير!$C$7))),1,0))</f>
        <v/>
      </c>
      <c r="T1827" s="20">
        <f>IF(S1827=1,COUNTIF($S$5:S1827,1),"")</f>
        <v/>
      </c>
      <c r="U1827">
        <f>IF(AND($A1827&lt;&gt;"",$B1827&lt;&gt;"",$R1827='تقرير الفصل الأول'!$C$4,$Q1827='تقرير الفصل الأول'!$C$7),COUNT(U$4:U1826)+1,"")</f>
        <v/>
      </c>
      <c r="V1827">
        <f>IF(AND($A1827&lt;&gt;"",$B1827&lt;&gt;"",$R1827='تقرير الفصل الثاني'!$C$4,$Q1827='تقرير الفصل الثاني'!$C$7),COUNT(V$4:V1826)+1,"")</f>
        <v/>
      </c>
      <c r="W1827">
        <f>IF(AND($A1827&lt;&gt;"",$B1827&lt;&gt;"",$R1827='تقرير سبتمبر'!$C$4,$P1827='تقرير سبتمبر'!$C$6),COUNT(W$4:W1826)+1,"")</f>
        <v/>
      </c>
      <c r="X1827">
        <f>IF(AND($A1827&lt;&gt;"",$B1827&lt;&gt;"",$R1827='تقرير أكتوبر'!$C$4,$P1827='تقرير أكتوبر'!$C$6),COUNT(X$4:X1826)+1,"")</f>
        <v/>
      </c>
      <c r="Y1827">
        <f>IF(AND($A1827&lt;&gt;"",$B1827&lt;&gt;"",$R1827='تقرير نوفمبر'!$C$4,$P1827='تقرير نوفمبر'!$C$6),COUNT(Y$4:Y1826)+1,"")</f>
        <v/>
      </c>
      <c r="Z1827">
        <f>IF(AND($A1827&lt;&gt;"",$B1827&lt;&gt;"",$R1827='تقرير ديسمبر'!$C$4,$P1827='تقرير ديسمبر'!$C$6),COUNT(Z$4:Z1826)+1,"")</f>
        <v/>
      </c>
      <c r="AA1827">
        <f>IF(AND($A1827&lt;&gt;"",$B1827&lt;&gt;"",$R1827='تقرير يناير'!$C$4,$P1827='تقرير يناير'!$C$6),COUNT(AA$4:AA1826)+1,"")</f>
        <v/>
      </c>
      <c r="AB1827">
        <f>IF(AND($A1827&lt;&gt;"",$B1827&lt;&gt;"",$R1827='تقرير فبراير'!$C$4,$P1827='تقرير فبراير'!$C$6),COUNT(AB$4:AB1826)+1,"")</f>
        <v/>
      </c>
      <c r="AC1827">
        <f>IF(AND($A1827&lt;&gt;"",$B1827&lt;&gt;"",$R1827='تقرير مارس'!$C$4,$P1827='تقرير مارس'!$C$6),COUNT(AC$4:AC1826)+1,"")</f>
        <v/>
      </c>
      <c r="AD1827">
        <f>IF(AND($A1827&lt;&gt;"",$B1827&lt;&gt;"",$R1827='تقرير أبريل'!$C$4,$P1827='تقرير أبريل'!$C$6),COUNT(AD$4:AD1826)+1,"")</f>
        <v/>
      </c>
      <c r="AE1827">
        <f>IF(AND($A1827&lt;&gt;"",$B1827&lt;&gt;"",$R1827='تقرير مايو'!$C$4,$P1827='تقرير مايو'!$C$6),COUNT(AE$4:AE1826)+1,"")</f>
        <v/>
      </c>
    </row>
    <row r="1828">
      <c r="A1828" s="16" t="n"/>
      <c r="B1828" s="17" t="n"/>
      <c r="C1828" s="17" t="n"/>
      <c r="D1828" s="18" t="n"/>
      <c r="E1828" s="17" t="n"/>
      <c r="F1828" s="17" t="n"/>
      <c r="G1828" s="19" t="n"/>
      <c r="H1828" s="17" t="n"/>
      <c r="I1828" s="17" t="n"/>
      <c r="J1828" s="17" t="n"/>
      <c r="K1828" s="20">
        <f>IF($B1828="","",IFERROR(INDEX(الموظفات!$A$5:$A$304,MATCH($B1828,الموظفات!$B$5:$B$304,0))&amp;"",""))</f>
        <v/>
      </c>
      <c r="L1828" s="21">
        <f>IF($B1828="","",IFERROR(INDEX(الموظفات!$C$5:$C$304,MATCH($B1828,الموظفات!$B$5:$B$304,0))&amp;"",""))</f>
        <v/>
      </c>
      <c r="M1828" s="20">
        <f>IF($B1828="","",IFERROR(INDEX(الموظفات!$D$5:$D$304,MATCH($B1828,الموظفات!$B$5:$B$304,0))&amp;"",""))</f>
        <v/>
      </c>
      <c r="N1828" s="20">
        <f>IF($B1828="","",IFERROR(INDEX(الموظفات!$E$5:$E$304,MATCH($B1828,الموظفات!$B$5:$B$304,0))&amp;"",""))</f>
        <v/>
      </c>
      <c r="O1828" s="21">
        <f>IF(C1828="","",IFERROR(INDEX(الإعدادات!$D$7:$D$35,MATCH(C1828,الإعدادات!$A$7:$A$35,0))&amp;"",""))</f>
        <v/>
      </c>
      <c r="P1828" s="20">
        <f>IF(A1828="","",INDEX(الإعدادات!$H$7:$H$18,MONTH(A1828)))</f>
        <v/>
      </c>
      <c r="Q1828" s="20">
        <f>IF(A1828="","",INDEX(الإعدادات!$I$7:$I$18,MONTH(A1828)))</f>
        <v/>
      </c>
      <c r="R1828" s="20">
        <f>IF(A1828="","",IF(MONTH(A1828)&gt;=8,YEAR(A1828)&amp;"-"&amp;(YEAR(A1828)+1),(YEAR(A1828)-1)&amp;"-"&amp;YEAR(A1828)))</f>
        <v/>
      </c>
      <c r="S1828" s="20">
        <f>IF(OR(A1828="",B1828=""),0,IF(AND(R1828=التقارير!$C$4,OR(التقارير!$C$5="سنوي",AND(التقارير!$C$5="شهري",P1828=التقارير!$C$6),AND(التقارير!$C$5="فصلي",Q1828=التقارير!$C$7))),1,0))</f>
        <v/>
      </c>
      <c r="T1828" s="20">
        <f>IF(S1828=1,COUNTIF($S$5:S1828,1),"")</f>
        <v/>
      </c>
      <c r="U1828">
        <f>IF(AND($A1828&lt;&gt;"",$B1828&lt;&gt;"",$R1828='تقرير الفصل الأول'!$C$4,$Q1828='تقرير الفصل الأول'!$C$7),COUNT(U$4:U1827)+1,"")</f>
        <v/>
      </c>
      <c r="V1828">
        <f>IF(AND($A1828&lt;&gt;"",$B1828&lt;&gt;"",$R1828='تقرير الفصل الثاني'!$C$4,$Q1828='تقرير الفصل الثاني'!$C$7),COUNT(V$4:V1827)+1,"")</f>
        <v/>
      </c>
      <c r="W1828">
        <f>IF(AND($A1828&lt;&gt;"",$B1828&lt;&gt;"",$R1828='تقرير سبتمبر'!$C$4,$P1828='تقرير سبتمبر'!$C$6),COUNT(W$4:W1827)+1,"")</f>
        <v/>
      </c>
      <c r="X1828">
        <f>IF(AND($A1828&lt;&gt;"",$B1828&lt;&gt;"",$R1828='تقرير أكتوبر'!$C$4,$P1828='تقرير أكتوبر'!$C$6),COUNT(X$4:X1827)+1,"")</f>
        <v/>
      </c>
      <c r="Y1828">
        <f>IF(AND($A1828&lt;&gt;"",$B1828&lt;&gt;"",$R1828='تقرير نوفمبر'!$C$4,$P1828='تقرير نوفمبر'!$C$6),COUNT(Y$4:Y1827)+1,"")</f>
        <v/>
      </c>
      <c r="Z1828">
        <f>IF(AND($A1828&lt;&gt;"",$B1828&lt;&gt;"",$R1828='تقرير ديسمبر'!$C$4,$P1828='تقرير ديسمبر'!$C$6),COUNT(Z$4:Z1827)+1,"")</f>
        <v/>
      </c>
      <c r="AA1828">
        <f>IF(AND($A1828&lt;&gt;"",$B1828&lt;&gt;"",$R1828='تقرير يناير'!$C$4,$P1828='تقرير يناير'!$C$6),COUNT(AA$4:AA1827)+1,"")</f>
        <v/>
      </c>
      <c r="AB1828">
        <f>IF(AND($A1828&lt;&gt;"",$B1828&lt;&gt;"",$R1828='تقرير فبراير'!$C$4,$P1828='تقرير فبراير'!$C$6),COUNT(AB$4:AB1827)+1,"")</f>
        <v/>
      </c>
      <c r="AC1828">
        <f>IF(AND($A1828&lt;&gt;"",$B1828&lt;&gt;"",$R1828='تقرير مارس'!$C$4,$P1828='تقرير مارس'!$C$6),COUNT(AC$4:AC1827)+1,"")</f>
        <v/>
      </c>
      <c r="AD1828">
        <f>IF(AND($A1828&lt;&gt;"",$B1828&lt;&gt;"",$R1828='تقرير أبريل'!$C$4,$P1828='تقرير أبريل'!$C$6),COUNT(AD$4:AD1827)+1,"")</f>
        <v/>
      </c>
      <c r="AE1828">
        <f>IF(AND($A1828&lt;&gt;"",$B1828&lt;&gt;"",$R1828='تقرير مايو'!$C$4,$P1828='تقرير مايو'!$C$6),COUNT(AE$4:AE1827)+1,"")</f>
        <v/>
      </c>
    </row>
    <row r="1829">
      <c r="A1829" s="16" t="n"/>
      <c r="B1829" s="17" t="n"/>
      <c r="C1829" s="17" t="n"/>
      <c r="D1829" s="18" t="n"/>
      <c r="E1829" s="17" t="n"/>
      <c r="F1829" s="17" t="n"/>
      <c r="G1829" s="19" t="n"/>
      <c r="H1829" s="17" t="n"/>
      <c r="I1829" s="17" t="n"/>
      <c r="J1829" s="17" t="n"/>
      <c r="K1829" s="20">
        <f>IF($B1829="","",IFERROR(INDEX(الموظفات!$A$5:$A$304,MATCH($B1829,الموظفات!$B$5:$B$304,0))&amp;"",""))</f>
        <v/>
      </c>
      <c r="L1829" s="21">
        <f>IF($B1829="","",IFERROR(INDEX(الموظفات!$C$5:$C$304,MATCH($B1829,الموظفات!$B$5:$B$304,0))&amp;"",""))</f>
        <v/>
      </c>
      <c r="M1829" s="20">
        <f>IF($B1829="","",IFERROR(INDEX(الموظفات!$D$5:$D$304,MATCH($B1829,الموظفات!$B$5:$B$304,0))&amp;"",""))</f>
        <v/>
      </c>
      <c r="N1829" s="20">
        <f>IF($B1829="","",IFERROR(INDEX(الموظفات!$E$5:$E$304,MATCH($B1829,الموظفات!$B$5:$B$304,0))&amp;"",""))</f>
        <v/>
      </c>
      <c r="O1829" s="21">
        <f>IF(C1829="","",IFERROR(INDEX(الإعدادات!$D$7:$D$35,MATCH(C1829,الإعدادات!$A$7:$A$35,0))&amp;"",""))</f>
        <v/>
      </c>
      <c r="P1829" s="20">
        <f>IF(A1829="","",INDEX(الإعدادات!$H$7:$H$18,MONTH(A1829)))</f>
        <v/>
      </c>
      <c r="Q1829" s="20">
        <f>IF(A1829="","",INDEX(الإعدادات!$I$7:$I$18,MONTH(A1829)))</f>
        <v/>
      </c>
      <c r="R1829" s="20">
        <f>IF(A1829="","",IF(MONTH(A1829)&gt;=8,YEAR(A1829)&amp;"-"&amp;(YEAR(A1829)+1),(YEAR(A1829)-1)&amp;"-"&amp;YEAR(A1829)))</f>
        <v/>
      </c>
      <c r="S1829" s="20">
        <f>IF(OR(A1829="",B1829=""),0,IF(AND(R1829=التقارير!$C$4,OR(التقارير!$C$5="سنوي",AND(التقارير!$C$5="شهري",P1829=التقارير!$C$6),AND(التقارير!$C$5="فصلي",Q1829=التقارير!$C$7))),1,0))</f>
        <v/>
      </c>
      <c r="T1829" s="20">
        <f>IF(S1829=1,COUNTIF($S$5:S1829,1),"")</f>
        <v/>
      </c>
      <c r="U1829">
        <f>IF(AND($A1829&lt;&gt;"",$B1829&lt;&gt;"",$R1829='تقرير الفصل الأول'!$C$4,$Q1829='تقرير الفصل الأول'!$C$7),COUNT(U$4:U1828)+1,"")</f>
        <v/>
      </c>
      <c r="V1829">
        <f>IF(AND($A1829&lt;&gt;"",$B1829&lt;&gt;"",$R1829='تقرير الفصل الثاني'!$C$4,$Q1829='تقرير الفصل الثاني'!$C$7),COUNT(V$4:V1828)+1,"")</f>
        <v/>
      </c>
      <c r="W1829">
        <f>IF(AND($A1829&lt;&gt;"",$B1829&lt;&gt;"",$R1829='تقرير سبتمبر'!$C$4,$P1829='تقرير سبتمبر'!$C$6),COUNT(W$4:W1828)+1,"")</f>
        <v/>
      </c>
      <c r="X1829">
        <f>IF(AND($A1829&lt;&gt;"",$B1829&lt;&gt;"",$R1829='تقرير أكتوبر'!$C$4,$P1829='تقرير أكتوبر'!$C$6),COUNT(X$4:X1828)+1,"")</f>
        <v/>
      </c>
      <c r="Y1829">
        <f>IF(AND($A1829&lt;&gt;"",$B1829&lt;&gt;"",$R1829='تقرير نوفمبر'!$C$4,$P1829='تقرير نوفمبر'!$C$6),COUNT(Y$4:Y1828)+1,"")</f>
        <v/>
      </c>
      <c r="Z1829">
        <f>IF(AND($A1829&lt;&gt;"",$B1829&lt;&gt;"",$R1829='تقرير ديسمبر'!$C$4,$P1829='تقرير ديسمبر'!$C$6),COUNT(Z$4:Z1828)+1,"")</f>
        <v/>
      </c>
      <c r="AA1829">
        <f>IF(AND($A1829&lt;&gt;"",$B1829&lt;&gt;"",$R1829='تقرير يناير'!$C$4,$P1829='تقرير يناير'!$C$6),COUNT(AA$4:AA1828)+1,"")</f>
        <v/>
      </c>
      <c r="AB1829">
        <f>IF(AND($A1829&lt;&gt;"",$B1829&lt;&gt;"",$R1829='تقرير فبراير'!$C$4,$P1829='تقرير فبراير'!$C$6),COUNT(AB$4:AB1828)+1,"")</f>
        <v/>
      </c>
      <c r="AC1829">
        <f>IF(AND($A1829&lt;&gt;"",$B1829&lt;&gt;"",$R1829='تقرير مارس'!$C$4,$P1829='تقرير مارس'!$C$6),COUNT(AC$4:AC1828)+1,"")</f>
        <v/>
      </c>
      <c r="AD1829">
        <f>IF(AND($A1829&lt;&gt;"",$B1829&lt;&gt;"",$R1829='تقرير أبريل'!$C$4,$P1829='تقرير أبريل'!$C$6),COUNT(AD$4:AD1828)+1,"")</f>
        <v/>
      </c>
      <c r="AE1829">
        <f>IF(AND($A1829&lt;&gt;"",$B1829&lt;&gt;"",$R1829='تقرير مايو'!$C$4,$P1829='تقرير مايو'!$C$6),COUNT(AE$4:AE1828)+1,"")</f>
        <v/>
      </c>
    </row>
    <row r="1830">
      <c r="A1830" s="16" t="n"/>
      <c r="B1830" s="17" t="n"/>
      <c r="C1830" s="17" t="n"/>
      <c r="D1830" s="18" t="n"/>
      <c r="E1830" s="17" t="n"/>
      <c r="F1830" s="17" t="n"/>
      <c r="G1830" s="19" t="n"/>
      <c r="H1830" s="17" t="n"/>
      <c r="I1830" s="17" t="n"/>
      <c r="J1830" s="17" t="n"/>
      <c r="K1830" s="20">
        <f>IF($B1830="","",IFERROR(INDEX(الموظفات!$A$5:$A$304,MATCH($B1830,الموظفات!$B$5:$B$304,0))&amp;"",""))</f>
        <v/>
      </c>
      <c r="L1830" s="21">
        <f>IF($B1830="","",IFERROR(INDEX(الموظفات!$C$5:$C$304,MATCH($B1830,الموظفات!$B$5:$B$304,0))&amp;"",""))</f>
        <v/>
      </c>
      <c r="M1830" s="20">
        <f>IF($B1830="","",IFERROR(INDEX(الموظفات!$D$5:$D$304,MATCH($B1830,الموظفات!$B$5:$B$304,0))&amp;"",""))</f>
        <v/>
      </c>
      <c r="N1830" s="20">
        <f>IF($B1830="","",IFERROR(INDEX(الموظفات!$E$5:$E$304,MATCH($B1830,الموظفات!$B$5:$B$304,0))&amp;"",""))</f>
        <v/>
      </c>
      <c r="O1830" s="21">
        <f>IF(C1830="","",IFERROR(INDEX(الإعدادات!$D$7:$D$35,MATCH(C1830,الإعدادات!$A$7:$A$35,0))&amp;"",""))</f>
        <v/>
      </c>
      <c r="P1830" s="20">
        <f>IF(A1830="","",INDEX(الإعدادات!$H$7:$H$18,MONTH(A1830)))</f>
        <v/>
      </c>
      <c r="Q1830" s="20">
        <f>IF(A1830="","",INDEX(الإعدادات!$I$7:$I$18,MONTH(A1830)))</f>
        <v/>
      </c>
      <c r="R1830" s="20">
        <f>IF(A1830="","",IF(MONTH(A1830)&gt;=8,YEAR(A1830)&amp;"-"&amp;(YEAR(A1830)+1),(YEAR(A1830)-1)&amp;"-"&amp;YEAR(A1830)))</f>
        <v/>
      </c>
      <c r="S1830" s="20">
        <f>IF(OR(A1830="",B1830=""),0,IF(AND(R1830=التقارير!$C$4,OR(التقارير!$C$5="سنوي",AND(التقارير!$C$5="شهري",P1830=التقارير!$C$6),AND(التقارير!$C$5="فصلي",Q1830=التقارير!$C$7))),1,0))</f>
        <v/>
      </c>
      <c r="T1830" s="20">
        <f>IF(S1830=1,COUNTIF($S$5:S1830,1),"")</f>
        <v/>
      </c>
      <c r="U1830">
        <f>IF(AND($A1830&lt;&gt;"",$B1830&lt;&gt;"",$R1830='تقرير الفصل الأول'!$C$4,$Q1830='تقرير الفصل الأول'!$C$7),COUNT(U$4:U1829)+1,"")</f>
        <v/>
      </c>
      <c r="V1830">
        <f>IF(AND($A1830&lt;&gt;"",$B1830&lt;&gt;"",$R1830='تقرير الفصل الثاني'!$C$4,$Q1830='تقرير الفصل الثاني'!$C$7),COUNT(V$4:V1829)+1,"")</f>
        <v/>
      </c>
      <c r="W1830">
        <f>IF(AND($A1830&lt;&gt;"",$B1830&lt;&gt;"",$R1830='تقرير سبتمبر'!$C$4,$P1830='تقرير سبتمبر'!$C$6),COUNT(W$4:W1829)+1,"")</f>
        <v/>
      </c>
      <c r="X1830">
        <f>IF(AND($A1830&lt;&gt;"",$B1830&lt;&gt;"",$R1830='تقرير أكتوبر'!$C$4,$P1830='تقرير أكتوبر'!$C$6),COUNT(X$4:X1829)+1,"")</f>
        <v/>
      </c>
      <c r="Y1830">
        <f>IF(AND($A1830&lt;&gt;"",$B1830&lt;&gt;"",$R1830='تقرير نوفمبر'!$C$4,$P1830='تقرير نوفمبر'!$C$6),COUNT(Y$4:Y1829)+1,"")</f>
        <v/>
      </c>
      <c r="Z1830">
        <f>IF(AND($A1830&lt;&gt;"",$B1830&lt;&gt;"",$R1830='تقرير ديسمبر'!$C$4,$P1830='تقرير ديسمبر'!$C$6),COUNT(Z$4:Z1829)+1,"")</f>
        <v/>
      </c>
      <c r="AA1830">
        <f>IF(AND($A1830&lt;&gt;"",$B1830&lt;&gt;"",$R1830='تقرير يناير'!$C$4,$P1830='تقرير يناير'!$C$6),COUNT(AA$4:AA1829)+1,"")</f>
        <v/>
      </c>
      <c r="AB1830">
        <f>IF(AND($A1830&lt;&gt;"",$B1830&lt;&gt;"",$R1830='تقرير فبراير'!$C$4,$P1830='تقرير فبراير'!$C$6),COUNT(AB$4:AB1829)+1,"")</f>
        <v/>
      </c>
      <c r="AC1830">
        <f>IF(AND($A1830&lt;&gt;"",$B1830&lt;&gt;"",$R1830='تقرير مارس'!$C$4,$P1830='تقرير مارس'!$C$6),COUNT(AC$4:AC1829)+1,"")</f>
        <v/>
      </c>
      <c r="AD1830">
        <f>IF(AND($A1830&lt;&gt;"",$B1830&lt;&gt;"",$R1830='تقرير أبريل'!$C$4,$P1830='تقرير أبريل'!$C$6),COUNT(AD$4:AD1829)+1,"")</f>
        <v/>
      </c>
      <c r="AE1830">
        <f>IF(AND($A1830&lt;&gt;"",$B1830&lt;&gt;"",$R1830='تقرير مايو'!$C$4,$P1830='تقرير مايو'!$C$6),COUNT(AE$4:AE1829)+1,"")</f>
        <v/>
      </c>
    </row>
    <row r="1831">
      <c r="A1831" s="16" t="n"/>
      <c r="B1831" s="17" t="n"/>
      <c r="C1831" s="17" t="n"/>
      <c r="D1831" s="18" t="n"/>
      <c r="E1831" s="17" t="n"/>
      <c r="F1831" s="17" t="n"/>
      <c r="G1831" s="19" t="n"/>
      <c r="H1831" s="17" t="n"/>
      <c r="I1831" s="17" t="n"/>
      <c r="J1831" s="17" t="n"/>
      <c r="K1831" s="20">
        <f>IF($B1831="","",IFERROR(INDEX(الموظفات!$A$5:$A$304,MATCH($B1831,الموظفات!$B$5:$B$304,0))&amp;"",""))</f>
        <v/>
      </c>
      <c r="L1831" s="21">
        <f>IF($B1831="","",IFERROR(INDEX(الموظفات!$C$5:$C$304,MATCH($B1831,الموظفات!$B$5:$B$304,0))&amp;"",""))</f>
        <v/>
      </c>
      <c r="M1831" s="20">
        <f>IF($B1831="","",IFERROR(INDEX(الموظفات!$D$5:$D$304,MATCH($B1831,الموظفات!$B$5:$B$304,0))&amp;"",""))</f>
        <v/>
      </c>
      <c r="N1831" s="20">
        <f>IF($B1831="","",IFERROR(INDEX(الموظفات!$E$5:$E$304,MATCH($B1831,الموظفات!$B$5:$B$304,0))&amp;"",""))</f>
        <v/>
      </c>
      <c r="O1831" s="21">
        <f>IF(C1831="","",IFERROR(INDEX(الإعدادات!$D$7:$D$35,MATCH(C1831,الإعدادات!$A$7:$A$35,0))&amp;"",""))</f>
        <v/>
      </c>
      <c r="P1831" s="20">
        <f>IF(A1831="","",INDEX(الإعدادات!$H$7:$H$18,MONTH(A1831)))</f>
        <v/>
      </c>
      <c r="Q1831" s="20">
        <f>IF(A1831="","",INDEX(الإعدادات!$I$7:$I$18,MONTH(A1831)))</f>
        <v/>
      </c>
      <c r="R1831" s="20">
        <f>IF(A1831="","",IF(MONTH(A1831)&gt;=8,YEAR(A1831)&amp;"-"&amp;(YEAR(A1831)+1),(YEAR(A1831)-1)&amp;"-"&amp;YEAR(A1831)))</f>
        <v/>
      </c>
      <c r="S1831" s="20">
        <f>IF(OR(A1831="",B1831=""),0,IF(AND(R1831=التقارير!$C$4,OR(التقارير!$C$5="سنوي",AND(التقارير!$C$5="شهري",P1831=التقارير!$C$6),AND(التقارير!$C$5="فصلي",Q1831=التقارير!$C$7))),1,0))</f>
        <v/>
      </c>
      <c r="T1831" s="20">
        <f>IF(S1831=1,COUNTIF($S$5:S1831,1),"")</f>
        <v/>
      </c>
      <c r="U1831">
        <f>IF(AND($A1831&lt;&gt;"",$B1831&lt;&gt;"",$R1831='تقرير الفصل الأول'!$C$4,$Q1831='تقرير الفصل الأول'!$C$7),COUNT(U$4:U1830)+1,"")</f>
        <v/>
      </c>
      <c r="V1831">
        <f>IF(AND($A1831&lt;&gt;"",$B1831&lt;&gt;"",$R1831='تقرير الفصل الثاني'!$C$4,$Q1831='تقرير الفصل الثاني'!$C$7),COUNT(V$4:V1830)+1,"")</f>
        <v/>
      </c>
      <c r="W1831">
        <f>IF(AND($A1831&lt;&gt;"",$B1831&lt;&gt;"",$R1831='تقرير سبتمبر'!$C$4,$P1831='تقرير سبتمبر'!$C$6),COUNT(W$4:W1830)+1,"")</f>
        <v/>
      </c>
      <c r="X1831">
        <f>IF(AND($A1831&lt;&gt;"",$B1831&lt;&gt;"",$R1831='تقرير أكتوبر'!$C$4,$P1831='تقرير أكتوبر'!$C$6),COUNT(X$4:X1830)+1,"")</f>
        <v/>
      </c>
      <c r="Y1831">
        <f>IF(AND($A1831&lt;&gt;"",$B1831&lt;&gt;"",$R1831='تقرير نوفمبر'!$C$4,$P1831='تقرير نوفمبر'!$C$6),COUNT(Y$4:Y1830)+1,"")</f>
        <v/>
      </c>
      <c r="Z1831">
        <f>IF(AND($A1831&lt;&gt;"",$B1831&lt;&gt;"",$R1831='تقرير ديسمبر'!$C$4,$P1831='تقرير ديسمبر'!$C$6),COUNT(Z$4:Z1830)+1,"")</f>
        <v/>
      </c>
      <c r="AA1831">
        <f>IF(AND($A1831&lt;&gt;"",$B1831&lt;&gt;"",$R1831='تقرير يناير'!$C$4,$P1831='تقرير يناير'!$C$6),COUNT(AA$4:AA1830)+1,"")</f>
        <v/>
      </c>
      <c r="AB1831">
        <f>IF(AND($A1831&lt;&gt;"",$B1831&lt;&gt;"",$R1831='تقرير فبراير'!$C$4,$P1831='تقرير فبراير'!$C$6),COUNT(AB$4:AB1830)+1,"")</f>
        <v/>
      </c>
      <c r="AC1831">
        <f>IF(AND($A1831&lt;&gt;"",$B1831&lt;&gt;"",$R1831='تقرير مارس'!$C$4,$P1831='تقرير مارس'!$C$6),COUNT(AC$4:AC1830)+1,"")</f>
        <v/>
      </c>
      <c r="AD1831">
        <f>IF(AND($A1831&lt;&gt;"",$B1831&lt;&gt;"",$R1831='تقرير أبريل'!$C$4,$P1831='تقرير أبريل'!$C$6),COUNT(AD$4:AD1830)+1,"")</f>
        <v/>
      </c>
      <c r="AE1831">
        <f>IF(AND($A1831&lt;&gt;"",$B1831&lt;&gt;"",$R1831='تقرير مايو'!$C$4,$P1831='تقرير مايو'!$C$6),COUNT(AE$4:AE1830)+1,"")</f>
        <v/>
      </c>
    </row>
    <row r="1832">
      <c r="A1832" s="16" t="n"/>
      <c r="B1832" s="17" t="n"/>
      <c r="C1832" s="17" t="n"/>
      <c r="D1832" s="18" t="n"/>
      <c r="E1832" s="17" t="n"/>
      <c r="F1832" s="17" t="n"/>
      <c r="G1832" s="19" t="n"/>
      <c r="H1832" s="17" t="n"/>
      <c r="I1832" s="17" t="n"/>
      <c r="J1832" s="17" t="n"/>
      <c r="K1832" s="20">
        <f>IF($B1832="","",IFERROR(INDEX(الموظفات!$A$5:$A$304,MATCH($B1832,الموظفات!$B$5:$B$304,0))&amp;"",""))</f>
        <v/>
      </c>
      <c r="L1832" s="21">
        <f>IF($B1832="","",IFERROR(INDEX(الموظفات!$C$5:$C$304,MATCH($B1832,الموظفات!$B$5:$B$304,0))&amp;"",""))</f>
        <v/>
      </c>
      <c r="M1832" s="20">
        <f>IF($B1832="","",IFERROR(INDEX(الموظفات!$D$5:$D$304,MATCH($B1832,الموظفات!$B$5:$B$304,0))&amp;"",""))</f>
        <v/>
      </c>
      <c r="N1832" s="20">
        <f>IF($B1832="","",IFERROR(INDEX(الموظفات!$E$5:$E$304,MATCH($B1832,الموظفات!$B$5:$B$304,0))&amp;"",""))</f>
        <v/>
      </c>
      <c r="O1832" s="21">
        <f>IF(C1832="","",IFERROR(INDEX(الإعدادات!$D$7:$D$35,MATCH(C1832,الإعدادات!$A$7:$A$35,0))&amp;"",""))</f>
        <v/>
      </c>
      <c r="P1832" s="20">
        <f>IF(A1832="","",INDEX(الإعدادات!$H$7:$H$18,MONTH(A1832)))</f>
        <v/>
      </c>
      <c r="Q1832" s="20">
        <f>IF(A1832="","",INDEX(الإعدادات!$I$7:$I$18,MONTH(A1832)))</f>
        <v/>
      </c>
      <c r="R1832" s="20">
        <f>IF(A1832="","",IF(MONTH(A1832)&gt;=8,YEAR(A1832)&amp;"-"&amp;(YEAR(A1832)+1),(YEAR(A1832)-1)&amp;"-"&amp;YEAR(A1832)))</f>
        <v/>
      </c>
      <c r="S1832" s="20">
        <f>IF(OR(A1832="",B1832=""),0,IF(AND(R1832=التقارير!$C$4,OR(التقارير!$C$5="سنوي",AND(التقارير!$C$5="شهري",P1832=التقارير!$C$6),AND(التقارير!$C$5="فصلي",Q1832=التقارير!$C$7))),1,0))</f>
        <v/>
      </c>
      <c r="T1832" s="20">
        <f>IF(S1832=1,COUNTIF($S$5:S1832,1),"")</f>
        <v/>
      </c>
      <c r="U1832">
        <f>IF(AND($A1832&lt;&gt;"",$B1832&lt;&gt;"",$R1832='تقرير الفصل الأول'!$C$4,$Q1832='تقرير الفصل الأول'!$C$7),COUNT(U$4:U1831)+1,"")</f>
        <v/>
      </c>
      <c r="V1832">
        <f>IF(AND($A1832&lt;&gt;"",$B1832&lt;&gt;"",$R1832='تقرير الفصل الثاني'!$C$4,$Q1832='تقرير الفصل الثاني'!$C$7),COUNT(V$4:V1831)+1,"")</f>
        <v/>
      </c>
      <c r="W1832">
        <f>IF(AND($A1832&lt;&gt;"",$B1832&lt;&gt;"",$R1832='تقرير سبتمبر'!$C$4,$P1832='تقرير سبتمبر'!$C$6),COUNT(W$4:W1831)+1,"")</f>
        <v/>
      </c>
      <c r="X1832">
        <f>IF(AND($A1832&lt;&gt;"",$B1832&lt;&gt;"",$R1832='تقرير أكتوبر'!$C$4,$P1832='تقرير أكتوبر'!$C$6),COUNT(X$4:X1831)+1,"")</f>
        <v/>
      </c>
      <c r="Y1832">
        <f>IF(AND($A1832&lt;&gt;"",$B1832&lt;&gt;"",$R1832='تقرير نوفمبر'!$C$4,$P1832='تقرير نوفمبر'!$C$6),COUNT(Y$4:Y1831)+1,"")</f>
        <v/>
      </c>
      <c r="Z1832">
        <f>IF(AND($A1832&lt;&gt;"",$B1832&lt;&gt;"",$R1832='تقرير ديسمبر'!$C$4,$P1832='تقرير ديسمبر'!$C$6),COUNT(Z$4:Z1831)+1,"")</f>
        <v/>
      </c>
      <c r="AA1832">
        <f>IF(AND($A1832&lt;&gt;"",$B1832&lt;&gt;"",$R1832='تقرير يناير'!$C$4,$P1832='تقرير يناير'!$C$6),COUNT(AA$4:AA1831)+1,"")</f>
        <v/>
      </c>
      <c r="AB1832">
        <f>IF(AND($A1832&lt;&gt;"",$B1832&lt;&gt;"",$R1832='تقرير فبراير'!$C$4,$P1832='تقرير فبراير'!$C$6),COUNT(AB$4:AB1831)+1,"")</f>
        <v/>
      </c>
      <c r="AC1832">
        <f>IF(AND($A1832&lt;&gt;"",$B1832&lt;&gt;"",$R1832='تقرير مارس'!$C$4,$P1832='تقرير مارس'!$C$6),COUNT(AC$4:AC1831)+1,"")</f>
        <v/>
      </c>
      <c r="AD1832">
        <f>IF(AND($A1832&lt;&gt;"",$B1832&lt;&gt;"",$R1832='تقرير أبريل'!$C$4,$P1832='تقرير أبريل'!$C$6),COUNT(AD$4:AD1831)+1,"")</f>
        <v/>
      </c>
      <c r="AE1832">
        <f>IF(AND($A1832&lt;&gt;"",$B1832&lt;&gt;"",$R1832='تقرير مايو'!$C$4,$P1832='تقرير مايو'!$C$6),COUNT(AE$4:AE1831)+1,"")</f>
        <v/>
      </c>
    </row>
    <row r="1833">
      <c r="A1833" s="16" t="n"/>
      <c r="B1833" s="17" t="n"/>
      <c r="C1833" s="17" t="n"/>
      <c r="D1833" s="18" t="n"/>
      <c r="E1833" s="17" t="n"/>
      <c r="F1833" s="17" t="n"/>
      <c r="G1833" s="19" t="n"/>
      <c r="H1833" s="17" t="n"/>
      <c r="I1833" s="17" t="n"/>
      <c r="J1833" s="17" t="n"/>
      <c r="K1833" s="20">
        <f>IF($B1833="","",IFERROR(INDEX(الموظفات!$A$5:$A$304,MATCH($B1833,الموظفات!$B$5:$B$304,0))&amp;"",""))</f>
        <v/>
      </c>
      <c r="L1833" s="21">
        <f>IF($B1833="","",IFERROR(INDEX(الموظفات!$C$5:$C$304,MATCH($B1833,الموظفات!$B$5:$B$304,0))&amp;"",""))</f>
        <v/>
      </c>
      <c r="M1833" s="20">
        <f>IF($B1833="","",IFERROR(INDEX(الموظفات!$D$5:$D$304,MATCH($B1833,الموظفات!$B$5:$B$304,0))&amp;"",""))</f>
        <v/>
      </c>
      <c r="N1833" s="20">
        <f>IF($B1833="","",IFERROR(INDEX(الموظفات!$E$5:$E$304,MATCH($B1833,الموظفات!$B$5:$B$304,0))&amp;"",""))</f>
        <v/>
      </c>
      <c r="O1833" s="21">
        <f>IF(C1833="","",IFERROR(INDEX(الإعدادات!$D$7:$D$35,MATCH(C1833,الإعدادات!$A$7:$A$35,0))&amp;"",""))</f>
        <v/>
      </c>
      <c r="P1833" s="20">
        <f>IF(A1833="","",INDEX(الإعدادات!$H$7:$H$18,MONTH(A1833)))</f>
        <v/>
      </c>
      <c r="Q1833" s="20">
        <f>IF(A1833="","",INDEX(الإعدادات!$I$7:$I$18,MONTH(A1833)))</f>
        <v/>
      </c>
      <c r="R1833" s="20">
        <f>IF(A1833="","",IF(MONTH(A1833)&gt;=8,YEAR(A1833)&amp;"-"&amp;(YEAR(A1833)+1),(YEAR(A1833)-1)&amp;"-"&amp;YEAR(A1833)))</f>
        <v/>
      </c>
      <c r="S1833" s="20">
        <f>IF(OR(A1833="",B1833=""),0,IF(AND(R1833=التقارير!$C$4,OR(التقارير!$C$5="سنوي",AND(التقارير!$C$5="شهري",P1833=التقارير!$C$6),AND(التقارير!$C$5="فصلي",Q1833=التقارير!$C$7))),1,0))</f>
        <v/>
      </c>
      <c r="T1833" s="20">
        <f>IF(S1833=1,COUNTIF($S$5:S1833,1),"")</f>
        <v/>
      </c>
      <c r="U1833">
        <f>IF(AND($A1833&lt;&gt;"",$B1833&lt;&gt;"",$R1833='تقرير الفصل الأول'!$C$4,$Q1833='تقرير الفصل الأول'!$C$7),COUNT(U$4:U1832)+1,"")</f>
        <v/>
      </c>
      <c r="V1833">
        <f>IF(AND($A1833&lt;&gt;"",$B1833&lt;&gt;"",$R1833='تقرير الفصل الثاني'!$C$4,$Q1833='تقرير الفصل الثاني'!$C$7),COUNT(V$4:V1832)+1,"")</f>
        <v/>
      </c>
      <c r="W1833">
        <f>IF(AND($A1833&lt;&gt;"",$B1833&lt;&gt;"",$R1833='تقرير سبتمبر'!$C$4,$P1833='تقرير سبتمبر'!$C$6),COUNT(W$4:W1832)+1,"")</f>
        <v/>
      </c>
      <c r="X1833">
        <f>IF(AND($A1833&lt;&gt;"",$B1833&lt;&gt;"",$R1833='تقرير أكتوبر'!$C$4,$P1833='تقرير أكتوبر'!$C$6),COUNT(X$4:X1832)+1,"")</f>
        <v/>
      </c>
      <c r="Y1833">
        <f>IF(AND($A1833&lt;&gt;"",$B1833&lt;&gt;"",$R1833='تقرير نوفمبر'!$C$4,$P1833='تقرير نوفمبر'!$C$6),COUNT(Y$4:Y1832)+1,"")</f>
        <v/>
      </c>
      <c r="Z1833">
        <f>IF(AND($A1833&lt;&gt;"",$B1833&lt;&gt;"",$R1833='تقرير ديسمبر'!$C$4,$P1833='تقرير ديسمبر'!$C$6),COUNT(Z$4:Z1832)+1,"")</f>
        <v/>
      </c>
      <c r="AA1833">
        <f>IF(AND($A1833&lt;&gt;"",$B1833&lt;&gt;"",$R1833='تقرير يناير'!$C$4,$P1833='تقرير يناير'!$C$6),COUNT(AA$4:AA1832)+1,"")</f>
        <v/>
      </c>
      <c r="AB1833">
        <f>IF(AND($A1833&lt;&gt;"",$B1833&lt;&gt;"",$R1833='تقرير فبراير'!$C$4,$P1833='تقرير فبراير'!$C$6),COUNT(AB$4:AB1832)+1,"")</f>
        <v/>
      </c>
      <c r="AC1833">
        <f>IF(AND($A1833&lt;&gt;"",$B1833&lt;&gt;"",$R1833='تقرير مارس'!$C$4,$P1833='تقرير مارس'!$C$6),COUNT(AC$4:AC1832)+1,"")</f>
        <v/>
      </c>
      <c r="AD1833">
        <f>IF(AND($A1833&lt;&gt;"",$B1833&lt;&gt;"",$R1833='تقرير أبريل'!$C$4,$P1833='تقرير أبريل'!$C$6),COUNT(AD$4:AD1832)+1,"")</f>
        <v/>
      </c>
      <c r="AE1833">
        <f>IF(AND($A1833&lt;&gt;"",$B1833&lt;&gt;"",$R1833='تقرير مايو'!$C$4,$P1833='تقرير مايو'!$C$6),COUNT(AE$4:AE1832)+1,"")</f>
        <v/>
      </c>
    </row>
    <row r="1834">
      <c r="A1834" s="16" t="n"/>
      <c r="B1834" s="17" t="n"/>
      <c r="C1834" s="17" t="n"/>
      <c r="D1834" s="18" t="n"/>
      <c r="E1834" s="17" t="n"/>
      <c r="F1834" s="17" t="n"/>
      <c r="G1834" s="19" t="n"/>
      <c r="H1834" s="17" t="n"/>
      <c r="I1834" s="17" t="n"/>
      <c r="J1834" s="17" t="n"/>
      <c r="K1834" s="20">
        <f>IF($B1834="","",IFERROR(INDEX(الموظفات!$A$5:$A$304,MATCH($B1834,الموظفات!$B$5:$B$304,0))&amp;"",""))</f>
        <v/>
      </c>
      <c r="L1834" s="21">
        <f>IF($B1834="","",IFERROR(INDEX(الموظفات!$C$5:$C$304,MATCH($B1834,الموظفات!$B$5:$B$304,0))&amp;"",""))</f>
        <v/>
      </c>
      <c r="M1834" s="20">
        <f>IF($B1834="","",IFERROR(INDEX(الموظفات!$D$5:$D$304,MATCH($B1834,الموظفات!$B$5:$B$304,0))&amp;"",""))</f>
        <v/>
      </c>
      <c r="N1834" s="20">
        <f>IF($B1834="","",IFERROR(INDEX(الموظفات!$E$5:$E$304,MATCH($B1834,الموظفات!$B$5:$B$304,0))&amp;"",""))</f>
        <v/>
      </c>
      <c r="O1834" s="21">
        <f>IF(C1834="","",IFERROR(INDEX(الإعدادات!$D$7:$D$35,MATCH(C1834,الإعدادات!$A$7:$A$35,0))&amp;"",""))</f>
        <v/>
      </c>
      <c r="P1834" s="20">
        <f>IF(A1834="","",INDEX(الإعدادات!$H$7:$H$18,MONTH(A1834)))</f>
        <v/>
      </c>
      <c r="Q1834" s="20">
        <f>IF(A1834="","",INDEX(الإعدادات!$I$7:$I$18,MONTH(A1834)))</f>
        <v/>
      </c>
      <c r="R1834" s="20">
        <f>IF(A1834="","",IF(MONTH(A1834)&gt;=8,YEAR(A1834)&amp;"-"&amp;(YEAR(A1834)+1),(YEAR(A1834)-1)&amp;"-"&amp;YEAR(A1834)))</f>
        <v/>
      </c>
      <c r="S1834" s="20">
        <f>IF(OR(A1834="",B1834=""),0,IF(AND(R1834=التقارير!$C$4,OR(التقارير!$C$5="سنوي",AND(التقارير!$C$5="شهري",P1834=التقارير!$C$6),AND(التقارير!$C$5="فصلي",Q1834=التقارير!$C$7))),1,0))</f>
        <v/>
      </c>
      <c r="T1834" s="20">
        <f>IF(S1834=1,COUNTIF($S$5:S1834,1),"")</f>
        <v/>
      </c>
      <c r="U1834">
        <f>IF(AND($A1834&lt;&gt;"",$B1834&lt;&gt;"",$R1834='تقرير الفصل الأول'!$C$4,$Q1834='تقرير الفصل الأول'!$C$7),COUNT(U$4:U1833)+1,"")</f>
        <v/>
      </c>
      <c r="V1834">
        <f>IF(AND($A1834&lt;&gt;"",$B1834&lt;&gt;"",$R1834='تقرير الفصل الثاني'!$C$4,$Q1834='تقرير الفصل الثاني'!$C$7),COUNT(V$4:V1833)+1,"")</f>
        <v/>
      </c>
      <c r="W1834">
        <f>IF(AND($A1834&lt;&gt;"",$B1834&lt;&gt;"",$R1834='تقرير سبتمبر'!$C$4,$P1834='تقرير سبتمبر'!$C$6),COUNT(W$4:W1833)+1,"")</f>
        <v/>
      </c>
      <c r="X1834">
        <f>IF(AND($A1834&lt;&gt;"",$B1834&lt;&gt;"",$R1834='تقرير أكتوبر'!$C$4,$P1834='تقرير أكتوبر'!$C$6),COUNT(X$4:X1833)+1,"")</f>
        <v/>
      </c>
      <c r="Y1834">
        <f>IF(AND($A1834&lt;&gt;"",$B1834&lt;&gt;"",$R1834='تقرير نوفمبر'!$C$4,$P1834='تقرير نوفمبر'!$C$6),COUNT(Y$4:Y1833)+1,"")</f>
        <v/>
      </c>
      <c r="Z1834">
        <f>IF(AND($A1834&lt;&gt;"",$B1834&lt;&gt;"",$R1834='تقرير ديسمبر'!$C$4,$P1834='تقرير ديسمبر'!$C$6),COUNT(Z$4:Z1833)+1,"")</f>
        <v/>
      </c>
      <c r="AA1834">
        <f>IF(AND($A1834&lt;&gt;"",$B1834&lt;&gt;"",$R1834='تقرير يناير'!$C$4,$P1834='تقرير يناير'!$C$6),COUNT(AA$4:AA1833)+1,"")</f>
        <v/>
      </c>
      <c r="AB1834">
        <f>IF(AND($A1834&lt;&gt;"",$B1834&lt;&gt;"",$R1834='تقرير فبراير'!$C$4,$P1834='تقرير فبراير'!$C$6),COUNT(AB$4:AB1833)+1,"")</f>
        <v/>
      </c>
      <c r="AC1834">
        <f>IF(AND($A1834&lt;&gt;"",$B1834&lt;&gt;"",$R1834='تقرير مارس'!$C$4,$P1834='تقرير مارس'!$C$6),COUNT(AC$4:AC1833)+1,"")</f>
        <v/>
      </c>
      <c r="AD1834">
        <f>IF(AND($A1834&lt;&gt;"",$B1834&lt;&gt;"",$R1834='تقرير أبريل'!$C$4,$P1834='تقرير أبريل'!$C$6),COUNT(AD$4:AD1833)+1,"")</f>
        <v/>
      </c>
      <c r="AE1834">
        <f>IF(AND($A1834&lt;&gt;"",$B1834&lt;&gt;"",$R1834='تقرير مايو'!$C$4,$P1834='تقرير مايو'!$C$6),COUNT(AE$4:AE1833)+1,"")</f>
        <v/>
      </c>
    </row>
    <row r="1835">
      <c r="A1835" s="16" t="n"/>
      <c r="B1835" s="17" t="n"/>
      <c r="C1835" s="17" t="n"/>
      <c r="D1835" s="18" t="n"/>
      <c r="E1835" s="17" t="n"/>
      <c r="F1835" s="17" t="n"/>
      <c r="G1835" s="19" t="n"/>
      <c r="H1835" s="17" t="n"/>
      <c r="I1835" s="17" t="n"/>
      <c r="J1835" s="17" t="n"/>
      <c r="K1835" s="20">
        <f>IF($B1835="","",IFERROR(INDEX(الموظفات!$A$5:$A$304,MATCH($B1835,الموظفات!$B$5:$B$304,0))&amp;"",""))</f>
        <v/>
      </c>
      <c r="L1835" s="21">
        <f>IF($B1835="","",IFERROR(INDEX(الموظفات!$C$5:$C$304,MATCH($B1835,الموظفات!$B$5:$B$304,0))&amp;"",""))</f>
        <v/>
      </c>
      <c r="M1835" s="20">
        <f>IF($B1835="","",IFERROR(INDEX(الموظفات!$D$5:$D$304,MATCH($B1835,الموظفات!$B$5:$B$304,0))&amp;"",""))</f>
        <v/>
      </c>
      <c r="N1835" s="20">
        <f>IF($B1835="","",IFERROR(INDEX(الموظفات!$E$5:$E$304,MATCH($B1835,الموظفات!$B$5:$B$304,0))&amp;"",""))</f>
        <v/>
      </c>
      <c r="O1835" s="21">
        <f>IF(C1835="","",IFERROR(INDEX(الإعدادات!$D$7:$D$35,MATCH(C1835,الإعدادات!$A$7:$A$35,0))&amp;"",""))</f>
        <v/>
      </c>
      <c r="P1835" s="20">
        <f>IF(A1835="","",INDEX(الإعدادات!$H$7:$H$18,MONTH(A1835)))</f>
        <v/>
      </c>
      <c r="Q1835" s="20">
        <f>IF(A1835="","",INDEX(الإعدادات!$I$7:$I$18,MONTH(A1835)))</f>
        <v/>
      </c>
      <c r="R1835" s="20">
        <f>IF(A1835="","",IF(MONTH(A1835)&gt;=8,YEAR(A1835)&amp;"-"&amp;(YEAR(A1835)+1),(YEAR(A1835)-1)&amp;"-"&amp;YEAR(A1835)))</f>
        <v/>
      </c>
      <c r="S1835" s="20">
        <f>IF(OR(A1835="",B1835=""),0,IF(AND(R1835=التقارير!$C$4,OR(التقارير!$C$5="سنوي",AND(التقارير!$C$5="شهري",P1835=التقارير!$C$6),AND(التقارير!$C$5="فصلي",Q1835=التقارير!$C$7))),1,0))</f>
        <v/>
      </c>
      <c r="T1835" s="20">
        <f>IF(S1835=1,COUNTIF($S$5:S1835,1),"")</f>
        <v/>
      </c>
      <c r="U1835">
        <f>IF(AND($A1835&lt;&gt;"",$B1835&lt;&gt;"",$R1835='تقرير الفصل الأول'!$C$4,$Q1835='تقرير الفصل الأول'!$C$7),COUNT(U$4:U1834)+1,"")</f>
        <v/>
      </c>
      <c r="V1835">
        <f>IF(AND($A1835&lt;&gt;"",$B1835&lt;&gt;"",$R1835='تقرير الفصل الثاني'!$C$4,$Q1835='تقرير الفصل الثاني'!$C$7),COUNT(V$4:V1834)+1,"")</f>
        <v/>
      </c>
      <c r="W1835">
        <f>IF(AND($A1835&lt;&gt;"",$B1835&lt;&gt;"",$R1835='تقرير سبتمبر'!$C$4,$P1835='تقرير سبتمبر'!$C$6),COUNT(W$4:W1834)+1,"")</f>
        <v/>
      </c>
      <c r="X1835">
        <f>IF(AND($A1835&lt;&gt;"",$B1835&lt;&gt;"",$R1835='تقرير أكتوبر'!$C$4,$P1835='تقرير أكتوبر'!$C$6),COUNT(X$4:X1834)+1,"")</f>
        <v/>
      </c>
      <c r="Y1835">
        <f>IF(AND($A1835&lt;&gt;"",$B1835&lt;&gt;"",$R1835='تقرير نوفمبر'!$C$4,$P1835='تقرير نوفمبر'!$C$6),COUNT(Y$4:Y1834)+1,"")</f>
        <v/>
      </c>
      <c r="Z1835">
        <f>IF(AND($A1835&lt;&gt;"",$B1835&lt;&gt;"",$R1835='تقرير ديسمبر'!$C$4,$P1835='تقرير ديسمبر'!$C$6),COUNT(Z$4:Z1834)+1,"")</f>
        <v/>
      </c>
      <c r="AA1835">
        <f>IF(AND($A1835&lt;&gt;"",$B1835&lt;&gt;"",$R1835='تقرير يناير'!$C$4,$P1835='تقرير يناير'!$C$6),COUNT(AA$4:AA1834)+1,"")</f>
        <v/>
      </c>
      <c r="AB1835">
        <f>IF(AND($A1835&lt;&gt;"",$B1835&lt;&gt;"",$R1835='تقرير فبراير'!$C$4,$P1835='تقرير فبراير'!$C$6),COUNT(AB$4:AB1834)+1,"")</f>
        <v/>
      </c>
      <c r="AC1835">
        <f>IF(AND($A1835&lt;&gt;"",$B1835&lt;&gt;"",$R1835='تقرير مارس'!$C$4,$P1835='تقرير مارس'!$C$6),COUNT(AC$4:AC1834)+1,"")</f>
        <v/>
      </c>
      <c r="AD1835">
        <f>IF(AND($A1835&lt;&gt;"",$B1835&lt;&gt;"",$R1835='تقرير أبريل'!$C$4,$P1835='تقرير أبريل'!$C$6),COUNT(AD$4:AD1834)+1,"")</f>
        <v/>
      </c>
      <c r="AE1835">
        <f>IF(AND($A1835&lt;&gt;"",$B1835&lt;&gt;"",$R1835='تقرير مايو'!$C$4,$P1835='تقرير مايو'!$C$6),COUNT(AE$4:AE1834)+1,"")</f>
        <v/>
      </c>
    </row>
    <row r="1836">
      <c r="A1836" s="16" t="n"/>
      <c r="B1836" s="17" t="n"/>
      <c r="C1836" s="17" t="n"/>
      <c r="D1836" s="18" t="n"/>
      <c r="E1836" s="17" t="n"/>
      <c r="F1836" s="17" t="n"/>
      <c r="G1836" s="19" t="n"/>
      <c r="H1836" s="17" t="n"/>
      <c r="I1836" s="17" t="n"/>
      <c r="J1836" s="17" t="n"/>
      <c r="K1836" s="20">
        <f>IF($B1836="","",IFERROR(INDEX(الموظفات!$A$5:$A$304,MATCH($B1836,الموظفات!$B$5:$B$304,0))&amp;"",""))</f>
        <v/>
      </c>
      <c r="L1836" s="21">
        <f>IF($B1836="","",IFERROR(INDEX(الموظفات!$C$5:$C$304,MATCH($B1836,الموظفات!$B$5:$B$304,0))&amp;"",""))</f>
        <v/>
      </c>
      <c r="M1836" s="20">
        <f>IF($B1836="","",IFERROR(INDEX(الموظفات!$D$5:$D$304,MATCH($B1836,الموظفات!$B$5:$B$304,0))&amp;"",""))</f>
        <v/>
      </c>
      <c r="N1836" s="20">
        <f>IF($B1836="","",IFERROR(INDEX(الموظفات!$E$5:$E$304,MATCH($B1836,الموظفات!$B$5:$B$304,0))&amp;"",""))</f>
        <v/>
      </c>
      <c r="O1836" s="21">
        <f>IF(C1836="","",IFERROR(INDEX(الإعدادات!$D$7:$D$35,MATCH(C1836,الإعدادات!$A$7:$A$35,0))&amp;"",""))</f>
        <v/>
      </c>
      <c r="P1836" s="20">
        <f>IF(A1836="","",INDEX(الإعدادات!$H$7:$H$18,MONTH(A1836)))</f>
        <v/>
      </c>
      <c r="Q1836" s="20">
        <f>IF(A1836="","",INDEX(الإعدادات!$I$7:$I$18,MONTH(A1836)))</f>
        <v/>
      </c>
      <c r="R1836" s="20">
        <f>IF(A1836="","",IF(MONTH(A1836)&gt;=8,YEAR(A1836)&amp;"-"&amp;(YEAR(A1836)+1),(YEAR(A1836)-1)&amp;"-"&amp;YEAR(A1836)))</f>
        <v/>
      </c>
      <c r="S1836" s="20">
        <f>IF(OR(A1836="",B1836=""),0,IF(AND(R1836=التقارير!$C$4,OR(التقارير!$C$5="سنوي",AND(التقارير!$C$5="شهري",P1836=التقارير!$C$6),AND(التقارير!$C$5="فصلي",Q1836=التقارير!$C$7))),1,0))</f>
        <v/>
      </c>
      <c r="T1836" s="20">
        <f>IF(S1836=1,COUNTIF($S$5:S1836,1),"")</f>
        <v/>
      </c>
      <c r="U1836">
        <f>IF(AND($A1836&lt;&gt;"",$B1836&lt;&gt;"",$R1836='تقرير الفصل الأول'!$C$4,$Q1836='تقرير الفصل الأول'!$C$7),COUNT(U$4:U1835)+1,"")</f>
        <v/>
      </c>
      <c r="V1836">
        <f>IF(AND($A1836&lt;&gt;"",$B1836&lt;&gt;"",$R1836='تقرير الفصل الثاني'!$C$4,$Q1836='تقرير الفصل الثاني'!$C$7),COUNT(V$4:V1835)+1,"")</f>
        <v/>
      </c>
      <c r="W1836">
        <f>IF(AND($A1836&lt;&gt;"",$B1836&lt;&gt;"",$R1836='تقرير سبتمبر'!$C$4,$P1836='تقرير سبتمبر'!$C$6),COUNT(W$4:W1835)+1,"")</f>
        <v/>
      </c>
      <c r="X1836">
        <f>IF(AND($A1836&lt;&gt;"",$B1836&lt;&gt;"",$R1836='تقرير أكتوبر'!$C$4,$P1836='تقرير أكتوبر'!$C$6),COUNT(X$4:X1835)+1,"")</f>
        <v/>
      </c>
      <c r="Y1836">
        <f>IF(AND($A1836&lt;&gt;"",$B1836&lt;&gt;"",$R1836='تقرير نوفمبر'!$C$4,$P1836='تقرير نوفمبر'!$C$6),COUNT(Y$4:Y1835)+1,"")</f>
        <v/>
      </c>
      <c r="Z1836">
        <f>IF(AND($A1836&lt;&gt;"",$B1836&lt;&gt;"",$R1836='تقرير ديسمبر'!$C$4,$P1836='تقرير ديسمبر'!$C$6),COUNT(Z$4:Z1835)+1,"")</f>
        <v/>
      </c>
      <c r="AA1836">
        <f>IF(AND($A1836&lt;&gt;"",$B1836&lt;&gt;"",$R1836='تقرير يناير'!$C$4,$P1836='تقرير يناير'!$C$6),COUNT(AA$4:AA1835)+1,"")</f>
        <v/>
      </c>
      <c r="AB1836">
        <f>IF(AND($A1836&lt;&gt;"",$B1836&lt;&gt;"",$R1836='تقرير فبراير'!$C$4,$P1836='تقرير فبراير'!$C$6),COUNT(AB$4:AB1835)+1,"")</f>
        <v/>
      </c>
      <c r="AC1836">
        <f>IF(AND($A1836&lt;&gt;"",$B1836&lt;&gt;"",$R1836='تقرير مارس'!$C$4,$P1836='تقرير مارس'!$C$6),COUNT(AC$4:AC1835)+1,"")</f>
        <v/>
      </c>
      <c r="AD1836">
        <f>IF(AND($A1836&lt;&gt;"",$B1836&lt;&gt;"",$R1836='تقرير أبريل'!$C$4,$P1836='تقرير أبريل'!$C$6),COUNT(AD$4:AD1835)+1,"")</f>
        <v/>
      </c>
      <c r="AE1836">
        <f>IF(AND($A1836&lt;&gt;"",$B1836&lt;&gt;"",$R1836='تقرير مايو'!$C$4,$P1836='تقرير مايو'!$C$6),COUNT(AE$4:AE1835)+1,"")</f>
        <v/>
      </c>
    </row>
    <row r="1837">
      <c r="A1837" s="16" t="n"/>
      <c r="B1837" s="17" t="n"/>
      <c r="C1837" s="17" t="n"/>
      <c r="D1837" s="18" t="n"/>
      <c r="E1837" s="17" t="n"/>
      <c r="F1837" s="17" t="n"/>
      <c r="G1837" s="19" t="n"/>
      <c r="H1837" s="17" t="n"/>
      <c r="I1837" s="17" t="n"/>
      <c r="J1837" s="17" t="n"/>
      <c r="K1837" s="20">
        <f>IF($B1837="","",IFERROR(INDEX(الموظفات!$A$5:$A$304,MATCH($B1837,الموظفات!$B$5:$B$304,0))&amp;"",""))</f>
        <v/>
      </c>
      <c r="L1837" s="21">
        <f>IF($B1837="","",IFERROR(INDEX(الموظفات!$C$5:$C$304,MATCH($B1837,الموظفات!$B$5:$B$304,0))&amp;"",""))</f>
        <v/>
      </c>
      <c r="M1837" s="20">
        <f>IF($B1837="","",IFERROR(INDEX(الموظفات!$D$5:$D$304,MATCH($B1837,الموظفات!$B$5:$B$304,0))&amp;"",""))</f>
        <v/>
      </c>
      <c r="N1837" s="20">
        <f>IF($B1837="","",IFERROR(INDEX(الموظفات!$E$5:$E$304,MATCH($B1837,الموظفات!$B$5:$B$304,0))&amp;"",""))</f>
        <v/>
      </c>
      <c r="O1837" s="21">
        <f>IF(C1837="","",IFERROR(INDEX(الإعدادات!$D$7:$D$35,MATCH(C1837,الإعدادات!$A$7:$A$35,0))&amp;"",""))</f>
        <v/>
      </c>
      <c r="P1837" s="20">
        <f>IF(A1837="","",INDEX(الإعدادات!$H$7:$H$18,MONTH(A1837)))</f>
        <v/>
      </c>
      <c r="Q1837" s="20">
        <f>IF(A1837="","",INDEX(الإعدادات!$I$7:$I$18,MONTH(A1837)))</f>
        <v/>
      </c>
      <c r="R1837" s="20">
        <f>IF(A1837="","",IF(MONTH(A1837)&gt;=8,YEAR(A1837)&amp;"-"&amp;(YEAR(A1837)+1),(YEAR(A1837)-1)&amp;"-"&amp;YEAR(A1837)))</f>
        <v/>
      </c>
      <c r="S1837" s="20">
        <f>IF(OR(A1837="",B1837=""),0,IF(AND(R1837=التقارير!$C$4,OR(التقارير!$C$5="سنوي",AND(التقارير!$C$5="شهري",P1837=التقارير!$C$6),AND(التقارير!$C$5="فصلي",Q1837=التقارير!$C$7))),1,0))</f>
        <v/>
      </c>
      <c r="T1837" s="20">
        <f>IF(S1837=1,COUNTIF($S$5:S1837,1),"")</f>
        <v/>
      </c>
      <c r="U1837">
        <f>IF(AND($A1837&lt;&gt;"",$B1837&lt;&gt;"",$R1837='تقرير الفصل الأول'!$C$4,$Q1837='تقرير الفصل الأول'!$C$7),COUNT(U$4:U1836)+1,"")</f>
        <v/>
      </c>
      <c r="V1837">
        <f>IF(AND($A1837&lt;&gt;"",$B1837&lt;&gt;"",$R1837='تقرير الفصل الثاني'!$C$4,$Q1837='تقرير الفصل الثاني'!$C$7),COUNT(V$4:V1836)+1,"")</f>
        <v/>
      </c>
      <c r="W1837">
        <f>IF(AND($A1837&lt;&gt;"",$B1837&lt;&gt;"",$R1837='تقرير سبتمبر'!$C$4,$P1837='تقرير سبتمبر'!$C$6),COUNT(W$4:W1836)+1,"")</f>
        <v/>
      </c>
      <c r="X1837">
        <f>IF(AND($A1837&lt;&gt;"",$B1837&lt;&gt;"",$R1837='تقرير أكتوبر'!$C$4,$P1837='تقرير أكتوبر'!$C$6),COUNT(X$4:X1836)+1,"")</f>
        <v/>
      </c>
      <c r="Y1837">
        <f>IF(AND($A1837&lt;&gt;"",$B1837&lt;&gt;"",$R1837='تقرير نوفمبر'!$C$4,$P1837='تقرير نوفمبر'!$C$6),COUNT(Y$4:Y1836)+1,"")</f>
        <v/>
      </c>
      <c r="Z1837">
        <f>IF(AND($A1837&lt;&gt;"",$B1837&lt;&gt;"",$R1837='تقرير ديسمبر'!$C$4,$P1837='تقرير ديسمبر'!$C$6),COUNT(Z$4:Z1836)+1,"")</f>
        <v/>
      </c>
      <c r="AA1837">
        <f>IF(AND($A1837&lt;&gt;"",$B1837&lt;&gt;"",$R1837='تقرير يناير'!$C$4,$P1837='تقرير يناير'!$C$6),COUNT(AA$4:AA1836)+1,"")</f>
        <v/>
      </c>
      <c r="AB1837">
        <f>IF(AND($A1837&lt;&gt;"",$B1837&lt;&gt;"",$R1837='تقرير فبراير'!$C$4,$P1837='تقرير فبراير'!$C$6),COUNT(AB$4:AB1836)+1,"")</f>
        <v/>
      </c>
      <c r="AC1837">
        <f>IF(AND($A1837&lt;&gt;"",$B1837&lt;&gt;"",$R1837='تقرير مارس'!$C$4,$P1837='تقرير مارس'!$C$6),COUNT(AC$4:AC1836)+1,"")</f>
        <v/>
      </c>
      <c r="AD1837">
        <f>IF(AND($A1837&lt;&gt;"",$B1837&lt;&gt;"",$R1837='تقرير أبريل'!$C$4,$P1837='تقرير أبريل'!$C$6),COUNT(AD$4:AD1836)+1,"")</f>
        <v/>
      </c>
      <c r="AE1837">
        <f>IF(AND($A1837&lt;&gt;"",$B1837&lt;&gt;"",$R1837='تقرير مايو'!$C$4,$P1837='تقرير مايو'!$C$6),COUNT(AE$4:AE1836)+1,"")</f>
        <v/>
      </c>
    </row>
    <row r="1838">
      <c r="A1838" s="16" t="n"/>
      <c r="B1838" s="17" t="n"/>
      <c r="C1838" s="17" t="n"/>
      <c r="D1838" s="18" t="n"/>
      <c r="E1838" s="17" t="n"/>
      <c r="F1838" s="17" t="n"/>
      <c r="G1838" s="19" t="n"/>
      <c r="H1838" s="17" t="n"/>
      <c r="I1838" s="17" t="n"/>
      <c r="J1838" s="17" t="n"/>
      <c r="K1838" s="20">
        <f>IF($B1838="","",IFERROR(INDEX(الموظفات!$A$5:$A$304,MATCH($B1838,الموظفات!$B$5:$B$304,0))&amp;"",""))</f>
        <v/>
      </c>
      <c r="L1838" s="21">
        <f>IF($B1838="","",IFERROR(INDEX(الموظفات!$C$5:$C$304,MATCH($B1838,الموظفات!$B$5:$B$304,0))&amp;"",""))</f>
        <v/>
      </c>
      <c r="M1838" s="20">
        <f>IF($B1838="","",IFERROR(INDEX(الموظفات!$D$5:$D$304,MATCH($B1838,الموظفات!$B$5:$B$304,0))&amp;"",""))</f>
        <v/>
      </c>
      <c r="N1838" s="20">
        <f>IF($B1838="","",IFERROR(INDEX(الموظفات!$E$5:$E$304,MATCH($B1838,الموظفات!$B$5:$B$304,0))&amp;"",""))</f>
        <v/>
      </c>
      <c r="O1838" s="21">
        <f>IF(C1838="","",IFERROR(INDEX(الإعدادات!$D$7:$D$35,MATCH(C1838,الإعدادات!$A$7:$A$35,0))&amp;"",""))</f>
        <v/>
      </c>
      <c r="P1838" s="20">
        <f>IF(A1838="","",INDEX(الإعدادات!$H$7:$H$18,MONTH(A1838)))</f>
        <v/>
      </c>
      <c r="Q1838" s="20">
        <f>IF(A1838="","",INDEX(الإعدادات!$I$7:$I$18,MONTH(A1838)))</f>
        <v/>
      </c>
      <c r="R1838" s="20">
        <f>IF(A1838="","",IF(MONTH(A1838)&gt;=8,YEAR(A1838)&amp;"-"&amp;(YEAR(A1838)+1),(YEAR(A1838)-1)&amp;"-"&amp;YEAR(A1838)))</f>
        <v/>
      </c>
      <c r="S1838" s="20">
        <f>IF(OR(A1838="",B1838=""),0,IF(AND(R1838=التقارير!$C$4,OR(التقارير!$C$5="سنوي",AND(التقارير!$C$5="شهري",P1838=التقارير!$C$6),AND(التقارير!$C$5="فصلي",Q1838=التقارير!$C$7))),1,0))</f>
        <v/>
      </c>
      <c r="T1838" s="20">
        <f>IF(S1838=1,COUNTIF($S$5:S1838,1),"")</f>
        <v/>
      </c>
      <c r="U1838">
        <f>IF(AND($A1838&lt;&gt;"",$B1838&lt;&gt;"",$R1838='تقرير الفصل الأول'!$C$4,$Q1838='تقرير الفصل الأول'!$C$7),COUNT(U$4:U1837)+1,"")</f>
        <v/>
      </c>
      <c r="V1838">
        <f>IF(AND($A1838&lt;&gt;"",$B1838&lt;&gt;"",$R1838='تقرير الفصل الثاني'!$C$4,$Q1838='تقرير الفصل الثاني'!$C$7),COUNT(V$4:V1837)+1,"")</f>
        <v/>
      </c>
      <c r="W1838">
        <f>IF(AND($A1838&lt;&gt;"",$B1838&lt;&gt;"",$R1838='تقرير سبتمبر'!$C$4,$P1838='تقرير سبتمبر'!$C$6),COUNT(W$4:W1837)+1,"")</f>
        <v/>
      </c>
      <c r="X1838">
        <f>IF(AND($A1838&lt;&gt;"",$B1838&lt;&gt;"",$R1838='تقرير أكتوبر'!$C$4,$P1838='تقرير أكتوبر'!$C$6),COUNT(X$4:X1837)+1,"")</f>
        <v/>
      </c>
      <c r="Y1838">
        <f>IF(AND($A1838&lt;&gt;"",$B1838&lt;&gt;"",$R1838='تقرير نوفمبر'!$C$4,$P1838='تقرير نوفمبر'!$C$6),COUNT(Y$4:Y1837)+1,"")</f>
        <v/>
      </c>
      <c r="Z1838">
        <f>IF(AND($A1838&lt;&gt;"",$B1838&lt;&gt;"",$R1838='تقرير ديسمبر'!$C$4,$P1838='تقرير ديسمبر'!$C$6),COUNT(Z$4:Z1837)+1,"")</f>
        <v/>
      </c>
      <c r="AA1838">
        <f>IF(AND($A1838&lt;&gt;"",$B1838&lt;&gt;"",$R1838='تقرير يناير'!$C$4,$P1838='تقرير يناير'!$C$6),COUNT(AA$4:AA1837)+1,"")</f>
        <v/>
      </c>
      <c r="AB1838">
        <f>IF(AND($A1838&lt;&gt;"",$B1838&lt;&gt;"",$R1838='تقرير فبراير'!$C$4,$P1838='تقرير فبراير'!$C$6),COUNT(AB$4:AB1837)+1,"")</f>
        <v/>
      </c>
      <c r="AC1838">
        <f>IF(AND($A1838&lt;&gt;"",$B1838&lt;&gt;"",$R1838='تقرير مارس'!$C$4,$P1838='تقرير مارس'!$C$6),COUNT(AC$4:AC1837)+1,"")</f>
        <v/>
      </c>
      <c r="AD1838">
        <f>IF(AND($A1838&lt;&gt;"",$B1838&lt;&gt;"",$R1838='تقرير أبريل'!$C$4,$P1838='تقرير أبريل'!$C$6),COUNT(AD$4:AD1837)+1,"")</f>
        <v/>
      </c>
      <c r="AE1838">
        <f>IF(AND($A1838&lt;&gt;"",$B1838&lt;&gt;"",$R1838='تقرير مايو'!$C$4,$P1838='تقرير مايو'!$C$6),COUNT(AE$4:AE1837)+1,"")</f>
        <v/>
      </c>
    </row>
    <row r="1839">
      <c r="A1839" s="16" t="n"/>
      <c r="B1839" s="17" t="n"/>
      <c r="C1839" s="17" t="n"/>
      <c r="D1839" s="18" t="n"/>
      <c r="E1839" s="17" t="n"/>
      <c r="F1839" s="17" t="n"/>
      <c r="G1839" s="19" t="n"/>
      <c r="H1839" s="17" t="n"/>
      <c r="I1839" s="17" t="n"/>
      <c r="J1839" s="17" t="n"/>
      <c r="K1839" s="20">
        <f>IF($B1839="","",IFERROR(INDEX(الموظفات!$A$5:$A$304,MATCH($B1839,الموظفات!$B$5:$B$304,0))&amp;"",""))</f>
        <v/>
      </c>
      <c r="L1839" s="21">
        <f>IF($B1839="","",IFERROR(INDEX(الموظفات!$C$5:$C$304,MATCH($B1839,الموظفات!$B$5:$B$304,0))&amp;"",""))</f>
        <v/>
      </c>
      <c r="M1839" s="20">
        <f>IF($B1839="","",IFERROR(INDEX(الموظفات!$D$5:$D$304,MATCH($B1839,الموظفات!$B$5:$B$304,0))&amp;"",""))</f>
        <v/>
      </c>
      <c r="N1839" s="20">
        <f>IF($B1839="","",IFERROR(INDEX(الموظفات!$E$5:$E$304,MATCH($B1839,الموظفات!$B$5:$B$304,0))&amp;"",""))</f>
        <v/>
      </c>
      <c r="O1839" s="21">
        <f>IF(C1839="","",IFERROR(INDEX(الإعدادات!$D$7:$D$35,MATCH(C1839,الإعدادات!$A$7:$A$35,0))&amp;"",""))</f>
        <v/>
      </c>
      <c r="P1839" s="20">
        <f>IF(A1839="","",INDEX(الإعدادات!$H$7:$H$18,MONTH(A1839)))</f>
        <v/>
      </c>
      <c r="Q1839" s="20">
        <f>IF(A1839="","",INDEX(الإعدادات!$I$7:$I$18,MONTH(A1839)))</f>
        <v/>
      </c>
      <c r="R1839" s="20">
        <f>IF(A1839="","",IF(MONTH(A1839)&gt;=8,YEAR(A1839)&amp;"-"&amp;(YEAR(A1839)+1),(YEAR(A1839)-1)&amp;"-"&amp;YEAR(A1839)))</f>
        <v/>
      </c>
      <c r="S1839" s="20">
        <f>IF(OR(A1839="",B1839=""),0,IF(AND(R1839=التقارير!$C$4,OR(التقارير!$C$5="سنوي",AND(التقارير!$C$5="شهري",P1839=التقارير!$C$6),AND(التقارير!$C$5="فصلي",Q1839=التقارير!$C$7))),1,0))</f>
        <v/>
      </c>
      <c r="T1839" s="20">
        <f>IF(S1839=1,COUNTIF($S$5:S1839,1),"")</f>
        <v/>
      </c>
      <c r="U1839">
        <f>IF(AND($A1839&lt;&gt;"",$B1839&lt;&gt;"",$R1839='تقرير الفصل الأول'!$C$4,$Q1839='تقرير الفصل الأول'!$C$7),COUNT(U$4:U1838)+1,"")</f>
        <v/>
      </c>
      <c r="V1839">
        <f>IF(AND($A1839&lt;&gt;"",$B1839&lt;&gt;"",$R1839='تقرير الفصل الثاني'!$C$4,$Q1839='تقرير الفصل الثاني'!$C$7),COUNT(V$4:V1838)+1,"")</f>
        <v/>
      </c>
      <c r="W1839">
        <f>IF(AND($A1839&lt;&gt;"",$B1839&lt;&gt;"",$R1839='تقرير سبتمبر'!$C$4,$P1839='تقرير سبتمبر'!$C$6),COUNT(W$4:W1838)+1,"")</f>
        <v/>
      </c>
      <c r="X1839">
        <f>IF(AND($A1839&lt;&gt;"",$B1839&lt;&gt;"",$R1839='تقرير أكتوبر'!$C$4,$P1839='تقرير أكتوبر'!$C$6),COUNT(X$4:X1838)+1,"")</f>
        <v/>
      </c>
      <c r="Y1839">
        <f>IF(AND($A1839&lt;&gt;"",$B1839&lt;&gt;"",$R1839='تقرير نوفمبر'!$C$4,$P1839='تقرير نوفمبر'!$C$6),COUNT(Y$4:Y1838)+1,"")</f>
        <v/>
      </c>
      <c r="Z1839">
        <f>IF(AND($A1839&lt;&gt;"",$B1839&lt;&gt;"",$R1839='تقرير ديسمبر'!$C$4,$P1839='تقرير ديسمبر'!$C$6),COUNT(Z$4:Z1838)+1,"")</f>
        <v/>
      </c>
      <c r="AA1839">
        <f>IF(AND($A1839&lt;&gt;"",$B1839&lt;&gt;"",$R1839='تقرير يناير'!$C$4,$P1839='تقرير يناير'!$C$6),COUNT(AA$4:AA1838)+1,"")</f>
        <v/>
      </c>
      <c r="AB1839">
        <f>IF(AND($A1839&lt;&gt;"",$B1839&lt;&gt;"",$R1839='تقرير فبراير'!$C$4,$P1839='تقرير فبراير'!$C$6),COUNT(AB$4:AB1838)+1,"")</f>
        <v/>
      </c>
      <c r="AC1839">
        <f>IF(AND($A1839&lt;&gt;"",$B1839&lt;&gt;"",$R1839='تقرير مارس'!$C$4,$P1839='تقرير مارس'!$C$6),COUNT(AC$4:AC1838)+1,"")</f>
        <v/>
      </c>
      <c r="AD1839">
        <f>IF(AND($A1839&lt;&gt;"",$B1839&lt;&gt;"",$R1839='تقرير أبريل'!$C$4,$P1839='تقرير أبريل'!$C$6),COUNT(AD$4:AD1838)+1,"")</f>
        <v/>
      </c>
      <c r="AE1839">
        <f>IF(AND($A1839&lt;&gt;"",$B1839&lt;&gt;"",$R1839='تقرير مايو'!$C$4,$P1839='تقرير مايو'!$C$6),COUNT(AE$4:AE1838)+1,"")</f>
        <v/>
      </c>
    </row>
    <row r="1840">
      <c r="A1840" s="16" t="n"/>
      <c r="B1840" s="17" t="n"/>
      <c r="C1840" s="17" t="n"/>
      <c r="D1840" s="18" t="n"/>
      <c r="E1840" s="17" t="n"/>
      <c r="F1840" s="17" t="n"/>
      <c r="G1840" s="19" t="n"/>
      <c r="H1840" s="17" t="n"/>
      <c r="I1840" s="17" t="n"/>
      <c r="J1840" s="17" t="n"/>
      <c r="K1840" s="20">
        <f>IF($B1840="","",IFERROR(INDEX(الموظفات!$A$5:$A$304,MATCH($B1840,الموظفات!$B$5:$B$304,0))&amp;"",""))</f>
        <v/>
      </c>
      <c r="L1840" s="21">
        <f>IF($B1840="","",IFERROR(INDEX(الموظفات!$C$5:$C$304,MATCH($B1840,الموظفات!$B$5:$B$304,0))&amp;"",""))</f>
        <v/>
      </c>
      <c r="M1840" s="20">
        <f>IF($B1840="","",IFERROR(INDEX(الموظفات!$D$5:$D$304,MATCH($B1840,الموظفات!$B$5:$B$304,0))&amp;"",""))</f>
        <v/>
      </c>
      <c r="N1840" s="20">
        <f>IF($B1840="","",IFERROR(INDEX(الموظفات!$E$5:$E$304,MATCH($B1840,الموظفات!$B$5:$B$304,0))&amp;"",""))</f>
        <v/>
      </c>
      <c r="O1840" s="21">
        <f>IF(C1840="","",IFERROR(INDEX(الإعدادات!$D$7:$D$35,MATCH(C1840,الإعدادات!$A$7:$A$35,0))&amp;"",""))</f>
        <v/>
      </c>
      <c r="P1840" s="20">
        <f>IF(A1840="","",INDEX(الإعدادات!$H$7:$H$18,MONTH(A1840)))</f>
        <v/>
      </c>
      <c r="Q1840" s="20">
        <f>IF(A1840="","",INDEX(الإعدادات!$I$7:$I$18,MONTH(A1840)))</f>
        <v/>
      </c>
      <c r="R1840" s="20">
        <f>IF(A1840="","",IF(MONTH(A1840)&gt;=8,YEAR(A1840)&amp;"-"&amp;(YEAR(A1840)+1),(YEAR(A1840)-1)&amp;"-"&amp;YEAR(A1840)))</f>
        <v/>
      </c>
      <c r="S1840" s="20">
        <f>IF(OR(A1840="",B1840=""),0,IF(AND(R1840=التقارير!$C$4,OR(التقارير!$C$5="سنوي",AND(التقارير!$C$5="شهري",P1840=التقارير!$C$6),AND(التقارير!$C$5="فصلي",Q1840=التقارير!$C$7))),1,0))</f>
        <v/>
      </c>
      <c r="T1840" s="20">
        <f>IF(S1840=1,COUNTIF($S$5:S1840,1),"")</f>
        <v/>
      </c>
      <c r="U1840">
        <f>IF(AND($A1840&lt;&gt;"",$B1840&lt;&gt;"",$R1840='تقرير الفصل الأول'!$C$4,$Q1840='تقرير الفصل الأول'!$C$7),COUNT(U$4:U1839)+1,"")</f>
        <v/>
      </c>
      <c r="V1840">
        <f>IF(AND($A1840&lt;&gt;"",$B1840&lt;&gt;"",$R1840='تقرير الفصل الثاني'!$C$4,$Q1840='تقرير الفصل الثاني'!$C$7),COUNT(V$4:V1839)+1,"")</f>
        <v/>
      </c>
      <c r="W1840">
        <f>IF(AND($A1840&lt;&gt;"",$B1840&lt;&gt;"",$R1840='تقرير سبتمبر'!$C$4,$P1840='تقرير سبتمبر'!$C$6),COUNT(W$4:W1839)+1,"")</f>
        <v/>
      </c>
      <c r="X1840">
        <f>IF(AND($A1840&lt;&gt;"",$B1840&lt;&gt;"",$R1840='تقرير أكتوبر'!$C$4,$P1840='تقرير أكتوبر'!$C$6),COUNT(X$4:X1839)+1,"")</f>
        <v/>
      </c>
      <c r="Y1840">
        <f>IF(AND($A1840&lt;&gt;"",$B1840&lt;&gt;"",$R1840='تقرير نوفمبر'!$C$4,$P1840='تقرير نوفمبر'!$C$6),COUNT(Y$4:Y1839)+1,"")</f>
        <v/>
      </c>
      <c r="Z1840">
        <f>IF(AND($A1840&lt;&gt;"",$B1840&lt;&gt;"",$R1840='تقرير ديسمبر'!$C$4,$P1840='تقرير ديسمبر'!$C$6),COUNT(Z$4:Z1839)+1,"")</f>
        <v/>
      </c>
      <c r="AA1840">
        <f>IF(AND($A1840&lt;&gt;"",$B1840&lt;&gt;"",$R1840='تقرير يناير'!$C$4,$P1840='تقرير يناير'!$C$6),COUNT(AA$4:AA1839)+1,"")</f>
        <v/>
      </c>
      <c r="AB1840">
        <f>IF(AND($A1840&lt;&gt;"",$B1840&lt;&gt;"",$R1840='تقرير فبراير'!$C$4,$P1840='تقرير فبراير'!$C$6),COUNT(AB$4:AB1839)+1,"")</f>
        <v/>
      </c>
      <c r="AC1840">
        <f>IF(AND($A1840&lt;&gt;"",$B1840&lt;&gt;"",$R1840='تقرير مارس'!$C$4,$P1840='تقرير مارس'!$C$6),COUNT(AC$4:AC1839)+1,"")</f>
        <v/>
      </c>
      <c r="AD1840">
        <f>IF(AND($A1840&lt;&gt;"",$B1840&lt;&gt;"",$R1840='تقرير أبريل'!$C$4,$P1840='تقرير أبريل'!$C$6),COUNT(AD$4:AD1839)+1,"")</f>
        <v/>
      </c>
      <c r="AE1840">
        <f>IF(AND($A1840&lt;&gt;"",$B1840&lt;&gt;"",$R1840='تقرير مايو'!$C$4,$P1840='تقرير مايو'!$C$6),COUNT(AE$4:AE1839)+1,"")</f>
        <v/>
      </c>
    </row>
    <row r="1841">
      <c r="A1841" s="16" t="n"/>
      <c r="B1841" s="17" t="n"/>
      <c r="C1841" s="17" t="n"/>
      <c r="D1841" s="18" t="n"/>
      <c r="E1841" s="17" t="n"/>
      <c r="F1841" s="17" t="n"/>
      <c r="G1841" s="19" t="n"/>
      <c r="H1841" s="17" t="n"/>
      <c r="I1841" s="17" t="n"/>
      <c r="J1841" s="17" t="n"/>
      <c r="K1841" s="20">
        <f>IF($B1841="","",IFERROR(INDEX(الموظفات!$A$5:$A$304,MATCH($B1841,الموظفات!$B$5:$B$304,0))&amp;"",""))</f>
        <v/>
      </c>
      <c r="L1841" s="21">
        <f>IF($B1841="","",IFERROR(INDEX(الموظفات!$C$5:$C$304,MATCH($B1841,الموظفات!$B$5:$B$304,0))&amp;"",""))</f>
        <v/>
      </c>
      <c r="M1841" s="20">
        <f>IF($B1841="","",IFERROR(INDEX(الموظفات!$D$5:$D$304,MATCH($B1841,الموظفات!$B$5:$B$304,0))&amp;"",""))</f>
        <v/>
      </c>
      <c r="N1841" s="20">
        <f>IF($B1841="","",IFERROR(INDEX(الموظفات!$E$5:$E$304,MATCH($B1841,الموظفات!$B$5:$B$304,0))&amp;"",""))</f>
        <v/>
      </c>
      <c r="O1841" s="21">
        <f>IF(C1841="","",IFERROR(INDEX(الإعدادات!$D$7:$D$35,MATCH(C1841,الإعدادات!$A$7:$A$35,0))&amp;"",""))</f>
        <v/>
      </c>
      <c r="P1841" s="20">
        <f>IF(A1841="","",INDEX(الإعدادات!$H$7:$H$18,MONTH(A1841)))</f>
        <v/>
      </c>
      <c r="Q1841" s="20">
        <f>IF(A1841="","",INDEX(الإعدادات!$I$7:$I$18,MONTH(A1841)))</f>
        <v/>
      </c>
      <c r="R1841" s="20">
        <f>IF(A1841="","",IF(MONTH(A1841)&gt;=8,YEAR(A1841)&amp;"-"&amp;(YEAR(A1841)+1),(YEAR(A1841)-1)&amp;"-"&amp;YEAR(A1841)))</f>
        <v/>
      </c>
      <c r="S1841" s="20">
        <f>IF(OR(A1841="",B1841=""),0,IF(AND(R1841=التقارير!$C$4,OR(التقارير!$C$5="سنوي",AND(التقارير!$C$5="شهري",P1841=التقارير!$C$6),AND(التقارير!$C$5="فصلي",Q1841=التقارير!$C$7))),1,0))</f>
        <v/>
      </c>
      <c r="T1841" s="20">
        <f>IF(S1841=1,COUNTIF($S$5:S1841,1),"")</f>
        <v/>
      </c>
      <c r="U1841">
        <f>IF(AND($A1841&lt;&gt;"",$B1841&lt;&gt;"",$R1841='تقرير الفصل الأول'!$C$4,$Q1841='تقرير الفصل الأول'!$C$7),COUNT(U$4:U1840)+1,"")</f>
        <v/>
      </c>
      <c r="V1841">
        <f>IF(AND($A1841&lt;&gt;"",$B1841&lt;&gt;"",$R1841='تقرير الفصل الثاني'!$C$4,$Q1841='تقرير الفصل الثاني'!$C$7),COUNT(V$4:V1840)+1,"")</f>
        <v/>
      </c>
      <c r="W1841">
        <f>IF(AND($A1841&lt;&gt;"",$B1841&lt;&gt;"",$R1841='تقرير سبتمبر'!$C$4,$P1841='تقرير سبتمبر'!$C$6),COUNT(W$4:W1840)+1,"")</f>
        <v/>
      </c>
      <c r="X1841">
        <f>IF(AND($A1841&lt;&gt;"",$B1841&lt;&gt;"",$R1841='تقرير أكتوبر'!$C$4,$P1841='تقرير أكتوبر'!$C$6),COUNT(X$4:X1840)+1,"")</f>
        <v/>
      </c>
      <c r="Y1841">
        <f>IF(AND($A1841&lt;&gt;"",$B1841&lt;&gt;"",$R1841='تقرير نوفمبر'!$C$4,$P1841='تقرير نوفمبر'!$C$6),COUNT(Y$4:Y1840)+1,"")</f>
        <v/>
      </c>
      <c r="Z1841">
        <f>IF(AND($A1841&lt;&gt;"",$B1841&lt;&gt;"",$R1841='تقرير ديسمبر'!$C$4,$P1841='تقرير ديسمبر'!$C$6),COUNT(Z$4:Z1840)+1,"")</f>
        <v/>
      </c>
      <c r="AA1841">
        <f>IF(AND($A1841&lt;&gt;"",$B1841&lt;&gt;"",$R1841='تقرير يناير'!$C$4,$P1841='تقرير يناير'!$C$6),COUNT(AA$4:AA1840)+1,"")</f>
        <v/>
      </c>
      <c r="AB1841">
        <f>IF(AND($A1841&lt;&gt;"",$B1841&lt;&gt;"",$R1841='تقرير فبراير'!$C$4,$P1841='تقرير فبراير'!$C$6),COUNT(AB$4:AB1840)+1,"")</f>
        <v/>
      </c>
      <c r="AC1841">
        <f>IF(AND($A1841&lt;&gt;"",$B1841&lt;&gt;"",$R1841='تقرير مارس'!$C$4,$P1841='تقرير مارس'!$C$6),COUNT(AC$4:AC1840)+1,"")</f>
        <v/>
      </c>
      <c r="AD1841">
        <f>IF(AND($A1841&lt;&gt;"",$B1841&lt;&gt;"",$R1841='تقرير أبريل'!$C$4,$P1841='تقرير أبريل'!$C$6),COUNT(AD$4:AD1840)+1,"")</f>
        <v/>
      </c>
      <c r="AE1841">
        <f>IF(AND($A1841&lt;&gt;"",$B1841&lt;&gt;"",$R1841='تقرير مايو'!$C$4,$P1841='تقرير مايو'!$C$6),COUNT(AE$4:AE1840)+1,"")</f>
        <v/>
      </c>
    </row>
    <row r="1842">
      <c r="A1842" s="16" t="n"/>
      <c r="B1842" s="17" t="n"/>
      <c r="C1842" s="17" t="n"/>
      <c r="D1842" s="18" t="n"/>
      <c r="E1842" s="17" t="n"/>
      <c r="F1842" s="17" t="n"/>
      <c r="G1842" s="19" t="n"/>
      <c r="H1842" s="17" t="n"/>
      <c r="I1842" s="17" t="n"/>
      <c r="J1842" s="17" t="n"/>
      <c r="K1842" s="20">
        <f>IF($B1842="","",IFERROR(INDEX(الموظفات!$A$5:$A$304,MATCH($B1842,الموظفات!$B$5:$B$304,0))&amp;"",""))</f>
        <v/>
      </c>
      <c r="L1842" s="21">
        <f>IF($B1842="","",IFERROR(INDEX(الموظفات!$C$5:$C$304,MATCH($B1842,الموظفات!$B$5:$B$304,0))&amp;"",""))</f>
        <v/>
      </c>
      <c r="M1842" s="20">
        <f>IF($B1842="","",IFERROR(INDEX(الموظفات!$D$5:$D$304,MATCH($B1842,الموظفات!$B$5:$B$304,0))&amp;"",""))</f>
        <v/>
      </c>
      <c r="N1842" s="20">
        <f>IF($B1842="","",IFERROR(INDEX(الموظفات!$E$5:$E$304,MATCH($B1842,الموظفات!$B$5:$B$304,0))&amp;"",""))</f>
        <v/>
      </c>
      <c r="O1842" s="21">
        <f>IF(C1842="","",IFERROR(INDEX(الإعدادات!$D$7:$D$35,MATCH(C1842,الإعدادات!$A$7:$A$35,0))&amp;"",""))</f>
        <v/>
      </c>
      <c r="P1842" s="20">
        <f>IF(A1842="","",INDEX(الإعدادات!$H$7:$H$18,MONTH(A1842)))</f>
        <v/>
      </c>
      <c r="Q1842" s="20">
        <f>IF(A1842="","",INDEX(الإعدادات!$I$7:$I$18,MONTH(A1842)))</f>
        <v/>
      </c>
      <c r="R1842" s="20">
        <f>IF(A1842="","",IF(MONTH(A1842)&gt;=8,YEAR(A1842)&amp;"-"&amp;(YEAR(A1842)+1),(YEAR(A1842)-1)&amp;"-"&amp;YEAR(A1842)))</f>
        <v/>
      </c>
      <c r="S1842" s="20">
        <f>IF(OR(A1842="",B1842=""),0,IF(AND(R1842=التقارير!$C$4,OR(التقارير!$C$5="سنوي",AND(التقارير!$C$5="شهري",P1842=التقارير!$C$6),AND(التقارير!$C$5="فصلي",Q1842=التقارير!$C$7))),1,0))</f>
        <v/>
      </c>
      <c r="T1842" s="20">
        <f>IF(S1842=1,COUNTIF($S$5:S1842,1),"")</f>
        <v/>
      </c>
      <c r="U1842">
        <f>IF(AND($A1842&lt;&gt;"",$B1842&lt;&gt;"",$R1842='تقرير الفصل الأول'!$C$4,$Q1842='تقرير الفصل الأول'!$C$7),COUNT(U$4:U1841)+1,"")</f>
        <v/>
      </c>
      <c r="V1842">
        <f>IF(AND($A1842&lt;&gt;"",$B1842&lt;&gt;"",$R1842='تقرير الفصل الثاني'!$C$4,$Q1842='تقرير الفصل الثاني'!$C$7),COUNT(V$4:V1841)+1,"")</f>
        <v/>
      </c>
      <c r="W1842">
        <f>IF(AND($A1842&lt;&gt;"",$B1842&lt;&gt;"",$R1842='تقرير سبتمبر'!$C$4,$P1842='تقرير سبتمبر'!$C$6),COUNT(W$4:W1841)+1,"")</f>
        <v/>
      </c>
      <c r="X1842">
        <f>IF(AND($A1842&lt;&gt;"",$B1842&lt;&gt;"",$R1842='تقرير أكتوبر'!$C$4,$P1842='تقرير أكتوبر'!$C$6),COUNT(X$4:X1841)+1,"")</f>
        <v/>
      </c>
      <c r="Y1842">
        <f>IF(AND($A1842&lt;&gt;"",$B1842&lt;&gt;"",$R1842='تقرير نوفمبر'!$C$4,$P1842='تقرير نوفمبر'!$C$6),COUNT(Y$4:Y1841)+1,"")</f>
        <v/>
      </c>
      <c r="Z1842">
        <f>IF(AND($A1842&lt;&gt;"",$B1842&lt;&gt;"",$R1842='تقرير ديسمبر'!$C$4,$P1842='تقرير ديسمبر'!$C$6),COUNT(Z$4:Z1841)+1,"")</f>
        <v/>
      </c>
      <c r="AA1842">
        <f>IF(AND($A1842&lt;&gt;"",$B1842&lt;&gt;"",$R1842='تقرير يناير'!$C$4,$P1842='تقرير يناير'!$C$6),COUNT(AA$4:AA1841)+1,"")</f>
        <v/>
      </c>
      <c r="AB1842">
        <f>IF(AND($A1842&lt;&gt;"",$B1842&lt;&gt;"",$R1842='تقرير فبراير'!$C$4,$P1842='تقرير فبراير'!$C$6),COUNT(AB$4:AB1841)+1,"")</f>
        <v/>
      </c>
      <c r="AC1842">
        <f>IF(AND($A1842&lt;&gt;"",$B1842&lt;&gt;"",$R1842='تقرير مارس'!$C$4,$P1842='تقرير مارس'!$C$6),COUNT(AC$4:AC1841)+1,"")</f>
        <v/>
      </c>
      <c r="AD1842">
        <f>IF(AND($A1842&lt;&gt;"",$B1842&lt;&gt;"",$R1842='تقرير أبريل'!$C$4,$P1842='تقرير أبريل'!$C$6),COUNT(AD$4:AD1841)+1,"")</f>
        <v/>
      </c>
      <c r="AE1842">
        <f>IF(AND($A1842&lt;&gt;"",$B1842&lt;&gt;"",$R1842='تقرير مايو'!$C$4,$P1842='تقرير مايو'!$C$6),COUNT(AE$4:AE1841)+1,"")</f>
        <v/>
      </c>
    </row>
    <row r="1843">
      <c r="A1843" s="16" t="n"/>
      <c r="B1843" s="17" t="n"/>
      <c r="C1843" s="17" t="n"/>
      <c r="D1843" s="18" t="n"/>
      <c r="E1843" s="17" t="n"/>
      <c r="F1843" s="17" t="n"/>
      <c r="G1843" s="19" t="n"/>
      <c r="H1843" s="17" t="n"/>
      <c r="I1843" s="17" t="n"/>
      <c r="J1843" s="17" t="n"/>
      <c r="K1843" s="20">
        <f>IF($B1843="","",IFERROR(INDEX(الموظفات!$A$5:$A$304,MATCH($B1843,الموظفات!$B$5:$B$304,0))&amp;"",""))</f>
        <v/>
      </c>
      <c r="L1843" s="21">
        <f>IF($B1843="","",IFERROR(INDEX(الموظفات!$C$5:$C$304,MATCH($B1843,الموظفات!$B$5:$B$304,0))&amp;"",""))</f>
        <v/>
      </c>
      <c r="M1843" s="20">
        <f>IF($B1843="","",IFERROR(INDEX(الموظفات!$D$5:$D$304,MATCH($B1843,الموظفات!$B$5:$B$304,0))&amp;"",""))</f>
        <v/>
      </c>
      <c r="N1843" s="20">
        <f>IF($B1843="","",IFERROR(INDEX(الموظفات!$E$5:$E$304,MATCH($B1843,الموظفات!$B$5:$B$304,0))&amp;"",""))</f>
        <v/>
      </c>
      <c r="O1843" s="21">
        <f>IF(C1843="","",IFERROR(INDEX(الإعدادات!$D$7:$D$35,MATCH(C1843,الإعدادات!$A$7:$A$35,0))&amp;"",""))</f>
        <v/>
      </c>
      <c r="P1843" s="20">
        <f>IF(A1843="","",INDEX(الإعدادات!$H$7:$H$18,MONTH(A1843)))</f>
        <v/>
      </c>
      <c r="Q1843" s="20">
        <f>IF(A1843="","",INDEX(الإعدادات!$I$7:$I$18,MONTH(A1843)))</f>
        <v/>
      </c>
      <c r="R1843" s="20">
        <f>IF(A1843="","",IF(MONTH(A1843)&gt;=8,YEAR(A1843)&amp;"-"&amp;(YEAR(A1843)+1),(YEAR(A1843)-1)&amp;"-"&amp;YEAR(A1843)))</f>
        <v/>
      </c>
      <c r="S1843" s="20">
        <f>IF(OR(A1843="",B1843=""),0,IF(AND(R1843=التقارير!$C$4,OR(التقارير!$C$5="سنوي",AND(التقارير!$C$5="شهري",P1843=التقارير!$C$6),AND(التقارير!$C$5="فصلي",Q1843=التقارير!$C$7))),1,0))</f>
        <v/>
      </c>
      <c r="T1843" s="20">
        <f>IF(S1843=1,COUNTIF($S$5:S1843,1),"")</f>
        <v/>
      </c>
      <c r="U1843">
        <f>IF(AND($A1843&lt;&gt;"",$B1843&lt;&gt;"",$R1843='تقرير الفصل الأول'!$C$4,$Q1843='تقرير الفصل الأول'!$C$7),COUNT(U$4:U1842)+1,"")</f>
        <v/>
      </c>
      <c r="V1843">
        <f>IF(AND($A1843&lt;&gt;"",$B1843&lt;&gt;"",$R1843='تقرير الفصل الثاني'!$C$4,$Q1843='تقرير الفصل الثاني'!$C$7),COUNT(V$4:V1842)+1,"")</f>
        <v/>
      </c>
      <c r="W1843">
        <f>IF(AND($A1843&lt;&gt;"",$B1843&lt;&gt;"",$R1843='تقرير سبتمبر'!$C$4,$P1843='تقرير سبتمبر'!$C$6),COUNT(W$4:W1842)+1,"")</f>
        <v/>
      </c>
      <c r="X1843">
        <f>IF(AND($A1843&lt;&gt;"",$B1843&lt;&gt;"",$R1843='تقرير أكتوبر'!$C$4,$P1843='تقرير أكتوبر'!$C$6),COUNT(X$4:X1842)+1,"")</f>
        <v/>
      </c>
      <c r="Y1843">
        <f>IF(AND($A1843&lt;&gt;"",$B1843&lt;&gt;"",$R1843='تقرير نوفمبر'!$C$4,$P1843='تقرير نوفمبر'!$C$6),COUNT(Y$4:Y1842)+1,"")</f>
        <v/>
      </c>
      <c r="Z1843">
        <f>IF(AND($A1843&lt;&gt;"",$B1843&lt;&gt;"",$R1843='تقرير ديسمبر'!$C$4,$P1843='تقرير ديسمبر'!$C$6),COUNT(Z$4:Z1842)+1,"")</f>
        <v/>
      </c>
      <c r="AA1843">
        <f>IF(AND($A1843&lt;&gt;"",$B1843&lt;&gt;"",$R1843='تقرير يناير'!$C$4,$P1843='تقرير يناير'!$C$6),COUNT(AA$4:AA1842)+1,"")</f>
        <v/>
      </c>
      <c r="AB1843">
        <f>IF(AND($A1843&lt;&gt;"",$B1843&lt;&gt;"",$R1843='تقرير فبراير'!$C$4,$P1843='تقرير فبراير'!$C$6),COUNT(AB$4:AB1842)+1,"")</f>
        <v/>
      </c>
      <c r="AC1843">
        <f>IF(AND($A1843&lt;&gt;"",$B1843&lt;&gt;"",$R1843='تقرير مارس'!$C$4,$P1843='تقرير مارس'!$C$6),COUNT(AC$4:AC1842)+1,"")</f>
        <v/>
      </c>
      <c r="AD1843">
        <f>IF(AND($A1843&lt;&gt;"",$B1843&lt;&gt;"",$R1843='تقرير أبريل'!$C$4,$P1843='تقرير أبريل'!$C$6),COUNT(AD$4:AD1842)+1,"")</f>
        <v/>
      </c>
      <c r="AE1843">
        <f>IF(AND($A1843&lt;&gt;"",$B1843&lt;&gt;"",$R1843='تقرير مايو'!$C$4,$P1843='تقرير مايو'!$C$6),COUNT(AE$4:AE1842)+1,"")</f>
        <v/>
      </c>
    </row>
    <row r="1844">
      <c r="A1844" s="16" t="n"/>
      <c r="B1844" s="17" t="n"/>
      <c r="C1844" s="17" t="n"/>
      <c r="D1844" s="18" t="n"/>
      <c r="E1844" s="17" t="n"/>
      <c r="F1844" s="17" t="n"/>
      <c r="G1844" s="19" t="n"/>
      <c r="H1844" s="17" t="n"/>
      <c r="I1844" s="17" t="n"/>
      <c r="J1844" s="17" t="n"/>
      <c r="K1844" s="20">
        <f>IF($B1844="","",IFERROR(INDEX(الموظفات!$A$5:$A$304,MATCH($B1844,الموظفات!$B$5:$B$304,0))&amp;"",""))</f>
        <v/>
      </c>
      <c r="L1844" s="21">
        <f>IF($B1844="","",IFERROR(INDEX(الموظفات!$C$5:$C$304,MATCH($B1844,الموظفات!$B$5:$B$304,0))&amp;"",""))</f>
        <v/>
      </c>
      <c r="M1844" s="20">
        <f>IF($B1844="","",IFERROR(INDEX(الموظفات!$D$5:$D$304,MATCH($B1844,الموظفات!$B$5:$B$304,0))&amp;"",""))</f>
        <v/>
      </c>
      <c r="N1844" s="20">
        <f>IF($B1844="","",IFERROR(INDEX(الموظفات!$E$5:$E$304,MATCH($B1844,الموظفات!$B$5:$B$304,0))&amp;"",""))</f>
        <v/>
      </c>
      <c r="O1844" s="21">
        <f>IF(C1844="","",IFERROR(INDEX(الإعدادات!$D$7:$D$35,MATCH(C1844,الإعدادات!$A$7:$A$35,0))&amp;"",""))</f>
        <v/>
      </c>
      <c r="P1844" s="20">
        <f>IF(A1844="","",INDEX(الإعدادات!$H$7:$H$18,MONTH(A1844)))</f>
        <v/>
      </c>
      <c r="Q1844" s="20">
        <f>IF(A1844="","",INDEX(الإعدادات!$I$7:$I$18,MONTH(A1844)))</f>
        <v/>
      </c>
      <c r="R1844" s="20">
        <f>IF(A1844="","",IF(MONTH(A1844)&gt;=8,YEAR(A1844)&amp;"-"&amp;(YEAR(A1844)+1),(YEAR(A1844)-1)&amp;"-"&amp;YEAR(A1844)))</f>
        <v/>
      </c>
      <c r="S1844" s="20">
        <f>IF(OR(A1844="",B1844=""),0,IF(AND(R1844=التقارير!$C$4,OR(التقارير!$C$5="سنوي",AND(التقارير!$C$5="شهري",P1844=التقارير!$C$6),AND(التقارير!$C$5="فصلي",Q1844=التقارير!$C$7))),1,0))</f>
        <v/>
      </c>
      <c r="T1844" s="20">
        <f>IF(S1844=1,COUNTIF($S$5:S1844,1),"")</f>
        <v/>
      </c>
      <c r="U1844">
        <f>IF(AND($A1844&lt;&gt;"",$B1844&lt;&gt;"",$R1844='تقرير الفصل الأول'!$C$4,$Q1844='تقرير الفصل الأول'!$C$7),COUNT(U$4:U1843)+1,"")</f>
        <v/>
      </c>
      <c r="V1844">
        <f>IF(AND($A1844&lt;&gt;"",$B1844&lt;&gt;"",$R1844='تقرير الفصل الثاني'!$C$4,$Q1844='تقرير الفصل الثاني'!$C$7),COUNT(V$4:V1843)+1,"")</f>
        <v/>
      </c>
      <c r="W1844">
        <f>IF(AND($A1844&lt;&gt;"",$B1844&lt;&gt;"",$R1844='تقرير سبتمبر'!$C$4,$P1844='تقرير سبتمبر'!$C$6),COUNT(W$4:W1843)+1,"")</f>
        <v/>
      </c>
      <c r="X1844">
        <f>IF(AND($A1844&lt;&gt;"",$B1844&lt;&gt;"",$R1844='تقرير أكتوبر'!$C$4,$P1844='تقرير أكتوبر'!$C$6),COUNT(X$4:X1843)+1,"")</f>
        <v/>
      </c>
      <c r="Y1844">
        <f>IF(AND($A1844&lt;&gt;"",$B1844&lt;&gt;"",$R1844='تقرير نوفمبر'!$C$4,$P1844='تقرير نوفمبر'!$C$6),COUNT(Y$4:Y1843)+1,"")</f>
        <v/>
      </c>
      <c r="Z1844">
        <f>IF(AND($A1844&lt;&gt;"",$B1844&lt;&gt;"",$R1844='تقرير ديسمبر'!$C$4,$P1844='تقرير ديسمبر'!$C$6),COUNT(Z$4:Z1843)+1,"")</f>
        <v/>
      </c>
      <c r="AA1844">
        <f>IF(AND($A1844&lt;&gt;"",$B1844&lt;&gt;"",$R1844='تقرير يناير'!$C$4,$P1844='تقرير يناير'!$C$6),COUNT(AA$4:AA1843)+1,"")</f>
        <v/>
      </c>
      <c r="AB1844">
        <f>IF(AND($A1844&lt;&gt;"",$B1844&lt;&gt;"",$R1844='تقرير فبراير'!$C$4,$P1844='تقرير فبراير'!$C$6),COUNT(AB$4:AB1843)+1,"")</f>
        <v/>
      </c>
      <c r="AC1844">
        <f>IF(AND($A1844&lt;&gt;"",$B1844&lt;&gt;"",$R1844='تقرير مارس'!$C$4,$P1844='تقرير مارس'!$C$6),COUNT(AC$4:AC1843)+1,"")</f>
        <v/>
      </c>
      <c r="AD1844">
        <f>IF(AND($A1844&lt;&gt;"",$B1844&lt;&gt;"",$R1844='تقرير أبريل'!$C$4,$P1844='تقرير أبريل'!$C$6),COUNT(AD$4:AD1843)+1,"")</f>
        <v/>
      </c>
      <c r="AE1844">
        <f>IF(AND($A1844&lt;&gt;"",$B1844&lt;&gt;"",$R1844='تقرير مايو'!$C$4,$P1844='تقرير مايو'!$C$6),COUNT(AE$4:AE1843)+1,"")</f>
        <v/>
      </c>
    </row>
    <row r="1845">
      <c r="A1845" s="16" t="n"/>
      <c r="B1845" s="17" t="n"/>
      <c r="C1845" s="17" t="n"/>
      <c r="D1845" s="18" t="n"/>
      <c r="E1845" s="17" t="n"/>
      <c r="F1845" s="17" t="n"/>
      <c r="G1845" s="19" t="n"/>
      <c r="H1845" s="17" t="n"/>
      <c r="I1845" s="17" t="n"/>
      <c r="J1845" s="17" t="n"/>
      <c r="K1845" s="20">
        <f>IF($B1845="","",IFERROR(INDEX(الموظفات!$A$5:$A$304,MATCH($B1845,الموظفات!$B$5:$B$304,0))&amp;"",""))</f>
        <v/>
      </c>
      <c r="L1845" s="21">
        <f>IF($B1845="","",IFERROR(INDEX(الموظفات!$C$5:$C$304,MATCH($B1845,الموظفات!$B$5:$B$304,0))&amp;"",""))</f>
        <v/>
      </c>
      <c r="M1845" s="20">
        <f>IF($B1845="","",IFERROR(INDEX(الموظفات!$D$5:$D$304,MATCH($B1845,الموظفات!$B$5:$B$304,0))&amp;"",""))</f>
        <v/>
      </c>
      <c r="N1845" s="20">
        <f>IF($B1845="","",IFERROR(INDEX(الموظفات!$E$5:$E$304,MATCH($B1845,الموظفات!$B$5:$B$304,0))&amp;"",""))</f>
        <v/>
      </c>
      <c r="O1845" s="21">
        <f>IF(C1845="","",IFERROR(INDEX(الإعدادات!$D$7:$D$35,MATCH(C1845,الإعدادات!$A$7:$A$35,0))&amp;"",""))</f>
        <v/>
      </c>
      <c r="P1845" s="20">
        <f>IF(A1845="","",INDEX(الإعدادات!$H$7:$H$18,MONTH(A1845)))</f>
        <v/>
      </c>
      <c r="Q1845" s="20">
        <f>IF(A1845="","",INDEX(الإعدادات!$I$7:$I$18,MONTH(A1845)))</f>
        <v/>
      </c>
      <c r="R1845" s="20">
        <f>IF(A1845="","",IF(MONTH(A1845)&gt;=8,YEAR(A1845)&amp;"-"&amp;(YEAR(A1845)+1),(YEAR(A1845)-1)&amp;"-"&amp;YEAR(A1845)))</f>
        <v/>
      </c>
      <c r="S1845" s="20">
        <f>IF(OR(A1845="",B1845=""),0,IF(AND(R1845=التقارير!$C$4,OR(التقارير!$C$5="سنوي",AND(التقارير!$C$5="شهري",P1845=التقارير!$C$6),AND(التقارير!$C$5="فصلي",Q1845=التقارير!$C$7))),1,0))</f>
        <v/>
      </c>
      <c r="T1845" s="20">
        <f>IF(S1845=1,COUNTIF($S$5:S1845,1),"")</f>
        <v/>
      </c>
      <c r="U1845">
        <f>IF(AND($A1845&lt;&gt;"",$B1845&lt;&gt;"",$R1845='تقرير الفصل الأول'!$C$4,$Q1845='تقرير الفصل الأول'!$C$7),COUNT(U$4:U1844)+1,"")</f>
        <v/>
      </c>
      <c r="V1845">
        <f>IF(AND($A1845&lt;&gt;"",$B1845&lt;&gt;"",$R1845='تقرير الفصل الثاني'!$C$4,$Q1845='تقرير الفصل الثاني'!$C$7),COUNT(V$4:V1844)+1,"")</f>
        <v/>
      </c>
      <c r="W1845">
        <f>IF(AND($A1845&lt;&gt;"",$B1845&lt;&gt;"",$R1845='تقرير سبتمبر'!$C$4,$P1845='تقرير سبتمبر'!$C$6),COUNT(W$4:W1844)+1,"")</f>
        <v/>
      </c>
      <c r="X1845">
        <f>IF(AND($A1845&lt;&gt;"",$B1845&lt;&gt;"",$R1845='تقرير أكتوبر'!$C$4,$P1845='تقرير أكتوبر'!$C$6),COUNT(X$4:X1844)+1,"")</f>
        <v/>
      </c>
      <c r="Y1845">
        <f>IF(AND($A1845&lt;&gt;"",$B1845&lt;&gt;"",$R1845='تقرير نوفمبر'!$C$4,$P1845='تقرير نوفمبر'!$C$6),COUNT(Y$4:Y1844)+1,"")</f>
        <v/>
      </c>
      <c r="Z1845">
        <f>IF(AND($A1845&lt;&gt;"",$B1845&lt;&gt;"",$R1845='تقرير ديسمبر'!$C$4,$P1845='تقرير ديسمبر'!$C$6),COUNT(Z$4:Z1844)+1,"")</f>
        <v/>
      </c>
      <c r="AA1845">
        <f>IF(AND($A1845&lt;&gt;"",$B1845&lt;&gt;"",$R1845='تقرير يناير'!$C$4,$P1845='تقرير يناير'!$C$6),COUNT(AA$4:AA1844)+1,"")</f>
        <v/>
      </c>
      <c r="AB1845">
        <f>IF(AND($A1845&lt;&gt;"",$B1845&lt;&gt;"",$R1845='تقرير فبراير'!$C$4,$P1845='تقرير فبراير'!$C$6),COUNT(AB$4:AB1844)+1,"")</f>
        <v/>
      </c>
      <c r="AC1845">
        <f>IF(AND($A1845&lt;&gt;"",$B1845&lt;&gt;"",$R1845='تقرير مارس'!$C$4,$P1845='تقرير مارس'!$C$6),COUNT(AC$4:AC1844)+1,"")</f>
        <v/>
      </c>
      <c r="AD1845">
        <f>IF(AND($A1845&lt;&gt;"",$B1845&lt;&gt;"",$R1845='تقرير أبريل'!$C$4,$P1845='تقرير أبريل'!$C$6),COUNT(AD$4:AD1844)+1,"")</f>
        <v/>
      </c>
      <c r="AE1845">
        <f>IF(AND($A1845&lt;&gt;"",$B1845&lt;&gt;"",$R1845='تقرير مايو'!$C$4,$P1845='تقرير مايو'!$C$6),COUNT(AE$4:AE1844)+1,"")</f>
        <v/>
      </c>
    </row>
    <row r="1846">
      <c r="A1846" s="16" t="n"/>
      <c r="B1846" s="17" t="n"/>
      <c r="C1846" s="17" t="n"/>
      <c r="D1846" s="18" t="n"/>
      <c r="E1846" s="17" t="n"/>
      <c r="F1846" s="17" t="n"/>
      <c r="G1846" s="19" t="n"/>
      <c r="H1846" s="17" t="n"/>
      <c r="I1846" s="17" t="n"/>
      <c r="J1846" s="17" t="n"/>
      <c r="K1846" s="20">
        <f>IF($B1846="","",IFERROR(INDEX(الموظفات!$A$5:$A$304,MATCH($B1846,الموظفات!$B$5:$B$304,0))&amp;"",""))</f>
        <v/>
      </c>
      <c r="L1846" s="21">
        <f>IF($B1846="","",IFERROR(INDEX(الموظفات!$C$5:$C$304,MATCH($B1846,الموظفات!$B$5:$B$304,0))&amp;"",""))</f>
        <v/>
      </c>
      <c r="M1846" s="20">
        <f>IF($B1846="","",IFERROR(INDEX(الموظفات!$D$5:$D$304,MATCH($B1846,الموظفات!$B$5:$B$304,0))&amp;"",""))</f>
        <v/>
      </c>
      <c r="N1846" s="20">
        <f>IF($B1846="","",IFERROR(INDEX(الموظفات!$E$5:$E$304,MATCH($B1846,الموظفات!$B$5:$B$304,0))&amp;"",""))</f>
        <v/>
      </c>
      <c r="O1846" s="21">
        <f>IF(C1846="","",IFERROR(INDEX(الإعدادات!$D$7:$D$35,MATCH(C1846,الإعدادات!$A$7:$A$35,0))&amp;"",""))</f>
        <v/>
      </c>
      <c r="P1846" s="20">
        <f>IF(A1846="","",INDEX(الإعدادات!$H$7:$H$18,MONTH(A1846)))</f>
        <v/>
      </c>
      <c r="Q1846" s="20">
        <f>IF(A1846="","",INDEX(الإعدادات!$I$7:$I$18,MONTH(A1846)))</f>
        <v/>
      </c>
      <c r="R1846" s="20">
        <f>IF(A1846="","",IF(MONTH(A1846)&gt;=8,YEAR(A1846)&amp;"-"&amp;(YEAR(A1846)+1),(YEAR(A1846)-1)&amp;"-"&amp;YEAR(A1846)))</f>
        <v/>
      </c>
      <c r="S1846" s="20">
        <f>IF(OR(A1846="",B1846=""),0,IF(AND(R1846=التقارير!$C$4,OR(التقارير!$C$5="سنوي",AND(التقارير!$C$5="شهري",P1846=التقارير!$C$6),AND(التقارير!$C$5="فصلي",Q1846=التقارير!$C$7))),1,0))</f>
        <v/>
      </c>
      <c r="T1846" s="20">
        <f>IF(S1846=1,COUNTIF($S$5:S1846,1),"")</f>
        <v/>
      </c>
      <c r="U1846">
        <f>IF(AND($A1846&lt;&gt;"",$B1846&lt;&gt;"",$R1846='تقرير الفصل الأول'!$C$4,$Q1846='تقرير الفصل الأول'!$C$7),COUNT(U$4:U1845)+1,"")</f>
        <v/>
      </c>
      <c r="V1846">
        <f>IF(AND($A1846&lt;&gt;"",$B1846&lt;&gt;"",$R1846='تقرير الفصل الثاني'!$C$4,$Q1846='تقرير الفصل الثاني'!$C$7),COUNT(V$4:V1845)+1,"")</f>
        <v/>
      </c>
      <c r="W1846">
        <f>IF(AND($A1846&lt;&gt;"",$B1846&lt;&gt;"",$R1846='تقرير سبتمبر'!$C$4,$P1846='تقرير سبتمبر'!$C$6),COUNT(W$4:W1845)+1,"")</f>
        <v/>
      </c>
      <c r="X1846">
        <f>IF(AND($A1846&lt;&gt;"",$B1846&lt;&gt;"",$R1846='تقرير أكتوبر'!$C$4,$P1846='تقرير أكتوبر'!$C$6),COUNT(X$4:X1845)+1,"")</f>
        <v/>
      </c>
      <c r="Y1846">
        <f>IF(AND($A1846&lt;&gt;"",$B1846&lt;&gt;"",$R1846='تقرير نوفمبر'!$C$4,$P1846='تقرير نوفمبر'!$C$6),COUNT(Y$4:Y1845)+1,"")</f>
        <v/>
      </c>
      <c r="Z1846">
        <f>IF(AND($A1846&lt;&gt;"",$B1846&lt;&gt;"",$R1846='تقرير ديسمبر'!$C$4,$P1846='تقرير ديسمبر'!$C$6),COUNT(Z$4:Z1845)+1,"")</f>
        <v/>
      </c>
      <c r="AA1846">
        <f>IF(AND($A1846&lt;&gt;"",$B1846&lt;&gt;"",$R1846='تقرير يناير'!$C$4,$P1846='تقرير يناير'!$C$6),COUNT(AA$4:AA1845)+1,"")</f>
        <v/>
      </c>
      <c r="AB1846">
        <f>IF(AND($A1846&lt;&gt;"",$B1846&lt;&gt;"",$R1846='تقرير فبراير'!$C$4,$P1846='تقرير فبراير'!$C$6),COUNT(AB$4:AB1845)+1,"")</f>
        <v/>
      </c>
      <c r="AC1846">
        <f>IF(AND($A1846&lt;&gt;"",$B1846&lt;&gt;"",$R1846='تقرير مارس'!$C$4,$P1846='تقرير مارس'!$C$6),COUNT(AC$4:AC1845)+1,"")</f>
        <v/>
      </c>
      <c r="AD1846">
        <f>IF(AND($A1846&lt;&gt;"",$B1846&lt;&gt;"",$R1846='تقرير أبريل'!$C$4,$P1846='تقرير أبريل'!$C$6),COUNT(AD$4:AD1845)+1,"")</f>
        <v/>
      </c>
      <c r="AE1846">
        <f>IF(AND($A1846&lt;&gt;"",$B1846&lt;&gt;"",$R1846='تقرير مايو'!$C$4,$P1846='تقرير مايو'!$C$6),COUNT(AE$4:AE1845)+1,"")</f>
        <v/>
      </c>
    </row>
    <row r="1847">
      <c r="A1847" s="16" t="n"/>
      <c r="B1847" s="17" t="n"/>
      <c r="C1847" s="17" t="n"/>
      <c r="D1847" s="18" t="n"/>
      <c r="E1847" s="17" t="n"/>
      <c r="F1847" s="17" t="n"/>
      <c r="G1847" s="19" t="n"/>
      <c r="H1847" s="17" t="n"/>
      <c r="I1847" s="17" t="n"/>
      <c r="J1847" s="17" t="n"/>
      <c r="K1847" s="20">
        <f>IF($B1847="","",IFERROR(INDEX(الموظفات!$A$5:$A$304,MATCH($B1847,الموظفات!$B$5:$B$304,0))&amp;"",""))</f>
        <v/>
      </c>
      <c r="L1847" s="21">
        <f>IF($B1847="","",IFERROR(INDEX(الموظفات!$C$5:$C$304,MATCH($B1847,الموظفات!$B$5:$B$304,0))&amp;"",""))</f>
        <v/>
      </c>
      <c r="M1847" s="20">
        <f>IF($B1847="","",IFERROR(INDEX(الموظفات!$D$5:$D$304,MATCH($B1847,الموظفات!$B$5:$B$304,0))&amp;"",""))</f>
        <v/>
      </c>
      <c r="N1847" s="20">
        <f>IF($B1847="","",IFERROR(INDEX(الموظفات!$E$5:$E$304,MATCH($B1847,الموظفات!$B$5:$B$304,0))&amp;"",""))</f>
        <v/>
      </c>
      <c r="O1847" s="21">
        <f>IF(C1847="","",IFERROR(INDEX(الإعدادات!$D$7:$D$35,MATCH(C1847,الإعدادات!$A$7:$A$35,0))&amp;"",""))</f>
        <v/>
      </c>
      <c r="P1847" s="20">
        <f>IF(A1847="","",INDEX(الإعدادات!$H$7:$H$18,MONTH(A1847)))</f>
        <v/>
      </c>
      <c r="Q1847" s="20">
        <f>IF(A1847="","",INDEX(الإعدادات!$I$7:$I$18,MONTH(A1847)))</f>
        <v/>
      </c>
      <c r="R1847" s="20">
        <f>IF(A1847="","",IF(MONTH(A1847)&gt;=8,YEAR(A1847)&amp;"-"&amp;(YEAR(A1847)+1),(YEAR(A1847)-1)&amp;"-"&amp;YEAR(A1847)))</f>
        <v/>
      </c>
      <c r="S1847" s="20">
        <f>IF(OR(A1847="",B1847=""),0,IF(AND(R1847=التقارير!$C$4,OR(التقارير!$C$5="سنوي",AND(التقارير!$C$5="شهري",P1847=التقارير!$C$6),AND(التقارير!$C$5="فصلي",Q1847=التقارير!$C$7))),1,0))</f>
        <v/>
      </c>
      <c r="T1847" s="20">
        <f>IF(S1847=1,COUNTIF($S$5:S1847,1),"")</f>
        <v/>
      </c>
      <c r="U1847">
        <f>IF(AND($A1847&lt;&gt;"",$B1847&lt;&gt;"",$R1847='تقرير الفصل الأول'!$C$4,$Q1847='تقرير الفصل الأول'!$C$7),COUNT(U$4:U1846)+1,"")</f>
        <v/>
      </c>
      <c r="V1847">
        <f>IF(AND($A1847&lt;&gt;"",$B1847&lt;&gt;"",$R1847='تقرير الفصل الثاني'!$C$4,$Q1847='تقرير الفصل الثاني'!$C$7),COUNT(V$4:V1846)+1,"")</f>
        <v/>
      </c>
      <c r="W1847">
        <f>IF(AND($A1847&lt;&gt;"",$B1847&lt;&gt;"",$R1847='تقرير سبتمبر'!$C$4,$P1847='تقرير سبتمبر'!$C$6),COUNT(W$4:W1846)+1,"")</f>
        <v/>
      </c>
      <c r="X1847">
        <f>IF(AND($A1847&lt;&gt;"",$B1847&lt;&gt;"",$R1847='تقرير أكتوبر'!$C$4,$P1847='تقرير أكتوبر'!$C$6),COUNT(X$4:X1846)+1,"")</f>
        <v/>
      </c>
      <c r="Y1847">
        <f>IF(AND($A1847&lt;&gt;"",$B1847&lt;&gt;"",$R1847='تقرير نوفمبر'!$C$4,$P1847='تقرير نوفمبر'!$C$6),COUNT(Y$4:Y1846)+1,"")</f>
        <v/>
      </c>
      <c r="Z1847">
        <f>IF(AND($A1847&lt;&gt;"",$B1847&lt;&gt;"",$R1847='تقرير ديسمبر'!$C$4,$P1847='تقرير ديسمبر'!$C$6),COUNT(Z$4:Z1846)+1,"")</f>
        <v/>
      </c>
      <c r="AA1847">
        <f>IF(AND($A1847&lt;&gt;"",$B1847&lt;&gt;"",$R1847='تقرير يناير'!$C$4,$P1847='تقرير يناير'!$C$6),COUNT(AA$4:AA1846)+1,"")</f>
        <v/>
      </c>
      <c r="AB1847">
        <f>IF(AND($A1847&lt;&gt;"",$B1847&lt;&gt;"",$R1847='تقرير فبراير'!$C$4,$P1847='تقرير فبراير'!$C$6),COUNT(AB$4:AB1846)+1,"")</f>
        <v/>
      </c>
      <c r="AC1847">
        <f>IF(AND($A1847&lt;&gt;"",$B1847&lt;&gt;"",$R1847='تقرير مارس'!$C$4,$P1847='تقرير مارس'!$C$6),COUNT(AC$4:AC1846)+1,"")</f>
        <v/>
      </c>
      <c r="AD1847">
        <f>IF(AND($A1847&lt;&gt;"",$B1847&lt;&gt;"",$R1847='تقرير أبريل'!$C$4,$P1847='تقرير أبريل'!$C$6),COUNT(AD$4:AD1846)+1,"")</f>
        <v/>
      </c>
      <c r="AE1847">
        <f>IF(AND($A1847&lt;&gt;"",$B1847&lt;&gt;"",$R1847='تقرير مايو'!$C$4,$P1847='تقرير مايو'!$C$6),COUNT(AE$4:AE1846)+1,"")</f>
        <v/>
      </c>
    </row>
    <row r="1848">
      <c r="A1848" s="16" t="n"/>
      <c r="B1848" s="17" t="n"/>
      <c r="C1848" s="17" t="n"/>
      <c r="D1848" s="18" t="n"/>
      <c r="E1848" s="17" t="n"/>
      <c r="F1848" s="17" t="n"/>
      <c r="G1848" s="19" t="n"/>
      <c r="H1848" s="17" t="n"/>
      <c r="I1848" s="17" t="n"/>
      <c r="J1848" s="17" t="n"/>
      <c r="K1848" s="20">
        <f>IF($B1848="","",IFERROR(INDEX(الموظفات!$A$5:$A$304,MATCH($B1848,الموظفات!$B$5:$B$304,0))&amp;"",""))</f>
        <v/>
      </c>
      <c r="L1848" s="21">
        <f>IF($B1848="","",IFERROR(INDEX(الموظفات!$C$5:$C$304,MATCH($B1848,الموظفات!$B$5:$B$304,0))&amp;"",""))</f>
        <v/>
      </c>
      <c r="M1848" s="20">
        <f>IF($B1848="","",IFERROR(INDEX(الموظفات!$D$5:$D$304,MATCH($B1848,الموظفات!$B$5:$B$304,0))&amp;"",""))</f>
        <v/>
      </c>
      <c r="N1848" s="20">
        <f>IF($B1848="","",IFERROR(INDEX(الموظفات!$E$5:$E$304,MATCH($B1848,الموظفات!$B$5:$B$304,0))&amp;"",""))</f>
        <v/>
      </c>
      <c r="O1848" s="21">
        <f>IF(C1848="","",IFERROR(INDEX(الإعدادات!$D$7:$D$35,MATCH(C1848,الإعدادات!$A$7:$A$35,0))&amp;"",""))</f>
        <v/>
      </c>
      <c r="P1848" s="20">
        <f>IF(A1848="","",INDEX(الإعدادات!$H$7:$H$18,MONTH(A1848)))</f>
        <v/>
      </c>
      <c r="Q1848" s="20">
        <f>IF(A1848="","",INDEX(الإعدادات!$I$7:$I$18,MONTH(A1848)))</f>
        <v/>
      </c>
      <c r="R1848" s="20">
        <f>IF(A1848="","",IF(MONTH(A1848)&gt;=8,YEAR(A1848)&amp;"-"&amp;(YEAR(A1848)+1),(YEAR(A1848)-1)&amp;"-"&amp;YEAR(A1848)))</f>
        <v/>
      </c>
      <c r="S1848" s="20">
        <f>IF(OR(A1848="",B1848=""),0,IF(AND(R1848=التقارير!$C$4,OR(التقارير!$C$5="سنوي",AND(التقارير!$C$5="شهري",P1848=التقارير!$C$6),AND(التقارير!$C$5="فصلي",Q1848=التقارير!$C$7))),1,0))</f>
        <v/>
      </c>
      <c r="T1848" s="20">
        <f>IF(S1848=1,COUNTIF($S$5:S1848,1),"")</f>
        <v/>
      </c>
      <c r="U1848">
        <f>IF(AND($A1848&lt;&gt;"",$B1848&lt;&gt;"",$R1848='تقرير الفصل الأول'!$C$4,$Q1848='تقرير الفصل الأول'!$C$7),COUNT(U$4:U1847)+1,"")</f>
        <v/>
      </c>
      <c r="V1848">
        <f>IF(AND($A1848&lt;&gt;"",$B1848&lt;&gt;"",$R1848='تقرير الفصل الثاني'!$C$4,$Q1848='تقرير الفصل الثاني'!$C$7),COUNT(V$4:V1847)+1,"")</f>
        <v/>
      </c>
      <c r="W1848">
        <f>IF(AND($A1848&lt;&gt;"",$B1848&lt;&gt;"",$R1848='تقرير سبتمبر'!$C$4,$P1848='تقرير سبتمبر'!$C$6),COUNT(W$4:W1847)+1,"")</f>
        <v/>
      </c>
      <c r="X1848">
        <f>IF(AND($A1848&lt;&gt;"",$B1848&lt;&gt;"",$R1848='تقرير أكتوبر'!$C$4,$P1848='تقرير أكتوبر'!$C$6),COUNT(X$4:X1847)+1,"")</f>
        <v/>
      </c>
      <c r="Y1848">
        <f>IF(AND($A1848&lt;&gt;"",$B1848&lt;&gt;"",$R1848='تقرير نوفمبر'!$C$4,$P1848='تقرير نوفمبر'!$C$6),COUNT(Y$4:Y1847)+1,"")</f>
        <v/>
      </c>
      <c r="Z1848">
        <f>IF(AND($A1848&lt;&gt;"",$B1848&lt;&gt;"",$R1848='تقرير ديسمبر'!$C$4,$P1848='تقرير ديسمبر'!$C$6),COUNT(Z$4:Z1847)+1,"")</f>
        <v/>
      </c>
      <c r="AA1848">
        <f>IF(AND($A1848&lt;&gt;"",$B1848&lt;&gt;"",$R1848='تقرير يناير'!$C$4,$P1848='تقرير يناير'!$C$6),COUNT(AA$4:AA1847)+1,"")</f>
        <v/>
      </c>
      <c r="AB1848">
        <f>IF(AND($A1848&lt;&gt;"",$B1848&lt;&gt;"",$R1848='تقرير فبراير'!$C$4,$P1848='تقرير فبراير'!$C$6),COUNT(AB$4:AB1847)+1,"")</f>
        <v/>
      </c>
      <c r="AC1848">
        <f>IF(AND($A1848&lt;&gt;"",$B1848&lt;&gt;"",$R1848='تقرير مارس'!$C$4,$P1848='تقرير مارس'!$C$6),COUNT(AC$4:AC1847)+1,"")</f>
        <v/>
      </c>
      <c r="AD1848">
        <f>IF(AND($A1848&lt;&gt;"",$B1848&lt;&gt;"",$R1848='تقرير أبريل'!$C$4,$P1848='تقرير أبريل'!$C$6),COUNT(AD$4:AD1847)+1,"")</f>
        <v/>
      </c>
      <c r="AE1848">
        <f>IF(AND($A1848&lt;&gt;"",$B1848&lt;&gt;"",$R1848='تقرير مايو'!$C$4,$P1848='تقرير مايو'!$C$6),COUNT(AE$4:AE1847)+1,"")</f>
        <v/>
      </c>
    </row>
    <row r="1849">
      <c r="A1849" s="16" t="n"/>
      <c r="B1849" s="17" t="n"/>
      <c r="C1849" s="17" t="n"/>
      <c r="D1849" s="18" t="n"/>
      <c r="E1849" s="17" t="n"/>
      <c r="F1849" s="17" t="n"/>
      <c r="G1849" s="19" t="n"/>
      <c r="H1849" s="17" t="n"/>
      <c r="I1849" s="17" t="n"/>
      <c r="J1849" s="17" t="n"/>
      <c r="K1849" s="20">
        <f>IF($B1849="","",IFERROR(INDEX(الموظفات!$A$5:$A$304,MATCH($B1849,الموظفات!$B$5:$B$304,0))&amp;"",""))</f>
        <v/>
      </c>
      <c r="L1849" s="21">
        <f>IF($B1849="","",IFERROR(INDEX(الموظفات!$C$5:$C$304,MATCH($B1849,الموظفات!$B$5:$B$304,0))&amp;"",""))</f>
        <v/>
      </c>
      <c r="M1849" s="20">
        <f>IF($B1849="","",IFERROR(INDEX(الموظفات!$D$5:$D$304,MATCH($B1849,الموظفات!$B$5:$B$304,0))&amp;"",""))</f>
        <v/>
      </c>
      <c r="N1849" s="20">
        <f>IF($B1849="","",IFERROR(INDEX(الموظفات!$E$5:$E$304,MATCH($B1849,الموظفات!$B$5:$B$304,0))&amp;"",""))</f>
        <v/>
      </c>
      <c r="O1849" s="21">
        <f>IF(C1849="","",IFERROR(INDEX(الإعدادات!$D$7:$D$35,MATCH(C1849,الإعدادات!$A$7:$A$35,0))&amp;"",""))</f>
        <v/>
      </c>
      <c r="P1849" s="20">
        <f>IF(A1849="","",INDEX(الإعدادات!$H$7:$H$18,MONTH(A1849)))</f>
        <v/>
      </c>
      <c r="Q1849" s="20">
        <f>IF(A1849="","",INDEX(الإعدادات!$I$7:$I$18,MONTH(A1849)))</f>
        <v/>
      </c>
      <c r="R1849" s="20">
        <f>IF(A1849="","",IF(MONTH(A1849)&gt;=8,YEAR(A1849)&amp;"-"&amp;(YEAR(A1849)+1),(YEAR(A1849)-1)&amp;"-"&amp;YEAR(A1849)))</f>
        <v/>
      </c>
      <c r="S1849" s="20">
        <f>IF(OR(A1849="",B1849=""),0,IF(AND(R1849=التقارير!$C$4,OR(التقارير!$C$5="سنوي",AND(التقارير!$C$5="شهري",P1849=التقارير!$C$6),AND(التقارير!$C$5="فصلي",Q1849=التقارير!$C$7))),1,0))</f>
        <v/>
      </c>
      <c r="T1849" s="20">
        <f>IF(S1849=1,COUNTIF($S$5:S1849,1),"")</f>
        <v/>
      </c>
      <c r="U1849">
        <f>IF(AND($A1849&lt;&gt;"",$B1849&lt;&gt;"",$R1849='تقرير الفصل الأول'!$C$4,$Q1849='تقرير الفصل الأول'!$C$7),COUNT(U$4:U1848)+1,"")</f>
        <v/>
      </c>
      <c r="V1849">
        <f>IF(AND($A1849&lt;&gt;"",$B1849&lt;&gt;"",$R1849='تقرير الفصل الثاني'!$C$4,$Q1849='تقرير الفصل الثاني'!$C$7),COUNT(V$4:V1848)+1,"")</f>
        <v/>
      </c>
      <c r="W1849">
        <f>IF(AND($A1849&lt;&gt;"",$B1849&lt;&gt;"",$R1849='تقرير سبتمبر'!$C$4,$P1849='تقرير سبتمبر'!$C$6),COUNT(W$4:W1848)+1,"")</f>
        <v/>
      </c>
      <c r="X1849">
        <f>IF(AND($A1849&lt;&gt;"",$B1849&lt;&gt;"",$R1849='تقرير أكتوبر'!$C$4,$P1849='تقرير أكتوبر'!$C$6),COUNT(X$4:X1848)+1,"")</f>
        <v/>
      </c>
      <c r="Y1849">
        <f>IF(AND($A1849&lt;&gt;"",$B1849&lt;&gt;"",$R1849='تقرير نوفمبر'!$C$4,$P1849='تقرير نوفمبر'!$C$6),COUNT(Y$4:Y1848)+1,"")</f>
        <v/>
      </c>
      <c r="Z1849">
        <f>IF(AND($A1849&lt;&gt;"",$B1849&lt;&gt;"",$R1849='تقرير ديسمبر'!$C$4,$P1849='تقرير ديسمبر'!$C$6),COUNT(Z$4:Z1848)+1,"")</f>
        <v/>
      </c>
      <c r="AA1849">
        <f>IF(AND($A1849&lt;&gt;"",$B1849&lt;&gt;"",$R1849='تقرير يناير'!$C$4,$P1849='تقرير يناير'!$C$6),COUNT(AA$4:AA1848)+1,"")</f>
        <v/>
      </c>
      <c r="AB1849">
        <f>IF(AND($A1849&lt;&gt;"",$B1849&lt;&gt;"",$R1849='تقرير فبراير'!$C$4,$P1849='تقرير فبراير'!$C$6),COUNT(AB$4:AB1848)+1,"")</f>
        <v/>
      </c>
      <c r="AC1849">
        <f>IF(AND($A1849&lt;&gt;"",$B1849&lt;&gt;"",$R1849='تقرير مارس'!$C$4,$P1849='تقرير مارس'!$C$6),COUNT(AC$4:AC1848)+1,"")</f>
        <v/>
      </c>
      <c r="AD1849">
        <f>IF(AND($A1849&lt;&gt;"",$B1849&lt;&gt;"",$R1849='تقرير أبريل'!$C$4,$P1849='تقرير أبريل'!$C$6),COUNT(AD$4:AD1848)+1,"")</f>
        <v/>
      </c>
      <c r="AE1849">
        <f>IF(AND($A1849&lt;&gt;"",$B1849&lt;&gt;"",$R1849='تقرير مايو'!$C$4,$P1849='تقرير مايو'!$C$6),COUNT(AE$4:AE1848)+1,"")</f>
        <v/>
      </c>
    </row>
    <row r="1850">
      <c r="A1850" s="16" t="n"/>
      <c r="B1850" s="17" t="n"/>
      <c r="C1850" s="17" t="n"/>
      <c r="D1850" s="18" t="n"/>
      <c r="E1850" s="17" t="n"/>
      <c r="F1850" s="17" t="n"/>
      <c r="G1850" s="19" t="n"/>
      <c r="H1850" s="17" t="n"/>
      <c r="I1850" s="17" t="n"/>
      <c r="J1850" s="17" t="n"/>
      <c r="K1850" s="20">
        <f>IF($B1850="","",IFERROR(INDEX(الموظفات!$A$5:$A$304,MATCH($B1850,الموظفات!$B$5:$B$304,0))&amp;"",""))</f>
        <v/>
      </c>
      <c r="L1850" s="21">
        <f>IF($B1850="","",IFERROR(INDEX(الموظفات!$C$5:$C$304,MATCH($B1850,الموظفات!$B$5:$B$304,0))&amp;"",""))</f>
        <v/>
      </c>
      <c r="M1850" s="20">
        <f>IF($B1850="","",IFERROR(INDEX(الموظفات!$D$5:$D$304,MATCH($B1850,الموظفات!$B$5:$B$304,0))&amp;"",""))</f>
        <v/>
      </c>
      <c r="N1850" s="20">
        <f>IF($B1850="","",IFERROR(INDEX(الموظفات!$E$5:$E$304,MATCH($B1850,الموظفات!$B$5:$B$304,0))&amp;"",""))</f>
        <v/>
      </c>
      <c r="O1850" s="21">
        <f>IF(C1850="","",IFERROR(INDEX(الإعدادات!$D$7:$D$35,MATCH(C1850,الإعدادات!$A$7:$A$35,0))&amp;"",""))</f>
        <v/>
      </c>
      <c r="P1850" s="20">
        <f>IF(A1850="","",INDEX(الإعدادات!$H$7:$H$18,MONTH(A1850)))</f>
        <v/>
      </c>
      <c r="Q1850" s="20">
        <f>IF(A1850="","",INDEX(الإعدادات!$I$7:$I$18,MONTH(A1850)))</f>
        <v/>
      </c>
      <c r="R1850" s="20">
        <f>IF(A1850="","",IF(MONTH(A1850)&gt;=8,YEAR(A1850)&amp;"-"&amp;(YEAR(A1850)+1),(YEAR(A1850)-1)&amp;"-"&amp;YEAR(A1850)))</f>
        <v/>
      </c>
      <c r="S1850" s="20">
        <f>IF(OR(A1850="",B1850=""),0,IF(AND(R1850=التقارير!$C$4,OR(التقارير!$C$5="سنوي",AND(التقارير!$C$5="شهري",P1850=التقارير!$C$6),AND(التقارير!$C$5="فصلي",Q1850=التقارير!$C$7))),1,0))</f>
        <v/>
      </c>
      <c r="T1850" s="20">
        <f>IF(S1850=1,COUNTIF($S$5:S1850,1),"")</f>
        <v/>
      </c>
      <c r="U1850">
        <f>IF(AND($A1850&lt;&gt;"",$B1850&lt;&gt;"",$R1850='تقرير الفصل الأول'!$C$4,$Q1850='تقرير الفصل الأول'!$C$7),COUNT(U$4:U1849)+1,"")</f>
        <v/>
      </c>
      <c r="V1850">
        <f>IF(AND($A1850&lt;&gt;"",$B1850&lt;&gt;"",$R1850='تقرير الفصل الثاني'!$C$4,$Q1850='تقرير الفصل الثاني'!$C$7),COUNT(V$4:V1849)+1,"")</f>
        <v/>
      </c>
      <c r="W1850">
        <f>IF(AND($A1850&lt;&gt;"",$B1850&lt;&gt;"",$R1850='تقرير سبتمبر'!$C$4,$P1850='تقرير سبتمبر'!$C$6),COUNT(W$4:W1849)+1,"")</f>
        <v/>
      </c>
      <c r="X1850">
        <f>IF(AND($A1850&lt;&gt;"",$B1850&lt;&gt;"",$R1850='تقرير أكتوبر'!$C$4,$P1850='تقرير أكتوبر'!$C$6),COUNT(X$4:X1849)+1,"")</f>
        <v/>
      </c>
      <c r="Y1850">
        <f>IF(AND($A1850&lt;&gt;"",$B1850&lt;&gt;"",$R1850='تقرير نوفمبر'!$C$4,$P1850='تقرير نوفمبر'!$C$6),COUNT(Y$4:Y1849)+1,"")</f>
        <v/>
      </c>
      <c r="Z1850">
        <f>IF(AND($A1850&lt;&gt;"",$B1850&lt;&gt;"",$R1850='تقرير ديسمبر'!$C$4,$P1850='تقرير ديسمبر'!$C$6),COUNT(Z$4:Z1849)+1,"")</f>
        <v/>
      </c>
      <c r="AA1850">
        <f>IF(AND($A1850&lt;&gt;"",$B1850&lt;&gt;"",$R1850='تقرير يناير'!$C$4,$P1850='تقرير يناير'!$C$6),COUNT(AA$4:AA1849)+1,"")</f>
        <v/>
      </c>
      <c r="AB1850">
        <f>IF(AND($A1850&lt;&gt;"",$B1850&lt;&gt;"",$R1850='تقرير فبراير'!$C$4,$P1850='تقرير فبراير'!$C$6),COUNT(AB$4:AB1849)+1,"")</f>
        <v/>
      </c>
      <c r="AC1850">
        <f>IF(AND($A1850&lt;&gt;"",$B1850&lt;&gt;"",$R1850='تقرير مارس'!$C$4,$P1850='تقرير مارس'!$C$6),COUNT(AC$4:AC1849)+1,"")</f>
        <v/>
      </c>
      <c r="AD1850">
        <f>IF(AND($A1850&lt;&gt;"",$B1850&lt;&gt;"",$R1850='تقرير أبريل'!$C$4,$P1850='تقرير أبريل'!$C$6),COUNT(AD$4:AD1849)+1,"")</f>
        <v/>
      </c>
      <c r="AE1850">
        <f>IF(AND($A1850&lt;&gt;"",$B1850&lt;&gt;"",$R1850='تقرير مايو'!$C$4,$P1850='تقرير مايو'!$C$6),COUNT(AE$4:AE1849)+1,"")</f>
        <v/>
      </c>
    </row>
    <row r="1851">
      <c r="A1851" s="16" t="n"/>
      <c r="B1851" s="17" t="n"/>
      <c r="C1851" s="17" t="n"/>
      <c r="D1851" s="18" t="n"/>
      <c r="E1851" s="17" t="n"/>
      <c r="F1851" s="17" t="n"/>
      <c r="G1851" s="19" t="n"/>
      <c r="H1851" s="17" t="n"/>
      <c r="I1851" s="17" t="n"/>
      <c r="J1851" s="17" t="n"/>
      <c r="K1851" s="20">
        <f>IF($B1851="","",IFERROR(INDEX(الموظفات!$A$5:$A$304,MATCH($B1851,الموظفات!$B$5:$B$304,0))&amp;"",""))</f>
        <v/>
      </c>
      <c r="L1851" s="21">
        <f>IF($B1851="","",IFERROR(INDEX(الموظفات!$C$5:$C$304,MATCH($B1851,الموظفات!$B$5:$B$304,0))&amp;"",""))</f>
        <v/>
      </c>
      <c r="M1851" s="20">
        <f>IF($B1851="","",IFERROR(INDEX(الموظفات!$D$5:$D$304,MATCH($B1851,الموظفات!$B$5:$B$304,0))&amp;"",""))</f>
        <v/>
      </c>
      <c r="N1851" s="20">
        <f>IF($B1851="","",IFERROR(INDEX(الموظفات!$E$5:$E$304,MATCH($B1851,الموظفات!$B$5:$B$304,0))&amp;"",""))</f>
        <v/>
      </c>
      <c r="O1851" s="21">
        <f>IF(C1851="","",IFERROR(INDEX(الإعدادات!$D$7:$D$35,MATCH(C1851,الإعدادات!$A$7:$A$35,0))&amp;"",""))</f>
        <v/>
      </c>
      <c r="P1851" s="20">
        <f>IF(A1851="","",INDEX(الإعدادات!$H$7:$H$18,MONTH(A1851)))</f>
        <v/>
      </c>
      <c r="Q1851" s="20">
        <f>IF(A1851="","",INDEX(الإعدادات!$I$7:$I$18,MONTH(A1851)))</f>
        <v/>
      </c>
      <c r="R1851" s="20">
        <f>IF(A1851="","",IF(MONTH(A1851)&gt;=8,YEAR(A1851)&amp;"-"&amp;(YEAR(A1851)+1),(YEAR(A1851)-1)&amp;"-"&amp;YEAR(A1851)))</f>
        <v/>
      </c>
      <c r="S1851" s="20">
        <f>IF(OR(A1851="",B1851=""),0,IF(AND(R1851=التقارير!$C$4,OR(التقارير!$C$5="سنوي",AND(التقارير!$C$5="شهري",P1851=التقارير!$C$6),AND(التقارير!$C$5="فصلي",Q1851=التقارير!$C$7))),1,0))</f>
        <v/>
      </c>
      <c r="T1851" s="20">
        <f>IF(S1851=1,COUNTIF($S$5:S1851,1),"")</f>
        <v/>
      </c>
      <c r="U1851">
        <f>IF(AND($A1851&lt;&gt;"",$B1851&lt;&gt;"",$R1851='تقرير الفصل الأول'!$C$4,$Q1851='تقرير الفصل الأول'!$C$7),COUNT(U$4:U1850)+1,"")</f>
        <v/>
      </c>
      <c r="V1851">
        <f>IF(AND($A1851&lt;&gt;"",$B1851&lt;&gt;"",$R1851='تقرير الفصل الثاني'!$C$4,$Q1851='تقرير الفصل الثاني'!$C$7),COUNT(V$4:V1850)+1,"")</f>
        <v/>
      </c>
      <c r="W1851">
        <f>IF(AND($A1851&lt;&gt;"",$B1851&lt;&gt;"",$R1851='تقرير سبتمبر'!$C$4,$P1851='تقرير سبتمبر'!$C$6),COUNT(W$4:W1850)+1,"")</f>
        <v/>
      </c>
      <c r="X1851">
        <f>IF(AND($A1851&lt;&gt;"",$B1851&lt;&gt;"",$R1851='تقرير أكتوبر'!$C$4,$P1851='تقرير أكتوبر'!$C$6),COUNT(X$4:X1850)+1,"")</f>
        <v/>
      </c>
      <c r="Y1851">
        <f>IF(AND($A1851&lt;&gt;"",$B1851&lt;&gt;"",$R1851='تقرير نوفمبر'!$C$4,$P1851='تقرير نوفمبر'!$C$6),COUNT(Y$4:Y1850)+1,"")</f>
        <v/>
      </c>
      <c r="Z1851">
        <f>IF(AND($A1851&lt;&gt;"",$B1851&lt;&gt;"",$R1851='تقرير ديسمبر'!$C$4,$P1851='تقرير ديسمبر'!$C$6),COUNT(Z$4:Z1850)+1,"")</f>
        <v/>
      </c>
      <c r="AA1851">
        <f>IF(AND($A1851&lt;&gt;"",$B1851&lt;&gt;"",$R1851='تقرير يناير'!$C$4,$P1851='تقرير يناير'!$C$6),COUNT(AA$4:AA1850)+1,"")</f>
        <v/>
      </c>
      <c r="AB1851">
        <f>IF(AND($A1851&lt;&gt;"",$B1851&lt;&gt;"",$R1851='تقرير فبراير'!$C$4,$P1851='تقرير فبراير'!$C$6),COUNT(AB$4:AB1850)+1,"")</f>
        <v/>
      </c>
      <c r="AC1851">
        <f>IF(AND($A1851&lt;&gt;"",$B1851&lt;&gt;"",$R1851='تقرير مارس'!$C$4,$P1851='تقرير مارس'!$C$6),COUNT(AC$4:AC1850)+1,"")</f>
        <v/>
      </c>
      <c r="AD1851">
        <f>IF(AND($A1851&lt;&gt;"",$B1851&lt;&gt;"",$R1851='تقرير أبريل'!$C$4,$P1851='تقرير أبريل'!$C$6),COUNT(AD$4:AD1850)+1,"")</f>
        <v/>
      </c>
      <c r="AE1851">
        <f>IF(AND($A1851&lt;&gt;"",$B1851&lt;&gt;"",$R1851='تقرير مايو'!$C$4,$P1851='تقرير مايو'!$C$6),COUNT(AE$4:AE1850)+1,"")</f>
        <v/>
      </c>
    </row>
    <row r="1852">
      <c r="A1852" s="16" t="n"/>
      <c r="B1852" s="17" t="n"/>
      <c r="C1852" s="17" t="n"/>
      <c r="D1852" s="18" t="n"/>
      <c r="E1852" s="17" t="n"/>
      <c r="F1852" s="17" t="n"/>
      <c r="G1852" s="19" t="n"/>
      <c r="H1852" s="17" t="n"/>
      <c r="I1852" s="17" t="n"/>
      <c r="J1852" s="17" t="n"/>
      <c r="K1852" s="20">
        <f>IF($B1852="","",IFERROR(INDEX(الموظفات!$A$5:$A$304,MATCH($B1852,الموظفات!$B$5:$B$304,0))&amp;"",""))</f>
        <v/>
      </c>
      <c r="L1852" s="21">
        <f>IF($B1852="","",IFERROR(INDEX(الموظفات!$C$5:$C$304,MATCH($B1852,الموظفات!$B$5:$B$304,0))&amp;"",""))</f>
        <v/>
      </c>
      <c r="M1852" s="20">
        <f>IF($B1852="","",IFERROR(INDEX(الموظفات!$D$5:$D$304,MATCH($B1852,الموظفات!$B$5:$B$304,0))&amp;"",""))</f>
        <v/>
      </c>
      <c r="N1852" s="20">
        <f>IF($B1852="","",IFERROR(INDEX(الموظفات!$E$5:$E$304,MATCH($B1852,الموظفات!$B$5:$B$304,0))&amp;"",""))</f>
        <v/>
      </c>
      <c r="O1852" s="21">
        <f>IF(C1852="","",IFERROR(INDEX(الإعدادات!$D$7:$D$35,MATCH(C1852,الإعدادات!$A$7:$A$35,0))&amp;"",""))</f>
        <v/>
      </c>
      <c r="P1852" s="20">
        <f>IF(A1852="","",INDEX(الإعدادات!$H$7:$H$18,MONTH(A1852)))</f>
        <v/>
      </c>
      <c r="Q1852" s="20">
        <f>IF(A1852="","",INDEX(الإعدادات!$I$7:$I$18,MONTH(A1852)))</f>
        <v/>
      </c>
      <c r="R1852" s="20">
        <f>IF(A1852="","",IF(MONTH(A1852)&gt;=8,YEAR(A1852)&amp;"-"&amp;(YEAR(A1852)+1),(YEAR(A1852)-1)&amp;"-"&amp;YEAR(A1852)))</f>
        <v/>
      </c>
      <c r="S1852" s="20">
        <f>IF(OR(A1852="",B1852=""),0,IF(AND(R1852=التقارير!$C$4,OR(التقارير!$C$5="سنوي",AND(التقارير!$C$5="شهري",P1852=التقارير!$C$6),AND(التقارير!$C$5="فصلي",Q1852=التقارير!$C$7))),1,0))</f>
        <v/>
      </c>
      <c r="T1852" s="20">
        <f>IF(S1852=1,COUNTIF($S$5:S1852,1),"")</f>
        <v/>
      </c>
      <c r="U1852">
        <f>IF(AND($A1852&lt;&gt;"",$B1852&lt;&gt;"",$R1852='تقرير الفصل الأول'!$C$4,$Q1852='تقرير الفصل الأول'!$C$7),COUNT(U$4:U1851)+1,"")</f>
        <v/>
      </c>
      <c r="V1852">
        <f>IF(AND($A1852&lt;&gt;"",$B1852&lt;&gt;"",$R1852='تقرير الفصل الثاني'!$C$4,$Q1852='تقرير الفصل الثاني'!$C$7),COUNT(V$4:V1851)+1,"")</f>
        <v/>
      </c>
      <c r="W1852">
        <f>IF(AND($A1852&lt;&gt;"",$B1852&lt;&gt;"",$R1852='تقرير سبتمبر'!$C$4,$P1852='تقرير سبتمبر'!$C$6),COUNT(W$4:W1851)+1,"")</f>
        <v/>
      </c>
      <c r="X1852">
        <f>IF(AND($A1852&lt;&gt;"",$B1852&lt;&gt;"",$R1852='تقرير أكتوبر'!$C$4,$P1852='تقرير أكتوبر'!$C$6),COUNT(X$4:X1851)+1,"")</f>
        <v/>
      </c>
      <c r="Y1852">
        <f>IF(AND($A1852&lt;&gt;"",$B1852&lt;&gt;"",$R1852='تقرير نوفمبر'!$C$4,$P1852='تقرير نوفمبر'!$C$6),COUNT(Y$4:Y1851)+1,"")</f>
        <v/>
      </c>
      <c r="Z1852">
        <f>IF(AND($A1852&lt;&gt;"",$B1852&lt;&gt;"",$R1852='تقرير ديسمبر'!$C$4,$P1852='تقرير ديسمبر'!$C$6),COUNT(Z$4:Z1851)+1,"")</f>
        <v/>
      </c>
      <c r="AA1852">
        <f>IF(AND($A1852&lt;&gt;"",$B1852&lt;&gt;"",$R1852='تقرير يناير'!$C$4,$P1852='تقرير يناير'!$C$6),COUNT(AA$4:AA1851)+1,"")</f>
        <v/>
      </c>
      <c r="AB1852">
        <f>IF(AND($A1852&lt;&gt;"",$B1852&lt;&gt;"",$R1852='تقرير فبراير'!$C$4,$P1852='تقرير فبراير'!$C$6),COUNT(AB$4:AB1851)+1,"")</f>
        <v/>
      </c>
      <c r="AC1852">
        <f>IF(AND($A1852&lt;&gt;"",$B1852&lt;&gt;"",$R1852='تقرير مارس'!$C$4,$P1852='تقرير مارس'!$C$6),COUNT(AC$4:AC1851)+1,"")</f>
        <v/>
      </c>
      <c r="AD1852">
        <f>IF(AND($A1852&lt;&gt;"",$B1852&lt;&gt;"",$R1852='تقرير أبريل'!$C$4,$P1852='تقرير أبريل'!$C$6),COUNT(AD$4:AD1851)+1,"")</f>
        <v/>
      </c>
      <c r="AE1852">
        <f>IF(AND($A1852&lt;&gt;"",$B1852&lt;&gt;"",$R1852='تقرير مايو'!$C$4,$P1852='تقرير مايو'!$C$6),COUNT(AE$4:AE1851)+1,"")</f>
        <v/>
      </c>
    </row>
    <row r="1853">
      <c r="A1853" s="16" t="n"/>
      <c r="B1853" s="17" t="n"/>
      <c r="C1853" s="17" t="n"/>
      <c r="D1853" s="18" t="n"/>
      <c r="E1853" s="17" t="n"/>
      <c r="F1853" s="17" t="n"/>
      <c r="G1853" s="19" t="n"/>
      <c r="H1853" s="17" t="n"/>
      <c r="I1853" s="17" t="n"/>
      <c r="J1853" s="17" t="n"/>
      <c r="K1853" s="20">
        <f>IF($B1853="","",IFERROR(INDEX(الموظفات!$A$5:$A$304,MATCH($B1853,الموظفات!$B$5:$B$304,0))&amp;"",""))</f>
        <v/>
      </c>
      <c r="L1853" s="21">
        <f>IF($B1853="","",IFERROR(INDEX(الموظفات!$C$5:$C$304,MATCH($B1853,الموظفات!$B$5:$B$304,0))&amp;"",""))</f>
        <v/>
      </c>
      <c r="M1853" s="20">
        <f>IF($B1853="","",IFERROR(INDEX(الموظفات!$D$5:$D$304,MATCH($B1853,الموظفات!$B$5:$B$304,0))&amp;"",""))</f>
        <v/>
      </c>
      <c r="N1853" s="20">
        <f>IF($B1853="","",IFERROR(INDEX(الموظفات!$E$5:$E$304,MATCH($B1853,الموظفات!$B$5:$B$304,0))&amp;"",""))</f>
        <v/>
      </c>
      <c r="O1853" s="21">
        <f>IF(C1853="","",IFERROR(INDEX(الإعدادات!$D$7:$D$35,MATCH(C1853,الإعدادات!$A$7:$A$35,0))&amp;"",""))</f>
        <v/>
      </c>
      <c r="P1853" s="20">
        <f>IF(A1853="","",INDEX(الإعدادات!$H$7:$H$18,MONTH(A1853)))</f>
        <v/>
      </c>
      <c r="Q1853" s="20">
        <f>IF(A1853="","",INDEX(الإعدادات!$I$7:$I$18,MONTH(A1853)))</f>
        <v/>
      </c>
      <c r="R1853" s="20">
        <f>IF(A1853="","",IF(MONTH(A1853)&gt;=8,YEAR(A1853)&amp;"-"&amp;(YEAR(A1853)+1),(YEAR(A1853)-1)&amp;"-"&amp;YEAR(A1853)))</f>
        <v/>
      </c>
      <c r="S1853" s="20">
        <f>IF(OR(A1853="",B1853=""),0,IF(AND(R1853=التقارير!$C$4,OR(التقارير!$C$5="سنوي",AND(التقارير!$C$5="شهري",P1853=التقارير!$C$6),AND(التقارير!$C$5="فصلي",Q1853=التقارير!$C$7))),1,0))</f>
        <v/>
      </c>
      <c r="T1853" s="20">
        <f>IF(S1853=1,COUNTIF($S$5:S1853,1),"")</f>
        <v/>
      </c>
      <c r="U1853">
        <f>IF(AND($A1853&lt;&gt;"",$B1853&lt;&gt;"",$R1853='تقرير الفصل الأول'!$C$4,$Q1853='تقرير الفصل الأول'!$C$7),COUNT(U$4:U1852)+1,"")</f>
        <v/>
      </c>
      <c r="V1853">
        <f>IF(AND($A1853&lt;&gt;"",$B1853&lt;&gt;"",$R1853='تقرير الفصل الثاني'!$C$4,$Q1853='تقرير الفصل الثاني'!$C$7),COUNT(V$4:V1852)+1,"")</f>
        <v/>
      </c>
      <c r="W1853">
        <f>IF(AND($A1853&lt;&gt;"",$B1853&lt;&gt;"",$R1853='تقرير سبتمبر'!$C$4,$P1853='تقرير سبتمبر'!$C$6),COUNT(W$4:W1852)+1,"")</f>
        <v/>
      </c>
      <c r="X1853">
        <f>IF(AND($A1853&lt;&gt;"",$B1853&lt;&gt;"",$R1853='تقرير أكتوبر'!$C$4,$P1853='تقرير أكتوبر'!$C$6),COUNT(X$4:X1852)+1,"")</f>
        <v/>
      </c>
      <c r="Y1853">
        <f>IF(AND($A1853&lt;&gt;"",$B1853&lt;&gt;"",$R1853='تقرير نوفمبر'!$C$4,$P1853='تقرير نوفمبر'!$C$6),COUNT(Y$4:Y1852)+1,"")</f>
        <v/>
      </c>
      <c r="Z1853">
        <f>IF(AND($A1853&lt;&gt;"",$B1853&lt;&gt;"",$R1853='تقرير ديسمبر'!$C$4,$P1853='تقرير ديسمبر'!$C$6),COUNT(Z$4:Z1852)+1,"")</f>
        <v/>
      </c>
      <c r="AA1853">
        <f>IF(AND($A1853&lt;&gt;"",$B1853&lt;&gt;"",$R1853='تقرير يناير'!$C$4,$P1853='تقرير يناير'!$C$6),COUNT(AA$4:AA1852)+1,"")</f>
        <v/>
      </c>
      <c r="AB1853">
        <f>IF(AND($A1853&lt;&gt;"",$B1853&lt;&gt;"",$R1853='تقرير فبراير'!$C$4,$P1853='تقرير فبراير'!$C$6),COUNT(AB$4:AB1852)+1,"")</f>
        <v/>
      </c>
      <c r="AC1853">
        <f>IF(AND($A1853&lt;&gt;"",$B1853&lt;&gt;"",$R1853='تقرير مارس'!$C$4,$P1853='تقرير مارس'!$C$6),COUNT(AC$4:AC1852)+1,"")</f>
        <v/>
      </c>
      <c r="AD1853">
        <f>IF(AND($A1853&lt;&gt;"",$B1853&lt;&gt;"",$R1853='تقرير أبريل'!$C$4,$P1853='تقرير أبريل'!$C$6),COUNT(AD$4:AD1852)+1,"")</f>
        <v/>
      </c>
      <c r="AE1853">
        <f>IF(AND($A1853&lt;&gt;"",$B1853&lt;&gt;"",$R1853='تقرير مايو'!$C$4,$P1853='تقرير مايو'!$C$6),COUNT(AE$4:AE1852)+1,"")</f>
        <v/>
      </c>
    </row>
    <row r="1854">
      <c r="A1854" s="16" t="n"/>
      <c r="B1854" s="17" t="n"/>
      <c r="C1854" s="17" t="n"/>
      <c r="D1854" s="18" t="n"/>
      <c r="E1854" s="17" t="n"/>
      <c r="F1854" s="17" t="n"/>
      <c r="G1854" s="19" t="n"/>
      <c r="H1854" s="17" t="n"/>
      <c r="I1854" s="17" t="n"/>
      <c r="J1854" s="17" t="n"/>
      <c r="K1854" s="20">
        <f>IF($B1854="","",IFERROR(INDEX(الموظفات!$A$5:$A$304,MATCH($B1854,الموظفات!$B$5:$B$304,0))&amp;"",""))</f>
        <v/>
      </c>
      <c r="L1854" s="21">
        <f>IF($B1854="","",IFERROR(INDEX(الموظفات!$C$5:$C$304,MATCH($B1854,الموظفات!$B$5:$B$304,0))&amp;"",""))</f>
        <v/>
      </c>
      <c r="M1854" s="20">
        <f>IF($B1854="","",IFERROR(INDEX(الموظفات!$D$5:$D$304,MATCH($B1854,الموظفات!$B$5:$B$304,0))&amp;"",""))</f>
        <v/>
      </c>
      <c r="N1854" s="20">
        <f>IF($B1854="","",IFERROR(INDEX(الموظفات!$E$5:$E$304,MATCH($B1854,الموظفات!$B$5:$B$304,0))&amp;"",""))</f>
        <v/>
      </c>
      <c r="O1854" s="21">
        <f>IF(C1854="","",IFERROR(INDEX(الإعدادات!$D$7:$D$35,MATCH(C1854,الإعدادات!$A$7:$A$35,0))&amp;"",""))</f>
        <v/>
      </c>
      <c r="P1854" s="20">
        <f>IF(A1854="","",INDEX(الإعدادات!$H$7:$H$18,MONTH(A1854)))</f>
        <v/>
      </c>
      <c r="Q1854" s="20">
        <f>IF(A1854="","",INDEX(الإعدادات!$I$7:$I$18,MONTH(A1854)))</f>
        <v/>
      </c>
      <c r="R1854" s="20">
        <f>IF(A1854="","",IF(MONTH(A1854)&gt;=8,YEAR(A1854)&amp;"-"&amp;(YEAR(A1854)+1),(YEAR(A1854)-1)&amp;"-"&amp;YEAR(A1854)))</f>
        <v/>
      </c>
      <c r="S1854" s="20">
        <f>IF(OR(A1854="",B1854=""),0,IF(AND(R1854=التقارير!$C$4,OR(التقارير!$C$5="سنوي",AND(التقارير!$C$5="شهري",P1854=التقارير!$C$6),AND(التقارير!$C$5="فصلي",Q1854=التقارير!$C$7))),1,0))</f>
        <v/>
      </c>
      <c r="T1854" s="20">
        <f>IF(S1854=1,COUNTIF($S$5:S1854,1),"")</f>
        <v/>
      </c>
      <c r="U1854">
        <f>IF(AND($A1854&lt;&gt;"",$B1854&lt;&gt;"",$R1854='تقرير الفصل الأول'!$C$4,$Q1854='تقرير الفصل الأول'!$C$7),COUNT(U$4:U1853)+1,"")</f>
        <v/>
      </c>
      <c r="V1854">
        <f>IF(AND($A1854&lt;&gt;"",$B1854&lt;&gt;"",$R1854='تقرير الفصل الثاني'!$C$4,$Q1854='تقرير الفصل الثاني'!$C$7),COUNT(V$4:V1853)+1,"")</f>
        <v/>
      </c>
      <c r="W1854">
        <f>IF(AND($A1854&lt;&gt;"",$B1854&lt;&gt;"",$R1854='تقرير سبتمبر'!$C$4,$P1854='تقرير سبتمبر'!$C$6),COUNT(W$4:W1853)+1,"")</f>
        <v/>
      </c>
      <c r="X1854">
        <f>IF(AND($A1854&lt;&gt;"",$B1854&lt;&gt;"",$R1854='تقرير أكتوبر'!$C$4,$P1854='تقرير أكتوبر'!$C$6),COUNT(X$4:X1853)+1,"")</f>
        <v/>
      </c>
      <c r="Y1854">
        <f>IF(AND($A1854&lt;&gt;"",$B1854&lt;&gt;"",$R1854='تقرير نوفمبر'!$C$4,$P1854='تقرير نوفمبر'!$C$6),COUNT(Y$4:Y1853)+1,"")</f>
        <v/>
      </c>
      <c r="Z1854">
        <f>IF(AND($A1854&lt;&gt;"",$B1854&lt;&gt;"",$R1854='تقرير ديسمبر'!$C$4,$P1854='تقرير ديسمبر'!$C$6),COUNT(Z$4:Z1853)+1,"")</f>
        <v/>
      </c>
      <c r="AA1854">
        <f>IF(AND($A1854&lt;&gt;"",$B1854&lt;&gt;"",$R1854='تقرير يناير'!$C$4,$P1854='تقرير يناير'!$C$6),COUNT(AA$4:AA1853)+1,"")</f>
        <v/>
      </c>
      <c r="AB1854">
        <f>IF(AND($A1854&lt;&gt;"",$B1854&lt;&gt;"",$R1854='تقرير فبراير'!$C$4,$P1854='تقرير فبراير'!$C$6),COUNT(AB$4:AB1853)+1,"")</f>
        <v/>
      </c>
      <c r="AC1854">
        <f>IF(AND($A1854&lt;&gt;"",$B1854&lt;&gt;"",$R1854='تقرير مارس'!$C$4,$P1854='تقرير مارس'!$C$6),COUNT(AC$4:AC1853)+1,"")</f>
        <v/>
      </c>
      <c r="AD1854">
        <f>IF(AND($A1854&lt;&gt;"",$B1854&lt;&gt;"",$R1854='تقرير أبريل'!$C$4,$P1854='تقرير أبريل'!$C$6),COUNT(AD$4:AD1853)+1,"")</f>
        <v/>
      </c>
      <c r="AE1854">
        <f>IF(AND($A1854&lt;&gt;"",$B1854&lt;&gt;"",$R1854='تقرير مايو'!$C$4,$P1854='تقرير مايو'!$C$6),COUNT(AE$4:AE1853)+1,"")</f>
        <v/>
      </c>
    </row>
    <row r="1855">
      <c r="A1855" s="16" t="n"/>
      <c r="B1855" s="17" t="n"/>
      <c r="C1855" s="17" t="n"/>
      <c r="D1855" s="18" t="n"/>
      <c r="E1855" s="17" t="n"/>
      <c r="F1855" s="17" t="n"/>
      <c r="G1855" s="19" t="n"/>
      <c r="H1855" s="17" t="n"/>
      <c r="I1855" s="17" t="n"/>
      <c r="J1855" s="17" t="n"/>
      <c r="K1855" s="20">
        <f>IF($B1855="","",IFERROR(INDEX(الموظفات!$A$5:$A$304,MATCH($B1855,الموظفات!$B$5:$B$304,0))&amp;"",""))</f>
        <v/>
      </c>
      <c r="L1855" s="21">
        <f>IF($B1855="","",IFERROR(INDEX(الموظفات!$C$5:$C$304,MATCH($B1855,الموظفات!$B$5:$B$304,0))&amp;"",""))</f>
        <v/>
      </c>
      <c r="M1855" s="20">
        <f>IF($B1855="","",IFERROR(INDEX(الموظفات!$D$5:$D$304,MATCH($B1855,الموظفات!$B$5:$B$304,0))&amp;"",""))</f>
        <v/>
      </c>
      <c r="N1855" s="20">
        <f>IF($B1855="","",IFERROR(INDEX(الموظفات!$E$5:$E$304,MATCH($B1855,الموظفات!$B$5:$B$304,0))&amp;"",""))</f>
        <v/>
      </c>
      <c r="O1855" s="21">
        <f>IF(C1855="","",IFERROR(INDEX(الإعدادات!$D$7:$D$35,MATCH(C1855,الإعدادات!$A$7:$A$35,0))&amp;"",""))</f>
        <v/>
      </c>
      <c r="P1855" s="20">
        <f>IF(A1855="","",INDEX(الإعدادات!$H$7:$H$18,MONTH(A1855)))</f>
        <v/>
      </c>
      <c r="Q1855" s="20">
        <f>IF(A1855="","",INDEX(الإعدادات!$I$7:$I$18,MONTH(A1855)))</f>
        <v/>
      </c>
      <c r="R1855" s="20">
        <f>IF(A1855="","",IF(MONTH(A1855)&gt;=8,YEAR(A1855)&amp;"-"&amp;(YEAR(A1855)+1),(YEAR(A1855)-1)&amp;"-"&amp;YEAR(A1855)))</f>
        <v/>
      </c>
      <c r="S1855" s="20">
        <f>IF(OR(A1855="",B1855=""),0,IF(AND(R1855=التقارير!$C$4,OR(التقارير!$C$5="سنوي",AND(التقارير!$C$5="شهري",P1855=التقارير!$C$6),AND(التقارير!$C$5="فصلي",Q1855=التقارير!$C$7))),1,0))</f>
        <v/>
      </c>
      <c r="T1855" s="20">
        <f>IF(S1855=1,COUNTIF($S$5:S1855,1),"")</f>
        <v/>
      </c>
      <c r="U1855">
        <f>IF(AND($A1855&lt;&gt;"",$B1855&lt;&gt;"",$R1855='تقرير الفصل الأول'!$C$4,$Q1855='تقرير الفصل الأول'!$C$7),COUNT(U$4:U1854)+1,"")</f>
        <v/>
      </c>
      <c r="V1855">
        <f>IF(AND($A1855&lt;&gt;"",$B1855&lt;&gt;"",$R1855='تقرير الفصل الثاني'!$C$4,$Q1855='تقرير الفصل الثاني'!$C$7),COUNT(V$4:V1854)+1,"")</f>
        <v/>
      </c>
      <c r="W1855">
        <f>IF(AND($A1855&lt;&gt;"",$B1855&lt;&gt;"",$R1855='تقرير سبتمبر'!$C$4,$P1855='تقرير سبتمبر'!$C$6),COUNT(W$4:W1854)+1,"")</f>
        <v/>
      </c>
      <c r="X1855">
        <f>IF(AND($A1855&lt;&gt;"",$B1855&lt;&gt;"",$R1855='تقرير أكتوبر'!$C$4,$P1855='تقرير أكتوبر'!$C$6),COUNT(X$4:X1854)+1,"")</f>
        <v/>
      </c>
      <c r="Y1855">
        <f>IF(AND($A1855&lt;&gt;"",$B1855&lt;&gt;"",$R1855='تقرير نوفمبر'!$C$4,$P1855='تقرير نوفمبر'!$C$6),COUNT(Y$4:Y1854)+1,"")</f>
        <v/>
      </c>
      <c r="Z1855">
        <f>IF(AND($A1855&lt;&gt;"",$B1855&lt;&gt;"",$R1855='تقرير ديسمبر'!$C$4,$P1855='تقرير ديسمبر'!$C$6),COUNT(Z$4:Z1854)+1,"")</f>
        <v/>
      </c>
      <c r="AA1855">
        <f>IF(AND($A1855&lt;&gt;"",$B1855&lt;&gt;"",$R1855='تقرير يناير'!$C$4,$P1855='تقرير يناير'!$C$6),COUNT(AA$4:AA1854)+1,"")</f>
        <v/>
      </c>
      <c r="AB1855">
        <f>IF(AND($A1855&lt;&gt;"",$B1855&lt;&gt;"",$R1855='تقرير فبراير'!$C$4,$P1855='تقرير فبراير'!$C$6),COUNT(AB$4:AB1854)+1,"")</f>
        <v/>
      </c>
      <c r="AC1855">
        <f>IF(AND($A1855&lt;&gt;"",$B1855&lt;&gt;"",$R1855='تقرير مارس'!$C$4,$P1855='تقرير مارس'!$C$6),COUNT(AC$4:AC1854)+1,"")</f>
        <v/>
      </c>
      <c r="AD1855">
        <f>IF(AND($A1855&lt;&gt;"",$B1855&lt;&gt;"",$R1855='تقرير أبريل'!$C$4,$P1855='تقرير أبريل'!$C$6),COUNT(AD$4:AD1854)+1,"")</f>
        <v/>
      </c>
      <c r="AE1855">
        <f>IF(AND($A1855&lt;&gt;"",$B1855&lt;&gt;"",$R1855='تقرير مايو'!$C$4,$P1855='تقرير مايو'!$C$6),COUNT(AE$4:AE1854)+1,"")</f>
        <v/>
      </c>
    </row>
    <row r="1856">
      <c r="A1856" s="16" t="n"/>
      <c r="B1856" s="17" t="n"/>
      <c r="C1856" s="17" t="n"/>
      <c r="D1856" s="18" t="n"/>
      <c r="E1856" s="17" t="n"/>
      <c r="F1856" s="17" t="n"/>
      <c r="G1856" s="19" t="n"/>
      <c r="H1856" s="17" t="n"/>
      <c r="I1856" s="17" t="n"/>
      <c r="J1856" s="17" t="n"/>
      <c r="K1856" s="20">
        <f>IF($B1856="","",IFERROR(INDEX(الموظفات!$A$5:$A$304,MATCH($B1856,الموظفات!$B$5:$B$304,0))&amp;"",""))</f>
        <v/>
      </c>
      <c r="L1856" s="21">
        <f>IF($B1856="","",IFERROR(INDEX(الموظفات!$C$5:$C$304,MATCH($B1856,الموظفات!$B$5:$B$304,0))&amp;"",""))</f>
        <v/>
      </c>
      <c r="M1856" s="20">
        <f>IF($B1856="","",IFERROR(INDEX(الموظفات!$D$5:$D$304,MATCH($B1856,الموظفات!$B$5:$B$304,0))&amp;"",""))</f>
        <v/>
      </c>
      <c r="N1856" s="20">
        <f>IF($B1856="","",IFERROR(INDEX(الموظفات!$E$5:$E$304,MATCH($B1856,الموظفات!$B$5:$B$304,0))&amp;"",""))</f>
        <v/>
      </c>
      <c r="O1856" s="21">
        <f>IF(C1856="","",IFERROR(INDEX(الإعدادات!$D$7:$D$35,MATCH(C1856,الإعدادات!$A$7:$A$35,0))&amp;"",""))</f>
        <v/>
      </c>
      <c r="P1856" s="20">
        <f>IF(A1856="","",INDEX(الإعدادات!$H$7:$H$18,MONTH(A1856)))</f>
        <v/>
      </c>
      <c r="Q1856" s="20">
        <f>IF(A1856="","",INDEX(الإعدادات!$I$7:$I$18,MONTH(A1856)))</f>
        <v/>
      </c>
      <c r="R1856" s="20">
        <f>IF(A1856="","",IF(MONTH(A1856)&gt;=8,YEAR(A1856)&amp;"-"&amp;(YEAR(A1856)+1),(YEAR(A1856)-1)&amp;"-"&amp;YEAR(A1856)))</f>
        <v/>
      </c>
      <c r="S1856" s="20">
        <f>IF(OR(A1856="",B1856=""),0,IF(AND(R1856=التقارير!$C$4,OR(التقارير!$C$5="سنوي",AND(التقارير!$C$5="شهري",P1856=التقارير!$C$6),AND(التقارير!$C$5="فصلي",Q1856=التقارير!$C$7))),1,0))</f>
        <v/>
      </c>
      <c r="T1856" s="20">
        <f>IF(S1856=1,COUNTIF($S$5:S1856,1),"")</f>
        <v/>
      </c>
      <c r="U1856">
        <f>IF(AND($A1856&lt;&gt;"",$B1856&lt;&gt;"",$R1856='تقرير الفصل الأول'!$C$4,$Q1856='تقرير الفصل الأول'!$C$7),COUNT(U$4:U1855)+1,"")</f>
        <v/>
      </c>
      <c r="V1856">
        <f>IF(AND($A1856&lt;&gt;"",$B1856&lt;&gt;"",$R1856='تقرير الفصل الثاني'!$C$4,$Q1856='تقرير الفصل الثاني'!$C$7),COUNT(V$4:V1855)+1,"")</f>
        <v/>
      </c>
      <c r="W1856">
        <f>IF(AND($A1856&lt;&gt;"",$B1856&lt;&gt;"",$R1856='تقرير سبتمبر'!$C$4,$P1856='تقرير سبتمبر'!$C$6),COUNT(W$4:W1855)+1,"")</f>
        <v/>
      </c>
      <c r="X1856">
        <f>IF(AND($A1856&lt;&gt;"",$B1856&lt;&gt;"",$R1856='تقرير أكتوبر'!$C$4,$P1856='تقرير أكتوبر'!$C$6),COUNT(X$4:X1855)+1,"")</f>
        <v/>
      </c>
      <c r="Y1856">
        <f>IF(AND($A1856&lt;&gt;"",$B1856&lt;&gt;"",$R1856='تقرير نوفمبر'!$C$4,$P1856='تقرير نوفمبر'!$C$6),COUNT(Y$4:Y1855)+1,"")</f>
        <v/>
      </c>
      <c r="Z1856">
        <f>IF(AND($A1856&lt;&gt;"",$B1856&lt;&gt;"",$R1856='تقرير ديسمبر'!$C$4,$P1856='تقرير ديسمبر'!$C$6),COUNT(Z$4:Z1855)+1,"")</f>
        <v/>
      </c>
      <c r="AA1856">
        <f>IF(AND($A1856&lt;&gt;"",$B1856&lt;&gt;"",$R1856='تقرير يناير'!$C$4,$P1856='تقرير يناير'!$C$6),COUNT(AA$4:AA1855)+1,"")</f>
        <v/>
      </c>
      <c r="AB1856">
        <f>IF(AND($A1856&lt;&gt;"",$B1856&lt;&gt;"",$R1856='تقرير فبراير'!$C$4,$P1856='تقرير فبراير'!$C$6),COUNT(AB$4:AB1855)+1,"")</f>
        <v/>
      </c>
      <c r="AC1856">
        <f>IF(AND($A1856&lt;&gt;"",$B1856&lt;&gt;"",$R1856='تقرير مارس'!$C$4,$P1856='تقرير مارس'!$C$6),COUNT(AC$4:AC1855)+1,"")</f>
        <v/>
      </c>
      <c r="AD1856">
        <f>IF(AND($A1856&lt;&gt;"",$B1856&lt;&gt;"",$R1856='تقرير أبريل'!$C$4,$P1856='تقرير أبريل'!$C$6),COUNT(AD$4:AD1855)+1,"")</f>
        <v/>
      </c>
      <c r="AE1856">
        <f>IF(AND($A1856&lt;&gt;"",$B1856&lt;&gt;"",$R1856='تقرير مايو'!$C$4,$P1856='تقرير مايو'!$C$6),COUNT(AE$4:AE1855)+1,"")</f>
        <v/>
      </c>
    </row>
    <row r="1857">
      <c r="A1857" s="16" t="n"/>
      <c r="B1857" s="17" t="n"/>
      <c r="C1857" s="17" t="n"/>
      <c r="D1857" s="18" t="n"/>
      <c r="E1857" s="17" t="n"/>
      <c r="F1857" s="17" t="n"/>
      <c r="G1857" s="19" t="n"/>
      <c r="H1857" s="17" t="n"/>
      <c r="I1857" s="17" t="n"/>
      <c r="J1857" s="17" t="n"/>
      <c r="K1857" s="20">
        <f>IF($B1857="","",IFERROR(INDEX(الموظفات!$A$5:$A$304,MATCH($B1857,الموظفات!$B$5:$B$304,0))&amp;"",""))</f>
        <v/>
      </c>
      <c r="L1857" s="21">
        <f>IF($B1857="","",IFERROR(INDEX(الموظفات!$C$5:$C$304,MATCH($B1857,الموظفات!$B$5:$B$304,0))&amp;"",""))</f>
        <v/>
      </c>
      <c r="M1857" s="20">
        <f>IF($B1857="","",IFERROR(INDEX(الموظفات!$D$5:$D$304,MATCH($B1857,الموظفات!$B$5:$B$304,0))&amp;"",""))</f>
        <v/>
      </c>
      <c r="N1857" s="20">
        <f>IF($B1857="","",IFERROR(INDEX(الموظفات!$E$5:$E$304,MATCH($B1857,الموظفات!$B$5:$B$304,0))&amp;"",""))</f>
        <v/>
      </c>
      <c r="O1857" s="21">
        <f>IF(C1857="","",IFERROR(INDEX(الإعدادات!$D$7:$D$35,MATCH(C1857,الإعدادات!$A$7:$A$35,0))&amp;"",""))</f>
        <v/>
      </c>
      <c r="P1857" s="20">
        <f>IF(A1857="","",INDEX(الإعدادات!$H$7:$H$18,MONTH(A1857)))</f>
        <v/>
      </c>
      <c r="Q1857" s="20">
        <f>IF(A1857="","",INDEX(الإعدادات!$I$7:$I$18,MONTH(A1857)))</f>
        <v/>
      </c>
      <c r="R1857" s="20">
        <f>IF(A1857="","",IF(MONTH(A1857)&gt;=8,YEAR(A1857)&amp;"-"&amp;(YEAR(A1857)+1),(YEAR(A1857)-1)&amp;"-"&amp;YEAR(A1857)))</f>
        <v/>
      </c>
      <c r="S1857" s="20">
        <f>IF(OR(A1857="",B1857=""),0,IF(AND(R1857=التقارير!$C$4,OR(التقارير!$C$5="سنوي",AND(التقارير!$C$5="شهري",P1857=التقارير!$C$6),AND(التقارير!$C$5="فصلي",Q1857=التقارير!$C$7))),1,0))</f>
        <v/>
      </c>
      <c r="T1857" s="20">
        <f>IF(S1857=1,COUNTIF($S$5:S1857,1),"")</f>
        <v/>
      </c>
      <c r="U1857">
        <f>IF(AND($A1857&lt;&gt;"",$B1857&lt;&gt;"",$R1857='تقرير الفصل الأول'!$C$4,$Q1857='تقرير الفصل الأول'!$C$7),COUNT(U$4:U1856)+1,"")</f>
        <v/>
      </c>
      <c r="V1857">
        <f>IF(AND($A1857&lt;&gt;"",$B1857&lt;&gt;"",$R1857='تقرير الفصل الثاني'!$C$4,$Q1857='تقرير الفصل الثاني'!$C$7),COUNT(V$4:V1856)+1,"")</f>
        <v/>
      </c>
      <c r="W1857">
        <f>IF(AND($A1857&lt;&gt;"",$B1857&lt;&gt;"",$R1857='تقرير سبتمبر'!$C$4,$P1857='تقرير سبتمبر'!$C$6),COUNT(W$4:W1856)+1,"")</f>
        <v/>
      </c>
      <c r="X1857">
        <f>IF(AND($A1857&lt;&gt;"",$B1857&lt;&gt;"",$R1857='تقرير أكتوبر'!$C$4,$P1857='تقرير أكتوبر'!$C$6),COUNT(X$4:X1856)+1,"")</f>
        <v/>
      </c>
      <c r="Y1857">
        <f>IF(AND($A1857&lt;&gt;"",$B1857&lt;&gt;"",$R1857='تقرير نوفمبر'!$C$4,$P1857='تقرير نوفمبر'!$C$6),COUNT(Y$4:Y1856)+1,"")</f>
        <v/>
      </c>
      <c r="Z1857">
        <f>IF(AND($A1857&lt;&gt;"",$B1857&lt;&gt;"",$R1857='تقرير ديسمبر'!$C$4,$P1857='تقرير ديسمبر'!$C$6),COUNT(Z$4:Z1856)+1,"")</f>
        <v/>
      </c>
      <c r="AA1857">
        <f>IF(AND($A1857&lt;&gt;"",$B1857&lt;&gt;"",$R1857='تقرير يناير'!$C$4,$P1857='تقرير يناير'!$C$6),COUNT(AA$4:AA1856)+1,"")</f>
        <v/>
      </c>
      <c r="AB1857">
        <f>IF(AND($A1857&lt;&gt;"",$B1857&lt;&gt;"",$R1857='تقرير فبراير'!$C$4,$P1857='تقرير فبراير'!$C$6),COUNT(AB$4:AB1856)+1,"")</f>
        <v/>
      </c>
      <c r="AC1857">
        <f>IF(AND($A1857&lt;&gt;"",$B1857&lt;&gt;"",$R1857='تقرير مارس'!$C$4,$P1857='تقرير مارس'!$C$6),COUNT(AC$4:AC1856)+1,"")</f>
        <v/>
      </c>
      <c r="AD1857">
        <f>IF(AND($A1857&lt;&gt;"",$B1857&lt;&gt;"",$R1857='تقرير أبريل'!$C$4,$P1857='تقرير أبريل'!$C$6),COUNT(AD$4:AD1856)+1,"")</f>
        <v/>
      </c>
      <c r="AE1857">
        <f>IF(AND($A1857&lt;&gt;"",$B1857&lt;&gt;"",$R1857='تقرير مايو'!$C$4,$P1857='تقرير مايو'!$C$6),COUNT(AE$4:AE1856)+1,"")</f>
        <v/>
      </c>
    </row>
    <row r="1858">
      <c r="A1858" s="16" t="n"/>
      <c r="B1858" s="17" t="n"/>
      <c r="C1858" s="17" t="n"/>
      <c r="D1858" s="18" t="n"/>
      <c r="E1858" s="17" t="n"/>
      <c r="F1858" s="17" t="n"/>
      <c r="G1858" s="19" t="n"/>
      <c r="H1858" s="17" t="n"/>
      <c r="I1858" s="17" t="n"/>
      <c r="J1858" s="17" t="n"/>
      <c r="K1858" s="20">
        <f>IF($B1858="","",IFERROR(INDEX(الموظفات!$A$5:$A$304,MATCH($B1858,الموظفات!$B$5:$B$304,0))&amp;"",""))</f>
        <v/>
      </c>
      <c r="L1858" s="21">
        <f>IF($B1858="","",IFERROR(INDEX(الموظفات!$C$5:$C$304,MATCH($B1858,الموظفات!$B$5:$B$304,0))&amp;"",""))</f>
        <v/>
      </c>
      <c r="M1858" s="20">
        <f>IF($B1858="","",IFERROR(INDEX(الموظفات!$D$5:$D$304,MATCH($B1858,الموظفات!$B$5:$B$304,0))&amp;"",""))</f>
        <v/>
      </c>
      <c r="N1858" s="20">
        <f>IF($B1858="","",IFERROR(INDEX(الموظفات!$E$5:$E$304,MATCH($B1858,الموظفات!$B$5:$B$304,0))&amp;"",""))</f>
        <v/>
      </c>
      <c r="O1858" s="21">
        <f>IF(C1858="","",IFERROR(INDEX(الإعدادات!$D$7:$D$35,MATCH(C1858,الإعدادات!$A$7:$A$35,0))&amp;"",""))</f>
        <v/>
      </c>
      <c r="P1858" s="20">
        <f>IF(A1858="","",INDEX(الإعدادات!$H$7:$H$18,MONTH(A1858)))</f>
        <v/>
      </c>
      <c r="Q1858" s="20">
        <f>IF(A1858="","",INDEX(الإعدادات!$I$7:$I$18,MONTH(A1858)))</f>
        <v/>
      </c>
      <c r="R1858" s="20">
        <f>IF(A1858="","",IF(MONTH(A1858)&gt;=8,YEAR(A1858)&amp;"-"&amp;(YEAR(A1858)+1),(YEAR(A1858)-1)&amp;"-"&amp;YEAR(A1858)))</f>
        <v/>
      </c>
      <c r="S1858" s="20">
        <f>IF(OR(A1858="",B1858=""),0,IF(AND(R1858=التقارير!$C$4,OR(التقارير!$C$5="سنوي",AND(التقارير!$C$5="شهري",P1858=التقارير!$C$6),AND(التقارير!$C$5="فصلي",Q1858=التقارير!$C$7))),1,0))</f>
        <v/>
      </c>
      <c r="T1858" s="20">
        <f>IF(S1858=1,COUNTIF($S$5:S1858,1),"")</f>
        <v/>
      </c>
      <c r="U1858">
        <f>IF(AND($A1858&lt;&gt;"",$B1858&lt;&gt;"",$R1858='تقرير الفصل الأول'!$C$4,$Q1858='تقرير الفصل الأول'!$C$7),COUNT(U$4:U1857)+1,"")</f>
        <v/>
      </c>
      <c r="V1858">
        <f>IF(AND($A1858&lt;&gt;"",$B1858&lt;&gt;"",$R1858='تقرير الفصل الثاني'!$C$4,$Q1858='تقرير الفصل الثاني'!$C$7),COUNT(V$4:V1857)+1,"")</f>
        <v/>
      </c>
      <c r="W1858">
        <f>IF(AND($A1858&lt;&gt;"",$B1858&lt;&gt;"",$R1858='تقرير سبتمبر'!$C$4,$P1858='تقرير سبتمبر'!$C$6),COUNT(W$4:W1857)+1,"")</f>
        <v/>
      </c>
      <c r="X1858">
        <f>IF(AND($A1858&lt;&gt;"",$B1858&lt;&gt;"",$R1858='تقرير أكتوبر'!$C$4,$P1858='تقرير أكتوبر'!$C$6),COUNT(X$4:X1857)+1,"")</f>
        <v/>
      </c>
      <c r="Y1858">
        <f>IF(AND($A1858&lt;&gt;"",$B1858&lt;&gt;"",$R1858='تقرير نوفمبر'!$C$4,$P1858='تقرير نوفمبر'!$C$6),COUNT(Y$4:Y1857)+1,"")</f>
        <v/>
      </c>
      <c r="Z1858">
        <f>IF(AND($A1858&lt;&gt;"",$B1858&lt;&gt;"",$R1858='تقرير ديسمبر'!$C$4,$P1858='تقرير ديسمبر'!$C$6),COUNT(Z$4:Z1857)+1,"")</f>
        <v/>
      </c>
      <c r="AA1858">
        <f>IF(AND($A1858&lt;&gt;"",$B1858&lt;&gt;"",$R1858='تقرير يناير'!$C$4,$P1858='تقرير يناير'!$C$6),COUNT(AA$4:AA1857)+1,"")</f>
        <v/>
      </c>
      <c r="AB1858">
        <f>IF(AND($A1858&lt;&gt;"",$B1858&lt;&gt;"",$R1858='تقرير فبراير'!$C$4,$P1858='تقرير فبراير'!$C$6),COUNT(AB$4:AB1857)+1,"")</f>
        <v/>
      </c>
      <c r="AC1858">
        <f>IF(AND($A1858&lt;&gt;"",$B1858&lt;&gt;"",$R1858='تقرير مارس'!$C$4,$P1858='تقرير مارس'!$C$6),COUNT(AC$4:AC1857)+1,"")</f>
        <v/>
      </c>
      <c r="AD1858">
        <f>IF(AND($A1858&lt;&gt;"",$B1858&lt;&gt;"",$R1858='تقرير أبريل'!$C$4,$P1858='تقرير أبريل'!$C$6),COUNT(AD$4:AD1857)+1,"")</f>
        <v/>
      </c>
      <c r="AE1858">
        <f>IF(AND($A1858&lt;&gt;"",$B1858&lt;&gt;"",$R1858='تقرير مايو'!$C$4,$P1858='تقرير مايو'!$C$6),COUNT(AE$4:AE1857)+1,"")</f>
        <v/>
      </c>
    </row>
    <row r="1859">
      <c r="A1859" s="16" t="n"/>
      <c r="B1859" s="17" t="n"/>
      <c r="C1859" s="17" t="n"/>
      <c r="D1859" s="18" t="n"/>
      <c r="E1859" s="17" t="n"/>
      <c r="F1859" s="17" t="n"/>
      <c r="G1859" s="19" t="n"/>
      <c r="H1859" s="17" t="n"/>
      <c r="I1859" s="17" t="n"/>
      <c r="J1859" s="17" t="n"/>
      <c r="K1859" s="20">
        <f>IF($B1859="","",IFERROR(INDEX(الموظفات!$A$5:$A$304,MATCH($B1859,الموظفات!$B$5:$B$304,0))&amp;"",""))</f>
        <v/>
      </c>
      <c r="L1859" s="21">
        <f>IF($B1859="","",IFERROR(INDEX(الموظفات!$C$5:$C$304,MATCH($B1859,الموظفات!$B$5:$B$304,0))&amp;"",""))</f>
        <v/>
      </c>
      <c r="M1859" s="20">
        <f>IF($B1859="","",IFERROR(INDEX(الموظفات!$D$5:$D$304,MATCH($B1859,الموظفات!$B$5:$B$304,0))&amp;"",""))</f>
        <v/>
      </c>
      <c r="N1859" s="20">
        <f>IF($B1859="","",IFERROR(INDEX(الموظفات!$E$5:$E$304,MATCH($B1859,الموظفات!$B$5:$B$304,0))&amp;"",""))</f>
        <v/>
      </c>
      <c r="O1859" s="21">
        <f>IF(C1859="","",IFERROR(INDEX(الإعدادات!$D$7:$D$35,MATCH(C1859,الإعدادات!$A$7:$A$35,0))&amp;"",""))</f>
        <v/>
      </c>
      <c r="P1859" s="20">
        <f>IF(A1859="","",INDEX(الإعدادات!$H$7:$H$18,MONTH(A1859)))</f>
        <v/>
      </c>
      <c r="Q1859" s="20">
        <f>IF(A1859="","",INDEX(الإعدادات!$I$7:$I$18,MONTH(A1859)))</f>
        <v/>
      </c>
      <c r="R1859" s="20">
        <f>IF(A1859="","",IF(MONTH(A1859)&gt;=8,YEAR(A1859)&amp;"-"&amp;(YEAR(A1859)+1),(YEAR(A1859)-1)&amp;"-"&amp;YEAR(A1859)))</f>
        <v/>
      </c>
      <c r="S1859" s="20">
        <f>IF(OR(A1859="",B1859=""),0,IF(AND(R1859=التقارير!$C$4,OR(التقارير!$C$5="سنوي",AND(التقارير!$C$5="شهري",P1859=التقارير!$C$6),AND(التقارير!$C$5="فصلي",Q1859=التقارير!$C$7))),1,0))</f>
        <v/>
      </c>
      <c r="T1859" s="20">
        <f>IF(S1859=1,COUNTIF($S$5:S1859,1),"")</f>
        <v/>
      </c>
      <c r="U1859">
        <f>IF(AND($A1859&lt;&gt;"",$B1859&lt;&gt;"",$R1859='تقرير الفصل الأول'!$C$4,$Q1859='تقرير الفصل الأول'!$C$7),COUNT(U$4:U1858)+1,"")</f>
        <v/>
      </c>
      <c r="V1859">
        <f>IF(AND($A1859&lt;&gt;"",$B1859&lt;&gt;"",$R1859='تقرير الفصل الثاني'!$C$4,$Q1859='تقرير الفصل الثاني'!$C$7),COUNT(V$4:V1858)+1,"")</f>
        <v/>
      </c>
      <c r="W1859">
        <f>IF(AND($A1859&lt;&gt;"",$B1859&lt;&gt;"",$R1859='تقرير سبتمبر'!$C$4,$P1859='تقرير سبتمبر'!$C$6),COUNT(W$4:W1858)+1,"")</f>
        <v/>
      </c>
      <c r="X1859">
        <f>IF(AND($A1859&lt;&gt;"",$B1859&lt;&gt;"",$R1859='تقرير أكتوبر'!$C$4,$P1859='تقرير أكتوبر'!$C$6),COUNT(X$4:X1858)+1,"")</f>
        <v/>
      </c>
      <c r="Y1859">
        <f>IF(AND($A1859&lt;&gt;"",$B1859&lt;&gt;"",$R1859='تقرير نوفمبر'!$C$4,$P1859='تقرير نوفمبر'!$C$6),COUNT(Y$4:Y1858)+1,"")</f>
        <v/>
      </c>
      <c r="Z1859">
        <f>IF(AND($A1859&lt;&gt;"",$B1859&lt;&gt;"",$R1859='تقرير ديسمبر'!$C$4,$P1859='تقرير ديسمبر'!$C$6),COUNT(Z$4:Z1858)+1,"")</f>
        <v/>
      </c>
      <c r="AA1859">
        <f>IF(AND($A1859&lt;&gt;"",$B1859&lt;&gt;"",$R1859='تقرير يناير'!$C$4,$P1859='تقرير يناير'!$C$6),COUNT(AA$4:AA1858)+1,"")</f>
        <v/>
      </c>
      <c r="AB1859">
        <f>IF(AND($A1859&lt;&gt;"",$B1859&lt;&gt;"",$R1859='تقرير فبراير'!$C$4,$P1859='تقرير فبراير'!$C$6),COUNT(AB$4:AB1858)+1,"")</f>
        <v/>
      </c>
      <c r="AC1859">
        <f>IF(AND($A1859&lt;&gt;"",$B1859&lt;&gt;"",$R1859='تقرير مارس'!$C$4,$P1859='تقرير مارس'!$C$6),COUNT(AC$4:AC1858)+1,"")</f>
        <v/>
      </c>
      <c r="AD1859">
        <f>IF(AND($A1859&lt;&gt;"",$B1859&lt;&gt;"",$R1859='تقرير أبريل'!$C$4,$P1859='تقرير أبريل'!$C$6),COUNT(AD$4:AD1858)+1,"")</f>
        <v/>
      </c>
      <c r="AE1859">
        <f>IF(AND($A1859&lt;&gt;"",$B1859&lt;&gt;"",$R1859='تقرير مايو'!$C$4,$P1859='تقرير مايو'!$C$6),COUNT(AE$4:AE1858)+1,"")</f>
        <v/>
      </c>
    </row>
    <row r="1860">
      <c r="A1860" s="16" t="n"/>
      <c r="B1860" s="17" t="n"/>
      <c r="C1860" s="17" t="n"/>
      <c r="D1860" s="18" t="n"/>
      <c r="E1860" s="17" t="n"/>
      <c r="F1860" s="17" t="n"/>
      <c r="G1860" s="19" t="n"/>
      <c r="H1860" s="17" t="n"/>
      <c r="I1860" s="17" t="n"/>
      <c r="J1860" s="17" t="n"/>
      <c r="K1860" s="20">
        <f>IF($B1860="","",IFERROR(INDEX(الموظفات!$A$5:$A$304,MATCH($B1860,الموظفات!$B$5:$B$304,0))&amp;"",""))</f>
        <v/>
      </c>
      <c r="L1860" s="21">
        <f>IF($B1860="","",IFERROR(INDEX(الموظفات!$C$5:$C$304,MATCH($B1860,الموظفات!$B$5:$B$304,0))&amp;"",""))</f>
        <v/>
      </c>
      <c r="M1860" s="20">
        <f>IF($B1860="","",IFERROR(INDEX(الموظفات!$D$5:$D$304,MATCH($B1860,الموظفات!$B$5:$B$304,0))&amp;"",""))</f>
        <v/>
      </c>
      <c r="N1860" s="20">
        <f>IF($B1860="","",IFERROR(INDEX(الموظفات!$E$5:$E$304,MATCH($B1860,الموظفات!$B$5:$B$304,0))&amp;"",""))</f>
        <v/>
      </c>
      <c r="O1860" s="21">
        <f>IF(C1860="","",IFERROR(INDEX(الإعدادات!$D$7:$D$35,MATCH(C1860,الإعدادات!$A$7:$A$35,0))&amp;"",""))</f>
        <v/>
      </c>
      <c r="P1860" s="20">
        <f>IF(A1860="","",INDEX(الإعدادات!$H$7:$H$18,MONTH(A1860)))</f>
        <v/>
      </c>
      <c r="Q1860" s="20">
        <f>IF(A1860="","",INDEX(الإعدادات!$I$7:$I$18,MONTH(A1860)))</f>
        <v/>
      </c>
      <c r="R1860" s="20">
        <f>IF(A1860="","",IF(MONTH(A1860)&gt;=8,YEAR(A1860)&amp;"-"&amp;(YEAR(A1860)+1),(YEAR(A1860)-1)&amp;"-"&amp;YEAR(A1860)))</f>
        <v/>
      </c>
      <c r="S1860" s="20">
        <f>IF(OR(A1860="",B1860=""),0,IF(AND(R1860=التقارير!$C$4,OR(التقارير!$C$5="سنوي",AND(التقارير!$C$5="شهري",P1860=التقارير!$C$6),AND(التقارير!$C$5="فصلي",Q1860=التقارير!$C$7))),1,0))</f>
        <v/>
      </c>
      <c r="T1860" s="20">
        <f>IF(S1860=1,COUNTIF($S$5:S1860,1),"")</f>
        <v/>
      </c>
      <c r="U1860">
        <f>IF(AND($A1860&lt;&gt;"",$B1860&lt;&gt;"",$R1860='تقرير الفصل الأول'!$C$4,$Q1860='تقرير الفصل الأول'!$C$7),COUNT(U$4:U1859)+1,"")</f>
        <v/>
      </c>
      <c r="V1860">
        <f>IF(AND($A1860&lt;&gt;"",$B1860&lt;&gt;"",$R1860='تقرير الفصل الثاني'!$C$4,$Q1860='تقرير الفصل الثاني'!$C$7),COUNT(V$4:V1859)+1,"")</f>
        <v/>
      </c>
      <c r="W1860">
        <f>IF(AND($A1860&lt;&gt;"",$B1860&lt;&gt;"",$R1860='تقرير سبتمبر'!$C$4,$P1860='تقرير سبتمبر'!$C$6),COUNT(W$4:W1859)+1,"")</f>
        <v/>
      </c>
      <c r="X1860">
        <f>IF(AND($A1860&lt;&gt;"",$B1860&lt;&gt;"",$R1860='تقرير أكتوبر'!$C$4,$P1860='تقرير أكتوبر'!$C$6),COUNT(X$4:X1859)+1,"")</f>
        <v/>
      </c>
      <c r="Y1860">
        <f>IF(AND($A1860&lt;&gt;"",$B1860&lt;&gt;"",$R1860='تقرير نوفمبر'!$C$4,$P1860='تقرير نوفمبر'!$C$6),COUNT(Y$4:Y1859)+1,"")</f>
        <v/>
      </c>
      <c r="Z1860">
        <f>IF(AND($A1860&lt;&gt;"",$B1860&lt;&gt;"",$R1860='تقرير ديسمبر'!$C$4,$P1860='تقرير ديسمبر'!$C$6),COUNT(Z$4:Z1859)+1,"")</f>
        <v/>
      </c>
      <c r="AA1860">
        <f>IF(AND($A1860&lt;&gt;"",$B1860&lt;&gt;"",$R1860='تقرير يناير'!$C$4,$P1860='تقرير يناير'!$C$6),COUNT(AA$4:AA1859)+1,"")</f>
        <v/>
      </c>
      <c r="AB1860">
        <f>IF(AND($A1860&lt;&gt;"",$B1860&lt;&gt;"",$R1860='تقرير فبراير'!$C$4,$P1860='تقرير فبراير'!$C$6),COUNT(AB$4:AB1859)+1,"")</f>
        <v/>
      </c>
      <c r="AC1860">
        <f>IF(AND($A1860&lt;&gt;"",$B1860&lt;&gt;"",$R1860='تقرير مارس'!$C$4,$P1860='تقرير مارس'!$C$6),COUNT(AC$4:AC1859)+1,"")</f>
        <v/>
      </c>
      <c r="AD1860">
        <f>IF(AND($A1860&lt;&gt;"",$B1860&lt;&gt;"",$R1860='تقرير أبريل'!$C$4,$P1860='تقرير أبريل'!$C$6),COUNT(AD$4:AD1859)+1,"")</f>
        <v/>
      </c>
      <c r="AE1860">
        <f>IF(AND($A1860&lt;&gt;"",$B1860&lt;&gt;"",$R1860='تقرير مايو'!$C$4,$P1860='تقرير مايو'!$C$6),COUNT(AE$4:AE1859)+1,"")</f>
        <v/>
      </c>
    </row>
    <row r="1861">
      <c r="A1861" s="16" t="n"/>
      <c r="B1861" s="17" t="n"/>
      <c r="C1861" s="17" t="n"/>
      <c r="D1861" s="18" t="n"/>
      <c r="E1861" s="17" t="n"/>
      <c r="F1861" s="17" t="n"/>
      <c r="G1861" s="19" t="n"/>
      <c r="H1861" s="17" t="n"/>
      <c r="I1861" s="17" t="n"/>
      <c r="J1861" s="17" t="n"/>
      <c r="K1861" s="20">
        <f>IF($B1861="","",IFERROR(INDEX(الموظفات!$A$5:$A$304,MATCH($B1861,الموظفات!$B$5:$B$304,0))&amp;"",""))</f>
        <v/>
      </c>
      <c r="L1861" s="21">
        <f>IF($B1861="","",IFERROR(INDEX(الموظفات!$C$5:$C$304,MATCH($B1861,الموظفات!$B$5:$B$304,0))&amp;"",""))</f>
        <v/>
      </c>
      <c r="M1861" s="20">
        <f>IF($B1861="","",IFERROR(INDEX(الموظفات!$D$5:$D$304,MATCH($B1861,الموظفات!$B$5:$B$304,0))&amp;"",""))</f>
        <v/>
      </c>
      <c r="N1861" s="20">
        <f>IF($B1861="","",IFERROR(INDEX(الموظفات!$E$5:$E$304,MATCH($B1861,الموظفات!$B$5:$B$304,0))&amp;"",""))</f>
        <v/>
      </c>
      <c r="O1861" s="21">
        <f>IF(C1861="","",IFERROR(INDEX(الإعدادات!$D$7:$D$35,MATCH(C1861,الإعدادات!$A$7:$A$35,0))&amp;"",""))</f>
        <v/>
      </c>
      <c r="P1861" s="20">
        <f>IF(A1861="","",INDEX(الإعدادات!$H$7:$H$18,MONTH(A1861)))</f>
        <v/>
      </c>
      <c r="Q1861" s="20">
        <f>IF(A1861="","",INDEX(الإعدادات!$I$7:$I$18,MONTH(A1861)))</f>
        <v/>
      </c>
      <c r="R1861" s="20">
        <f>IF(A1861="","",IF(MONTH(A1861)&gt;=8,YEAR(A1861)&amp;"-"&amp;(YEAR(A1861)+1),(YEAR(A1861)-1)&amp;"-"&amp;YEAR(A1861)))</f>
        <v/>
      </c>
      <c r="S1861" s="20">
        <f>IF(OR(A1861="",B1861=""),0,IF(AND(R1861=التقارير!$C$4,OR(التقارير!$C$5="سنوي",AND(التقارير!$C$5="شهري",P1861=التقارير!$C$6),AND(التقارير!$C$5="فصلي",Q1861=التقارير!$C$7))),1,0))</f>
        <v/>
      </c>
      <c r="T1861" s="20">
        <f>IF(S1861=1,COUNTIF($S$5:S1861,1),"")</f>
        <v/>
      </c>
      <c r="U1861">
        <f>IF(AND($A1861&lt;&gt;"",$B1861&lt;&gt;"",$R1861='تقرير الفصل الأول'!$C$4,$Q1861='تقرير الفصل الأول'!$C$7),COUNT(U$4:U1860)+1,"")</f>
        <v/>
      </c>
      <c r="V1861">
        <f>IF(AND($A1861&lt;&gt;"",$B1861&lt;&gt;"",$R1861='تقرير الفصل الثاني'!$C$4,$Q1861='تقرير الفصل الثاني'!$C$7),COUNT(V$4:V1860)+1,"")</f>
        <v/>
      </c>
      <c r="W1861">
        <f>IF(AND($A1861&lt;&gt;"",$B1861&lt;&gt;"",$R1861='تقرير سبتمبر'!$C$4,$P1861='تقرير سبتمبر'!$C$6),COUNT(W$4:W1860)+1,"")</f>
        <v/>
      </c>
      <c r="X1861">
        <f>IF(AND($A1861&lt;&gt;"",$B1861&lt;&gt;"",$R1861='تقرير أكتوبر'!$C$4,$P1861='تقرير أكتوبر'!$C$6),COUNT(X$4:X1860)+1,"")</f>
        <v/>
      </c>
      <c r="Y1861">
        <f>IF(AND($A1861&lt;&gt;"",$B1861&lt;&gt;"",$R1861='تقرير نوفمبر'!$C$4,$P1861='تقرير نوفمبر'!$C$6),COUNT(Y$4:Y1860)+1,"")</f>
        <v/>
      </c>
      <c r="Z1861">
        <f>IF(AND($A1861&lt;&gt;"",$B1861&lt;&gt;"",$R1861='تقرير ديسمبر'!$C$4,$P1861='تقرير ديسمبر'!$C$6),COUNT(Z$4:Z1860)+1,"")</f>
        <v/>
      </c>
      <c r="AA1861">
        <f>IF(AND($A1861&lt;&gt;"",$B1861&lt;&gt;"",$R1861='تقرير يناير'!$C$4,$P1861='تقرير يناير'!$C$6),COUNT(AA$4:AA1860)+1,"")</f>
        <v/>
      </c>
      <c r="AB1861">
        <f>IF(AND($A1861&lt;&gt;"",$B1861&lt;&gt;"",$R1861='تقرير فبراير'!$C$4,$P1861='تقرير فبراير'!$C$6),COUNT(AB$4:AB1860)+1,"")</f>
        <v/>
      </c>
      <c r="AC1861">
        <f>IF(AND($A1861&lt;&gt;"",$B1861&lt;&gt;"",$R1861='تقرير مارس'!$C$4,$P1861='تقرير مارس'!$C$6),COUNT(AC$4:AC1860)+1,"")</f>
        <v/>
      </c>
      <c r="AD1861">
        <f>IF(AND($A1861&lt;&gt;"",$B1861&lt;&gt;"",$R1861='تقرير أبريل'!$C$4,$P1861='تقرير أبريل'!$C$6),COUNT(AD$4:AD1860)+1,"")</f>
        <v/>
      </c>
      <c r="AE1861">
        <f>IF(AND($A1861&lt;&gt;"",$B1861&lt;&gt;"",$R1861='تقرير مايو'!$C$4,$P1861='تقرير مايو'!$C$6),COUNT(AE$4:AE1860)+1,"")</f>
        <v/>
      </c>
    </row>
    <row r="1862">
      <c r="A1862" s="16" t="n"/>
      <c r="B1862" s="17" t="n"/>
      <c r="C1862" s="17" t="n"/>
      <c r="D1862" s="18" t="n"/>
      <c r="E1862" s="17" t="n"/>
      <c r="F1862" s="17" t="n"/>
      <c r="G1862" s="19" t="n"/>
      <c r="H1862" s="17" t="n"/>
      <c r="I1862" s="17" t="n"/>
      <c r="J1862" s="17" t="n"/>
      <c r="K1862" s="20">
        <f>IF($B1862="","",IFERROR(INDEX(الموظفات!$A$5:$A$304,MATCH($B1862,الموظفات!$B$5:$B$304,0))&amp;"",""))</f>
        <v/>
      </c>
      <c r="L1862" s="21">
        <f>IF($B1862="","",IFERROR(INDEX(الموظفات!$C$5:$C$304,MATCH($B1862,الموظفات!$B$5:$B$304,0))&amp;"",""))</f>
        <v/>
      </c>
      <c r="M1862" s="20">
        <f>IF($B1862="","",IFERROR(INDEX(الموظفات!$D$5:$D$304,MATCH($B1862,الموظفات!$B$5:$B$304,0))&amp;"",""))</f>
        <v/>
      </c>
      <c r="N1862" s="20">
        <f>IF($B1862="","",IFERROR(INDEX(الموظفات!$E$5:$E$304,MATCH($B1862,الموظفات!$B$5:$B$304,0))&amp;"",""))</f>
        <v/>
      </c>
      <c r="O1862" s="21">
        <f>IF(C1862="","",IFERROR(INDEX(الإعدادات!$D$7:$D$35,MATCH(C1862,الإعدادات!$A$7:$A$35,0))&amp;"",""))</f>
        <v/>
      </c>
      <c r="P1862" s="20">
        <f>IF(A1862="","",INDEX(الإعدادات!$H$7:$H$18,MONTH(A1862)))</f>
        <v/>
      </c>
      <c r="Q1862" s="20">
        <f>IF(A1862="","",INDEX(الإعدادات!$I$7:$I$18,MONTH(A1862)))</f>
        <v/>
      </c>
      <c r="R1862" s="20">
        <f>IF(A1862="","",IF(MONTH(A1862)&gt;=8,YEAR(A1862)&amp;"-"&amp;(YEAR(A1862)+1),(YEAR(A1862)-1)&amp;"-"&amp;YEAR(A1862)))</f>
        <v/>
      </c>
      <c r="S1862" s="20">
        <f>IF(OR(A1862="",B1862=""),0,IF(AND(R1862=التقارير!$C$4,OR(التقارير!$C$5="سنوي",AND(التقارير!$C$5="شهري",P1862=التقارير!$C$6),AND(التقارير!$C$5="فصلي",Q1862=التقارير!$C$7))),1,0))</f>
        <v/>
      </c>
      <c r="T1862" s="20">
        <f>IF(S1862=1,COUNTIF($S$5:S1862,1),"")</f>
        <v/>
      </c>
      <c r="U1862">
        <f>IF(AND($A1862&lt;&gt;"",$B1862&lt;&gt;"",$R1862='تقرير الفصل الأول'!$C$4,$Q1862='تقرير الفصل الأول'!$C$7),COUNT(U$4:U1861)+1,"")</f>
        <v/>
      </c>
      <c r="V1862">
        <f>IF(AND($A1862&lt;&gt;"",$B1862&lt;&gt;"",$R1862='تقرير الفصل الثاني'!$C$4,$Q1862='تقرير الفصل الثاني'!$C$7),COUNT(V$4:V1861)+1,"")</f>
        <v/>
      </c>
      <c r="W1862">
        <f>IF(AND($A1862&lt;&gt;"",$B1862&lt;&gt;"",$R1862='تقرير سبتمبر'!$C$4,$P1862='تقرير سبتمبر'!$C$6),COUNT(W$4:W1861)+1,"")</f>
        <v/>
      </c>
      <c r="X1862">
        <f>IF(AND($A1862&lt;&gt;"",$B1862&lt;&gt;"",$R1862='تقرير أكتوبر'!$C$4,$P1862='تقرير أكتوبر'!$C$6),COUNT(X$4:X1861)+1,"")</f>
        <v/>
      </c>
      <c r="Y1862">
        <f>IF(AND($A1862&lt;&gt;"",$B1862&lt;&gt;"",$R1862='تقرير نوفمبر'!$C$4,$P1862='تقرير نوفمبر'!$C$6),COUNT(Y$4:Y1861)+1,"")</f>
        <v/>
      </c>
      <c r="Z1862">
        <f>IF(AND($A1862&lt;&gt;"",$B1862&lt;&gt;"",$R1862='تقرير ديسمبر'!$C$4,$P1862='تقرير ديسمبر'!$C$6),COUNT(Z$4:Z1861)+1,"")</f>
        <v/>
      </c>
      <c r="AA1862">
        <f>IF(AND($A1862&lt;&gt;"",$B1862&lt;&gt;"",$R1862='تقرير يناير'!$C$4,$P1862='تقرير يناير'!$C$6),COUNT(AA$4:AA1861)+1,"")</f>
        <v/>
      </c>
      <c r="AB1862">
        <f>IF(AND($A1862&lt;&gt;"",$B1862&lt;&gt;"",$R1862='تقرير فبراير'!$C$4,$P1862='تقرير فبراير'!$C$6),COUNT(AB$4:AB1861)+1,"")</f>
        <v/>
      </c>
      <c r="AC1862">
        <f>IF(AND($A1862&lt;&gt;"",$B1862&lt;&gt;"",$R1862='تقرير مارس'!$C$4,$P1862='تقرير مارس'!$C$6),COUNT(AC$4:AC1861)+1,"")</f>
        <v/>
      </c>
      <c r="AD1862">
        <f>IF(AND($A1862&lt;&gt;"",$B1862&lt;&gt;"",$R1862='تقرير أبريل'!$C$4,$P1862='تقرير أبريل'!$C$6),COUNT(AD$4:AD1861)+1,"")</f>
        <v/>
      </c>
      <c r="AE1862">
        <f>IF(AND($A1862&lt;&gt;"",$B1862&lt;&gt;"",$R1862='تقرير مايو'!$C$4,$P1862='تقرير مايو'!$C$6),COUNT(AE$4:AE1861)+1,"")</f>
        <v/>
      </c>
    </row>
    <row r="1863">
      <c r="A1863" s="16" t="n"/>
      <c r="B1863" s="17" t="n"/>
      <c r="C1863" s="17" t="n"/>
      <c r="D1863" s="18" t="n"/>
      <c r="E1863" s="17" t="n"/>
      <c r="F1863" s="17" t="n"/>
      <c r="G1863" s="19" t="n"/>
      <c r="H1863" s="17" t="n"/>
      <c r="I1863" s="17" t="n"/>
      <c r="J1863" s="17" t="n"/>
      <c r="K1863" s="20">
        <f>IF($B1863="","",IFERROR(INDEX(الموظفات!$A$5:$A$304,MATCH($B1863,الموظفات!$B$5:$B$304,0))&amp;"",""))</f>
        <v/>
      </c>
      <c r="L1863" s="21">
        <f>IF($B1863="","",IFERROR(INDEX(الموظفات!$C$5:$C$304,MATCH($B1863,الموظفات!$B$5:$B$304,0))&amp;"",""))</f>
        <v/>
      </c>
      <c r="M1863" s="20">
        <f>IF($B1863="","",IFERROR(INDEX(الموظفات!$D$5:$D$304,MATCH($B1863,الموظفات!$B$5:$B$304,0))&amp;"",""))</f>
        <v/>
      </c>
      <c r="N1863" s="20">
        <f>IF($B1863="","",IFERROR(INDEX(الموظفات!$E$5:$E$304,MATCH($B1863,الموظفات!$B$5:$B$304,0))&amp;"",""))</f>
        <v/>
      </c>
      <c r="O1863" s="21">
        <f>IF(C1863="","",IFERROR(INDEX(الإعدادات!$D$7:$D$35,MATCH(C1863,الإعدادات!$A$7:$A$35,0))&amp;"",""))</f>
        <v/>
      </c>
      <c r="P1863" s="20">
        <f>IF(A1863="","",INDEX(الإعدادات!$H$7:$H$18,MONTH(A1863)))</f>
        <v/>
      </c>
      <c r="Q1863" s="20">
        <f>IF(A1863="","",INDEX(الإعدادات!$I$7:$I$18,MONTH(A1863)))</f>
        <v/>
      </c>
      <c r="R1863" s="20">
        <f>IF(A1863="","",IF(MONTH(A1863)&gt;=8,YEAR(A1863)&amp;"-"&amp;(YEAR(A1863)+1),(YEAR(A1863)-1)&amp;"-"&amp;YEAR(A1863)))</f>
        <v/>
      </c>
      <c r="S1863" s="20">
        <f>IF(OR(A1863="",B1863=""),0,IF(AND(R1863=التقارير!$C$4,OR(التقارير!$C$5="سنوي",AND(التقارير!$C$5="شهري",P1863=التقارير!$C$6),AND(التقارير!$C$5="فصلي",Q1863=التقارير!$C$7))),1,0))</f>
        <v/>
      </c>
      <c r="T1863" s="20">
        <f>IF(S1863=1,COUNTIF($S$5:S1863,1),"")</f>
        <v/>
      </c>
      <c r="U1863">
        <f>IF(AND($A1863&lt;&gt;"",$B1863&lt;&gt;"",$R1863='تقرير الفصل الأول'!$C$4,$Q1863='تقرير الفصل الأول'!$C$7),COUNT(U$4:U1862)+1,"")</f>
        <v/>
      </c>
      <c r="V1863">
        <f>IF(AND($A1863&lt;&gt;"",$B1863&lt;&gt;"",$R1863='تقرير الفصل الثاني'!$C$4,$Q1863='تقرير الفصل الثاني'!$C$7),COUNT(V$4:V1862)+1,"")</f>
        <v/>
      </c>
      <c r="W1863">
        <f>IF(AND($A1863&lt;&gt;"",$B1863&lt;&gt;"",$R1863='تقرير سبتمبر'!$C$4,$P1863='تقرير سبتمبر'!$C$6),COUNT(W$4:W1862)+1,"")</f>
        <v/>
      </c>
      <c r="X1863">
        <f>IF(AND($A1863&lt;&gt;"",$B1863&lt;&gt;"",$R1863='تقرير أكتوبر'!$C$4,$P1863='تقرير أكتوبر'!$C$6),COUNT(X$4:X1862)+1,"")</f>
        <v/>
      </c>
      <c r="Y1863">
        <f>IF(AND($A1863&lt;&gt;"",$B1863&lt;&gt;"",$R1863='تقرير نوفمبر'!$C$4,$P1863='تقرير نوفمبر'!$C$6),COUNT(Y$4:Y1862)+1,"")</f>
        <v/>
      </c>
      <c r="Z1863">
        <f>IF(AND($A1863&lt;&gt;"",$B1863&lt;&gt;"",$R1863='تقرير ديسمبر'!$C$4,$P1863='تقرير ديسمبر'!$C$6),COUNT(Z$4:Z1862)+1,"")</f>
        <v/>
      </c>
      <c r="AA1863">
        <f>IF(AND($A1863&lt;&gt;"",$B1863&lt;&gt;"",$R1863='تقرير يناير'!$C$4,$P1863='تقرير يناير'!$C$6),COUNT(AA$4:AA1862)+1,"")</f>
        <v/>
      </c>
      <c r="AB1863">
        <f>IF(AND($A1863&lt;&gt;"",$B1863&lt;&gt;"",$R1863='تقرير فبراير'!$C$4,$P1863='تقرير فبراير'!$C$6),COUNT(AB$4:AB1862)+1,"")</f>
        <v/>
      </c>
      <c r="AC1863">
        <f>IF(AND($A1863&lt;&gt;"",$B1863&lt;&gt;"",$R1863='تقرير مارس'!$C$4,$P1863='تقرير مارس'!$C$6),COUNT(AC$4:AC1862)+1,"")</f>
        <v/>
      </c>
      <c r="AD1863">
        <f>IF(AND($A1863&lt;&gt;"",$B1863&lt;&gt;"",$R1863='تقرير أبريل'!$C$4,$P1863='تقرير أبريل'!$C$6),COUNT(AD$4:AD1862)+1,"")</f>
        <v/>
      </c>
      <c r="AE1863">
        <f>IF(AND($A1863&lt;&gt;"",$B1863&lt;&gt;"",$R1863='تقرير مايو'!$C$4,$P1863='تقرير مايو'!$C$6),COUNT(AE$4:AE1862)+1,"")</f>
        <v/>
      </c>
    </row>
    <row r="1864">
      <c r="A1864" s="16" t="n"/>
      <c r="B1864" s="17" t="n"/>
      <c r="C1864" s="17" t="n"/>
      <c r="D1864" s="18" t="n"/>
      <c r="E1864" s="17" t="n"/>
      <c r="F1864" s="17" t="n"/>
      <c r="G1864" s="19" t="n"/>
      <c r="H1864" s="17" t="n"/>
      <c r="I1864" s="17" t="n"/>
      <c r="J1864" s="17" t="n"/>
      <c r="K1864" s="20">
        <f>IF($B1864="","",IFERROR(INDEX(الموظفات!$A$5:$A$304,MATCH($B1864,الموظفات!$B$5:$B$304,0))&amp;"",""))</f>
        <v/>
      </c>
      <c r="L1864" s="21">
        <f>IF($B1864="","",IFERROR(INDEX(الموظفات!$C$5:$C$304,MATCH($B1864,الموظفات!$B$5:$B$304,0))&amp;"",""))</f>
        <v/>
      </c>
      <c r="M1864" s="20">
        <f>IF($B1864="","",IFERROR(INDEX(الموظفات!$D$5:$D$304,MATCH($B1864,الموظفات!$B$5:$B$304,0))&amp;"",""))</f>
        <v/>
      </c>
      <c r="N1864" s="20">
        <f>IF($B1864="","",IFERROR(INDEX(الموظفات!$E$5:$E$304,MATCH($B1864,الموظفات!$B$5:$B$304,0))&amp;"",""))</f>
        <v/>
      </c>
      <c r="O1864" s="21">
        <f>IF(C1864="","",IFERROR(INDEX(الإعدادات!$D$7:$D$35,MATCH(C1864,الإعدادات!$A$7:$A$35,0))&amp;"",""))</f>
        <v/>
      </c>
      <c r="P1864" s="20">
        <f>IF(A1864="","",INDEX(الإعدادات!$H$7:$H$18,MONTH(A1864)))</f>
        <v/>
      </c>
      <c r="Q1864" s="20">
        <f>IF(A1864="","",INDEX(الإعدادات!$I$7:$I$18,MONTH(A1864)))</f>
        <v/>
      </c>
      <c r="R1864" s="20">
        <f>IF(A1864="","",IF(MONTH(A1864)&gt;=8,YEAR(A1864)&amp;"-"&amp;(YEAR(A1864)+1),(YEAR(A1864)-1)&amp;"-"&amp;YEAR(A1864)))</f>
        <v/>
      </c>
      <c r="S1864" s="20">
        <f>IF(OR(A1864="",B1864=""),0,IF(AND(R1864=التقارير!$C$4,OR(التقارير!$C$5="سنوي",AND(التقارير!$C$5="شهري",P1864=التقارير!$C$6),AND(التقارير!$C$5="فصلي",Q1864=التقارير!$C$7))),1,0))</f>
        <v/>
      </c>
      <c r="T1864" s="20">
        <f>IF(S1864=1,COUNTIF($S$5:S1864,1),"")</f>
        <v/>
      </c>
      <c r="U1864">
        <f>IF(AND($A1864&lt;&gt;"",$B1864&lt;&gt;"",$R1864='تقرير الفصل الأول'!$C$4,$Q1864='تقرير الفصل الأول'!$C$7),COUNT(U$4:U1863)+1,"")</f>
        <v/>
      </c>
      <c r="V1864">
        <f>IF(AND($A1864&lt;&gt;"",$B1864&lt;&gt;"",$R1864='تقرير الفصل الثاني'!$C$4,$Q1864='تقرير الفصل الثاني'!$C$7),COUNT(V$4:V1863)+1,"")</f>
        <v/>
      </c>
      <c r="W1864">
        <f>IF(AND($A1864&lt;&gt;"",$B1864&lt;&gt;"",$R1864='تقرير سبتمبر'!$C$4,$P1864='تقرير سبتمبر'!$C$6),COUNT(W$4:W1863)+1,"")</f>
        <v/>
      </c>
      <c r="X1864">
        <f>IF(AND($A1864&lt;&gt;"",$B1864&lt;&gt;"",$R1864='تقرير أكتوبر'!$C$4,$P1864='تقرير أكتوبر'!$C$6),COUNT(X$4:X1863)+1,"")</f>
        <v/>
      </c>
      <c r="Y1864">
        <f>IF(AND($A1864&lt;&gt;"",$B1864&lt;&gt;"",$R1864='تقرير نوفمبر'!$C$4,$P1864='تقرير نوفمبر'!$C$6),COUNT(Y$4:Y1863)+1,"")</f>
        <v/>
      </c>
      <c r="Z1864">
        <f>IF(AND($A1864&lt;&gt;"",$B1864&lt;&gt;"",$R1864='تقرير ديسمبر'!$C$4,$P1864='تقرير ديسمبر'!$C$6),COUNT(Z$4:Z1863)+1,"")</f>
        <v/>
      </c>
      <c r="AA1864">
        <f>IF(AND($A1864&lt;&gt;"",$B1864&lt;&gt;"",$R1864='تقرير يناير'!$C$4,$P1864='تقرير يناير'!$C$6),COUNT(AA$4:AA1863)+1,"")</f>
        <v/>
      </c>
      <c r="AB1864">
        <f>IF(AND($A1864&lt;&gt;"",$B1864&lt;&gt;"",$R1864='تقرير فبراير'!$C$4,$P1864='تقرير فبراير'!$C$6),COUNT(AB$4:AB1863)+1,"")</f>
        <v/>
      </c>
      <c r="AC1864">
        <f>IF(AND($A1864&lt;&gt;"",$B1864&lt;&gt;"",$R1864='تقرير مارس'!$C$4,$P1864='تقرير مارس'!$C$6),COUNT(AC$4:AC1863)+1,"")</f>
        <v/>
      </c>
      <c r="AD1864">
        <f>IF(AND($A1864&lt;&gt;"",$B1864&lt;&gt;"",$R1864='تقرير أبريل'!$C$4,$P1864='تقرير أبريل'!$C$6),COUNT(AD$4:AD1863)+1,"")</f>
        <v/>
      </c>
      <c r="AE1864">
        <f>IF(AND($A1864&lt;&gt;"",$B1864&lt;&gt;"",$R1864='تقرير مايو'!$C$4,$P1864='تقرير مايو'!$C$6),COUNT(AE$4:AE1863)+1,"")</f>
        <v/>
      </c>
    </row>
    <row r="1865">
      <c r="A1865" s="16" t="n"/>
      <c r="B1865" s="17" t="n"/>
      <c r="C1865" s="17" t="n"/>
      <c r="D1865" s="18" t="n"/>
      <c r="E1865" s="17" t="n"/>
      <c r="F1865" s="17" t="n"/>
      <c r="G1865" s="19" t="n"/>
      <c r="H1865" s="17" t="n"/>
      <c r="I1865" s="17" t="n"/>
      <c r="J1865" s="17" t="n"/>
      <c r="K1865" s="20">
        <f>IF($B1865="","",IFERROR(INDEX(الموظفات!$A$5:$A$304,MATCH($B1865,الموظفات!$B$5:$B$304,0))&amp;"",""))</f>
        <v/>
      </c>
      <c r="L1865" s="21">
        <f>IF($B1865="","",IFERROR(INDEX(الموظفات!$C$5:$C$304,MATCH($B1865,الموظفات!$B$5:$B$304,0))&amp;"",""))</f>
        <v/>
      </c>
      <c r="M1865" s="20">
        <f>IF($B1865="","",IFERROR(INDEX(الموظفات!$D$5:$D$304,MATCH($B1865,الموظفات!$B$5:$B$304,0))&amp;"",""))</f>
        <v/>
      </c>
      <c r="N1865" s="20">
        <f>IF($B1865="","",IFERROR(INDEX(الموظفات!$E$5:$E$304,MATCH($B1865,الموظفات!$B$5:$B$304,0))&amp;"",""))</f>
        <v/>
      </c>
      <c r="O1865" s="21">
        <f>IF(C1865="","",IFERROR(INDEX(الإعدادات!$D$7:$D$35,MATCH(C1865,الإعدادات!$A$7:$A$35,0))&amp;"",""))</f>
        <v/>
      </c>
      <c r="P1865" s="20">
        <f>IF(A1865="","",INDEX(الإعدادات!$H$7:$H$18,MONTH(A1865)))</f>
        <v/>
      </c>
      <c r="Q1865" s="20">
        <f>IF(A1865="","",INDEX(الإعدادات!$I$7:$I$18,MONTH(A1865)))</f>
        <v/>
      </c>
      <c r="R1865" s="20">
        <f>IF(A1865="","",IF(MONTH(A1865)&gt;=8,YEAR(A1865)&amp;"-"&amp;(YEAR(A1865)+1),(YEAR(A1865)-1)&amp;"-"&amp;YEAR(A1865)))</f>
        <v/>
      </c>
      <c r="S1865" s="20">
        <f>IF(OR(A1865="",B1865=""),0,IF(AND(R1865=التقارير!$C$4,OR(التقارير!$C$5="سنوي",AND(التقارير!$C$5="شهري",P1865=التقارير!$C$6),AND(التقارير!$C$5="فصلي",Q1865=التقارير!$C$7))),1,0))</f>
        <v/>
      </c>
      <c r="T1865" s="20">
        <f>IF(S1865=1,COUNTIF($S$5:S1865,1),"")</f>
        <v/>
      </c>
      <c r="U1865">
        <f>IF(AND($A1865&lt;&gt;"",$B1865&lt;&gt;"",$R1865='تقرير الفصل الأول'!$C$4,$Q1865='تقرير الفصل الأول'!$C$7),COUNT(U$4:U1864)+1,"")</f>
        <v/>
      </c>
      <c r="V1865">
        <f>IF(AND($A1865&lt;&gt;"",$B1865&lt;&gt;"",$R1865='تقرير الفصل الثاني'!$C$4,$Q1865='تقرير الفصل الثاني'!$C$7),COUNT(V$4:V1864)+1,"")</f>
        <v/>
      </c>
      <c r="W1865">
        <f>IF(AND($A1865&lt;&gt;"",$B1865&lt;&gt;"",$R1865='تقرير سبتمبر'!$C$4,$P1865='تقرير سبتمبر'!$C$6),COUNT(W$4:W1864)+1,"")</f>
        <v/>
      </c>
      <c r="X1865">
        <f>IF(AND($A1865&lt;&gt;"",$B1865&lt;&gt;"",$R1865='تقرير أكتوبر'!$C$4,$P1865='تقرير أكتوبر'!$C$6),COUNT(X$4:X1864)+1,"")</f>
        <v/>
      </c>
      <c r="Y1865">
        <f>IF(AND($A1865&lt;&gt;"",$B1865&lt;&gt;"",$R1865='تقرير نوفمبر'!$C$4,$P1865='تقرير نوفمبر'!$C$6),COUNT(Y$4:Y1864)+1,"")</f>
        <v/>
      </c>
      <c r="Z1865">
        <f>IF(AND($A1865&lt;&gt;"",$B1865&lt;&gt;"",$R1865='تقرير ديسمبر'!$C$4,$P1865='تقرير ديسمبر'!$C$6),COUNT(Z$4:Z1864)+1,"")</f>
        <v/>
      </c>
      <c r="AA1865">
        <f>IF(AND($A1865&lt;&gt;"",$B1865&lt;&gt;"",$R1865='تقرير يناير'!$C$4,$P1865='تقرير يناير'!$C$6),COUNT(AA$4:AA1864)+1,"")</f>
        <v/>
      </c>
      <c r="AB1865">
        <f>IF(AND($A1865&lt;&gt;"",$B1865&lt;&gt;"",$R1865='تقرير فبراير'!$C$4,$P1865='تقرير فبراير'!$C$6),COUNT(AB$4:AB1864)+1,"")</f>
        <v/>
      </c>
      <c r="AC1865">
        <f>IF(AND($A1865&lt;&gt;"",$B1865&lt;&gt;"",$R1865='تقرير مارس'!$C$4,$P1865='تقرير مارس'!$C$6),COUNT(AC$4:AC1864)+1,"")</f>
        <v/>
      </c>
      <c r="AD1865">
        <f>IF(AND($A1865&lt;&gt;"",$B1865&lt;&gt;"",$R1865='تقرير أبريل'!$C$4,$P1865='تقرير أبريل'!$C$6),COUNT(AD$4:AD1864)+1,"")</f>
        <v/>
      </c>
      <c r="AE1865">
        <f>IF(AND($A1865&lt;&gt;"",$B1865&lt;&gt;"",$R1865='تقرير مايو'!$C$4,$P1865='تقرير مايو'!$C$6),COUNT(AE$4:AE1864)+1,"")</f>
        <v/>
      </c>
    </row>
    <row r="1866">
      <c r="A1866" s="16" t="n"/>
      <c r="B1866" s="17" t="n"/>
      <c r="C1866" s="17" t="n"/>
      <c r="D1866" s="18" t="n"/>
      <c r="E1866" s="17" t="n"/>
      <c r="F1866" s="17" t="n"/>
      <c r="G1866" s="19" t="n"/>
      <c r="H1866" s="17" t="n"/>
      <c r="I1866" s="17" t="n"/>
      <c r="J1866" s="17" t="n"/>
      <c r="K1866" s="20">
        <f>IF($B1866="","",IFERROR(INDEX(الموظفات!$A$5:$A$304,MATCH($B1866,الموظفات!$B$5:$B$304,0))&amp;"",""))</f>
        <v/>
      </c>
      <c r="L1866" s="21">
        <f>IF($B1866="","",IFERROR(INDEX(الموظفات!$C$5:$C$304,MATCH($B1866,الموظفات!$B$5:$B$304,0))&amp;"",""))</f>
        <v/>
      </c>
      <c r="M1866" s="20">
        <f>IF($B1866="","",IFERROR(INDEX(الموظفات!$D$5:$D$304,MATCH($B1866,الموظفات!$B$5:$B$304,0))&amp;"",""))</f>
        <v/>
      </c>
      <c r="N1866" s="20">
        <f>IF($B1866="","",IFERROR(INDEX(الموظفات!$E$5:$E$304,MATCH($B1866,الموظفات!$B$5:$B$304,0))&amp;"",""))</f>
        <v/>
      </c>
      <c r="O1866" s="21">
        <f>IF(C1866="","",IFERROR(INDEX(الإعدادات!$D$7:$D$35,MATCH(C1866,الإعدادات!$A$7:$A$35,0))&amp;"",""))</f>
        <v/>
      </c>
      <c r="P1866" s="20">
        <f>IF(A1866="","",INDEX(الإعدادات!$H$7:$H$18,MONTH(A1866)))</f>
        <v/>
      </c>
      <c r="Q1866" s="20">
        <f>IF(A1866="","",INDEX(الإعدادات!$I$7:$I$18,MONTH(A1866)))</f>
        <v/>
      </c>
      <c r="R1866" s="20">
        <f>IF(A1866="","",IF(MONTH(A1866)&gt;=8,YEAR(A1866)&amp;"-"&amp;(YEAR(A1866)+1),(YEAR(A1866)-1)&amp;"-"&amp;YEAR(A1866)))</f>
        <v/>
      </c>
      <c r="S1866" s="20">
        <f>IF(OR(A1866="",B1866=""),0,IF(AND(R1866=التقارير!$C$4,OR(التقارير!$C$5="سنوي",AND(التقارير!$C$5="شهري",P1866=التقارير!$C$6),AND(التقارير!$C$5="فصلي",Q1866=التقارير!$C$7))),1,0))</f>
        <v/>
      </c>
      <c r="T1866" s="20">
        <f>IF(S1866=1,COUNTIF($S$5:S1866,1),"")</f>
        <v/>
      </c>
      <c r="U1866">
        <f>IF(AND($A1866&lt;&gt;"",$B1866&lt;&gt;"",$R1866='تقرير الفصل الأول'!$C$4,$Q1866='تقرير الفصل الأول'!$C$7),COUNT(U$4:U1865)+1,"")</f>
        <v/>
      </c>
      <c r="V1866">
        <f>IF(AND($A1866&lt;&gt;"",$B1866&lt;&gt;"",$R1866='تقرير الفصل الثاني'!$C$4,$Q1866='تقرير الفصل الثاني'!$C$7),COUNT(V$4:V1865)+1,"")</f>
        <v/>
      </c>
      <c r="W1866">
        <f>IF(AND($A1866&lt;&gt;"",$B1866&lt;&gt;"",$R1866='تقرير سبتمبر'!$C$4,$P1866='تقرير سبتمبر'!$C$6),COUNT(W$4:W1865)+1,"")</f>
        <v/>
      </c>
      <c r="X1866">
        <f>IF(AND($A1866&lt;&gt;"",$B1866&lt;&gt;"",$R1866='تقرير أكتوبر'!$C$4,$P1866='تقرير أكتوبر'!$C$6),COUNT(X$4:X1865)+1,"")</f>
        <v/>
      </c>
      <c r="Y1866">
        <f>IF(AND($A1866&lt;&gt;"",$B1866&lt;&gt;"",$R1866='تقرير نوفمبر'!$C$4,$P1866='تقرير نوفمبر'!$C$6),COUNT(Y$4:Y1865)+1,"")</f>
        <v/>
      </c>
      <c r="Z1866">
        <f>IF(AND($A1866&lt;&gt;"",$B1866&lt;&gt;"",$R1866='تقرير ديسمبر'!$C$4,$P1866='تقرير ديسمبر'!$C$6),COUNT(Z$4:Z1865)+1,"")</f>
        <v/>
      </c>
      <c r="AA1866">
        <f>IF(AND($A1866&lt;&gt;"",$B1866&lt;&gt;"",$R1866='تقرير يناير'!$C$4,$P1866='تقرير يناير'!$C$6),COUNT(AA$4:AA1865)+1,"")</f>
        <v/>
      </c>
      <c r="AB1866">
        <f>IF(AND($A1866&lt;&gt;"",$B1866&lt;&gt;"",$R1866='تقرير فبراير'!$C$4,$P1866='تقرير فبراير'!$C$6),COUNT(AB$4:AB1865)+1,"")</f>
        <v/>
      </c>
      <c r="AC1866">
        <f>IF(AND($A1866&lt;&gt;"",$B1866&lt;&gt;"",$R1866='تقرير مارس'!$C$4,$P1866='تقرير مارس'!$C$6),COUNT(AC$4:AC1865)+1,"")</f>
        <v/>
      </c>
      <c r="AD1866">
        <f>IF(AND($A1866&lt;&gt;"",$B1866&lt;&gt;"",$R1866='تقرير أبريل'!$C$4,$P1866='تقرير أبريل'!$C$6),COUNT(AD$4:AD1865)+1,"")</f>
        <v/>
      </c>
      <c r="AE1866">
        <f>IF(AND($A1866&lt;&gt;"",$B1866&lt;&gt;"",$R1866='تقرير مايو'!$C$4,$P1866='تقرير مايو'!$C$6),COUNT(AE$4:AE1865)+1,"")</f>
        <v/>
      </c>
    </row>
    <row r="1867">
      <c r="A1867" s="16" t="n"/>
      <c r="B1867" s="17" t="n"/>
      <c r="C1867" s="17" t="n"/>
      <c r="D1867" s="18" t="n"/>
      <c r="E1867" s="17" t="n"/>
      <c r="F1867" s="17" t="n"/>
      <c r="G1867" s="19" t="n"/>
      <c r="H1867" s="17" t="n"/>
      <c r="I1867" s="17" t="n"/>
      <c r="J1867" s="17" t="n"/>
      <c r="K1867" s="20">
        <f>IF($B1867="","",IFERROR(INDEX(الموظفات!$A$5:$A$304,MATCH($B1867,الموظفات!$B$5:$B$304,0))&amp;"",""))</f>
        <v/>
      </c>
      <c r="L1867" s="21">
        <f>IF($B1867="","",IFERROR(INDEX(الموظفات!$C$5:$C$304,MATCH($B1867,الموظفات!$B$5:$B$304,0))&amp;"",""))</f>
        <v/>
      </c>
      <c r="M1867" s="20">
        <f>IF($B1867="","",IFERROR(INDEX(الموظفات!$D$5:$D$304,MATCH($B1867,الموظفات!$B$5:$B$304,0))&amp;"",""))</f>
        <v/>
      </c>
      <c r="N1867" s="20">
        <f>IF($B1867="","",IFERROR(INDEX(الموظفات!$E$5:$E$304,MATCH($B1867,الموظفات!$B$5:$B$304,0))&amp;"",""))</f>
        <v/>
      </c>
      <c r="O1867" s="21">
        <f>IF(C1867="","",IFERROR(INDEX(الإعدادات!$D$7:$D$35,MATCH(C1867,الإعدادات!$A$7:$A$35,0))&amp;"",""))</f>
        <v/>
      </c>
      <c r="P1867" s="20">
        <f>IF(A1867="","",INDEX(الإعدادات!$H$7:$H$18,MONTH(A1867)))</f>
        <v/>
      </c>
      <c r="Q1867" s="20">
        <f>IF(A1867="","",INDEX(الإعدادات!$I$7:$I$18,MONTH(A1867)))</f>
        <v/>
      </c>
      <c r="R1867" s="20">
        <f>IF(A1867="","",IF(MONTH(A1867)&gt;=8,YEAR(A1867)&amp;"-"&amp;(YEAR(A1867)+1),(YEAR(A1867)-1)&amp;"-"&amp;YEAR(A1867)))</f>
        <v/>
      </c>
      <c r="S1867" s="20">
        <f>IF(OR(A1867="",B1867=""),0,IF(AND(R1867=التقارير!$C$4,OR(التقارير!$C$5="سنوي",AND(التقارير!$C$5="شهري",P1867=التقارير!$C$6),AND(التقارير!$C$5="فصلي",Q1867=التقارير!$C$7))),1,0))</f>
        <v/>
      </c>
      <c r="T1867" s="20">
        <f>IF(S1867=1,COUNTIF($S$5:S1867,1),"")</f>
        <v/>
      </c>
      <c r="U1867">
        <f>IF(AND($A1867&lt;&gt;"",$B1867&lt;&gt;"",$R1867='تقرير الفصل الأول'!$C$4,$Q1867='تقرير الفصل الأول'!$C$7),COUNT(U$4:U1866)+1,"")</f>
        <v/>
      </c>
      <c r="V1867">
        <f>IF(AND($A1867&lt;&gt;"",$B1867&lt;&gt;"",$R1867='تقرير الفصل الثاني'!$C$4,$Q1867='تقرير الفصل الثاني'!$C$7),COUNT(V$4:V1866)+1,"")</f>
        <v/>
      </c>
      <c r="W1867">
        <f>IF(AND($A1867&lt;&gt;"",$B1867&lt;&gt;"",$R1867='تقرير سبتمبر'!$C$4,$P1867='تقرير سبتمبر'!$C$6),COUNT(W$4:W1866)+1,"")</f>
        <v/>
      </c>
      <c r="X1867">
        <f>IF(AND($A1867&lt;&gt;"",$B1867&lt;&gt;"",$R1867='تقرير أكتوبر'!$C$4,$P1867='تقرير أكتوبر'!$C$6),COUNT(X$4:X1866)+1,"")</f>
        <v/>
      </c>
      <c r="Y1867">
        <f>IF(AND($A1867&lt;&gt;"",$B1867&lt;&gt;"",$R1867='تقرير نوفمبر'!$C$4,$P1867='تقرير نوفمبر'!$C$6),COUNT(Y$4:Y1866)+1,"")</f>
        <v/>
      </c>
      <c r="Z1867">
        <f>IF(AND($A1867&lt;&gt;"",$B1867&lt;&gt;"",$R1867='تقرير ديسمبر'!$C$4,$P1867='تقرير ديسمبر'!$C$6),COUNT(Z$4:Z1866)+1,"")</f>
        <v/>
      </c>
      <c r="AA1867">
        <f>IF(AND($A1867&lt;&gt;"",$B1867&lt;&gt;"",$R1867='تقرير يناير'!$C$4,$P1867='تقرير يناير'!$C$6),COUNT(AA$4:AA1866)+1,"")</f>
        <v/>
      </c>
      <c r="AB1867">
        <f>IF(AND($A1867&lt;&gt;"",$B1867&lt;&gt;"",$R1867='تقرير فبراير'!$C$4,$P1867='تقرير فبراير'!$C$6),COUNT(AB$4:AB1866)+1,"")</f>
        <v/>
      </c>
      <c r="AC1867">
        <f>IF(AND($A1867&lt;&gt;"",$B1867&lt;&gt;"",$R1867='تقرير مارس'!$C$4,$P1867='تقرير مارس'!$C$6),COUNT(AC$4:AC1866)+1,"")</f>
        <v/>
      </c>
      <c r="AD1867">
        <f>IF(AND($A1867&lt;&gt;"",$B1867&lt;&gt;"",$R1867='تقرير أبريل'!$C$4,$P1867='تقرير أبريل'!$C$6),COUNT(AD$4:AD1866)+1,"")</f>
        <v/>
      </c>
      <c r="AE1867">
        <f>IF(AND($A1867&lt;&gt;"",$B1867&lt;&gt;"",$R1867='تقرير مايو'!$C$4,$P1867='تقرير مايو'!$C$6),COUNT(AE$4:AE1866)+1,"")</f>
        <v/>
      </c>
    </row>
    <row r="1868">
      <c r="A1868" s="16" t="n"/>
      <c r="B1868" s="17" t="n"/>
      <c r="C1868" s="17" t="n"/>
      <c r="D1868" s="18" t="n"/>
      <c r="E1868" s="17" t="n"/>
      <c r="F1868" s="17" t="n"/>
      <c r="G1868" s="19" t="n"/>
      <c r="H1868" s="17" t="n"/>
      <c r="I1868" s="17" t="n"/>
      <c r="J1868" s="17" t="n"/>
      <c r="K1868" s="20">
        <f>IF($B1868="","",IFERROR(INDEX(الموظفات!$A$5:$A$304,MATCH($B1868,الموظفات!$B$5:$B$304,0))&amp;"",""))</f>
        <v/>
      </c>
      <c r="L1868" s="21">
        <f>IF($B1868="","",IFERROR(INDEX(الموظفات!$C$5:$C$304,MATCH($B1868,الموظفات!$B$5:$B$304,0))&amp;"",""))</f>
        <v/>
      </c>
      <c r="M1868" s="20">
        <f>IF($B1868="","",IFERROR(INDEX(الموظفات!$D$5:$D$304,MATCH($B1868,الموظفات!$B$5:$B$304,0))&amp;"",""))</f>
        <v/>
      </c>
      <c r="N1868" s="20">
        <f>IF($B1868="","",IFERROR(INDEX(الموظفات!$E$5:$E$304,MATCH($B1868,الموظفات!$B$5:$B$304,0))&amp;"",""))</f>
        <v/>
      </c>
      <c r="O1868" s="21">
        <f>IF(C1868="","",IFERROR(INDEX(الإعدادات!$D$7:$D$35,MATCH(C1868,الإعدادات!$A$7:$A$35,0))&amp;"",""))</f>
        <v/>
      </c>
      <c r="P1868" s="20">
        <f>IF(A1868="","",INDEX(الإعدادات!$H$7:$H$18,MONTH(A1868)))</f>
        <v/>
      </c>
      <c r="Q1868" s="20">
        <f>IF(A1868="","",INDEX(الإعدادات!$I$7:$I$18,MONTH(A1868)))</f>
        <v/>
      </c>
      <c r="R1868" s="20">
        <f>IF(A1868="","",IF(MONTH(A1868)&gt;=8,YEAR(A1868)&amp;"-"&amp;(YEAR(A1868)+1),(YEAR(A1868)-1)&amp;"-"&amp;YEAR(A1868)))</f>
        <v/>
      </c>
      <c r="S1868" s="20">
        <f>IF(OR(A1868="",B1868=""),0,IF(AND(R1868=التقارير!$C$4,OR(التقارير!$C$5="سنوي",AND(التقارير!$C$5="شهري",P1868=التقارير!$C$6),AND(التقارير!$C$5="فصلي",Q1868=التقارير!$C$7))),1,0))</f>
        <v/>
      </c>
      <c r="T1868" s="20">
        <f>IF(S1868=1,COUNTIF($S$5:S1868,1),"")</f>
        <v/>
      </c>
      <c r="U1868">
        <f>IF(AND($A1868&lt;&gt;"",$B1868&lt;&gt;"",$R1868='تقرير الفصل الأول'!$C$4,$Q1868='تقرير الفصل الأول'!$C$7),COUNT(U$4:U1867)+1,"")</f>
        <v/>
      </c>
      <c r="V1868">
        <f>IF(AND($A1868&lt;&gt;"",$B1868&lt;&gt;"",$R1868='تقرير الفصل الثاني'!$C$4,$Q1868='تقرير الفصل الثاني'!$C$7),COUNT(V$4:V1867)+1,"")</f>
        <v/>
      </c>
      <c r="W1868">
        <f>IF(AND($A1868&lt;&gt;"",$B1868&lt;&gt;"",$R1868='تقرير سبتمبر'!$C$4,$P1868='تقرير سبتمبر'!$C$6),COUNT(W$4:W1867)+1,"")</f>
        <v/>
      </c>
      <c r="X1868">
        <f>IF(AND($A1868&lt;&gt;"",$B1868&lt;&gt;"",$R1868='تقرير أكتوبر'!$C$4,$P1868='تقرير أكتوبر'!$C$6),COUNT(X$4:X1867)+1,"")</f>
        <v/>
      </c>
      <c r="Y1868">
        <f>IF(AND($A1868&lt;&gt;"",$B1868&lt;&gt;"",$R1868='تقرير نوفمبر'!$C$4,$P1868='تقرير نوفمبر'!$C$6),COUNT(Y$4:Y1867)+1,"")</f>
        <v/>
      </c>
      <c r="Z1868">
        <f>IF(AND($A1868&lt;&gt;"",$B1868&lt;&gt;"",$R1868='تقرير ديسمبر'!$C$4,$P1868='تقرير ديسمبر'!$C$6),COUNT(Z$4:Z1867)+1,"")</f>
        <v/>
      </c>
      <c r="AA1868">
        <f>IF(AND($A1868&lt;&gt;"",$B1868&lt;&gt;"",$R1868='تقرير يناير'!$C$4,$P1868='تقرير يناير'!$C$6),COUNT(AA$4:AA1867)+1,"")</f>
        <v/>
      </c>
      <c r="AB1868">
        <f>IF(AND($A1868&lt;&gt;"",$B1868&lt;&gt;"",$R1868='تقرير فبراير'!$C$4,$P1868='تقرير فبراير'!$C$6),COUNT(AB$4:AB1867)+1,"")</f>
        <v/>
      </c>
      <c r="AC1868">
        <f>IF(AND($A1868&lt;&gt;"",$B1868&lt;&gt;"",$R1868='تقرير مارس'!$C$4,$P1868='تقرير مارس'!$C$6),COUNT(AC$4:AC1867)+1,"")</f>
        <v/>
      </c>
      <c r="AD1868">
        <f>IF(AND($A1868&lt;&gt;"",$B1868&lt;&gt;"",$R1868='تقرير أبريل'!$C$4,$P1868='تقرير أبريل'!$C$6),COUNT(AD$4:AD1867)+1,"")</f>
        <v/>
      </c>
      <c r="AE1868">
        <f>IF(AND($A1868&lt;&gt;"",$B1868&lt;&gt;"",$R1868='تقرير مايو'!$C$4,$P1868='تقرير مايو'!$C$6),COUNT(AE$4:AE1867)+1,"")</f>
        <v/>
      </c>
    </row>
    <row r="1869">
      <c r="A1869" s="16" t="n"/>
      <c r="B1869" s="17" t="n"/>
      <c r="C1869" s="17" t="n"/>
      <c r="D1869" s="18" t="n"/>
      <c r="E1869" s="17" t="n"/>
      <c r="F1869" s="17" t="n"/>
      <c r="G1869" s="19" t="n"/>
      <c r="H1869" s="17" t="n"/>
      <c r="I1869" s="17" t="n"/>
      <c r="J1869" s="17" t="n"/>
      <c r="K1869" s="20">
        <f>IF($B1869="","",IFERROR(INDEX(الموظفات!$A$5:$A$304,MATCH($B1869,الموظفات!$B$5:$B$304,0))&amp;"",""))</f>
        <v/>
      </c>
      <c r="L1869" s="21">
        <f>IF($B1869="","",IFERROR(INDEX(الموظفات!$C$5:$C$304,MATCH($B1869,الموظفات!$B$5:$B$304,0))&amp;"",""))</f>
        <v/>
      </c>
      <c r="M1869" s="20">
        <f>IF($B1869="","",IFERROR(INDEX(الموظفات!$D$5:$D$304,MATCH($B1869,الموظفات!$B$5:$B$304,0))&amp;"",""))</f>
        <v/>
      </c>
      <c r="N1869" s="20">
        <f>IF($B1869="","",IFERROR(INDEX(الموظفات!$E$5:$E$304,MATCH($B1869,الموظفات!$B$5:$B$304,0))&amp;"",""))</f>
        <v/>
      </c>
      <c r="O1869" s="21">
        <f>IF(C1869="","",IFERROR(INDEX(الإعدادات!$D$7:$D$35,MATCH(C1869,الإعدادات!$A$7:$A$35,0))&amp;"",""))</f>
        <v/>
      </c>
      <c r="P1869" s="20">
        <f>IF(A1869="","",INDEX(الإعدادات!$H$7:$H$18,MONTH(A1869)))</f>
        <v/>
      </c>
      <c r="Q1869" s="20">
        <f>IF(A1869="","",INDEX(الإعدادات!$I$7:$I$18,MONTH(A1869)))</f>
        <v/>
      </c>
      <c r="R1869" s="20">
        <f>IF(A1869="","",IF(MONTH(A1869)&gt;=8,YEAR(A1869)&amp;"-"&amp;(YEAR(A1869)+1),(YEAR(A1869)-1)&amp;"-"&amp;YEAR(A1869)))</f>
        <v/>
      </c>
      <c r="S1869" s="20">
        <f>IF(OR(A1869="",B1869=""),0,IF(AND(R1869=التقارير!$C$4,OR(التقارير!$C$5="سنوي",AND(التقارير!$C$5="شهري",P1869=التقارير!$C$6),AND(التقارير!$C$5="فصلي",Q1869=التقارير!$C$7))),1,0))</f>
        <v/>
      </c>
      <c r="T1869" s="20">
        <f>IF(S1869=1,COUNTIF($S$5:S1869,1),"")</f>
        <v/>
      </c>
      <c r="U1869">
        <f>IF(AND($A1869&lt;&gt;"",$B1869&lt;&gt;"",$R1869='تقرير الفصل الأول'!$C$4,$Q1869='تقرير الفصل الأول'!$C$7),COUNT(U$4:U1868)+1,"")</f>
        <v/>
      </c>
      <c r="V1869">
        <f>IF(AND($A1869&lt;&gt;"",$B1869&lt;&gt;"",$R1869='تقرير الفصل الثاني'!$C$4,$Q1869='تقرير الفصل الثاني'!$C$7),COUNT(V$4:V1868)+1,"")</f>
        <v/>
      </c>
      <c r="W1869">
        <f>IF(AND($A1869&lt;&gt;"",$B1869&lt;&gt;"",$R1869='تقرير سبتمبر'!$C$4,$P1869='تقرير سبتمبر'!$C$6),COUNT(W$4:W1868)+1,"")</f>
        <v/>
      </c>
      <c r="X1869">
        <f>IF(AND($A1869&lt;&gt;"",$B1869&lt;&gt;"",$R1869='تقرير أكتوبر'!$C$4,$P1869='تقرير أكتوبر'!$C$6),COUNT(X$4:X1868)+1,"")</f>
        <v/>
      </c>
      <c r="Y1869">
        <f>IF(AND($A1869&lt;&gt;"",$B1869&lt;&gt;"",$R1869='تقرير نوفمبر'!$C$4,$P1869='تقرير نوفمبر'!$C$6),COUNT(Y$4:Y1868)+1,"")</f>
        <v/>
      </c>
      <c r="Z1869">
        <f>IF(AND($A1869&lt;&gt;"",$B1869&lt;&gt;"",$R1869='تقرير ديسمبر'!$C$4,$P1869='تقرير ديسمبر'!$C$6),COUNT(Z$4:Z1868)+1,"")</f>
        <v/>
      </c>
      <c r="AA1869">
        <f>IF(AND($A1869&lt;&gt;"",$B1869&lt;&gt;"",$R1869='تقرير يناير'!$C$4,$P1869='تقرير يناير'!$C$6),COUNT(AA$4:AA1868)+1,"")</f>
        <v/>
      </c>
      <c r="AB1869">
        <f>IF(AND($A1869&lt;&gt;"",$B1869&lt;&gt;"",$R1869='تقرير فبراير'!$C$4,$P1869='تقرير فبراير'!$C$6),COUNT(AB$4:AB1868)+1,"")</f>
        <v/>
      </c>
      <c r="AC1869">
        <f>IF(AND($A1869&lt;&gt;"",$B1869&lt;&gt;"",$R1869='تقرير مارس'!$C$4,$P1869='تقرير مارس'!$C$6),COUNT(AC$4:AC1868)+1,"")</f>
        <v/>
      </c>
      <c r="AD1869">
        <f>IF(AND($A1869&lt;&gt;"",$B1869&lt;&gt;"",$R1869='تقرير أبريل'!$C$4,$P1869='تقرير أبريل'!$C$6),COUNT(AD$4:AD1868)+1,"")</f>
        <v/>
      </c>
      <c r="AE1869">
        <f>IF(AND($A1869&lt;&gt;"",$B1869&lt;&gt;"",$R1869='تقرير مايو'!$C$4,$P1869='تقرير مايو'!$C$6),COUNT(AE$4:AE1868)+1,"")</f>
        <v/>
      </c>
    </row>
    <row r="1870">
      <c r="A1870" s="16" t="n"/>
      <c r="B1870" s="17" t="n"/>
      <c r="C1870" s="17" t="n"/>
      <c r="D1870" s="18" t="n"/>
      <c r="E1870" s="17" t="n"/>
      <c r="F1870" s="17" t="n"/>
      <c r="G1870" s="19" t="n"/>
      <c r="H1870" s="17" t="n"/>
      <c r="I1870" s="17" t="n"/>
      <c r="J1870" s="17" t="n"/>
      <c r="K1870" s="20">
        <f>IF($B1870="","",IFERROR(INDEX(الموظفات!$A$5:$A$304,MATCH($B1870,الموظفات!$B$5:$B$304,0))&amp;"",""))</f>
        <v/>
      </c>
      <c r="L1870" s="21">
        <f>IF($B1870="","",IFERROR(INDEX(الموظفات!$C$5:$C$304,MATCH($B1870,الموظفات!$B$5:$B$304,0))&amp;"",""))</f>
        <v/>
      </c>
      <c r="M1870" s="20">
        <f>IF($B1870="","",IFERROR(INDEX(الموظفات!$D$5:$D$304,MATCH($B1870,الموظفات!$B$5:$B$304,0))&amp;"",""))</f>
        <v/>
      </c>
      <c r="N1870" s="20">
        <f>IF($B1870="","",IFERROR(INDEX(الموظفات!$E$5:$E$304,MATCH($B1870,الموظفات!$B$5:$B$304,0))&amp;"",""))</f>
        <v/>
      </c>
      <c r="O1870" s="21">
        <f>IF(C1870="","",IFERROR(INDEX(الإعدادات!$D$7:$D$35,MATCH(C1870,الإعدادات!$A$7:$A$35,0))&amp;"",""))</f>
        <v/>
      </c>
      <c r="P1870" s="20">
        <f>IF(A1870="","",INDEX(الإعدادات!$H$7:$H$18,MONTH(A1870)))</f>
        <v/>
      </c>
      <c r="Q1870" s="20">
        <f>IF(A1870="","",INDEX(الإعدادات!$I$7:$I$18,MONTH(A1870)))</f>
        <v/>
      </c>
      <c r="R1870" s="20">
        <f>IF(A1870="","",IF(MONTH(A1870)&gt;=8,YEAR(A1870)&amp;"-"&amp;(YEAR(A1870)+1),(YEAR(A1870)-1)&amp;"-"&amp;YEAR(A1870)))</f>
        <v/>
      </c>
      <c r="S1870" s="20">
        <f>IF(OR(A1870="",B1870=""),0,IF(AND(R1870=التقارير!$C$4,OR(التقارير!$C$5="سنوي",AND(التقارير!$C$5="شهري",P1870=التقارير!$C$6),AND(التقارير!$C$5="فصلي",Q1870=التقارير!$C$7))),1,0))</f>
        <v/>
      </c>
      <c r="T1870" s="20">
        <f>IF(S1870=1,COUNTIF($S$5:S1870,1),"")</f>
        <v/>
      </c>
      <c r="U1870">
        <f>IF(AND($A1870&lt;&gt;"",$B1870&lt;&gt;"",$R1870='تقرير الفصل الأول'!$C$4,$Q1870='تقرير الفصل الأول'!$C$7),COUNT(U$4:U1869)+1,"")</f>
        <v/>
      </c>
      <c r="V1870">
        <f>IF(AND($A1870&lt;&gt;"",$B1870&lt;&gt;"",$R1870='تقرير الفصل الثاني'!$C$4,$Q1870='تقرير الفصل الثاني'!$C$7),COUNT(V$4:V1869)+1,"")</f>
        <v/>
      </c>
      <c r="W1870">
        <f>IF(AND($A1870&lt;&gt;"",$B1870&lt;&gt;"",$R1870='تقرير سبتمبر'!$C$4,$P1870='تقرير سبتمبر'!$C$6),COUNT(W$4:W1869)+1,"")</f>
        <v/>
      </c>
      <c r="X1870">
        <f>IF(AND($A1870&lt;&gt;"",$B1870&lt;&gt;"",$R1870='تقرير أكتوبر'!$C$4,$P1870='تقرير أكتوبر'!$C$6),COUNT(X$4:X1869)+1,"")</f>
        <v/>
      </c>
      <c r="Y1870">
        <f>IF(AND($A1870&lt;&gt;"",$B1870&lt;&gt;"",$R1870='تقرير نوفمبر'!$C$4,$P1870='تقرير نوفمبر'!$C$6),COUNT(Y$4:Y1869)+1,"")</f>
        <v/>
      </c>
      <c r="Z1870">
        <f>IF(AND($A1870&lt;&gt;"",$B1870&lt;&gt;"",$R1870='تقرير ديسمبر'!$C$4,$P1870='تقرير ديسمبر'!$C$6),COUNT(Z$4:Z1869)+1,"")</f>
        <v/>
      </c>
      <c r="AA1870">
        <f>IF(AND($A1870&lt;&gt;"",$B1870&lt;&gt;"",$R1870='تقرير يناير'!$C$4,$P1870='تقرير يناير'!$C$6),COUNT(AA$4:AA1869)+1,"")</f>
        <v/>
      </c>
      <c r="AB1870">
        <f>IF(AND($A1870&lt;&gt;"",$B1870&lt;&gt;"",$R1870='تقرير فبراير'!$C$4,$P1870='تقرير فبراير'!$C$6),COUNT(AB$4:AB1869)+1,"")</f>
        <v/>
      </c>
      <c r="AC1870">
        <f>IF(AND($A1870&lt;&gt;"",$B1870&lt;&gt;"",$R1870='تقرير مارس'!$C$4,$P1870='تقرير مارس'!$C$6),COUNT(AC$4:AC1869)+1,"")</f>
        <v/>
      </c>
      <c r="AD1870">
        <f>IF(AND($A1870&lt;&gt;"",$B1870&lt;&gt;"",$R1870='تقرير أبريل'!$C$4,$P1870='تقرير أبريل'!$C$6),COUNT(AD$4:AD1869)+1,"")</f>
        <v/>
      </c>
      <c r="AE1870">
        <f>IF(AND($A1870&lt;&gt;"",$B1870&lt;&gt;"",$R1870='تقرير مايو'!$C$4,$P1870='تقرير مايو'!$C$6),COUNT(AE$4:AE1869)+1,"")</f>
        <v/>
      </c>
    </row>
    <row r="1871">
      <c r="A1871" s="16" t="n"/>
      <c r="B1871" s="17" t="n"/>
      <c r="C1871" s="17" t="n"/>
      <c r="D1871" s="18" t="n"/>
      <c r="E1871" s="17" t="n"/>
      <c r="F1871" s="17" t="n"/>
      <c r="G1871" s="19" t="n"/>
      <c r="H1871" s="17" t="n"/>
      <c r="I1871" s="17" t="n"/>
      <c r="J1871" s="17" t="n"/>
      <c r="K1871" s="20">
        <f>IF($B1871="","",IFERROR(INDEX(الموظفات!$A$5:$A$304,MATCH($B1871,الموظفات!$B$5:$B$304,0))&amp;"",""))</f>
        <v/>
      </c>
      <c r="L1871" s="21">
        <f>IF($B1871="","",IFERROR(INDEX(الموظفات!$C$5:$C$304,MATCH($B1871,الموظفات!$B$5:$B$304,0))&amp;"",""))</f>
        <v/>
      </c>
      <c r="M1871" s="20">
        <f>IF($B1871="","",IFERROR(INDEX(الموظفات!$D$5:$D$304,MATCH($B1871,الموظفات!$B$5:$B$304,0))&amp;"",""))</f>
        <v/>
      </c>
      <c r="N1871" s="20">
        <f>IF($B1871="","",IFERROR(INDEX(الموظفات!$E$5:$E$304,MATCH($B1871,الموظفات!$B$5:$B$304,0))&amp;"",""))</f>
        <v/>
      </c>
      <c r="O1871" s="21">
        <f>IF(C1871="","",IFERROR(INDEX(الإعدادات!$D$7:$D$35,MATCH(C1871,الإعدادات!$A$7:$A$35,0))&amp;"",""))</f>
        <v/>
      </c>
      <c r="P1871" s="20">
        <f>IF(A1871="","",INDEX(الإعدادات!$H$7:$H$18,MONTH(A1871)))</f>
        <v/>
      </c>
      <c r="Q1871" s="20">
        <f>IF(A1871="","",INDEX(الإعدادات!$I$7:$I$18,MONTH(A1871)))</f>
        <v/>
      </c>
      <c r="R1871" s="20">
        <f>IF(A1871="","",IF(MONTH(A1871)&gt;=8,YEAR(A1871)&amp;"-"&amp;(YEAR(A1871)+1),(YEAR(A1871)-1)&amp;"-"&amp;YEAR(A1871)))</f>
        <v/>
      </c>
      <c r="S1871" s="20">
        <f>IF(OR(A1871="",B1871=""),0,IF(AND(R1871=التقارير!$C$4,OR(التقارير!$C$5="سنوي",AND(التقارير!$C$5="شهري",P1871=التقارير!$C$6),AND(التقارير!$C$5="فصلي",Q1871=التقارير!$C$7))),1,0))</f>
        <v/>
      </c>
      <c r="T1871" s="20">
        <f>IF(S1871=1,COUNTIF($S$5:S1871,1),"")</f>
        <v/>
      </c>
      <c r="U1871">
        <f>IF(AND($A1871&lt;&gt;"",$B1871&lt;&gt;"",$R1871='تقرير الفصل الأول'!$C$4,$Q1871='تقرير الفصل الأول'!$C$7),COUNT(U$4:U1870)+1,"")</f>
        <v/>
      </c>
      <c r="V1871">
        <f>IF(AND($A1871&lt;&gt;"",$B1871&lt;&gt;"",$R1871='تقرير الفصل الثاني'!$C$4,$Q1871='تقرير الفصل الثاني'!$C$7),COUNT(V$4:V1870)+1,"")</f>
        <v/>
      </c>
      <c r="W1871">
        <f>IF(AND($A1871&lt;&gt;"",$B1871&lt;&gt;"",$R1871='تقرير سبتمبر'!$C$4,$P1871='تقرير سبتمبر'!$C$6),COUNT(W$4:W1870)+1,"")</f>
        <v/>
      </c>
      <c r="X1871">
        <f>IF(AND($A1871&lt;&gt;"",$B1871&lt;&gt;"",$R1871='تقرير أكتوبر'!$C$4,$P1871='تقرير أكتوبر'!$C$6),COUNT(X$4:X1870)+1,"")</f>
        <v/>
      </c>
      <c r="Y1871">
        <f>IF(AND($A1871&lt;&gt;"",$B1871&lt;&gt;"",$R1871='تقرير نوفمبر'!$C$4,$P1871='تقرير نوفمبر'!$C$6),COUNT(Y$4:Y1870)+1,"")</f>
        <v/>
      </c>
      <c r="Z1871">
        <f>IF(AND($A1871&lt;&gt;"",$B1871&lt;&gt;"",$R1871='تقرير ديسمبر'!$C$4,$P1871='تقرير ديسمبر'!$C$6),COUNT(Z$4:Z1870)+1,"")</f>
        <v/>
      </c>
      <c r="AA1871">
        <f>IF(AND($A1871&lt;&gt;"",$B1871&lt;&gt;"",$R1871='تقرير يناير'!$C$4,$P1871='تقرير يناير'!$C$6),COUNT(AA$4:AA1870)+1,"")</f>
        <v/>
      </c>
      <c r="AB1871">
        <f>IF(AND($A1871&lt;&gt;"",$B1871&lt;&gt;"",$R1871='تقرير فبراير'!$C$4,$P1871='تقرير فبراير'!$C$6),COUNT(AB$4:AB1870)+1,"")</f>
        <v/>
      </c>
      <c r="AC1871">
        <f>IF(AND($A1871&lt;&gt;"",$B1871&lt;&gt;"",$R1871='تقرير مارس'!$C$4,$P1871='تقرير مارس'!$C$6),COUNT(AC$4:AC1870)+1,"")</f>
        <v/>
      </c>
      <c r="AD1871">
        <f>IF(AND($A1871&lt;&gt;"",$B1871&lt;&gt;"",$R1871='تقرير أبريل'!$C$4,$P1871='تقرير أبريل'!$C$6),COUNT(AD$4:AD1870)+1,"")</f>
        <v/>
      </c>
      <c r="AE1871">
        <f>IF(AND($A1871&lt;&gt;"",$B1871&lt;&gt;"",$R1871='تقرير مايو'!$C$4,$P1871='تقرير مايو'!$C$6),COUNT(AE$4:AE1870)+1,"")</f>
        <v/>
      </c>
    </row>
    <row r="1872">
      <c r="A1872" s="16" t="n"/>
      <c r="B1872" s="17" t="n"/>
      <c r="C1872" s="17" t="n"/>
      <c r="D1872" s="18" t="n"/>
      <c r="E1872" s="17" t="n"/>
      <c r="F1872" s="17" t="n"/>
      <c r="G1872" s="19" t="n"/>
      <c r="H1872" s="17" t="n"/>
      <c r="I1872" s="17" t="n"/>
      <c r="J1872" s="17" t="n"/>
      <c r="K1872" s="20">
        <f>IF($B1872="","",IFERROR(INDEX(الموظفات!$A$5:$A$304,MATCH($B1872,الموظفات!$B$5:$B$304,0))&amp;"",""))</f>
        <v/>
      </c>
      <c r="L1872" s="21">
        <f>IF($B1872="","",IFERROR(INDEX(الموظفات!$C$5:$C$304,MATCH($B1872,الموظفات!$B$5:$B$304,0))&amp;"",""))</f>
        <v/>
      </c>
      <c r="M1872" s="20">
        <f>IF($B1872="","",IFERROR(INDEX(الموظفات!$D$5:$D$304,MATCH($B1872,الموظفات!$B$5:$B$304,0))&amp;"",""))</f>
        <v/>
      </c>
      <c r="N1872" s="20">
        <f>IF($B1872="","",IFERROR(INDEX(الموظفات!$E$5:$E$304,MATCH($B1872,الموظفات!$B$5:$B$304,0))&amp;"",""))</f>
        <v/>
      </c>
      <c r="O1872" s="21">
        <f>IF(C1872="","",IFERROR(INDEX(الإعدادات!$D$7:$D$35,MATCH(C1872,الإعدادات!$A$7:$A$35,0))&amp;"",""))</f>
        <v/>
      </c>
      <c r="P1872" s="20">
        <f>IF(A1872="","",INDEX(الإعدادات!$H$7:$H$18,MONTH(A1872)))</f>
        <v/>
      </c>
      <c r="Q1872" s="20">
        <f>IF(A1872="","",INDEX(الإعدادات!$I$7:$I$18,MONTH(A1872)))</f>
        <v/>
      </c>
      <c r="R1872" s="20">
        <f>IF(A1872="","",IF(MONTH(A1872)&gt;=8,YEAR(A1872)&amp;"-"&amp;(YEAR(A1872)+1),(YEAR(A1872)-1)&amp;"-"&amp;YEAR(A1872)))</f>
        <v/>
      </c>
      <c r="S1872" s="20">
        <f>IF(OR(A1872="",B1872=""),0,IF(AND(R1872=التقارير!$C$4,OR(التقارير!$C$5="سنوي",AND(التقارير!$C$5="شهري",P1872=التقارير!$C$6),AND(التقارير!$C$5="فصلي",Q1872=التقارير!$C$7))),1,0))</f>
        <v/>
      </c>
      <c r="T1872" s="20">
        <f>IF(S1872=1,COUNTIF($S$5:S1872,1),"")</f>
        <v/>
      </c>
      <c r="U1872">
        <f>IF(AND($A1872&lt;&gt;"",$B1872&lt;&gt;"",$R1872='تقرير الفصل الأول'!$C$4,$Q1872='تقرير الفصل الأول'!$C$7),COUNT(U$4:U1871)+1,"")</f>
        <v/>
      </c>
      <c r="V1872">
        <f>IF(AND($A1872&lt;&gt;"",$B1872&lt;&gt;"",$R1872='تقرير الفصل الثاني'!$C$4,$Q1872='تقرير الفصل الثاني'!$C$7),COUNT(V$4:V1871)+1,"")</f>
        <v/>
      </c>
      <c r="W1872">
        <f>IF(AND($A1872&lt;&gt;"",$B1872&lt;&gt;"",$R1872='تقرير سبتمبر'!$C$4,$P1872='تقرير سبتمبر'!$C$6),COUNT(W$4:W1871)+1,"")</f>
        <v/>
      </c>
      <c r="X1872">
        <f>IF(AND($A1872&lt;&gt;"",$B1872&lt;&gt;"",$R1872='تقرير أكتوبر'!$C$4,$P1872='تقرير أكتوبر'!$C$6),COUNT(X$4:X1871)+1,"")</f>
        <v/>
      </c>
      <c r="Y1872">
        <f>IF(AND($A1872&lt;&gt;"",$B1872&lt;&gt;"",$R1872='تقرير نوفمبر'!$C$4,$P1872='تقرير نوفمبر'!$C$6),COUNT(Y$4:Y1871)+1,"")</f>
        <v/>
      </c>
      <c r="Z1872">
        <f>IF(AND($A1872&lt;&gt;"",$B1872&lt;&gt;"",$R1872='تقرير ديسمبر'!$C$4,$P1872='تقرير ديسمبر'!$C$6),COUNT(Z$4:Z1871)+1,"")</f>
        <v/>
      </c>
      <c r="AA1872">
        <f>IF(AND($A1872&lt;&gt;"",$B1872&lt;&gt;"",$R1872='تقرير يناير'!$C$4,$P1872='تقرير يناير'!$C$6),COUNT(AA$4:AA1871)+1,"")</f>
        <v/>
      </c>
      <c r="AB1872">
        <f>IF(AND($A1872&lt;&gt;"",$B1872&lt;&gt;"",$R1872='تقرير فبراير'!$C$4,$P1872='تقرير فبراير'!$C$6),COUNT(AB$4:AB1871)+1,"")</f>
        <v/>
      </c>
      <c r="AC1872">
        <f>IF(AND($A1872&lt;&gt;"",$B1872&lt;&gt;"",$R1872='تقرير مارس'!$C$4,$P1872='تقرير مارس'!$C$6),COUNT(AC$4:AC1871)+1,"")</f>
        <v/>
      </c>
      <c r="AD1872">
        <f>IF(AND($A1872&lt;&gt;"",$B1872&lt;&gt;"",$R1872='تقرير أبريل'!$C$4,$P1872='تقرير أبريل'!$C$6),COUNT(AD$4:AD1871)+1,"")</f>
        <v/>
      </c>
      <c r="AE1872">
        <f>IF(AND($A1872&lt;&gt;"",$B1872&lt;&gt;"",$R1872='تقرير مايو'!$C$4,$P1872='تقرير مايو'!$C$6),COUNT(AE$4:AE1871)+1,"")</f>
        <v/>
      </c>
    </row>
    <row r="1873">
      <c r="A1873" s="16" t="n"/>
      <c r="B1873" s="17" t="n"/>
      <c r="C1873" s="17" t="n"/>
      <c r="D1873" s="18" t="n"/>
      <c r="E1873" s="17" t="n"/>
      <c r="F1873" s="17" t="n"/>
      <c r="G1873" s="19" t="n"/>
      <c r="H1873" s="17" t="n"/>
      <c r="I1873" s="17" t="n"/>
      <c r="J1873" s="17" t="n"/>
      <c r="K1873" s="20">
        <f>IF($B1873="","",IFERROR(INDEX(الموظفات!$A$5:$A$304,MATCH($B1873,الموظفات!$B$5:$B$304,0))&amp;"",""))</f>
        <v/>
      </c>
      <c r="L1873" s="21">
        <f>IF($B1873="","",IFERROR(INDEX(الموظفات!$C$5:$C$304,MATCH($B1873,الموظفات!$B$5:$B$304,0))&amp;"",""))</f>
        <v/>
      </c>
      <c r="M1873" s="20">
        <f>IF($B1873="","",IFERROR(INDEX(الموظفات!$D$5:$D$304,MATCH($B1873,الموظفات!$B$5:$B$304,0))&amp;"",""))</f>
        <v/>
      </c>
      <c r="N1873" s="20">
        <f>IF($B1873="","",IFERROR(INDEX(الموظفات!$E$5:$E$304,MATCH($B1873,الموظفات!$B$5:$B$304,0))&amp;"",""))</f>
        <v/>
      </c>
      <c r="O1873" s="21">
        <f>IF(C1873="","",IFERROR(INDEX(الإعدادات!$D$7:$D$35,MATCH(C1873,الإعدادات!$A$7:$A$35,0))&amp;"",""))</f>
        <v/>
      </c>
      <c r="P1873" s="20">
        <f>IF(A1873="","",INDEX(الإعدادات!$H$7:$H$18,MONTH(A1873)))</f>
        <v/>
      </c>
      <c r="Q1873" s="20">
        <f>IF(A1873="","",INDEX(الإعدادات!$I$7:$I$18,MONTH(A1873)))</f>
        <v/>
      </c>
      <c r="R1873" s="20">
        <f>IF(A1873="","",IF(MONTH(A1873)&gt;=8,YEAR(A1873)&amp;"-"&amp;(YEAR(A1873)+1),(YEAR(A1873)-1)&amp;"-"&amp;YEAR(A1873)))</f>
        <v/>
      </c>
      <c r="S1873" s="20">
        <f>IF(OR(A1873="",B1873=""),0,IF(AND(R1873=التقارير!$C$4,OR(التقارير!$C$5="سنوي",AND(التقارير!$C$5="شهري",P1873=التقارير!$C$6),AND(التقارير!$C$5="فصلي",Q1873=التقارير!$C$7))),1,0))</f>
        <v/>
      </c>
      <c r="T1873" s="20">
        <f>IF(S1873=1,COUNTIF($S$5:S1873,1),"")</f>
        <v/>
      </c>
      <c r="U1873">
        <f>IF(AND($A1873&lt;&gt;"",$B1873&lt;&gt;"",$R1873='تقرير الفصل الأول'!$C$4,$Q1873='تقرير الفصل الأول'!$C$7),COUNT(U$4:U1872)+1,"")</f>
        <v/>
      </c>
      <c r="V1873">
        <f>IF(AND($A1873&lt;&gt;"",$B1873&lt;&gt;"",$R1873='تقرير الفصل الثاني'!$C$4,$Q1873='تقرير الفصل الثاني'!$C$7),COUNT(V$4:V1872)+1,"")</f>
        <v/>
      </c>
      <c r="W1873">
        <f>IF(AND($A1873&lt;&gt;"",$B1873&lt;&gt;"",$R1873='تقرير سبتمبر'!$C$4,$P1873='تقرير سبتمبر'!$C$6),COUNT(W$4:W1872)+1,"")</f>
        <v/>
      </c>
      <c r="X1873">
        <f>IF(AND($A1873&lt;&gt;"",$B1873&lt;&gt;"",$R1873='تقرير أكتوبر'!$C$4,$P1873='تقرير أكتوبر'!$C$6),COUNT(X$4:X1872)+1,"")</f>
        <v/>
      </c>
      <c r="Y1873">
        <f>IF(AND($A1873&lt;&gt;"",$B1873&lt;&gt;"",$R1873='تقرير نوفمبر'!$C$4,$P1873='تقرير نوفمبر'!$C$6),COUNT(Y$4:Y1872)+1,"")</f>
        <v/>
      </c>
      <c r="Z1873">
        <f>IF(AND($A1873&lt;&gt;"",$B1873&lt;&gt;"",$R1873='تقرير ديسمبر'!$C$4,$P1873='تقرير ديسمبر'!$C$6),COUNT(Z$4:Z1872)+1,"")</f>
        <v/>
      </c>
      <c r="AA1873">
        <f>IF(AND($A1873&lt;&gt;"",$B1873&lt;&gt;"",$R1873='تقرير يناير'!$C$4,$P1873='تقرير يناير'!$C$6),COUNT(AA$4:AA1872)+1,"")</f>
        <v/>
      </c>
      <c r="AB1873">
        <f>IF(AND($A1873&lt;&gt;"",$B1873&lt;&gt;"",$R1873='تقرير فبراير'!$C$4,$P1873='تقرير فبراير'!$C$6),COUNT(AB$4:AB1872)+1,"")</f>
        <v/>
      </c>
      <c r="AC1873">
        <f>IF(AND($A1873&lt;&gt;"",$B1873&lt;&gt;"",$R1873='تقرير مارس'!$C$4,$P1873='تقرير مارس'!$C$6),COUNT(AC$4:AC1872)+1,"")</f>
        <v/>
      </c>
      <c r="AD1873">
        <f>IF(AND($A1873&lt;&gt;"",$B1873&lt;&gt;"",$R1873='تقرير أبريل'!$C$4,$P1873='تقرير أبريل'!$C$6),COUNT(AD$4:AD1872)+1,"")</f>
        <v/>
      </c>
      <c r="AE1873">
        <f>IF(AND($A1873&lt;&gt;"",$B1873&lt;&gt;"",$R1873='تقرير مايو'!$C$4,$P1873='تقرير مايو'!$C$6),COUNT(AE$4:AE1872)+1,"")</f>
        <v/>
      </c>
    </row>
    <row r="1874">
      <c r="A1874" s="16" t="n"/>
      <c r="B1874" s="17" t="n"/>
      <c r="C1874" s="17" t="n"/>
      <c r="D1874" s="18" t="n"/>
      <c r="E1874" s="17" t="n"/>
      <c r="F1874" s="17" t="n"/>
      <c r="G1874" s="19" t="n"/>
      <c r="H1874" s="17" t="n"/>
      <c r="I1874" s="17" t="n"/>
      <c r="J1874" s="17" t="n"/>
      <c r="K1874" s="20">
        <f>IF($B1874="","",IFERROR(INDEX(الموظفات!$A$5:$A$304,MATCH($B1874,الموظفات!$B$5:$B$304,0))&amp;"",""))</f>
        <v/>
      </c>
      <c r="L1874" s="21">
        <f>IF($B1874="","",IFERROR(INDEX(الموظفات!$C$5:$C$304,MATCH($B1874,الموظفات!$B$5:$B$304,0))&amp;"",""))</f>
        <v/>
      </c>
      <c r="M1874" s="20">
        <f>IF($B1874="","",IFERROR(INDEX(الموظفات!$D$5:$D$304,MATCH($B1874,الموظفات!$B$5:$B$304,0))&amp;"",""))</f>
        <v/>
      </c>
      <c r="N1874" s="20">
        <f>IF($B1874="","",IFERROR(INDEX(الموظفات!$E$5:$E$304,MATCH($B1874,الموظفات!$B$5:$B$304,0))&amp;"",""))</f>
        <v/>
      </c>
      <c r="O1874" s="21">
        <f>IF(C1874="","",IFERROR(INDEX(الإعدادات!$D$7:$D$35,MATCH(C1874,الإعدادات!$A$7:$A$35,0))&amp;"",""))</f>
        <v/>
      </c>
      <c r="P1874" s="20">
        <f>IF(A1874="","",INDEX(الإعدادات!$H$7:$H$18,MONTH(A1874)))</f>
        <v/>
      </c>
      <c r="Q1874" s="20">
        <f>IF(A1874="","",INDEX(الإعدادات!$I$7:$I$18,MONTH(A1874)))</f>
        <v/>
      </c>
      <c r="R1874" s="20">
        <f>IF(A1874="","",IF(MONTH(A1874)&gt;=8,YEAR(A1874)&amp;"-"&amp;(YEAR(A1874)+1),(YEAR(A1874)-1)&amp;"-"&amp;YEAR(A1874)))</f>
        <v/>
      </c>
      <c r="S1874" s="20">
        <f>IF(OR(A1874="",B1874=""),0,IF(AND(R1874=التقارير!$C$4,OR(التقارير!$C$5="سنوي",AND(التقارير!$C$5="شهري",P1874=التقارير!$C$6),AND(التقارير!$C$5="فصلي",Q1874=التقارير!$C$7))),1,0))</f>
        <v/>
      </c>
      <c r="T1874" s="20">
        <f>IF(S1874=1,COUNTIF($S$5:S1874,1),"")</f>
        <v/>
      </c>
      <c r="U1874">
        <f>IF(AND($A1874&lt;&gt;"",$B1874&lt;&gt;"",$R1874='تقرير الفصل الأول'!$C$4,$Q1874='تقرير الفصل الأول'!$C$7),COUNT(U$4:U1873)+1,"")</f>
        <v/>
      </c>
      <c r="V1874">
        <f>IF(AND($A1874&lt;&gt;"",$B1874&lt;&gt;"",$R1874='تقرير الفصل الثاني'!$C$4,$Q1874='تقرير الفصل الثاني'!$C$7),COUNT(V$4:V1873)+1,"")</f>
        <v/>
      </c>
      <c r="W1874">
        <f>IF(AND($A1874&lt;&gt;"",$B1874&lt;&gt;"",$R1874='تقرير سبتمبر'!$C$4,$P1874='تقرير سبتمبر'!$C$6),COUNT(W$4:W1873)+1,"")</f>
        <v/>
      </c>
      <c r="X1874">
        <f>IF(AND($A1874&lt;&gt;"",$B1874&lt;&gt;"",$R1874='تقرير أكتوبر'!$C$4,$P1874='تقرير أكتوبر'!$C$6),COUNT(X$4:X1873)+1,"")</f>
        <v/>
      </c>
      <c r="Y1874">
        <f>IF(AND($A1874&lt;&gt;"",$B1874&lt;&gt;"",$R1874='تقرير نوفمبر'!$C$4,$P1874='تقرير نوفمبر'!$C$6),COUNT(Y$4:Y1873)+1,"")</f>
        <v/>
      </c>
      <c r="Z1874">
        <f>IF(AND($A1874&lt;&gt;"",$B1874&lt;&gt;"",$R1874='تقرير ديسمبر'!$C$4,$P1874='تقرير ديسمبر'!$C$6),COUNT(Z$4:Z1873)+1,"")</f>
        <v/>
      </c>
      <c r="AA1874">
        <f>IF(AND($A1874&lt;&gt;"",$B1874&lt;&gt;"",$R1874='تقرير يناير'!$C$4,$P1874='تقرير يناير'!$C$6),COUNT(AA$4:AA1873)+1,"")</f>
        <v/>
      </c>
      <c r="AB1874">
        <f>IF(AND($A1874&lt;&gt;"",$B1874&lt;&gt;"",$R1874='تقرير فبراير'!$C$4,$P1874='تقرير فبراير'!$C$6),COUNT(AB$4:AB1873)+1,"")</f>
        <v/>
      </c>
      <c r="AC1874">
        <f>IF(AND($A1874&lt;&gt;"",$B1874&lt;&gt;"",$R1874='تقرير مارس'!$C$4,$P1874='تقرير مارس'!$C$6),COUNT(AC$4:AC1873)+1,"")</f>
        <v/>
      </c>
      <c r="AD1874">
        <f>IF(AND($A1874&lt;&gt;"",$B1874&lt;&gt;"",$R1874='تقرير أبريل'!$C$4,$P1874='تقرير أبريل'!$C$6),COUNT(AD$4:AD1873)+1,"")</f>
        <v/>
      </c>
      <c r="AE1874">
        <f>IF(AND($A1874&lt;&gt;"",$B1874&lt;&gt;"",$R1874='تقرير مايو'!$C$4,$P1874='تقرير مايو'!$C$6),COUNT(AE$4:AE1873)+1,"")</f>
        <v/>
      </c>
    </row>
    <row r="1875">
      <c r="A1875" s="16" t="n"/>
      <c r="B1875" s="17" t="n"/>
      <c r="C1875" s="17" t="n"/>
      <c r="D1875" s="18" t="n"/>
      <c r="E1875" s="17" t="n"/>
      <c r="F1875" s="17" t="n"/>
      <c r="G1875" s="19" t="n"/>
      <c r="H1875" s="17" t="n"/>
      <c r="I1875" s="17" t="n"/>
      <c r="J1875" s="17" t="n"/>
      <c r="K1875" s="20">
        <f>IF($B1875="","",IFERROR(INDEX(الموظفات!$A$5:$A$304,MATCH($B1875,الموظفات!$B$5:$B$304,0))&amp;"",""))</f>
        <v/>
      </c>
      <c r="L1875" s="21">
        <f>IF($B1875="","",IFERROR(INDEX(الموظفات!$C$5:$C$304,MATCH($B1875,الموظفات!$B$5:$B$304,0))&amp;"",""))</f>
        <v/>
      </c>
      <c r="M1875" s="20">
        <f>IF($B1875="","",IFERROR(INDEX(الموظفات!$D$5:$D$304,MATCH($B1875,الموظفات!$B$5:$B$304,0))&amp;"",""))</f>
        <v/>
      </c>
      <c r="N1875" s="20">
        <f>IF($B1875="","",IFERROR(INDEX(الموظفات!$E$5:$E$304,MATCH($B1875,الموظفات!$B$5:$B$304,0))&amp;"",""))</f>
        <v/>
      </c>
      <c r="O1875" s="21">
        <f>IF(C1875="","",IFERROR(INDEX(الإعدادات!$D$7:$D$35,MATCH(C1875,الإعدادات!$A$7:$A$35,0))&amp;"",""))</f>
        <v/>
      </c>
      <c r="P1875" s="20">
        <f>IF(A1875="","",INDEX(الإعدادات!$H$7:$H$18,MONTH(A1875)))</f>
        <v/>
      </c>
      <c r="Q1875" s="20">
        <f>IF(A1875="","",INDEX(الإعدادات!$I$7:$I$18,MONTH(A1875)))</f>
        <v/>
      </c>
      <c r="R1875" s="20">
        <f>IF(A1875="","",IF(MONTH(A1875)&gt;=8,YEAR(A1875)&amp;"-"&amp;(YEAR(A1875)+1),(YEAR(A1875)-1)&amp;"-"&amp;YEAR(A1875)))</f>
        <v/>
      </c>
      <c r="S1875" s="20">
        <f>IF(OR(A1875="",B1875=""),0,IF(AND(R1875=التقارير!$C$4,OR(التقارير!$C$5="سنوي",AND(التقارير!$C$5="شهري",P1875=التقارير!$C$6),AND(التقارير!$C$5="فصلي",Q1875=التقارير!$C$7))),1,0))</f>
        <v/>
      </c>
      <c r="T1875" s="20">
        <f>IF(S1875=1,COUNTIF($S$5:S1875,1),"")</f>
        <v/>
      </c>
      <c r="U1875">
        <f>IF(AND($A1875&lt;&gt;"",$B1875&lt;&gt;"",$R1875='تقرير الفصل الأول'!$C$4,$Q1875='تقرير الفصل الأول'!$C$7),COUNT(U$4:U1874)+1,"")</f>
        <v/>
      </c>
      <c r="V1875">
        <f>IF(AND($A1875&lt;&gt;"",$B1875&lt;&gt;"",$R1875='تقرير الفصل الثاني'!$C$4,$Q1875='تقرير الفصل الثاني'!$C$7),COUNT(V$4:V1874)+1,"")</f>
        <v/>
      </c>
      <c r="W1875">
        <f>IF(AND($A1875&lt;&gt;"",$B1875&lt;&gt;"",$R1875='تقرير سبتمبر'!$C$4,$P1875='تقرير سبتمبر'!$C$6),COUNT(W$4:W1874)+1,"")</f>
        <v/>
      </c>
      <c r="X1875">
        <f>IF(AND($A1875&lt;&gt;"",$B1875&lt;&gt;"",$R1875='تقرير أكتوبر'!$C$4,$P1875='تقرير أكتوبر'!$C$6),COUNT(X$4:X1874)+1,"")</f>
        <v/>
      </c>
      <c r="Y1875">
        <f>IF(AND($A1875&lt;&gt;"",$B1875&lt;&gt;"",$R1875='تقرير نوفمبر'!$C$4,$P1875='تقرير نوفمبر'!$C$6),COUNT(Y$4:Y1874)+1,"")</f>
        <v/>
      </c>
      <c r="Z1875">
        <f>IF(AND($A1875&lt;&gt;"",$B1875&lt;&gt;"",$R1875='تقرير ديسمبر'!$C$4,$P1875='تقرير ديسمبر'!$C$6),COUNT(Z$4:Z1874)+1,"")</f>
        <v/>
      </c>
      <c r="AA1875">
        <f>IF(AND($A1875&lt;&gt;"",$B1875&lt;&gt;"",$R1875='تقرير يناير'!$C$4,$P1875='تقرير يناير'!$C$6),COUNT(AA$4:AA1874)+1,"")</f>
        <v/>
      </c>
      <c r="AB1875">
        <f>IF(AND($A1875&lt;&gt;"",$B1875&lt;&gt;"",$R1875='تقرير فبراير'!$C$4,$P1875='تقرير فبراير'!$C$6),COUNT(AB$4:AB1874)+1,"")</f>
        <v/>
      </c>
      <c r="AC1875">
        <f>IF(AND($A1875&lt;&gt;"",$B1875&lt;&gt;"",$R1875='تقرير مارس'!$C$4,$P1875='تقرير مارس'!$C$6),COUNT(AC$4:AC1874)+1,"")</f>
        <v/>
      </c>
      <c r="AD1875">
        <f>IF(AND($A1875&lt;&gt;"",$B1875&lt;&gt;"",$R1875='تقرير أبريل'!$C$4,$P1875='تقرير أبريل'!$C$6),COUNT(AD$4:AD1874)+1,"")</f>
        <v/>
      </c>
      <c r="AE1875">
        <f>IF(AND($A1875&lt;&gt;"",$B1875&lt;&gt;"",$R1875='تقرير مايو'!$C$4,$P1875='تقرير مايو'!$C$6),COUNT(AE$4:AE1874)+1,"")</f>
        <v/>
      </c>
    </row>
    <row r="1876">
      <c r="A1876" s="16" t="n"/>
      <c r="B1876" s="17" t="n"/>
      <c r="C1876" s="17" t="n"/>
      <c r="D1876" s="18" t="n"/>
      <c r="E1876" s="17" t="n"/>
      <c r="F1876" s="17" t="n"/>
      <c r="G1876" s="19" t="n"/>
      <c r="H1876" s="17" t="n"/>
      <c r="I1876" s="17" t="n"/>
      <c r="J1876" s="17" t="n"/>
      <c r="K1876" s="20">
        <f>IF($B1876="","",IFERROR(INDEX(الموظفات!$A$5:$A$304,MATCH($B1876,الموظفات!$B$5:$B$304,0))&amp;"",""))</f>
        <v/>
      </c>
      <c r="L1876" s="21">
        <f>IF($B1876="","",IFERROR(INDEX(الموظفات!$C$5:$C$304,MATCH($B1876,الموظفات!$B$5:$B$304,0))&amp;"",""))</f>
        <v/>
      </c>
      <c r="M1876" s="20">
        <f>IF($B1876="","",IFERROR(INDEX(الموظفات!$D$5:$D$304,MATCH($B1876,الموظفات!$B$5:$B$304,0))&amp;"",""))</f>
        <v/>
      </c>
      <c r="N1876" s="20">
        <f>IF($B1876="","",IFERROR(INDEX(الموظفات!$E$5:$E$304,MATCH($B1876,الموظفات!$B$5:$B$304,0))&amp;"",""))</f>
        <v/>
      </c>
      <c r="O1876" s="21">
        <f>IF(C1876="","",IFERROR(INDEX(الإعدادات!$D$7:$D$35,MATCH(C1876,الإعدادات!$A$7:$A$35,0))&amp;"",""))</f>
        <v/>
      </c>
      <c r="P1876" s="20">
        <f>IF(A1876="","",INDEX(الإعدادات!$H$7:$H$18,MONTH(A1876)))</f>
        <v/>
      </c>
      <c r="Q1876" s="20">
        <f>IF(A1876="","",INDEX(الإعدادات!$I$7:$I$18,MONTH(A1876)))</f>
        <v/>
      </c>
      <c r="R1876" s="20">
        <f>IF(A1876="","",IF(MONTH(A1876)&gt;=8,YEAR(A1876)&amp;"-"&amp;(YEAR(A1876)+1),(YEAR(A1876)-1)&amp;"-"&amp;YEAR(A1876)))</f>
        <v/>
      </c>
      <c r="S1876" s="20">
        <f>IF(OR(A1876="",B1876=""),0,IF(AND(R1876=التقارير!$C$4,OR(التقارير!$C$5="سنوي",AND(التقارير!$C$5="شهري",P1876=التقارير!$C$6),AND(التقارير!$C$5="فصلي",Q1876=التقارير!$C$7))),1,0))</f>
        <v/>
      </c>
      <c r="T1876" s="20">
        <f>IF(S1876=1,COUNTIF($S$5:S1876,1),"")</f>
        <v/>
      </c>
      <c r="U1876">
        <f>IF(AND($A1876&lt;&gt;"",$B1876&lt;&gt;"",$R1876='تقرير الفصل الأول'!$C$4,$Q1876='تقرير الفصل الأول'!$C$7),COUNT(U$4:U1875)+1,"")</f>
        <v/>
      </c>
      <c r="V1876">
        <f>IF(AND($A1876&lt;&gt;"",$B1876&lt;&gt;"",$R1876='تقرير الفصل الثاني'!$C$4,$Q1876='تقرير الفصل الثاني'!$C$7),COUNT(V$4:V1875)+1,"")</f>
        <v/>
      </c>
      <c r="W1876">
        <f>IF(AND($A1876&lt;&gt;"",$B1876&lt;&gt;"",$R1876='تقرير سبتمبر'!$C$4,$P1876='تقرير سبتمبر'!$C$6),COUNT(W$4:W1875)+1,"")</f>
        <v/>
      </c>
      <c r="X1876">
        <f>IF(AND($A1876&lt;&gt;"",$B1876&lt;&gt;"",$R1876='تقرير أكتوبر'!$C$4,$P1876='تقرير أكتوبر'!$C$6),COUNT(X$4:X1875)+1,"")</f>
        <v/>
      </c>
      <c r="Y1876">
        <f>IF(AND($A1876&lt;&gt;"",$B1876&lt;&gt;"",$R1876='تقرير نوفمبر'!$C$4,$P1876='تقرير نوفمبر'!$C$6),COUNT(Y$4:Y1875)+1,"")</f>
        <v/>
      </c>
      <c r="Z1876">
        <f>IF(AND($A1876&lt;&gt;"",$B1876&lt;&gt;"",$R1876='تقرير ديسمبر'!$C$4,$P1876='تقرير ديسمبر'!$C$6),COUNT(Z$4:Z1875)+1,"")</f>
        <v/>
      </c>
      <c r="AA1876">
        <f>IF(AND($A1876&lt;&gt;"",$B1876&lt;&gt;"",$R1876='تقرير يناير'!$C$4,$P1876='تقرير يناير'!$C$6),COUNT(AA$4:AA1875)+1,"")</f>
        <v/>
      </c>
      <c r="AB1876">
        <f>IF(AND($A1876&lt;&gt;"",$B1876&lt;&gt;"",$R1876='تقرير فبراير'!$C$4,$P1876='تقرير فبراير'!$C$6),COUNT(AB$4:AB1875)+1,"")</f>
        <v/>
      </c>
      <c r="AC1876">
        <f>IF(AND($A1876&lt;&gt;"",$B1876&lt;&gt;"",$R1876='تقرير مارس'!$C$4,$P1876='تقرير مارس'!$C$6),COUNT(AC$4:AC1875)+1,"")</f>
        <v/>
      </c>
      <c r="AD1876">
        <f>IF(AND($A1876&lt;&gt;"",$B1876&lt;&gt;"",$R1876='تقرير أبريل'!$C$4,$P1876='تقرير أبريل'!$C$6),COUNT(AD$4:AD1875)+1,"")</f>
        <v/>
      </c>
      <c r="AE1876">
        <f>IF(AND($A1876&lt;&gt;"",$B1876&lt;&gt;"",$R1876='تقرير مايو'!$C$4,$P1876='تقرير مايو'!$C$6),COUNT(AE$4:AE1875)+1,"")</f>
        <v/>
      </c>
    </row>
    <row r="1877">
      <c r="A1877" s="16" t="n"/>
      <c r="B1877" s="17" t="n"/>
      <c r="C1877" s="17" t="n"/>
      <c r="D1877" s="18" t="n"/>
      <c r="E1877" s="17" t="n"/>
      <c r="F1877" s="17" t="n"/>
      <c r="G1877" s="19" t="n"/>
      <c r="H1877" s="17" t="n"/>
      <c r="I1877" s="17" t="n"/>
      <c r="J1877" s="17" t="n"/>
      <c r="K1877" s="20">
        <f>IF($B1877="","",IFERROR(INDEX(الموظفات!$A$5:$A$304,MATCH($B1877,الموظفات!$B$5:$B$304,0))&amp;"",""))</f>
        <v/>
      </c>
      <c r="L1877" s="21">
        <f>IF($B1877="","",IFERROR(INDEX(الموظفات!$C$5:$C$304,MATCH($B1877,الموظفات!$B$5:$B$304,0))&amp;"",""))</f>
        <v/>
      </c>
      <c r="M1877" s="20">
        <f>IF($B1877="","",IFERROR(INDEX(الموظفات!$D$5:$D$304,MATCH($B1877,الموظفات!$B$5:$B$304,0))&amp;"",""))</f>
        <v/>
      </c>
      <c r="N1877" s="20">
        <f>IF($B1877="","",IFERROR(INDEX(الموظفات!$E$5:$E$304,MATCH($B1877,الموظفات!$B$5:$B$304,0))&amp;"",""))</f>
        <v/>
      </c>
      <c r="O1877" s="21">
        <f>IF(C1877="","",IFERROR(INDEX(الإعدادات!$D$7:$D$35,MATCH(C1877,الإعدادات!$A$7:$A$35,0))&amp;"",""))</f>
        <v/>
      </c>
      <c r="P1877" s="20">
        <f>IF(A1877="","",INDEX(الإعدادات!$H$7:$H$18,MONTH(A1877)))</f>
        <v/>
      </c>
      <c r="Q1877" s="20">
        <f>IF(A1877="","",INDEX(الإعدادات!$I$7:$I$18,MONTH(A1877)))</f>
        <v/>
      </c>
      <c r="R1877" s="20">
        <f>IF(A1877="","",IF(MONTH(A1877)&gt;=8,YEAR(A1877)&amp;"-"&amp;(YEAR(A1877)+1),(YEAR(A1877)-1)&amp;"-"&amp;YEAR(A1877)))</f>
        <v/>
      </c>
      <c r="S1877" s="20">
        <f>IF(OR(A1877="",B1877=""),0,IF(AND(R1877=التقارير!$C$4,OR(التقارير!$C$5="سنوي",AND(التقارير!$C$5="شهري",P1877=التقارير!$C$6),AND(التقارير!$C$5="فصلي",Q1877=التقارير!$C$7))),1,0))</f>
        <v/>
      </c>
      <c r="T1877" s="20">
        <f>IF(S1877=1,COUNTIF($S$5:S1877,1),"")</f>
        <v/>
      </c>
      <c r="U1877">
        <f>IF(AND($A1877&lt;&gt;"",$B1877&lt;&gt;"",$R1877='تقرير الفصل الأول'!$C$4,$Q1877='تقرير الفصل الأول'!$C$7),COUNT(U$4:U1876)+1,"")</f>
        <v/>
      </c>
      <c r="V1877">
        <f>IF(AND($A1877&lt;&gt;"",$B1877&lt;&gt;"",$R1877='تقرير الفصل الثاني'!$C$4,$Q1877='تقرير الفصل الثاني'!$C$7),COUNT(V$4:V1876)+1,"")</f>
        <v/>
      </c>
      <c r="W1877">
        <f>IF(AND($A1877&lt;&gt;"",$B1877&lt;&gt;"",$R1877='تقرير سبتمبر'!$C$4,$P1877='تقرير سبتمبر'!$C$6),COUNT(W$4:W1876)+1,"")</f>
        <v/>
      </c>
      <c r="X1877">
        <f>IF(AND($A1877&lt;&gt;"",$B1877&lt;&gt;"",$R1877='تقرير أكتوبر'!$C$4,$P1877='تقرير أكتوبر'!$C$6),COUNT(X$4:X1876)+1,"")</f>
        <v/>
      </c>
      <c r="Y1877">
        <f>IF(AND($A1877&lt;&gt;"",$B1877&lt;&gt;"",$R1877='تقرير نوفمبر'!$C$4,$P1877='تقرير نوفمبر'!$C$6),COUNT(Y$4:Y1876)+1,"")</f>
        <v/>
      </c>
      <c r="Z1877">
        <f>IF(AND($A1877&lt;&gt;"",$B1877&lt;&gt;"",$R1877='تقرير ديسمبر'!$C$4,$P1877='تقرير ديسمبر'!$C$6),COUNT(Z$4:Z1876)+1,"")</f>
        <v/>
      </c>
      <c r="AA1877">
        <f>IF(AND($A1877&lt;&gt;"",$B1877&lt;&gt;"",$R1877='تقرير يناير'!$C$4,$P1877='تقرير يناير'!$C$6),COUNT(AA$4:AA1876)+1,"")</f>
        <v/>
      </c>
      <c r="AB1877">
        <f>IF(AND($A1877&lt;&gt;"",$B1877&lt;&gt;"",$R1877='تقرير فبراير'!$C$4,$P1877='تقرير فبراير'!$C$6),COUNT(AB$4:AB1876)+1,"")</f>
        <v/>
      </c>
      <c r="AC1877">
        <f>IF(AND($A1877&lt;&gt;"",$B1877&lt;&gt;"",$R1877='تقرير مارس'!$C$4,$P1877='تقرير مارس'!$C$6),COUNT(AC$4:AC1876)+1,"")</f>
        <v/>
      </c>
      <c r="AD1877">
        <f>IF(AND($A1877&lt;&gt;"",$B1877&lt;&gt;"",$R1877='تقرير أبريل'!$C$4,$P1877='تقرير أبريل'!$C$6),COUNT(AD$4:AD1876)+1,"")</f>
        <v/>
      </c>
      <c r="AE1877">
        <f>IF(AND($A1877&lt;&gt;"",$B1877&lt;&gt;"",$R1877='تقرير مايو'!$C$4,$P1877='تقرير مايو'!$C$6),COUNT(AE$4:AE1876)+1,"")</f>
        <v/>
      </c>
    </row>
    <row r="1878">
      <c r="A1878" s="16" t="n"/>
      <c r="B1878" s="17" t="n"/>
      <c r="C1878" s="17" t="n"/>
      <c r="D1878" s="18" t="n"/>
      <c r="E1878" s="17" t="n"/>
      <c r="F1878" s="17" t="n"/>
      <c r="G1878" s="19" t="n"/>
      <c r="H1878" s="17" t="n"/>
      <c r="I1878" s="17" t="n"/>
      <c r="J1878" s="17" t="n"/>
      <c r="K1878" s="20">
        <f>IF($B1878="","",IFERROR(INDEX(الموظفات!$A$5:$A$304,MATCH($B1878,الموظفات!$B$5:$B$304,0))&amp;"",""))</f>
        <v/>
      </c>
      <c r="L1878" s="21">
        <f>IF($B1878="","",IFERROR(INDEX(الموظفات!$C$5:$C$304,MATCH($B1878,الموظفات!$B$5:$B$304,0))&amp;"",""))</f>
        <v/>
      </c>
      <c r="M1878" s="20">
        <f>IF($B1878="","",IFERROR(INDEX(الموظفات!$D$5:$D$304,MATCH($B1878,الموظفات!$B$5:$B$304,0))&amp;"",""))</f>
        <v/>
      </c>
      <c r="N1878" s="20">
        <f>IF($B1878="","",IFERROR(INDEX(الموظفات!$E$5:$E$304,MATCH($B1878,الموظفات!$B$5:$B$304,0))&amp;"",""))</f>
        <v/>
      </c>
      <c r="O1878" s="21">
        <f>IF(C1878="","",IFERROR(INDEX(الإعدادات!$D$7:$D$35,MATCH(C1878,الإعدادات!$A$7:$A$35,0))&amp;"",""))</f>
        <v/>
      </c>
      <c r="P1878" s="20">
        <f>IF(A1878="","",INDEX(الإعدادات!$H$7:$H$18,MONTH(A1878)))</f>
        <v/>
      </c>
      <c r="Q1878" s="20">
        <f>IF(A1878="","",INDEX(الإعدادات!$I$7:$I$18,MONTH(A1878)))</f>
        <v/>
      </c>
      <c r="R1878" s="20">
        <f>IF(A1878="","",IF(MONTH(A1878)&gt;=8,YEAR(A1878)&amp;"-"&amp;(YEAR(A1878)+1),(YEAR(A1878)-1)&amp;"-"&amp;YEAR(A1878)))</f>
        <v/>
      </c>
      <c r="S1878" s="20">
        <f>IF(OR(A1878="",B1878=""),0,IF(AND(R1878=التقارير!$C$4,OR(التقارير!$C$5="سنوي",AND(التقارير!$C$5="شهري",P1878=التقارير!$C$6),AND(التقارير!$C$5="فصلي",Q1878=التقارير!$C$7))),1,0))</f>
        <v/>
      </c>
      <c r="T1878" s="20">
        <f>IF(S1878=1,COUNTIF($S$5:S1878,1),"")</f>
        <v/>
      </c>
      <c r="U1878">
        <f>IF(AND($A1878&lt;&gt;"",$B1878&lt;&gt;"",$R1878='تقرير الفصل الأول'!$C$4,$Q1878='تقرير الفصل الأول'!$C$7),COUNT(U$4:U1877)+1,"")</f>
        <v/>
      </c>
      <c r="V1878">
        <f>IF(AND($A1878&lt;&gt;"",$B1878&lt;&gt;"",$R1878='تقرير الفصل الثاني'!$C$4,$Q1878='تقرير الفصل الثاني'!$C$7),COUNT(V$4:V1877)+1,"")</f>
        <v/>
      </c>
      <c r="W1878">
        <f>IF(AND($A1878&lt;&gt;"",$B1878&lt;&gt;"",$R1878='تقرير سبتمبر'!$C$4,$P1878='تقرير سبتمبر'!$C$6),COUNT(W$4:W1877)+1,"")</f>
        <v/>
      </c>
      <c r="X1878">
        <f>IF(AND($A1878&lt;&gt;"",$B1878&lt;&gt;"",$R1878='تقرير أكتوبر'!$C$4,$P1878='تقرير أكتوبر'!$C$6),COUNT(X$4:X1877)+1,"")</f>
        <v/>
      </c>
      <c r="Y1878">
        <f>IF(AND($A1878&lt;&gt;"",$B1878&lt;&gt;"",$R1878='تقرير نوفمبر'!$C$4,$P1878='تقرير نوفمبر'!$C$6),COUNT(Y$4:Y1877)+1,"")</f>
        <v/>
      </c>
      <c r="Z1878">
        <f>IF(AND($A1878&lt;&gt;"",$B1878&lt;&gt;"",$R1878='تقرير ديسمبر'!$C$4,$P1878='تقرير ديسمبر'!$C$6),COUNT(Z$4:Z1877)+1,"")</f>
        <v/>
      </c>
      <c r="AA1878">
        <f>IF(AND($A1878&lt;&gt;"",$B1878&lt;&gt;"",$R1878='تقرير يناير'!$C$4,$P1878='تقرير يناير'!$C$6),COUNT(AA$4:AA1877)+1,"")</f>
        <v/>
      </c>
      <c r="AB1878">
        <f>IF(AND($A1878&lt;&gt;"",$B1878&lt;&gt;"",$R1878='تقرير فبراير'!$C$4,$P1878='تقرير فبراير'!$C$6),COUNT(AB$4:AB1877)+1,"")</f>
        <v/>
      </c>
      <c r="AC1878">
        <f>IF(AND($A1878&lt;&gt;"",$B1878&lt;&gt;"",$R1878='تقرير مارس'!$C$4,$P1878='تقرير مارس'!$C$6),COUNT(AC$4:AC1877)+1,"")</f>
        <v/>
      </c>
      <c r="AD1878">
        <f>IF(AND($A1878&lt;&gt;"",$B1878&lt;&gt;"",$R1878='تقرير أبريل'!$C$4,$P1878='تقرير أبريل'!$C$6),COUNT(AD$4:AD1877)+1,"")</f>
        <v/>
      </c>
      <c r="AE1878">
        <f>IF(AND($A1878&lt;&gt;"",$B1878&lt;&gt;"",$R1878='تقرير مايو'!$C$4,$P1878='تقرير مايو'!$C$6),COUNT(AE$4:AE1877)+1,"")</f>
        <v/>
      </c>
    </row>
    <row r="1879">
      <c r="A1879" s="16" t="n"/>
      <c r="B1879" s="17" t="n"/>
      <c r="C1879" s="17" t="n"/>
      <c r="D1879" s="18" t="n"/>
      <c r="E1879" s="17" t="n"/>
      <c r="F1879" s="17" t="n"/>
      <c r="G1879" s="19" t="n"/>
      <c r="H1879" s="17" t="n"/>
      <c r="I1879" s="17" t="n"/>
      <c r="J1879" s="17" t="n"/>
      <c r="K1879" s="20">
        <f>IF($B1879="","",IFERROR(INDEX(الموظفات!$A$5:$A$304,MATCH($B1879,الموظفات!$B$5:$B$304,0))&amp;"",""))</f>
        <v/>
      </c>
      <c r="L1879" s="21">
        <f>IF($B1879="","",IFERROR(INDEX(الموظفات!$C$5:$C$304,MATCH($B1879,الموظفات!$B$5:$B$304,0))&amp;"",""))</f>
        <v/>
      </c>
      <c r="M1879" s="20">
        <f>IF($B1879="","",IFERROR(INDEX(الموظفات!$D$5:$D$304,MATCH($B1879,الموظفات!$B$5:$B$304,0))&amp;"",""))</f>
        <v/>
      </c>
      <c r="N1879" s="20">
        <f>IF($B1879="","",IFERROR(INDEX(الموظفات!$E$5:$E$304,MATCH($B1879,الموظفات!$B$5:$B$304,0))&amp;"",""))</f>
        <v/>
      </c>
      <c r="O1879" s="21">
        <f>IF(C1879="","",IFERROR(INDEX(الإعدادات!$D$7:$D$35,MATCH(C1879,الإعدادات!$A$7:$A$35,0))&amp;"",""))</f>
        <v/>
      </c>
      <c r="P1879" s="20">
        <f>IF(A1879="","",INDEX(الإعدادات!$H$7:$H$18,MONTH(A1879)))</f>
        <v/>
      </c>
      <c r="Q1879" s="20">
        <f>IF(A1879="","",INDEX(الإعدادات!$I$7:$I$18,MONTH(A1879)))</f>
        <v/>
      </c>
      <c r="R1879" s="20">
        <f>IF(A1879="","",IF(MONTH(A1879)&gt;=8,YEAR(A1879)&amp;"-"&amp;(YEAR(A1879)+1),(YEAR(A1879)-1)&amp;"-"&amp;YEAR(A1879)))</f>
        <v/>
      </c>
      <c r="S1879" s="20">
        <f>IF(OR(A1879="",B1879=""),0,IF(AND(R1879=التقارير!$C$4,OR(التقارير!$C$5="سنوي",AND(التقارير!$C$5="شهري",P1879=التقارير!$C$6),AND(التقارير!$C$5="فصلي",Q1879=التقارير!$C$7))),1,0))</f>
        <v/>
      </c>
      <c r="T1879" s="20">
        <f>IF(S1879=1,COUNTIF($S$5:S1879,1),"")</f>
        <v/>
      </c>
      <c r="U1879">
        <f>IF(AND($A1879&lt;&gt;"",$B1879&lt;&gt;"",$R1879='تقرير الفصل الأول'!$C$4,$Q1879='تقرير الفصل الأول'!$C$7),COUNT(U$4:U1878)+1,"")</f>
        <v/>
      </c>
      <c r="V1879">
        <f>IF(AND($A1879&lt;&gt;"",$B1879&lt;&gt;"",$R1879='تقرير الفصل الثاني'!$C$4,$Q1879='تقرير الفصل الثاني'!$C$7),COUNT(V$4:V1878)+1,"")</f>
        <v/>
      </c>
      <c r="W1879">
        <f>IF(AND($A1879&lt;&gt;"",$B1879&lt;&gt;"",$R1879='تقرير سبتمبر'!$C$4,$P1879='تقرير سبتمبر'!$C$6),COUNT(W$4:W1878)+1,"")</f>
        <v/>
      </c>
      <c r="X1879">
        <f>IF(AND($A1879&lt;&gt;"",$B1879&lt;&gt;"",$R1879='تقرير أكتوبر'!$C$4,$P1879='تقرير أكتوبر'!$C$6),COUNT(X$4:X1878)+1,"")</f>
        <v/>
      </c>
      <c r="Y1879">
        <f>IF(AND($A1879&lt;&gt;"",$B1879&lt;&gt;"",$R1879='تقرير نوفمبر'!$C$4,$P1879='تقرير نوفمبر'!$C$6),COUNT(Y$4:Y1878)+1,"")</f>
        <v/>
      </c>
      <c r="Z1879">
        <f>IF(AND($A1879&lt;&gt;"",$B1879&lt;&gt;"",$R1879='تقرير ديسمبر'!$C$4,$P1879='تقرير ديسمبر'!$C$6),COUNT(Z$4:Z1878)+1,"")</f>
        <v/>
      </c>
      <c r="AA1879">
        <f>IF(AND($A1879&lt;&gt;"",$B1879&lt;&gt;"",$R1879='تقرير يناير'!$C$4,$P1879='تقرير يناير'!$C$6),COUNT(AA$4:AA1878)+1,"")</f>
        <v/>
      </c>
      <c r="AB1879">
        <f>IF(AND($A1879&lt;&gt;"",$B1879&lt;&gt;"",$R1879='تقرير فبراير'!$C$4,$P1879='تقرير فبراير'!$C$6),COUNT(AB$4:AB1878)+1,"")</f>
        <v/>
      </c>
      <c r="AC1879">
        <f>IF(AND($A1879&lt;&gt;"",$B1879&lt;&gt;"",$R1879='تقرير مارس'!$C$4,$P1879='تقرير مارس'!$C$6),COUNT(AC$4:AC1878)+1,"")</f>
        <v/>
      </c>
      <c r="AD1879">
        <f>IF(AND($A1879&lt;&gt;"",$B1879&lt;&gt;"",$R1879='تقرير أبريل'!$C$4,$P1879='تقرير أبريل'!$C$6),COUNT(AD$4:AD1878)+1,"")</f>
        <v/>
      </c>
      <c r="AE1879">
        <f>IF(AND($A1879&lt;&gt;"",$B1879&lt;&gt;"",$R1879='تقرير مايو'!$C$4,$P1879='تقرير مايو'!$C$6),COUNT(AE$4:AE1878)+1,"")</f>
        <v/>
      </c>
    </row>
    <row r="1880">
      <c r="A1880" s="16" t="n"/>
      <c r="B1880" s="17" t="n"/>
      <c r="C1880" s="17" t="n"/>
      <c r="D1880" s="18" t="n"/>
      <c r="E1880" s="17" t="n"/>
      <c r="F1880" s="17" t="n"/>
      <c r="G1880" s="19" t="n"/>
      <c r="H1880" s="17" t="n"/>
      <c r="I1880" s="17" t="n"/>
      <c r="J1880" s="17" t="n"/>
      <c r="K1880" s="20">
        <f>IF($B1880="","",IFERROR(INDEX(الموظفات!$A$5:$A$304,MATCH($B1880,الموظفات!$B$5:$B$304,0))&amp;"",""))</f>
        <v/>
      </c>
      <c r="L1880" s="21">
        <f>IF($B1880="","",IFERROR(INDEX(الموظفات!$C$5:$C$304,MATCH($B1880,الموظفات!$B$5:$B$304,0))&amp;"",""))</f>
        <v/>
      </c>
      <c r="M1880" s="20">
        <f>IF($B1880="","",IFERROR(INDEX(الموظفات!$D$5:$D$304,MATCH($B1880,الموظفات!$B$5:$B$304,0))&amp;"",""))</f>
        <v/>
      </c>
      <c r="N1880" s="20">
        <f>IF($B1880="","",IFERROR(INDEX(الموظفات!$E$5:$E$304,MATCH($B1880,الموظفات!$B$5:$B$304,0))&amp;"",""))</f>
        <v/>
      </c>
      <c r="O1880" s="21">
        <f>IF(C1880="","",IFERROR(INDEX(الإعدادات!$D$7:$D$35,MATCH(C1880,الإعدادات!$A$7:$A$35,0))&amp;"",""))</f>
        <v/>
      </c>
      <c r="P1880" s="20">
        <f>IF(A1880="","",INDEX(الإعدادات!$H$7:$H$18,MONTH(A1880)))</f>
        <v/>
      </c>
      <c r="Q1880" s="20">
        <f>IF(A1880="","",INDEX(الإعدادات!$I$7:$I$18,MONTH(A1880)))</f>
        <v/>
      </c>
      <c r="R1880" s="20">
        <f>IF(A1880="","",IF(MONTH(A1880)&gt;=8,YEAR(A1880)&amp;"-"&amp;(YEAR(A1880)+1),(YEAR(A1880)-1)&amp;"-"&amp;YEAR(A1880)))</f>
        <v/>
      </c>
      <c r="S1880" s="20">
        <f>IF(OR(A1880="",B1880=""),0,IF(AND(R1880=التقارير!$C$4,OR(التقارير!$C$5="سنوي",AND(التقارير!$C$5="شهري",P1880=التقارير!$C$6),AND(التقارير!$C$5="فصلي",Q1880=التقارير!$C$7))),1,0))</f>
        <v/>
      </c>
      <c r="T1880" s="20">
        <f>IF(S1880=1,COUNTIF($S$5:S1880,1),"")</f>
        <v/>
      </c>
      <c r="U1880">
        <f>IF(AND($A1880&lt;&gt;"",$B1880&lt;&gt;"",$R1880='تقرير الفصل الأول'!$C$4,$Q1880='تقرير الفصل الأول'!$C$7),COUNT(U$4:U1879)+1,"")</f>
        <v/>
      </c>
      <c r="V1880">
        <f>IF(AND($A1880&lt;&gt;"",$B1880&lt;&gt;"",$R1880='تقرير الفصل الثاني'!$C$4,$Q1880='تقرير الفصل الثاني'!$C$7),COUNT(V$4:V1879)+1,"")</f>
        <v/>
      </c>
      <c r="W1880">
        <f>IF(AND($A1880&lt;&gt;"",$B1880&lt;&gt;"",$R1880='تقرير سبتمبر'!$C$4,$P1880='تقرير سبتمبر'!$C$6),COUNT(W$4:W1879)+1,"")</f>
        <v/>
      </c>
      <c r="X1880">
        <f>IF(AND($A1880&lt;&gt;"",$B1880&lt;&gt;"",$R1880='تقرير أكتوبر'!$C$4,$P1880='تقرير أكتوبر'!$C$6),COUNT(X$4:X1879)+1,"")</f>
        <v/>
      </c>
      <c r="Y1880">
        <f>IF(AND($A1880&lt;&gt;"",$B1880&lt;&gt;"",$R1880='تقرير نوفمبر'!$C$4,$P1880='تقرير نوفمبر'!$C$6),COUNT(Y$4:Y1879)+1,"")</f>
        <v/>
      </c>
      <c r="Z1880">
        <f>IF(AND($A1880&lt;&gt;"",$B1880&lt;&gt;"",$R1880='تقرير ديسمبر'!$C$4,$P1880='تقرير ديسمبر'!$C$6),COUNT(Z$4:Z1879)+1,"")</f>
        <v/>
      </c>
      <c r="AA1880">
        <f>IF(AND($A1880&lt;&gt;"",$B1880&lt;&gt;"",$R1880='تقرير يناير'!$C$4,$P1880='تقرير يناير'!$C$6),COUNT(AA$4:AA1879)+1,"")</f>
        <v/>
      </c>
      <c r="AB1880">
        <f>IF(AND($A1880&lt;&gt;"",$B1880&lt;&gt;"",$R1880='تقرير فبراير'!$C$4,$P1880='تقرير فبراير'!$C$6),COUNT(AB$4:AB1879)+1,"")</f>
        <v/>
      </c>
      <c r="AC1880">
        <f>IF(AND($A1880&lt;&gt;"",$B1880&lt;&gt;"",$R1880='تقرير مارس'!$C$4,$P1880='تقرير مارس'!$C$6),COUNT(AC$4:AC1879)+1,"")</f>
        <v/>
      </c>
      <c r="AD1880">
        <f>IF(AND($A1880&lt;&gt;"",$B1880&lt;&gt;"",$R1880='تقرير أبريل'!$C$4,$P1880='تقرير أبريل'!$C$6),COUNT(AD$4:AD1879)+1,"")</f>
        <v/>
      </c>
      <c r="AE1880">
        <f>IF(AND($A1880&lt;&gt;"",$B1880&lt;&gt;"",$R1880='تقرير مايو'!$C$4,$P1880='تقرير مايو'!$C$6),COUNT(AE$4:AE1879)+1,"")</f>
        <v/>
      </c>
    </row>
    <row r="1881">
      <c r="A1881" s="16" t="n"/>
      <c r="B1881" s="17" t="n"/>
      <c r="C1881" s="17" t="n"/>
      <c r="D1881" s="18" t="n"/>
      <c r="E1881" s="17" t="n"/>
      <c r="F1881" s="17" t="n"/>
      <c r="G1881" s="19" t="n"/>
      <c r="H1881" s="17" t="n"/>
      <c r="I1881" s="17" t="n"/>
      <c r="J1881" s="17" t="n"/>
      <c r="K1881" s="20">
        <f>IF($B1881="","",IFERROR(INDEX(الموظفات!$A$5:$A$304,MATCH($B1881,الموظفات!$B$5:$B$304,0))&amp;"",""))</f>
        <v/>
      </c>
      <c r="L1881" s="21">
        <f>IF($B1881="","",IFERROR(INDEX(الموظفات!$C$5:$C$304,MATCH($B1881,الموظفات!$B$5:$B$304,0))&amp;"",""))</f>
        <v/>
      </c>
      <c r="M1881" s="20">
        <f>IF($B1881="","",IFERROR(INDEX(الموظفات!$D$5:$D$304,MATCH($B1881,الموظفات!$B$5:$B$304,0))&amp;"",""))</f>
        <v/>
      </c>
      <c r="N1881" s="20">
        <f>IF($B1881="","",IFERROR(INDEX(الموظفات!$E$5:$E$304,MATCH($B1881,الموظفات!$B$5:$B$304,0))&amp;"",""))</f>
        <v/>
      </c>
      <c r="O1881" s="21">
        <f>IF(C1881="","",IFERROR(INDEX(الإعدادات!$D$7:$D$35,MATCH(C1881,الإعدادات!$A$7:$A$35,0))&amp;"",""))</f>
        <v/>
      </c>
      <c r="P1881" s="20">
        <f>IF(A1881="","",INDEX(الإعدادات!$H$7:$H$18,MONTH(A1881)))</f>
        <v/>
      </c>
      <c r="Q1881" s="20">
        <f>IF(A1881="","",INDEX(الإعدادات!$I$7:$I$18,MONTH(A1881)))</f>
        <v/>
      </c>
      <c r="R1881" s="20">
        <f>IF(A1881="","",IF(MONTH(A1881)&gt;=8,YEAR(A1881)&amp;"-"&amp;(YEAR(A1881)+1),(YEAR(A1881)-1)&amp;"-"&amp;YEAR(A1881)))</f>
        <v/>
      </c>
      <c r="S1881" s="20">
        <f>IF(OR(A1881="",B1881=""),0,IF(AND(R1881=التقارير!$C$4,OR(التقارير!$C$5="سنوي",AND(التقارير!$C$5="شهري",P1881=التقارير!$C$6),AND(التقارير!$C$5="فصلي",Q1881=التقارير!$C$7))),1,0))</f>
        <v/>
      </c>
      <c r="T1881" s="20">
        <f>IF(S1881=1,COUNTIF($S$5:S1881,1),"")</f>
        <v/>
      </c>
      <c r="U1881">
        <f>IF(AND($A1881&lt;&gt;"",$B1881&lt;&gt;"",$R1881='تقرير الفصل الأول'!$C$4,$Q1881='تقرير الفصل الأول'!$C$7),COUNT(U$4:U1880)+1,"")</f>
        <v/>
      </c>
      <c r="V1881">
        <f>IF(AND($A1881&lt;&gt;"",$B1881&lt;&gt;"",$R1881='تقرير الفصل الثاني'!$C$4,$Q1881='تقرير الفصل الثاني'!$C$7),COUNT(V$4:V1880)+1,"")</f>
        <v/>
      </c>
      <c r="W1881">
        <f>IF(AND($A1881&lt;&gt;"",$B1881&lt;&gt;"",$R1881='تقرير سبتمبر'!$C$4,$P1881='تقرير سبتمبر'!$C$6),COUNT(W$4:W1880)+1,"")</f>
        <v/>
      </c>
      <c r="X1881">
        <f>IF(AND($A1881&lt;&gt;"",$B1881&lt;&gt;"",$R1881='تقرير أكتوبر'!$C$4,$P1881='تقرير أكتوبر'!$C$6),COUNT(X$4:X1880)+1,"")</f>
        <v/>
      </c>
      <c r="Y1881">
        <f>IF(AND($A1881&lt;&gt;"",$B1881&lt;&gt;"",$R1881='تقرير نوفمبر'!$C$4,$P1881='تقرير نوفمبر'!$C$6),COUNT(Y$4:Y1880)+1,"")</f>
        <v/>
      </c>
      <c r="Z1881">
        <f>IF(AND($A1881&lt;&gt;"",$B1881&lt;&gt;"",$R1881='تقرير ديسمبر'!$C$4,$P1881='تقرير ديسمبر'!$C$6),COUNT(Z$4:Z1880)+1,"")</f>
        <v/>
      </c>
      <c r="AA1881">
        <f>IF(AND($A1881&lt;&gt;"",$B1881&lt;&gt;"",$R1881='تقرير يناير'!$C$4,$P1881='تقرير يناير'!$C$6),COUNT(AA$4:AA1880)+1,"")</f>
        <v/>
      </c>
      <c r="AB1881">
        <f>IF(AND($A1881&lt;&gt;"",$B1881&lt;&gt;"",$R1881='تقرير فبراير'!$C$4,$P1881='تقرير فبراير'!$C$6),COUNT(AB$4:AB1880)+1,"")</f>
        <v/>
      </c>
      <c r="AC1881">
        <f>IF(AND($A1881&lt;&gt;"",$B1881&lt;&gt;"",$R1881='تقرير مارس'!$C$4,$P1881='تقرير مارس'!$C$6),COUNT(AC$4:AC1880)+1,"")</f>
        <v/>
      </c>
      <c r="AD1881">
        <f>IF(AND($A1881&lt;&gt;"",$B1881&lt;&gt;"",$R1881='تقرير أبريل'!$C$4,$P1881='تقرير أبريل'!$C$6),COUNT(AD$4:AD1880)+1,"")</f>
        <v/>
      </c>
      <c r="AE1881">
        <f>IF(AND($A1881&lt;&gt;"",$B1881&lt;&gt;"",$R1881='تقرير مايو'!$C$4,$P1881='تقرير مايو'!$C$6),COUNT(AE$4:AE1880)+1,"")</f>
        <v/>
      </c>
    </row>
    <row r="1882">
      <c r="A1882" s="16" t="n"/>
      <c r="B1882" s="17" t="n"/>
      <c r="C1882" s="17" t="n"/>
      <c r="D1882" s="18" t="n"/>
      <c r="E1882" s="17" t="n"/>
      <c r="F1882" s="17" t="n"/>
      <c r="G1882" s="19" t="n"/>
      <c r="H1882" s="17" t="n"/>
      <c r="I1882" s="17" t="n"/>
      <c r="J1882" s="17" t="n"/>
      <c r="K1882" s="20">
        <f>IF($B1882="","",IFERROR(INDEX(الموظفات!$A$5:$A$304,MATCH($B1882,الموظفات!$B$5:$B$304,0))&amp;"",""))</f>
        <v/>
      </c>
      <c r="L1882" s="21">
        <f>IF($B1882="","",IFERROR(INDEX(الموظفات!$C$5:$C$304,MATCH($B1882,الموظفات!$B$5:$B$304,0))&amp;"",""))</f>
        <v/>
      </c>
      <c r="M1882" s="20">
        <f>IF($B1882="","",IFERROR(INDEX(الموظفات!$D$5:$D$304,MATCH($B1882,الموظفات!$B$5:$B$304,0))&amp;"",""))</f>
        <v/>
      </c>
      <c r="N1882" s="20">
        <f>IF($B1882="","",IFERROR(INDEX(الموظفات!$E$5:$E$304,MATCH($B1882,الموظفات!$B$5:$B$304,0))&amp;"",""))</f>
        <v/>
      </c>
      <c r="O1882" s="21">
        <f>IF(C1882="","",IFERROR(INDEX(الإعدادات!$D$7:$D$35,MATCH(C1882,الإعدادات!$A$7:$A$35,0))&amp;"",""))</f>
        <v/>
      </c>
      <c r="P1882" s="20">
        <f>IF(A1882="","",INDEX(الإعدادات!$H$7:$H$18,MONTH(A1882)))</f>
        <v/>
      </c>
      <c r="Q1882" s="20">
        <f>IF(A1882="","",INDEX(الإعدادات!$I$7:$I$18,MONTH(A1882)))</f>
        <v/>
      </c>
      <c r="R1882" s="20">
        <f>IF(A1882="","",IF(MONTH(A1882)&gt;=8,YEAR(A1882)&amp;"-"&amp;(YEAR(A1882)+1),(YEAR(A1882)-1)&amp;"-"&amp;YEAR(A1882)))</f>
        <v/>
      </c>
      <c r="S1882" s="20">
        <f>IF(OR(A1882="",B1882=""),0,IF(AND(R1882=التقارير!$C$4,OR(التقارير!$C$5="سنوي",AND(التقارير!$C$5="شهري",P1882=التقارير!$C$6),AND(التقارير!$C$5="فصلي",Q1882=التقارير!$C$7))),1,0))</f>
        <v/>
      </c>
      <c r="T1882" s="20">
        <f>IF(S1882=1,COUNTIF($S$5:S1882,1),"")</f>
        <v/>
      </c>
      <c r="U1882">
        <f>IF(AND($A1882&lt;&gt;"",$B1882&lt;&gt;"",$R1882='تقرير الفصل الأول'!$C$4,$Q1882='تقرير الفصل الأول'!$C$7),COUNT(U$4:U1881)+1,"")</f>
        <v/>
      </c>
      <c r="V1882">
        <f>IF(AND($A1882&lt;&gt;"",$B1882&lt;&gt;"",$R1882='تقرير الفصل الثاني'!$C$4,$Q1882='تقرير الفصل الثاني'!$C$7),COUNT(V$4:V1881)+1,"")</f>
        <v/>
      </c>
      <c r="W1882">
        <f>IF(AND($A1882&lt;&gt;"",$B1882&lt;&gt;"",$R1882='تقرير سبتمبر'!$C$4,$P1882='تقرير سبتمبر'!$C$6),COUNT(W$4:W1881)+1,"")</f>
        <v/>
      </c>
      <c r="X1882">
        <f>IF(AND($A1882&lt;&gt;"",$B1882&lt;&gt;"",$R1882='تقرير أكتوبر'!$C$4,$P1882='تقرير أكتوبر'!$C$6),COUNT(X$4:X1881)+1,"")</f>
        <v/>
      </c>
      <c r="Y1882">
        <f>IF(AND($A1882&lt;&gt;"",$B1882&lt;&gt;"",$R1882='تقرير نوفمبر'!$C$4,$P1882='تقرير نوفمبر'!$C$6),COUNT(Y$4:Y1881)+1,"")</f>
        <v/>
      </c>
      <c r="Z1882">
        <f>IF(AND($A1882&lt;&gt;"",$B1882&lt;&gt;"",$R1882='تقرير ديسمبر'!$C$4,$P1882='تقرير ديسمبر'!$C$6),COUNT(Z$4:Z1881)+1,"")</f>
        <v/>
      </c>
      <c r="AA1882">
        <f>IF(AND($A1882&lt;&gt;"",$B1882&lt;&gt;"",$R1882='تقرير يناير'!$C$4,$P1882='تقرير يناير'!$C$6),COUNT(AA$4:AA1881)+1,"")</f>
        <v/>
      </c>
      <c r="AB1882">
        <f>IF(AND($A1882&lt;&gt;"",$B1882&lt;&gt;"",$R1882='تقرير فبراير'!$C$4,$P1882='تقرير فبراير'!$C$6),COUNT(AB$4:AB1881)+1,"")</f>
        <v/>
      </c>
      <c r="AC1882">
        <f>IF(AND($A1882&lt;&gt;"",$B1882&lt;&gt;"",$R1882='تقرير مارس'!$C$4,$P1882='تقرير مارس'!$C$6),COUNT(AC$4:AC1881)+1,"")</f>
        <v/>
      </c>
      <c r="AD1882">
        <f>IF(AND($A1882&lt;&gt;"",$B1882&lt;&gt;"",$R1882='تقرير أبريل'!$C$4,$P1882='تقرير أبريل'!$C$6),COUNT(AD$4:AD1881)+1,"")</f>
        <v/>
      </c>
      <c r="AE1882">
        <f>IF(AND($A1882&lt;&gt;"",$B1882&lt;&gt;"",$R1882='تقرير مايو'!$C$4,$P1882='تقرير مايو'!$C$6),COUNT(AE$4:AE1881)+1,"")</f>
        <v/>
      </c>
    </row>
    <row r="1883">
      <c r="A1883" s="16" t="n"/>
      <c r="B1883" s="17" t="n"/>
      <c r="C1883" s="17" t="n"/>
      <c r="D1883" s="18" t="n"/>
      <c r="E1883" s="17" t="n"/>
      <c r="F1883" s="17" t="n"/>
      <c r="G1883" s="19" t="n"/>
      <c r="H1883" s="17" t="n"/>
      <c r="I1883" s="17" t="n"/>
      <c r="J1883" s="17" t="n"/>
      <c r="K1883" s="20">
        <f>IF($B1883="","",IFERROR(INDEX(الموظفات!$A$5:$A$304,MATCH($B1883,الموظفات!$B$5:$B$304,0))&amp;"",""))</f>
        <v/>
      </c>
      <c r="L1883" s="21">
        <f>IF($B1883="","",IFERROR(INDEX(الموظفات!$C$5:$C$304,MATCH($B1883,الموظفات!$B$5:$B$304,0))&amp;"",""))</f>
        <v/>
      </c>
      <c r="M1883" s="20">
        <f>IF($B1883="","",IFERROR(INDEX(الموظفات!$D$5:$D$304,MATCH($B1883,الموظفات!$B$5:$B$304,0))&amp;"",""))</f>
        <v/>
      </c>
      <c r="N1883" s="20">
        <f>IF($B1883="","",IFERROR(INDEX(الموظفات!$E$5:$E$304,MATCH($B1883,الموظفات!$B$5:$B$304,0))&amp;"",""))</f>
        <v/>
      </c>
      <c r="O1883" s="21">
        <f>IF(C1883="","",IFERROR(INDEX(الإعدادات!$D$7:$D$35,MATCH(C1883,الإعدادات!$A$7:$A$35,0))&amp;"",""))</f>
        <v/>
      </c>
      <c r="P1883" s="20">
        <f>IF(A1883="","",INDEX(الإعدادات!$H$7:$H$18,MONTH(A1883)))</f>
        <v/>
      </c>
      <c r="Q1883" s="20">
        <f>IF(A1883="","",INDEX(الإعدادات!$I$7:$I$18,MONTH(A1883)))</f>
        <v/>
      </c>
      <c r="R1883" s="20">
        <f>IF(A1883="","",IF(MONTH(A1883)&gt;=8,YEAR(A1883)&amp;"-"&amp;(YEAR(A1883)+1),(YEAR(A1883)-1)&amp;"-"&amp;YEAR(A1883)))</f>
        <v/>
      </c>
      <c r="S1883" s="20">
        <f>IF(OR(A1883="",B1883=""),0,IF(AND(R1883=التقارير!$C$4,OR(التقارير!$C$5="سنوي",AND(التقارير!$C$5="شهري",P1883=التقارير!$C$6),AND(التقارير!$C$5="فصلي",Q1883=التقارير!$C$7))),1,0))</f>
        <v/>
      </c>
      <c r="T1883" s="20">
        <f>IF(S1883=1,COUNTIF($S$5:S1883,1),"")</f>
        <v/>
      </c>
      <c r="U1883">
        <f>IF(AND($A1883&lt;&gt;"",$B1883&lt;&gt;"",$R1883='تقرير الفصل الأول'!$C$4,$Q1883='تقرير الفصل الأول'!$C$7),COUNT(U$4:U1882)+1,"")</f>
        <v/>
      </c>
      <c r="V1883">
        <f>IF(AND($A1883&lt;&gt;"",$B1883&lt;&gt;"",$R1883='تقرير الفصل الثاني'!$C$4,$Q1883='تقرير الفصل الثاني'!$C$7),COUNT(V$4:V1882)+1,"")</f>
        <v/>
      </c>
      <c r="W1883">
        <f>IF(AND($A1883&lt;&gt;"",$B1883&lt;&gt;"",$R1883='تقرير سبتمبر'!$C$4,$P1883='تقرير سبتمبر'!$C$6),COUNT(W$4:W1882)+1,"")</f>
        <v/>
      </c>
      <c r="X1883">
        <f>IF(AND($A1883&lt;&gt;"",$B1883&lt;&gt;"",$R1883='تقرير أكتوبر'!$C$4,$P1883='تقرير أكتوبر'!$C$6),COUNT(X$4:X1882)+1,"")</f>
        <v/>
      </c>
      <c r="Y1883">
        <f>IF(AND($A1883&lt;&gt;"",$B1883&lt;&gt;"",$R1883='تقرير نوفمبر'!$C$4,$P1883='تقرير نوفمبر'!$C$6),COUNT(Y$4:Y1882)+1,"")</f>
        <v/>
      </c>
      <c r="Z1883">
        <f>IF(AND($A1883&lt;&gt;"",$B1883&lt;&gt;"",$R1883='تقرير ديسمبر'!$C$4,$P1883='تقرير ديسمبر'!$C$6),COUNT(Z$4:Z1882)+1,"")</f>
        <v/>
      </c>
      <c r="AA1883">
        <f>IF(AND($A1883&lt;&gt;"",$B1883&lt;&gt;"",$R1883='تقرير يناير'!$C$4,$P1883='تقرير يناير'!$C$6),COUNT(AA$4:AA1882)+1,"")</f>
        <v/>
      </c>
      <c r="AB1883">
        <f>IF(AND($A1883&lt;&gt;"",$B1883&lt;&gt;"",$R1883='تقرير فبراير'!$C$4,$P1883='تقرير فبراير'!$C$6),COUNT(AB$4:AB1882)+1,"")</f>
        <v/>
      </c>
      <c r="AC1883">
        <f>IF(AND($A1883&lt;&gt;"",$B1883&lt;&gt;"",$R1883='تقرير مارس'!$C$4,$P1883='تقرير مارس'!$C$6),COUNT(AC$4:AC1882)+1,"")</f>
        <v/>
      </c>
      <c r="AD1883">
        <f>IF(AND($A1883&lt;&gt;"",$B1883&lt;&gt;"",$R1883='تقرير أبريل'!$C$4,$P1883='تقرير أبريل'!$C$6),COUNT(AD$4:AD1882)+1,"")</f>
        <v/>
      </c>
      <c r="AE1883">
        <f>IF(AND($A1883&lt;&gt;"",$B1883&lt;&gt;"",$R1883='تقرير مايو'!$C$4,$P1883='تقرير مايو'!$C$6),COUNT(AE$4:AE1882)+1,"")</f>
        <v/>
      </c>
    </row>
    <row r="1884">
      <c r="A1884" s="16" t="n"/>
      <c r="B1884" s="17" t="n"/>
      <c r="C1884" s="17" t="n"/>
      <c r="D1884" s="18" t="n"/>
      <c r="E1884" s="17" t="n"/>
      <c r="F1884" s="17" t="n"/>
      <c r="G1884" s="19" t="n"/>
      <c r="H1884" s="17" t="n"/>
      <c r="I1884" s="17" t="n"/>
      <c r="J1884" s="17" t="n"/>
      <c r="K1884" s="20">
        <f>IF($B1884="","",IFERROR(INDEX(الموظفات!$A$5:$A$304,MATCH($B1884,الموظفات!$B$5:$B$304,0))&amp;"",""))</f>
        <v/>
      </c>
      <c r="L1884" s="21">
        <f>IF($B1884="","",IFERROR(INDEX(الموظفات!$C$5:$C$304,MATCH($B1884,الموظفات!$B$5:$B$304,0))&amp;"",""))</f>
        <v/>
      </c>
      <c r="M1884" s="20">
        <f>IF($B1884="","",IFERROR(INDEX(الموظفات!$D$5:$D$304,MATCH($B1884,الموظفات!$B$5:$B$304,0))&amp;"",""))</f>
        <v/>
      </c>
      <c r="N1884" s="20">
        <f>IF($B1884="","",IFERROR(INDEX(الموظفات!$E$5:$E$304,MATCH($B1884,الموظفات!$B$5:$B$304,0))&amp;"",""))</f>
        <v/>
      </c>
      <c r="O1884" s="21">
        <f>IF(C1884="","",IFERROR(INDEX(الإعدادات!$D$7:$D$35,MATCH(C1884,الإعدادات!$A$7:$A$35,0))&amp;"",""))</f>
        <v/>
      </c>
      <c r="P1884" s="20">
        <f>IF(A1884="","",INDEX(الإعدادات!$H$7:$H$18,MONTH(A1884)))</f>
        <v/>
      </c>
      <c r="Q1884" s="20">
        <f>IF(A1884="","",INDEX(الإعدادات!$I$7:$I$18,MONTH(A1884)))</f>
        <v/>
      </c>
      <c r="R1884" s="20">
        <f>IF(A1884="","",IF(MONTH(A1884)&gt;=8,YEAR(A1884)&amp;"-"&amp;(YEAR(A1884)+1),(YEAR(A1884)-1)&amp;"-"&amp;YEAR(A1884)))</f>
        <v/>
      </c>
      <c r="S1884" s="20">
        <f>IF(OR(A1884="",B1884=""),0,IF(AND(R1884=التقارير!$C$4,OR(التقارير!$C$5="سنوي",AND(التقارير!$C$5="شهري",P1884=التقارير!$C$6),AND(التقارير!$C$5="فصلي",Q1884=التقارير!$C$7))),1,0))</f>
        <v/>
      </c>
      <c r="T1884" s="20">
        <f>IF(S1884=1,COUNTIF($S$5:S1884,1),"")</f>
        <v/>
      </c>
      <c r="U1884">
        <f>IF(AND($A1884&lt;&gt;"",$B1884&lt;&gt;"",$R1884='تقرير الفصل الأول'!$C$4,$Q1884='تقرير الفصل الأول'!$C$7),COUNT(U$4:U1883)+1,"")</f>
        <v/>
      </c>
      <c r="V1884">
        <f>IF(AND($A1884&lt;&gt;"",$B1884&lt;&gt;"",$R1884='تقرير الفصل الثاني'!$C$4,$Q1884='تقرير الفصل الثاني'!$C$7),COUNT(V$4:V1883)+1,"")</f>
        <v/>
      </c>
      <c r="W1884">
        <f>IF(AND($A1884&lt;&gt;"",$B1884&lt;&gt;"",$R1884='تقرير سبتمبر'!$C$4,$P1884='تقرير سبتمبر'!$C$6),COUNT(W$4:W1883)+1,"")</f>
        <v/>
      </c>
      <c r="X1884">
        <f>IF(AND($A1884&lt;&gt;"",$B1884&lt;&gt;"",$R1884='تقرير أكتوبر'!$C$4,$P1884='تقرير أكتوبر'!$C$6),COUNT(X$4:X1883)+1,"")</f>
        <v/>
      </c>
      <c r="Y1884">
        <f>IF(AND($A1884&lt;&gt;"",$B1884&lt;&gt;"",$R1884='تقرير نوفمبر'!$C$4,$P1884='تقرير نوفمبر'!$C$6),COUNT(Y$4:Y1883)+1,"")</f>
        <v/>
      </c>
      <c r="Z1884">
        <f>IF(AND($A1884&lt;&gt;"",$B1884&lt;&gt;"",$R1884='تقرير ديسمبر'!$C$4,$P1884='تقرير ديسمبر'!$C$6),COUNT(Z$4:Z1883)+1,"")</f>
        <v/>
      </c>
      <c r="AA1884">
        <f>IF(AND($A1884&lt;&gt;"",$B1884&lt;&gt;"",$R1884='تقرير يناير'!$C$4,$P1884='تقرير يناير'!$C$6),COUNT(AA$4:AA1883)+1,"")</f>
        <v/>
      </c>
      <c r="AB1884">
        <f>IF(AND($A1884&lt;&gt;"",$B1884&lt;&gt;"",$R1884='تقرير فبراير'!$C$4,$P1884='تقرير فبراير'!$C$6),COUNT(AB$4:AB1883)+1,"")</f>
        <v/>
      </c>
      <c r="AC1884">
        <f>IF(AND($A1884&lt;&gt;"",$B1884&lt;&gt;"",$R1884='تقرير مارس'!$C$4,$P1884='تقرير مارس'!$C$6),COUNT(AC$4:AC1883)+1,"")</f>
        <v/>
      </c>
      <c r="AD1884">
        <f>IF(AND($A1884&lt;&gt;"",$B1884&lt;&gt;"",$R1884='تقرير أبريل'!$C$4,$P1884='تقرير أبريل'!$C$6),COUNT(AD$4:AD1883)+1,"")</f>
        <v/>
      </c>
      <c r="AE1884">
        <f>IF(AND($A1884&lt;&gt;"",$B1884&lt;&gt;"",$R1884='تقرير مايو'!$C$4,$P1884='تقرير مايو'!$C$6),COUNT(AE$4:AE1883)+1,"")</f>
        <v/>
      </c>
    </row>
    <row r="1885">
      <c r="A1885" s="16" t="n"/>
      <c r="B1885" s="17" t="n"/>
      <c r="C1885" s="17" t="n"/>
      <c r="D1885" s="18" t="n"/>
      <c r="E1885" s="17" t="n"/>
      <c r="F1885" s="17" t="n"/>
      <c r="G1885" s="19" t="n"/>
      <c r="H1885" s="17" t="n"/>
      <c r="I1885" s="17" t="n"/>
      <c r="J1885" s="17" t="n"/>
      <c r="K1885" s="20">
        <f>IF($B1885="","",IFERROR(INDEX(الموظفات!$A$5:$A$304,MATCH($B1885,الموظفات!$B$5:$B$304,0))&amp;"",""))</f>
        <v/>
      </c>
      <c r="L1885" s="21">
        <f>IF($B1885="","",IFERROR(INDEX(الموظفات!$C$5:$C$304,MATCH($B1885,الموظفات!$B$5:$B$304,0))&amp;"",""))</f>
        <v/>
      </c>
      <c r="M1885" s="20">
        <f>IF($B1885="","",IFERROR(INDEX(الموظفات!$D$5:$D$304,MATCH($B1885,الموظفات!$B$5:$B$304,0))&amp;"",""))</f>
        <v/>
      </c>
      <c r="N1885" s="20">
        <f>IF($B1885="","",IFERROR(INDEX(الموظفات!$E$5:$E$304,MATCH($B1885,الموظفات!$B$5:$B$304,0))&amp;"",""))</f>
        <v/>
      </c>
      <c r="O1885" s="21">
        <f>IF(C1885="","",IFERROR(INDEX(الإعدادات!$D$7:$D$35,MATCH(C1885,الإعدادات!$A$7:$A$35,0))&amp;"",""))</f>
        <v/>
      </c>
      <c r="P1885" s="20">
        <f>IF(A1885="","",INDEX(الإعدادات!$H$7:$H$18,MONTH(A1885)))</f>
        <v/>
      </c>
      <c r="Q1885" s="20">
        <f>IF(A1885="","",INDEX(الإعدادات!$I$7:$I$18,MONTH(A1885)))</f>
        <v/>
      </c>
      <c r="R1885" s="20">
        <f>IF(A1885="","",IF(MONTH(A1885)&gt;=8,YEAR(A1885)&amp;"-"&amp;(YEAR(A1885)+1),(YEAR(A1885)-1)&amp;"-"&amp;YEAR(A1885)))</f>
        <v/>
      </c>
      <c r="S1885" s="20">
        <f>IF(OR(A1885="",B1885=""),0,IF(AND(R1885=التقارير!$C$4,OR(التقارير!$C$5="سنوي",AND(التقارير!$C$5="شهري",P1885=التقارير!$C$6),AND(التقارير!$C$5="فصلي",Q1885=التقارير!$C$7))),1,0))</f>
        <v/>
      </c>
      <c r="T1885" s="20">
        <f>IF(S1885=1,COUNTIF($S$5:S1885,1),"")</f>
        <v/>
      </c>
      <c r="U1885">
        <f>IF(AND($A1885&lt;&gt;"",$B1885&lt;&gt;"",$R1885='تقرير الفصل الأول'!$C$4,$Q1885='تقرير الفصل الأول'!$C$7),COUNT(U$4:U1884)+1,"")</f>
        <v/>
      </c>
      <c r="V1885">
        <f>IF(AND($A1885&lt;&gt;"",$B1885&lt;&gt;"",$R1885='تقرير الفصل الثاني'!$C$4,$Q1885='تقرير الفصل الثاني'!$C$7),COUNT(V$4:V1884)+1,"")</f>
        <v/>
      </c>
      <c r="W1885">
        <f>IF(AND($A1885&lt;&gt;"",$B1885&lt;&gt;"",$R1885='تقرير سبتمبر'!$C$4,$P1885='تقرير سبتمبر'!$C$6),COUNT(W$4:W1884)+1,"")</f>
        <v/>
      </c>
      <c r="X1885">
        <f>IF(AND($A1885&lt;&gt;"",$B1885&lt;&gt;"",$R1885='تقرير أكتوبر'!$C$4,$P1885='تقرير أكتوبر'!$C$6),COUNT(X$4:X1884)+1,"")</f>
        <v/>
      </c>
      <c r="Y1885">
        <f>IF(AND($A1885&lt;&gt;"",$B1885&lt;&gt;"",$R1885='تقرير نوفمبر'!$C$4,$P1885='تقرير نوفمبر'!$C$6),COUNT(Y$4:Y1884)+1,"")</f>
        <v/>
      </c>
      <c r="Z1885">
        <f>IF(AND($A1885&lt;&gt;"",$B1885&lt;&gt;"",$R1885='تقرير ديسمبر'!$C$4,$P1885='تقرير ديسمبر'!$C$6),COUNT(Z$4:Z1884)+1,"")</f>
        <v/>
      </c>
      <c r="AA1885">
        <f>IF(AND($A1885&lt;&gt;"",$B1885&lt;&gt;"",$R1885='تقرير يناير'!$C$4,$P1885='تقرير يناير'!$C$6),COUNT(AA$4:AA1884)+1,"")</f>
        <v/>
      </c>
      <c r="AB1885">
        <f>IF(AND($A1885&lt;&gt;"",$B1885&lt;&gt;"",$R1885='تقرير فبراير'!$C$4,$P1885='تقرير فبراير'!$C$6),COUNT(AB$4:AB1884)+1,"")</f>
        <v/>
      </c>
      <c r="AC1885">
        <f>IF(AND($A1885&lt;&gt;"",$B1885&lt;&gt;"",$R1885='تقرير مارس'!$C$4,$P1885='تقرير مارس'!$C$6),COUNT(AC$4:AC1884)+1,"")</f>
        <v/>
      </c>
      <c r="AD1885">
        <f>IF(AND($A1885&lt;&gt;"",$B1885&lt;&gt;"",$R1885='تقرير أبريل'!$C$4,$P1885='تقرير أبريل'!$C$6),COUNT(AD$4:AD1884)+1,"")</f>
        <v/>
      </c>
      <c r="AE1885">
        <f>IF(AND($A1885&lt;&gt;"",$B1885&lt;&gt;"",$R1885='تقرير مايو'!$C$4,$P1885='تقرير مايو'!$C$6),COUNT(AE$4:AE1884)+1,"")</f>
        <v/>
      </c>
    </row>
    <row r="1886">
      <c r="A1886" s="16" t="n"/>
      <c r="B1886" s="17" t="n"/>
      <c r="C1886" s="17" t="n"/>
      <c r="D1886" s="18" t="n"/>
      <c r="E1886" s="17" t="n"/>
      <c r="F1886" s="17" t="n"/>
      <c r="G1886" s="19" t="n"/>
      <c r="H1886" s="17" t="n"/>
      <c r="I1886" s="17" t="n"/>
      <c r="J1886" s="17" t="n"/>
      <c r="K1886" s="20">
        <f>IF($B1886="","",IFERROR(INDEX(الموظفات!$A$5:$A$304,MATCH($B1886,الموظفات!$B$5:$B$304,0))&amp;"",""))</f>
        <v/>
      </c>
      <c r="L1886" s="21">
        <f>IF($B1886="","",IFERROR(INDEX(الموظفات!$C$5:$C$304,MATCH($B1886,الموظفات!$B$5:$B$304,0))&amp;"",""))</f>
        <v/>
      </c>
      <c r="M1886" s="20">
        <f>IF($B1886="","",IFERROR(INDEX(الموظفات!$D$5:$D$304,MATCH($B1886,الموظفات!$B$5:$B$304,0))&amp;"",""))</f>
        <v/>
      </c>
      <c r="N1886" s="20">
        <f>IF($B1886="","",IFERROR(INDEX(الموظفات!$E$5:$E$304,MATCH($B1886,الموظفات!$B$5:$B$304,0))&amp;"",""))</f>
        <v/>
      </c>
      <c r="O1886" s="21">
        <f>IF(C1886="","",IFERROR(INDEX(الإعدادات!$D$7:$D$35,MATCH(C1886,الإعدادات!$A$7:$A$35,0))&amp;"",""))</f>
        <v/>
      </c>
      <c r="P1886" s="20">
        <f>IF(A1886="","",INDEX(الإعدادات!$H$7:$H$18,MONTH(A1886)))</f>
        <v/>
      </c>
      <c r="Q1886" s="20">
        <f>IF(A1886="","",INDEX(الإعدادات!$I$7:$I$18,MONTH(A1886)))</f>
        <v/>
      </c>
      <c r="R1886" s="20">
        <f>IF(A1886="","",IF(MONTH(A1886)&gt;=8,YEAR(A1886)&amp;"-"&amp;(YEAR(A1886)+1),(YEAR(A1886)-1)&amp;"-"&amp;YEAR(A1886)))</f>
        <v/>
      </c>
      <c r="S1886" s="20">
        <f>IF(OR(A1886="",B1886=""),0,IF(AND(R1886=التقارير!$C$4,OR(التقارير!$C$5="سنوي",AND(التقارير!$C$5="شهري",P1886=التقارير!$C$6),AND(التقارير!$C$5="فصلي",Q1886=التقارير!$C$7))),1,0))</f>
        <v/>
      </c>
      <c r="T1886" s="20">
        <f>IF(S1886=1,COUNTIF($S$5:S1886,1),"")</f>
        <v/>
      </c>
      <c r="U1886">
        <f>IF(AND($A1886&lt;&gt;"",$B1886&lt;&gt;"",$R1886='تقرير الفصل الأول'!$C$4,$Q1886='تقرير الفصل الأول'!$C$7),COUNT(U$4:U1885)+1,"")</f>
        <v/>
      </c>
      <c r="V1886">
        <f>IF(AND($A1886&lt;&gt;"",$B1886&lt;&gt;"",$R1886='تقرير الفصل الثاني'!$C$4,$Q1886='تقرير الفصل الثاني'!$C$7),COUNT(V$4:V1885)+1,"")</f>
        <v/>
      </c>
      <c r="W1886">
        <f>IF(AND($A1886&lt;&gt;"",$B1886&lt;&gt;"",$R1886='تقرير سبتمبر'!$C$4,$P1886='تقرير سبتمبر'!$C$6),COUNT(W$4:W1885)+1,"")</f>
        <v/>
      </c>
      <c r="X1886">
        <f>IF(AND($A1886&lt;&gt;"",$B1886&lt;&gt;"",$R1886='تقرير أكتوبر'!$C$4,$P1886='تقرير أكتوبر'!$C$6),COUNT(X$4:X1885)+1,"")</f>
        <v/>
      </c>
      <c r="Y1886">
        <f>IF(AND($A1886&lt;&gt;"",$B1886&lt;&gt;"",$R1886='تقرير نوفمبر'!$C$4,$P1886='تقرير نوفمبر'!$C$6),COUNT(Y$4:Y1885)+1,"")</f>
        <v/>
      </c>
      <c r="Z1886">
        <f>IF(AND($A1886&lt;&gt;"",$B1886&lt;&gt;"",$R1886='تقرير ديسمبر'!$C$4,$P1886='تقرير ديسمبر'!$C$6),COUNT(Z$4:Z1885)+1,"")</f>
        <v/>
      </c>
      <c r="AA1886">
        <f>IF(AND($A1886&lt;&gt;"",$B1886&lt;&gt;"",$R1886='تقرير يناير'!$C$4,$P1886='تقرير يناير'!$C$6),COUNT(AA$4:AA1885)+1,"")</f>
        <v/>
      </c>
      <c r="AB1886">
        <f>IF(AND($A1886&lt;&gt;"",$B1886&lt;&gt;"",$R1886='تقرير فبراير'!$C$4,$P1886='تقرير فبراير'!$C$6),COUNT(AB$4:AB1885)+1,"")</f>
        <v/>
      </c>
      <c r="AC1886">
        <f>IF(AND($A1886&lt;&gt;"",$B1886&lt;&gt;"",$R1886='تقرير مارس'!$C$4,$P1886='تقرير مارس'!$C$6),COUNT(AC$4:AC1885)+1,"")</f>
        <v/>
      </c>
      <c r="AD1886">
        <f>IF(AND($A1886&lt;&gt;"",$B1886&lt;&gt;"",$R1886='تقرير أبريل'!$C$4,$P1886='تقرير أبريل'!$C$6),COUNT(AD$4:AD1885)+1,"")</f>
        <v/>
      </c>
      <c r="AE1886">
        <f>IF(AND($A1886&lt;&gt;"",$B1886&lt;&gt;"",$R1886='تقرير مايو'!$C$4,$P1886='تقرير مايو'!$C$6),COUNT(AE$4:AE1885)+1,"")</f>
        <v/>
      </c>
    </row>
    <row r="1887">
      <c r="A1887" s="16" t="n"/>
      <c r="B1887" s="17" t="n"/>
      <c r="C1887" s="17" t="n"/>
      <c r="D1887" s="18" t="n"/>
      <c r="E1887" s="17" t="n"/>
      <c r="F1887" s="17" t="n"/>
      <c r="G1887" s="19" t="n"/>
      <c r="H1887" s="17" t="n"/>
      <c r="I1887" s="17" t="n"/>
      <c r="J1887" s="17" t="n"/>
      <c r="K1887" s="20">
        <f>IF($B1887="","",IFERROR(INDEX(الموظفات!$A$5:$A$304,MATCH($B1887,الموظفات!$B$5:$B$304,0))&amp;"",""))</f>
        <v/>
      </c>
      <c r="L1887" s="21">
        <f>IF($B1887="","",IFERROR(INDEX(الموظفات!$C$5:$C$304,MATCH($B1887,الموظفات!$B$5:$B$304,0))&amp;"",""))</f>
        <v/>
      </c>
      <c r="M1887" s="20">
        <f>IF($B1887="","",IFERROR(INDEX(الموظفات!$D$5:$D$304,MATCH($B1887,الموظفات!$B$5:$B$304,0))&amp;"",""))</f>
        <v/>
      </c>
      <c r="N1887" s="20">
        <f>IF($B1887="","",IFERROR(INDEX(الموظفات!$E$5:$E$304,MATCH($B1887,الموظفات!$B$5:$B$304,0))&amp;"",""))</f>
        <v/>
      </c>
      <c r="O1887" s="21">
        <f>IF(C1887="","",IFERROR(INDEX(الإعدادات!$D$7:$D$35,MATCH(C1887,الإعدادات!$A$7:$A$35,0))&amp;"",""))</f>
        <v/>
      </c>
      <c r="P1887" s="20">
        <f>IF(A1887="","",INDEX(الإعدادات!$H$7:$H$18,MONTH(A1887)))</f>
        <v/>
      </c>
      <c r="Q1887" s="20">
        <f>IF(A1887="","",INDEX(الإعدادات!$I$7:$I$18,MONTH(A1887)))</f>
        <v/>
      </c>
      <c r="R1887" s="20">
        <f>IF(A1887="","",IF(MONTH(A1887)&gt;=8,YEAR(A1887)&amp;"-"&amp;(YEAR(A1887)+1),(YEAR(A1887)-1)&amp;"-"&amp;YEAR(A1887)))</f>
        <v/>
      </c>
      <c r="S1887" s="20">
        <f>IF(OR(A1887="",B1887=""),0,IF(AND(R1887=التقارير!$C$4,OR(التقارير!$C$5="سنوي",AND(التقارير!$C$5="شهري",P1887=التقارير!$C$6),AND(التقارير!$C$5="فصلي",Q1887=التقارير!$C$7))),1,0))</f>
        <v/>
      </c>
      <c r="T1887" s="20">
        <f>IF(S1887=1,COUNTIF($S$5:S1887,1),"")</f>
        <v/>
      </c>
      <c r="U1887">
        <f>IF(AND($A1887&lt;&gt;"",$B1887&lt;&gt;"",$R1887='تقرير الفصل الأول'!$C$4,$Q1887='تقرير الفصل الأول'!$C$7),COUNT(U$4:U1886)+1,"")</f>
        <v/>
      </c>
      <c r="V1887">
        <f>IF(AND($A1887&lt;&gt;"",$B1887&lt;&gt;"",$R1887='تقرير الفصل الثاني'!$C$4,$Q1887='تقرير الفصل الثاني'!$C$7),COUNT(V$4:V1886)+1,"")</f>
        <v/>
      </c>
      <c r="W1887">
        <f>IF(AND($A1887&lt;&gt;"",$B1887&lt;&gt;"",$R1887='تقرير سبتمبر'!$C$4,$P1887='تقرير سبتمبر'!$C$6),COUNT(W$4:W1886)+1,"")</f>
        <v/>
      </c>
      <c r="X1887">
        <f>IF(AND($A1887&lt;&gt;"",$B1887&lt;&gt;"",$R1887='تقرير أكتوبر'!$C$4,$P1887='تقرير أكتوبر'!$C$6),COUNT(X$4:X1886)+1,"")</f>
        <v/>
      </c>
      <c r="Y1887">
        <f>IF(AND($A1887&lt;&gt;"",$B1887&lt;&gt;"",$R1887='تقرير نوفمبر'!$C$4,$P1887='تقرير نوفمبر'!$C$6),COUNT(Y$4:Y1886)+1,"")</f>
        <v/>
      </c>
      <c r="Z1887">
        <f>IF(AND($A1887&lt;&gt;"",$B1887&lt;&gt;"",$R1887='تقرير ديسمبر'!$C$4,$P1887='تقرير ديسمبر'!$C$6),COUNT(Z$4:Z1886)+1,"")</f>
        <v/>
      </c>
      <c r="AA1887">
        <f>IF(AND($A1887&lt;&gt;"",$B1887&lt;&gt;"",$R1887='تقرير يناير'!$C$4,$P1887='تقرير يناير'!$C$6),COUNT(AA$4:AA1886)+1,"")</f>
        <v/>
      </c>
      <c r="AB1887">
        <f>IF(AND($A1887&lt;&gt;"",$B1887&lt;&gt;"",$R1887='تقرير فبراير'!$C$4,$P1887='تقرير فبراير'!$C$6),COUNT(AB$4:AB1886)+1,"")</f>
        <v/>
      </c>
      <c r="AC1887">
        <f>IF(AND($A1887&lt;&gt;"",$B1887&lt;&gt;"",$R1887='تقرير مارس'!$C$4,$P1887='تقرير مارس'!$C$6),COUNT(AC$4:AC1886)+1,"")</f>
        <v/>
      </c>
      <c r="AD1887">
        <f>IF(AND($A1887&lt;&gt;"",$B1887&lt;&gt;"",$R1887='تقرير أبريل'!$C$4,$P1887='تقرير أبريل'!$C$6),COUNT(AD$4:AD1886)+1,"")</f>
        <v/>
      </c>
      <c r="AE1887">
        <f>IF(AND($A1887&lt;&gt;"",$B1887&lt;&gt;"",$R1887='تقرير مايو'!$C$4,$P1887='تقرير مايو'!$C$6),COUNT(AE$4:AE1886)+1,"")</f>
        <v/>
      </c>
    </row>
    <row r="1888">
      <c r="A1888" s="16" t="n"/>
      <c r="B1888" s="17" t="n"/>
      <c r="C1888" s="17" t="n"/>
      <c r="D1888" s="18" t="n"/>
      <c r="E1888" s="17" t="n"/>
      <c r="F1888" s="17" t="n"/>
      <c r="G1888" s="19" t="n"/>
      <c r="H1888" s="17" t="n"/>
      <c r="I1888" s="17" t="n"/>
      <c r="J1888" s="17" t="n"/>
      <c r="K1888" s="20">
        <f>IF($B1888="","",IFERROR(INDEX(الموظفات!$A$5:$A$304,MATCH($B1888,الموظفات!$B$5:$B$304,0))&amp;"",""))</f>
        <v/>
      </c>
      <c r="L1888" s="21">
        <f>IF($B1888="","",IFERROR(INDEX(الموظفات!$C$5:$C$304,MATCH($B1888,الموظفات!$B$5:$B$304,0))&amp;"",""))</f>
        <v/>
      </c>
      <c r="M1888" s="20">
        <f>IF($B1888="","",IFERROR(INDEX(الموظفات!$D$5:$D$304,MATCH($B1888,الموظفات!$B$5:$B$304,0))&amp;"",""))</f>
        <v/>
      </c>
      <c r="N1888" s="20">
        <f>IF($B1888="","",IFERROR(INDEX(الموظفات!$E$5:$E$304,MATCH($B1888,الموظفات!$B$5:$B$304,0))&amp;"",""))</f>
        <v/>
      </c>
      <c r="O1888" s="21">
        <f>IF(C1888="","",IFERROR(INDEX(الإعدادات!$D$7:$D$35,MATCH(C1888,الإعدادات!$A$7:$A$35,0))&amp;"",""))</f>
        <v/>
      </c>
      <c r="P1888" s="20">
        <f>IF(A1888="","",INDEX(الإعدادات!$H$7:$H$18,MONTH(A1888)))</f>
        <v/>
      </c>
      <c r="Q1888" s="20">
        <f>IF(A1888="","",INDEX(الإعدادات!$I$7:$I$18,MONTH(A1888)))</f>
        <v/>
      </c>
      <c r="R1888" s="20">
        <f>IF(A1888="","",IF(MONTH(A1888)&gt;=8,YEAR(A1888)&amp;"-"&amp;(YEAR(A1888)+1),(YEAR(A1888)-1)&amp;"-"&amp;YEAR(A1888)))</f>
        <v/>
      </c>
      <c r="S1888" s="20">
        <f>IF(OR(A1888="",B1888=""),0,IF(AND(R1888=التقارير!$C$4,OR(التقارير!$C$5="سنوي",AND(التقارير!$C$5="شهري",P1888=التقارير!$C$6),AND(التقارير!$C$5="فصلي",Q1888=التقارير!$C$7))),1,0))</f>
        <v/>
      </c>
      <c r="T1888" s="20">
        <f>IF(S1888=1,COUNTIF($S$5:S1888,1),"")</f>
        <v/>
      </c>
      <c r="U1888">
        <f>IF(AND($A1888&lt;&gt;"",$B1888&lt;&gt;"",$R1888='تقرير الفصل الأول'!$C$4,$Q1888='تقرير الفصل الأول'!$C$7),COUNT(U$4:U1887)+1,"")</f>
        <v/>
      </c>
      <c r="V1888">
        <f>IF(AND($A1888&lt;&gt;"",$B1888&lt;&gt;"",$R1888='تقرير الفصل الثاني'!$C$4,$Q1888='تقرير الفصل الثاني'!$C$7),COUNT(V$4:V1887)+1,"")</f>
        <v/>
      </c>
      <c r="W1888">
        <f>IF(AND($A1888&lt;&gt;"",$B1888&lt;&gt;"",$R1888='تقرير سبتمبر'!$C$4,$P1888='تقرير سبتمبر'!$C$6),COUNT(W$4:W1887)+1,"")</f>
        <v/>
      </c>
      <c r="X1888">
        <f>IF(AND($A1888&lt;&gt;"",$B1888&lt;&gt;"",$R1888='تقرير أكتوبر'!$C$4,$P1888='تقرير أكتوبر'!$C$6),COUNT(X$4:X1887)+1,"")</f>
        <v/>
      </c>
      <c r="Y1888">
        <f>IF(AND($A1888&lt;&gt;"",$B1888&lt;&gt;"",$R1888='تقرير نوفمبر'!$C$4,$P1888='تقرير نوفمبر'!$C$6),COUNT(Y$4:Y1887)+1,"")</f>
        <v/>
      </c>
      <c r="Z1888">
        <f>IF(AND($A1888&lt;&gt;"",$B1888&lt;&gt;"",$R1888='تقرير ديسمبر'!$C$4,$P1888='تقرير ديسمبر'!$C$6),COUNT(Z$4:Z1887)+1,"")</f>
        <v/>
      </c>
      <c r="AA1888">
        <f>IF(AND($A1888&lt;&gt;"",$B1888&lt;&gt;"",$R1888='تقرير يناير'!$C$4,$P1888='تقرير يناير'!$C$6),COUNT(AA$4:AA1887)+1,"")</f>
        <v/>
      </c>
      <c r="AB1888">
        <f>IF(AND($A1888&lt;&gt;"",$B1888&lt;&gt;"",$R1888='تقرير فبراير'!$C$4,$P1888='تقرير فبراير'!$C$6),COUNT(AB$4:AB1887)+1,"")</f>
        <v/>
      </c>
      <c r="AC1888">
        <f>IF(AND($A1888&lt;&gt;"",$B1888&lt;&gt;"",$R1888='تقرير مارس'!$C$4,$P1888='تقرير مارس'!$C$6),COUNT(AC$4:AC1887)+1,"")</f>
        <v/>
      </c>
      <c r="AD1888">
        <f>IF(AND($A1888&lt;&gt;"",$B1888&lt;&gt;"",$R1888='تقرير أبريل'!$C$4,$P1888='تقرير أبريل'!$C$6),COUNT(AD$4:AD1887)+1,"")</f>
        <v/>
      </c>
      <c r="AE1888">
        <f>IF(AND($A1888&lt;&gt;"",$B1888&lt;&gt;"",$R1888='تقرير مايو'!$C$4,$P1888='تقرير مايو'!$C$6),COUNT(AE$4:AE1887)+1,"")</f>
        <v/>
      </c>
    </row>
    <row r="1889">
      <c r="A1889" s="16" t="n"/>
      <c r="B1889" s="17" t="n"/>
      <c r="C1889" s="17" t="n"/>
      <c r="D1889" s="18" t="n"/>
      <c r="E1889" s="17" t="n"/>
      <c r="F1889" s="17" t="n"/>
      <c r="G1889" s="19" t="n"/>
      <c r="H1889" s="17" t="n"/>
      <c r="I1889" s="17" t="n"/>
      <c r="J1889" s="17" t="n"/>
      <c r="K1889" s="20">
        <f>IF($B1889="","",IFERROR(INDEX(الموظفات!$A$5:$A$304,MATCH($B1889,الموظفات!$B$5:$B$304,0))&amp;"",""))</f>
        <v/>
      </c>
      <c r="L1889" s="21">
        <f>IF($B1889="","",IFERROR(INDEX(الموظفات!$C$5:$C$304,MATCH($B1889,الموظفات!$B$5:$B$304,0))&amp;"",""))</f>
        <v/>
      </c>
      <c r="M1889" s="20">
        <f>IF($B1889="","",IFERROR(INDEX(الموظفات!$D$5:$D$304,MATCH($B1889,الموظفات!$B$5:$B$304,0))&amp;"",""))</f>
        <v/>
      </c>
      <c r="N1889" s="20">
        <f>IF($B1889="","",IFERROR(INDEX(الموظفات!$E$5:$E$304,MATCH($B1889,الموظفات!$B$5:$B$304,0))&amp;"",""))</f>
        <v/>
      </c>
      <c r="O1889" s="21">
        <f>IF(C1889="","",IFERROR(INDEX(الإعدادات!$D$7:$D$35,MATCH(C1889,الإعدادات!$A$7:$A$35,0))&amp;"",""))</f>
        <v/>
      </c>
      <c r="P1889" s="20">
        <f>IF(A1889="","",INDEX(الإعدادات!$H$7:$H$18,MONTH(A1889)))</f>
        <v/>
      </c>
      <c r="Q1889" s="20">
        <f>IF(A1889="","",INDEX(الإعدادات!$I$7:$I$18,MONTH(A1889)))</f>
        <v/>
      </c>
      <c r="R1889" s="20">
        <f>IF(A1889="","",IF(MONTH(A1889)&gt;=8,YEAR(A1889)&amp;"-"&amp;(YEAR(A1889)+1),(YEAR(A1889)-1)&amp;"-"&amp;YEAR(A1889)))</f>
        <v/>
      </c>
      <c r="S1889" s="20">
        <f>IF(OR(A1889="",B1889=""),0,IF(AND(R1889=التقارير!$C$4,OR(التقارير!$C$5="سنوي",AND(التقارير!$C$5="شهري",P1889=التقارير!$C$6),AND(التقارير!$C$5="فصلي",Q1889=التقارير!$C$7))),1,0))</f>
        <v/>
      </c>
      <c r="T1889" s="20">
        <f>IF(S1889=1,COUNTIF($S$5:S1889,1),"")</f>
        <v/>
      </c>
      <c r="U1889">
        <f>IF(AND($A1889&lt;&gt;"",$B1889&lt;&gt;"",$R1889='تقرير الفصل الأول'!$C$4,$Q1889='تقرير الفصل الأول'!$C$7),COUNT(U$4:U1888)+1,"")</f>
        <v/>
      </c>
      <c r="V1889">
        <f>IF(AND($A1889&lt;&gt;"",$B1889&lt;&gt;"",$R1889='تقرير الفصل الثاني'!$C$4,$Q1889='تقرير الفصل الثاني'!$C$7),COUNT(V$4:V1888)+1,"")</f>
        <v/>
      </c>
      <c r="W1889">
        <f>IF(AND($A1889&lt;&gt;"",$B1889&lt;&gt;"",$R1889='تقرير سبتمبر'!$C$4,$P1889='تقرير سبتمبر'!$C$6),COUNT(W$4:W1888)+1,"")</f>
        <v/>
      </c>
      <c r="X1889">
        <f>IF(AND($A1889&lt;&gt;"",$B1889&lt;&gt;"",$R1889='تقرير أكتوبر'!$C$4,$P1889='تقرير أكتوبر'!$C$6),COUNT(X$4:X1888)+1,"")</f>
        <v/>
      </c>
      <c r="Y1889">
        <f>IF(AND($A1889&lt;&gt;"",$B1889&lt;&gt;"",$R1889='تقرير نوفمبر'!$C$4,$P1889='تقرير نوفمبر'!$C$6),COUNT(Y$4:Y1888)+1,"")</f>
        <v/>
      </c>
      <c r="Z1889">
        <f>IF(AND($A1889&lt;&gt;"",$B1889&lt;&gt;"",$R1889='تقرير ديسمبر'!$C$4,$P1889='تقرير ديسمبر'!$C$6),COUNT(Z$4:Z1888)+1,"")</f>
        <v/>
      </c>
      <c r="AA1889">
        <f>IF(AND($A1889&lt;&gt;"",$B1889&lt;&gt;"",$R1889='تقرير يناير'!$C$4,$P1889='تقرير يناير'!$C$6),COUNT(AA$4:AA1888)+1,"")</f>
        <v/>
      </c>
      <c r="AB1889">
        <f>IF(AND($A1889&lt;&gt;"",$B1889&lt;&gt;"",$R1889='تقرير فبراير'!$C$4,$P1889='تقرير فبراير'!$C$6),COUNT(AB$4:AB1888)+1,"")</f>
        <v/>
      </c>
      <c r="AC1889">
        <f>IF(AND($A1889&lt;&gt;"",$B1889&lt;&gt;"",$R1889='تقرير مارس'!$C$4,$P1889='تقرير مارس'!$C$6),COUNT(AC$4:AC1888)+1,"")</f>
        <v/>
      </c>
      <c r="AD1889">
        <f>IF(AND($A1889&lt;&gt;"",$B1889&lt;&gt;"",$R1889='تقرير أبريل'!$C$4,$P1889='تقرير أبريل'!$C$6),COUNT(AD$4:AD1888)+1,"")</f>
        <v/>
      </c>
      <c r="AE1889">
        <f>IF(AND($A1889&lt;&gt;"",$B1889&lt;&gt;"",$R1889='تقرير مايو'!$C$4,$P1889='تقرير مايو'!$C$6),COUNT(AE$4:AE1888)+1,"")</f>
        <v/>
      </c>
    </row>
    <row r="1890">
      <c r="A1890" s="16" t="n"/>
      <c r="B1890" s="17" t="n"/>
      <c r="C1890" s="17" t="n"/>
      <c r="D1890" s="18" t="n"/>
      <c r="E1890" s="17" t="n"/>
      <c r="F1890" s="17" t="n"/>
      <c r="G1890" s="19" t="n"/>
      <c r="H1890" s="17" t="n"/>
      <c r="I1890" s="17" t="n"/>
      <c r="J1890" s="17" t="n"/>
      <c r="K1890" s="20">
        <f>IF($B1890="","",IFERROR(INDEX(الموظفات!$A$5:$A$304,MATCH($B1890,الموظفات!$B$5:$B$304,0))&amp;"",""))</f>
        <v/>
      </c>
      <c r="L1890" s="21">
        <f>IF($B1890="","",IFERROR(INDEX(الموظفات!$C$5:$C$304,MATCH($B1890,الموظفات!$B$5:$B$304,0))&amp;"",""))</f>
        <v/>
      </c>
      <c r="M1890" s="20">
        <f>IF($B1890="","",IFERROR(INDEX(الموظفات!$D$5:$D$304,MATCH($B1890,الموظفات!$B$5:$B$304,0))&amp;"",""))</f>
        <v/>
      </c>
      <c r="N1890" s="20">
        <f>IF($B1890="","",IFERROR(INDEX(الموظفات!$E$5:$E$304,MATCH($B1890,الموظفات!$B$5:$B$304,0))&amp;"",""))</f>
        <v/>
      </c>
      <c r="O1890" s="21">
        <f>IF(C1890="","",IFERROR(INDEX(الإعدادات!$D$7:$D$35,MATCH(C1890,الإعدادات!$A$7:$A$35,0))&amp;"",""))</f>
        <v/>
      </c>
      <c r="P1890" s="20">
        <f>IF(A1890="","",INDEX(الإعدادات!$H$7:$H$18,MONTH(A1890)))</f>
        <v/>
      </c>
      <c r="Q1890" s="20">
        <f>IF(A1890="","",INDEX(الإعدادات!$I$7:$I$18,MONTH(A1890)))</f>
        <v/>
      </c>
      <c r="R1890" s="20">
        <f>IF(A1890="","",IF(MONTH(A1890)&gt;=8,YEAR(A1890)&amp;"-"&amp;(YEAR(A1890)+1),(YEAR(A1890)-1)&amp;"-"&amp;YEAR(A1890)))</f>
        <v/>
      </c>
      <c r="S1890" s="20">
        <f>IF(OR(A1890="",B1890=""),0,IF(AND(R1890=التقارير!$C$4,OR(التقارير!$C$5="سنوي",AND(التقارير!$C$5="شهري",P1890=التقارير!$C$6),AND(التقارير!$C$5="فصلي",Q1890=التقارير!$C$7))),1,0))</f>
        <v/>
      </c>
      <c r="T1890" s="20">
        <f>IF(S1890=1,COUNTIF($S$5:S1890,1),"")</f>
        <v/>
      </c>
      <c r="U1890">
        <f>IF(AND($A1890&lt;&gt;"",$B1890&lt;&gt;"",$R1890='تقرير الفصل الأول'!$C$4,$Q1890='تقرير الفصل الأول'!$C$7),COUNT(U$4:U1889)+1,"")</f>
        <v/>
      </c>
      <c r="V1890">
        <f>IF(AND($A1890&lt;&gt;"",$B1890&lt;&gt;"",$R1890='تقرير الفصل الثاني'!$C$4,$Q1890='تقرير الفصل الثاني'!$C$7),COUNT(V$4:V1889)+1,"")</f>
        <v/>
      </c>
      <c r="W1890">
        <f>IF(AND($A1890&lt;&gt;"",$B1890&lt;&gt;"",$R1890='تقرير سبتمبر'!$C$4,$P1890='تقرير سبتمبر'!$C$6),COUNT(W$4:W1889)+1,"")</f>
        <v/>
      </c>
      <c r="X1890">
        <f>IF(AND($A1890&lt;&gt;"",$B1890&lt;&gt;"",$R1890='تقرير أكتوبر'!$C$4,$P1890='تقرير أكتوبر'!$C$6),COUNT(X$4:X1889)+1,"")</f>
        <v/>
      </c>
      <c r="Y1890">
        <f>IF(AND($A1890&lt;&gt;"",$B1890&lt;&gt;"",$R1890='تقرير نوفمبر'!$C$4,$P1890='تقرير نوفمبر'!$C$6),COUNT(Y$4:Y1889)+1,"")</f>
        <v/>
      </c>
      <c r="Z1890">
        <f>IF(AND($A1890&lt;&gt;"",$B1890&lt;&gt;"",$R1890='تقرير ديسمبر'!$C$4,$P1890='تقرير ديسمبر'!$C$6),COUNT(Z$4:Z1889)+1,"")</f>
        <v/>
      </c>
      <c r="AA1890">
        <f>IF(AND($A1890&lt;&gt;"",$B1890&lt;&gt;"",$R1890='تقرير يناير'!$C$4,$P1890='تقرير يناير'!$C$6),COUNT(AA$4:AA1889)+1,"")</f>
        <v/>
      </c>
      <c r="AB1890">
        <f>IF(AND($A1890&lt;&gt;"",$B1890&lt;&gt;"",$R1890='تقرير فبراير'!$C$4,$P1890='تقرير فبراير'!$C$6),COUNT(AB$4:AB1889)+1,"")</f>
        <v/>
      </c>
      <c r="AC1890">
        <f>IF(AND($A1890&lt;&gt;"",$B1890&lt;&gt;"",$R1890='تقرير مارس'!$C$4,$P1890='تقرير مارس'!$C$6),COUNT(AC$4:AC1889)+1,"")</f>
        <v/>
      </c>
      <c r="AD1890">
        <f>IF(AND($A1890&lt;&gt;"",$B1890&lt;&gt;"",$R1890='تقرير أبريل'!$C$4,$P1890='تقرير أبريل'!$C$6),COUNT(AD$4:AD1889)+1,"")</f>
        <v/>
      </c>
      <c r="AE1890">
        <f>IF(AND($A1890&lt;&gt;"",$B1890&lt;&gt;"",$R1890='تقرير مايو'!$C$4,$P1890='تقرير مايو'!$C$6),COUNT(AE$4:AE1889)+1,"")</f>
        <v/>
      </c>
    </row>
    <row r="1891">
      <c r="A1891" s="16" t="n"/>
      <c r="B1891" s="17" t="n"/>
      <c r="C1891" s="17" t="n"/>
      <c r="D1891" s="18" t="n"/>
      <c r="E1891" s="17" t="n"/>
      <c r="F1891" s="17" t="n"/>
      <c r="G1891" s="19" t="n"/>
      <c r="H1891" s="17" t="n"/>
      <c r="I1891" s="17" t="n"/>
      <c r="J1891" s="17" t="n"/>
      <c r="K1891" s="20">
        <f>IF($B1891="","",IFERROR(INDEX(الموظفات!$A$5:$A$304,MATCH($B1891,الموظفات!$B$5:$B$304,0))&amp;"",""))</f>
        <v/>
      </c>
      <c r="L1891" s="21">
        <f>IF($B1891="","",IFERROR(INDEX(الموظفات!$C$5:$C$304,MATCH($B1891,الموظفات!$B$5:$B$304,0))&amp;"",""))</f>
        <v/>
      </c>
      <c r="M1891" s="20">
        <f>IF($B1891="","",IFERROR(INDEX(الموظفات!$D$5:$D$304,MATCH($B1891,الموظفات!$B$5:$B$304,0))&amp;"",""))</f>
        <v/>
      </c>
      <c r="N1891" s="20">
        <f>IF($B1891="","",IFERROR(INDEX(الموظفات!$E$5:$E$304,MATCH($B1891,الموظفات!$B$5:$B$304,0))&amp;"",""))</f>
        <v/>
      </c>
      <c r="O1891" s="21">
        <f>IF(C1891="","",IFERROR(INDEX(الإعدادات!$D$7:$D$35,MATCH(C1891,الإعدادات!$A$7:$A$35,0))&amp;"",""))</f>
        <v/>
      </c>
      <c r="P1891" s="20">
        <f>IF(A1891="","",INDEX(الإعدادات!$H$7:$H$18,MONTH(A1891)))</f>
        <v/>
      </c>
      <c r="Q1891" s="20">
        <f>IF(A1891="","",INDEX(الإعدادات!$I$7:$I$18,MONTH(A1891)))</f>
        <v/>
      </c>
      <c r="R1891" s="20">
        <f>IF(A1891="","",IF(MONTH(A1891)&gt;=8,YEAR(A1891)&amp;"-"&amp;(YEAR(A1891)+1),(YEAR(A1891)-1)&amp;"-"&amp;YEAR(A1891)))</f>
        <v/>
      </c>
      <c r="S1891" s="20">
        <f>IF(OR(A1891="",B1891=""),0,IF(AND(R1891=التقارير!$C$4,OR(التقارير!$C$5="سنوي",AND(التقارير!$C$5="شهري",P1891=التقارير!$C$6),AND(التقارير!$C$5="فصلي",Q1891=التقارير!$C$7))),1,0))</f>
        <v/>
      </c>
      <c r="T1891" s="20">
        <f>IF(S1891=1,COUNTIF($S$5:S1891,1),"")</f>
        <v/>
      </c>
      <c r="U1891">
        <f>IF(AND($A1891&lt;&gt;"",$B1891&lt;&gt;"",$R1891='تقرير الفصل الأول'!$C$4,$Q1891='تقرير الفصل الأول'!$C$7),COUNT(U$4:U1890)+1,"")</f>
        <v/>
      </c>
      <c r="V1891">
        <f>IF(AND($A1891&lt;&gt;"",$B1891&lt;&gt;"",$R1891='تقرير الفصل الثاني'!$C$4,$Q1891='تقرير الفصل الثاني'!$C$7),COUNT(V$4:V1890)+1,"")</f>
        <v/>
      </c>
      <c r="W1891">
        <f>IF(AND($A1891&lt;&gt;"",$B1891&lt;&gt;"",$R1891='تقرير سبتمبر'!$C$4,$P1891='تقرير سبتمبر'!$C$6),COUNT(W$4:W1890)+1,"")</f>
        <v/>
      </c>
      <c r="X1891">
        <f>IF(AND($A1891&lt;&gt;"",$B1891&lt;&gt;"",$R1891='تقرير أكتوبر'!$C$4,$P1891='تقرير أكتوبر'!$C$6),COUNT(X$4:X1890)+1,"")</f>
        <v/>
      </c>
      <c r="Y1891">
        <f>IF(AND($A1891&lt;&gt;"",$B1891&lt;&gt;"",$R1891='تقرير نوفمبر'!$C$4,$P1891='تقرير نوفمبر'!$C$6),COUNT(Y$4:Y1890)+1,"")</f>
        <v/>
      </c>
      <c r="Z1891">
        <f>IF(AND($A1891&lt;&gt;"",$B1891&lt;&gt;"",$R1891='تقرير ديسمبر'!$C$4,$P1891='تقرير ديسمبر'!$C$6),COUNT(Z$4:Z1890)+1,"")</f>
        <v/>
      </c>
      <c r="AA1891">
        <f>IF(AND($A1891&lt;&gt;"",$B1891&lt;&gt;"",$R1891='تقرير يناير'!$C$4,$P1891='تقرير يناير'!$C$6),COUNT(AA$4:AA1890)+1,"")</f>
        <v/>
      </c>
      <c r="AB1891">
        <f>IF(AND($A1891&lt;&gt;"",$B1891&lt;&gt;"",$R1891='تقرير فبراير'!$C$4,$P1891='تقرير فبراير'!$C$6),COUNT(AB$4:AB1890)+1,"")</f>
        <v/>
      </c>
      <c r="AC1891">
        <f>IF(AND($A1891&lt;&gt;"",$B1891&lt;&gt;"",$R1891='تقرير مارس'!$C$4,$P1891='تقرير مارس'!$C$6),COUNT(AC$4:AC1890)+1,"")</f>
        <v/>
      </c>
      <c r="AD1891">
        <f>IF(AND($A1891&lt;&gt;"",$B1891&lt;&gt;"",$R1891='تقرير أبريل'!$C$4,$P1891='تقرير أبريل'!$C$6),COUNT(AD$4:AD1890)+1,"")</f>
        <v/>
      </c>
      <c r="AE1891">
        <f>IF(AND($A1891&lt;&gt;"",$B1891&lt;&gt;"",$R1891='تقرير مايو'!$C$4,$P1891='تقرير مايو'!$C$6),COUNT(AE$4:AE1890)+1,"")</f>
        <v/>
      </c>
    </row>
    <row r="1892">
      <c r="A1892" s="16" t="n"/>
      <c r="B1892" s="17" t="n"/>
      <c r="C1892" s="17" t="n"/>
      <c r="D1892" s="18" t="n"/>
      <c r="E1892" s="17" t="n"/>
      <c r="F1892" s="17" t="n"/>
      <c r="G1892" s="19" t="n"/>
      <c r="H1892" s="17" t="n"/>
      <c r="I1892" s="17" t="n"/>
      <c r="J1892" s="17" t="n"/>
      <c r="K1892" s="20">
        <f>IF($B1892="","",IFERROR(INDEX(الموظفات!$A$5:$A$304,MATCH($B1892,الموظفات!$B$5:$B$304,0))&amp;"",""))</f>
        <v/>
      </c>
      <c r="L1892" s="21">
        <f>IF($B1892="","",IFERROR(INDEX(الموظفات!$C$5:$C$304,MATCH($B1892,الموظفات!$B$5:$B$304,0))&amp;"",""))</f>
        <v/>
      </c>
      <c r="M1892" s="20">
        <f>IF($B1892="","",IFERROR(INDEX(الموظفات!$D$5:$D$304,MATCH($B1892,الموظفات!$B$5:$B$304,0))&amp;"",""))</f>
        <v/>
      </c>
      <c r="N1892" s="20">
        <f>IF($B1892="","",IFERROR(INDEX(الموظفات!$E$5:$E$304,MATCH($B1892,الموظفات!$B$5:$B$304,0))&amp;"",""))</f>
        <v/>
      </c>
      <c r="O1892" s="21">
        <f>IF(C1892="","",IFERROR(INDEX(الإعدادات!$D$7:$D$35,MATCH(C1892,الإعدادات!$A$7:$A$35,0))&amp;"",""))</f>
        <v/>
      </c>
      <c r="P1892" s="20">
        <f>IF(A1892="","",INDEX(الإعدادات!$H$7:$H$18,MONTH(A1892)))</f>
        <v/>
      </c>
      <c r="Q1892" s="20">
        <f>IF(A1892="","",INDEX(الإعدادات!$I$7:$I$18,MONTH(A1892)))</f>
        <v/>
      </c>
      <c r="R1892" s="20">
        <f>IF(A1892="","",IF(MONTH(A1892)&gt;=8,YEAR(A1892)&amp;"-"&amp;(YEAR(A1892)+1),(YEAR(A1892)-1)&amp;"-"&amp;YEAR(A1892)))</f>
        <v/>
      </c>
      <c r="S1892" s="20">
        <f>IF(OR(A1892="",B1892=""),0,IF(AND(R1892=التقارير!$C$4,OR(التقارير!$C$5="سنوي",AND(التقارير!$C$5="شهري",P1892=التقارير!$C$6),AND(التقارير!$C$5="فصلي",Q1892=التقارير!$C$7))),1,0))</f>
        <v/>
      </c>
      <c r="T1892" s="20">
        <f>IF(S1892=1,COUNTIF($S$5:S1892,1),"")</f>
        <v/>
      </c>
      <c r="U1892">
        <f>IF(AND($A1892&lt;&gt;"",$B1892&lt;&gt;"",$R1892='تقرير الفصل الأول'!$C$4,$Q1892='تقرير الفصل الأول'!$C$7),COUNT(U$4:U1891)+1,"")</f>
        <v/>
      </c>
      <c r="V1892">
        <f>IF(AND($A1892&lt;&gt;"",$B1892&lt;&gt;"",$R1892='تقرير الفصل الثاني'!$C$4,$Q1892='تقرير الفصل الثاني'!$C$7),COUNT(V$4:V1891)+1,"")</f>
        <v/>
      </c>
      <c r="W1892">
        <f>IF(AND($A1892&lt;&gt;"",$B1892&lt;&gt;"",$R1892='تقرير سبتمبر'!$C$4,$P1892='تقرير سبتمبر'!$C$6),COUNT(W$4:W1891)+1,"")</f>
        <v/>
      </c>
      <c r="X1892">
        <f>IF(AND($A1892&lt;&gt;"",$B1892&lt;&gt;"",$R1892='تقرير أكتوبر'!$C$4,$P1892='تقرير أكتوبر'!$C$6),COUNT(X$4:X1891)+1,"")</f>
        <v/>
      </c>
      <c r="Y1892">
        <f>IF(AND($A1892&lt;&gt;"",$B1892&lt;&gt;"",$R1892='تقرير نوفمبر'!$C$4,$P1892='تقرير نوفمبر'!$C$6),COUNT(Y$4:Y1891)+1,"")</f>
        <v/>
      </c>
      <c r="Z1892">
        <f>IF(AND($A1892&lt;&gt;"",$B1892&lt;&gt;"",$R1892='تقرير ديسمبر'!$C$4,$P1892='تقرير ديسمبر'!$C$6),COUNT(Z$4:Z1891)+1,"")</f>
        <v/>
      </c>
      <c r="AA1892">
        <f>IF(AND($A1892&lt;&gt;"",$B1892&lt;&gt;"",$R1892='تقرير يناير'!$C$4,$P1892='تقرير يناير'!$C$6),COUNT(AA$4:AA1891)+1,"")</f>
        <v/>
      </c>
      <c r="AB1892">
        <f>IF(AND($A1892&lt;&gt;"",$B1892&lt;&gt;"",$R1892='تقرير فبراير'!$C$4,$P1892='تقرير فبراير'!$C$6),COUNT(AB$4:AB1891)+1,"")</f>
        <v/>
      </c>
      <c r="AC1892">
        <f>IF(AND($A1892&lt;&gt;"",$B1892&lt;&gt;"",$R1892='تقرير مارس'!$C$4,$P1892='تقرير مارس'!$C$6),COUNT(AC$4:AC1891)+1,"")</f>
        <v/>
      </c>
      <c r="AD1892">
        <f>IF(AND($A1892&lt;&gt;"",$B1892&lt;&gt;"",$R1892='تقرير أبريل'!$C$4,$P1892='تقرير أبريل'!$C$6),COUNT(AD$4:AD1891)+1,"")</f>
        <v/>
      </c>
      <c r="AE1892">
        <f>IF(AND($A1892&lt;&gt;"",$B1892&lt;&gt;"",$R1892='تقرير مايو'!$C$4,$P1892='تقرير مايو'!$C$6),COUNT(AE$4:AE1891)+1,"")</f>
        <v/>
      </c>
    </row>
    <row r="1893">
      <c r="A1893" s="16" t="n"/>
      <c r="B1893" s="17" t="n"/>
      <c r="C1893" s="17" t="n"/>
      <c r="D1893" s="18" t="n"/>
      <c r="E1893" s="17" t="n"/>
      <c r="F1893" s="17" t="n"/>
      <c r="G1893" s="19" t="n"/>
      <c r="H1893" s="17" t="n"/>
      <c r="I1893" s="17" t="n"/>
      <c r="J1893" s="17" t="n"/>
      <c r="K1893" s="20">
        <f>IF($B1893="","",IFERROR(INDEX(الموظفات!$A$5:$A$304,MATCH($B1893,الموظفات!$B$5:$B$304,0))&amp;"",""))</f>
        <v/>
      </c>
      <c r="L1893" s="21">
        <f>IF($B1893="","",IFERROR(INDEX(الموظفات!$C$5:$C$304,MATCH($B1893,الموظفات!$B$5:$B$304,0))&amp;"",""))</f>
        <v/>
      </c>
      <c r="M1893" s="20">
        <f>IF($B1893="","",IFERROR(INDEX(الموظفات!$D$5:$D$304,MATCH($B1893,الموظفات!$B$5:$B$304,0))&amp;"",""))</f>
        <v/>
      </c>
      <c r="N1893" s="20">
        <f>IF($B1893="","",IFERROR(INDEX(الموظفات!$E$5:$E$304,MATCH($B1893,الموظفات!$B$5:$B$304,0))&amp;"",""))</f>
        <v/>
      </c>
      <c r="O1893" s="21">
        <f>IF(C1893="","",IFERROR(INDEX(الإعدادات!$D$7:$D$35,MATCH(C1893,الإعدادات!$A$7:$A$35,0))&amp;"",""))</f>
        <v/>
      </c>
      <c r="P1893" s="20">
        <f>IF(A1893="","",INDEX(الإعدادات!$H$7:$H$18,MONTH(A1893)))</f>
        <v/>
      </c>
      <c r="Q1893" s="20">
        <f>IF(A1893="","",INDEX(الإعدادات!$I$7:$I$18,MONTH(A1893)))</f>
        <v/>
      </c>
      <c r="R1893" s="20">
        <f>IF(A1893="","",IF(MONTH(A1893)&gt;=8,YEAR(A1893)&amp;"-"&amp;(YEAR(A1893)+1),(YEAR(A1893)-1)&amp;"-"&amp;YEAR(A1893)))</f>
        <v/>
      </c>
      <c r="S1893" s="20">
        <f>IF(OR(A1893="",B1893=""),0,IF(AND(R1893=التقارير!$C$4,OR(التقارير!$C$5="سنوي",AND(التقارير!$C$5="شهري",P1893=التقارير!$C$6),AND(التقارير!$C$5="فصلي",Q1893=التقارير!$C$7))),1,0))</f>
        <v/>
      </c>
      <c r="T1893" s="20">
        <f>IF(S1893=1,COUNTIF($S$5:S1893,1),"")</f>
        <v/>
      </c>
      <c r="U1893">
        <f>IF(AND($A1893&lt;&gt;"",$B1893&lt;&gt;"",$R1893='تقرير الفصل الأول'!$C$4,$Q1893='تقرير الفصل الأول'!$C$7),COUNT(U$4:U1892)+1,"")</f>
        <v/>
      </c>
      <c r="V1893">
        <f>IF(AND($A1893&lt;&gt;"",$B1893&lt;&gt;"",$R1893='تقرير الفصل الثاني'!$C$4,$Q1893='تقرير الفصل الثاني'!$C$7),COUNT(V$4:V1892)+1,"")</f>
        <v/>
      </c>
      <c r="W1893">
        <f>IF(AND($A1893&lt;&gt;"",$B1893&lt;&gt;"",$R1893='تقرير سبتمبر'!$C$4,$P1893='تقرير سبتمبر'!$C$6),COUNT(W$4:W1892)+1,"")</f>
        <v/>
      </c>
      <c r="X1893">
        <f>IF(AND($A1893&lt;&gt;"",$B1893&lt;&gt;"",$R1893='تقرير أكتوبر'!$C$4,$P1893='تقرير أكتوبر'!$C$6),COUNT(X$4:X1892)+1,"")</f>
        <v/>
      </c>
      <c r="Y1893">
        <f>IF(AND($A1893&lt;&gt;"",$B1893&lt;&gt;"",$R1893='تقرير نوفمبر'!$C$4,$P1893='تقرير نوفمبر'!$C$6),COUNT(Y$4:Y1892)+1,"")</f>
        <v/>
      </c>
      <c r="Z1893">
        <f>IF(AND($A1893&lt;&gt;"",$B1893&lt;&gt;"",$R1893='تقرير ديسمبر'!$C$4,$P1893='تقرير ديسمبر'!$C$6),COUNT(Z$4:Z1892)+1,"")</f>
        <v/>
      </c>
      <c r="AA1893">
        <f>IF(AND($A1893&lt;&gt;"",$B1893&lt;&gt;"",$R1893='تقرير يناير'!$C$4,$P1893='تقرير يناير'!$C$6),COUNT(AA$4:AA1892)+1,"")</f>
        <v/>
      </c>
      <c r="AB1893">
        <f>IF(AND($A1893&lt;&gt;"",$B1893&lt;&gt;"",$R1893='تقرير فبراير'!$C$4,$P1893='تقرير فبراير'!$C$6),COUNT(AB$4:AB1892)+1,"")</f>
        <v/>
      </c>
      <c r="AC1893">
        <f>IF(AND($A1893&lt;&gt;"",$B1893&lt;&gt;"",$R1893='تقرير مارس'!$C$4,$P1893='تقرير مارس'!$C$6),COUNT(AC$4:AC1892)+1,"")</f>
        <v/>
      </c>
      <c r="AD1893">
        <f>IF(AND($A1893&lt;&gt;"",$B1893&lt;&gt;"",$R1893='تقرير أبريل'!$C$4,$P1893='تقرير أبريل'!$C$6),COUNT(AD$4:AD1892)+1,"")</f>
        <v/>
      </c>
      <c r="AE1893">
        <f>IF(AND($A1893&lt;&gt;"",$B1893&lt;&gt;"",$R1893='تقرير مايو'!$C$4,$P1893='تقرير مايو'!$C$6),COUNT(AE$4:AE1892)+1,"")</f>
        <v/>
      </c>
    </row>
    <row r="1894">
      <c r="A1894" s="16" t="n"/>
      <c r="B1894" s="17" t="n"/>
      <c r="C1894" s="17" t="n"/>
      <c r="D1894" s="18" t="n"/>
      <c r="E1894" s="17" t="n"/>
      <c r="F1894" s="17" t="n"/>
      <c r="G1894" s="19" t="n"/>
      <c r="H1894" s="17" t="n"/>
      <c r="I1894" s="17" t="n"/>
      <c r="J1894" s="17" t="n"/>
      <c r="K1894" s="20">
        <f>IF($B1894="","",IFERROR(INDEX(الموظفات!$A$5:$A$304,MATCH($B1894,الموظفات!$B$5:$B$304,0))&amp;"",""))</f>
        <v/>
      </c>
      <c r="L1894" s="21">
        <f>IF($B1894="","",IFERROR(INDEX(الموظفات!$C$5:$C$304,MATCH($B1894,الموظفات!$B$5:$B$304,0))&amp;"",""))</f>
        <v/>
      </c>
      <c r="M1894" s="20">
        <f>IF($B1894="","",IFERROR(INDEX(الموظفات!$D$5:$D$304,MATCH($B1894,الموظفات!$B$5:$B$304,0))&amp;"",""))</f>
        <v/>
      </c>
      <c r="N1894" s="20">
        <f>IF($B1894="","",IFERROR(INDEX(الموظفات!$E$5:$E$304,MATCH($B1894,الموظفات!$B$5:$B$304,0))&amp;"",""))</f>
        <v/>
      </c>
      <c r="O1894" s="21">
        <f>IF(C1894="","",IFERROR(INDEX(الإعدادات!$D$7:$D$35,MATCH(C1894,الإعدادات!$A$7:$A$35,0))&amp;"",""))</f>
        <v/>
      </c>
      <c r="P1894" s="20">
        <f>IF(A1894="","",INDEX(الإعدادات!$H$7:$H$18,MONTH(A1894)))</f>
        <v/>
      </c>
      <c r="Q1894" s="20">
        <f>IF(A1894="","",INDEX(الإعدادات!$I$7:$I$18,MONTH(A1894)))</f>
        <v/>
      </c>
      <c r="R1894" s="20">
        <f>IF(A1894="","",IF(MONTH(A1894)&gt;=8,YEAR(A1894)&amp;"-"&amp;(YEAR(A1894)+1),(YEAR(A1894)-1)&amp;"-"&amp;YEAR(A1894)))</f>
        <v/>
      </c>
      <c r="S1894" s="20">
        <f>IF(OR(A1894="",B1894=""),0,IF(AND(R1894=التقارير!$C$4,OR(التقارير!$C$5="سنوي",AND(التقارير!$C$5="شهري",P1894=التقارير!$C$6),AND(التقارير!$C$5="فصلي",Q1894=التقارير!$C$7))),1,0))</f>
        <v/>
      </c>
      <c r="T1894" s="20">
        <f>IF(S1894=1,COUNTIF($S$5:S1894,1),"")</f>
        <v/>
      </c>
      <c r="U1894">
        <f>IF(AND($A1894&lt;&gt;"",$B1894&lt;&gt;"",$R1894='تقرير الفصل الأول'!$C$4,$Q1894='تقرير الفصل الأول'!$C$7),COUNT(U$4:U1893)+1,"")</f>
        <v/>
      </c>
      <c r="V1894">
        <f>IF(AND($A1894&lt;&gt;"",$B1894&lt;&gt;"",$R1894='تقرير الفصل الثاني'!$C$4,$Q1894='تقرير الفصل الثاني'!$C$7),COUNT(V$4:V1893)+1,"")</f>
        <v/>
      </c>
      <c r="W1894">
        <f>IF(AND($A1894&lt;&gt;"",$B1894&lt;&gt;"",$R1894='تقرير سبتمبر'!$C$4,$P1894='تقرير سبتمبر'!$C$6),COUNT(W$4:W1893)+1,"")</f>
        <v/>
      </c>
      <c r="X1894">
        <f>IF(AND($A1894&lt;&gt;"",$B1894&lt;&gt;"",$R1894='تقرير أكتوبر'!$C$4,$P1894='تقرير أكتوبر'!$C$6),COUNT(X$4:X1893)+1,"")</f>
        <v/>
      </c>
      <c r="Y1894">
        <f>IF(AND($A1894&lt;&gt;"",$B1894&lt;&gt;"",$R1894='تقرير نوفمبر'!$C$4,$P1894='تقرير نوفمبر'!$C$6),COUNT(Y$4:Y1893)+1,"")</f>
        <v/>
      </c>
      <c r="Z1894">
        <f>IF(AND($A1894&lt;&gt;"",$B1894&lt;&gt;"",$R1894='تقرير ديسمبر'!$C$4,$P1894='تقرير ديسمبر'!$C$6),COUNT(Z$4:Z1893)+1,"")</f>
        <v/>
      </c>
      <c r="AA1894">
        <f>IF(AND($A1894&lt;&gt;"",$B1894&lt;&gt;"",$R1894='تقرير يناير'!$C$4,$P1894='تقرير يناير'!$C$6),COUNT(AA$4:AA1893)+1,"")</f>
        <v/>
      </c>
      <c r="AB1894">
        <f>IF(AND($A1894&lt;&gt;"",$B1894&lt;&gt;"",$R1894='تقرير فبراير'!$C$4,$P1894='تقرير فبراير'!$C$6),COUNT(AB$4:AB1893)+1,"")</f>
        <v/>
      </c>
      <c r="AC1894">
        <f>IF(AND($A1894&lt;&gt;"",$B1894&lt;&gt;"",$R1894='تقرير مارس'!$C$4,$P1894='تقرير مارس'!$C$6),COUNT(AC$4:AC1893)+1,"")</f>
        <v/>
      </c>
      <c r="AD1894">
        <f>IF(AND($A1894&lt;&gt;"",$B1894&lt;&gt;"",$R1894='تقرير أبريل'!$C$4,$P1894='تقرير أبريل'!$C$6),COUNT(AD$4:AD1893)+1,"")</f>
        <v/>
      </c>
      <c r="AE1894">
        <f>IF(AND($A1894&lt;&gt;"",$B1894&lt;&gt;"",$R1894='تقرير مايو'!$C$4,$P1894='تقرير مايو'!$C$6),COUNT(AE$4:AE1893)+1,"")</f>
        <v/>
      </c>
    </row>
    <row r="1895">
      <c r="A1895" s="16" t="n"/>
      <c r="B1895" s="17" t="n"/>
      <c r="C1895" s="17" t="n"/>
      <c r="D1895" s="18" t="n"/>
      <c r="E1895" s="17" t="n"/>
      <c r="F1895" s="17" t="n"/>
      <c r="G1895" s="19" t="n"/>
      <c r="H1895" s="17" t="n"/>
      <c r="I1895" s="17" t="n"/>
      <c r="J1895" s="17" t="n"/>
      <c r="K1895" s="20">
        <f>IF($B1895="","",IFERROR(INDEX(الموظفات!$A$5:$A$304,MATCH($B1895,الموظفات!$B$5:$B$304,0))&amp;"",""))</f>
        <v/>
      </c>
      <c r="L1895" s="21">
        <f>IF($B1895="","",IFERROR(INDEX(الموظفات!$C$5:$C$304,MATCH($B1895,الموظفات!$B$5:$B$304,0))&amp;"",""))</f>
        <v/>
      </c>
      <c r="M1895" s="20">
        <f>IF($B1895="","",IFERROR(INDEX(الموظفات!$D$5:$D$304,MATCH($B1895,الموظفات!$B$5:$B$304,0))&amp;"",""))</f>
        <v/>
      </c>
      <c r="N1895" s="20">
        <f>IF($B1895="","",IFERROR(INDEX(الموظفات!$E$5:$E$304,MATCH($B1895,الموظفات!$B$5:$B$304,0))&amp;"",""))</f>
        <v/>
      </c>
      <c r="O1895" s="21">
        <f>IF(C1895="","",IFERROR(INDEX(الإعدادات!$D$7:$D$35,MATCH(C1895,الإعدادات!$A$7:$A$35,0))&amp;"",""))</f>
        <v/>
      </c>
      <c r="P1895" s="20">
        <f>IF(A1895="","",INDEX(الإعدادات!$H$7:$H$18,MONTH(A1895)))</f>
        <v/>
      </c>
      <c r="Q1895" s="20">
        <f>IF(A1895="","",INDEX(الإعدادات!$I$7:$I$18,MONTH(A1895)))</f>
        <v/>
      </c>
      <c r="R1895" s="20">
        <f>IF(A1895="","",IF(MONTH(A1895)&gt;=8,YEAR(A1895)&amp;"-"&amp;(YEAR(A1895)+1),(YEAR(A1895)-1)&amp;"-"&amp;YEAR(A1895)))</f>
        <v/>
      </c>
      <c r="S1895" s="20">
        <f>IF(OR(A1895="",B1895=""),0,IF(AND(R1895=التقارير!$C$4,OR(التقارير!$C$5="سنوي",AND(التقارير!$C$5="شهري",P1895=التقارير!$C$6),AND(التقارير!$C$5="فصلي",Q1895=التقارير!$C$7))),1,0))</f>
        <v/>
      </c>
      <c r="T1895" s="20">
        <f>IF(S1895=1,COUNTIF($S$5:S1895,1),"")</f>
        <v/>
      </c>
      <c r="U1895">
        <f>IF(AND($A1895&lt;&gt;"",$B1895&lt;&gt;"",$R1895='تقرير الفصل الأول'!$C$4,$Q1895='تقرير الفصل الأول'!$C$7),COUNT(U$4:U1894)+1,"")</f>
        <v/>
      </c>
      <c r="V1895">
        <f>IF(AND($A1895&lt;&gt;"",$B1895&lt;&gt;"",$R1895='تقرير الفصل الثاني'!$C$4,$Q1895='تقرير الفصل الثاني'!$C$7),COUNT(V$4:V1894)+1,"")</f>
        <v/>
      </c>
      <c r="W1895">
        <f>IF(AND($A1895&lt;&gt;"",$B1895&lt;&gt;"",$R1895='تقرير سبتمبر'!$C$4,$P1895='تقرير سبتمبر'!$C$6),COUNT(W$4:W1894)+1,"")</f>
        <v/>
      </c>
      <c r="X1895">
        <f>IF(AND($A1895&lt;&gt;"",$B1895&lt;&gt;"",$R1895='تقرير أكتوبر'!$C$4,$P1895='تقرير أكتوبر'!$C$6),COUNT(X$4:X1894)+1,"")</f>
        <v/>
      </c>
      <c r="Y1895">
        <f>IF(AND($A1895&lt;&gt;"",$B1895&lt;&gt;"",$R1895='تقرير نوفمبر'!$C$4,$P1895='تقرير نوفمبر'!$C$6),COUNT(Y$4:Y1894)+1,"")</f>
        <v/>
      </c>
      <c r="Z1895">
        <f>IF(AND($A1895&lt;&gt;"",$B1895&lt;&gt;"",$R1895='تقرير ديسمبر'!$C$4,$P1895='تقرير ديسمبر'!$C$6),COUNT(Z$4:Z1894)+1,"")</f>
        <v/>
      </c>
      <c r="AA1895">
        <f>IF(AND($A1895&lt;&gt;"",$B1895&lt;&gt;"",$R1895='تقرير يناير'!$C$4,$P1895='تقرير يناير'!$C$6),COUNT(AA$4:AA1894)+1,"")</f>
        <v/>
      </c>
      <c r="AB1895">
        <f>IF(AND($A1895&lt;&gt;"",$B1895&lt;&gt;"",$R1895='تقرير فبراير'!$C$4,$P1895='تقرير فبراير'!$C$6),COUNT(AB$4:AB1894)+1,"")</f>
        <v/>
      </c>
      <c r="AC1895">
        <f>IF(AND($A1895&lt;&gt;"",$B1895&lt;&gt;"",$R1895='تقرير مارس'!$C$4,$P1895='تقرير مارس'!$C$6),COUNT(AC$4:AC1894)+1,"")</f>
        <v/>
      </c>
      <c r="AD1895">
        <f>IF(AND($A1895&lt;&gt;"",$B1895&lt;&gt;"",$R1895='تقرير أبريل'!$C$4,$P1895='تقرير أبريل'!$C$6),COUNT(AD$4:AD1894)+1,"")</f>
        <v/>
      </c>
      <c r="AE1895">
        <f>IF(AND($A1895&lt;&gt;"",$B1895&lt;&gt;"",$R1895='تقرير مايو'!$C$4,$P1895='تقرير مايو'!$C$6),COUNT(AE$4:AE1894)+1,"")</f>
        <v/>
      </c>
    </row>
    <row r="1896">
      <c r="A1896" s="16" t="n"/>
      <c r="B1896" s="17" t="n"/>
      <c r="C1896" s="17" t="n"/>
      <c r="D1896" s="18" t="n"/>
      <c r="E1896" s="17" t="n"/>
      <c r="F1896" s="17" t="n"/>
      <c r="G1896" s="19" t="n"/>
      <c r="H1896" s="17" t="n"/>
      <c r="I1896" s="17" t="n"/>
      <c r="J1896" s="17" t="n"/>
      <c r="K1896" s="20">
        <f>IF($B1896="","",IFERROR(INDEX(الموظفات!$A$5:$A$304,MATCH($B1896,الموظفات!$B$5:$B$304,0))&amp;"",""))</f>
        <v/>
      </c>
      <c r="L1896" s="21">
        <f>IF($B1896="","",IFERROR(INDEX(الموظفات!$C$5:$C$304,MATCH($B1896,الموظفات!$B$5:$B$304,0))&amp;"",""))</f>
        <v/>
      </c>
      <c r="M1896" s="20">
        <f>IF($B1896="","",IFERROR(INDEX(الموظفات!$D$5:$D$304,MATCH($B1896,الموظفات!$B$5:$B$304,0))&amp;"",""))</f>
        <v/>
      </c>
      <c r="N1896" s="20">
        <f>IF($B1896="","",IFERROR(INDEX(الموظفات!$E$5:$E$304,MATCH($B1896,الموظفات!$B$5:$B$304,0))&amp;"",""))</f>
        <v/>
      </c>
      <c r="O1896" s="21">
        <f>IF(C1896="","",IFERROR(INDEX(الإعدادات!$D$7:$D$35,MATCH(C1896,الإعدادات!$A$7:$A$35,0))&amp;"",""))</f>
        <v/>
      </c>
      <c r="P1896" s="20">
        <f>IF(A1896="","",INDEX(الإعدادات!$H$7:$H$18,MONTH(A1896)))</f>
        <v/>
      </c>
      <c r="Q1896" s="20">
        <f>IF(A1896="","",INDEX(الإعدادات!$I$7:$I$18,MONTH(A1896)))</f>
        <v/>
      </c>
      <c r="R1896" s="20">
        <f>IF(A1896="","",IF(MONTH(A1896)&gt;=8,YEAR(A1896)&amp;"-"&amp;(YEAR(A1896)+1),(YEAR(A1896)-1)&amp;"-"&amp;YEAR(A1896)))</f>
        <v/>
      </c>
      <c r="S1896" s="20">
        <f>IF(OR(A1896="",B1896=""),0,IF(AND(R1896=التقارير!$C$4,OR(التقارير!$C$5="سنوي",AND(التقارير!$C$5="شهري",P1896=التقارير!$C$6),AND(التقارير!$C$5="فصلي",Q1896=التقارير!$C$7))),1,0))</f>
        <v/>
      </c>
      <c r="T1896" s="20">
        <f>IF(S1896=1,COUNTIF($S$5:S1896,1),"")</f>
        <v/>
      </c>
      <c r="U1896">
        <f>IF(AND($A1896&lt;&gt;"",$B1896&lt;&gt;"",$R1896='تقرير الفصل الأول'!$C$4,$Q1896='تقرير الفصل الأول'!$C$7),COUNT(U$4:U1895)+1,"")</f>
        <v/>
      </c>
      <c r="V1896">
        <f>IF(AND($A1896&lt;&gt;"",$B1896&lt;&gt;"",$R1896='تقرير الفصل الثاني'!$C$4,$Q1896='تقرير الفصل الثاني'!$C$7),COUNT(V$4:V1895)+1,"")</f>
        <v/>
      </c>
      <c r="W1896">
        <f>IF(AND($A1896&lt;&gt;"",$B1896&lt;&gt;"",$R1896='تقرير سبتمبر'!$C$4,$P1896='تقرير سبتمبر'!$C$6),COUNT(W$4:W1895)+1,"")</f>
        <v/>
      </c>
      <c r="X1896">
        <f>IF(AND($A1896&lt;&gt;"",$B1896&lt;&gt;"",$R1896='تقرير أكتوبر'!$C$4,$P1896='تقرير أكتوبر'!$C$6),COUNT(X$4:X1895)+1,"")</f>
        <v/>
      </c>
      <c r="Y1896">
        <f>IF(AND($A1896&lt;&gt;"",$B1896&lt;&gt;"",$R1896='تقرير نوفمبر'!$C$4,$P1896='تقرير نوفمبر'!$C$6),COUNT(Y$4:Y1895)+1,"")</f>
        <v/>
      </c>
      <c r="Z1896">
        <f>IF(AND($A1896&lt;&gt;"",$B1896&lt;&gt;"",$R1896='تقرير ديسمبر'!$C$4,$P1896='تقرير ديسمبر'!$C$6),COUNT(Z$4:Z1895)+1,"")</f>
        <v/>
      </c>
      <c r="AA1896">
        <f>IF(AND($A1896&lt;&gt;"",$B1896&lt;&gt;"",$R1896='تقرير يناير'!$C$4,$P1896='تقرير يناير'!$C$6),COUNT(AA$4:AA1895)+1,"")</f>
        <v/>
      </c>
      <c r="AB1896">
        <f>IF(AND($A1896&lt;&gt;"",$B1896&lt;&gt;"",$R1896='تقرير فبراير'!$C$4,$P1896='تقرير فبراير'!$C$6),COUNT(AB$4:AB1895)+1,"")</f>
        <v/>
      </c>
      <c r="AC1896">
        <f>IF(AND($A1896&lt;&gt;"",$B1896&lt;&gt;"",$R1896='تقرير مارس'!$C$4,$P1896='تقرير مارس'!$C$6),COUNT(AC$4:AC1895)+1,"")</f>
        <v/>
      </c>
      <c r="AD1896">
        <f>IF(AND($A1896&lt;&gt;"",$B1896&lt;&gt;"",$R1896='تقرير أبريل'!$C$4,$P1896='تقرير أبريل'!$C$6),COUNT(AD$4:AD1895)+1,"")</f>
        <v/>
      </c>
      <c r="AE1896">
        <f>IF(AND($A1896&lt;&gt;"",$B1896&lt;&gt;"",$R1896='تقرير مايو'!$C$4,$P1896='تقرير مايو'!$C$6),COUNT(AE$4:AE1895)+1,"")</f>
        <v/>
      </c>
    </row>
    <row r="1897">
      <c r="A1897" s="16" t="n"/>
      <c r="B1897" s="17" t="n"/>
      <c r="C1897" s="17" t="n"/>
      <c r="D1897" s="18" t="n"/>
      <c r="E1897" s="17" t="n"/>
      <c r="F1897" s="17" t="n"/>
      <c r="G1897" s="19" t="n"/>
      <c r="H1897" s="17" t="n"/>
      <c r="I1897" s="17" t="n"/>
      <c r="J1897" s="17" t="n"/>
      <c r="K1897" s="20">
        <f>IF($B1897="","",IFERROR(INDEX(الموظفات!$A$5:$A$304,MATCH($B1897,الموظفات!$B$5:$B$304,0))&amp;"",""))</f>
        <v/>
      </c>
      <c r="L1897" s="21">
        <f>IF($B1897="","",IFERROR(INDEX(الموظفات!$C$5:$C$304,MATCH($B1897,الموظفات!$B$5:$B$304,0))&amp;"",""))</f>
        <v/>
      </c>
      <c r="M1897" s="20">
        <f>IF($B1897="","",IFERROR(INDEX(الموظفات!$D$5:$D$304,MATCH($B1897,الموظفات!$B$5:$B$304,0))&amp;"",""))</f>
        <v/>
      </c>
      <c r="N1897" s="20">
        <f>IF($B1897="","",IFERROR(INDEX(الموظفات!$E$5:$E$304,MATCH($B1897,الموظفات!$B$5:$B$304,0))&amp;"",""))</f>
        <v/>
      </c>
      <c r="O1897" s="21">
        <f>IF(C1897="","",IFERROR(INDEX(الإعدادات!$D$7:$D$35,MATCH(C1897,الإعدادات!$A$7:$A$35,0))&amp;"",""))</f>
        <v/>
      </c>
      <c r="P1897" s="20">
        <f>IF(A1897="","",INDEX(الإعدادات!$H$7:$H$18,MONTH(A1897)))</f>
        <v/>
      </c>
      <c r="Q1897" s="20">
        <f>IF(A1897="","",INDEX(الإعدادات!$I$7:$I$18,MONTH(A1897)))</f>
        <v/>
      </c>
      <c r="R1897" s="20">
        <f>IF(A1897="","",IF(MONTH(A1897)&gt;=8,YEAR(A1897)&amp;"-"&amp;(YEAR(A1897)+1),(YEAR(A1897)-1)&amp;"-"&amp;YEAR(A1897)))</f>
        <v/>
      </c>
      <c r="S1897" s="20">
        <f>IF(OR(A1897="",B1897=""),0,IF(AND(R1897=التقارير!$C$4,OR(التقارير!$C$5="سنوي",AND(التقارير!$C$5="شهري",P1897=التقارير!$C$6),AND(التقارير!$C$5="فصلي",Q1897=التقارير!$C$7))),1,0))</f>
        <v/>
      </c>
      <c r="T1897" s="20">
        <f>IF(S1897=1,COUNTIF($S$5:S1897,1),"")</f>
        <v/>
      </c>
      <c r="U1897">
        <f>IF(AND($A1897&lt;&gt;"",$B1897&lt;&gt;"",$R1897='تقرير الفصل الأول'!$C$4,$Q1897='تقرير الفصل الأول'!$C$7),COUNT(U$4:U1896)+1,"")</f>
        <v/>
      </c>
      <c r="V1897">
        <f>IF(AND($A1897&lt;&gt;"",$B1897&lt;&gt;"",$R1897='تقرير الفصل الثاني'!$C$4,$Q1897='تقرير الفصل الثاني'!$C$7),COUNT(V$4:V1896)+1,"")</f>
        <v/>
      </c>
      <c r="W1897">
        <f>IF(AND($A1897&lt;&gt;"",$B1897&lt;&gt;"",$R1897='تقرير سبتمبر'!$C$4,$P1897='تقرير سبتمبر'!$C$6),COUNT(W$4:W1896)+1,"")</f>
        <v/>
      </c>
      <c r="X1897">
        <f>IF(AND($A1897&lt;&gt;"",$B1897&lt;&gt;"",$R1897='تقرير أكتوبر'!$C$4,$P1897='تقرير أكتوبر'!$C$6),COUNT(X$4:X1896)+1,"")</f>
        <v/>
      </c>
      <c r="Y1897">
        <f>IF(AND($A1897&lt;&gt;"",$B1897&lt;&gt;"",$R1897='تقرير نوفمبر'!$C$4,$P1897='تقرير نوفمبر'!$C$6),COUNT(Y$4:Y1896)+1,"")</f>
        <v/>
      </c>
      <c r="Z1897">
        <f>IF(AND($A1897&lt;&gt;"",$B1897&lt;&gt;"",$R1897='تقرير ديسمبر'!$C$4,$P1897='تقرير ديسمبر'!$C$6),COUNT(Z$4:Z1896)+1,"")</f>
        <v/>
      </c>
      <c r="AA1897">
        <f>IF(AND($A1897&lt;&gt;"",$B1897&lt;&gt;"",$R1897='تقرير يناير'!$C$4,$P1897='تقرير يناير'!$C$6),COUNT(AA$4:AA1896)+1,"")</f>
        <v/>
      </c>
      <c r="AB1897">
        <f>IF(AND($A1897&lt;&gt;"",$B1897&lt;&gt;"",$R1897='تقرير فبراير'!$C$4,$P1897='تقرير فبراير'!$C$6),COUNT(AB$4:AB1896)+1,"")</f>
        <v/>
      </c>
      <c r="AC1897">
        <f>IF(AND($A1897&lt;&gt;"",$B1897&lt;&gt;"",$R1897='تقرير مارس'!$C$4,$P1897='تقرير مارس'!$C$6),COUNT(AC$4:AC1896)+1,"")</f>
        <v/>
      </c>
      <c r="AD1897">
        <f>IF(AND($A1897&lt;&gt;"",$B1897&lt;&gt;"",$R1897='تقرير أبريل'!$C$4,$P1897='تقرير أبريل'!$C$6),COUNT(AD$4:AD1896)+1,"")</f>
        <v/>
      </c>
      <c r="AE1897">
        <f>IF(AND($A1897&lt;&gt;"",$B1897&lt;&gt;"",$R1897='تقرير مايو'!$C$4,$P1897='تقرير مايو'!$C$6),COUNT(AE$4:AE1896)+1,"")</f>
        <v/>
      </c>
    </row>
    <row r="1898">
      <c r="A1898" s="16" t="n"/>
      <c r="B1898" s="17" t="n"/>
      <c r="C1898" s="17" t="n"/>
      <c r="D1898" s="18" t="n"/>
      <c r="E1898" s="17" t="n"/>
      <c r="F1898" s="17" t="n"/>
      <c r="G1898" s="19" t="n"/>
      <c r="H1898" s="17" t="n"/>
      <c r="I1898" s="17" t="n"/>
      <c r="J1898" s="17" t="n"/>
      <c r="K1898" s="20">
        <f>IF($B1898="","",IFERROR(INDEX(الموظفات!$A$5:$A$304,MATCH($B1898,الموظفات!$B$5:$B$304,0))&amp;"",""))</f>
        <v/>
      </c>
      <c r="L1898" s="21">
        <f>IF($B1898="","",IFERROR(INDEX(الموظفات!$C$5:$C$304,MATCH($B1898,الموظفات!$B$5:$B$304,0))&amp;"",""))</f>
        <v/>
      </c>
      <c r="M1898" s="20">
        <f>IF($B1898="","",IFERROR(INDEX(الموظفات!$D$5:$D$304,MATCH($B1898,الموظفات!$B$5:$B$304,0))&amp;"",""))</f>
        <v/>
      </c>
      <c r="N1898" s="20">
        <f>IF($B1898="","",IFERROR(INDEX(الموظفات!$E$5:$E$304,MATCH($B1898,الموظفات!$B$5:$B$304,0))&amp;"",""))</f>
        <v/>
      </c>
      <c r="O1898" s="21">
        <f>IF(C1898="","",IFERROR(INDEX(الإعدادات!$D$7:$D$35,MATCH(C1898,الإعدادات!$A$7:$A$35,0))&amp;"",""))</f>
        <v/>
      </c>
      <c r="P1898" s="20">
        <f>IF(A1898="","",INDEX(الإعدادات!$H$7:$H$18,MONTH(A1898)))</f>
        <v/>
      </c>
      <c r="Q1898" s="20">
        <f>IF(A1898="","",INDEX(الإعدادات!$I$7:$I$18,MONTH(A1898)))</f>
        <v/>
      </c>
      <c r="R1898" s="20">
        <f>IF(A1898="","",IF(MONTH(A1898)&gt;=8,YEAR(A1898)&amp;"-"&amp;(YEAR(A1898)+1),(YEAR(A1898)-1)&amp;"-"&amp;YEAR(A1898)))</f>
        <v/>
      </c>
      <c r="S1898" s="20">
        <f>IF(OR(A1898="",B1898=""),0,IF(AND(R1898=التقارير!$C$4,OR(التقارير!$C$5="سنوي",AND(التقارير!$C$5="شهري",P1898=التقارير!$C$6),AND(التقارير!$C$5="فصلي",Q1898=التقارير!$C$7))),1,0))</f>
        <v/>
      </c>
      <c r="T1898" s="20">
        <f>IF(S1898=1,COUNTIF($S$5:S1898,1),"")</f>
        <v/>
      </c>
      <c r="U1898">
        <f>IF(AND($A1898&lt;&gt;"",$B1898&lt;&gt;"",$R1898='تقرير الفصل الأول'!$C$4,$Q1898='تقرير الفصل الأول'!$C$7),COUNT(U$4:U1897)+1,"")</f>
        <v/>
      </c>
      <c r="V1898">
        <f>IF(AND($A1898&lt;&gt;"",$B1898&lt;&gt;"",$R1898='تقرير الفصل الثاني'!$C$4,$Q1898='تقرير الفصل الثاني'!$C$7),COUNT(V$4:V1897)+1,"")</f>
        <v/>
      </c>
      <c r="W1898">
        <f>IF(AND($A1898&lt;&gt;"",$B1898&lt;&gt;"",$R1898='تقرير سبتمبر'!$C$4,$P1898='تقرير سبتمبر'!$C$6),COUNT(W$4:W1897)+1,"")</f>
        <v/>
      </c>
      <c r="X1898">
        <f>IF(AND($A1898&lt;&gt;"",$B1898&lt;&gt;"",$R1898='تقرير أكتوبر'!$C$4,$P1898='تقرير أكتوبر'!$C$6),COUNT(X$4:X1897)+1,"")</f>
        <v/>
      </c>
      <c r="Y1898">
        <f>IF(AND($A1898&lt;&gt;"",$B1898&lt;&gt;"",$R1898='تقرير نوفمبر'!$C$4,$P1898='تقرير نوفمبر'!$C$6),COUNT(Y$4:Y1897)+1,"")</f>
        <v/>
      </c>
      <c r="Z1898">
        <f>IF(AND($A1898&lt;&gt;"",$B1898&lt;&gt;"",$R1898='تقرير ديسمبر'!$C$4,$P1898='تقرير ديسمبر'!$C$6),COUNT(Z$4:Z1897)+1,"")</f>
        <v/>
      </c>
      <c r="AA1898">
        <f>IF(AND($A1898&lt;&gt;"",$B1898&lt;&gt;"",$R1898='تقرير يناير'!$C$4,$P1898='تقرير يناير'!$C$6),COUNT(AA$4:AA1897)+1,"")</f>
        <v/>
      </c>
      <c r="AB1898">
        <f>IF(AND($A1898&lt;&gt;"",$B1898&lt;&gt;"",$R1898='تقرير فبراير'!$C$4,$P1898='تقرير فبراير'!$C$6),COUNT(AB$4:AB1897)+1,"")</f>
        <v/>
      </c>
      <c r="AC1898">
        <f>IF(AND($A1898&lt;&gt;"",$B1898&lt;&gt;"",$R1898='تقرير مارس'!$C$4,$P1898='تقرير مارس'!$C$6),COUNT(AC$4:AC1897)+1,"")</f>
        <v/>
      </c>
      <c r="AD1898">
        <f>IF(AND($A1898&lt;&gt;"",$B1898&lt;&gt;"",$R1898='تقرير أبريل'!$C$4,$P1898='تقرير أبريل'!$C$6),COUNT(AD$4:AD1897)+1,"")</f>
        <v/>
      </c>
      <c r="AE1898">
        <f>IF(AND($A1898&lt;&gt;"",$B1898&lt;&gt;"",$R1898='تقرير مايو'!$C$4,$P1898='تقرير مايو'!$C$6),COUNT(AE$4:AE1897)+1,"")</f>
        <v/>
      </c>
    </row>
    <row r="1899">
      <c r="A1899" s="16" t="n"/>
      <c r="B1899" s="17" t="n"/>
      <c r="C1899" s="17" t="n"/>
      <c r="D1899" s="18" t="n"/>
      <c r="E1899" s="17" t="n"/>
      <c r="F1899" s="17" t="n"/>
      <c r="G1899" s="19" t="n"/>
      <c r="H1899" s="17" t="n"/>
      <c r="I1899" s="17" t="n"/>
      <c r="J1899" s="17" t="n"/>
      <c r="K1899" s="20">
        <f>IF($B1899="","",IFERROR(INDEX(الموظفات!$A$5:$A$304,MATCH($B1899,الموظفات!$B$5:$B$304,0))&amp;"",""))</f>
        <v/>
      </c>
      <c r="L1899" s="21">
        <f>IF($B1899="","",IFERROR(INDEX(الموظفات!$C$5:$C$304,MATCH($B1899,الموظفات!$B$5:$B$304,0))&amp;"",""))</f>
        <v/>
      </c>
      <c r="M1899" s="20">
        <f>IF($B1899="","",IFERROR(INDEX(الموظفات!$D$5:$D$304,MATCH($B1899,الموظفات!$B$5:$B$304,0))&amp;"",""))</f>
        <v/>
      </c>
      <c r="N1899" s="20">
        <f>IF($B1899="","",IFERROR(INDEX(الموظفات!$E$5:$E$304,MATCH($B1899,الموظفات!$B$5:$B$304,0))&amp;"",""))</f>
        <v/>
      </c>
      <c r="O1899" s="21">
        <f>IF(C1899="","",IFERROR(INDEX(الإعدادات!$D$7:$D$35,MATCH(C1899,الإعدادات!$A$7:$A$35,0))&amp;"",""))</f>
        <v/>
      </c>
      <c r="P1899" s="20">
        <f>IF(A1899="","",INDEX(الإعدادات!$H$7:$H$18,MONTH(A1899)))</f>
        <v/>
      </c>
      <c r="Q1899" s="20">
        <f>IF(A1899="","",INDEX(الإعدادات!$I$7:$I$18,MONTH(A1899)))</f>
        <v/>
      </c>
      <c r="R1899" s="20">
        <f>IF(A1899="","",IF(MONTH(A1899)&gt;=8,YEAR(A1899)&amp;"-"&amp;(YEAR(A1899)+1),(YEAR(A1899)-1)&amp;"-"&amp;YEAR(A1899)))</f>
        <v/>
      </c>
      <c r="S1899" s="20">
        <f>IF(OR(A1899="",B1899=""),0,IF(AND(R1899=التقارير!$C$4,OR(التقارير!$C$5="سنوي",AND(التقارير!$C$5="شهري",P1899=التقارير!$C$6),AND(التقارير!$C$5="فصلي",Q1899=التقارير!$C$7))),1,0))</f>
        <v/>
      </c>
      <c r="T1899" s="20">
        <f>IF(S1899=1,COUNTIF($S$5:S1899,1),"")</f>
        <v/>
      </c>
      <c r="U1899">
        <f>IF(AND($A1899&lt;&gt;"",$B1899&lt;&gt;"",$R1899='تقرير الفصل الأول'!$C$4,$Q1899='تقرير الفصل الأول'!$C$7),COUNT(U$4:U1898)+1,"")</f>
        <v/>
      </c>
      <c r="V1899">
        <f>IF(AND($A1899&lt;&gt;"",$B1899&lt;&gt;"",$R1899='تقرير الفصل الثاني'!$C$4,$Q1899='تقرير الفصل الثاني'!$C$7),COUNT(V$4:V1898)+1,"")</f>
        <v/>
      </c>
      <c r="W1899">
        <f>IF(AND($A1899&lt;&gt;"",$B1899&lt;&gt;"",$R1899='تقرير سبتمبر'!$C$4,$P1899='تقرير سبتمبر'!$C$6),COUNT(W$4:W1898)+1,"")</f>
        <v/>
      </c>
      <c r="X1899">
        <f>IF(AND($A1899&lt;&gt;"",$B1899&lt;&gt;"",$R1899='تقرير أكتوبر'!$C$4,$P1899='تقرير أكتوبر'!$C$6),COUNT(X$4:X1898)+1,"")</f>
        <v/>
      </c>
      <c r="Y1899">
        <f>IF(AND($A1899&lt;&gt;"",$B1899&lt;&gt;"",$R1899='تقرير نوفمبر'!$C$4,$P1899='تقرير نوفمبر'!$C$6),COUNT(Y$4:Y1898)+1,"")</f>
        <v/>
      </c>
      <c r="Z1899">
        <f>IF(AND($A1899&lt;&gt;"",$B1899&lt;&gt;"",$R1899='تقرير ديسمبر'!$C$4,$P1899='تقرير ديسمبر'!$C$6),COUNT(Z$4:Z1898)+1,"")</f>
        <v/>
      </c>
      <c r="AA1899">
        <f>IF(AND($A1899&lt;&gt;"",$B1899&lt;&gt;"",$R1899='تقرير يناير'!$C$4,$P1899='تقرير يناير'!$C$6),COUNT(AA$4:AA1898)+1,"")</f>
        <v/>
      </c>
      <c r="AB1899">
        <f>IF(AND($A1899&lt;&gt;"",$B1899&lt;&gt;"",$R1899='تقرير فبراير'!$C$4,$P1899='تقرير فبراير'!$C$6),COUNT(AB$4:AB1898)+1,"")</f>
        <v/>
      </c>
      <c r="AC1899">
        <f>IF(AND($A1899&lt;&gt;"",$B1899&lt;&gt;"",$R1899='تقرير مارس'!$C$4,$P1899='تقرير مارس'!$C$6),COUNT(AC$4:AC1898)+1,"")</f>
        <v/>
      </c>
      <c r="AD1899">
        <f>IF(AND($A1899&lt;&gt;"",$B1899&lt;&gt;"",$R1899='تقرير أبريل'!$C$4,$P1899='تقرير أبريل'!$C$6),COUNT(AD$4:AD1898)+1,"")</f>
        <v/>
      </c>
      <c r="AE1899">
        <f>IF(AND($A1899&lt;&gt;"",$B1899&lt;&gt;"",$R1899='تقرير مايو'!$C$4,$P1899='تقرير مايو'!$C$6),COUNT(AE$4:AE1898)+1,"")</f>
        <v/>
      </c>
    </row>
    <row r="1900">
      <c r="A1900" s="16" t="n"/>
      <c r="B1900" s="17" t="n"/>
      <c r="C1900" s="17" t="n"/>
      <c r="D1900" s="18" t="n"/>
      <c r="E1900" s="17" t="n"/>
      <c r="F1900" s="17" t="n"/>
      <c r="G1900" s="19" t="n"/>
      <c r="H1900" s="17" t="n"/>
      <c r="I1900" s="17" t="n"/>
      <c r="J1900" s="17" t="n"/>
      <c r="K1900" s="20">
        <f>IF($B1900="","",IFERROR(INDEX(الموظفات!$A$5:$A$304,MATCH($B1900,الموظفات!$B$5:$B$304,0))&amp;"",""))</f>
        <v/>
      </c>
      <c r="L1900" s="21">
        <f>IF($B1900="","",IFERROR(INDEX(الموظفات!$C$5:$C$304,MATCH($B1900,الموظفات!$B$5:$B$304,0))&amp;"",""))</f>
        <v/>
      </c>
      <c r="M1900" s="20">
        <f>IF($B1900="","",IFERROR(INDEX(الموظفات!$D$5:$D$304,MATCH($B1900,الموظفات!$B$5:$B$304,0))&amp;"",""))</f>
        <v/>
      </c>
      <c r="N1900" s="20">
        <f>IF($B1900="","",IFERROR(INDEX(الموظفات!$E$5:$E$304,MATCH($B1900,الموظفات!$B$5:$B$304,0))&amp;"",""))</f>
        <v/>
      </c>
      <c r="O1900" s="21">
        <f>IF(C1900="","",IFERROR(INDEX(الإعدادات!$D$7:$D$35,MATCH(C1900,الإعدادات!$A$7:$A$35,0))&amp;"",""))</f>
        <v/>
      </c>
      <c r="P1900" s="20">
        <f>IF(A1900="","",INDEX(الإعدادات!$H$7:$H$18,MONTH(A1900)))</f>
        <v/>
      </c>
      <c r="Q1900" s="20">
        <f>IF(A1900="","",INDEX(الإعدادات!$I$7:$I$18,MONTH(A1900)))</f>
        <v/>
      </c>
      <c r="R1900" s="20">
        <f>IF(A1900="","",IF(MONTH(A1900)&gt;=8,YEAR(A1900)&amp;"-"&amp;(YEAR(A1900)+1),(YEAR(A1900)-1)&amp;"-"&amp;YEAR(A1900)))</f>
        <v/>
      </c>
      <c r="S1900" s="20">
        <f>IF(OR(A1900="",B1900=""),0,IF(AND(R1900=التقارير!$C$4,OR(التقارير!$C$5="سنوي",AND(التقارير!$C$5="شهري",P1900=التقارير!$C$6),AND(التقارير!$C$5="فصلي",Q1900=التقارير!$C$7))),1,0))</f>
        <v/>
      </c>
      <c r="T1900" s="20">
        <f>IF(S1900=1,COUNTIF($S$5:S1900,1),"")</f>
        <v/>
      </c>
      <c r="U1900">
        <f>IF(AND($A1900&lt;&gt;"",$B1900&lt;&gt;"",$R1900='تقرير الفصل الأول'!$C$4,$Q1900='تقرير الفصل الأول'!$C$7),COUNT(U$4:U1899)+1,"")</f>
        <v/>
      </c>
      <c r="V1900">
        <f>IF(AND($A1900&lt;&gt;"",$B1900&lt;&gt;"",$R1900='تقرير الفصل الثاني'!$C$4,$Q1900='تقرير الفصل الثاني'!$C$7),COUNT(V$4:V1899)+1,"")</f>
        <v/>
      </c>
      <c r="W1900">
        <f>IF(AND($A1900&lt;&gt;"",$B1900&lt;&gt;"",$R1900='تقرير سبتمبر'!$C$4,$P1900='تقرير سبتمبر'!$C$6),COUNT(W$4:W1899)+1,"")</f>
        <v/>
      </c>
      <c r="X1900">
        <f>IF(AND($A1900&lt;&gt;"",$B1900&lt;&gt;"",$R1900='تقرير أكتوبر'!$C$4,$P1900='تقرير أكتوبر'!$C$6),COUNT(X$4:X1899)+1,"")</f>
        <v/>
      </c>
      <c r="Y1900">
        <f>IF(AND($A1900&lt;&gt;"",$B1900&lt;&gt;"",$R1900='تقرير نوفمبر'!$C$4,$P1900='تقرير نوفمبر'!$C$6),COUNT(Y$4:Y1899)+1,"")</f>
        <v/>
      </c>
      <c r="Z1900">
        <f>IF(AND($A1900&lt;&gt;"",$B1900&lt;&gt;"",$R1900='تقرير ديسمبر'!$C$4,$P1900='تقرير ديسمبر'!$C$6),COUNT(Z$4:Z1899)+1,"")</f>
        <v/>
      </c>
      <c r="AA1900">
        <f>IF(AND($A1900&lt;&gt;"",$B1900&lt;&gt;"",$R1900='تقرير يناير'!$C$4,$P1900='تقرير يناير'!$C$6),COUNT(AA$4:AA1899)+1,"")</f>
        <v/>
      </c>
      <c r="AB1900">
        <f>IF(AND($A1900&lt;&gt;"",$B1900&lt;&gt;"",$R1900='تقرير فبراير'!$C$4,$P1900='تقرير فبراير'!$C$6),COUNT(AB$4:AB1899)+1,"")</f>
        <v/>
      </c>
      <c r="AC1900">
        <f>IF(AND($A1900&lt;&gt;"",$B1900&lt;&gt;"",$R1900='تقرير مارس'!$C$4,$P1900='تقرير مارس'!$C$6),COUNT(AC$4:AC1899)+1,"")</f>
        <v/>
      </c>
      <c r="AD1900">
        <f>IF(AND($A1900&lt;&gt;"",$B1900&lt;&gt;"",$R1900='تقرير أبريل'!$C$4,$P1900='تقرير أبريل'!$C$6),COUNT(AD$4:AD1899)+1,"")</f>
        <v/>
      </c>
      <c r="AE1900">
        <f>IF(AND($A1900&lt;&gt;"",$B1900&lt;&gt;"",$R1900='تقرير مايو'!$C$4,$P1900='تقرير مايو'!$C$6),COUNT(AE$4:AE1899)+1,"")</f>
        <v/>
      </c>
    </row>
    <row r="1901">
      <c r="A1901" s="16" t="n"/>
      <c r="B1901" s="17" t="n"/>
      <c r="C1901" s="17" t="n"/>
      <c r="D1901" s="18" t="n"/>
      <c r="E1901" s="17" t="n"/>
      <c r="F1901" s="17" t="n"/>
      <c r="G1901" s="19" t="n"/>
      <c r="H1901" s="17" t="n"/>
      <c r="I1901" s="17" t="n"/>
      <c r="J1901" s="17" t="n"/>
      <c r="K1901" s="20">
        <f>IF($B1901="","",IFERROR(INDEX(الموظفات!$A$5:$A$304,MATCH($B1901,الموظفات!$B$5:$B$304,0))&amp;"",""))</f>
        <v/>
      </c>
      <c r="L1901" s="21">
        <f>IF($B1901="","",IFERROR(INDEX(الموظفات!$C$5:$C$304,MATCH($B1901,الموظفات!$B$5:$B$304,0))&amp;"",""))</f>
        <v/>
      </c>
      <c r="M1901" s="20">
        <f>IF($B1901="","",IFERROR(INDEX(الموظفات!$D$5:$D$304,MATCH($B1901,الموظفات!$B$5:$B$304,0))&amp;"",""))</f>
        <v/>
      </c>
      <c r="N1901" s="20">
        <f>IF($B1901="","",IFERROR(INDEX(الموظفات!$E$5:$E$304,MATCH($B1901,الموظفات!$B$5:$B$304,0))&amp;"",""))</f>
        <v/>
      </c>
      <c r="O1901" s="21">
        <f>IF(C1901="","",IFERROR(INDEX(الإعدادات!$D$7:$D$35,MATCH(C1901,الإعدادات!$A$7:$A$35,0))&amp;"",""))</f>
        <v/>
      </c>
      <c r="P1901" s="20">
        <f>IF(A1901="","",INDEX(الإعدادات!$H$7:$H$18,MONTH(A1901)))</f>
        <v/>
      </c>
      <c r="Q1901" s="20">
        <f>IF(A1901="","",INDEX(الإعدادات!$I$7:$I$18,MONTH(A1901)))</f>
        <v/>
      </c>
      <c r="R1901" s="20">
        <f>IF(A1901="","",IF(MONTH(A1901)&gt;=8,YEAR(A1901)&amp;"-"&amp;(YEAR(A1901)+1),(YEAR(A1901)-1)&amp;"-"&amp;YEAR(A1901)))</f>
        <v/>
      </c>
      <c r="S1901" s="20">
        <f>IF(OR(A1901="",B1901=""),0,IF(AND(R1901=التقارير!$C$4,OR(التقارير!$C$5="سنوي",AND(التقارير!$C$5="شهري",P1901=التقارير!$C$6),AND(التقارير!$C$5="فصلي",Q1901=التقارير!$C$7))),1,0))</f>
        <v/>
      </c>
      <c r="T1901" s="20">
        <f>IF(S1901=1,COUNTIF($S$5:S1901,1),"")</f>
        <v/>
      </c>
      <c r="U1901">
        <f>IF(AND($A1901&lt;&gt;"",$B1901&lt;&gt;"",$R1901='تقرير الفصل الأول'!$C$4,$Q1901='تقرير الفصل الأول'!$C$7),COUNT(U$4:U1900)+1,"")</f>
        <v/>
      </c>
      <c r="V1901">
        <f>IF(AND($A1901&lt;&gt;"",$B1901&lt;&gt;"",$R1901='تقرير الفصل الثاني'!$C$4,$Q1901='تقرير الفصل الثاني'!$C$7),COUNT(V$4:V1900)+1,"")</f>
        <v/>
      </c>
      <c r="W1901">
        <f>IF(AND($A1901&lt;&gt;"",$B1901&lt;&gt;"",$R1901='تقرير سبتمبر'!$C$4,$P1901='تقرير سبتمبر'!$C$6),COUNT(W$4:W1900)+1,"")</f>
        <v/>
      </c>
      <c r="X1901">
        <f>IF(AND($A1901&lt;&gt;"",$B1901&lt;&gt;"",$R1901='تقرير أكتوبر'!$C$4,$P1901='تقرير أكتوبر'!$C$6),COUNT(X$4:X1900)+1,"")</f>
        <v/>
      </c>
      <c r="Y1901">
        <f>IF(AND($A1901&lt;&gt;"",$B1901&lt;&gt;"",$R1901='تقرير نوفمبر'!$C$4,$P1901='تقرير نوفمبر'!$C$6),COUNT(Y$4:Y1900)+1,"")</f>
        <v/>
      </c>
      <c r="Z1901">
        <f>IF(AND($A1901&lt;&gt;"",$B1901&lt;&gt;"",$R1901='تقرير ديسمبر'!$C$4,$P1901='تقرير ديسمبر'!$C$6),COUNT(Z$4:Z1900)+1,"")</f>
        <v/>
      </c>
      <c r="AA1901">
        <f>IF(AND($A1901&lt;&gt;"",$B1901&lt;&gt;"",$R1901='تقرير يناير'!$C$4,$P1901='تقرير يناير'!$C$6),COUNT(AA$4:AA1900)+1,"")</f>
        <v/>
      </c>
      <c r="AB1901">
        <f>IF(AND($A1901&lt;&gt;"",$B1901&lt;&gt;"",$R1901='تقرير فبراير'!$C$4,$P1901='تقرير فبراير'!$C$6),COUNT(AB$4:AB1900)+1,"")</f>
        <v/>
      </c>
      <c r="AC1901">
        <f>IF(AND($A1901&lt;&gt;"",$B1901&lt;&gt;"",$R1901='تقرير مارس'!$C$4,$P1901='تقرير مارس'!$C$6),COUNT(AC$4:AC1900)+1,"")</f>
        <v/>
      </c>
      <c r="AD1901">
        <f>IF(AND($A1901&lt;&gt;"",$B1901&lt;&gt;"",$R1901='تقرير أبريل'!$C$4,$P1901='تقرير أبريل'!$C$6),COUNT(AD$4:AD1900)+1,"")</f>
        <v/>
      </c>
      <c r="AE1901">
        <f>IF(AND($A1901&lt;&gt;"",$B1901&lt;&gt;"",$R1901='تقرير مايو'!$C$4,$P1901='تقرير مايو'!$C$6),COUNT(AE$4:AE1900)+1,"")</f>
        <v/>
      </c>
    </row>
    <row r="1902">
      <c r="A1902" s="16" t="n"/>
      <c r="B1902" s="17" t="n"/>
      <c r="C1902" s="17" t="n"/>
      <c r="D1902" s="18" t="n"/>
      <c r="E1902" s="17" t="n"/>
      <c r="F1902" s="17" t="n"/>
      <c r="G1902" s="19" t="n"/>
      <c r="H1902" s="17" t="n"/>
      <c r="I1902" s="17" t="n"/>
      <c r="J1902" s="17" t="n"/>
      <c r="K1902" s="20">
        <f>IF($B1902="","",IFERROR(INDEX(الموظفات!$A$5:$A$304,MATCH($B1902,الموظفات!$B$5:$B$304,0))&amp;"",""))</f>
        <v/>
      </c>
      <c r="L1902" s="21">
        <f>IF($B1902="","",IFERROR(INDEX(الموظفات!$C$5:$C$304,MATCH($B1902,الموظفات!$B$5:$B$304,0))&amp;"",""))</f>
        <v/>
      </c>
      <c r="M1902" s="20">
        <f>IF($B1902="","",IFERROR(INDEX(الموظفات!$D$5:$D$304,MATCH($B1902,الموظفات!$B$5:$B$304,0))&amp;"",""))</f>
        <v/>
      </c>
      <c r="N1902" s="20">
        <f>IF($B1902="","",IFERROR(INDEX(الموظفات!$E$5:$E$304,MATCH($B1902,الموظفات!$B$5:$B$304,0))&amp;"",""))</f>
        <v/>
      </c>
      <c r="O1902" s="21">
        <f>IF(C1902="","",IFERROR(INDEX(الإعدادات!$D$7:$D$35,MATCH(C1902,الإعدادات!$A$7:$A$35,0))&amp;"",""))</f>
        <v/>
      </c>
      <c r="P1902" s="20">
        <f>IF(A1902="","",INDEX(الإعدادات!$H$7:$H$18,MONTH(A1902)))</f>
        <v/>
      </c>
      <c r="Q1902" s="20">
        <f>IF(A1902="","",INDEX(الإعدادات!$I$7:$I$18,MONTH(A1902)))</f>
        <v/>
      </c>
      <c r="R1902" s="20">
        <f>IF(A1902="","",IF(MONTH(A1902)&gt;=8,YEAR(A1902)&amp;"-"&amp;(YEAR(A1902)+1),(YEAR(A1902)-1)&amp;"-"&amp;YEAR(A1902)))</f>
        <v/>
      </c>
      <c r="S1902" s="20">
        <f>IF(OR(A1902="",B1902=""),0,IF(AND(R1902=التقارير!$C$4,OR(التقارير!$C$5="سنوي",AND(التقارير!$C$5="شهري",P1902=التقارير!$C$6),AND(التقارير!$C$5="فصلي",Q1902=التقارير!$C$7))),1,0))</f>
        <v/>
      </c>
      <c r="T1902" s="20">
        <f>IF(S1902=1,COUNTIF($S$5:S1902,1),"")</f>
        <v/>
      </c>
      <c r="U1902">
        <f>IF(AND($A1902&lt;&gt;"",$B1902&lt;&gt;"",$R1902='تقرير الفصل الأول'!$C$4,$Q1902='تقرير الفصل الأول'!$C$7),COUNT(U$4:U1901)+1,"")</f>
        <v/>
      </c>
      <c r="V1902">
        <f>IF(AND($A1902&lt;&gt;"",$B1902&lt;&gt;"",$R1902='تقرير الفصل الثاني'!$C$4,$Q1902='تقرير الفصل الثاني'!$C$7),COUNT(V$4:V1901)+1,"")</f>
        <v/>
      </c>
      <c r="W1902">
        <f>IF(AND($A1902&lt;&gt;"",$B1902&lt;&gt;"",$R1902='تقرير سبتمبر'!$C$4,$P1902='تقرير سبتمبر'!$C$6),COUNT(W$4:W1901)+1,"")</f>
        <v/>
      </c>
      <c r="X1902">
        <f>IF(AND($A1902&lt;&gt;"",$B1902&lt;&gt;"",$R1902='تقرير أكتوبر'!$C$4,$P1902='تقرير أكتوبر'!$C$6),COUNT(X$4:X1901)+1,"")</f>
        <v/>
      </c>
      <c r="Y1902">
        <f>IF(AND($A1902&lt;&gt;"",$B1902&lt;&gt;"",$R1902='تقرير نوفمبر'!$C$4,$P1902='تقرير نوفمبر'!$C$6),COUNT(Y$4:Y1901)+1,"")</f>
        <v/>
      </c>
      <c r="Z1902">
        <f>IF(AND($A1902&lt;&gt;"",$B1902&lt;&gt;"",$R1902='تقرير ديسمبر'!$C$4,$P1902='تقرير ديسمبر'!$C$6),COUNT(Z$4:Z1901)+1,"")</f>
        <v/>
      </c>
      <c r="AA1902">
        <f>IF(AND($A1902&lt;&gt;"",$B1902&lt;&gt;"",$R1902='تقرير يناير'!$C$4,$P1902='تقرير يناير'!$C$6),COUNT(AA$4:AA1901)+1,"")</f>
        <v/>
      </c>
      <c r="AB1902">
        <f>IF(AND($A1902&lt;&gt;"",$B1902&lt;&gt;"",$R1902='تقرير فبراير'!$C$4,$P1902='تقرير فبراير'!$C$6),COUNT(AB$4:AB1901)+1,"")</f>
        <v/>
      </c>
      <c r="AC1902">
        <f>IF(AND($A1902&lt;&gt;"",$B1902&lt;&gt;"",$R1902='تقرير مارس'!$C$4,$P1902='تقرير مارس'!$C$6),COUNT(AC$4:AC1901)+1,"")</f>
        <v/>
      </c>
      <c r="AD1902">
        <f>IF(AND($A1902&lt;&gt;"",$B1902&lt;&gt;"",$R1902='تقرير أبريل'!$C$4,$P1902='تقرير أبريل'!$C$6),COUNT(AD$4:AD1901)+1,"")</f>
        <v/>
      </c>
      <c r="AE1902">
        <f>IF(AND($A1902&lt;&gt;"",$B1902&lt;&gt;"",$R1902='تقرير مايو'!$C$4,$P1902='تقرير مايو'!$C$6),COUNT(AE$4:AE1901)+1,"")</f>
        <v/>
      </c>
    </row>
    <row r="1903">
      <c r="A1903" s="16" t="n"/>
      <c r="B1903" s="17" t="n"/>
      <c r="C1903" s="17" t="n"/>
      <c r="D1903" s="18" t="n"/>
      <c r="E1903" s="17" t="n"/>
      <c r="F1903" s="17" t="n"/>
      <c r="G1903" s="19" t="n"/>
      <c r="H1903" s="17" t="n"/>
      <c r="I1903" s="17" t="n"/>
      <c r="J1903" s="17" t="n"/>
      <c r="K1903" s="20">
        <f>IF($B1903="","",IFERROR(INDEX(الموظفات!$A$5:$A$304,MATCH($B1903,الموظفات!$B$5:$B$304,0))&amp;"",""))</f>
        <v/>
      </c>
      <c r="L1903" s="21">
        <f>IF($B1903="","",IFERROR(INDEX(الموظفات!$C$5:$C$304,MATCH($B1903,الموظفات!$B$5:$B$304,0))&amp;"",""))</f>
        <v/>
      </c>
      <c r="M1903" s="20">
        <f>IF($B1903="","",IFERROR(INDEX(الموظفات!$D$5:$D$304,MATCH($B1903,الموظفات!$B$5:$B$304,0))&amp;"",""))</f>
        <v/>
      </c>
      <c r="N1903" s="20">
        <f>IF($B1903="","",IFERROR(INDEX(الموظفات!$E$5:$E$304,MATCH($B1903,الموظفات!$B$5:$B$304,0))&amp;"",""))</f>
        <v/>
      </c>
      <c r="O1903" s="21">
        <f>IF(C1903="","",IFERROR(INDEX(الإعدادات!$D$7:$D$35,MATCH(C1903,الإعدادات!$A$7:$A$35,0))&amp;"",""))</f>
        <v/>
      </c>
      <c r="P1903" s="20">
        <f>IF(A1903="","",INDEX(الإعدادات!$H$7:$H$18,MONTH(A1903)))</f>
        <v/>
      </c>
      <c r="Q1903" s="20">
        <f>IF(A1903="","",INDEX(الإعدادات!$I$7:$I$18,MONTH(A1903)))</f>
        <v/>
      </c>
      <c r="R1903" s="20">
        <f>IF(A1903="","",IF(MONTH(A1903)&gt;=8,YEAR(A1903)&amp;"-"&amp;(YEAR(A1903)+1),(YEAR(A1903)-1)&amp;"-"&amp;YEAR(A1903)))</f>
        <v/>
      </c>
      <c r="S1903" s="20">
        <f>IF(OR(A1903="",B1903=""),0,IF(AND(R1903=التقارير!$C$4,OR(التقارير!$C$5="سنوي",AND(التقارير!$C$5="شهري",P1903=التقارير!$C$6),AND(التقارير!$C$5="فصلي",Q1903=التقارير!$C$7))),1,0))</f>
        <v/>
      </c>
      <c r="T1903" s="20">
        <f>IF(S1903=1,COUNTIF($S$5:S1903,1),"")</f>
        <v/>
      </c>
      <c r="U1903">
        <f>IF(AND($A1903&lt;&gt;"",$B1903&lt;&gt;"",$R1903='تقرير الفصل الأول'!$C$4,$Q1903='تقرير الفصل الأول'!$C$7),COUNT(U$4:U1902)+1,"")</f>
        <v/>
      </c>
      <c r="V1903">
        <f>IF(AND($A1903&lt;&gt;"",$B1903&lt;&gt;"",$R1903='تقرير الفصل الثاني'!$C$4,$Q1903='تقرير الفصل الثاني'!$C$7),COUNT(V$4:V1902)+1,"")</f>
        <v/>
      </c>
      <c r="W1903">
        <f>IF(AND($A1903&lt;&gt;"",$B1903&lt;&gt;"",$R1903='تقرير سبتمبر'!$C$4,$P1903='تقرير سبتمبر'!$C$6),COUNT(W$4:W1902)+1,"")</f>
        <v/>
      </c>
      <c r="X1903">
        <f>IF(AND($A1903&lt;&gt;"",$B1903&lt;&gt;"",$R1903='تقرير أكتوبر'!$C$4,$P1903='تقرير أكتوبر'!$C$6),COUNT(X$4:X1902)+1,"")</f>
        <v/>
      </c>
      <c r="Y1903">
        <f>IF(AND($A1903&lt;&gt;"",$B1903&lt;&gt;"",$R1903='تقرير نوفمبر'!$C$4,$P1903='تقرير نوفمبر'!$C$6),COUNT(Y$4:Y1902)+1,"")</f>
        <v/>
      </c>
      <c r="Z1903">
        <f>IF(AND($A1903&lt;&gt;"",$B1903&lt;&gt;"",$R1903='تقرير ديسمبر'!$C$4,$P1903='تقرير ديسمبر'!$C$6),COUNT(Z$4:Z1902)+1,"")</f>
        <v/>
      </c>
      <c r="AA1903">
        <f>IF(AND($A1903&lt;&gt;"",$B1903&lt;&gt;"",$R1903='تقرير يناير'!$C$4,$P1903='تقرير يناير'!$C$6),COUNT(AA$4:AA1902)+1,"")</f>
        <v/>
      </c>
      <c r="AB1903">
        <f>IF(AND($A1903&lt;&gt;"",$B1903&lt;&gt;"",$R1903='تقرير فبراير'!$C$4,$P1903='تقرير فبراير'!$C$6),COUNT(AB$4:AB1902)+1,"")</f>
        <v/>
      </c>
      <c r="AC1903">
        <f>IF(AND($A1903&lt;&gt;"",$B1903&lt;&gt;"",$R1903='تقرير مارس'!$C$4,$P1903='تقرير مارس'!$C$6),COUNT(AC$4:AC1902)+1,"")</f>
        <v/>
      </c>
      <c r="AD1903">
        <f>IF(AND($A1903&lt;&gt;"",$B1903&lt;&gt;"",$R1903='تقرير أبريل'!$C$4,$P1903='تقرير أبريل'!$C$6),COUNT(AD$4:AD1902)+1,"")</f>
        <v/>
      </c>
      <c r="AE1903">
        <f>IF(AND($A1903&lt;&gt;"",$B1903&lt;&gt;"",$R1903='تقرير مايو'!$C$4,$P1903='تقرير مايو'!$C$6),COUNT(AE$4:AE1902)+1,"")</f>
        <v/>
      </c>
    </row>
    <row r="1904">
      <c r="A1904" s="16" t="n"/>
      <c r="B1904" s="17" t="n"/>
      <c r="C1904" s="17" t="n"/>
      <c r="D1904" s="18" t="n"/>
      <c r="E1904" s="17" t="n"/>
      <c r="F1904" s="17" t="n"/>
      <c r="G1904" s="19" t="n"/>
      <c r="H1904" s="17" t="n"/>
      <c r="I1904" s="17" t="n"/>
      <c r="J1904" s="17" t="n"/>
      <c r="K1904" s="20">
        <f>IF($B1904="","",IFERROR(INDEX(الموظفات!$A$5:$A$304,MATCH($B1904,الموظفات!$B$5:$B$304,0))&amp;"",""))</f>
        <v/>
      </c>
      <c r="L1904" s="21">
        <f>IF($B1904="","",IFERROR(INDEX(الموظفات!$C$5:$C$304,MATCH($B1904,الموظفات!$B$5:$B$304,0))&amp;"",""))</f>
        <v/>
      </c>
      <c r="M1904" s="20">
        <f>IF($B1904="","",IFERROR(INDEX(الموظفات!$D$5:$D$304,MATCH($B1904,الموظفات!$B$5:$B$304,0))&amp;"",""))</f>
        <v/>
      </c>
      <c r="N1904" s="20">
        <f>IF($B1904="","",IFERROR(INDEX(الموظفات!$E$5:$E$304,MATCH($B1904,الموظفات!$B$5:$B$304,0))&amp;"",""))</f>
        <v/>
      </c>
      <c r="O1904" s="21">
        <f>IF(C1904="","",IFERROR(INDEX(الإعدادات!$D$7:$D$35,MATCH(C1904,الإعدادات!$A$7:$A$35,0))&amp;"",""))</f>
        <v/>
      </c>
      <c r="P1904" s="20">
        <f>IF(A1904="","",INDEX(الإعدادات!$H$7:$H$18,MONTH(A1904)))</f>
        <v/>
      </c>
      <c r="Q1904" s="20">
        <f>IF(A1904="","",INDEX(الإعدادات!$I$7:$I$18,MONTH(A1904)))</f>
        <v/>
      </c>
      <c r="R1904" s="20">
        <f>IF(A1904="","",IF(MONTH(A1904)&gt;=8,YEAR(A1904)&amp;"-"&amp;(YEAR(A1904)+1),(YEAR(A1904)-1)&amp;"-"&amp;YEAR(A1904)))</f>
        <v/>
      </c>
      <c r="S1904" s="20">
        <f>IF(OR(A1904="",B1904=""),0,IF(AND(R1904=التقارير!$C$4,OR(التقارير!$C$5="سنوي",AND(التقارير!$C$5="شهري",P1904=التقارير!$C$6),AND(التقارير!$C$5="فصلي",Q1904=التقارير!$C$7))),1,0))</f>
        <v/>
      </c>
      <c r="T1904" s="20">
        <f>IF(S1904=1,COUNTIF($S$5:S1904,1),"")</f>
        <v/>
      </c>
      <c r="U1904">
        <f>IF(AND($A1904&lt;&gt;"",$B1904&lt;&gt;"",$R1904='تقرير الفصل الأول'!$C$4,$Q1904='تقرير الفصل الأول'!$C$7),COUNT(U$4:U1903)+1,"")</f>
        <v/>
      </c>
      <c r="V1904">
        <f>IF(AND($A1904&lt;&gt;"",$B1904&lt;&gt;"",$R1904='تقرير الفصل الثاني'!$C$4,$Q1904='تقرير الفصل الثاني'!$C$7),COUNT(V$4:V1903)+1,"")</f>
        <v/>
      </c>
      <c r="W1904">
        <f>IF(AND($A1904&lt;&gt;"",$B1904&lt;&gt;"",$R1904='تقرير سبتمبر'!$C$4,$P1904='تقرير سبتمبر'!$C$6),COUNT(W$4:W1903)+1,"")</f>
        <v/>
      </c>
      <c r="X1904">
        <f>IF(AND($A1904&lt;&gt;"",$B1904&lt;&gt;"",$R1904='تقرير أكتوبر'!$C$4,$P1904='تقرير أكتوبر'!$C$6),COUNT(X$4:X1903)+1,"")</f>
        <v/>
      </c>
      <c r="Y1904">
        <f>IF(AND($A1904&lt;&gt;"",$B1904&lt;&gt;"",$R1904='تقرير نوفمبر'!$C$4,$P1904='تقرير نوفمبر'!$C$6),COUNT(Y$4:Y1903)+1,"")</f>
        <v/>
      </c>
      <c r="Z1904">
        <f>IF(AND($A1904&lt;&gt;"",$B1904&lt;&gt;"",$R1904='تقرير ديسمبر'!$C$4,$P1904='تقرير ديسمبر'!$C$6),COUNT(Z$4:Z1903)+1,"")</f>
        <v/>
      </c>
      <c r="AA1904">
        <f>IF(AND($A1904&lt;&gt;"",$B1904&lt;&gt;"",$R1904='تقرير يناير'!$C$4,$P1904='تقرير يناير'!$C$6),COUNT(AA$4:AA1903)+1,"")</f>
        <v/>
      </c>
      <c r="AB1904">
        <f>IF(AND($A1904&lt;&gt;"",$B1904&lt;&gt;"",$R1904='تقرير فبراير'!$C$4,$P1904='تقرير فبراير'!$C$6),COUNT(AB$4:AB1903)+1,"")</f>
        <v/>
      </c>
      <c r="AC1904">
        <f>IF(AND($A1904&lt;&gt;"",$B1904&lt;&gt;"",$R1904='تقرير مارس'!$C$4,$P1904='تقرير مارس'!$C$6),COUNT(AC$4:AC1903)+1,"")</f>
        <v/>
      </c>
      <c r="AD1904">
        <f>IF(AND($A1904&lt;&gt;"",$B1904&lt;&gt;"",$R1904='تقرير أبريل'!$C$4,$P1904='تقرير أبريل'!$C$6),COUNT(AD$4:AD1903)+1,"")</f>
        <v/>
      </c>
      <c r="AE1904">
        <f>IF(AND($A1904&lt;&gt;"",$B1904&lt;&gt;"",$R1904='تقرير مايو'!$C$4,$P1904='تقرير مايو'!$C$6),COUNT(AE$4:AE1903)+1,"")</f>
        <v/>
      </c>
    </row>
    <row r="1905">
      <c r="A1905" s="16" t="n"/>
      <c r="B1905" s="17" t="n"/>
      <c r="C1905" s="17" t="n"/>
      <c r="D1905" s="18" t="n"/>
      <c r="E1905" s="17" t="n"/>
      <c r="F1905" s="17" t="n"/>
      <c r="G1905" s="19" t="n"/>
      <c r="H1905" s="17" t="n"/>
      <c r="I1905" s="17" t="n"/>
      <c r="J1905" s="17" t="n"/>
      <c r="K1905" s="20">
        <f>IF($B1905="","",IFERROR(INDEX(الموظفات!$A$5:$A$304,MATCH($B1905,الموظفات!$B$5:$B$304,0))&amp;"",""))</f>
        <v/>
      </c>
      <c r="L1905" s="21">
        <f>IF($B1905="","",IFERROR(INDEX(الموظفات!$C$5:$C$304,MATCH($B1905,الموظفات!$B$5:$B$304,0))&amp;"",""))</f>
        <v/>
      </c>
      <c r="M1905" s="20">
        <f>IF($B1905="","",IFERROR(INDEX(الموظفات!$D$5:$D$304,MATCH($B1905,الموظفات!$B$5:$B$304,0))&amp;"",""))</f>
        <v/>
      </c>
      <c r="N1905" s="20">
        <f>IF($B1905="","",IFERROR(INDEX(الموظفات!$E$5:$E$304,MATCH($B1905,الموظفات!$B$5:$B$304,0))&amp;"",""))</f>
        <v/>
      </c>
      <c r="O1905" s="21">
        <f>IF(C1905="","",IFERROR(INDEX(الإعدادات!$D$7:$D$35,MATCH(C1905,الإعدادات!$A$7:$A$35,0))&amp;"",""))</f>
        <v/>
      </c>
      <c r="P1905" s="20">
        <f>IF(A1905="","",INDEX(الإعدادات!$H$7:$H$18,MONTH(A1905)))</f>
        <v/>
      </c>
      <c r="Q1905" s="20">
        <f>IF(A1905="","",INDEX(الإعدادات!$I$7:$I$18,MONTH(A1905)))</f>
        <v/>
      </c>
      <c r="R1905" s="20">
        <f>IF(A1905="","",IF(MONTH(A1905)&gt;=8,YEAR(A1905)&amp;"-"&amp;(YEAR(A1905)+1),(YEAR(A1905)-1)&amp;"-"&amp;YEAR(A1905)))</f>
        <v/>
      </c>
      <c r="S1905" s="20">
        <f>IF(OR(A1905="",B1905=""),0,IF(AND(R1905=التقارير!$C$4,OR(التقارير!$C$5="سنوي",AND(التقارير!$C$5="شهري",P1905=التقارير!$C$6),AND(التقارير!$C$5="فصلي",Q1905=التقارير!$C$7))),1,0))</f>
        <v/>
      </c>
      <c r="T1905" s="20">
        <f>IF(S1905=1,COUNTIF($S$5:S1905,1),"")</f>
        <v/>
      </c>
      <c r="U1905">
        <f>IF(AND($A1905&lt;&gt;"",$B1905&lt;&gt;"",$R1905='تقرير الفصل الأول'!$C$4,$Q1905='تقرير الفصل الأول'!$C$7),COUNT(U$4:U1904)+1,"")</f>
        <v/>
      </c>
      <c r="V1905">
        <f>IF(AND($A1905&lt;&gt;"",$B1905&lt;&gt;"",$R1905='تقرير الفصل الثاني'!$C$4,$Q1905='تقرير الفصل الثاني'!$C$7),COUNT(V$4:V1904)+1,"")</f>
        <v/>
      </c>
      <c r="W1905">
        <f>IF(AND($A1905&lt;&gt;"",$B1905&lt;&gt;"",$R1905='تقرير سبتمبر'!$C$4,$P1905='تقرير سبتمبر'!$C$6),COUNT(W$4:W1904)+1,"")</f>
        <v/>
      </c>
      <c r="X1905">
        <f>IF(AND($A1905&lt;&gt;"",$B1905&lt;&gt;"",$R1905='تقرير أكتوبر'!$C$4,$P1905='تقرير أكتوبر'!$C$6),COUNT(X$4:X1904)+1,"")</f>
        <v/>
      </c>
      <c r="Y1905">
        <f>IF(AND($A1905&lt;&gt;"",$B1905&lt;&gt;"",$R1905='تقرير نوفمبر'!$C$4,$P1905='تقرير نوفمبر'!$C$6),COUNT(Y$4:Y1904)+1,"")</f>
        <v/>
      </c>
      <c r="Z1905">
        <f>IF(AND($A1905&lt;&gt;"",$B1905&lt;&gt;"",$R1905='تقرير ديسمبر'!$C$4,$P1905='تقرير ديسمبر'!$C$6),COUNT(Z$4:Z1904)+1,"")</f>
        <v/>
      </c>
      <c r="AA1905">
        <f>IF(AND($A1905&lt;&gt;"",$B1905&lt;&gt;"",$R1905='تقرير يناير'!$C$4,$P1905='تقرير يناير'!$C$6),COUNT(AA$4:AA1904)+1,"")</f>
        <v/>
      </c>
      <c r="AB1905">
        <f>IF(AND($A1905&lt;&gt;"",$B1905&lt;&gt;"",$R1905='تقرير فبراير'!$C$4,$P1905='تقرير فبراير'!$C$6),COUNT(AB$4:AB1904)+1,"")</f>
        <v/>
      </c>
      <c r="AC1905">
        <f>IF(AND($A1905&lt;&gt;"",$B1905&lt;&gt;"",$R1905='تقرير مارس'!$C$4,$P1905='تقرير مارس'!$C$6),COUNT(AC$4:AC1904)+1,"")</f>
        <v/>
      </c>
      <c r="AD1905">
        <f>IF(AND($A1905&lt;&gt;"",$B1905&lt;&gt;"",$R1905='تقرير أبريل'!$C$4,$P1905='تقرير أبريل'!$C$6),COUNT(AD$4:AD1904)+1,"")</f>
        <v/>
      </c>
      <c r="AE1905">
        <f>IF(AND($A1905&lt;&gt;"",$B1905&lt;&gt;"",$R1905='تقرير مايو'!$C$4,$P1905='تقرير مايو'!$C$6),COUNT(AE$4:AE1904)+1,"")</f>
        <v/>
      </c>
    </row>
    <row r="1906">
      <c r="A1906" s="16" t="n"/>
      <c r="B1906" s="17" t="n"/>
      <c r="C1906" s="17" t="n"/>
      <c r="D1906" s="18" t="n"/>
      <c r="E1906" s="17" t="n"/>
      <c r="F1906" s="17" t="n"/>
      <c r="G1906" s="19" t="n"/>
      <c r="H1906" s="17" t="n"/>
      <c r="I1906" s="17" t="n"/>
      <c r="J1906" s="17" t="n"/>
      <c r="K1906" s="20">
        <f>IF($B1906="","",IFERROR(INDEX(الموظفات!$A$5:$A$304,MATCH($B1906,الموظفات!$B$5:$B$304,0))&amp;"",""))</f>
        <v/>
      </c>
      <c r="L1906" s="21">
        <f>IF($B1906="","",IFERROR(INDEX(الموظفات!$C$5:$C$304,MATCH($B1906,الموظفات!$B$5:$B$304,0))&amp;"",""))</f>
        <v/>
      </c>
      <c r="M1906" s="20">
        <f>IF($B1906="","",IFERROR(INDEX(الموظفات!$D$5:$D$304,MATCH($B1906,الموظفات!$B$5:$B$304,0))&amp;"",""))</f>
        <v/>
      </c>
      <c r="N1906" s="20">
        <f>IF($B1906="","",IFERROR(INDEX(الموظفات!$E$5:$E$304,MATCH($B1906,الموظفات!$B$5:$B$304,0))&amp;"",""))</f>
        <v/>
      </c>
      <c r="O1906" s="21">
        <f>IF(C1906="","",IFERROR(INDEX(الإعدادات!$D$7:$D$35,MATCH(C1906,الإعدادات!$A$7:$A$35,0))&amp;"",""))</f>
        <v/>
      </c>
      <c r="P1906" s="20">
        <f>IF(A1906="","",INDEX(الإعدادات!$H$7:$H$18,MONTH(A1906)))</f>
        <v/>
      </c>
      <c r="Q1906" s="20">
        <f>IF(A1906="","",INDEX(الإعدادات!$I$7:$I$18,MONTH(A1906)))</f>
        <v/>
      </c>
      <c r="R1906" s="20">
        <f>IF(A1906="","",IF(MONTH(A1906)&gt;=8,YEAR(A1906)&amp;"-"&amp;(YEAR(A1906)+1),(YEAR(A1906)-1)&amp;"-"&amp;YEAR(A1906)))</f>
        <v/>
      </c>
      <c r="S1906" s="20">
        <f>IF(OR(A1906="",B1906=""),0,IF(AND(R1906=التقارير!$C$4,OR(التقارير!$C$5="سنوي",AND(التقارير!$C$5="شهري",P1906=التقارير!$C$6),AND(التقارير!$C$5="فصلي",Q1906=التقارير!$C$7))),1,0))</f>
        <v/>
      </c>
      <c r="T1906" s="20">
        <f>IF(S1906=1,COUNTIF($S$5:S1906,1),"")</f>
        <v/>
      </c>
      <c r="U1906">
        <f>IF(AND($A1906&lt;&gt;"",$B1906&lt;&gt;"",$R1906='تقرير الفصل الأول'!$C$4,$Q1906='تقرير الفصل الأول'!$C$7),COUNT(U$4:U1905)+1,"")</f>
        <v/>
      </c>
      <c r="V1906">
        <f>IF(AND($A1906&lt;&gt;"",$B1906&lt;&gt;"",$R1906='تقرير الفصل الثاني'!$C$4,$Q1906='تقرير الفصل الثاني'!$C$7),COUNT(V$4:V1905)+1,"")</f>
        <v/>
      </c>
      <c r="W1906">
        <f>IF(AND($A1906&lt;&gt;"",$B1906&lt;&gt;"",$R1906='تقرير سبتمبر'!$C$4,$P1906='تقرير سبتمبر'!$C$6),COUNT(W$4:W1905)+1,"")</f>
        <v/>
      </c>
      <c r="X1906">
        <f>IF(AND($A1906&lt;&gt;"",$B1906&lt;&gt;"",$R1906='تقرير أكتوبر'!$C$4,$P1906='تقرير أكتوبر'!$C$6),COUNT(X$4:X1905)+1,"")</f>
        <v/>
      </c>
      <c r="Y1906">
        <f>IF(AND($A1906&lt;&gt;"",$B1906&lt;&gt;"",$R1906='تقرير نوفمبر'!$C$4,$P1906='تقرير نوفمبر'!$C$6),COUNT(Y$4:Y1905)+1,"")</f>
        <v/>
      </c>
      <c r="Z1906">
        <f>IF(AND($A1906&lt;&gt;"",$B1906&lt;&gt;"",$R1906='تقرير ديسمبر'!$C$4,$P1906='تقرير ديسمبر'!$C$6),COUNT(Z$4:Z1905)+1,"")</f>
        <v/>
      </c>
      <c r="AA1906">
        <f>IF(AND($A1906&lt;&gt;"",$B1906&lt;&gt;"",$R1906='تقرير يناير'!$C$4,$P1906='تقرير يناير'!$C$6),COUNT(AA$4:AA1905)+1,"")</f>
        <v/>
      </c>
      <c r="AB1906">
        <f>IF(AND($A1906&lt;&gt;"",$B1906&lt;&gt;"",$R1906='تقرير فبراير'!$C$4,$P1906='تقرير فبراير'!$C$6),COUNT(AB$4:AB1905)+1,"")</f>
        <v/>
      </c>
      <c r="AC1906">
        <f>IF(AND($A1906&lt;&gt;"",$B1906&lt;&gt;"",$R1906='تقرير مارس'!$C$4,$P1906='تقرير مارس'!$C$6),COUNT(AC$4:AC1905)+1,"")</f>
        <v/>
      </c>
      <c r="AD1906">
        <f>IF(AND($A1906&lt;&gt;"",$B1906&lt;&gt;"",$R1906='تقرير أبريل'!$C$4,$P1906='تقرير أبريل'!$C$6),COUNT(AD$4:AD1905)+1,"")</f>
        <v/>
      </c>
      <c r="AE1906">
        <f>IF(AND($A1906&lt;&gt;"",$B1906&lt;&gt;"",$R1906='تقرير مايو'!$C$4,$P1906='تقرير مايو'!$C$6),COUNT(AE$4:AE1905)+1,"")</f>
        <v/>
      </c>
    </row>
    <row r="1907">
      <c r="A1907" s="16" t="n"/>
      <c r="B1907" s="17" t="n"/>
      <c r="C1907" s="17" t="n"/>
      <c r="D1907" s="18" t="n"/>
      <c r="E1907" s="17" t="n"/>
      <c r="F1907" s="17" t="n"/>
      <c r="G1907" s="19" t="n"/>
      <c r="H1907" s="17" t="n"/>
      <c r="I1907" s="17" t="n"/>
      <c r="J1907" s="17" t="n"/>
      <c r="K1907" s="20">
        <f>IF($B1907="","",IFERROR(INDEX(الموظفات!$A$5:$A$304,MATCH($B1907,الموظفات!$B$5:$B$304,0))&amp;"",""))</f>
        <v/>
      </c>
      <c r="L1907" s="21">
        <f>IF($B1907="","",IFERROR(INDEX(الموظفات!$C$5:$C$304,MATCH($B1907,الموظفات!$B$5:$B$304,0))&amp;"",""))</f>
        <v/>
      </c>
      <c r="M1907" s="20">
        <f>IF($B1907="","",IFERROR(INDEX(الموظفات!$D$5:$D$304,MATCH($B1907,الموظفات!$B$5:$B$304,0))&amp;"",""))</f>
        <v/>
      </c>
      <c r="N1907" s="20">
        <f>IF($B1907="","",IFERROR(INDEX(الموظفات!$E$5:$E$304,MATCH($B1907,الموظفات!$B$5:$B$304,0))&amp;"",""))</f>
        <v/>
      </c>
      <c r="O1907" s="21">
        <f>IF(C1907="","",IFERROR(INDEX(الإعدادات!$D$7:$D$35,MATCH(C1907,الإعدادات!$A$7:$A$35,0))&amp;"",""))</f>
        <v/>
      </c>
      <c r="P1907" s="20">
        <f>IF(A1907="","",INDEX(الإعدادات!$H$7:$H$18,MONTH(A1907)))</f>
        <v/>
      </c>
      <c r="Q1907" s="20">
        <f>IF(A1907="","",INDEX(الإعدادات!$I$7:$I$18,MONTH(A1907)))</f>
        <v/>
      </c>
      <c r="R1907" s="20">
        <f>IF(A1907="","",IF(MONTH(A1907)&gt;=8,YEAR(A1907)&amp;"-"&amp;(YEAR(A1907)+1),(YEAR(A1907)-1)&amp;"-"&amp;YEAR(A1907)))</f>
        <v/>
      </c>
      <c r="S1907" s="20">
        <f>IF(OR(A1907="",B1907=""),0,IF(AND(R1907=التقارير!$C$4,OR(التقارير!$C$5="سنوي",AND(التقارير!$C$5="شهري",P1907=التقارير!$C$6),AND(التقارير!$C$5="فصلي",Q1907=التقارير!$C$7))),1,0))</f>
        <v/>
      </c>
      <c r="T1907" s="20">
        <f>IF(S1907=1,COUNTIF($S$5:S1907,1),"")</f>
        <v/>
      </c>
      <c r="U1907">
        <f>IF(AND($A1907&lt;&gt;"",$B1907&lt;&gt;"",$R1907='تقرير الفصل الأول'!$C$4,$Q1907='تقرير الفصل الأول'!$C$7),COUNT(U$4:U1906)+1,"")</f>
        <v/>
      </c>
      <c r="V1907">
        <f>IF(AND($A1907&lt;&gt;"",$B1907&lt;&gt;"",$R1907='تقرير الفصل الثاني'!$C$4,$Q1907='تقرير الفصل الثاني'!$C$7),COUNT(V$4:V1906)+1,"")</f>
        <v/>
      </c>
      <c r="W1907">
        <f>IF(AND($A1907&lt;&gt;"",$B1907&lt;&gt;"",$R1907='تقرير سبتمبر'!$C$4,$P1907='تقرير سبتمبر'!$C$6),COUNT(W$4:W1906)+1,"")</f>
        <v/>
      </c>
      <c r="X1907">
        <f>IF(AND($A1907&lt;&gt;"",$B1907&lt;&gt;"",$R1907='تقرير أكتوبر'!$C$4,$P1907='تقرير أكتوبر'!$C$6),COUNT(X$4:X1906)+1,"")</f>
        <v/>
      </c>
      <c r="Y1907">
        <f>IF(AND($A1907&lt;&gt;"",$B1907&lt;&gt;"",$R1907='تقرير نوفمبر'!$C$4,$P1907='تقرير نوفمبر'!$C$6),COUNT(Y$4:Y1906)+1,"")</f>
        <v/>
      </c>
      <c r="Z1907">
        <f>IF(AND($A1907&lt;&gt;"",$B1907&lt;&gt;"",$R1907='تقرير ديسمبر'!$C$4,$P1907='تقرير ديسمبر'!$C$6),COUNT(Z$4:Z1906)+1,"")</f>
        <v/>
      </c>
      <c r="AA1907">
        <f>IF(AND($A1907&lt;&gt;"",$B1907&lt;&gt;"",$R1907='تقرير يناير'!$C$4,$P1907='تقرير يناير'!$C$6),COUNT(AA$4:AA1906)+1,"")</f>
        <v/>
      </c>
      <c r="AB1907">
        <f>IF(AND($A1907&lt;&gt;"",$B1907&lt;&gt;"",$R1907='تقرير فبراير'!$C$4,$P1907='تقرير فبراير'!$C$6),COUNT(AB$4:AB1906)+1,"")</f>
        <v/>
      </c>
      <c r="AC1907">
        <f>IF(AND($A1907&lt;&gt;"",$B1907&lt;&gt;"",$R1907='تقرير مارس'!$C$4,$P1907='تقرير مارس'!$C$6),COUNT(AC$4:AC1906)+1,"")</f>
        <v/>
      </c>
      <c r="AD1907">
        <f>IF(AND($A1907&lt;&gt;"",$B1907&lt;&gt;"",$R1907='تقرير أبريل'!$C$4,$P1907='تقرير أبريل'!$C$6),COUNT(AD$4:AD1906)+1,"")</f>
        <v/>
      </c>
      <c r="AE1907">
        <f>IF(AND($A1907&lt;&gt;"",$B1907&lt;&gt;"",$R1907='تقرير مايو'!$C$4,$P1907='تقرير مايو'!$C$6),COUNT(AE$4:AE1906)+1,"")</f>
        <v/>
      </c>
    </row>
    <row r="1908">
      <c r="A1908" s="16" t="n"/>
      <c r="B1908" s="17" t="n"/>
      <c r="C1908" s="17" t="n"/>
      <c r="D1908" s="18" t="n"/>
      <c r="E1908" s="17" t="n"/>
      <c r="F1908" s="17" t="n"/>
      <c r="G1908" s="19" t="n"/>
      <c r="H1908" s="17" t="n"/>
      <c r="I1908" s="17" t="n"/>
      <c r="J1908" s="17" t="n"/>
      <c r="K1908" s="20">
        <f>IF($B1908="","",IFERROR(INDEX(الموظفات!$A$5:$A$304,MATCH($B1908,الموظفات!$B$5:$B$304,0))&amp;"",""))</f>
        <v/>
      </c>
      <c r="L1908" s="21">
        <f>IF($B1908="","",IFERROR(INDEX(الموظفات!$C$5:$C$304,MATCH($B1908,الموظفات!$B$5:$B$304,0))&amp;"",""))</f>
        <v/>
      </c>
      <c r="M1908" s="20">
        <f>IF($B1908="","",IFERROR(INDEX(الموظفات!$D$5:$D$304,MATCH($B1908,الموظفات!$B$5:$B$304,0))&amp;"",""))</f>
        <v/>
      </c>
      <c r="N1908" s="20">
        <f>IF($B1908="","",IFERROR(INDEX(الموظفات!$E$5:$E$304,MATCH($B1908,الموظفات!$B$5:$B$304,0))&amp;"",""))</f>
        <v/>
      </c>
      <c r="O1908" s="21">
        <f>IF(C1908="","",IFERROR(INDEX(الإعدادات!$D$7:$D$35,MATCH(C1908,الإعدادات!$A$7:$A$35,0))&amp;"",""))</f>
        <v/>
      </c>
      <c r="P1908" s="20">
        <f>IF(A1908="","",INDEX(الإعدادات!$H$7:$H$18,MONTH(A1908)))</f>
        <v/>
      </c>
      <c r="Q1908" s="20">
        <f>IF(A1908="","",INDEX(الإعدادات!$I$7:$I$18,MONTH(A1908)))</f>
        <v/>
      </c>
      <c r="R1908" s="20">
        <f>IF(A1908="","",IF(MONTH(A1908)&gt;=8,YEAR(A1908)&amp;"-"&amp;(YEAR(A1908)+1),(YEAR(A1908)-1)&amp;"-"&amp;YEAR(A1908)))</f>
        <v/>
      </c>
      <c r="S1908" s="20">
        <f>IF(OR(A1908="",B1908=""),0,IF(AND(R1908=التقارير!$C$4,OR(التقارير!$C$5="سنوي",AND(التقارير!$C$5="شهري",P1908=التقارير!$C$6),AND(التقارير!$C$5="فصلي",Q1908=التقارير!$C$7))),1,0))</f>
        <v/>
      </c>
      <c r="T1908" s="20">
        <f>IF(S1908=1,COUNTIF($S$5:S1908,1),"")</f>
        <v/>
      </c>
      <c r="U1908">
        <f>IF(AND($A1908&lt;&gt;"",$B1908&lt;&gt;"",$R1908='تقرير الفصل الأول'!$C$4,$Q1908='تقرير الفصل الأول'!$C$7),COUNT(U$4:U1907)+1,"")</f>
        <v/>
      </c>
      <c r="V1908">
        <f>IF(AND($A1908&lt;&gt;"",$B1908&lt;&gt;"",$R1908='تقرير الفصل الثاني'!$C$4,$Q1908='تقرير الفصل الثاني'!$C$7),COUNT(V$4:V1907)+1,"")</f>
        <v/>
      </c>
      <c r="W1908">
        <f>IF(AND($A1908&lt;&gt;"",$B1908&lt;&gt;"",$R1908='تقرير سبتمبر'!$C$4,$P1908='تقرير سبتمبر'!$C$6),COUNT(W$4:W1907)+1,"")</f>
        <v/>
      </c>
      <c r="X1908">
        <f>IF(AND($A1908&lt;&gt;"",$B1908&lt;&gt;"",$R1908='تقرير أكتوبر'!$C$4,$P1908='تقرير أكتوبر'!$C$6),COUNT(X$4:X1907)+1,"")</f>
        <v/>
      </c>
      <c r="Y1908">
        <f>IF(AND($A1908&lt;&gt;"",$B1908&lt;&gt;"",$R1908='تقرير نوفمبر'!$C$4,$P1908='تقرير نوفمبر'!$C$6),COUNT(Y$4:Y1907)+1,"")</f>
        <v/>
      </c>
      <c r="Z1908">
        <f>IF(AND($A1908&lt;&gt;"",$B1908&lt;&gt;"",$R1908='تقرير ديسمبر'!$C$4,$P1908='تقرير ديسمبر'!$C$6),COUNT(Z$4:Z1907)+1,"")</f>
        <v/>
      </c>
      <c r="AA1908">
        <f>IF(AND($A1908&lt;&gt;"",$B1908&lt;&gt;"",$R1908='تقرير يناير'!$C$4,$P1908='تقرير يناير'!$C$6),COUNT(AA$4:AA1907)+1,"")</f>
        <v/>
      </c>
      <c r="AB1908">
        <f>IF(AND($A1908&lt;&gt;"",$B1908&lt;&gt;"",$R1908='تقرير فبراير'!$C$4,$P1908='تقرير فبراير'!$C$6),COUNT(AB$4:AB1907)+1,"")</f>
        <v/>
      </c>
      <c r="AC1908">
        <f>IF(AND($A1908&lt;&gt;"",$B1908&lt;&gt;"",$R1908='تقرير مارس'!$C$4,$P1908='تقرير مارس'!$C$6),COUNT(AC$4:AC1907)+1,"")</f>
        <v/>
      </c>
      <c r="AD1908">
        <f>IF(AND($A1908&lt;&gt;"",$B1908&lt;&gt;"",$R1908='تقرير أبريل'!$C$4,$P1908='تقرير أبريل'!$C$6),COUNT(AD$4:AD1907)+1,"")</f>
        <v/>
      </c>
      <c r="AE1908">
        <f>IF(AND($A1908&lt;&gt;"",$B1908&lt;&gt;"",$R1908='تقرير مايو'!$C$4,$P1908='تقرير مايو'!$C$6),COUNT(AE$4:AE1907)+1,"")</f>
        <v/>
      </c>
    </row>
    <row r="1909">
      <c r="A1909" s="16" t="n"/>
      <c r="B1909" s="17" t="n"/>
      <c r="C1909" s="17" t="n"/>
      <c r="D1909" s="18" t="n"/>
      <c r="E1909" s="17" t="n"/>
      <c r="F1909" s="17" t="n"/>
      <c r="G1909" s="19" t="n"/>
      <c r="H1909" s="17" t="n"/>
      <c r="I1909" s="17" t="n"/>
      <c r="J1909" s="17" t="n"/>
      <c r="K1909" s="20">
        <f>IF($B1909="","",IFERROR(INDEX(الموظفات!$A$5:$A$304,MATCH($B1909,الموظفات!$B$5:$B$304,0))&amp;"",""))</f>
        <v/>
      </c>
      <c r="L1909" s="21">
        <f>IF($B1909="","",IFERROR(INDEX(الموظفات!$C$5:$C$304,MATCH($B1909,الموظفات!$B$5:$B$304,0))&amp;"",""))</f>
        <v/>
      </c>
      <c r="M1909" s="20">
        <f>IF($B1909="","",IFERROR(INDEX(الموظفات!$D$5:$D$304,MATCH($B1909,الموظفات!$B$5:$B$304,0))&amp;"",""))</f>
        <v/>
      </c>
      <c r="N1909" s="20">
        <f>IF($B1909="","",IFERROR(INDEX(الموظفات!$E$5:$E$304,MATCH($B1909,الموظفات!$B$5:$B$304,0))&amp;"",""))</f>
        <v/>
      </c>
      <c r="O1909" s="21">
        <f>IF(C1909="","",IFERROR(INDEX(الإعدادات!$D$7:$D$35,MATCH(C1909,الإعدادات!$A$7:$A$35,0))&amp;"",""))</f>
        <v/>
      </c>
      <c r="P1909" s="20">
        <f>IF(A1909="","",INDEX(الإعدادات!$H$7:$H$18,MONTH(A1909)))</f>
        <v/>
      </c>
      <c r="Q1909" s="20">
        <f>IF(A1909="","",INDEX(الإعدادات!$I$7:$I$18,MONTH(A1909)))</f>
        <v/>
      </c>
      <c r="R1909" s="20">
        <f>IF(A1909="","",IF(MONTH(A1909)&gt;=8,YEAR(A1909)&amp;"-"&amp;(YEAR(A1909)+1),(YEAR(A1909)-1)&amp;"-"&amp;YEAR(A1909)))</f>
        <v/>
      </c>
      <c r="S1909" s="20">
        <f>IF(OR(A1909="",B1909=""),0,IF(AND(R1909=التقارير!$C$4,OR(التقارير!$C$5="سنوي",AND(التقارير!$C$5="شهري",P1909=التقارير!$C$6),AND(التقارير!$C$5="فصلي",Q1909=التقارير!$C$7))),1,0))</f>
        <v/>
      </c>
      <c r="T1909" s="20">
        <f>IF(S1909=1,COUNTIF($S$5:S1909,1),"")</f>
        <v/>
      </c>
      <c r="U1909">
        <f>IF(AND($A1909&lt;&gt;"",$B1909&lt;&gt;"",$R1909='تقرير الفصل الأول'!$C$4,$Q1909='تقرير الفصل الأول'!$C$7),COUNT(U$4:U1908)+1,"")</f>
        <v/>
      </c>
      <c r="V1909">
        <f>IF(AND($A1909&lt;&gt;"",$B1909&lt;&gt;"",$R1909='تقرير الفصل الثاني'!$C$4,$Q1909='تقرير الفصل الثاني'!$C$7),COUNT(V$4:V1908)+1,"")</f>
        <v/>
      </c>
      <c r="W1909">
        <f>IF(AND($A1909&lt;&gt;"",$B1909&lt;&gt;"",$R1909='تقرير سبتمبر'!$C$4,$P1909='تقرير سبتمبر'!$C$6),COUNT(W$4:W1908)+1,"")</f>
        <v/>
      </c>
      <c r="X1909">
        <f>IF(AND($A1909&lt;&gt;"",$B1909&lt;&gt;"",$R1909='تقرير أكتوبر'!$C$4,$P1909='تقرير أكتوبر'!$C$6),COUNT(X$4:X1908)+1,"")</f>
        <v/>
      </c>
      <c r="Y1909">
        <f>IF(AND($A1909&lt;&gt;"",$B1909&lt;&gt;"",$R1909='تقرير نوفمبر'!$C$4,$P1909='تقرير نوفمبر'!$C$6),COUNT(Y$4:Y1908)+1,"")</f>
        <v/>
      </c>
      <c r="Z1909">
        <f>IF(AND($A1909&lt;&gt;"",$B1909&lt;&gt;"",$R1909='تقرير ديسمبر'!$C$4,$P1909='تقرير ديسمبر'!$C$6),COUNT(Z$4:Z1908)+1,"")</f>
        <v/>
      </c>
      <c r="AA1909">
        <f>IF(AND($A1909&lt;&gt;"",$B1909&lt;&gt;"",$R1909='تقرير يناير'!$C$4,$P1909='تقرير يناير'!$C$6),COUNT(AA$4:AA1908)+1,"")</f>
        <v/>
      </c>
      <c r="AB1909">
        <f>IF(AND($A1909&lt;&gt;"",$B1909&lt;&gt;"",$R1909='تقرير فبراير'!$C$4,$P1909='تقرير فبراير'!$C$6),COUNT(AB$4:AB1908)+1,"")</f>
        <v/>
      </c>
      <c r="AC1909">
        <f>IF(AND($A1909&lt;&gt;"",$B1909&lt;&gt;"",$R1909='تقرير مارس'!$C$4,$P1909='تقرير مارس'!$C$6),COUNT(AC$4:AC1908)+1,"")</f>
        <v/>
      </c>
      <c r="AD1909">
        <f>IF(AND($A1909&lt;&gt;"",$B1909&lt;&gt;"",$R1909='تقرير أبريل'!$C$4,$P1909='تقرير أبريل'!$C$6),COUNT(AD$4:AD1908)+1,"")</f>
        <v/>
      </c>
      <c r="AE1909">
        <f>IF(AND($A1909&lt;&gt;"",$B1909&lt;&gt;"",$R1909='تقرير مايو'!$C$4,$P1909='تقرير مايو'!$C$6),COUNT(AE$4:AE1908)+1,"")</f>
        <v/>
      </c>
    </row>
    <row r="1910">
      <c r="A1910" s="16" t="n"/>
      <c r="B1910" s="17" t="n"/>
      <c r="C1910" s="17" t="n"/>
      <c r="D1910" s="18" t="n"/>
      <c r="E1910" s="17" t="n"/>
      <c r="F1910" s="17" t="n"/>
      <c r="G1910" s="19" t="n"/>
      <c r="H1910" s="17" t="n"/>
      <c r="I1910" s="17" t="n"/>
      <c r="J1910" s="17" t="n"/>
      <c r="K1910" s="20">
        <f>IF($B1910="","",IFERROR(INDEX(الموظفات!$A$5:$A$304,MATCH($B1910,الموظفات!$B$5:$B$304,0))&amp;"",""))</f>
        <v/>
      </c>
      <c r="L1910" s="21">
        <f>IF($B1910="","",IFERROR(INDEX(الموظفات!$C$5:$C$304,MATCH($B1910,الموظفات!$B$5:$B$304,0))&amp;"",""))</f>
        <v/>
      </c>
      <c r="M1910" s="20">
        <f>IF($B1910="","",IFERROR(INDEX(الموظفات!$D$5:$D$304,MATCH($B1910,الموظفات!$B$5:$B$304,0))&amp;"",""))</f>
        <v/>
      </c>
      <c r="N1910" s="20">
        <f>IF($B1910="","",IFERROR(INDEX(الموظفات!$E$5:$E$304,MATCH($B1910,الموظفات!$B$5:$B$304,0))&amp;"",""))</f>
        <v/>
      </c>
      <c r="O1910" s="21">
        <f>IF(C1910="","",IFERROR(INDEX(الإعدادات!$D$7:$D$35,MATCH(C1910,الإعدادات!$A$7:$A$35,0))&amp;"",""))</f>
        <v/>
      </c>
      <c r="P1910" s="20">
        <f>IF(A1910="","",INDEX(الإعدادات!$H$7:$H$18,MONTH(A1910)))</f>
        <v/>
      </c>
      <c r="Q1910" s="20">
        <f>IF(A1910="","",INDEX(الإعدادات!$I$7:$I$18,MONTH(A1910)))</f>
        <v/>
      </c>
      <c r="R1910" s="20">
        <f>IF(A1910="","",IF(MONTH(A1910)&gt;=8,YEAR(A1910)&amp;"-"&amp;(YEAR(A1910)+1),(YEAR(A1910)-1)&amp;"-"&amp;YEAR(A1910)))</f>
        <v/>
      </c>
      <c r="S1910" s="20">
        <f>IF(OR(A1910="",B1910=""),0,IF(AND(R1910=التقارير!$C$4,OR(التقارير!$C$5="سنوي",AND(التقارير!$C$5="شهري",P1910=التقارير!$C$6),AND(التقارير!$C$5="فصلي",Q1910=التقارير!$C$7))),1,0))</f>
        <v/>
      </c>
      <c r="T1910" s="20">
        <f>IF(S1910=1,COUNTIF($S$5:S1910,1),"")</f>
        <v/>
      </c>
      <c r="U1910">
        <f>IF(AND($A1910&lt;&gt;"",$B1910&lt;&gt;"",$R1910='تقرير الفصل الأول'!$C$4,$Q1910='تقرير الفصل الأول'!$C$7),COUNT(U$4:U1909)+1,"")</f>
        <v/>
      </c>
      <c r="V1910">
        <f>IF(AND($A1910&lt;&gt;"",$B1910&lt;&gt;"",$R1910='تقرير الفصل الثاني'!$C$4,$Q1910='تقرير الفصل الثاني'!$C$7),COUNT(V$4:V1909)+1,"")</f>
        <v/>
      </c>
      <c r="W1910">
        <f>IF(AND($A1910&lt;&gt;"",$B1910&lt;&gt;"",$R1910='تقرير سبتمبر'!$C$4,$P1910='تقرير سبتمبر'!$C$6),COUNT(W$4:W1909)+1,"")</f>
        <v/>
      </c>
      <c r="X1910">
        <f>IF(AND($A1910&lt;&gt;"",$B1910&lt;&gt;"",$R1910='تقرير أكتوبر'!$C$4,$P1910='تقرير أكتوبر'!$C$6),COUNT(X$4:X1909)+1,"")</f>
        <v/>
      </c>
      <c r="Y1910">
        <f>IF(AND($A1910&lt;&gt;"",$B1910&lt;&gt;"",$R1910='تقرير نوفمبر'!$C$4,$P1910='تقرير نوفمبر'!$C$6),COUNT(Y$4:Y1909)+1,"")</f>
        <v/>
      </c>
      <c r="Z1910">
        <f>IF(AND($A1910&lt;&gt;"",$B1910&lt;&gt;"",$R1910='تقرير ديسمبر'!$C$4,$P1910='تقرير ديسمبر'!$C$6),COUNT(Z$4:Z1909)+1,"")</f>
        <v/>
      </c>
      <c r="AA1910">
        <f>IF(AND($A1910&lt;&gt;"",$B1910&lt;&gt;"",$R1910='تقرير يناير'!$C$4,$P1910='تقرير يناير'!$C$6),COUNT(AA$4:AA1909)+1,"")</f>
        <v/>
      </c>
      <c r="AB1910">
        <f>IF(AND($A1910&lt;&gt;"",$B1910&lt;&gt;"",$R1910='تقرير فبراير'!$C$4,$P1910='تقرير فبراير'!$C$6),COUNT(AB$4:AB1909)+1,"")</f>
        <v/>
      </c>
      <c r="AC1910">
        <f>IF(AND($A1910&lt;&gt;"",$B1910&lt;&gt;"",$R1910='تقرير مارس'!$C$4,$P1910='تقرير مارس'!$C$6),COUNT(AC$4:AC1909)+1,"")</f>
        <v/>
      </c>
      <c r="AD1910">
        <f>IF(AND($A1910&lt;&gt;"",$B1910&lt;&gt;"",$R1910='تقرير أبريل'!$C$4,$P1910='تقرير أبريل'!$C$6),COUNT(AD$4:AD1909)+1,"")</f>
        <v/>
      </c>
      <c r="AE1910">
        <f>IF(AND($A1910&lt;&gt;"",$B1910&lt;&gt;"",$R1910='تقرير مايو'!$C$4,$P1910='تقرير مايو'!$C$6),COUNT(AE$4:AE1909)+1,"")</f>
        <v/>
      </c>
    </row>
    <row r="1911">
      <c r="A1911" s="16" t="n"/>
      <c r="B1911" s="17" t="n"/>
      <c r="C1911" s="17" t="n"/>
      <c r="D1911" s="18" t="n"/>
      <c r="E1911" s="17" t="n"/>
      <c r="F1911" s="17" t="n"/>
      <c r="G1911" s="19" t="n"/>
      <c r="H1911" s="17" t="n"/>
      <c r="I1911" s="17" t="n"/>
      <c r="J1911" s="17" t="n"/>
      <c r="K1911" s="20">
        <f>IF($B1911="","",IFERROR(INDEX(الموظفات!$A$5:$A$304,MATCH($B1911,الموظفات!$B$5:$B$304,0))&amp;"",""))</f>
        <v/>
      </c>
      <c r="L1911" s="21">
        <f>IF($B1911="","",IFERROR(INDEX(الموظفات!$C$5:$C$304,MATCH($B1911,الموظفات!$B$5:$B$304,0))&amp;"",""))</f>
        <v/>
      </c>
      <c r="M1911" s="20">
        <f>IF($B1911="","",IFERROR(INDEX(الموظفات!$D$5:$D$304,MATCH($B1911,الموظفات!$B$5:$B$304,0))&amp;"",""))</f>
        <v/>
      </c>
      <c r="N1911" s="20">
        <f>IF($B1911="","",IFERROR(INDEX(الموظفات!$E$5:$E$304,MATCH($B1911,الموظفات!$B$5:$B$304,0))&amp;"",""))</f>
        <v/>
      </c>
      <c r="O1911" s="21">
        <f>IF(C1911="","",IFERROR(INDEX(الإعدادات!$D$7:$D$35,MATCH(C1911,الإعدادات!$A$7:$A$35,0))&amp;"",""))</f>
        <v/>
      </c>
      <c r="P1911" s="20">
        <f>IF(A1911="","",INDEX(الإعدادات!$H$7:$H$18,MONTH(A1911)))</f>
        <v/>
      </c>
      <c r="Q1911" s="20">
        <f>IF(A1911="","",INDEX(الإعدادات!$I$7:$I$18,MONTH(A1911)))</f>
        <v/>
      </c>
      <c r="R1911" s="20">
        <f>IF(A1911="","",IF(MONTH(A1911)&gt;=8,YEAR(A1911)&amp;"-"&amp;(YEAR(A1911)+1),(YEAR(A1911)-1)&amp;"-"&amp;YEAR(A1911)))</f>
        <v/>
      </c>
      <c r="S1911" s="20">
        <f>IF(OR(A1911="",B1911=""),0,IF(AND(R1911=التقارير!$C$4,OR(التقارير!$C$5="سنوي",AND(التقارير!$C$5="شهري",P1911=التقارير!$C$6),AND(التقارير!$C$5="فصلي",Q1911=التقارير!$C$7))),1,0))</f>
        <v/>
      </c>
      <c r="T1911" s="20">
        <f>IF(S1911=1,COUNTIF($S$5:S1911,1),"")</f>
        <v/>
      </c>
      <c r="U1911">
        <f>IF(AND($A1911&lt;&gt;"",$B1911&lt;&gt;"",$R1911='تقرير الفصل الأول'!$C$4,$Q1911='تقرير الفصل الأول'!$C$7),COUNT(U$4:U1910)+1,"")</f>
        <v/>
      </c>
      <c r="V1911">
        <f>IF(AND($A1911&lt;&gt;"",$B1911&lt;&gt;"",$R1911='تقرير الفصل الثاني'!$C$4,$Q1911='تقرير الفصل الثاني'!$C$7),COUNT(V$4:V1910)+1,"")</f>
        <v/>
      </c>
      <c r="W1911">
        <f>IF(AND($A1911&lt;&gt;"",$B1911&lt;&gt;"",$R1911='تقرير سبتمبر'!$C$4,$P1911='تقرير سبتمبر'!$C$6),COUNT(W$4:W1910)+1,"")</f>
        <v/>
      </c>
      <c r="X1911">
        <f>IF(AND($A1911&lt;&gt;"",$B1911&lt;&gt;"",$R1911='تقرير أكتوبر'!$C$4,$P1911='تقرير أكتوبر'!$C$6),COUNT(X$4:X1910)+1,"")</f>
        <v/>
      </c>
      <c r="Y1911">
        <f>IF(AND($A1911&lt;&gt;"",$B1911&lt;&gt;"",$R1911='تقرير نوفمبر'!$C$4,$P1911='تقرير نوفمبر'!$C$6),COUNT(Y$4:Y1910)+1,"")</f>
        <v/>
      </c>
      <c r="Z1911">
        <f>IF(AND($A1911&lt;&gt;"",$B1911&lt;&gt;"",$R1911='تقرير ديسمبر'!$C$4,$P1911='تقرير ديسمبر'!$C$6),COUNT(Z$4:Z1910)+1,"")</f>
        <v/>
      </c>
      <c r="AA1911">
        <f>IF(AND($A1911&lt;&gt;"",$B1911&lt;&gt;"",$R1911='تقرير يناير'!$C$4,$P1911='تقرير يناير'!$C$6),COUNT(AA$4:AA1910)+1,"")</f>
        <v/>
      </c>
      <c r="AB1911">
        <f>IF(AND($A1911&lt;&gt;"",$B1911&lt;&gt;"",$R1911='تقرير فبراير'!$C$4,$P1911='تقرير فبراير'!$C$6),COUNT(AB$4:AB1910)+1,"")</f>
        <v/>
      </c>
      <c r="AC1911">
        <f>IF(AND($A1911&lt;&gt;"",$B1911&lt;&gt;"",$R1911='تقرير مارس'!$C$4,$P1911='تقرير مارس'!$C$6),COUNT(AC$4:AC1910)+1,"")</f>
        <v/>
      </c>
      <c r="AD1911">
        <f>IF(AND($A1911&lt;&gt;"",$B1911&lt;&gt;"",$R1911='تقرير أبريل'!$C$4,$P1911='تقرير أبريل'!$C$6),COUNT(AD$4:AD1910)+1,"")</f>
        <v/>
      </c>
      <c r="AE1911">
        <f>IF(AND($A1911&lt;&gt;"",$B1911&lt;&gt;"",$R1911='تقرير مايو'!$C$4,$P1911='تقرير مايو'!$C$6),COUNT(AE$4:AE1910)+1,"")</f>
        <v/>
      </c>
    </row>
    <row r="1912">
      <c r="A1912" s="16" t="n"/>
      <c r="B1912" s="17" t="n"/>
      <c r="C1912" s="17" t="n"/>
      <c r="D1912" s="18" t="n"/>
      <c r="E1912" s="17" t="n"/>
      <c r="F1912" s="17" t="n"/>
      <c r="G1912" s="19" t="n"/>
      <c r="H1912" s="17" t="n"/>
      <c r="I1912" s="17" t="n"/>
      <c r="J1912" s="17" t="n"/>
      <c r="K1912" s="20">
        <f>IF($B1912="","",IFERROR(INDEX(الموظفات!$A$5:$A$304,MATCH($B1912,الموظفات!$B$5:$B$304,0))&amp;"",""))</f>
        <v/>
      </c>
      <c r="L1912" s="21">
        <f>IF($B1912="","",IFERROR(INDEX(الموظفات!$C$5:$C$304,MATCH($B1912,الموظفات!$B$5:$B$304,0))&amp;"",""))</f>
        <v/>
      </c>
      <c r="M1912" s="20">
        <f>IF($B1912="","",IFERROR(INDEX(الموظفات!$D$5:$D$304,MATCH($B1912,الموظفات!$B$5:$B$304,0))&amp;"",""))</f>
        <v/>
      </c>
      <c r="N1912" s="20">
        <f>IF($B1912="","",IFERROR(INDEX(الموظفات!$E$5:$E$304,MATCH($B1912,الموظفات!$B$5:$B$304,0))&amp;"",""))</f>
        <v/>
      </c>
      <c r="O1912" s="21">
        <f>IF(C1912="","",IFERROR(INDEX(الإعدادات!$D$7:$D$35,MATCH(C1912,الإعدادات!$A$7:$A$35,0))&amp;"",""))</f>
        <v/>
      </c>
      <c r="P1912" s="20">
        <f>IF(A1912="","",INDEX(الإعدادات!$H$7:$H$18,MONTH(A1912)))</f>
        <v/>
      </c>
      <c r="Q1912" s="20">
        <f>IF(A1912="","",INDEX(الإعدادات!$I$7:$I$18,MONTH(A1912)))</f>
        <v/>
      </c>
      <c r="R1912" s="20">
        <f>IF(A1912="","",IF(MONTH(A1912)&gt;=8,YEAR(A1912)&amp;"-"&amp;(YEAR(A1912)+1),(YEAR(A1912)-1)&amp;"-"&amp;YEAR(A1912)))</f>
        <v/>
      </c>
      <c r="S1912" s="20">
        <f>IF(OR(A1912="",B1912=""),0,IF(AND(R1912=التقارير!$C$4,OR(التقارير!$C$5="سنوي",AND(التقارير!$C$5="شهري",P1912=التقارير!$C$6),AND(التقارير!$C$5="فصلي",Q1912=التقارير!$C$7))),1,0))</f>
        <v/>
      </c>
      <c r="T1912" s="20">
        <f>IF(S1912=1,COUNTIF($S$5:S1912,1),"")</f>
        <v/>
      </c>
      <c r="U1912">
        <f>IF(AND($A1912&lt;&gt;"",$B1912&lt;&gt;"",$R1912='تقرير الفصل الأول'!$C$4,$Q1912='تقرير الفصل الأول'!$C$7),COUNT(U$4:U1911)+1,"")</f>
        <v/>
      </c>
      <c r="V1912">
        <f>IF(AND($A1912&lt;&gt;"",$B1912&lt;&gt;"",$R1912='تقرير الفصل الثاني'!$C$4,$Q1912='تقرير الفصل الثاني'!$C$7),COUNT(V$4:V1911)+1,"")</f>
        <v/>
      </c>
      <c r="W1912">
        <f>IF(AND($A1912&lt;&gt;"",$B1912&lt;&gt;"",$R1912='تقرير سبتمبر'!$C$4,$P1912='تقرير سبتمبر'!$C$6),COUNT(W$4:W1911)+1,"")</f>
        <v/>
      </c>
      <c r="X1912">
        <f>IF(AND($A1912&lt;&gt;"",$B1912&lt;&gt;"",$R1912='تقرير أكتوبر'!$C$4,$P1912='تقرير أكتوبر'!$C$6),COUNT(X$4:X1911)+1,"")</f>
        <v/>
      </c>
      <c r="Y1912">
        <f>IF(AND($A1912&lt;&gt;"",$B1912&lt;&gt;"",$R1912='تقرير نوفمبر'!$C$4,$P1912='تقرير نوفمبر'!$C$6),COUNT(Y$4:Y1911)+1,"")</f>
        <v/>
      </c>
      <c r="Z1912">
        <f>IF(AND($A1912&lt;&gt;"",$B1912&lt;&gt;"",$R1912='تقرير ديسمبر'!$C$4,$P1912='تقرير ديسمبر'!$C$6),COUNT(Z$4:Z1911)+1,"")</f>
        <v/>
      </c>
      <c r="AA1912">
        <f>IF(AND($A1912&lt;&gt;"",$B1912&lt;&gt;"",$R1912='تقرير يناير'!$C$4,$P1912='تقرير يناير'!$C$6),COUNT(AA$4:AA1911)+1,"")</f>
        <v/>
      </c>
      <c r="AB1912">
        <f>IF(AND($A1912&lt;&gt;"",$B1912&lt;&gt;"",$R1912='تقرير فبراير'!$C$4,$P1912='تقرير فبراير'!$C$6),COUNT(AB$4:AB1911)+1,"")</f>
        <v/>
      </c>
      <c r="AC1912">
        <f>IF(AND($A1912&lt;&gt;"",$B1912&lt;&gt;"",$R1912='تقرير مارس'!$C$4,$P1912='تقرير مارس'!$C$6),COUNT(AC$4:AC1911)+1,"")</f>
        <v/>
      </c>
      <c r="AD1912">
        <f>IF(AND($A1912&lt;&gt;"",$B1912&lt;&gt;"",$R1912='تقرير أبريل'!$C$4,$P1912='تقرير أبريل'!$C$6),COUNT(AD$4:AD1911)+1,"")</f>
        <v/>
      </c>
      <c r="AE1912">
        <f>IF(AND($A1912&lt;&gt;"",$B1912&lt;&gt;"",$R1912='تقرير مايو'!$C$4,$P1912='تقرير مايو'!$C$6),COUNT(AE$4:AE1911)+1,"")</f>
        <v/>
      </c>
    </row>
    <row r="1913">
      <c r="A1913" s="16" t="n"/>
      <c r="B1913" s="17" t="n"/>
      <c r="C1913" s="17" t="n"/>
      <c r="D1913" s="18" t="n"/>
      <c r="E1913" s="17" t="n"/>
      <c r="F1913" s="17" t="n"/>
      <c r="G1913" s="19" t="n"/>
      <c r="H1913" s="17" t="n"/>
      <c r="I1913" s="17" t="n"/>
      <c r="J1913" s="17" t="n"/>
      <c r="K1913" s="20">
        <f>IF($B1913="","",IFERROR(INDEX(الموظفات!$A$5:$A$304,MATCH($B1913,الموظفات!$B$5:$B$304,0))&amp;"",""))</f>
        <v/>
      </c>
      <c r="L1913" s="21">
        <f>IF($B1913="","",IFERROR(INDEX(الموظفات!$C$5:$C$304,MATCH($B1913,الموظفات!$B$5:$B$304,0))&amp;"",""))</f>
        <v/>
      </c>
      <c r="M1913" s="20">
        <f>IF($B1913="","",IFERROR(INDEX(الموظفات!$D$5:$D$304,MATCH($B1913,الموظفات!$B$5:$B$304,0))&amp;"",""))</f>
        <v/>
      </c>
      <c r="N1913" s="20">
        <f>IF($B1913="","",IFERROR(INDEX(الموظفات!$E$5:$E$304,MATCH($B1913,الموظفات!$B$5:$B$304,0))&amp;"",""))</f>
        <v/>
      </c>
      <c r="O1913" s="21">
        <f>IF(C1913="","",IFERROR(INDEX(الإعدادات!$D$7:$D$35,MATCH(C1913,الإعدادات!$A$7:$A$35,0))&amp;"",""))</f>
        <v/>
      </c>
      <c r="P1913" s="20">
        <f>IF(A1913="","",INDEX(الإعدادات!$H$7:$H$18,MONTH(A1913)))</f>
        <v/>
      </c>
      <c r="Q1913" s="20">
        <f>IF(A1913="","",INDEX(الإعدادات!$I$7:$I$18,MONTH(A1913)))</f>
        <v/>
      </c>
      <c r="R1913" s="20">
        <f>IF(A1913="","",IF(MONTH(A1913)&gt;=8,YEAR(A1913)&amp;"-"&amp;(YEAR(A1913)+1),(YEAR(A1913)-1)&amp;"-"&amp;YEAR(A1913)))</f>
        <v/>
      </c>
      <c r="S1913" s="20">
        <f>IF(OR(A1913="",B1913=""),0,IF(AND(R1913=التقارير!$C$4,OR(التقارير!$C$5="سنوي",AND(التقارير!$C$5="شهري",P1913=التقارير!$C$6),AND(التقارير!$C$5="فصلي",Q1913=التقارير!$C$7))),1,0))</f>
        <v/>
      </c>
      <c r="T1913" s="20">
        <f>IF(S1913=1,COUNTIF($S$5:S1913,1),"")</f>
        <v/>
      </c>
      <c r="U1913">
        <f>IF(AND($A1913&lt;&gt;"",$B1913&lt;&gt;"",$R1913='تقرير الفصل الأول'!$C$4,$Q1913='تقرير الفصل الأول'!$C$7),COUNT(U$4:U1912)+1,"")</f>
        <v/>
      </c>
      <c r="V1913">
        <f>IF(AND($A1913&lt;&gt;"",$B1913&lt;&gt;"",$R1913='تقرير الفصل الثاني'!$C$4,$Q1913='تقرير الفصل الثاني'!$C$7),COUNT(V$4:V1912)+1,"")</f>
        <v/>
      </c>
      <c r="W1913">
        <f>IF(AND($A1913&lt;&gt;"",$B1913&lt;&gt;"",$R1913='تقرير سبتمبر'!$C$4,$P1913='تقرير سبتمبر'!$C$6),COUNT(W$4:W1912)+1,"")</f>
        <v/>
      </c>
      <c r="X1913">
        <f>IF(AND($A1913&lt;&gt;"",$B1913&lt;&gt;"",$R1913='تقرير أكتوبر'!$C$4,$P1913='تقرير أكتوبر'!$C$6),COUNT(X$4:X1912)+1,"")</f>
        <v/>
      </c>
      <c r="Y1913">
        <f>IF(AND($A1913&lt;&gt;"",$B1913&lt;&gt;"",$R1913='تقرير نوفمبر'!$C$4,$P1913='تقرير نوفمبر'!$C$6),COUNT(Y$4:Y1912)+1,"")</f>
        <v/>
      </c>
      <c r="Z1913">
        <f>IF(AND($A1913&lt;&gt;"",$B1913&lt;&gt;"",$R1913='تقرير ديسمبر'!$C$4,$P1913='تقرير ديسمبر'!$C$6),COUNT(Z$4:Z1912)+1,"")</f>
        <v/>
      </c>
      <c r="AA1913">
        <f>IF(AND($A1913&lt;&gt;"",$B1913&lt;&gt;"",$R1913='تقرير يناير'!$C$4,$P1913='تقرير يناير'!$C$6),COUNT(AA$4:AA1912)+1,"")</f>
        <v/>
      </c>
      <c r="AB1913">
        <f>IF(AND($A1913&lt;&gt;"",$B1913&lt;&gt;"",$R1913='تقرير فبراير'!$C$4,$P1913='تقرير فبراير'!$C$6),COUNT(AB$4:AB1912)+1,"")</f>
        <v/>
      </c>
      <c r="AC1913">
        <f>IF(AND($A1913&lt;&gt;"",$B1913&lt;&gt;"",$R1913='تقرير مارس'!$C$4,$P1913='تقرير مارس'!$C$6),COUNT(AC$4:AC1912)+1,"")</f>
        <v/>
      </c>
      <c r="AD1913">
        <f>IF(AND($A1913&lt;&gt;"",$B1913&lt;&gt;"",$R1913='تقرير أبريل'!$C$4,$P1913='تقرير أبريل'!$C$6),COUNT(AD$4:AD1912)+1,"")</f>
        <v/>
      </c>
      <c r="AE1913">
        <f>IF(AND($A1913&lt;&gt;"",$B1913&lt;&gt;"",$R1913='تقرير مايو'!$C$4,$P1913='تقرير مايو'!$C$6),COUNT(AE$4:AE1912)+1,"")</f>
        <v/>
      </c>
    </row>
    <row r="1914">
      <c r="A1914" s="16" t="n"/>
      <c r="B1914" s="17" t="n"/>
      <c r="C1914" s="17" t="n"/>
      <c r="D1914" s="18" t="n"/>
      <c r="E1914" s="17" t="n"/>
      <c r="F1914" s="17" t="n"/>
      <c r="G1914" s="19" t="n"/>
      <c r="H1914" s="17" t="n"/>
      <c r="I1914" s="17" t="n"/>
      <c r="J1914" s="17" t="n"/>
      <c r="K1914" s="20">
        <f>IF($B1914="","",IFERROR(INDEX(الموظفات!$A$5:$A$304,MATCH($B1914,الموظفات!$B$5:$B$304,0))&amp;"",""))</f>
        <v/>
      </c>
      <c r="L1914" s="21">
        <f>IF($B1914="","",IFERROR(INDEX(الموظفات!$C$5:$C$304,MATCH($B1914,الموظفات!$B$5:$B$304,0))&amp;"",""))</f>
        <v/>
      </c>
      <c r="M1914" s="20">
        <f>IF($B1914="","",IFERROR(INDEX(الموظفات!$D$5:$D$304,MATCH($B1914,الموظفات!$B$5:$B$304,0))&amp;"",""))</f>
        <v/>
      </c>
      <c r="N1914" s="20">
        <f>IF($B1914="","",IFERROR(INDEX(الموظفات!$E$5:$E$304,MATCH($B1914,الموظفات!$B$5:$B$304,0))&amp;"",""))</f>
        <v/>
      </c>
      <c r="O1914" s="21">
        <f>IF(C1914="","",IFERROR(INDEX(الإعدادات!$D$7:$D$35,MATCH(C1914,الإعدادات!$A$7:$A$35,0))&amp;"",""))</f>
        <v/>
      </c>
      <c r="P1914" s="20">
        <f>IF(A1914="","",INDEX(الإعدادات!$H$7:$H$18,MONTH(A1914)))</f>
        <v/>
      </c>
      <c r="Q1914" s="20">
        <f>IF(A1914="","",INDEX(الإعدادات!$I$7:$I$18,MONTH(A1914)))</f>
        <v/>
      </c>
      <c r="R1914" s="20">
        <f>IF(A1914="","",IF(MONTH(A1914)&gt;=8,YEAR(A1914)&amp;"-"&amp;(YEAR(A1914)+1),(YEAR(A1914)-1)&amp;"-"&amp;YEAR(A1914)))</f>
        <v/>
      </c>
      <c r="S1914" s="20">
        <f>IF(OR(A1914="",B1914=""),0,IF(AND(R1914=التقارير!$C$4,OR(التقارير!$C$5="سنوي",AND(التقارير!$C$5="شهري",P1914=التقارير!$C$6),AND(التقارير!$C$5="فصلي",Q1914=التقارير!$C$7))),1,0))</f>
        <v/>
      </c>
      <c r="T1914" s="20">
        <f>IF(S1914=1,COUNTIF($S$5:S1914,1),"")</f>
        <v/>
      </c>
      <c r="U1914">
        <f>IF(AND($A1914&lt;&gt;"",$B1914&lt;&gt;"",$R1914='تقرير الفصل الأول'!$C$4,$Q1914='تقرير الفصل الأول'!$C$7),COUNT(U$4:U1913)+1,"")</f>
        <v/>
      </c>
      <c r="V1914">
        <f>IF(AND($A1914&lt;&gt;"",$B1914&lt;&gt;"",$R1914='تقرير الفصل الثاني'!$C$4,$Q1914='تقرير الفصل الثاني'!$C$7),COUNT(V$4:V1913)+1,"")</f>
        <v/>
      </c>
      <c r="W1914">
        <f>IF(AND($A1914&lt;&gt;"",$B1914&lt;&gt;"",$R1914='تقرير سبتمبر'!$C$4,$P1914='تقرير سبتمبر'!$C$6),COUNT(W$4:W1913)+1,"")</f>
        <v/>
      </c>
      <c r="X1914">
        <f>IF(AND($A1914&lt;&gt;"",$B1914&lt;&gt;"",$R1914='تقرير أكتوبر'!$C$4,$P1914='تقرير أكتوبر'!$C$6),COUNT(X$4:X1913)+1,"")</f>
        <v/>
      </c>
      <c r="Y1914">
        <f>IF(AND($A1914&lt;&gt;"",$B1914&lt;&gt;"",$R1914='تقرير نوفمبر'!$C$4,$P1914='تقرير نوفمبر'!$C$6),COUNT(Y$4:Y1913)+1,"")</f>
        <v/>
      </c>
      <c r="Z1914">
        <f>IF(AND($A1914&lt;&gt;"",$B1914&lt;&gt;"",$R1914='تقرير ديسمبر'!$C$4,$P1914='تقرير ديسمبر'!$C$6),COUNT(Z$4:Z1913)+1,"")</f>
        <v/>
      </c>
      <c r="AA1914">
        <f>IF(AND($A1914&lt;&gt;"",$B1914&lt;&gt;"",$R1914='تقرير يناير'!$C$4,$P1914='تقرير يناير'!$C$6),COUNT(AA$4:AA1913)+1,"")</f>
        <v/>
      </c>
      <c r="AB1914">
        <f>IF(AND($A1914&lt;&gt;"",$B1914&lt;&gt;"",$R1914='تقرير فبراير'!$C$4,$P1914='تقرير فبراير'!$C$6),COUNT(AB$4:AB1913)+1,"")</f>
        <v/>
      </c>
      <c r="AC1914">
        <f>IF(AND($A1914&lt;&gt;"",$B1914&lt;&gt;"",$R1914='تقرير مارس'!$C$4,$P1914='تقرير مارس'!$C$6),COUNT(AC$4:AC1913)+1,"")</f>
        <v/>
      </c>
      <c r="AD1914">
        <f>IF(AND($A1914&lt;&gt;"",$B1914&lt;&gt;"",$R1914='تقرير أبريل'!$C$4,$P1914='تقرير أبريل'!$C$6),COUNT(AD$4:AD1913)+1,"")</f>
        <v/>
      </c>
      <c r="AE1914">
        <f>IF(AND($A1914&lt;&gt;"",$B1914&lt;&gt;"",$R1914='تقرير مايو'!$C$4,$P1914='تقرير مايو'!$C$6),COUNT(AE$4:AE1913)+1,"")</f>
        <v/>
      </c>
    </row>
    <row r="1915">
      <c r="A1915" s="16" t="n"/>
      <c r="B1915" s="17" t="n"/>
      <c r="C1915" s="17" t="n"/>
      <c r="D1915" s="18" t="n"/>
      <c r="E1915" s="17" t="n"/>
      <c r="F1915" s="17" t="n"/>
      <c r="G1915" s="19" t="n"/>
      <c r="H1915" s="17" t="n"/>
      <c r="I1915" s="17" t="n"/>
      <c r="J1915" s="17" t="n"/>
      <c r="K1915" s="20">
        <f>IF($B1915="","",IFERROR(INDEX(الموظفات!$A$5:$A$304,MATCH($B1915,الموظفات!$B$5:$B$304,0))&amp;"",""))</f>
        <v/>
      </c>
      <c r="L1915" s="21">
        <f>IF($B1915="","",IFERROR(INDEX(الموظفات!$C$5:$C$304,MATCH($B1915,الموظفات!$B$5:$B$304,0))&amp;"",""))</f>
        <v/>
      </c>
      <c r="M1915" s="20">
        <f>IF($B1915="","",IFERROR(INDEX(الموظفات!$D$5:$D$304,MATCH($B1915,الموظفات!$B$5:$B$304,0))&amp;"",""))</f>
        <v/>
      </c>
      <c r="N1915" s="20">
        <f>IF($B1915="","",IFERROR(INDEX(الموظفات!$E$5:$E$304,MATCH($B1915,الموظفات!$B$5:$B$304,0))&amp;"",""))</f>
        <v/>
      </c>
      <c r="O1915" s="21">
        <f>IF(C1915="","",IFERROR(INDEX(الإعدادات!$D$7:$D$35,MATCH(C1915,الإعدادات!$A$7:$A$35,0))&amp;"",""))</f>
        <v/>
      </c>
      <c r="P1915" s="20">
        <f>IF(A1915="","",INDEX(الإعدادات!$H$7:$H$18,MONTH(A1915)))</f>
        <v/>
      </c>
      <c r="Q1915" s="20">
        <f>IF(A1915="","",INDEX(الإعدادات!$I$7:$I$18,MONTH(A1915)))</f>
        <v/>
      </c>
      <c r="R1915" s="20">
        <f>IF(A1915="","",IF(MONTH(A1915)&gt;=8,YEAR(A1915)&amp;"-"&amp;(YEAR(A1915)+1),(YEAR(A1915)-1)&amp;"-"&amp;YEAR(A1915)))</f>
        <v/>
      </c>
      <c r="S1915" s="20">
        <f>IF(OR(A1915="",B1915=""),0,IF(AND(R1915=التقارير!$C$4,OR(التقارير!$C$5="سنوي",AND(التقارير!$C$5="شهري",P1915=التقارير!$C$6),AND(التقارير!$C$5="فصلي",Q1915=التقارير!$C$7))),1,0))</f>
        <v/>
      </c>
      <c r="T1915" s="20">
        <f>IF(S1915=1,COUNTIF($S$5:S1915,1),"")</f>
        <v/>
      </c>
      <c r="U1915">
        <f>IF(AND($A1915&lt;&gt;"",$B1915&lt;&gt;"",$R1915='تقرير الفصل الأول'!$C$4,$Q1915='تقرير الفصل الأول'!$C$7),COUNT(U$4:U1914)+1,"")</f>
        <v/>
      </c>
      <c r="V1915">
        <f>IF(AND($A1915&lt;&gt;"",$B1915&lt;&gt;"",$R1915='تقرير الفصل الثاني'!$C$4,$Q1915='تقرير الفصل الثاني'!$C$7),COUNT(V$4:V1914)+1,"")</f>
        <v/>
      </c>
      <c r="W1915">
        <f>IF(AND($A1915&lt;&gt;"",$B1915&lt;&gt;"",$R1915='تقرير سبتمبر'!$C$4,$P1915='تقرير سبتمبر'!$C$6),COUNT(W$4:W1914)+1,"")</f>
        <v/>
      </c>
      <c r="X1915">
        <f>IF(AND($A1915&lt;&gt;"",$B1915&lt;&gt;"",$R1915='تقرير أكتوبر'!$C$4,$P1915='تقرير أكتوبر'!$C$6),COUNT(X$4:X1914)+1,"")</f>
        <v/>
      </c>
      <c r="Y1915">
        <f>IF(AND($A1915&lt;&gt;"",$B1915&lt;&gt;"",$R1915='تقرير نوفمبر'!$C$4,$P1915='تقرير نوفمبر'!$C$6),COUNT(Y$4:Y1914)+1,"")</f>
        <v/>
      </c>
      <c r="Z1915">
        <f>IF(AND($A1915&lt;&gt;"",$B1915&lt;&gt;"",$R1915='تقرير ديسمبر'!$C$4,$P1915='تقرير ديسمبر'!$C$6),COUNT(Z$4:Z1914)+1,"")</f>
        <v/>
      </c>
      <c r="AA1915">
        <f>IF(AND($A1915&lt;&gt;"",$B1915&lt;&gt;"",$R1915='تقرير يناير'!$C$4,$P1915='تقرير يناير'!$C$6),COUNT(AA$4:AA1914)+1,"")</f>
        <v/>
      </c>
      <c r="AB1915">
        <f>IF(AND($A1915&lt;&gt;"",$B1915&lt;&gt;"",$R1915='تقرير فبراير'!$C$4,$P1915='تقرير فبراير'!$C$6),COUNT(AB$4:AB1914)+1,"")</f>
        <v/>
      </c>
      <c r="AC1915">
        <f>IF(AND($A1915&lt;&gt;"",$B1915&lt;&gt;"",$R1915='تقرير مارس'!$C$4,$P1915='تقرير مارس'!$C$6),COUNT(AC$4:AC1914)+1,"")</f>
        <v/>
      </c>
      <c r="AD1915">
        <f>IF(AND($A1915&lt;&gt;"",$B1915&lt;&gt;"",$R1915='تقرير أبريل'!$C$4,$P1915='تقرير أبريل'!$C$6),COUNT(AD$4:AD1914)+1,"")</f>
        <v/>
      </c>
      <c r="AE1915">
        <f>IF(AND($A1915&lt;&gt;"",$B1915&lt;&gt;"",$R1915='تقرير مايو'!$C$4,$P1915='تقرير مايو'!$C$6),COUNT(AE$4:AE1914)+1,"")</f>
        <v/>
      </c>
    </row>
    <row r="1916">
      <c r="A1916" s="16" t="n"/>
      <c r="B1916" s="17" t="n"/>
      <c r="C1916" s="17" t="n"/>
      <c r="D1916" s="18" t="n"/>
      <c r="E1916" s="17" t="n"/>
      <c r="F1916" s="17" t="n"/>
      <c r="G1916" s="19" t="n"/>
      <c r="H1916" s="17" t="n"/>
      <c r="I1916" s="17" t="n"/>
      <c r="J1916" s="17" t="n"/>
      <c r="K1916" s="20">
        <f>IF($B1916="","",IFERROR(INDEX(الموظفات!$A$5:$A$304,MATCH($B1916,الموظفات!$B$5:$B$304,0))&amp;"",""))</f>
        <v/>
      </c>
      <c r="L1916" s="21">
        <f>IF($B1916="","",IFERROR(INDEX(الموظفات!$C$5:$C$304,MATCH($B1916,الموظفات!$B$5:$B$304,0))&amp;"",""))</f>
        <v/>
      </c>
      <c r="M1916" s="20">
        <f>IF($B1916="","",IFERROR(INDEX(الموظفات!$D$5:$D$304,MATCH($B1916,الموظفات!$B$5:$B$304,0))&amp;"",""))</f>
        <v/>
      </c>
      <c r="N1916" s="20">
        <f>IF($B1916="","",IFERROR(INDEX(الموظفات!$E$5:$E$304,MATCH($B1916,الموظفات!$B$5:$B$304,0))&amp;"",""))</f>
        <v/>
      </c>
      <c r="O1916" s="21">
        <f>IF(C1916="","",IFERROR(INDEX(الإعدادات!$D$7:$D$35,MATCH(C1916,الإعدادات!$A$7:$A$35,0))&amp;"",""))</f>
        <v/>
      </c>
      <c r="P1916" s="20">
        <f>IF(A1916="","",INDEX(الإعدادات!$H$7:$H$18,MONTH(A1916)))</f>
        <v/>
      </c>
      <c r="Q1916" s="20">
        <f>IF(A1916="","",INDEX(الإعدادات!$I$7:$I$18,MONTH(A1916)))</f>
        <v/>
      </c>
      <c r="R1916" s="20">
        <f>IF(A1916="","",IF(MONTH(A1916)&gt;=8,YEAR(A1916)&amp;"-"&amp;(YEAR(A1916)+1),(YEAR(A1916)-1)&amp;"-"&amp;YEAR(A1916)))</f>
        <v/>
      </c>
      <c r="S1916" s="20">
        <f>IF(OR(A1916="",B1916=""),0,IF(AND(R1916=التقارير!$C$4,OR(التقارير!$C$5="سنوي",AND(التقارير!$C$5="شهري",P1916=التقارير!$C$6),AND(التقارير!$C$5="فصلي",Q1916=التقارير!$C$7))),1,0))</f>
        <v/>
      </c>
      <c r="T1916" s="20">
        <f>IF(S1916=1,COUNTIF($S$5:S1916,1),"")</f>
        <v/>
      </c>
      <c r="U1916">
        <f>IF(AND($A1916&lt;&gt;"",$B1916&lt;&gt;"",$R1916='تقرير الفصل الأول'!$C$4,$Q1916='تقرير الفصل الأول'!$C$7),COUNT(U$4:U1915)+1,"")</f>
        <v/>
      </c>
      <c r="V1916">
        <f>IF(AND($A1916&lt;&gt;"",$B1916&lt;&gt;"",$R1916='تقرير الفصل الثاني'!$C$4,$Q1916='تقرير الفصل الثاني'!$C$7),COUNT(V$4:V1915)+1,"")</f>
        <v/>
      </c>
      <c r="W1916">
        <f>IF(AND($A1916&lt;&gt;"",$B1916&lt;&gt;"",$R1916='تقرير سبتمبر'!$C$4,$P1916='تقرير سبتمبر'!$C$6),COUNT(W$4:W1915)+1,"")</f>
        <v/>
      </c>
      <c r="X1916">
        <f>IF(AND($A1916&lt;&gt;"",$B1916&lt;&gt;"",$R1916='تقرير أكتوبر'!$C$4,$P1916='تقرير أكتوبر'!$C$6),COUNT(X$4:X1915)+1,"")</f>
        <v/>
      </c>
      <c r="Y1916">
        <f>IF(AND($A1916&lt;&gt;"",$B1916&lt;&gt;"",$R1916='تقرير نوفمبر'!$C$4,$P1916='تقرير نوفمبر'!$C$6),COUNT(Y$4:Y1915)+1,"")</f>
        <v/>
      </c>
      <c r="Z1916">
        <f>IF(AND($A1916&lt;&gt;"",$B1916&lt;&gt;"",$R1916='تقرير ديسمبر'!$C$4,$P1916='تقرير ديسمبر'!$C$6),COUNT(Z$4:Z1915)+1,"")</f>
        <v/>
      </c>
      <c r="AA1916">
        <f>IF(AND($A1916&lt;&gt;"",$B1916&lt;&gt;"",$R1916='تقرير يناير'!$C$4,$P1916='تقرير يناير'!$C$6),COUNT(AA$4:AA1915)+1,"")</f>
        <v/>
      </c>
      <c r="AB1916">
        <f>IF(AND($A1916&lt;&gt;"",$B1916&lt;&gt;"",$R1916='تقرير فبراير'!$C$4,$P1916='تقرير فبراير'!$C$6),COUNT(AB$4:AB1915)+1,"")</f>
        <v/>
      </c>
      <c r="AC1916">
        <f>IF(AND($A1916&lt;&gt;"",$B1916&lt;&gt;"",$R1916='تقرير مارس'!$C$4,$P1916='تقرير مارس'!$C$6),COUNT(AC$4:AC1915)+1,"")</f>
        <v/>
      </c>
      <c r="AD1916">
        <f>IF(AND($A1916&lt;&gt;"",$B1916&lt;&gt;"",$R1916='تقرير أبريل'!$C$4,$P1916='تقرير أبريل'!$C$6),COUNT(AD$4:AD1915)+1,"")</f>
        <v/>
      </c>
      <c r="AE1916">
        <f>IF(AND($A1916&lt;&gt;"",$B1916&lt;&gt;"",$R1916='تقرير مايو'!$C$4,$P1916='تقرير مايو'!$C$6),COUNT(AE$4:AE1915)+1,"")</f>
        <v/>
      </c>
    </row>
    <row r="1917">
      <c r="A1917" s="16" t="n"/>
      <c r="B1917" s="17" t="n"/>
      <c r="C1917" s="17" t="n"/>
      <c r="D1917" s="18" t="n"/>
      <c r="E1917" s="17" t="n"/>
      <c r="F1917" s="17" t="n"/>
      <c r="G1917" s="19" t="n"/>
      <c r="H1917" s="17" t="n"/>
      <c r="I1917" s="17" t="n"/>
      <c r="J1917" s="17" t="n"/>
      <c r="K1917" s="20">
        <f>IF($B1917="","",IFERROR(INDEX(الموظفات!$A$5:$A$304,MATCH($B1917,الموظفات!$B$5:$B$304,0))&amp;"",""))</f>
        <v/>
      </c>
      <c r="L1917" s="21">
        <f>IF($B1917="","",IFERROR(INDEX(الموظفات!$C$5:$C$304,MATCH($B1917,الموظفات!$B$5:$B$304,0))&amp;"",""))</f>
        <v/>
      </c>
      <c r="M1917" s="20">
        <f>IF($B1917="","",IFERROR(INDEX(الموظفات!$D$5:$D$304,MATCH($B1917,الموظفات!$B$5:$B$304,0))&amp;"",""))</f>
        <v/>
      </c>
      <c r="N1917" s="20">
        <f>IF($B1917="","",IFERROR(INDEX(الموظفات!$E$5:$E$304,MATCH($B1917,الموظفات!$B$5:$B$304,0))&amp;"",""))</f>
        <v/>
      </c>
      <c r="O1917" s="21">
        <f>IF(C1917="","",IFERROR(INDEX(الإعدادات!$D$7:$D$35,MATCH(C1917,الإعدادات!$A$7:$A$35,0))&amp;"",""))</f>
        <v/>
      </c>
      <c r="P1917" s="20">
        <f>IF(A1917="","",INDEX(الإعدادات!$H$7:$H$18,MONTH(A1917)))</f>
        <v/>
      </c>
      <c r="Q1917" s="20">
        <f>IF(A1917="","",INDEX(الإعدادات!$I$7:$I$18,MONTH(A1917)))</f>
        <v/>
      </c>
      <c r="R1917" s="20">
        <f>IF(A1917="","",IF(MONTH(A1917)&gt;=8,YEAR(A1917)&amp;"-"&amp;(YEAR(A1917)+1),(YEAR(A1917)-1)&amp;"-"&amp;YEAR(A1917)))</f>
        <v/>
      </c>
      <c r="S1917" s="20">
        <f>IF(OR(A1917="",B1917=""),0,IF(AND(R1917=التقارير!$C$4,OR(التقارير!$C$5="سنوي",AND(التقارير!$C$5="شهري",P1917=التقارير!$C$6),AND(التقارير!$C$5="فصلي",Q1917=التقارير!$C$7))),1,0))</f>
        <v/>
      </c>
      <c r="T1917" s="20">
        <f>IF(S1917=1,COUNTIF($S$5:S1917,1),"")</f>
        <v/>
      </c>
      <c r="U1917">
        <f>IF(AND($A1917&lt;&gt;"",$B1917&lt;&gt;"",$R1917='تقرير الفصل الأول'!$C$4,$Q1917='تقرير الفصل الأول'!$C$7),COUNT(U$4:U1916)+1,"")</f>
        <v/>
      </c>
      <c r="V1917">
        <f>IF(AND($A1917&lt;&gt;"",$B1917&lt;&gt;"",$R1917='تقرير الفصل الثاني'!$C$4,$Q1917='تقرير الفصل الثاني'!$C$7),COUNT(V$4:V1916)+1,"")</f>
        <v/>
      </c>
      <c r="W1917">
        <f>IF(AND($A1917&lt;&gt;"",$B1917&lt;&gt;"",$R1917='تقرير سبتمبر'!$C$4,$P1917='تقرير سبتمبر'!$C$6),COUNT(W$4:W1916)+1,"")</f>
        <v/>
      </c>
      <c r="X1917">
        <f>IF(AND($A1917&lt;&gt;"",$B1917&lt;&gt;"",$R1917='تقرير أكتوبر'!$C$4,$P1917='تقرير أكتوبر'!$C$6),COUNT(X$4:X1916)+1,"")</f>
        <v/>
      </c>
      <c r="Y1917">
        <f>IF(AND($A1917&lt;&gt;"",$B1917&lt;&gt;"",$R1917='تقرير نوفمبر'!$C$4,$P1917='تقرير نوفمبر'!$C$6),COUNT(Y$4:Y1916)+1,"")</f>
        <v/>
      </c>
      <c r="Z1917">
        <f>IF(AND($A1917&lt;&gt;"",$B1917&lt;&gt;"",$R1917='تقرير ديسمبر'!$C$4,$P1917='تقرير ديسمبر'!$C$6),COUNT(Z$4:Z1916)+1,"")</f>
        <v/>
      </c>
      <c r="AA1917">
        <f>IF(AND($A1917&lt;&gt;"",$B1917&lt;&gt;"",$R1917='تقرير يناير'!$C$4,$P1917='تقرير يناير'!$C$6),COUNT(AA$4:AA1916)+1,"")</f>
        <v/>
      </c>
      <c r="AB1917">
        <f>IF(AND($A1917&lt;&gt;"",$B1917&lt;&gt;"",$R1917='تقرير فبراير'!$C$4,$P1917='تقرير فبراير'!$C$6),COUNT(AB$4:AB1916)+1,"")</f>
        <v/>
      </c>
      <c r="AC1917">
        <f>IF(AND($A1917&lt;&gt;"",$B1917&lt;&gt;"",$R1917='تقرير مارس'!$C$4,$P1917='تقرير مارس'!$C$6),COUNT(AC$4:AC1916)+1,"")</f>
        <v/>
      </c>
      <c r="AD1917">
        <f>IF(AND($A1917&lt;&gt;"",$B1917&lt;&gt;"",$R1917='تقرير أبريل'!$C$4,$P1917='تقرير أبريل'!$C$6),COUNT(AD$4:AD1916)+1,"")</f>
        <v/>
      </c>
      <c r="AE1917">
        <f>IF(AND($A1917&lt;&gt;"",$B1917&lt;&gt;"",$R1917='تقرير مايو'!$C$4,$P1917='تقرير مايو'!$C$6),COUNT(AE$4:AE1916)+1,"")</f>
        <v/>
      </c>
    </row>
    <row r="1918">
      <c r="A1918" s="16" t="n"/>
      <c r="B1918" s="17" t="n"/>
      <c r="C1918" s="17" t="n"/>
      <c r="D1918" s="18" t="n"/>
      <c r="E1918" s="17" t="n"/>
      <c r="F1918" s="17" t="n"/>
      <c r="G1918" s="19" t="n"/>
      <c r="H1918" s="17" t="n"/>
      <c r="I1918" s="17" t="n"/>
      <c r="J1918" s="17" t="n"/>
      <c r="K1918" s="20">
        <f>IF($B1918="","",IFERROR(INDEX(الموظفات!$A$5:$A$304,MATCH($B1918,الموظفات!$B$5:$B$304,0))&amp;"",""))</f>
        <v/>
      </c>
      <c r="L1918" s="21">
        <f>IF($B1918="","",IFERROR(INDEX(الموظفات!$C$5:$C$304,MATCH($B1918,الموظفات!$B$5:$B$304,0))&amp;"",""))</f>
        <v/>
      </c>
      <c r="M1918" s="20">
        <f>IF($B1918="","",IFERROR(INDEX(الموظفات!$D$5:$D$304,MATCH($B1918,الموظفات!$B$5:$B$304,0))&amp;"",""))</f>
        <v/>
      </c>
      <c r="N1918" s="20">
        <f>IF($B1918="","",IFERROR(INDEX(الموظفات!$E$5:$E$304,MATCH($B1918,الموظفات!$B$5:$B$304,0))&amp;"",""))</f>
        <v/>
      </c>
      <c r="O1918" s="21">
        <f>IF(C1918="","",IFERROR(INDEX(الإعدادات!$D$7:$D$35,MATCH(C1918,الإعدادات!$A$7:$A$35,0))&amp;"",""))</f>
        <v/>
      </c>
      <c r="P1918" s="20">
        <f>IF(A1918="","",INDEX(الإعدادات!$H$7:$H$18,MONTH(A1918)))</f>
        <v/>
      </c>
      <c r="Q1918" s="20">
        <f>IF(A1918="","",INDEX(الإعدادات!$I$7:$I$18,MONTH(A1918)))</f>
        <v/>
      </c>
      <c r="R1918" s="20">
        <f>IF(A1918="","",IF(MONTH(A1918)&gt;=8,YEAR(A1918)&amp;"-"&amp;(YEAR(A1918)+1),(YEAR(A1918)-1)&amp;"-"&amp;YEAR(A1918)))</f>
        <v/>
      </c>
      <c r="S1918" s="20">
        <f>IF(OR(A1918="",B1918=""),0,IF(AND(R1918=التقارير!$C$4,OR(التقارير!$C$5="سنوي",AND(التقارير!$C$5="شهري",P1918=التقارير!$C$6),AND(التقارير!$C$5="فصلي",Q1918=التقارير!$C$7))),1,0))</f>
        <v/>
      </c>
      <c r="T1918" s="20">
        <f>IF(S1918=1,COUNTIF($S$5:S1918,1),"")</f>
        <v/>
      </c>
      <c r="U1918">
        <f>IF(AND($A1918&lt;&gt;"",$B1918&lt;&gt;"",$R1918='تقرير الفصل الأول'!$C$4,$Q1918='تقرير الفصل الأول'!$C$7),COUNT(U$4:U1917)+1,"")</f>
        <v/>
      </c>
      <c r="V1918">
        <f>IF(AND($A1918&lt;&gt;"",$B1918&lt;&gt;"",$R1918='تقرير الفصل الثاني'!$C$4,$Q1918='تقرير الفصل الثاني'!$C$7),COUNT(V$4:V1917)+1,"")</f>
        <v/>
      </c>
      <c r="W1918">
        <f>IF(AND($A1918&lt;&gt;"",$B1918&lt;&gt;"",$R1918='تقرير سبتمبر'!$C$4,$P1918='تقرير سبتمبر'!$C$6),COUNT(W$4:W1917)+1,"")</f>
        <v/>
      </c>
      <c r="X1918">
        <f>IF(AND($A1918&lt;&gt;"",$B1918&lt;&gt;"",$R1918='تقرير أكتوبر'!$C$4,$P1918='تقرير أكتوبر'!$C$6),COUNT(X$4:X1917)+1,"")</f>
        <v/>
      </c>
      <c r="Y1918">
        <f>IF(AND($A1918&lt;&gt;"",$B1918&lt;&gt;"",$R1918='تقرير نوفمبر'!$C$4,$P1918='تقرير نوفمبر'!$C$6),COUNT(Y$4:Y1917)+1,"")</f>
        <v/>
      </c>
      <c r="Z1918">
        <f>IF(AND($A1918&lt;&gt;"",$B1918&lt;&gt;"",$R1918='تقرير ديسمبر'!$C$4,$P1918='تقرير ديسمبر'!$C$6),COUNT(Z$4:Z1917)+1,"")</f>
        <v/>
      </c>
      <c r="AA1918">
        <f>IF(AND($A1918&lt;&gt;"",$B1918&lt;&gt;"",$R1918='تقرير يناير'!$C$4,$P1918='تقرير يناير'!$C$6),COUNT(AA$4:AA1917)+1,"")</f>
        <v/>
      </c>
      <c r="AB1918">
        <f>IF(AND($A1918&lt;&gt;"",$B1918&lt;&gt;"",$R1918='تقرير فبراير'!$C$4,$P1918='تقرير فبراير'!$C$6),COUNT(AB$4:AB1917)+1,"")</f>
        <v/>
      </c>
      <c r="AC1918">
        <f>IF(AND($A1918&lt;&gt;"",$B1918&lt;&gt;"",$R1918='تقرير مارس'!$C$4,$P1918='تقرير مارس'!$C$6),COUNT(AC$4:AC1917)+1,"")</f>
        <v/>
      </c>
      <c r="AD1918">
        <f>IF(AND($A1918&lt;&gt;"",$B1918&lt;&gt;"",$R1918='تقرير أبريل'!$C$4,$P1918='تقرير أبريل'!$C$6),COUNT(AD$4:AD1917)+1,"")</f>
        <v/>
      </c>
      <c r="AE1918">
        <f>IF(AND($A1918&lt;&gt;"",$B1918&lt;&gt;"",$R1918='تقرير مايو'!$C$4,$P1918='تقرير مايو'!$C$6),COUNT(AE$4:AE1917)+1,"")</f>
        <v/>
      </c>
    </row>
    <row r="1919">
      <c r="A1919" s="16" t="n"/>
      <c r="B1919" s="17" t="n"/>
      <c r="C1919" s="17" t="n"/>
      <c r="D1919" s="18" t="n"/>
      <c r="E1919" s="17" t="n"/>
      <c r="F1919" s="17" t="n"/>
      <c r="G1919" s="19" t="n"/>
      <c r="H1919" s="17" t="n"/>
      <c r="I1919" s="17" t="n"/>
      <c r="J1919" s="17" t="n"/>
      <c r="K1919" s="20">
        <f>IF($B1919="","",IFERROR(INDEX(الموظفات!$A$5:$A$304,MATCH($B1919,الموظفات!$B$5:$B$304,0))&amp;"",""))</f>
        <v/>
      </c>
      <c r="L1919" s="21">
        <f>IF($B1919="","",IFERROR(INDEX(الموظفات!$C$5:$C$304,MATCH($B1919,الموظفات!$B$5:$B$304,0))&amp;"",""))</f>
        <v/>
      </c>
      <c r="M1919" s="20">
        <f>IF($B1919="","",IFERROR(INDEX(الموظفات!$D$5:$D$304,MATCH($B1919,الموظفات!$B$5:$B$304,0))&amp;"",""))</f>
        <v/>
      </c>
      <c r="N1919" s="20">
        <f>IF($B1919="","",IFERROR(INDEX(الموظفات!$E$5:$E$304,MATCH($B1919,الموظفات!$B$5:$B$304,0))&amp;"",""))</f>
        <v/>
      </c>
      <c r="O1919" s="21">
        <f>IF(C1919="","",IFERROR(INDEX(الإعدادات!$D$7:$D$35,MATCH(C1919,الإعدادات!$A$7:$A$35,0))&amp;"",""))</f>
        <v/>
      </c>
      <c r="P1919" s="20">
        <f>IF(A1919="","",INDEX(الإعدادات!$H$7:$H$18,MONTH(A1919)))</f>
        <v/>
      </c>
      <c r="Q1919" s="20">
        <f>IF(A1919="","",INDEX(الإعدادات!$I$7:$I$18,MONTH(A1919)))</f>
        <v/>
      </c>
      <c r="R1919" s="20">
        <f>IF(A1919="","",IF(MONTH(A1919)&gt;=8,YEAR(A1919)&amp;"-"&amp;(YEAR(A1919)+1),(YEAR(A1919)-1)&amp;"-"&amp;YEAR(A1919)))</f>
        <v/>
      </c>
      <c r="S1919" s="20">
        <f>IF(OR(A1919="",B1919=""),0,IF(AND(R1919=التقارير!$C$4,OR(التقارير!$C$5="سنوي",AND(التقارير!$C$5="شهري",P1919=التقارير!$C$6),AND(التقارير!$C$5="فصلي",Q1919=التقارير!$C$7))),1,0))</f>
        <v/>
      </c>
      <c r="T1919" s="20">
        <f>IF(S1919=1,COUNTIF($S$5:S1919,1),"")</f>
        <v/>
      </c>
      <c r="U1919">
        <f>IF(AND($A1919&lt;&gt;"",$B1919&lt;&gt;"",$R1919='تقرير الفصل الأول'!$C$4,$Q1919='تقرير الفصل الأول'!$C$7),COUNT(U$4:U1918)+1,"")</f>
        <v/>
      </c>
      <c r="V1919">
        <f>IF(AND($A1919&lt;&gt;"",$B1919&lt;&gt;"",$R1919='تقرير الفصل الثاني'!$C$4,$Q1919='تقرير الفصل الثاني'!$C$7),COUNT(V$4:V1918)+1,"")</f>
        <v/>
      </c>
      <c r="W1919">
        <f>IF(AND($A1919&lt;&gt;"",$B1919&lt;&gt;"",$R1919='تقرير سبتمبر'!$C$4,$P1919='تقرير سبتمبر'!$C$6),COUNT(W$4:W1918)+1,"")</f>
        <v/>
      </c>
      <c r="X1919">
        <f>IF(AND($A1919&lt;&gt;"",$B1919&lt;&gt;"",$R1919='تقرير أكتوبر'!$C$4,$P1919='تقرير أكتوبر'!$C$6),COUNT(X$4:X1918)+1,"")</f>
        <v/>
      </c>
      <c r="Y1919">
        <f>IF(AND($A1919&lt;&gt;"",$B1919&lt;&gt;"",$R1919='تقرير نوفمبر'!$C$4,$P1919='تقرير نوفمبر'!$C$6),COUNT(Y$4:Y1918)+1,"")</f>
        <v/>
      </c>
      <c r="Z1919">
        <f>IF(AND($A1919&lt;&gt;"",$B1919&lt;&gt;"",$R1919='تقرير ديسمبر'!$C$4,$P1919='تقرير ديسمبر'!$C$6),COUNT(Z$4:Z1918)+1,"")</f>
        <v/>
      </c>
      <c r="AA1919">
        <f>IF(AND($A1919&lt;&gt;"",$B1919&lt;&gt;"",$R1919='تقرير يناير'!$C$4,$P1919='تقرير يناير'!$C$6),COUNT(AA$4:AA1918)+1,"")</f>
        <v/>
      </c>
      <c r="AB1919">
        <f>IF(AND($A1919&lt;&gt;"",$B1919&lt;&gt;"",$R1919='تقرير فبراير'!$C$4,$P1919='تقرير فبراير'!$C$6),COUNT(AB$4:AB1918)+1,"")</f>
        <v/>
      </c>
      <c r="AC1919">
        <f>IF(AND($A1919&lt;&gt;"",$B1919&lt;&gt;"",$R1919='تقرير مارس'!$C$4,$P1919='تقرير مارس'!$C$6),COUNT(AC$4:AC1918)+1,"")</f>
        <v/>
      </c>
      <c r="AD1919">
        <f>IF(AND($A1919&lt;&gt;"",$B1919&lt;&gt;"",$R1919='تقرير أبريل'!$C$4,$P1919='تقرير أبريل'!$C$6),COUNT(AD$4:AD1918)+1,"")</f>
        <v/>
      </c>
      <c r="AE1919">
        <f>IF(AND($A1919&lt;&gt;"",$B1919&lt;&gt;"",$R1919='تقرير مايو'!$C$4,$P1919='تقرير مايو'!$C$6),COUNT(AE$4:AE1918)+1,"")</f>
        <v/>
      </c>
    </row>
    <row r="1920">
      <c r="A1920" s="16" t="n"/>
      <c r="B1920" s="17" t="n"/>
      <c r="C1920" s="17" t="n"/>
      <c r="D1920" s="18" t="n"/>
      <c r="E1920" s="17" t="n"/>
      <c r="F1920" s="17" t="n"/>
      <c r="G1920" s="19" t="n"/>
      <c r="H1920" s="17" t="n"/>
      <c r="I1920" s="17" t="n"/>
      <c r="J1920" s="17" t="n"/>
      <c r="K1920" s="20">
        <f>IF($B1920="","",IFERROR(INDEX(الموظفات!$A$5:$A$304,MATCH($B1920,الموظفات!$B$5:$B$304,0))&amp;"",""))</f>
        <v/>
      </c>
      <c r="L1920" s="21">
        <f>IF($B1920="","",IFERROR(INDEX(الموظفات!$C$5:$C$304,MATCH($B1920,الموظفات!$B$5:$B$304,0))&amp;"",""))</f>
        <v/>
      </c>
      <c r="M1920" s="20">
        <f>IF($B1920="","",IFERROR(INDEX(الموظفات!$D$5:$D$304,MATCH($B1920,الموظفات!$B$5:$B$304,0))&amp;"",""))</f>
        <v/>
      </c>
      <c r="N1920" s="20">
        <f>IF($B1920="","",IFERROR(INDEX(الموظفات!$E$5:$E$304,MATCH($B1920,الموظفات!$B$5:$B$304,0))&amp;"",""))</f>
        <v/>
      </c>
      <c r="O1920" s="21">
        <f>IF(C1920="","",IFERROR(INDEX(الإعدادات!$D$7:$D$35,MATCH(C1920,الإعدادات!$A$7:$A$35,0))&amp;"",""))</f>
        <v/>
      </c>
      <c r="P1920" s="20">
        <f>IF(A1920="","",INDEX(الإعدادات!$H$7:$H$18,MONTH(A1920)))</f>
        <v/>
      </c>
      <c r="Q1920" s="20">
        <f>IF(A1920="","",INDEX(الإعدادات!$I$7:$I$18,MONTH(A1920)))</f>
        <v/>
      </c>
      <c r="R1920" s="20">
        <f>IF(A1920="","",IF(MONTH(A1920)&gt;=8,YEAR(A1920)&amp;"-"&amp;(YEAR(A1920)+1),(YEAR(A1920)-1)&amp;"-"&amp;YEAR(A1920)))</f>
        <v/>
      </c>
      <c r="S1920" s="20">
        <f>IF(OR(A1920="",B1920=""),0,IF(AND(R1920=التقارير!$C$4,OR(التقارير!$C$5="سنوي",AND(التقارير!$C$5="شهري",P1920=التقارير!$C$6),AND(التقارير!$C$5="فصلي",Q1920=التقارير!$C$7))),1,0))</f>
        <v/>
      </c>
      <c r="T1920" s="20">
        <f>IF(S1920=1,COUNTIF($S$5:S1920,1),"")</f>
        <v/>
      </c>
      <c r="U1920">
        <f>IF(AND($A1920&lt;&gt;"",$B1920&lt;&gt;"",$R1920='تقرير الفصل الأول'!$C$4,$Q1920='تقرير الفصل الأول'!$C$7),COUNT(U$4:U1919)+1,"")</f>
        <v/>
      </c>
      <c r="V1920">
        <f>IF(AND($A1920&lt;&gt;"",$B1920&lt;&gt;"",$R1920='تقرير الفصل الثاني'!$C$4,$Q1920='تقرير الفصل الثاني'!$C$7),COUNT(V$4:V1919)+1,"")</f>
        <v/>
      </c>
      <c r="W1920">
        <f>IF(AND($A1920&lt;&gt;"",$B1920&lt;&gt;"",$R1920='تقرير سبتمبر'!$C$4,$P1920='تقرير سبتمبر'!$C$6),COUNT(W$4:W1919)+1,"")</f>
        <v/>
      </c>
      <c r="X1920">
        <f>IF(AND($A1920&lt;&gt;"",$B1920&lt;&gt;"",$R1920='تقرير أكتوبر'!$C$4,$P1920='تقرير أكتوبر'!$C$6),COUNT(X$4:X1919)+1,"")</f>
        <v/>
      </c>
      <c r="Y1920">
        <f>IF(AND($A1920&lt;&gt;"",$B1920&lt;&gt;"",$R1920='تقرير نوفمبر'!$C$4,$P1920='تقرير نوفمبر'!$C$6),COUNT(Y$4:Y1919)+1,"")</f>
        <v/>
      </c>
      <c r="Z1920">
        <f>IF(AND($A1920&lt;&gt;"",$B1920&lt;&gt;"",$R1920='تقرير ديسمبر'!$C$4,$P1920='تقرير ديسمبر'!$C$6),COUNT(Z$4:Z1919)+1,"")</f>
        <v/>
      </c>
      <c r="AA1920">
        <f>IF(AND($A1920&lt;&gt;"",$B1920&lt;&gt;"",$R1920='تقرير يناير'!$C$4,$P1920='تقرير يناير'!$C$6),COUNT(AA$4:AA1919)+1,"")</f>
        <v/>
      </c>
      <c r="AB1920">
        <f>IF(AND($A1920&lt;&gt;"",$B1920&lt;&gt;"",$R1920='تقرير فبراير'!$C$4,$P1920='تقرير فبراير'!$C$6),COUNT(AB$4:AB1919)+1,"")</f>
        <v/>
      </c>
      <c r="AC1920">
        <f>IF(AND($A1920&lt;&gt;"",$B1920&lt;&gt;"",$R1920='تقرير مارس'!$C$4,$P1920='تقرير مارس'!$C$6),COUNT(AC$4:AC1919)+1,"")</f>
        <v/>
      </c>
      <c r="AD1920">
        <f>IF(AND($A1920&lt;&gt;"",$B1920&lt;&gt;"",$R1920='تقرير أبريل'!$C$4,$P1920='تقرير أبريل'!$C$6),COUNT(AD$4:AD1919)+1,"")</f>
        <v/>
      </c>
      <c r="AE1920">
        <f>IF(AND($A1920&lt;&gt;"",$B1920&lt;&gt;"",$R1920='تقرير مايو'!$C$4,$P1920='تقرير مايو'!$C$6),COUNT(AE$4:AE1919)+1,"")</f>
        <v/>
      </c>
    </row>
    <row r="1921">
      <c r="A1921" s="16" t="n"/>
      <c r="B1921" s="17" t="n"/>
      <c r="C1921" s="17" t="n"/>
      <c r="D1921" s="18" t="n"/>
      <c r="E1921" s="17" t="n"/>
      <c r="F1921" s="17" t="n"/>
      <c r="G1921" s="19" t="n"/>
      <c r="H1921" s="17" t="n"/>
      <c r="I1921" s="17" t="n"/>
      <c r="J1921" s="17" t="n"/>
      <c r="K1921" s="20">
        <f>IF($B1921="","",IFERROR(INDEX(الموظفات!$A$5:$A$304,MATCH($B1921,الموظفات!$B$5:$B$304,0))&amp;"",""))</f>
        <v/>
      </c>
      <c r="L1921" s="21">
        <f>IF($B1921="","",IFERROR(INDEX(الموظفات!$C$5:$C$304,MATCH($B1921,الموظفات!$B$5:$B$304,0))&amp;"",""))</f>
        <v/>
      </c>
      <c r="M1921" s="20">
        <f>IF($B1921="","",IFERROR(INDEX(الموظفات!$D$5:$D$304,MATCH($B1921,الموظفات!$B$5:$B$304,0))&amp;"",""))</f>
        <v/>
      </c>
      <c r="N1921" s="20">
        <f>IF($B1921="","",IFERROR(INDEX(الموظفات!$E$5:$E$304,MATCH($B1921,الموظفات!$B$5:$B$304,0))&amp;"",""))</f>
        <v/>
      </c>
      <c r="O1921" s="21">
        <f>IF(C1921="","",IFERROR(INDEX(الإعدادات!$D$7:$D$35,MATCH(C1921,الإعدادات!$A$7:$A$35,0))&amp;"",""))</f>
        <v/>
      </c>
      <c r="P1921" s="20">
        <f>IF(A1921="","",INDEX(الإعدادات!$H$7:$H$18,MONTH(A1921)))</f>
        <v/>
      </c>
      <c r="Q1921" s="20">
        <f>IF(A1921="","",INDEX(الإعدادات!$I$7:$I$18,MONTH(A1921)))</f>
        <v/>
      </c>
      <c r="R1921" s="20">
        <f>IF(A1921="","",IF(MONTH(A1921)&gt;=8,YEAR(A1921)&amp;"-"&amp;(YEAR(A1921)+1),(YEAR(A1921)-1)&amp;"-"&amp;YEAR(A1921)))</f>
        <v/>
      </c>
      <c r="S1921" s="20">
        <f>IF(OR(A1921="",B1921=""),0,IF(AND(R1921=التقارير!$C$4,OR(التقارير!$C$5="سنوي",AND(التقارير!$C$5="شهري",P1921=التقارير!$C$6),AND(التقارير!$C$5="فصلي",Q1921=التقارير!$C$7))),1,0))</f>
        <v/>
      </c>
      <c r="T1921" s="20">
        <f>IF(S1921=1,COUNTIF($S$5:S1921,1),"")</f>
        <v/>
      </c>
      <c r="U1921">
        <f>IF(AND($A1921&lt;&gt;"",$B1921&lt;&gt;"",$R1921='تقرير الفصل الأول'!$C$4,$Q1921='تقرير الفصل الأول'!$C$7),COUNT(U$4:U1920)+1,"")</f>
        <v/>
      </c>
      <c r="V1921">
        <f>IF(AND($A1921&lt;&gt;"",$B1921&lt;&gt;"",$R1921='تقرير الفصل الثاني'!$C$4,$Q1921='تقرير الفصل الثاني'!$C$7),COUNT(V$4:V1920)+1,"")</f>
        <v/>
      </c>
      <c r="W1921">
        <f>IF(AND($A1921&lt;&gt;"",$B1921&lt;&gt;"",$R1921='تقرير سبتمبر'!$C$4,$P1921='تقرير سبتمبر'!$C$6),COUNT(W$4:W1920)+1,"")</f>
        <v/>
      </c>
      <c r="X1921">
        <f>IF(AND($A1921&lt;&gt;"",$B1921&lt;&gt;"",$R1921='تقرير أكتوبر'!$C$4,$P1921='تقرير أكتوبر'!$C$6),COUNT(X$4:X1920)+1,"")</f>
        <v/>
      </c>
      <c r="Y1921">
        <f>IF(AND($A1921&lt;&gt;"",$B1921&lt;&gt;"",$R1921='تقرير نوفمبر'!$C$4,$P1921='تقرير نوفمبر'!$C$6),COUNT(Y$4:Y1920)+1,"")</f>
        <v/>
      </c>
      <c r="Z1921">
        <f>IF(AND($A1921&lt;&gt;"",$B1921&lt;&gt;"",$R1921='تقرير ديسمبر'!$C$4,$P1921='تقرير ديسمبر'!$C$6),COUNT(Z$4:Z1920)+1,"")</f>
        <v/>
      </c>
      <c r="AA1921">
        <f>IF(AND($A1921&lt;&gt;"",$B1921&lt;&gt;"",$R1921='تقرير يناير'!$C$4,$P1921='تقرير يناير'!$C$6),COUNT(AA$4:AA1920)+1,"")</f>
        <v/>
      </c>
      <c r="AB1921">
        <f>IF(AND($A1921&lt;&gt;"",$B1921&lt;&gt;"",$R1921='تقرير فبراير'!$C$4,$P1921='تقرير فبراير'!$C$6),COUNT(AB$4:AB1920)+1,"")</f>
        <v/>
      </c>
      <c r="AC1921">
        <f>IF(AND($A1921&lt;&gt;"",$B1921&lt;&gt;"",$R1921='تقرير مارس'!$C$4,$P1921='تقرير مارس'!$C$6),COUNT(AC$4:AC1920)+1,"")</f>
        <v/>
      </c>
      <c r="AD1921">
        <f>IF(AND($A1921&lt;&gt;"",$B1921&lt;&gt;"",$R1921='تقرير أبريل'!$C$4,$P1921='تقرير أبريل'!$C$6),COUNT(AD$4:AD1920)+1,"")</f>
        <v/>
      </c>
      <c r="AE1921">
        <f>IF(AND($A1921&lt;&gt;"",$B1921&lt;&gt;"",$R1921='تقرير مايو'!$C$4,$P1921='تقرير مايو'!$C$6),COUNT(AE$4:AE1920)+1,"")</f>
        <v/>
      </c>
    </row>
    <row r="1922">
      <c r="A1922" s="16" t="n"/>
      <c r="B1922" s="17" t="n"/>
      <c r="C1922" s="17" t="n"/>
      <c r="D1922" s="18" t="n"/>
      <c r="E1922" s="17" t="n"/>
      <c r="F1922" s="17" t="n"/>
      <c r="G1922" s="19" t="n"/>
      <c r="H1922" s="17" t="n"/>
      <c r="I1922" s="17" t="n"/>
      <c r="J1922" s="17" t="n"/>
      <c r="K1922" s="20">
        <f>IF($B1922="","",IFERROR(INDEX(الموظفات!$A$5:$A$304,MATCH($B1922,الموظفات!$B$5:$B$304,0))&amp;"",""))</f>
        <v/>
      </c>
      <c r="L1922" s="21">
        <f>IF($B1922="","",IFERROR(INDEX(الموظفات!$C$5:$C$304,MATCH($B1922,الموظفات!$B$5:$B$304,0))&amp;"",""))</f>
        <v/>
      </c>
      <c r="M1922" s="20">
        <f>IF($B1922="","",IFERROR(INDEX(الموظفات!$D$5:$D$304,MATCH($B1922,الموظفات!$B$5:$B$304,0))&amp;"",""))</f>
        <v/>
      </c>
      <c r="N1922" s="20">
        <f>IF($B1922="","",IFERROR(INDEX(الموظفات!$E$5:$E$304,MATCH($B1922,الموظفات!$B$5:$B$304,0))&amp;"",""))</f>
        <v/>
      </c>
      <c r="O1922" s="21">
        <f>IF(C1922="","",IFERROR(INDEX(الإعدادات!$D$7:$D$35,MATCH(C1922,الإعدادات!$A$7:$A$35,0))&amp;"",""))</f>
        <v/>
      </c>
      <c r="P1922" s="20">
        <f>IF(A1922="","",INDEX(الإعدادات!$H$7:$H$18,MONTH(A1922)))</f>
        <v/>
      </c>
      <c r="Q1922" s="20">
        <f>IF(A1922="","",INDEX(الإعدادات!$I$7:$I$18,MONTH(A1922)))</f>
        <v/>
      </c>
      <c r="R1922" s="20">
        <f>IF(A1922="","",IF(MONTH(A1922)&gt;=8,YEAR(A1922)&amp;"-"&amp;(YEAR(A1922)+1),(YEAR(A1922)-1)&amp;"-"&amp;YEAR(A1922)))</f>
        <v/>
      </c>
      <c r="S1922" s="20">
        <f>IF(OR(A1922="",B1922=""),0,IF(AND(R1922=التقارير!$C$4,OR(التقارير!$C$5="سنوي",AND(التقارير!$C$5="شهري",P1922=التقارير!$C$6),AND(التقارير!$C$5="فصلي",Q1922=التقارير!$C$7))),1,0))</f>
        <v/>
      </c>
      <c r="T1922" s="20">
        <f>IF(S1922=1,COUNTIF($S$5:S1922,1),"")</f>
        <v/>
      </c>
      <c r="U1922">
        <f>IF(AND($A1922&lt;&gt;"",$B1922&lt;&gt;"",$R1922='تقرير الفصل الأول'!$C$4,$Q1922='تقرير الفصل الأول'!$C$7),COUNT(U$4:U1921)+1,"")</f>
        <v/>
      </c>
      <c r="V1922">
        <f>IF(AND($A1922&lt;&gt;"",$B1922&lt;&gt;"",$R1922='تقرير الفصل الثاني'!$C$4,$Q1922='تقرير الفصل الثاني'!$C$7),COUNT(V$4:V1921)+1,"")</f>
        <v/>
      </c>
      <c r="W1922">
        <f>IF(AND($A1922&lt;&gt;"",$B1922&lt;&gt;"",$R1922='تقرير سبتمبر'!$C$4,$P1922='تقرير سبتمبر'!$C$6),COUNT(W$4:W1921)+1,"")</f>
        <v/>
      </c>
      <c r="X1922">
        <f>IF(AND($A1922&lt;&gt;"",$B1922&lt;&gt;"",$R1922='تقرير أكتوبر'!$C$4,$P1922='تقرير أكتوبر'!$C$6),COUNT(X$4:X1921)+1,"")</f>
        <v/>
      </c>
      <c r="Y1922">
        <f>IF(AND($A1922&lt;&gt;"",$B1922&lt;&gt;"",$R1922='تقرير نوفمبر'!$C$4,$P1922='تقرير نوفمبر'!$C$6),COUNT(Y$4:Y1921)+1,"")</f>
        <v/>
      </c>
      <c r="Z1922">
        <f>IF(AND($A1922&lt;&gt;"",$B1922&lt;&gt;"",$R1922='تقرير ديسمبر'!$C$4,$P1922='تقرير ديسمبر'!$C$6),COUNT(Z$4:Z1921)+1,"")</f>
        <v/>
      </c>
      <c r="AA1922">
        <f>IF(AND($A1922&lt;&gt;"",$B1922&lt;&gt;"",$R1922='تقرير يناير'!$C$4,$P1922='تقرير يناير'!$C$6),COUNT(AA$4:AA1921)+1,"")</f>
        <v/>
      </c>
      <c r="AB1922">
        <f>IF(AND($A1922&lt;&gt;"",$B1922&lt;&gt;"",$R1922='تقرير فبراير'!$C$4,$P1922='تقرير فبراير'!$C$6),COUNT(AB$4:AB1921)+1,"")</f>
        <v/>
      </c>
      <c r="AC1922">
        <f>IF(AND($A1922&lt;&gt;"",$B1922&lt;&gt;"",$R1922='تقرير مارس'!$C$4,$P1922='تقرير مارس'!$C$6),COUNT(AC$4:AC1921)+1,"")</f>
        <v/>
      </c>
      <c r="AD1922">
        <f>IF(AND($A1922&lt;&gt;"",$B1922&lt;&gt;"",$R1922='تقرير أبريل'!$C$4,$P1922='تقرير أبريل'!$C$6),COUNT(AD$4:AD1921)+1,"")</f>
        <v/>
      </c>
      <c r="AE1922">
        <f>IF(AND($A1922&lt;&gt;"",$B1922&lt;&gt;"",$R1922='تقرير مايو'!$C$4,$P1922='تقرير مايو'!$C$6),COUNT(AE$4:AE1921)+1,"")</f>
        <v/>
      </c>
    </row>
    <row r="1923">
      <c r="A1923" s="16" t="n"/>
      <c r="B1923" s="17" t="n"/>
      <c r="C1923" s="17" t="n"/>
      <c r="D1923" s="18" t="n"/>
      <c r="E1923" s="17" t="n"/>
      <c r="F1923" s="17" t="n"/>
      <c r="G1923" s="19" t="n"/>
      <c r="H1923" s="17" t="n"/>
      <c r="I1923" s="17" t="n"/>
      <c r="J1923" s="17" t="n"/>
      <c r="K1923" s="20">
        <f>IF($B1923="","",IFERROR(INDEX(الموظفات!$A$5:$A$304,MATCH($B1923,الموظفات!$B$5:$B$304,0))&amp;"",""))</f>
        <v/>
      </c>
      <c r="L1923" s="21">
        <f>IF($B1923="","",IFERROR(INDEX(الموظفات!$C$5:$C$304,MATCH($B1923,الموظفات!$B$5:$B$304,0))&amp;"",""))</f>
        <v/>
      </c>
      <c r="M1923" s="20">
        <f>IF($B1923="","",IFERROR(INDEX(الموظفات!$D$5:$D$304,MATCH($B1923,الموظفات!$B$5:$B$304,0))&amp;"",""))</f>
        <v/>
      </c>
      <c r="N1923" s="20">
        <f>IF($B1923="","",IFERROR(INDEX(الموظفات!$E$5:$E$304,MATCH($B1923,الموظفات!$B$5:$B$304,0))&amp;"",""))</f>
        <v/>
      </c>
      <c r="O1923" s="21">
        <f>IF(C1923="","",IFERROR(INDEX(الإعدادات!$D$7:$D$35,MATCH(C1923,الإعدادات!$A$7:$A$35,0))&amp;"",""))</f>
        <v/>
      </c>
      <c r="P1923" s="20">
        <f>IF(A1923="","",INDEX(الإعدادات!$H$7:$H$18,MONTH(A1923)))</f>
        <v/>
      </c>
      <c r="Q1923" s="20">
        <f>IF(A1923="","",INDEX(الإعدادات!$I$7:$I$18,MONTH(A1923)))</f>
        <v/>
      </c>
      <c r="R1923" s="20">
        <f>IF(A1923="","",IF(MONTH(A1923)&gt;=8,YEAR(A1923)&amp;"-"&amp;(YEAR(A1923)+1),(YEAR(A1923)-1)&amp;"-"&amp;YEAR(A1923)))</f>
        <v/>
      </c>
      <c r="S1923" s="20">
        <f>IF(OR(A1923="",B1923=""),0,IF(AND(R1923=التقارير!$C$4,OR(التقارير!$C$5="سنوي",AND(التقارير!$C$5="شهري",P1923=التقارير!$C$6),AND(التقارير!$C$5="فصلي",Q1923=التقارير!$C$7))),1,0))</f>
        <v/>
      </c>
      <c r="T1923" s="20">
        <f>IF(S1923=1,COUNTIF($S$5:S1923,1),"")</f>
        <v/>
      </c>
      <c r="U1923">
        <f>IF(AND($A1923&lt;&gt;"",$B1923&lt;&gt;"",$R1923='تقرير الفصل الأول'!$C$4,$Q1923='تقرير الفصل الأول'!$C$7),COUNT(U$4:U1922)+1,"")</f>
        <v/>
      </c>
      <c r="V1923">
        <f>IF(AND($A1923&lt;&gt;"",$B1923&lt;&gt;"",$R1923='تقرير الفصل الثاني'!$C$4,$Q1923='تقرير الفصل الثاني'!$C$7),COUNT(V$4:V1922)+1,"")</f>
        <v/>
      </c>
      <c r="W1923">
        <f>IF(AND($A1923&lt;&gt;"",$B1923&lt;&gt;"",$R1923='تقرير سبتمبر'!$C$4,$P1923='تقرير سبتمبر'!$C$6),COUNT(W$4:W1922)+1,"")</f>
        <v/>
      </c>
      <c r="X1923">
        <f>IF(AND($A1923&lt;&gt;"",$B1923&lt;&gt;"",$R1923='تقرير أكتوبر'!$C$4,$P1923='تقرير أكتوبر'!$C$6),COUNT(X$4:X1922)+1,"")</f>
        <v/>
      </c>
      <c r="Y1923">
        <f>IF(AND($A1923&lt;&gt;"",$B1923&lt;&gt;"",$R1923='تقرير نوفمبر'!$C$4,$P1923='تقرير نوفمبر'!$C$6),COUNT(Y$4:Y1922)+1,"")</f>
        <v/>
      </c>
      <c r="Z1923">
        <f>IF(AND($A1923&lt;&gt;"",$B1923&lt;&gt;"",$R1923='تقرير ديسمبر'!$C$4,$P1923='تقرير ديسمبر'!$C$6),COUNT(Z$4:Z1922)+1,"")</f>
        <v/>
      </c>
      <c r="AA1923">
        <f>IF(AND($A1923&lt;&gt;"",$B1923&lt;&gt;"",$R1923='تقرير يناير'!$C$4,$P1923='تقرير يناير'!$C$6),COUNT(AA$4:AA1922)+1,"")</f>
        <v/>
      </c>
      <c r="AB1923">
        <f>IF(AND($A1923&lt;&gt;"",$B1923&lt;&gt;"",$R1923='تقرير فبراير'!$C$4,$P1923='تقرير فبراير'!$C$6),COUNT(AB$4:AB1922)+1,"")</f>
        <v/>
      </c>
      <c r="AC1923">
        <f>IF(AND($A1923&lt;&gt;"",$B1923&lt;&gt;"",$R1923='تقرير مارس'!$C$4,$P1923='تقرير مارس'!$C$6),COUNT(AC$4:AC1922)+1,"")</f>
        <v/>
      </c>
      <c r="AD1923">
        <f>IF(AND($A1923&lt;&gt;"",$B1923&lt;&gt;"",$R1923='تقرير أبريل'!$C$4,$P1923='تقرير أبريل'!$C$6),COUNT(AD$4:AD1922)+1,"")</f>
        <v/>
      </c>
      <c r="AE1923">
        <f>IF(AND($A1923&lt;&gt;"",$B1923&lt;&gt;"",$R1923='تقرير مايو'!$C$4,$P1923='تقرير مايو'!$C$6),COUNT(AE$4:AE1922)+1,"")</f>
        <v/>
      </c>
    </row>
    <row r="1924">
      <c r="A1924" s="16" t="n"/>
      <c r="B1924" s="17" t="n"/>
      <c r="C1924" s="17" t="n"/>
      <c r="D1924" s="18" t="n"/>
      <c r="E1924" s="17" t="n"/>
      <c r="F1924" s="17" t="n"/>
      <c r="G1924" s="19" t="n"/>
      <c r="H1924" s="17" t="n"/>
      <c r="I1924" s="17" t="n"/>
      <c r="J1924" s="17" t="n"/>
      <c r="K1924" s="20">
        <f>IF($B1924="","",IFERROR(INDEX(الموظفات!$A$5:$A$304,MATCH($B1924,الموظفات!$B$5:$B$304,0))&amp;"",""))</f>
        <v/>
      </c>
      <c r="L1924" s="21">
        <f>IF($B1924="","",IFERROR(INDEX(الموظفات!$C$5:$C$304,MATCH($B1924,الموظفات!$B$5:$B$304,0))&amp;"",""))</f>
        <v/>
      </c>
      <c r="M1924" s="20">
        <f>IF($B1924="","",IFERROR(INDEX(الموظفات!$D$5:$D$304,MATCH($B1924,الموظفات!$B$5:$B$304,0))&amp;"",""))</f>
        <v/>
      </c>
      <c r="N1924" s="20">
        <f>IF($B1924="","",IFERROR(INDEX(الموظفات!$E$5:$E$304,MATCH($B1924,الموظفات!$B$5:$B$304,0))&amp;"",""))</f>
        <v/>
      </c>
      <c r="O1924" s="21">
        <f>IF(C1924="","",IFERROR(INDEX(الإعدادات!$D$7:$D$35,MATCH(C1924,الإعدادات!$A$7:$A$35,0))&amp;"",""))</f>
        <v/>
      </c>
      <c r="P1924" s="20">
        <f>IF(A1924="","",INDEX(الإعدادات!$H$7:$H$18,MONTH(A1924)))</f>
        <v/>
      </c>
      <c r="Q1924" s="20">
        <f>IF(A1924="","",INDEX(الإعدادات!$I$7:$I$18,MONTH(A1924)))</f>
        <v/>
      </c>
      <c r="R1924" s="20">
        <f>IF(A1924="","",IF(MONTH(A1924)&gt;=8,YEAR(A1924)&amp;"-"&amp;(YEAR(A1924)+1),(YEAR(A1924)-1)&amp;"-"&amp;YEAR(A1924)))</f>
        <v/>
      </c>
      <c r="S1924" s="20">
        <f>IF(OR(A1924="",B1924=""),0,IF(AND(R1924=التقارير!$C$4,OR(التقارير!$C$5="سنوي",AND(التقارير!$C$5="شهري",P1924=التقارير!$C$6),AND(التقارير!$C$5="فصلي",Q1924=التقارير!$C$7))),1,0))</f>
        <v/>
      </c>
      <c r="T1924" s="20">
        <f>IF(S1924=1,COUNTIF($S$5:S1924,1),"")</f>
        <v/>
      </c>
      <c r="U1924">
        <f>IF(AND($A1924&lt;&gt;"",$B1924&lt;&gt;"",$R1924='تقرير الفصل الأول'!$C$4,$Q1924='تقرير الفصل الأول'!$C$7),COUNT(U$4:U1923)+1,"")</f>
        <v/>
      </c>
      <c r="V1924">
        <f>IF(AND($A1924&lt;&gt;"",$B1924&lt;&gt;"",$R1924='تقرير الفصل الثاني'!$C$4,$Q1924='تقرير الفصل الثاني'!$C$7),COUNT(V$4:V1923)+1,"")</f>
        <v/>
      </c>
      <c r="W1924">
        <f>IF(AND($A1924&lt;&gt;"",$B1924&lt;&gt;"",$R1924='تقرير سبتمبر'!$C$4,$P1924='تقرير سبتمبر'!$C$6),COUNT(W$4:W1923)+1,"")</f>
        <v/>
      </c>
      <c r="X1924">
        <f>IF(AND($A1924&lt;&gt;"",$B1924&lt;&gt;"",$R1924='تقرير أكتوبر'!$C$4,$P1924='تقرير أكتوبر'!$C$6),COUNT(X$4:X1923)+1,"")</f>
        <v/>
      </c>
      <c r="Y1924">
        <f>IF(AND($A1924&lt;&gt;"",$B1924&lt;&gt;"",$R1924='تقرير نوفمبر'!$C$4,$P1924='تقرير نوفمبر'!$C$6),COUNT(Y$4:Y1923)+1,"")</f>
        <v/>
      </c>
      <c r="Z1924">
        <f>IF(AND($A1924&lt;&gt;"",$B1924&lt;&gt;"",$R1924='تقرير ديسمبر'!$C$4,$P1924='تقرير ديسمبر'!$C$6),COUNT(Z$4:Z1923)+1,"")</f>
        <v/>
      </c>
      <c r="AA1924">
        <f>IF(AND($A1924&lt;&gt;"",$B1924&lt;&gt;"",$R1924='تقرير يناير'!$C$4,$P1924='تقرير يناير'!$C$6),COUNT(AA$4:AA1923)+1,"")</f>
        <v/>
      </c>
      <c r="AB1924">
        <f>IF(AND($A1924&lt;&gt;"",$B1924&lt;&gt;"",$R1924='تقرير فبراير'!$C$4,$P1924='تقرير فبراير'!$C$6),COUNT(AB$4:AB1923)+1,"")</f>
        <v/>
      </c>
      <c r="AC1924">
        <f>IF(AND($A1924&lt;&gt;"",$B1924&lt;&gt;"",$R1924='تقرير مارس'!$C$4,$P1924='تقرير مارس'!$C$6),COUNT(AC$4:AC1923)+1,"")</f>
        <v/>
      </c>
      <c r="AD1924">
        <f>IF(AND($A1924&lt;&gt;"",$B1924&lt;&gt;"",$R1924='تقرير أبريل'!$C$4,$P1924='تقرير أبريل'!$C$6),COUNT(AD$4:AD1923)+1,"")</f>
        <v/>
      </c>
      <c r="AE1924">
        <f>IF(AND($A1924&lt;&gt;"",$B1924&lt;&gt;"",$R1924='تقرير مايو'!$C$4,$P1924='تقرير مايو'!$C$6),COUNT(AE$4:AE1923)+1,"")</f>
        <v/>
      </c>
    </row>
    <row r="1925">
      <c r="A1925" s="16" t="n"/>
      <c r="B1925" s="17" t="n"/>
      <c r="C1925" s="17" t="n"/>
      <c r="D1925" s="18" t="n"/>
      <c r="E1925" s="17" t="n"/>
      <c r="F1925" s="17" t="n"/>
      <c r="G1925" s="19" t="n"/>
      <c r="H1925" s="17" t="n"/>
      <c r="I1925" s="17" t="n"/>
      <c r="J1925" s="17" t="n"/>
      <c r="K1925" s="20">
        <f>IF($B1925="","",IFERROR(INDEX(الموظفات!$A$5:$A$304,MATCH($B1925,الموظفات!$B$5:$B$304,0))&amp;"",""))</f>
        <v/>
      </c>
      <c r="L1925" s="21">
        <f>IF($B1925="","",IFERROR(INDEX(الموظفات!$C$5:$C$304,MATCH($B1925,الموظفات!$B$5:$B$304,0))&amp;"",""))</f>
        <v/>
      </c>
      <c r="M1925" s="20">
        <f>IF($B1925="","",IFERROR(INDEX(الموظفات!$D$5:$D$304,MATCH($B1925,الموظفات!$B$5:$B$304,0))&amp;"",""))</f>
        <v/>
      </c>
      <c r="N1925" s="20">
        <f>IF($B1925="","",IFERROR(INDEX(الموظفات!$E$5:$E$304,MATCH($B1925,الموظفات!$B$5:$B$304,0))&amp;"",""))</f>
        <v/>
      </c>
      <c r="O1925" s="21">
        <f>IF(C1925="","",IFERROR(INDEX(الإعدادات!$D$7:$D$35,MATCH(C1925,الإعدادات!$A$7:$A$35,0))&amp;"",""))</f>
        <v/>
      </c>
      <c r="P1925" s="20">
        <f>IF(A1925="","",INDEX(الإعدادات!$H$7:$H$18,MONTH(A1925)))</f>
        <v/>
      </c>
      <c r="Q1925" s="20">
        <f>IF(A1925="","",INDEX(الإعدادات!$I$7:$I$18,MONTH(A1925)))</f>
        <v/>
      </c>
      <c r="R1925" s="20">
        <f>IF(A1925="","",IF(MONTH(A1925)&gt;=8,YEAR(A1925)&amp;"-"&amp;(YEAR(A1925)+1),(YEAR(A1925)-1)&amp;"-"&amp;YEAR(A1925)))</f>
        <v/>
      </c>
      <c r="S1925" s="20">
        <f>IF(OR(A1925="",B1925=""),0,IF(AND(R1925=التقارير!$C$4,OR(التقارير!$C$5="سنوي",AND(التقارير!$C$5="شهري",P1925=التقارير!$C$6),AND(التقارير!$C$5="فصلي",Q1925=التقارير!$C$7))),1,0))</f>
        <v/>
      </c>
      <c r="T1925" s="20">
        <f>IF(S1925=1,COUNTIF($S$5:S1925,1),"")</f>
        <v/>
      </c>
      <c r="U1925">
        <f>IF(AND($A1925&lt;&gt;"",$B1925&lt;&gt;"",$R1925='تقرير الفصل الأول'!$C$4,$Q1925='تقرير الفصل الأول'!$C$7),COUNT(U$4:U1924)+1,"")</f>
        <v/>
      </c>
      <c r="V1925">
        <f>IF(AND($A1925&lt;&gt;"",$B1925&lt;&gt;"",$R1925='تقرير الفصل الثاني'!$C$4,$Q1925='تقرير الفصل الثاني'!$C$7),COUNT(V$4:V1924)+1,"")</f>
        <v/>
      </c>
      <c r="W1925">
        <f>IF(AND($A1925&lt;&gt;"",$B1925&lt;&gt;"",$R1925='تقرير سبتمبر'!$C$4,$P1925='تقرير سبتمبر'!$C$6),COUNT(W$4:W1924)+1,"")</f>
        <v/>
      </c>
      <c r="X1925">
        <f>IF(AND($A1925&lt;&gt;"",$B1925&lt;&gt;"",$R1925='تقرير أكتوبر'!$C$4,$P1925='تقرير أكتوبر'!$C$6),COUNT(X$4:X1924)+1,"")</f>
        <v/>
      </c>
      <c r="Y1925">
        <f>IF(AND($A1925&lt;&gt;"",$B1925&lt;&gt;"",$R1925='تقرير نوفمبر'!$C$4,$P1925='تقرير نوفمبر'!$C$6),COUNT(Y$4:Y1924)+1,"")</f>
        <v/>
      </c>
      <c r="Z1925">
        <f>IF(AND($A1925&lt;&gt;"",$B1925&lt;&gt;"",$R1925='تقرير ديسمبر'!$C$4,$P1925='تقرير ديسمبر'!$C$6),COUNT(Z$4:Z1924)+1,"")</f>
        <v/>
      </c>
      <c r="AA1925">
        <f>IF(AND($A1925&lt;&gt;"",$B1925&lt;&gt;"",$R1925='تقرير يناير'!$C$4,$P1925='تقرير يناير'!$C$6),COUNT(AA$4:AA1924)+1,"")</f>
        <v/>
      </c>
      <c r="AB1925">
        <f>IF(AND($A1925&lt;&gt;"",$B1925&lt;&gt;"",$R1925='تقرير فبراير'!$C$4,$P1925='تقرير فبراير'!$C$6),COUNT(AB$4:AB1924)+1,"")</f>
        <v/>
      </c>
      <c r="AC1925">
        <f>IF(AND($A1925&lt;&gt;"",$B1925&lt;&gt;"",$R1925='تقرير مارس'!$C$4,$P1925='تقرير مارس'!$C$6),COUNT(AC$4:AC1924)+1,"")</f>
        <v/>
      </c>
      <c r="AD1925">
        <f>IF(AND($A1925&lt;&gt;"",$B1925&lt;&gt;"",$R1925='تقرير أبريل'!$C$4,$P1925='تقرير أبريل'!$C$6),COUNT(AD$4:AD1924)+1,"")</f>
        <v/>
      </c>
      <c r="AE1925">
        <f>IF(AND($A1925&lt;&gt;"",$B1925&lt;&gt;"",$R1925='تقرير مايو'!$C$4,$P1925='تقرير مايو'!$C$6),COUNT(AE$4:AE1924)+1,"")</f>
        <v/>
      </c>
    </row>
    <row r="1926">
      <c r="A1926" s="16" t="n"/>
      <c r="B1926" s="17" t="n"/>
      <c r="C1926" s="17" t="n"/>
      <c r="D1926" s="18" t="n"/>
      <c r="E1926" s="17" t="n"/>
      <c r="F1926" s="17" t="n"/>
      <c r="G1926" s="19" t="n"/>
      <c r="H1926" s="17" t="n"/>
      <c r="I1926" s="17" t="n"/>
      <c r="J1926" s="17" t="n"/>
      <c r="K1926" s="20">
        <f>IF($B1926="","",IFERROR(INDEX(الموظفات!$A$5:$A$304,MATCH($B1926,الموظفات!$B$5:$B$304,0))&amp;"",""))</f>
        <v/>
      </c>
      <c r="L1926" s="21">
        <f>IF($B1926="","",IFERROR(INDEX(الموظفات!$C$5:$C$304,MATCH($B1926,الموظفات!$B$5:$B$304,0))&amp;"",""))</f>
        <v/>
      </c>
      <c r="M1926" s="20">
        <f>IF($B1926="","",IFERROR(INDEX(الموظفات!$D$5:$D$304,MATCH($B1926,الموظفات!$B$5:$B$304,0))&amp;"",""))</f>
        <v/>
      </c>
      <c r="N1926" s="20">
        <f>IF($B1926="","",IFERROR(INDEX(الموظفات!$E$5:$E$304,MATCH($B1926,الموظفات!$B$5:$B$304,0))&amp;"",""))</f>
        <v/>
      </c>
      <c r="O1926" s="21">
        <f>IF(C1926="","",IFERROR(INDEX(الإعدادات!$D$7:$D$35,MATCH(C1926,الإعدادات!$A$7:$A$35,0))&amp;"",""))</f>
        <v/>
      </c>
      <c r="P1926" s="20">
        <f>IF(A1926="","",INDEX(الإعدادات!$H$7:$H$18,MONTH(A1926)))</f>
        <v/>
      </c>
      <c r="Q1926" s="20">
        <f>IF(A1926="","",INDEX(الإعدادات!$I$7:$I$18,MONTH(A1926)))</f>
        <v/>
      </c>
      <c r="R1926" s="20">
        <f>IF(A1926="","",IF(MONTH(A1926)&gt;=8,YEAR(A1926)&amp;"-"&amp;(YEAR(A1926)+1),(YEAR(A1926)-1)&amp;"-"&amp;YEAR(A1926)))</f>
        <v/>
      </c>
      <c r="S1926" s="20">
        <f>IF(OR(A1926="",B1926=""),0,IF(AND(R1926=التقارير!$C$4,OR(التقارير!$C$5="سنوي",AND(التقارير!$C$5="شهري",P1926=التقارير!$C$6),AND(التقارير!$C$5="فصلي",Q1926=التقارير!$C$7))),1,0))</f>
        <v/>
      </c>
      <c r="T1926" s="20">
        <f>IF(S1926=1,COUNTIF($S$5:S1926,1),"")</f>
        <v/>
      </c>
      <c r="U1926">
        <f>IF(AND($A1926&lt;&gt;"",$B1926&lt;&gt;"",$R1926='تقرير الفصل الأول'!$C$4,$Q1926='تقرير الفصل الأول'!$C$7),COUNT(U$4:U1925)+1,"")</f>
        <v/>
      </c>
      <c r="V1926">
        <f>IF(AND($A1926&lt;&gt;"",$B1926&lt;&gt;"",$R1926='تقرير الفصل الثاني'!$C$4,$Q1926='تقرير الفصل الثاني'!$C$7),COUNT(V$4:V1925)+1,"")</f>
        <v/>
      </c>
      <c r="W1926">
        <f>IF(AND($A1926&lt;&gt;"",$B1926&lt;&gt;"",$R1926='تقرير سبتمبر'!$C$4,$P1926='تقرير سبتمبر'!$C$6),COUNT(W$4:W1925)+1,"")</f>
        <v/>
      </c>
      <c r="X1926">
        <f>IF(AND($A1926&lt;&gt;"",$B1926&lt;&gt;"",$R1926='تقرير أكتوبر'!$C$4,$P1926='تقرير أكتوبر'!$C$6),COUNT(X$4:X1925)+1,"")</f>
        <v/>
      </c>
      <c r="Y1926">
        <f>IF(AND($A1926&lt;&gt;"",$B1926&lt;&gt;"",$R1926='تقرير نوفمبر'!$C$4,$P1926='تقرير نوفمبر'!$C$6),COUNT(Y$4:Y1925)+1,"")</f>
        <v/>
      </c>
      <c r="Z1926">
        <f>IF(AND($A1926&lt;&gt;"",$B1926&lt;&gt;"",$R1926='تقرير ديسمبر'!$C$4,$P1926='تقرير ديسمبر'!$C$6),COUNT(Z$4:Z1925)+1,"")</f>
        <v/>
      </c>
      <c r="AA1926">
        <f>IF(AND($A1926&lt;&gt;"",$B1926&lt;&gt;"",$R1926='تقرير يناير'!$C$4,$P1926='تقرير يناير'!$C$6),COUNT(AA$4:AA1925)+1,"")</f>
        <v/>
      </c>
      <c r="AB1926">
        <f>IF(AND($A1926&lt;&gt;"",$B1926&lt;&gt;"",$R1926='تقرير فبراير'!$C$4,$P1926='تقرير فبراير'!$C$6),COUNT(AB$4:AB1925)+1,"")</f>
        <v/>
      </c>
      <c r="AC1926">
        <f>IF(AND($A1926&lt;&gt;"",$B1926&lt;&gt;"",$R1926='تقرير مارس'!$C$4,$P1926='تقرير مارس'!$C$6),COUNT(AC$4:AC1925)+1,"")</f>
        <v/>
      </c>
      <c r="AD1926">
        <f>IF(AND($A1926&lt;&gt;"",$B1926&lt;&gt;"",$R1926='تقرير أبريل'!$C$4,$P1926='تقرير أبريل'!$C$6),COUNT(AD$4:AD1925)+1,"")</f>
        <v/>
      </c>
      <c r="AE1926">
        <f>IF(AND($A1926&lt;&gt;"",$B1926&lt;&gt;"",$R1926='تقرير مايو'!$C$4,$P1926='تقرير مايو'!$C$6),COUNT(AE$4:AE1925)+1,"")</f>
        <v/>
      </c>
    </row>
    <row r="1927">
      <c r="A1927" s="16" t="n"/>
      <c r="B1927" s="17" t="n"/>
      <c r="C1927" s="17" t="n"/>
      <c r="D1927" s="18" t="n"/>
      <c r="E1927" s="17" t="n"/>
      <c r="F1927" s="17" t="n"/>
      <c r="G1927" s="19" t="n"/>
      <c r="H1927" s="17" t="n"/>
      <c r="I1927" s="17" t="n"/>
      <c r="J1927" s="17" t="n"/>
      <c r="K1927" s="20">
        <f>IF($B1927="","",IFERROR(INDEX(الموظفات!$A$5:$A$304,MATCH($B1927,الموظفات!$B$5:$B$304,0))&amp;"",""))</f>
        <v/>
      </c>
      <c r="L1927" s="21">
        <f>IF($B1927="","",IFERROR(INDEX(الموظفات!$C$5:$C$304,MATCH($B1927,الموظفات!$B$5:$B$304,0))&amp;"",""))</f>
        <v/>
      </c>
      <c r="M1927" s="20">
        <f>IF($B1927="","",IFERROR(INDEX(الموظفات!$D$5:$D$304,MATCH($B1927,الموظفات!$B$5:$B$304,0))&amp;"",""))</f>
        <v/>
      </c>
      <c r="N1927" s="20">
        <f>IF($B1927="","",IFERROR(INDEX(الموظفات!$E$5:$E$304,MATCH($B1927,الموظفات!$B$5:$B$304,0))&amp;"",""))</f>
        <v/>
      </c>
      <c r="O1927" s="21">
        <f>IF(C1927="","",IFERROR(INDEX(الإعدادات!$D$7:$D$35,MATCH(C1927,الإعدادات!$A$7:$A$35,0))&amp;"",""))</f>
        <v/>
      </c>
      <c r="P1927" s="20">
        <f>IF(A1927="","",INDEX(الإعدادات!$H$7:$H$18,MONTH(A1927)))</f>
        <v/>
      </c>
      <c r="Q1927" s="20">
        <f>IF(A1927="","",INDEX(الإعدادات!$I$7:$I$18,MONTH(A1927)))</f>
        <v/>
      </c>
      <c r="R1927" s="20">
        <f>IF(A1927="","",IF(MONTH(A1927)&gt;=8,YEAR(A1927)&amp;"-"&amp;(YEAR(A1927)+1),(YEAR(A1927)-1)&amp;"-"&amp;YEAR(A1927)))</f>
        <v/>
      </c>
      <c r="S1927" s="20">
        <f>IF(OR(A1927="",B1927=""),0,IF(AND(R1927=التقارير!$C$4,OR(التقارير!$C$5="سنوي",AND(التقارير!$C$5="شهري",P1927=التقارير!$C$6),AND(التقارير!$C$5="فصلي",Q1927=التقارير!$C$7))),1,0))</f>
        <v/>
      </c>
      <c r="T1927" s="20">
        <f>IF(S1927=1,COUNTIF($S$5:S1927,1),"")</f>
        <v/>
      </c>
      <c r="U1927">
        <f>IF(AND($A1927&lt;&gt;"",$B1927&lt;&gt;"",$R1927='تقرير الفصل الأول'!$C$4,$Q1927='تقرير الفصل الأول'!$C$7),COUNT(U$4:U1926)+1,"")</f>
        <v/>
      </c>
      <c r="V1927">
        <f>IF(AND($A1927&lt;&gt;"",$B1927&lt;&gt;"",$R1927='تقرير الفصل الثاني'!$C$4,$Q1927='تقرير الفصل الثاني'!$C$7),COUNT(V$4:V1926)+1,"")</f>
        <v/>
      </c>
      <c r="W1927">
        <f>IF(AND($A1927&lt;&gt;"",$B1927&lt;&gt;"",$R1927='تقرير سبتمبر'!$C$4,$P1927='تقرير سبتمبر'!$C$6),COUNT(W$4:W1926)+1,"")</f>
        <v/>
      </c>
      <c r="X1927">
        <f>IF(AND($A1927&lt;&gt;"",$B1927&lt;&gt;"",$R1927='تقرير أكتوبر'!$C$4,$P1927='تقرير أكتوبر'!$C$6),COUNT(X$4:X1926)+1,"")</f>
        <v/>
      </c>
      <c r="Y1927">
        <f>IF(AND($A1927&lt;&gt;"",$B1927&lt;&gt;"",$R1927='تقرير نوفمبر'!$C$4,$P1927='تقرير نوفمبر'!$C$6),COUNT(Y$4:Y1926)+1,"")</f>
        <v/>
      </c>
      <c r="Z1927">
        <f>IF(AND($A1927&lt;&gt;"",$B1927&lt;&gt;"",$R1927='تقرير ديسمبر'!$C$4,$P1927='تقرير ديسمبر'!$C$6),COUNT(Z$4:Z1926)+1,"")</f>
        <v/>
      </c>
      <c r="AA1927">
        <f>IF(AND($A1927&lt;&gt;"",$B1927&lt;&gt;"",$R1927='تقرير يناير'!$C$4,$P1927='تقرير يناير'!$C$6),COUNT(AA$4:AA1926)+1,"")</f>
        <v/>
      </c>
      <c r="AB1927">
        <f>IF(AND($A1927&lt;&gt;"",$B1927&lt;&gt;"",$R1927='تقرير فبراير'!$C$4,$P1927='تقرير فبراير'!$C$6),COUNT(AB$4:AB1926)+1,"")</f>
        <v/>
      </c>
      <c r="AC1927">
        <f>IF(AND($A1927&lt;&gt;"",$B1927&lt;&gt;"",$R1927='تقرير مارس'!$C$4,$P1927='تقرير مارس'!$C$6),COUNT(AC$4:AC1926)+1,"")</f>
        <v/>
      </c>
      <c r="AD1927">
        <f>IF(AND($A1927&lt;&gt;"",$B1927&lt;&gt;"",$R1927='تقرير أبريل'!$C$4,$P1927='تقرير أبريل'!$C$6),COUNT(AD$4:AD1926)+1,"")</f>
        <v/>
      </c>
      <c r="AE1927">
        <f>IF(AND($A1927&lt;&gt;"",$B1927&lt;&gt;"",$R1927='تقرير مايو'!$C$4,$P1927='تقرير مايو'!$C$6),COUNT(AE$4:AE1926)+1,"")</f>
        <v/>
      </c>
    </row>
    <row r="1928">
      <c r="A1928" s="16" t="n"/>
      <c r="B1928" s="17" t="n"/>
      <c r="C1928" s="17" t="n"/>
      <c r="D1928" s="18" t="n"/>
      <c r="E1928" s="17" t="n"/>
      <c r="F1928" s="17" t="n"/>
      <c r="G1928" s="19" t="n"/>
      <c r="H1928" s="17" t="n"/>
      <c r="I1928" s="17" t="n"/>
      <c r="J1928" s="17" t="n"/>
      <c r="K1928" s="20">
        <f>IF($B1928="","",IFERROR(INDEX(الموظفات!$A$5:$A$304,MATCH($B1928,الموظفات!$B$5:$B$304,0))&amp;"",""))</f>
        <v/>
      </c>
      <c r="L1928" s="21">
        <f>IF($B1928="","",IFERROR(INDEX(الموظفات!$C$5:$C$304,MATCH($B1928,الموظفات!$B$5:$B$304,0))&amp;"",""))</f>
        <v/>
      </c>
      <c r="M1928" s="20">
        <f>IF($B1928="","",IFERROR(INDEX(الموظفات!$D$5:$D$304,MATCH($B1928,الموظفات!$B$5:$B$304,0))&amp;"",""))</f>
        <v/>
      </c>
      <c r="N1928" s="20">
        <f>IF($B1928="","",IFERROR(INDEX(الموظفات!$E$5:$E$304,MATCH($B1928,الموظفات!$B$5:$B$304,0))&amp;"",""))</f>
        <v/>
      </c>
      <c r="O1928" s="21">
        <f>IF(C1928="","",IFERROR(INDEX(الإعدادات!$D$7:$D$35,MATCH(C1928,الإعدادات!$A$7:$A$35,0))&amp;"",""))</f>
        <v/>
      </c>
      <c r="P1928" s="20">
        <f>IF(A1928="","",INDEX(الإعدادات!$H$7:$H$18,MONTH(A1928)))</f>
        <v/>
      </c>
      <c r="Q1928" s="20">
        <f>IF(A1928="","",INDEX(الإعدادات!$I$7:$I$18,MONTH(A1928)))</f>
        <v/>
      </c>
      <c r="R1928" s="20">
        <f>IF(A1928="","",IF(MONTH(A1928)&gt;=8,YEAR(A1928)&amp;"-"&amp;(YEAR(A1928)+1),(YEAR(A1928)-1)&amp;"-"&amp;YEAR(A1928)))</f>
        <v/>
      </c>
      <c r="S1928" s="20">
        <f>IF(OR(A1928="",B1928=""),0,IF(AND(R1928=التقارير!$C$4,OR(التقارير!$C$5="سنوي",AND(التقارير!$C$5="شهري",P1928=التقارير!$C$6),AND(التقارير!$C$5="فصلي",Q1928=التقارير!$C$7))),1,0))</f>
        <v/>
      </c>
      <c r="T1928" s="20">
        <f>IF(S1928=1,COUNTIF($S$5:S1928,1),"")</f>
        <v/>
      </c>
      <c r="U1928">
        <f>IF(AND($A1928&lt;&gt;"",$B1928&lt;&gt;"",$R1928='تقرير الفصل الأول'!$C$4,$Q1928='تقرير الفصل الأول'!$C$7),COUNT(U$4:U1927)+1,"")</f>
        <v/>
      </c>
      <c r="V1928">
        <f>IF(AND($A1928&lt;&gt;"",$B1928&lt;&gt;"",$R1928='تقرير الفصل الثاني'!$C$4,$Q1928='تقرير الفصل الثاني'!$C$7),COUNT(V$4:V1927)+1,"")</f>
        <v/>
      </c>
      <c r="W1928">
        <f>IF(AND($A1928&lt;&gt;"",$B1928&lt;&gt;"",$R1928='تقرير سبتمبر'!$C$4,$P1928='تقرير سبتمبر'!$C$6),COUNT(W$4:W1927)+1,"")</f>
        <v/>
      </c>
      <c r="X1928">
        <f>IF(AND($A1928&lt;&gt;"",$B1928&lt;&gt;"",$R1928='تقرير أكتوبر'!$C$4,$P1928='تقرير أكتوبر'!$C$6),COUNT(X$4:X1927)+1,"")</f>
        <v/>
      </c>
      <c r="Y1928">
        <f>IF(AND($A1928&lt;&gt;"",$B1928&lt;&gt;"",$R1928='تقرير نوفمبر'!$C$4,$P1928='تقرير نوفمبر'!$C$6),COUNT(Y$4:Y1927)+1,"")</f>
        <v/>
      </c>
      <c r="Z1928">
        <f>IF(AND($A1928&lt;&gt;"",$B1928&lt;&gt;"",$R1928='تقرير ديسمبر'!$C$4,$P1928='تقرير ديسمبر'!$C$6),COUNT(Z$4:Z1927)+1,"")</f>
        <v/>
      </c>
      <c r="AA1928">
        <f>IF(AND($A1928&lt;&gt;"",$B1928&lt;&gt;"",$R1928='تقرير يناير'!$C$4,$P1928='تقرير يناير'!$C$6),COUNT(AA$4:AA1927)+1,"")</f>
        <v/>
      </c>
      <c r="AB1928">
        <f>IF(AND($A1928&lt;&gt;"",$B1928&lt;&gt;"",$R1928='تقرير فبراير'!$C$4,$P1928='تقرير فبراير'!$C$6),COUNT(AB$4:AB1927)+1,"")</f>
        <v/>
      </c>
      <c r="AC1928">
        <f>IF(AND($A1928&lt;&gt;"",$B1928&lt;&gt;"",$R1928='تقرير مارس'!$C$4,$P1928='تقرير مارس'!$C$6),COUNT(AC$4:AC1927)+1,"")</f>
        <v/>
      </c>
      <c r="AD1928">
        <f>IF(AND($A1928&lt;&gt;"",$B1928&lt;&gt;"",$R1928='تقرير أبريل'!$C$4,$P1928='تقرير أبريل'!$C$6),COUNT(AD$4:AD1927)+1,"")</f>
        <v/>
      </c>
      <c r="AE1928">
        <f>IF(AND($A1928&lt;&gt;"",$B1928&lt;&gt;"",$R1928='تقرير مايو'!$C$4,$P1928='تقرير مايو'!$C$6),COUNT(AE$4:AE1927)+1,"")</f>
        <v/>
      </c>
    </row>
    <row r="1929">
      <c r="A1929" s="16" t="n"/>
      <c r="B1929" s="17" t="n"/>
      <c r="C1929" s="17" t="n"/>
      <c r="D1929" s="18" t="n"/>
      <c r="E1929" s="17" t="n"/>
      <c r="F1929" s="17" t="n"/>
      <c r="G1929" s="19" t="n"/>
      <c r="H1929" s="17" t="n"/>
      <c r="I1929" s="17" t="n"/>
      <c r="J1929" s="17" t="n"/>
      <c r="K1929" s="20">
        <f>IF($B1929="","",IFERROR(INDEX(الموظفات!$A$5:$A$304,MATCH($B1929,الموظفات!$B$5:$B$304,0))&amp;"",""))</f>
        <v/>
      </c>
      <c r="L1929" s="21">
        <f>IF($B1929="","",IFERROR(INDEX(الموظفات!$C$5:$C$304,MATCH($B1929,الموظفات!$B$5:$B$304,0))&amp;"",""))</f>
        <v/>
      </c>
      <c r="M1929" s="20">
        <f>IF($B1929="","",IFERROR(INDEX(الموظفات!$D$5:$D$304,MATCH($B1929,الموظفات!$B$5:$B$304,0))&amp;"",""))</f>
        <v/>
      </c>
      <c r="N1929" s="20">
        <f>IF($B1929="","",IFERROR(INDEX(الموظفات!$E$5:$E$304,MATCH($B1929,الموظفات!$B$5:$B$304,0))&amp;"",""))</f>
        <v/>
      </c>
      <c r="O1929" s="21">
        <f>IF(C1929="","",IFERROR(INDEX(الإعدادات!$D$7:$D$35,MATCH(C1929,الإعدادات!$A$7:$A$35,0))&amp;"",""))</f>
        <v/>
      </c>
      <c r="P1929" s="20">
        <f>IF(A1929="","",INDEX(الإعدادات!$H$7:$H$18,MONTH(A1929)))</f>
        <v/>
      </c>
      <c r="Q1929" s="20">
        <f>IF(A1929="","",INDEX(الإعدادات!$I$7:$I$18,MONTH(A1929)))</f>
        <v/>
      </c>
      <c r="R1929" s="20">
        <f>IF(A1929="","",IF(MONTH(A1929)&gt;=8,YEAR(A1929)&amp;"-"&amp;(YEAR(A1929)+1),(YEAR(A1929)-1)&amp;"-"&amp;YEAR(A1929)))</f>
        <v/>
      </c>
      <c r="S1929" s="20">
        <f>IF(OR(A1929="",B1929=""),0,IF(AND(R1929=التقارير!$C$4,OR(التقارير!$C$5="سنوي",AND(التقارير!$C$5="شهري",P1929=التقارير!$C$6),AND(التقارير!$C$5="فصلي",Q1929=التقارير!$C$7))),1,0))</f>
        <v/>
      </c>
      <c r="T1929" s="20">
        <f>IF(S1929=1,COUNTIF($S$5:S1929,1),"")</f>
        <v/>
      </c>
      <c r="U1929">
        <f>IF(AND($A1929&lt;&gt;"",$B1929&lt;&gt;"",$R1929='تقرير الفصل الأول'!$C$4,$Q1929='تقرير الفصل الأول'!$C$7),COUNT(U$4:U1928)+1,"")</f>
        <v/>
      </c>
      <c r="V1929">
        <f>IF(AND($A1929&lt;&gt;"",$B1929&lt;&gt;"",$R1929='تقرير الفصل الثاني'!$C$4,$Q1929='تقرير الفصل الثاني'!$C$7),COUNT(V$4:V1928)+1,"")</f>
        <v/>
      </c>
      <c r="W1929">
        <f>IF(AND($A1929&lt;&gt;"",$B1929&lt;&gt;"",$R1929='تقرير سبتمبر'!$C$4,$P1929='تقرير سبتمبر'!$C$6),COUNT(W$4:W1928)+1,"")</f>
        <v/>
      </c>
      <c r="X1929">
        <f>IF(AND($A1929&lt;&gt;"",$B1929&lt;&gt;"",$R1929='تقرير أكتوبر'!$C$4,$P1929='تقرير أكتوبر'!$C$6),COUNT(X$4:X1928)+1,"")</f>
        <v/>
      </c>
      <c r="Y1929">
        <f>IF(AND($A1929&lt;&gt;"",$B1929&lt;&gt;"",$R1929='تقرير نوفمبر'!$C$4,$P1929='تقرير نوفمبر'!$C$6),COUNT(Y$4:Y1928)+1,"")</f>
        <v/>
      </c>
      <c r="Z1929">
        <f>IF(AND($A1929&lt;&gt;"",$B1929&lt;&gt;"",$R1929='تقرير ديسمبر'!$C$4,$P1929='تقرير ديسمبر'!$C$6),COUNT(Z$4:Z1928)+1,"")</f>
        <v/>
      </c>
      <c r="AA1929">
        <f>IF(AND($A1929&lt;&gt;"",$B1929&lt;&gt;"",$R1929='تقرير يناير'!$C$4,$P1929='تقرير يناير'!$C$6),COUNT(AA$4:AA1928)+1,"")</f>
        <v/>
      </c>
      <c r="AB1929">
        <f>IF(AND($A1929&lt;&gt;"",$B1929&lt;&gt;"",$R1929='تقرير فبراير'!$C$4,$P1929='تقرير فبراير'!$C$6),COUNT(AB$4:AB1928)+1,"")</f>
        <v/>
      </c>
      <c r="AC1929">
        <f>IF(AND($A1929&lt;&gt;"",$B1929&lt;&gt;"",$R1929='تقرير مارس'!$C$4,$P1929='تقرير مارس'!$C$6),COUNT(AC$4:AC1928)+1,"")</f>
        <v/>
      </c>
      <c r="AD1929">
        <f>IF(AND($A1929&lt;&gt;"",$B1929&lt;&gt;"",$R1929='تقرير أبريل'!$C$4,$P1929='تقرير أبريل'!$C$6),COUNT(AD$4:AD1928)+1,"")</f>
        <v/>
      </c>
      <c r="AE1929">
        <f>IF(AND($A1929&lt;&gt;"",$B1929&lt;&gt;"",$R1929='تقرير مايو'!$C$4,$P1929='تقرير مايو'!$C$6),COUNT(AE$4:AE1928)+1,"")</f>
        <v/>
      </c>
    </row>
    <row r="1930">
      <c r="A1930" s="16" t="n"/>
      <c r="B1930" s="17" t="n"/>
      <c r="C1930" s="17" t="n"/>
      <c r="D1930" s="18" t="n"/>
      <c r="E1930" s="17" t="n"/>
      <c r="F1930" s="17" t="n"/>
      <c r="G1930" s="19" t="n"/>
      <c r="H1930" s="17" t="n"/>
      <c r="I1930" s="17" t="n"/>
      <c r="J1930" s="17" t="n"/>
      <c r="K1930" s="20">
        <f>IF($B1930="","",IFERROR(INDEX(الموظفات!$A$5:$A$304,MATCH($B1930,الموظفات!$B$5:$B$304,0))&amp;"",""))</f>
        <v/>
      </c>
      <c r="L1930" s="21">
        <f>IF($B1930="","",IFERROR(INDEX(الموظفات!$C$5:$C$304,MATCH($B1930,الموظفات!$B$5:$B$304,0))&amp;"",""))</f>
        <v/>
      </c>
      <c r="M1930" s="20">
        <f>IF($B1930="","",IFERROR(INDEX(الموظفات!$D$5:$D$304,MATCH($B1930,الموظفات!$B$5:$B$304,0))&amp;"",""))</f>
        <v/>
      </c>
      <c r="N1930" s="20">
        <f>IF($B1930="","",IFERROR(INDEX(الموظفات!$E$5:$E$304,MATCH($B1930,الموظفات!$B$5:$B$304,0))&amp;"",""))</f>
        <v/>
      </c>
      <c r="O1930" s="21">
        <f>IF(C1930="","",IFERROR(INDEX(الإعدادات!$D$7:$D$35,MATCH(C1930,الإعدادات!$A$7:$A$35,0))&amp;"",""))</f>
        <v/>
      </c>
      <c r="P1930" s="20">
        <f>IF(A1930="","",INDEX(الإعدادات!$H$7:$H$18,MONTH(A1930)))</f>
        <v/>
      </c>
      <c r="Q1930" s="20">
        <f>IF(A1930="","",INDEX(الإعدادات!$I$7:$I$18,MONTH(A1930)))</f>
        <v/>
      </c>
      <c r="R1930" s="20">
        <f>IF(A1930="","",IF(MONTH(A1930)&gt;=8,YEAR(A1930)&amp;"-"&amp;(YEAR(A1930)+1),(YEAR(A1930)-1)&amp;"-"&amp;YEAR(A1930)))</f>
        <v/>
      </c>
      <c r="S1930" s="20">
        <f>IF(OR(A1930="",B1930=""),0,IF(AND(R1930=التقارير!$C$4,OR(التقارير!$C$5="سنوي",AND(التقارير!$C$5="شهري",P1930=التقارير!$C$6),AND(التقارير!$C$5="فصلي",Q1930=التقارير!$C$7))),1,0))</f>
        <v/>
      </c>
      <c r="T1930" s="20">
        <f>IF(S1930=1,COUNTIF($S$5:S1930,1),"")</f>
        <v/>
      </c>
      <c r="U1930">
        <f>IF(AND($A1930&lt;&gt;"",$B1930&lt;&gt;"",$R1930='تقرير الفصل الأول'!$C$4,$Q1930='تقرير الفصل الأول'!$C$7),COUNT(U$4:U1929)+1,"")</f>
        <v/>
      </c>
      <c r="V1930">
        <f>IF(AND($A1930&lt;&gt;"",$B1930&lt;&gt;"",$R1930='تقرير الفصل الثاني'!$C$4,$Q1930='تقرير الفصل الثاني'!$C$7),COUNT(V$4:V1929)+1,"")</f>
        <v/>
      </c>
      <c r="W1930">
        <f>IF(AND($A1930&lt;&gt;"",$B1930&lt;&gt;"",$R1930='تقرير سبتمبر'!$C$4,$P1930='تقرير سبتمبر'!$C$6),COUNT(W$4:W1929)+1,"")</f>
        <v/>
      </c>
      <c r="X1930">
        <f>IF(AND($A1930&lt;&gt;"",$B1930&lt;&gt;"",$R1930='تقرير أكتوبر'!$C$4,$P1930='تقرير أكتوبر'!$C$6),COUNT(X$4:X1929)+1,"")</f>
        <v/>
      </c>
      <c r="Y1930">
        <f>IF(AND($A1930&lt;&gt;"",$B1930&lt;&gt;"",$R1930='تقرير نوفمبر'!$C$4,$P1930='تقرير نوفمبر'!$C$6),COUNT(Y$4:Y1929)+1,"")</f>
        <v/>
      </c>
      <c r="Z1930">
        <f>IF(AND($A1930&lt;&gt;"",$B1930&lt;&gt;"",$R1930='تقرير ديسمبر'!$C$4,$P1930='تقرير ديسمبر'!$C$6),COUNT(Z$4:Z1929)+1,"")</f>
        <v/>
      </c>
      <c r="AA1930">
        <f>IF(AND($A1930&lt;&gt;"",$B1930&lt;&gt;"",$R1930='تقرير يناير'!$C$4,$P1930='تقرير يناير'!$C$6),COUNT(AA$4:AA1929)+1,"")</f>
        <v/>
      </c>
      <c r="AB1930">
        <f>IF(AND($A1930&lt;&gt;"",$B1930&lt;&gt;"",$R1930='تقرير فبراير'!$C$4,$P1930='تقرير فبراير'!$C$6),COUNT(AB$4:AB1929)+1,"")</f>
        <v/>
      </c>
      <c r="AC1930">
        <f>IF(AND($A1930&lt;&gt;"",$B1930&lt;&gt;"",$R1930='تقرير مارس'!$C$4,$P1930='تقرير مارس'!$C$6),COUNT(AC$4:AC1929)+1,"")</f>
        <v/>
      </c>
      <c r="AD1930">
        <f>IF(AND($A1930&lt;&gt;"",$B1930&lt;&gt;"",$R1930='تقرير أبريل'!$C$4,$P1930='تقرير أبريل'!$C$6),COUNT(AD$4:AD1929)+1,"")</f>
        <v/>
      </c>
      <c r="AE1930">
        <f>IF(AND($A1930&lt;&gt;"",$B1930&lt;&gt;"",$R1930='تقرير مايو'!$C$4,$P1930='تقرير مايو'!$C$6),COUNT(AE$4:AE1929)+1,"")</f>
        <v/>
      </c>
    </row>
    <row r="1931">
      <c r="A1931" s="16" t="n"/>
      <c r="B1931" s="17" t="n"/>
      <c r="C1931" s="17" t="n"/>
      <c r="D1931" s="18" t="n"/>
      <c r="E1931" s="17" t="n"/>
      <c r="F1931" s="17" t="n"/>
      <c r="G1931" s="19" t="n"/>
      <c r="H1931" s="17" t="n"/>
      <c r="I1931" s="17" t="n"/>
      <c r="J1931" s="17" t="n"/>
      <c r="K1931" s="20">
        <f>IF($B1931="","",IFERROR(INDEX(الموظفات!$A$5:$A$304,MATCH($B1931,الموظفات!$B$5:$B$304,0))&amp;"",""))</f>
        <v/>
      </c>
      <c r="L1931" s="21">
        <f>IF($B1931="","",IFERROR(INDEX(الموظفات!$C$5:$C$304,MATCH($B1931,الموظفات!$B$5:$B$304,0))&amp;"",""))</f>
        <v/>
      </c>
      <c r="M1931" s="20">
        <f>IF($B1931="","",IFERROR(INDEX(الموظفات!$D$5:$D$304,MATCH($B1931,الموظفات!$B$5:$B$304,0))&amp;"",""))</f>
        <v/>
      </c>
      <c r="N1931" s="20">
        <f>IF($B1931="","",IFERROR(INDEX(الموظفات!$E$5:$E$304,MATCH($B1931,الموظفات!$B$5:$B$304,0))&amp;"",""))</f>
        <v/>
      </c>
      <c r="O1931" s="21">
        <f>IF(C1931="","",IFERROR(INDEX(الإعدادات!$D$7:$D$35,MATCH(C1931,الإعدادات!$A$7:$A$35,0))&amp;"",""))</f>
        <v/>
      </c>
      <c r="P1931" s="20">
        <f>IF(A1931="","",INDEX(الإعدادات!$H$7:$H$18,MONTH(A1931)))</f>
        <v/>
      </c>
      <c r="Q1931" s="20">
        <f>IF(A1931="","",INDEX(الإعدادات!$I$7:$I$18,MONTH(A1931)))</f>
        <v/>
      </c>
      <c r="R1931" s="20">
        <f>IF(A1931="","",IF(MONTH(A1931)&gt;=8,YEAR(A1931)&amp;"-"&amp;(YEAR(A1931)+1),(YEAR(A1931)-1)&amp;"-"&amp;YEAR(A1931)))</f>
        <v/>
      </c>
      <c r="S1931" s="20">
        <f>IF(OR(A1931="",B1931=""),0,IF(AND(R1931=التقارير!$C$4,OR(التقارير!$C$5="سنوي",AND(التقارير!$C$5="شهري",P1931=التقارير!$C$6),AND(التقارير!$C$5="فصلي",Q1931=التقارير!$C$7))),1,0))</f>
        <v/>
      </c>
      <c r="T1931" s="20">
        <f>IF(S1931=1,COUNTIF($S$5:S1931,1),"")</f>
        <v/>
      </c>
      <c r="U1931">
        <f>IF(AND($A1931&lt;&gt;"",$B1931&lt;&gt;"",$R1931='تقرير الفصل الأول'!$C$4,$Q1931='تقرير الفصل الأول'!$C$7),COUNT(U$4:U1930)+1,"")</f>
        <v/>
      </c>
      <c r="V1931">
        <f>IF(AND($A1931&lt;&gt;"",$B1931&lt;&gt;"",$R1931='تقرير الفصل الثاني'!$C$4,$Q1931='تقرير الفصل الثاني'!$C$7),COUNT(V$4:V1930)+1,"")</f>
        <v/>
      </c>
      <c r="W1931">
        <f>IF(AND($A1931&lt;&gt;"",$B1931&lt;&gt;"",$R1931='تقرير سبتمبر'!$C$4,$P1931='تقرير سبتمبر'!$C$6),COUNT(W$4:W1930)+1,"")</f>
        <v/>
      </c>
      <c r="X1931">
        <f>IF(AND($A1931&lt;&gt;"",$B1931&lt;&gt;"",$R1931='تقرير أكتوبر'!$C$4,$P1931='تقرير أكتوبر'!$C$6),COUNT(X$4:X1930)+1,"")</f>
        <v/>
      </c>
      <c r="Y1931">
        <f>IF(AND($A1931&lt;&gt;"",$B1931&lt;&gt;"",$R1931='تقرير نوفمبر'!$C$4,$P1931='تقرير نوفمبر'!$C$6),COUNT(Y$4:Y1930)+1,"")</f>
        <v/>
      </c>
      <c r="Z1931">
        <f>IF(AND($A1931&lt;&gt;"",$B1931&lt;&gt;"",$R1931='تقرير ديسمبر'!$C$4,$P1931='تقرير ديسمبر'!$C$6),COUNT(Z$4:Z1930)+1,"")</f>
        <v/>
      </c>
      <c r="AA1931">
        <f>IF(AND($A1931&lt;&gt;"",$B1931&lt;&gt;"",$R1931='تقرير يناير'!$C$4,$P1931='تقرير يناير'!$C$6),COUNT(AA$4:AA1930)+1,"")</f>
        <v/>
      </c>
      <c r="AB1931">
        <f>IF(AND($A1931&lt;&gt;"",$B1931&lt;&gt;"",$R1931='تقرير فبراير'!$C$4,$P1931='تقرير فبراير'!$C$6),COUNT(AB$4:AB1930)+1,"")</f>
        <v/>
      </c>
      <c r="AC1931">
        <f>IF(AND($A1931&lt;&gt;"",$B1931&lt;&gt;"",$R1931='تقرير مارس'!$C$4,$P1931='تقرير مارس'!$C$6),COUNT(AC$4:AC1930)+1,"")</f>
        <v/>
      </c>
      <c r="AD1931">
        <f>IF(AND($A1931&lt;&gt;"",$B1931&lt;&gt;"",$R1931='تقرير أبريل'!$C$4,$P1931='تقرير أبريل'!$C$6),COUNT(AD$4:AD1930)+1,"")</f>
        <v/>
      </c>
      <c r="AE1931">
        <f>IF(AND($A1931&lt;&gt;"",$B1931&lt;&gt;"",$R1931='تقرير مايو'!$C$4,$P1931='تقرير مايو'!$C$6),COUNT(AE$4:AE1930)+1,"")</f>
        <v/>
      </c>
    </row>
    <row r="1932">
      <c r="A1932" s="16" t="n"/>
      <c r="B1932" s="17" t="n"/>
      <c r="C1932" s="17" t="n"/>
      <c r="D1932" s="18" t="n"/>
      <c r="E1932" s="17" t="n"/>
      <c r="F1932" s="17" t="n"/>
      <c r="G1932" s="19" t="n"/>
      <c r="H1932" s="17" t="n"/>
      <c r="I1932" s="17" t="n"/>
      <c r="J1932" s="17" t="n"/>
      <c r="K1932" s="20">
        <f>IF($B1932="","",IFERROR(INDEX(الموظفات!$A$5:$A$304,MATCH($B1932,الموظفات!$B$5:$B$304,0))&amp;"",""))</f>
        <v/>
      </c>
      <c r="L1932" s="21">
        <f>IF($B1932="","",IFERROR(INDEX(الموظفات!$C$5:$C$304,MATCH($B1932,الموظفات!$B$5:$B$304,0))&amp;"",""))</f>
        <v/>
      </c>
      <c r="M1932" s="20">
        <f>IF($B1932="","",IFERROR(INDEX(الموظفات!$D$5:$D$304,MATCH($B1932,الموظفات!$B$5:$B$304,0))&amp;"",""))</f>
        <v/>
      </c>
      <c r="N1932" s="20">
        <f>IF($B1932="","",IFERROR(INDEX(الموظفات!$E$5:$E$304,MATCH($B1932,الموظفات!$B$5:$B$304,0))&amp;"",""))</f>
        <v/>
      </c>
      <c r="O1932" s="21">
        <f>IF(C1932="","",IFERROR(INDEX(الإعدادات!$D$7:$D$35,MATCH(C1932,الإعدادات!$A$7:$A$35,0))&amp;"",""))</f>
        <v/>
      </c>
      <c r="P1932" s="20">
        <f>IF(A1932="","",INDEX(الإعدادات!$H$7:$H$18,MONTH(A1932)))</f>
        <v/>
      </c>
      <c r="Q1932" s="20">
        <f>IF(A1932="","",INDEX(الإعدادات!$I$7:$I$18,MONTH(A1932)))</f>
        <v/>
      </c>
      <c r="R1932" s="20">
        <f>IF(A1932="","",IF(MONTH(A1932)&gt;=8,YEAR(A1932)&amp;"-"&amp;(YEAR(A1932)+1),(YEAR(A1932)-1)&amp;"-"&amp;YEAR(A1932)))</f>
        <v/>
      </c>
      <c r="S1932" s="20">
        <f>IF(OR(A1932="",B1932=""),0,IF(AND(R1932=التقارير!$C$4,OR(التقارير!$C$5="سنوي",AND(التقارير!$C$5="شهري",P1932=التقارير!$C$6),AND(التقارير!$C$5="فصلي",Q1932=التقارير!$C$7))),1,0))</f>
        <v/>
      </c>
      <c r="T1932" s="20">
        <f>IF(S1932=1,COUNTIF($S$5:S1932,1),"")</f>
        <v/>
      </c>
      <c r="U1932">
        <f>IF(AND($A1932&lt;&gt;"",$B1932&lt;&gt;"",$R1932='تقرير الفصل الأول'!$C$4,$Q1932='تقرير الفصل الأول'!$C$7),COUNT(U$4:U1931)+1,"")</f>
        <v/>
      </c>
      <c r="V1932">
        <f>IF(AND($A1932&lt;&gt;"",$B1932&lt;&gt;"",$R1932='تقرير الفصل الثاني'!$C$4,$Q1932='تقرير الفصل الثاني'!$C$7),COUNT(V$4:V1931)+1,"")</f>
        <v/>
      </c>
      <c r="W1932">
        <f>IF(AND($A1932&lt;&gt;"",$B1932&lt;&gt;"",$R1932='تقرير سبتمبر'!$C$4,$P1932='تقرير سبتمبر'!$C$6),COUNT(W$4:W1931)+1,"")</f>
        <v/>
      </c>
      <c r="X1932">
        <f>IF(AND($A1932&lt;&gt;"",$B1932&lt;&gt;"",$R1932='تقرير أكتوبر'!$C$4,$P1932='تقرير أكتوبر'!$C$6),COUNT(X$4:X1931)+1,"")</f>
        <v/>
      </c>
      <c r="Y1932">
        <f>IF(AND($A1932&lt;&gt;"",$B1932&lt;&gt;"",$R1932='تقرير نوفمبر'!$C$4,$P1932='تقرير نوفمبر'!$C$6),COUNT(Y$4:Y1931)+1,"")</f>
        <v/>
      </c>
      <c r="Z1932">
        <f>IF(AND($A1932&lt;&gt;"",$B1932&lt;&gt;"",$R1932='تقرير ديسمبر'!$C$4,$P1932='تقرير ديسمبر'!$C$6),COUNT(Z$4:Z1931)+1,"")</f>
        <v/>
      </c>
      <c r="AA1932">
        <f>IF(AND($A1932&lt;&gt;"",$B1932&lt;&gt;"",$R1932='تقرير يناير'!$C$4,$P1932='تقرير يناير'!$C$6),COUNT(AA$4:AA1931)+1,"")</f>
        <v/>
      </c>
      <c r="AB1932">
        <f>IF(AND($A1932&lt;&gt;"",$B1932&lt;&gt;"",$R1932='تقرير فبراير'!$C$4,$P1932='تقرير فبراير'!$C$6),COUNT(AB$4:AB1931)+1,"")</f>
        <v/>
      </c>
      <c r="AC1932">
        <f>IF(AND($A1932&lt;&gt;"",$B1932&lt;&gt;"",$R1932='تقرير مارس'!$C$4,$P1932='تقرير مارس'!$C$6),COUNT(AC$4:AC1931)+1,"")</f>
        <v/>
      </c>
      <c r="AD1932">
        <f>IF(AND($A1932&lt;&gt;"",$B1932&lt;&gt;"",$R1932='تقرير أبريل'!$C$4,$P1932='تقرير أبريل'!$C$6),COUNT(AD$4:AD1931)+1,"")</f>
        <v/>
      </c>
      <c r="AE1932">
        <f>IF(AND($A1932&lt;&gt;"",$B1932&lt;&gt;"",$R1932='تقرير مايو'!$C$4,$P1932='تقرير مايو'!$C$6),COUNT(AE$4:AE1931)+1,"")</f>
        <v/>
      </c>
    </row>
    <row r="1933">
      <c r="A1933" s="16" t="n"/>
      <c r="B1933" s="17" t="n"/>
      <c r="C1933" s="17" t="n"/>
      <c r="D1933" s="18" t="n"/>
      <c r="E1933" s="17" t="n"/>
      <c r="F1933" s="17" t="n"/>
      <c r="G1933" s="19" t="n"/>
      <c r="H1933" s="17" t="n"/>
      <c r="I1933" s="17" t="n"/>
      <c r="J1933" s="17" t="n"/>
      <c r="K1933" s="20">
        <f>IF($B1933="","",IFERROR(INDEX(الموظفات!$A$5:$A$304,MATCH($B1933,الموظفات!$B$5:$B$304,0))&amp;"",""))</f>
        <v/>
      </c>
      <c r="L1933" s="21">
        <f>IF($B1933="","",IFERROR(INDEX(الموظفات!$C$5:$C$304,MATCH($B1933,الموظفات!$B$5:$B$304,0))&amp;"",""))</f>
        <v/>
      </c>
      <c r="M1933" s="20">
        <f>IF($B1933="","",IFERROR(INDEX(الموظفات!$D$5:$D$304,MATCH($B1933,الموظفات!$B$5:$B$304,0))&amp;"",""))</f>
        <v/>
      </c>
      <c r="N1933" s="20">
        <f>IF($B1933="","",IFERROR(INDEX(الموظفات!$E$5:$E$304,MATCH($B1933,الموظفات!$B$5:$B$304,0))&amp;"",""))</f>
        <v/>
      </c>
      <c r="O1933" s="21">
        <f>IF(C1933="","",IFERROR(INDEX(الإعدادات!$D$7:$D$35,MATCH(C1933,الإعدادات!$A$7:$A$35,0))&amp;"",""))</f>
        <v/>
      </c>
      <c r="P1933" s="20">
        <f>IF(A1933="","",INDEX(الإعدادات!$H$7:$H$18,MONTH(A1933)))</f>
        <v/>
      </c>
      <c r="Q1933" s="20">
        <f>IF(A1933="","",INDEX(الإعدادات!$I$7:$I$18,MONTH(A1933)))</f>
        <v/>
      </c>
      <c r="R1933" s="20">
        <f>IF(A1933="","",IF(MONTH(A1933)&gt;=8,YEAR(A1933)&amp;"-"&amp;(YEAR(A1933)+1),(YEAR(A1933)-1)&amp;"-"&amp;YEAR(A1933)))</f>
        <v/>
      </c>
      <c r="S1933" s="20">
        <f>IF(OR(A1933="",B1933=""),0,IF(AND(R1933=التقارير!$C$4,OR(التقارير!$C$5="سنوي",AND(التقارير!$C$5="شهري",P1933=التقارير!$C$6),AND(التقارير!$C$5="فصلي",Q1933=التقارير!$C$7))),1,0))</f>
        <v/>
      </c>
      <c r="T1933" s="20">
        <f>IF(S1933=1,COUNTIF($S$5:S1933,1),"")</f>
        <v/>
      </c>
      <c r="U1933">
        <f>IF(AND($A1933&lt;&gt;"",$B1933&lt;&gt;"",$R1933='تقرير الفصل الأول'!$C$4,$Q1933='تقرير الفصل الأول'!$C$7),COUNT(U$4:U1932)+1,"")</f>
        <v/>
      </c>
      <c r="V1933">
        <f>IF(AND($A1933&lt;&gt;"",$B1933&lt;&gt;"",$R1933='تقرير الفصل الثاني'!$C$4,$Q1933='تقرير الفصل الثاني'!$C$7),COUNT(V$4:V1932)+1,"")</f>
        <v/>
      </c>
      <c r="W1933">
        <f>IF(AND($A1933&lt;&gt;"",$B1933&lt;&gt;"",$R1933='تقرير سبتمبر'!$C$4,$P1933='تقرير سبتمبر'!$C$6),COUNT(W$4:W1932)+1,"")</f>
        <v/>
      </c>
      <c r="X1933">
        <f>IF(AND($A1933&lt;&gt;"",$B1933&lt;&gt;"",$R1933='تقرير أكتوبر'!$C$4,$P1933='تقرير أكتوبر'!$C$6),COUNT(X$4:X1932)+1,"")</f>
        <v/>
      </c>
      <c r="Y1933">
        <f>IF(AND($A1933&lt;&gt;"",$B1933&lt;&gt;"",$R1933='تقرير نوفمبر'!$C$4,$P1933='تقرير نوفمبر'!$C$6),COUNT(Y$4:Y1932)+1,"")</f>
        <v/>
      </c>
      <c r="Z1933">
        <f>IF(AND($A1933&lt;&gt;"",$B1933&lt;&gt;"",$R1933='تقرير ديسمبر'!$C$4,$P1933='تقرير ديسمبر'!$C$6),COUNT(Z$4:Z1932)+1,"")</f>
        <v/>
      </c>
      <c r="AA1933">
        <f>IF(AND($A1933&lt;&gt;"",$B1933&lt;&gt;"",$R1933='تقرير يناير'!$C$4,$P1933='تقرير يناير'!$C$6),COUNT(AA$4:AA1932)+1,"")</f>
        <v/>
      </c>
      <c r="AB1933">
        <f>IF(AND($A1933&lt;&gt;"",$B1933&lt;&gt;"",$R1933='تقرير فبراير'!$C$4,$P1933='تقرير فبراير'!$C$6),COUNT(AB$4:AB1932)+1,"")</f>
        <v/>
      </c>
      <c r="AC1933">
        <f>IF(AND($A1933&lt;&gt;"",$B1933&lt;&gt;"",$R1933='تقرير مارس'!$C$4,$P1933='تقرير مارس'!$C$6),COUNT(AC$4:AC1932)+1,"")</f>
        <v/>
      </c>
      <c r="AD1933">
        <f>IF(AND($A1933&lt;&gt;"",$B1933&lt;&gt;"",$R1933='تقرير أبريل'!$C$4,$P1933='تقرير أبريل'!$C$6),COUNT(AD$4:AD1932)+1,"")</f>
        <v/>
      </c>
      <c r="AE1933">
        <f>IF(AND($A1933&lt;&gt;"",$B1933&lt;&gt;"",$R1933='تقرير مايو'!$C$4,$P1933='تقرير مايو'!$C$6),COUNT(AE$4:AE1932)+1,"")</f>
        <v/>
      </c>
    </row>
    <row r="1934">
      <c r="A1934" s="16" t="n"/>
      <c r="B1934" s="17" t="n"/>
      <c r="C1934" s="17" t="n"/>
      <c r="D1934" s="18" t="n"/>
      <c r="E1934" s="17" t="n"/>
      <c r="F1934" s="17" t="n"/>
      <c r="G1934" s="19" t="n"/>
      <c r="H1934" s="17" t="n"/>
      <c r="I1934" s="17" t="n"/>
      <c r="J1934" s="17" t="n"/>
      <c r="K1934" s="20">
        <f>IF($B1934="","",IFERROR(INDEX(الموظفات!$A$5:$A$304,MATCH($B1934,الموظفات!$B$5:$B$304,0))&amp;"",""))</f>
        <v/>
      </c>
      <c r="L1934" s="21">
        <f>IF($B1934="","",IFERROR(INDEX(الموظفات!$C$5:$C$304,MATCH($B1934,الموظفات!$B$5:$B$304,0))&amp;"",""))</f>
        <v/>
      </c>
      <c r="M1934" s="20">
        <f>IF($B1934="","",IFERROR(INDEX(الموظفات!$D$5:$D$304,MATCH($B1934,الموظفات!$B$5:$B$304,0))&amp;"",""))</f>
        <v/>
      </c>
      <c r="N1934" s="20">
        <f>IF($B1934="","",IFERROR(INDEX(الموظفات!$E$5:$E$304,MATCH($B1934,الموظفات!$B$5:$B$304,0))&amp;"",""))</f>
        <v/>
      </c>
      <c r="O1934" s="21">
        <f>IF(C1934="","",IFERROR(INDEX(الإعدادات!$D$7:$D$35,MATCH(C1934,الإعدادات!$A$7:$A$35,0))&amp;"",""))</f>
        <v/>
      </c>
      <c r="P1934" s="20">
        <f>IF(A1934="","",INDEX(الإعدادات!$H$7:$H$18,MONTH(A1934)))</f>
        <v/>
      </c>
      <c r="Q1934" s="20">
        <f>IF(A1934="","",INDEX(الإعدادات!$I$7:$I$18,MONTH(A1934)))</f>
        <v/>
      </c>
      <c r="R1934" s="20">
        <f>IF(A1934="","",IF(MONTH(A1934)&gt;=8,YEAR(A1934)&amp;"-"&amp;(YEAR(A1934)+1),(YEAR(A1934)-1)&amp;"-"&amp;YEAR(A1934)))</f>
        <v/>
      </c>
      <c r="S1934" s="20">
        <f>IF(OR(A1934="",B1934=""),0,IF(AND(R1934=التقارير!$C$4,OR(التقارير!$C$5="سنوي",AND(التقارير!$C$5="شهري",P1934=التقارير!$C$6),AND(التقارير!$C$5="فصلي",Q1934=التقارير!$C$7))),1,0))</f>
        <v/>
      </c>
      <c r="T1934" s="20">
        <f>IF(S1934=1,COUNTIF($S$5:S1934,1),"")</f>
        <v/>
      </c>
      <c r="U1934">
        <f>IF(AND($A1934&lt;&gt;"",$B1934&lt;&gt;"",$R1934='تقرير الفصل الأول'!$C$4,$Q1934='تقرير الفصل الأول'!$C$7),COUNT(U$4:U1933)+1,"")</f>
        <v/>
      </c>
      <c r="V1934">
        <f>IF(AND($A1934&lt;&gt;"",$B1934&lt;&gt;"",$R1934='تقرير الفصل الثاني'!$C$4,$Q1934='تقرير الفصل الثاني'!$C$7),COUNT(V$4:V1933)+1,"")</f>
        <v/>
      </c>
      <c r="W1934">
        <f>IF(AND($A1934&lt;&gt;"",$B1934&lt;&gt;"",$R1934='تقرير سبتمبر'!$C$4,$P1934='تقرير سبتمبر'!$C$6),COUNT(W$4:W1933)+1,"")</f>
        <v/>
      </c>
      <c r="X1934">
        <f>IF(AND($A1934&lt;&gt;"",$B1934&lt;&gt;"",$R1934='تقرير أكتوبر'!$C$4,$P1934='تقرير أكتوبر'!$C$6),COUNT(X$4:X1933)+1,"")</f>
        <v/>
      </c>
      <c r="Y1934">
        <f>IF(AND($A1934&lt;&gt;"",$B1934&lt;&gt;"",$R1934='تقرير نوفمبر'!$C$4,$P1934='تقرير نوفمبر'!$C$6),COUNT(Y$4:Y1933)+1,"")</f>
        <v/>
      </c>
      <c r="Z1934">
        <f>IF(AND($A1934&lt;&gt;"",$B1934&lt;&gt;"",$R1934='تقرير ديسمبر'!$C$4,$P1934='تقرير ديسمبر'!$C$6),COUNT(Z$4:Z1933)+1,"")</f>
        <v/>
      </c>
      <c r="AA1934">
        <f>IF(AND($A1934&lt;&gt;"",$B1934&lt;&gt;"",$R1934='تقرير يناير'!$C$4,$P1934='تقرير يناير'!$C$6),COUNT(AA$4:AA1933)+1,"")</f>
        <v/>
      </c>
      <c r="AB1934">
        <f>IF(AND($A1934&lt;&gt;"",$B1934&lt;&gt;"",$R1934='تقرير فبراير'!$C$4,$P1934='تقرير فبراير'!$C$6),COUNT(AB$4:AB1933)+1,"")</f>
        <v/>
      </c>
      <c r="AC1934">
        <f>IF(AND($A1934&lt;&gt;"",$B1934&lt;&gt;"",$R1934='تقرير مارس'!$C$4,$P1934='تقرير مارس'!$C$6),COUNT(AC$4:AC1933)+1,"")</f>
        <v/>
      </c>
      <c r="AD1934">
        <f>IF(AND($A1934&lt;&gt;"",$B1934&lt;&gt;"",$R1934='تقرير أبريل'!$C$4,$P1934='تقرير أبريل'!$C$6),COUNT(AD$4:AD1933)+1,"")</f>
        <v/>
      </c>
      <c r="AE1934">
        <f>IF(AND($A1934&lt;&gt;"",$B1934&lt;&gt;"",$R1934='تقرير مايو'!$C$4,$P1934='تقرير مايو'!$C$6),COUNT(AE$4:AE1933)+1,"")</f>
        <v/>
      </c>
    </row>
    <row r="1935">
      <c r="A1935" s="16" t="n"/>
      <c r="B1935" s="17" t="n"/>
      <c r="C1935" s="17" t="n"/>
      <c r="D1935" s="18" t="n"/>
      <c r="E1935" s="17" t="n"/>
      <c r="F1935" s="17" t="n"/>
      <c r="G1935" s="19" t="n"/>
      <c r="H1935" s="17" t="n"/>
      <c r="I1935" s="17" t="n"/>
      <c r="J1935" s="17" t="n"/>
      <c r="K1935" s="20">
        <f>IF($B1935="","",IFERROR(INDEX(الموظفات!$A$5:$A$304,MATCH($B1935,الموظفات!$B$5:$B$304,0))&amp;"",""))</f>
        <v/>
      </c>
      <c r="L1935" s="21">
        <f>IF($B1935="","",IFERROR(INDEX(الموظفات!$C$5:$C$304,MATCH($B1935,الموظفات!$B$5:$B$304,0))&amp;"",""))</f>
        <v/>
      </c>
      <c r="M1935" s="20">
        <f>IF($B1935="","",IFERROR(INDEX(الموظفات!$D$5:$D$304,MATCH($B1935,الموظفات!$B$5:$B$304,0))&amp;"",""))</f>
        <v/>
      </c>
      <c r="N1935" s="20">
        <f>IF($B1935="","",IFERROR(INDEX(الموظفات!$E$5:$E$304,MATCH($B1935,الموظفات!$B$5:$B$304,0))&amp;"",""))</f>
        <v/>
      </c>
      <c r="O1935" s="21">
        <f>IF(C1935="","",IFERROR(INDEX(الإعدادات!$D$7:$D$35,MATCH(C1935,الإعدادات!$A$7:$A$35,0))&amp;"",""))</f>
        <v/>
      </c>
      <c r="P1935" s="20">
        <f>IF(A1935="","",INDEX(الإعدادات!$H$7:$H$18,MONTH(A1935)))</f>
        <v/>
      </c>
      <c r="Q1935" s="20">
        <f>IF(A1935="","",INDEX(الإعدادات!$I$7:$I$18,MONTH(A1935)))</f>
        <v/>
      </c>
      <c r="R1935" s="20">
        <f>IF(A1935="","",IF(MONTH(A1935)&gt;=8,YEAR(A1935)&amp;"-"&amp;(YEAR(A1935)+1),(YEAR(A1935)-1)&amp;"-"&amp;YEAR(A1935)))</f>
        <v/>
      </c>
      <c r="S1935" s="20">
        <f>IF(OR(A1935="",B1935=""),0,IF(AND(R1935=التقارير!$C$4,OR(التقارير!$C$5="سنوي",AND(التقارير!$C$5="شهري",P1935=التقارير!$C$6),AND(التقارير!$C$5="فصلي",Q1935=التقارير!$C$7))),1,0))</f>
        <v/>
      </c>
      <c r="T1935" s="20">
        <f>IF(S1935=1,COUNTIF($S$5:S1935,1),"")</f>
        <v/>
      </c>
      <c r="U1935">
        <f>IF(AND($A1935&lt;&gt;"",$B1935&lt;&gt;"",$R1935='تقرير الفصل الأول'!$C$4,$Q1935='تقرير الفصل الأول'!$C$7),COUNT(U$4:U1934)+1,"")</f>
        <v/>
      </c>
      <c r="V1935">
        <f>IF(AND($A1935&lt;&gt;"",$B1935&lt;&gt;"",$R1935='تقرير الفصل الثاني'!$C$4,$Q1935='تقرير الفصل الثاني'!$C$7),COUNT(V$4:V1934)+1,"")</f>
        <v/>
      </c>
      <c r="W1935">
        <f>IF(AND($A1935&lt;&gt;"",$B1935&lt;&gt;"",$R1935='تقرير سبتمبر'!$C$4,$P1935='تقرير سبتمبر'!$C$6),COUNT(W$4:W1934)+1,"")</f>
        <v/>
      </c>
      <c r="X1935">
        <f>IF(AND($A1935&lt;&gt;"",$B1935&lt;&gt;"",$R1935='تقرير أكتوبر'!$C$4,$P1935='تقرير أكتوبر'!$C$6),COUNT(X$4:X1934)+1,"")</f>
        <v/>
      </c>
      <c r="Y1935">
        <f>IF(AND($A1935&lt;&gt;"",$B1935&lt;&gt;"",$R1935='تقرير نوفمبر'!$C$4,$P1935='تقرير نوفمبر'!$C$6),COUNT(Y$4:Y1934)+1,"")</f>
        <v/>
      </c>
      <c r="Z1935">
        <f>IF(AND($A1935&lt;&gt;"",$B1935&lt;&gt;"",$R1935='تقرير ديسمبر'!$C$4,$P1935='تقرير ديسمبر'!$C$6),COUNT(Z$4:Z1934)+1,"")</f>
        <v/>
      </c>
      <c r="AA1935">
        <f>IF(AND($A1935&lt;&gt;"",$B1935&lt;&gt;"",$R1935='تقرير يناير'!$C$4,$P1935='تقرير يناير'!$C$6),COUNT(AA$4:AA1934)+1,"")</f>
        <v/>
      </c>
      <c r="AB1935">
        <f>IF(AND($A1935&lt;&gt;"",$B1935&lt;&gt;"",$R1935='تقرير فبراير'!$C$4,$P1935='تقرير فبراير'!$C$6),COUNT(AB$4:AB1934)+1,"")</f>
        <v/>
      </c>
      <c r="AC1935">
        <f>IF(AND($A1935&lt;&gt;"",$B1935&lt;&gt;"",$R1935='تقرير مارس'!$C$4,$P1935='تقرير مارس'!$C$6),COUNT(AC$4:AC1934)+1,"")</f>
        <v/>
      </c>
      <c r="AD1935">
        <f>IF(AND($A1935&lt;&gt;"",$B1935&lt;&gt;"",$R1935='تقرير أبريل'!$C$4,$P1935='تقرير أبريل'!$C$6),COUNT(AD$4:AD1934)+1,"")</f>
        <v/>
      </c>
      <c r="AE1935">
        <f>IF(AND($A1935&lt;&gt;"",$B1935&lt;&gt;"",$R1935='تقرير مايو'!$C$4,$P1935='تقرير مايو'!$C$6),COUNT(AE$4:AE1934)+1,"")</f>
        <v/>
      </c>
    </row>
    <row r="1936">
      <c r="A1936" s="16" t="n"/>
      <c r="B1936" s="17" t="n"/>
      <c r="C1936" s="17" t="n"/>
      <c r="D1936" s="18" t="n"/>
      <c r="E1936" s="17" t="n"/>
      <c r="F1936" s="17" t="n"/>
      <c r="G1936" s="19" t="n"/>
      <c r="H1936" s="17" t="n"/>
      <c r="I1936" s="17" t="n"/>
      <c r="J1936" s="17" t="n"/>
      <c r="K1936" s="20">
        <f>IF($B1936="","",IFERROR(INDEX(الموظفات!$A$5:$A$304,MATCH($B1936,الموظفات!$B$5:$B$304,0))&amp;"",""))</f>
        <v/>
      </c>
      <c r="L1936" s="21">
        <f>IF($B1936="","",IFERROR(INDEX(الموظفات!$C$5:$C$304,MATCH($B1936,الموظفات!$B$5:$B$304,0))&amp;"",""))</f>
        <v/>
      </c>
      <c r="M1936" s="20">
        <f>IF($B1936="","",IFERROR(INDEX(الموظفات!$D$5:$D$304,MATCH($B1936,الموظفات!$B$5:$B$304,0))&amp;"",""))</f>
        <v/>
      </c>
      <c r="N1936" s="20">
        <f>IF($B1936="","",IFERROR(INDEX(الموظفات!$E$5:$E$304,MATCH($B1936,الموظفات!$B$5:$B$304,0))&amp;"",""))</f>
        <v/>
      </c>
      <c r="O1936" s="21">
        <f>IF(C1936="","",IFERROR(INDEX(الإعدادات!$D$7:$D$35,MATCH(C1936,الإعدادات!$A$7:$A$35,0))&amp;"",""))</f>
        <v/>
      </c>
      <c r="P1936" s="20">
        <f>IF(A1936="","",INDEX(الإعدادات!$H$7:$H$18,MONTH(A1936)))</f>
        <v/>
      </c>
      <c r="Q1936" s="20">
        <f>IF(A1936="","",INDEX(الإعدادات!$I$7:$I$18,MONTH(A1936)))</f>
        <v/>
      </c>
      <c r="R1936" s="20">
        <f>IF(A1936="","",IF(MONTH(A1936)&gt;=8,YEAR(A1936)&amp;"-"&amp;(YEAR(A1936)+1),(YEAR(A1936)-1)&amp;"-"&amp;YEAR(A1936)))</f>
        <v/>
      </c>
      <c r="S1936" s="20">
        <f>IF(OR(A1936="",B1936=""),0,IF(AND(R1936=التقارير!$C$4,OR(التقارير!$C$5="سنوي",AND(التقارير!$C$5="شهري",P1936=التقارير!$C$6),AND(التقارير!$C$5="فصلي",Q1936=التقارير!$C$7))),1,0))</f>
        <v/>
      </c>
      <c r="T1936" s="20">
        <f>IF(S1936=1,COUNTIF($S$5:S1936,1),"")</f>
        <v/>
      </c>
      <c r="U1936">
        <f>IF(AND($A1936&lt;&gt;"",$B1936&lt;&gt;"",$R1936='تقرير الفصل الأول'!$C$4,$Q1936='تقرير الفصل الأول'!$C$7),COUNT(U$4:U1935)+1,"")</f>
        <v/>
      </c>
      <c r="V1936">
        <f>IF(AND($A1936&lt;&gt;"",$B1936&lt;&gt;"",$R1936='تقرير الفصل الثاني'!$C$4,$Q1936='تقرير الفصل الثاني'!$C$7),COUNT(V$4:V1935)+1,"")</f>
        <v/>
      </c>
      <c r="W1936">
        <f>IF(AND($A1936&lt;&gt;"",$B1936&lt;&gt;"",$R1936='تقرير سبتمبر'!$C$4,$P1936='تقرير سبتمبر'!$C$6),COUNT(W$4:W1935)+1,"")</f>
        <v/>
      </c>
      <c r="X1936">
        <f>IF(AND($A1936&lt;&gt;"",$B1936&lt;&gt;"",$R1936='تقرير أكتوبر'!$C$4,$P1936='تقرير أكتوبر'!$C$6),COUNT(X$4:X1935)+1,"")</f>
        <v/>
      </c>
      <c r="Y1936">
        <f>IF(AND($A1936&lt;&gt;"",$B1936&lt;&gt;"",$R1936='تقرير نوفمبر'!$C$4,$P1936='تقرير نوفمبر'!$C$6),COUNT(Y$4:Y1935)+1,"")</f>
        <v/>
      </c>
      <c r="Z1936">
        <f>IF(AND($A1936&lt;&gt;"",$B1936&lt;&gt;"",$R1936='تقرير ديسمبر'!$C$4,$P1936='تقرير ديسمبر'!$C$6),COUNT(Z$4:Z1935)+1,"")</f>
        <v/>
      </c>
      <c r="AA1936">
        <f>IF(AND($A1936&lt;&gt;"",$B1936&lt;&gt;"",$R1936='تقرير يناير'!$C$4,$P1936='تقرير يناير'!$C$6),COUNT(AA$4:AA1935)+1,"")</f>
        <v/>
      </c>
      <c r="AB1936">
        <f>IF(AND($A1936&lt;&gt;"",$B1936&lt;&gt;"",$R1936='تقرير فبراير'!$C$4,$P1936='تقرير فبراير'!$C$6),COUNT(AB$4:AB1935)+1,"")</f>
        <v/>
      </c>
      <c r="AC1936">
        <f>IF(AND($A1936&lt;&gt;"",$B1936&lt;&gt;"",$R1936='تقرير مارس'!$C$4,$P1936='تقرير مارس'!$C$6),COUNT(AC$4:AC1935)+1,"")</f>
        <v/>
      </c>
      <c r="AD1936">
        <f>IF(AND($A1936&lt;&gt;"",$B1936&lt;&gt;"",$R1936='تقرير أبريل'!$C$4,$P1936='تقرير أبريل'!$C$6),COUNT(AD$4:AD1935)+1,"")</f>
        <v/>
      </c>
      <c r="AE1936">
        <f>IF(AND($A1936&lt;&gt;"",$B1936&lt;&gt;"",$R1936='تقرير مايو'!$C$4,$P1936='تقرير مايو'!$C$6),COUNT(AE$4:AE1935)+1,"")</f>
        <v/>
      </c>
    </row>
    <row r="1937">
      <c r="A1937" s="16" t="n"/>
      <c r="B1937" s="17" t="n"/>
      <c r="C1937" s="17" t="n"/>
      <c r="D1937" s="18" t="n"/>
      <c r="E1937" s="17" t="n"/>
      <c r="F1937" s="17" t="n"/>
      <c r="G1937" s="19" t="n"/>
      <c r="H1937" s="17" t="n"/>
      <c r="I1937" s="17" t="n"/>
      <c r="J1937" s="17" t="n"/>
      <c r="K1937" s="20">
        <f>IF($B1937="","",IFERROR(INDEX(الموظفات!$A$5:$A$304,MATCH($B1937,الموظفات!$B$5:$B$304,0))&amp;"",""))</f>
        <v/>
      </c>
      <c r="L1937" s="21">
        <f>IF($B1937="","",IFERROR(INDEX(الموظفات!$C$5:$C$304,MATCH($B1937,الموظفات!$B$5:$B$304,0))&amp;"",""))</f>
        <v/>
      </c>
      <c r="M1937" s="20">
        <f>IF($B1937="","",IFERROR(INDEX(الموظفات!$D$5:$D$304,MATCH($B1937,الموظفات!$B$5:$B$304,0))&amp;"",""))</f>
        <v/>
      </c>
      <c r="N1937" s="20">
        <f>IF($B1937="","",IFERROR(INDEX(الموظفات!$E$5:$E$304,MATCH($B1937,الموظفات!$B$5:$B$304,0))&amp;"",""))</f>
        <v/>
      </c>
      <c r="O1937" s="21">
        <f>IF(C1937="","",IFERROR(INDEX(الإعدادات!$D$7:$D$35,MATCH(C1937,الإعدادات!$A$7:$A$35,0))&amp;"",""))</f>
        <v/>
      </c>
      <c r="P1937" s="20">
        <f>IF(A1937="","",INDEX(الإعدادات!$H$7:$H$18,MONTH(A1937)))</f>
        <v/>
      </c>
      <c r="Q1937" s="20">
        <f>IF(A1937="","",INDEX(الإعدادات!$I$7:$I$18,MONTH(A1937)))</f>
        <v/>
      </c>
      <c r="R1937" s="20">
        <f>IF(A1937="","",IF(MONTH(A1937)&gt;=8,YEAR(A1937)&amp;"-"&amp;(YEAR(A1937)+1),(YEAR(A1937)-1)&amp;"-"&amp;YEAR(A1937)))</f>
        <v/>
      </c>
      <c r="S1937" s="20">
        <f>IF(OR(A1937="",B1937=""),0,IF(AND(R1937=التقارير!$C$4,OR(التقارير!$C$5="سنوي",AND(التقارير!$C$5="شهري",P1937=التقارير!$C$6),AND(التقارير!$C$5="فصلي",Q1937=التقارير!$C$7))),1,0))</f>
        <v/>
      </c>
      <c r="T1937" s="20">
        <f>IF(S1937=1,COUNTIF($S$5:S1937,1),"")</f>
        <v/>
      </c>
      <c r="U1937">
        <f>IF(AND($A1937&lt;&gt;"",$B1937&lt;&gt;"",$R1937='تقرير الفصل الأول'!$C$4,$Q1937='تقرير الفصل الأول'!$C$7),COUNT(U$4:U1936)+1,"")</f>
        <v/>
      </c>
      <c r="V1937">
        <f>IF(AND($A1937&lt;&gt;"",$B1937&lt;&gt;"",$R1937='تقرير الفصل الثاني'!$C$4,$Q1937='تقرير الفصل الثاني'!$C$7),COUNT(V$4:V1936)+1,"")</f>
        <v/>
      </c>
      <c r="W1937">
        <f>IF(AND($A1937&lt;&gt;"",$B1937&lt;&gt;"",$R1937='تقرير سبتمبر'!$C$4,$P1937='تقرير سبتمبر'!$C$6),COUNT(W$4:W1936)+1,"")</f>
        <v/>
      </c>
      <c r="X1937">
        <f>IF(AND($A1937&lt;&gt;"",$B1937&lt;&gt;"",$R1937='تقرير أكتوبر'!$C$4,$P1937='تقرير أكتوبر'!$C$6),COUNT(X$4:X1936)+1,"")</f>
        <v/>
      </c>
      <c r="Y1937">
        <f>IF(AND($A1937&lt;&gt;"",$B1937&lt;&gt;"",$R1937='تقرير نوفمبر'!$C$4,$P1937='تقرير نوفمبر'!$C$6),COUNT(Y$4:Y1936)+1,"")</f>
        <v/>
      </c>
      <c r="Z1937">
        <f>IF(AND($A1937&lt;&gt;"",$B1937&lt;&gt;"",$R1937='تقرير ديسمبر'!$C$4,$P1937='تقرير ديسمبر'!$C$6),COUNT(Z$4:Z1936)+1,"")</f>
        <v/>
      </c>
      <c r="AA1937">
        <f>IF(AND($A1937&lt;&gt;"",$B1937&lt;&gt;"",$R1937='تقرير يناير'!$C$4,$P1937='تقرير يناير'!$C$6),COUNT(AA$4:AA1936)+1,"")</f>
        <v/>
      </c>
      <c r="AB1937">
        <f>IF(AND($A1937&lt;&gt;"",$B1937&lt;&gt;"",$R1937='تقرير فبراير'!$C$4,$P1937='تقرير فبراير'!$C$6),COUNT(AB$4:AB1936)+1,"")</f>
        <v/>
      </c>
      <c r="AC1937">
        <f>IF(AND($A1937&lt;&gt;"",$B1937&lt;&gt;"",$R1937='تقرير مارس'!$C$4,$P1937='تقرير مارس'!$C$6),COUNT(AC$4:AC1936)+1,"")</f>
        <v/>
      </c>
      <c r="AD1937">
        <f>IF(AND($A1937&lt;&gt;"",$B1937&lt;&gt;"",$R1937='تقرير أبريل'!$C$4,$P1937='تقرير أبريل'!$C$6),COUNT(AD$4:AD1936)+1,"")</f>
        <v/>
      </c>
      <c r="AE1937">
        <f>IF(AND($A1937&lt;&gt;"",$B1937&lt;&gt;"",$R1937='تقرير مايو'!$C$4,$P1937='تقرير مايو'!$C$6),COUNT(AE$4:AE1936)+1,"")</f>
        <v/>
      </c>
    </row>
    <row r="1938">
      <c r="A1938" s="16" t="n"/>
      <c r="B1938" s="17" t="n"/>
      <c r="C1938" s="17" t="n"/>
      <c r="D1938" s="18" t="n"/>
      <c r="E1938" s="17" t="n"/>
      <c r="F1938" s="17" t="n"/>
      <c r="G1938" s="19" t="n"/>
      <c r="H1938" s="17" t="n"/>
      <c r="I1938" s="17" t="n"/>
      <c r="J1938" s="17" t="n"/>
      <c r="K1938" s="20">
        <f>IF($B1938="","",IFERROR(INDEX(الموظفات!$A$5:$A$304,MATCH($B1938,الموظفات!$B$5:$B$304,0))&amp;"",""))</f>
        <v/>
      </c>
      <c r="L1938" s="21">
        <f>IF($B1938="","",IFERROR(INDEX(الموظفات!$C$5:$C$304,MATCH($B1938,الموظفات!$B$5:$B$304,0))&amp;"",""))</f>
        <v/>
      </c>
      <c r="M1938" s="20">
        <f>IF($B1938="","",IFERROR(INDEX(الموظفات!$D$5:$D$304,MATCH($B1938,الموظفات!$B$5:$B$304,0))&amp;"",""))</f>
        <v/>
      </c>
      <c r="N1938" s="20">
        <f>IF($B1938="","",IFERROR(INDEX(الموظفات!$E$5:$E$304,MATCH($B1938,الموظفات!$B$5:$B$304,0))&amp;"",""))</f>
        <v/>
      </c>
      <c r="O1938" s="21">
        <f>IF(C1938="","",IFERROR(INDEX(الإعدادات!$D$7:$D$35,MATCH(C1938,الإعدادات!$A$7:$A$35,0))&amp;"",""))</f>
        <v/>
      </c>
      <c r="P1938" s="20">
        <f>IF(A1938="","",INDEX(الإعدادات!$H$7:$H$18,MONTH(A1938)))</f>
        <v/>
      </c>
      <c r="Q1938" s="20">
        <f>IF(A1938="","",INDEX(الإعدادات!$I$7:$I$18,MONTH(A1938)))</f>
        <v/>
      </c>
      <c r="R1938" s="20">
        <f>IF(A1938="","",IF(MONTH(A1938)&gt;=8,YEAR(A1938)&amp;"-"&amp;(YEAR(A1938)+1),(YEAR(A1938)-1)&amp;"-"&amp;YEAR(A1938)))</f>
        <v/>
      </c>
      <c r="S1938" s="20">
        <f>IF(OR(A1938="",B1938=""),0,IF(AND(R1938=التقارير!$C$4,OR(التقارير!$C$5="سنوي",AND(التقارير!$C$5="شهري",P1938=التقارير!$C$6),AND(التقارير!$C$5="فصلي",Q1938=التقارير!$C$7))),1,0))</f>
        <v/>
      </c>
      <c r="T1938" s="20">
        <f>IF(S1938=1,COUNTIF($S$5:S1938,1),"")</f>
        <v/>
      </c>
      <c r="U1938">
        <f>IF(AND($A1938&lt;&gt;"",$B1938&lt;&gt;"",$R1938='تقرير الفصل الأول'!$C$4,$Q1938='تقرير الفصل الأول'!$C$7),COUNT(U$4:U1937)+1,"")</f>
        <v/>
      </c>
      <c r="V1938">
        <f>IF(AND($A1938&lt;&gt;"",$B1938&lt;&gt;"",$R1938='تقرير الفصل الثاني'!$C$4,$Q1938='تقرير الفصل الثاني'!$C$7),COUNT(V$4:V1937)+1,"")</f>
        <v/>
      </c>
      <c r="W1938">
        <f>IF(AND($A1938&lt;&gt;"",$B1938&lt;&gt;"",$R1938='تقرير سبتمبر'!$C$4,$P1938='تقرير سبتمبر'!$C$6),COUNT(W$4:W1937)+1,"")</f>
        <v/>
      </c>
      <c r="X1938">
        <f>IF(AND($A1938&lt;&gt;"",$B1938&lt;&gt;"",$R1938='تقرير أكتوبر'!$C$4,$P1938='تقرير أكتوبر'!$C$6),COUNT(X$4:X1937)+1,"")</f>
        <v/>
      </c>
      <c r="Y1938">
        <f>IF(AND($A1938&lt;&gt;"",$B1938&lt;&gt;"",$R1938='تقرير نوفمبر'!$C$4,$P1938='تقرير نوفمبر'!$C$6),COUNT(Y$4:Y1937)+1,"")</f>
        <v/>
      </c>
      <c r="Z1938">
        <f>IF(AND($A1938&lt;&gt;"",$B1938&lt;&gt;"",$R1938='تقرير ديسمبر'!$C$4,$P1938='تقرير ديسمبر'!$C$6),COUNT(Z$4:Z1937)+1,"")</f>
        <v/>
      </c>
      <c r="AA1938">
        <f>IF(AND($A1938&lt;&gt;"",$B1938&lt;&gt;"",$R1938='تقرير يناير'!$C$4,$P1938='تقرير يناير'!$C$6),COUNT(AA$4:AA1937)+1,"")</f>
        <v/>
      </c>
      <c r="AB1938">
        <f>IF(AND($A1938&lt;&gt;"",$B1938&lt;&gt;"",$R1938='تقرير فبراير'!$C$4,$P1938='تقرير فبراير'!$C$6),COUNT(AB$4:AB1937)+1,"")</f>
        <v/>
      </c>
      <c r="AC1938">
        <f>IF(AND($A1938&lt;&gt;"",$B1938&lt;&gt;"",$R1938='تقرير مارس'!$C$4,$P1938='تقرير مارس'!$C$6),COUNT(AC$4:AC1937)+1,"")</f>
        <v/>
      </c>
      <c r="AD1938">
        <f>IF(AND($A1938&lt;&gt;"",$B1938&lt;&gt;"",$R1938='تقرير أبريل'!$C$4,$P1938='تقرير أبريل'!$C$6),COUNT(AD$4:AD1937)+1,"")</f>
        <v/>
      </c>
      <c r="AE1938">
        <f>IF(AND($A1938&lt;&gt;"",$B1938&lt;&gt;"",$R1938='تقرير مايو'!$C$4,$P1938='تقرير مايو'!$C$6),COUNT(AE$4:AE1937)+1,"")</f>
        <v/>
      </c>
    </row>
    <row r="1939">
      <c r="A1939" s="16" t="n"/>
      <c r="B1939" s="17" t="n"/>
      <c r="C1939" s="17" t="n"/>
      <c r="D1939" s="18" t="n"/>
      <c r="E1939" s="17" t="n"/>
      <c r="F1939" s="17" t="n"/>
      <c r="G1939" s="19" t="n"/>
      <c r="H1939" s="17" t="n"/>
      <c r="I1939" s="17" t="n"/>
      <c r="J1939" s="17" t="n"/>
      <c r="K1939" s="20">
        <f>IF($B1939="","",IFERROR(INDEX(الموظفات!$A$5:$A$304,MATCH($B1939,الموظفات!$B$5:$B$304,0))&amp;"",""))</f>
        <v/>
      </c>
      <c r="L1939" s="21">
        <f>IF($B1939="","",IFERROR(INDEX(الموظفات!$C$5:$C$304,MATCH($B1939,الموظفات!$B$5:$B$304,0))&amp;"",""))</f>
        <v/>
      </c>
      <c r="M1939" s="20">
        <f>IF($B1939="","",IFERROR(INDEX(الموظفات!$D$5:$D$304,MATCH($B1939,الموظفات!$B$5:$B$304,0))&amp;"",""))</f>
        <v/>
      </c>
      <c r="N1939" s="20">
        <f>IF($B1939="","",IFERROR(INDEX(الموظفات!$E$5:$E$304,MATCH($B1939,الموظفات!$B$5:$B$304,0))&amp;"",""))</f>
        <v/>
      </c>
      <c r="O1939" s="21">
        <f>IF(C1939="","",IFERROR(INDEX(الإعدادات!$D$7:$D$35,MATCH(C1939,الإعدادات!$A$7:$A$35,0))&amp;"",""))</f>
        <v/>
      </c>
      <c r="P1939" s="20">
        <f>IF(A1939="","",INDEX(الإعدادات!$H$7:$H$18,MONTH(A1939)))</f>
        <v/>
      </c>
      <c r="Q1939" s="20">
        <f>IF(A1939="","",INDEX(الإعدادات!$I$7:$I$18,MONTH(A1939)))</f>
        <v/>
      </c>
      <c r="R1939" s="20">
        <f>IF(A1939="","",IF(MONTH(A1939)&gt;=8,YEAR(A1939)&amp;"-"&amp;(YEAR(A1939)+1),(YEAR(A1939)-1)&amp;"-"&amp;YEAR(A1939)))</f>
        <v/>
      </c>
      <c r="S1939" s="20">
        <f>IF(OR(A1939="",B1939=""),0,IF(AND(R1939=التقارير!$C$4,OR(التقارير!$C$5="سنوي",AND(التقارير!$C$5="شهري",P1939=التقارير!$C$6),AND(التقارير!$C$5="فصلي",Q1939=التقارير!$C$7))),1,0))</f>
        <v/>
      </c>
      <c r="T1939" s="20">
        <f>IF(S1939=1,COUNTIF($S$5:S1939,1),"")</f>
        <v/>
      </c>
      <c r="U1939">
        <f>IF(AND($A1939&lt;&gt;"",$B1939&lt;&gt;"",$R1939='تقرير الفصل الأول'!$C$4,$Q1939='تقرير الفصل الأول'!$C$7),COUNT(U$4:U1938)+1,"")</f>
        <v/>
      </c>
      <c r="V1939">
        <f>IF(AND($A1939&lt;&gt;"",$B1939&lt;&gt;"",$R1939='تقرير الفصل الثاني'!$C$4,$Q1939='تقرير الفصل الثاني'!$C$7),COUNT(V$4:V1938)+1,"")</f>
        <v/>
      </c>
      <c r="W1939">
        <f>IF(AND($A1939&lt;&gt;"",$B1939&lt;&gt;"",$R1939='تقرير سبتمبر'!$C$4,$P1939='تقرير سبتمبر'!$C$6),COUNT(W$4:W1938)+1,"")</f>
        <v/>
      </c>
      <c r="X1939">
        <f>IF(AND($A1939&lt;&gt;"",$B1939&lt;&gt;"",$R1939='تقرير أكتوبر'!$C$4,$P1939='تقرير أكتوبر'!$C$6),COUNT(X$4:X1938)+1,"")</f>
        <v/>
      </c>
      <c r="Y1939">
        <f>IF(AND($A1939&lt;&gt;"",$B1939&lt;&gt;"",$R1939='تقرير نوفمبر'!$C$4,$P1939='تقرير نوفمبر'!$C$6),COUNT(Y$4:Y1938)+1,"")</f>
        <v/>
      </c>
      <c r="Z1939">
        <f>IF(AND($A1939&lt;&gt;"",$B1939&lt;&gt;"",$R1939='تقرير ديسمبر'!$C$4,$P1939='تقرير ديسمبر'!$C$6),COUNT(Z$4:Z1938)+1,"")</f>
        <v/>
      </c>
      <c r="AA1939">
        <f>IF(AND($A1939&lt;&gt;"",$B1939&lt;&gt;"",$R1939='تقرير يناير'!$C$4,$P1939='تقرير يناير'!$C$6),COUNT(AA$4:AA1938)+1,"")</f>
        <v/>
      </c>
      <c r="AB1939">
        <f>IF(AND($A1939&lt;&gt;"",$B1939&lt;&gt;"",$R1939='تقرير فبراير'!$C$4,$P1939='تقرير فبراير'!$C$6),COUNT(AB$4:AB1938)+1,"")</f>
        <v/>
      </c>
      <c r="AC1939">
        <f>IF(AND($A1939&lt;&gt;"",$B1939&lt;&gt;"",$R1939='تقرير مارس'!$C$4,$P1939='تقرير مارس'!$C$6),COUNT(AC$4:AC1938)+1,"")</f>
        <v/>
      </c>
      <c r="AD1939">
        <f>IF(AND($A1939&lt;&gt;"",$B1939&lt;&gt;"",$R1939='تقرير أبريل'!$C$4,$P1939='تقرير أبريل'!$C$6),COUNT(AD$4:AD1938)+1,"")</f>
        <v/>
      </c>
      <c r="AE1939">
        <f>IF(AND($A1939&lt;&gt;"",$B1939&lt;&gt;"",$R1939='تقرير مايو'!$C$4,$P1939='تقرير مايو'!$C$6),COUNT(AE$4:AE1938)+1,"")</f>
        <v/>
      </c>
    </row>
    <row r="1940">
      <c r="A1940" s="16" t="n"/>
      <c r="B1940" s="17" t="n"/>
      <c r="C1940" s="17" t="n"/>
      <c r="D1940" s="18" t="n"/>
      <c r="E1940" s="17" t="n"/>
      <c r="F1940" s="17" t="n"/>
      <c r="G1940" s="19" t="n"/>
      <c r="H1940" s="17" t="n"/>
      <c r="I1940" s="17" t="n"/>
      <c r="J1940" s="17" t="n"/>
      <c r="K1940" s="20">
        <f>IF($B1940="","",IFERROR(INDEX(الموظفات!$A$5:$A$304,MATCH($B1940,الموظفات!$B$5:$B$304,0))&amp;"",""))</f>
        <v/>
      </c>
      <c r="L1940" s="21">
        <f>IF($B1940="","",IFERROR(INDEX(الموظفات!$C$5:$C$304,MATCH($B1940,الموظفات!$B$5:$B$304,0))&amp;"",""))</f>
        <v/>
      </c>
      <c r="M1940" s="20">
        <f>IF($B1940="","",IFERROR(INDEX(الموظفات!$D$5:$D$304,MATCH($B1940,الموظفات!$B$5:$B$304,0))&amp;"",""))</f>
        <v/>
      </c>
      <c r="N1940" s="20">
        <f>IF($B1940="","",IFERROR(INDEX(الموظفات!$E$5:$E$304,MATCH($B1940,الموظفات!$B$5:$B$304,0))&amp;"",""))</f>
        <v/>
      </c>
      <c r="O1940" s="21">
        <f>IF(C1940="","",IFERROR(INDEX(الإعدادات!$D$7:$D$35,MATCH(C1940,الإعدادات!$A$7:$A$35,0))&amp;"",""))</f>
        <v/>
      </c>
      <c r="P1940" s="20">
        <f>IF(A1940="","",INDEX(الإعدادات!$H$7:$H$18,MONTH(A1940)))</f>
        <v/>
      </c>
      <c r="Q1940" s="20">
        <f>IF(A1940="","",INDEX(الإعدادات!$I$7:$I$18,MONTH(A1940)))</f>
        <v/>
      </c>
      <c r="R1940" s="20">
        <f>IF(A1940="","",IF(MONTH(A1940)&gt;=8,YEAR(A1940)&amp;"-"&amp;(YEAR(A1940)+1),(YEAR(A1940)-1)&amp;"-"&amp;YEAR(A1940)))</f>
        <v/>
      </c>
      <c r="S1940" s="20">
        <f>IF(OR(A1940="",B1940=""),0,IF(AND(R1940=التقارير!$C$4,OR(التقارير!$C$5="سنوي",AND(التقارير!$C$5="شهري",P1940=التقارير!$C$6),AND(التقارير!$C$5="فصلي",Q1940=التقارير!$C$7))),1,0))</f>
        <v/>
      </c>
      <c r="T1940" s="20">
        <f>IF(S1940=1,COUNTIF($S$5:S1940,1),"")</f>
        <v/>
      </c>
      <c r="U1940">
        <f>IF(AND($A1940&lt;&gt;"",$B1940&lt;&gt;"",$R1940='تقرير الفصل الأول'!$C$4,$Q1940='تقرير الفصل الأول'!$C$7),COUNT(U$4:U1939)+1,"")</f>
        <v/>
      </c>
      <c r="V1940">
        <f>IF(AND($A1940&lt;&gt;"",$B1940&lt;&gt;"",$R1940='تقرير الفصل الثاني'!$C$4,$Q1940='تقرير الفصل الثاني'!$C$7),COUNT(V$4:V1939)+1,"")</f>
        <v/>
      </c>
      <c r="W1940">
        <f>IF(AND($A1940&lt;&gt;"",$B1940&lt;&gt;"",$R1940='تقرير سبتمبر'!$C$4,$P1940='تقرير سبتمبر'!$C$6),COUNT(W$4:W1939)+1,"")</f>
        <v/>
      </c>
      <c r="X1940">
        <f>IF(AND($A1940&lt;&gt;"",$B1940&lt;&gt;"",$R1940='تقرير أكتوبر'!$C$4,$P1940='تقرير أكتوبر'!$C$6),COUNT(X$4:X1939)+1,"")</f>
        <v/>
      </c>
      <c r="Y1940">
        <f>IF(AND($A1940&lt;&gt;"",$B1940&lt;&gt;"",$R1940='تقرير نوفمبر'!$C$4,$P1940='تقرير نوفمبر'!$C$6),COUNT(Y$4:Y1939)+1,"")</f>
        <v/>
      </c>
      <c r="Z1940">
        <f>IF(AND($A1940&lt;&gt;"",$B1940&lt;&gt;"",$R1940='تقرير ديسمبر'!$C$4,$P1940='تقرير ديسمبر'!$C$6),COUNT(Z$4:Z1939)+1,"")</f>
        <v/>
      </c>
      <c r="AA1940">
        <f>IF(AND($A1940&lt;&gt;"",$B1940&lt;&gt;"",$R1940='تقرير يناير'!$C$4,$P1940='تقرير يناير'!$C$6),COUNT(AA$4:AA1939)+1,"")</f>
        <v/>
      </c>
      <c r="AB1940">
        <f>IF(AND($A1940&lt;&gt;"",$B1940&lt;&gt;"",$R1940='تقرير فبراير'!$C$4,$P1940='تقرير فبراير'!$C$6),COUNT(AB$4:AB1939)+1,"")</f>
        <v/>
      </c>
      <c r="AC1940">
        <f>IF(AND($A1940&lt;&gt;"",$B1940&lt;&gt;"",$R1940='تقرير مارس'!$C$4,$P1940='تقرير مارس'!$C$6),COUNT(AC$4:AC1939)+1,"")</f>
        <v/>
      </c>
      <c r="AD1940">
        <f>IF(AND($A1940&lt;&gt;"",$B1940&lt;&gt;"",$R1940='تقرير أبريل'!$C$4,$P1940='تقرير أبريل'!$C$6),COUNT(AD$4:AD1939)+1,"")</f>
        <v/>
      </c>
      <c r="AE1940">
        <f>IF(AND($A1940&lt;&gt;"",$B1940&lt;&gt;"",$R1940='تقرير مايو'!$C$4,$P1940='تقرير مايو'!$C$6),COUNT(AE$4:AE1939)+1,"")</f>
        <v/>
      </c>
    </row>
    <row r="1941">
      <c r="A1941" s="16" t="n"/>
      <c r="B1941" s="17" t="n"/>
      <c r="C1941" s="17" t="n"/>
      <c r="D1941" s="18" t="n"/>
      <c r="E1941" s="17" t="n"/>
      <c r="F1941" s="17" t="n"/>
      <c r="G1941" s="19" t="n"/>
      <c r="H1941" s="17" t="n"/>
      <c r="I1941" s="17" t="n"/>
      <c r="J1941" s="17" t="n"/>
      <c r="K1941" s="20">
        <f>IF($B1941="","",IFERROR(INDEX(الموظفات!$A$5:$A$304,MATCH($B1941,الموظفات!$B$5:$B$304,0))&amp;"",""))</f>
        <v/>
      </c>
      <c r="L1941" s="21">
        <f>IF($B1941="","",IFERROR(INDEX(الموظفات!$C$5:$C$304,MATCH($B1941,الموظفات!$B$5:$B$304,0))&amp;"",""))</f>
        <v/>
      </c>
      <c r="M1941" s="20">
        <f>IF($B1941="","",IFERROR(INDEX(الموظفات!$D$5:$D$304,MATCH($B1941,الموظفات!$B$5:$B$304,0))&amp;"",""))</f>
        <v/>
      </c>
      <c r="N1941" s="20">
        <f>IF($B1941="","",IFERROR(INDEX(الموظفات!$E$5:$E$304,MATCH($B1941,الموظفات!$B$5:$B$304,0))&amp;"",""))</f>
        <v/>
      </c>
      <c r="O1941" s="21">
        <f>IF(C1941="","",IFERROR(INDEX(الإعدادات!$D$7:$D$35,MATCH(C1941,الإعدادات!$A$7:$A$35,0))&amp;"",""))</f>
        <v/>
      </c>
      <c r="P1941" s="20">
        <f>IF(A1941="","",INDEX(الإعدادات!$H$7:$H$18,MONTH(A1941)))</f>
        <v/>
      </c>
      <c r="Q1941" s="20">
        <f>IF(A1941="","",INDEX(الإعدادات!$I$7:$I$18,MONTH(A1941)))</f>
        <v/>
      </c>
      <c r="R1941" s="20">
        <f>IF(A1941="","",IF(MONTH(A1941)&gt;=8,YEAR(A1941)&amp;"-"&amp;(YEAR(A1941)+1),(YEAR(A1941)-1)&amp;"-"&amp;YEAR(A1941)))</f>
        <v/>
      </c>
      <c r="S1941" s="20">
        <f>IF(OR(A1941="",B1941=""),0,IF(AND(R1941=التقارير!$C$4,OR(التقارير!$C$5="سنوي",AND(التقارير!$C$5="شهري",P1941=التقارير!$C$6),AND(التقارير!$C$5="فصلي",Q1941=التقارير!$C$7))),1,0))</f>
        <v/>
      </c>
      <c r="T1941" s="20">
        <f>IF(S1941=1,COUNTIF($S$5:S1941,1),"")</f>
        <v/>
      </c>
      <c r="U1941">
        <f>IF(AND($A1941&lt;&gt;"",$B1941&lt;&gt;"",$R1941='تقرير الفصل الأول'!$C$4,$Q1941='تقرير الفصل الأول'!$C$7),COUNT(U$4:U1940)+1,"")</f>
        <v/>
      </c>
      <c r="V1941">
        <f>IF(AND($A1941&lt;&gt;"",$B1941&lt;&gt;"",$R1941='تقرير الفصل الثاني'!$C$4,$Q1941='تقرير الفصل الثاني'!$C$7),COUNT(V$4:V1940)+1,"")</f>
        <v/>
      </c>
      <c r="W1941">
        <f>IF(AND($A1941&lt;&gt;"",$B1941&lt;&gt;"",$R1941='تقرير سبتمبر'!$C$4,$P1941='تقرير سبتمبر'!$C$6),COUNT(W$4:W1940)+1,"")</f>
        <v/>
      </c>
      <c r="X1941">
        <f>IF(AND($A1941&lt;&gt;"",$B1941&lt;&gt;"",$R1941='تقرير أكتوبر'!$C$4,$P1941='تقرير أكتوبر'!$C$6),COUNT(X$4:X1940)+1,"")</f>
        <v/>
      </c>
      <c r="Y1941">
        <f>IF(AND($A1941&lt;&gt;"",$B1941&lt;&gt;"",$R1941='تقرير نوفمبر'!$C$4,$P1941='تقرير نوفمبر'!$C$6),COUNT(Y$4:Y1940)+1,"")</f>
        <v/>
      </c>
      <c r="Z1941">
        <f>IF(AND($A1941&lt;&gt;"",$B1941&lt;&gt;"",$R1941='تقرير ديسمبر'!$C$4,$P1941='تقرير ديسمبر'!$C$6),COUNT(Z$4:Z1940)+1,"")</f>
        <v/>
      </c>
      <c r="AA1941">
        <f>IF(AND($A1941&lt;&gt;"",$B1941&lt;&gt;"",$R1941='تقرير يناير'!$C$4,$P1941='تقرير يناير'!$C$6),COUNT(AA$4:AA1940)+1,"")</f>
        <v/>
      </c>
      <c r="AB1941">
        <f>IF(AND($A1941&lt;&gt;"",$B1941&lt;&gt;"",$R1941='تقرير فبراير'!$C$4,$P1941='تقرير فبراير'!$C$6),COUNT(AB$4:AB1940)+1,"")</f>
        <v/>
      </c>
      <c r="AC1941">
        <f>IF(AND($A1941&lt;&gt;"",$B1941&lt;&gt;"",$R1941='تقرير مارس'!$C$4,$P1941='تقرير مارس'!$C$6),COUNT(AC$4:AC1940)+1,"")</f>
        <v/>
      </c>
      <c r="AD1941">
        <f>IF(AND($A1941&lt;&gt;"",$B1941&lt;&gt;"",$R1941='تقرير أبريل'!$C$4,$P1941='تقرير أبريل'!$C$6),COUNT(AD$4:AD1940)+1,"")</f>
        <v/>
      </c>
      <c r="AE1941">
        <f>IF(AND($A1941&lt;&gt;"",$B1941&lt;&gt;"",$R1941='تقرير مايو'!$C$4,$P1941='تقرير مايو'!$C$6),COUNT(AE$4:AE1940)+1,"")</f>
        <v/>
      </c>
    </row>
    <row r="1942">
      <c r="A1942" s="16" t="n"/>
      <c r="B1942" s="17" t="n"/>
      <c r="C1942" s="17" t="n"/>
      <c r="D1942" s="18" t="n"/>
      <c r="E1942" s="17" t="n"/>
      <c r="F1942" s="17" t="n"/>
      <c r="G1942" s="19" t="n"/>
      <c r="H1942" s="17" t="n"/>
      <c r="I1942" s="17" t="n"/>
      <c r="J1942" s="17" t="n"/>
      <c r="K1942" s="20">
        <f>IF($B1942="","",IFERROR(INDEX(الموظفات!$A$5:$A$304,MATCH($B1942,الموظفات!$B$5:$B$304,0))&amp;"",""))</f>
        <v/>
      </c>
      <c r="L1942" s="21">
        <f>IF($B1942="","",IFERROR(INDEX(الموظفات!$C$5:$C$304,MATCH($B1942,الموظفات!$B$5:$B$304,0))&amp;"",""))</f>
        <v/>
      </c>
      <c r="M1942" s="20">
        <f>IF($B1942="","",IFERROR(INDEX(الموظفات!$D$5:$D$304,MATCH($B1942,الموظفات!$B$5:$B$304,0))&amp;"",""))</f>
        <v/>
      </c>
      <c r="N1942" s="20">
        <f>IF($B1942="","",IFERROR(INDEX(الموظفات!$E$5:$E$304,MATCH($B1942,الموظفات!$B$5:$B$304,0))&amp;"",""))</f>
        <v/>
      </c>
      <c r="O1942" s="21">
        <f>IF(C1942="","",IFERROR(INDEX(الإعدادات!$D$7:$D$35,MATCH(C1942,الإعدادات!$A$7:$A$35,0))&amp;"",""))</f>
        <v/>
      </c>
      <c r="P1942" s="20">
        <f>IF(A1942="","",INDEX(الإعدادات!$H$7:$H$18,MONTH(A1942)))</f>
        <v/>
      </c>
      <c r="Q1942" s="20">
        <f>IF(A1942="","",INDEX(الإعدادات!$I$7:$I$18,MONTH(A1942)))</f>
        <v/>
      </c>
      <c r="R1942" s="20">
        <f>IF(A1942="","",IF(MONTH(A1942)&gt;=8,YEAR(A1942)&amp;"-"&amp;(YEAR(A1942)+1),(YEAR(A1942)-1)&amp;"-"&amp;YEAR(A1942)))</f>
        <v/>
      </c>
      <c r="S1942" s="20">
        <f>IF(OR(A1942="",B1942=""),0,IF(AND(R1942=التقارير!$C$4,OR(التقارير!$C$5="سنوي",AND(التقارير!$C$5="شهري",P1942=التقارير!$C$6),AND(التقارير!$C$5="فصلي",Q1942=التقارير!$C$7))),1,0))</f>
        <v/>
      </c>
      <c r="T1942" s="20">
        <f>IF(S1942=1,COUNTIF($S$5:S1942,1),"")</f>
        <v/>
      </c>
      <c r="U1942">
        <f>IF(AND($A1942&lt;&gt;"",$B1942&lt;&gt;"",$R1942='تقرير الفصل الأول'!$C$4,$Q1942='تقرير الفصل الأول'!$C$7),COUNT(U$4:U1941)+1,"")</f>
        <v/>
      </c>
      <c r="V1942">
        <f>IF(AND($A1942&lt;&gt;"",$B1942&lt;&gt;"",$R1942='تقرير الفصل الثاني'!$C$4,$Q1942='تقرير الفصل الثاني'!$C$7),COUNT(V$4:V1941)+1,"")</f>
        <v/>
      </c>
      <c r="W1942">
        <f>IF(AND($A1942&lt;&gt;"",$B1942&lt;&gt;"",$R1942='تقرير سبتمبر'!$C$4,$P1942='تقرير سبتمبر'!$C$6),COUNT(W$4:W1941)+1,"")</f>
        <v/>
      </c>
      <c r="X1942">
        <f>IF(AND($A1942&lt;&gt;"",$B1942&lt;&gt;"",$R1942='تقرير أكتوبر'!$C$4,$P1942='تقرير أكتوبر'!$C$6),COUNT(X$4:X1941)+1,"")</f>
        <v/>
      </c>
      <c r="Y1942">
        <f>IF(AND($A1942&lt;&gt;"",$B1942&lt;&gt;"",$R1942='تقرير نوفمبر'!$C$4,$P1942='تقرير نوفمبر'!$C$6),COUNT(Y$4:Y1941)+1,"")</f>
        <v/>
      </c>
      <c r="Z1942">
        <f>IF(AND($A1942&lt;&gt;"",$B1942&lt;&gt;"",$R1942='تقرير ديسمبر'!$C$4,$P1942='تقرير ديسمبر'!$C$6),COUNT(Z$4:Z1941)+1,"")</f>
        <v/>
      </c>
      <c r="AA1942">
        <f>IF(AND($A1942&lt;&gt;"",$B1942&lt;&gt;"",$R1942='تقرير يناير'!$C$4,$P1942='تقرير يناير'!$C$6),COUNT(AA$4:AA1941)+1,"")</f>
        <v/>
      </c>
      <c r="AB1942">
        <f>IF(AND($A1942&lt;&gt;"",$B1942&lt;&gt;"",$R1942='تقرير فبراير'!$C$4,$P1942='تقرير فبراير'!$C$6),COUNT(AB$4:AB1941)+1,"")</f>
        <v/>
      </c>
      <c r="AC1942">
        <f>IF(AND($A1942&lt;&gt;"",$B1942&lt;&gt;"",$R1942='تقرير مارس'!$C$4,$P1942='تقرير مارس'!$C$6),COUNT(AC$4:AC1941)+1,"")</f>
        <v/>
      </c>
      <c r="AD1942">
        <f>IF(AND($A1942&lt;&gt;"",$B1942&lt;&gt;"",$R1942='تقرير أبريل'!$C$4,$P1942='تقرير أبريل'!$C$6),COUNT(AD$4:AD1941)+1,"")</f>
        <v/>
      </c>
      <c r="AE1942">
        <f>IF(AND($A1942&lt;&gt;"",$B1942&lt;&gt;"",$R1942='تقرير مايو'!$C$4,$P1942='تقرير مايو'!$C$6),COUNT(AE$4:AE1941)+1,"")</f>
        <v/>
      </c>
    </row>
    <row r="1943">
      <c r="A1943" s="16" t="n"/>
      <c r="B1943" s="17" t="n"/>
      <c r="C1943" s="17" t="n"/>
      <c r="D1943" s="18" t="n"/>
      <c r="E1943" s="17" t="n"/>
      <c r="F1943" s="17" t="n"/>
      <c r="G1943" s="19" t="n"/>
      <c r="H1943" s="17" t="n"/>
      <c r="I1943" s="17" t="n"/>
      <c r="J1943" s="17" t="n"/>
      <c r="K1943" s="20">
        <f>IF($B1943="","",IFERROR(INDEX(الموظفات!$A$5:$A$304,MATCH($B1943,الموظفات!$B$5:$B$304,0))&amp;"",""))</f>
        <v/>
      </c>
      <c r="L1943" s="21">
        <f>IF($B1943="","",IFERROR(INDEX(الموظفات!$C$5:$C$304,MATCH($B1943,الموظفات!$B$5:$B$304,0))&amp;"",""))</f>
        <v/>
      </c>
      <c r="M1943" s="20">
        <f>IF($B1943="","",IFERROR(INDEX(الموظفات!$D$5:$D$304,MATCH($B1943,الموظفات!$B$5:$B$304,0))&amp;"",""))</f>
        <v/>
      </c>
      <c r="N1943" s="20">
        <f>IF($B1943="","",IFERROR(INDEX(الموظفات!$E$5:$E$304,MATCH($B1943,الموظفات!$B$5:$B$304,0))&amp;"",""))</f>
        <v/>
      </c>
      <c r="O1943" s="21">
        <f>IF(C1943="","",IFERROR(INDEX(الإعدادات!$D$7:$D$35,MATCH(C1943,الإعدادات!$A$7:$A$35,0))&amp;"",""))</f>
        <v/>
      </c>
      <c r="P1943" s="20">
        <f>IF(A1943="","",INDEX(الإعدادات!$H$7:$H$18,MONTH(A1943)))</f>
        <v/>
      </c>
      <c r="Q1943" s="20">
        <f>IF(A1943="","",INDEX(الإعدادات!$I$7:$I$18,MONTH(A1943)))</f>
        <v/>
      </c>
      <c r="R1943" s="20">
        <f>IF(A1943="","",IF(MONTH(A1943)&gt;=8,YEAR(A1943)&amp;"-"&amp;(YEAR(A1943)+1),(YEAR(A1943)-1)&amp;"-"&amp;YEAR(A1943)))</f>
        <v/>
      </c>
      <c r="S1943" s="20">
        <f>IF(OR(A1943="",B1943=""),0,IF(AND(R1943=التقارير!$C$4,OR(التقارير!$C$5="سنوي",AND(التقارير!$C$5="شهري",P1943=التقارير!$C$6),AND(التقارير!$C$5="فصلي",Q1943=التقارير!$C$7))),1,0))</f>
        <v/>
      </c>
      <c r="T1943" s="20">
        <f>IF(S1943=1,COUNTIF($S$5:S1943,1),"")</f>
        <v/>
      </c>
      <c r="U1943">
        <f>IF(AND($A1943&lt;&gt;"",$B1943&lt;&gt;"",$R1943='تقرير الفصل الأول'!$C$4,$Q1943='تقرير الفصل الأول'!$C$7),COUNT(U$4:U1942)+1,"")</f>
        <v/>
      </c>
      <c r="V1943">
        <f>IF(AND($A1943&lt;&gt;"",$B1943&lt;&gt;"",$R1943='تقرير الفصل الثاني'!$C$4,$Q1943='تقرير الفصل الثاني'!$C$7),COUNT(V$4:V1942)+1,"")</f>
        <v/>
      </c>
      <c r="W1943">
        <f>IF(AND($A1943&lt;&gt;"",$B1943&lt;&gt;"",$R1943='تقرير سبتمبر'!$C$4,$P1943='تقرير سبتمبر'!$C$6),COUNT(W$4:W1942)+1,"")</f>
        <v/>
      </c>
      <c r="X1943">
        <f>IF(AND($A1943&lt;&gt;"",$B1943&lt;&gt;"",$R1943='تقرير أكتوبر'!$C$4,$P1943='تقرير أكتوبر'!$C$6),COUNT(X$4:X1942)+1,"")</f>
        <v/>
      </c>
      <c r="Y1943">
        <f>IF(AND($A1943&lt;&gt;"",$B1943&lt;&gt;"",$R1943='تقرير نوفمبر'!$C$4,$P1943='تقرير نوفمبر'!$C$6),COUNT(Y$4:Y1942)+1,"")</f>
        <v/>
      </c>
      <c r="Z1943">
        <f>IF(AND($A1943&lt;&gt;"",$B1943&lt;&gt;"",$R1943='تقرير ديسمبر'!$C$4,$P1943='تقرير ديسمبر'!$C$6),COUNT(Z$4:Z1942)+1,"")</f>
        <v/>
      </c>
      <c r="AA1943">
        <f>IF(AND($A1943&lt;&gt;"",$B1943&lt;&gt;"",$R1943='تقرير يناير'!$C$4,$P1943='تقرير يناير'!$C$6),COUNT(AA$4:AA1942)+1,"")</f>
        <v/>
      </c>
      <c r="AB1943">
        <f>IF(AND($A1943&lt;&gt;"",$B1943&lt;&gt;"",$R1943='تقرير فبراير'!$C$4,$P1943='تقرير فبراير'!$C$6),COUNT(AB$4:AB1942)+1,"")</f>
        <v/>
      </c>
      <c r="AC1943">
        <f>IF(AND($A1943&lt;&gt;"",$B1943&lt;&gt;"",$R1943='تقرير مارس'!$C$4,$P1943='تقرير مارس'!$C$6),COUNT(AC$4:AC1942)+1,"")</f>
        <v/>
      </c>
      <c r="AD1943">
        <f>IF(AND($A1943&lt;&gt;"",$B1943&lt;&gt;"",$R1943='تقرير أبريل'!$C$4,$P1943='تقرير أبريل'!$C$6),COUNT(AD$4:AD1942)+1,"")</f>
        <v/>
      </c>
      <c r="AE1943">
        <f>IF(AND($A1943&lt;&gt;"",$B1943&lt;&gt;"",$R1943='تقرير مايو'!$C$4,$P1943='تقرير مايو'!$C$6),COUNT(AE$4:AE1942)+1,"")</f>
        <v/>
      </c>
    </row>
    <row r="1944">
      <c r="A1944" s="16" t="n"/>
      <c r="B1944" s="17" t="n"/>
      <c r="C1944" s="17" t="n"/>
      <c r="D1944" s="18" t="n"/>
      <c r="E1944" s="17" t="n"/>
      <c r="F1944" s="17" t="n"/>
      <c r="G1944" s="19" t="n"/>
      <c r="H1944" s="17" t="n"/>
      <c r="I1944" s="17" t="n"/>
      <c r="J1944" s="17" t="n"/>
      <c r="K1944" s="20">
        <f>IF($B1944="","",IFERROR(INDEX(الموظفات!$A$5:$A$304,MATCH($B1944,الموظفات!$B$5:$B$304,0))&amp;"",""))</f>
        <v/>
      </c>
      <c r="L1944" s="21">
        <f>IF($B1944="","",IFERROR(INDEX(الموظفات!$C$5:$C$304,MATCH($B1944,الموظفات!$B$5:$B$304,0))&amp;"",""))</f>
        <v/>
      </c>
      <c r="M1944" s="20">
        <f>IF($B1944="","",IFERROR(INDEX(الموظفات!$D$5:$D$304,MATCH($B1944,الموظفات!$B$5:$B$304,0))&amp;"",""))</f>
        <v/>
      </c>
      <c r="N1944" s="20">
        <f>IF($B1944="","",IFERROR(INDEX(الموظفات!$E$5:$E$304,MATCH($B1944,الموظفات!$B$5:$B$304,0))&amp;"",""))</f>
        <v/>
      </c>
      <c r="O1944" s="21">
        <f>IF(C1944="","",IFERROR(INDEX(الإعدادات!$D$7:$D$35,MATCH(C1944,الإعدادات!$A$7:$A$35,0))&amp;"",""))</f>
        <v/>
      </c>
      <c r="P1944" s="20">
        <f>IF(A1944="","",INDEX(الإعدادات!$H$7:$H$18,MONTH(A1944)))</f>
        <v/>
      </c>
      <c r="Q1944" s="20">
        <f>IF(A1944="","",INDEX(الإعدادات!$I$7:$I$18,MONTH(A1944)))</f>
        <v/>
      </c>
      <c r="R1944" s="20">
        <f>IF(A1944="","",IF(MONTH(A1944)&gt;=8,YEAR(A1944)&amp;"-"&amp;(YEAR(A1944)+1),(YEAR(A1944)-1)&amp;"-"&amp;YEAR(A1944)))</f>
        <v/>
      </c>
      <c r="S1944" s="20">
        <f>IF(OR(A1944="",B1944=""),0,IF(AND(R1944=التقارير!$C$4,OR(التقارير!$C$5="سنوي",AND(التقارير!$C$5="شهري",P1944=التقارير!$C$6),AND(التقارير!$C$5="فصلي",Q1944=التقارير!$C$7))),1,0))</f>
        <v/>
      </c>
      <c r="T1944" s="20">
        <f>IF(S1944=1,COUNTIF($S$5:S1944,1),"")</f>
        <v/>
      </c>
      <c r="U1944">
        <f>IF(AND($A1944&lt;&gt;"",$B1944&lt;&gt;"",$R1944='تقرير الفصل الأول'!$C$4,$Q1944='تقرير الفصل الأول'!$C$7),COUNT(U$4:U1943)+1,"")</f>
        <v/>
      </c>
      <c r="V1944">
        <f>IF(AND($A1944&lt;&gt;"",$B1944&lt;&gt;"",$R1944='تقرير الفصل الثاني'!$C$4,$Q1944='تقرير الفصل الثاني'!$C$7),COUNT(V$4:V1943)+1,"")</f>
        <v/>
      </c>
      <c r="W1944">
        <f>IF(AND($A1944&lt;&gt;"",$B1944&lt;&gt;"",$R1944='تقرير سبتمبر'!$C$4,$P1944='تقرير سبتمبر'!$C$6),COUNT(W$4:W1943)+1,"")</f>
        <v/>
      </c>
      <c r="X1944">
        <f>IF(AND($A1944&lt;&gt;"",$B1944&lt;&gt;"",$R1944='تقرير أكتوبر'!$C$4,$P1944='تقرير أكتوبر'!$C$6),COUNT(X$4:X1943)+1,"")</f>
        <v/>
      </c>
      <c r="Y1944">
        <f>IF(AND($A1944&lt;&gt;"",$B1944&lt;&gt;"",$R1944='تقرير نوفمبر'!$C$4,$P1944='تقرير نوفمبر'!$C$6),COUNT(Y$4:Y1943)+1,"")</f>
        <v/>
      </c>
      <c r="Z1944">
        <f>IF(AND($A1944&lt;&gt;"",$B1944&lt;&gt;"",$R1944='تقرير ديسمبر'!$C$4,$P1944='تقرير ديسمبر'!$C$6),COUNT(Z$4:Z1943)+1,"")</f>
        <v/>
      </c>
      <c r="AA1944">
        <f>IF(AND($A1944&lt;&gt;"",$B1944&lt;&gt;"",$R1944='تقرير يناير'!$C$4,$P1944='تقرير يناير'!$C$6),COUNT(AA$4:AA1943)+1,"")</f>
        <v/>
      </c>
      <c r="AB1944">
        <f>IF(AND($A1944&lt;&gt;"",$B1944&lt;&gt;"",$R1944='تقرير فبراير'!$C$4,$P1944='تقرير فبراير'!$C$6),COUNT(AB$4:AB1943)+1,"")</f>
        <v/>
      </c>
      <c r="AC1944">
        <f>IF(AND($A1944&lt;&gt;"",$B1944&lt;&gt;"",$R1944='تقرير مارس'!$C$4,$P1944='تقرير مارس'!$C$6),COUNT(AC$4:AC1943)+1,"")</f>
        <v/>
      </c>
      <c r="AD1944">
        <f>IF(AND($A1944&lt;&gt;"",$B1944&lt;&gt;"",$R1944='تقرير أبريل'!$C$4,$P1944='تقرير أبريل'!$C$6),COUNT(AD$4:AD1943)+1,"")</f>
        <v/>
      </c>
      <c r="AE1944">
        <f>IF(AND($A1944&lt;&gt;"",$B1944&lt;&gt;"",$R1944='تقرير مايو'!$C$4,$P1944='تقرير مايو'!$C$6),COUNT(AE$4:AE1943)+1,"")</f>
        <v/>
      </c>
    </row>
    <row r="1945">
      <c r="A1945" s="16" t="n"/>
      <c r="B1945" s="17" t="n"/>
      <c r="C1945" s="17" t="n"/>
      <c r="D1945" s="18" t="n"/>
      <c r="E1945" s="17" t="n"/>
      <c r="F1945" s="17" t="n"/>
      <c r="G1945" s="19" t="n"/>
      <c r="H1945" s="17" t="n"/>
      <c r="I1945" s="17" t="n"/>
      <c r="J1945" s="17" t="n"/>
      <c r="K1945" s="20">
        <f>IF($B1945="","",IFERROR(INDEX(الموظفات!$A$5:$A$304,MATCH($B1945,الموظفات!$B$5:$B$304,0))&amp;"",""))</f>
        <v/>
      </c>
      <c r="L1945" s="21">
        <f>IF($B1945="","",IFERROR(INDEX(الموظفات!$C$5:$C$304,MATCH($B1945,الموظفات!$B$5:$B$304,0))&amp;"",""))</f>
        <v/>
      </c>
      <c r="M1945" s="20">
        <f>IF($B1945="","",IFERROR(INDEX(الموظفات!$D$5:$D$304,MATCH($B1945,الموظفات!$B$5:$B$304,0))&amp;"",""))</f>
        <v/>
      </c>
      <c r="N1945" s="20">
        <f>IF($B1945="","",IFERROR(INDEX(الموظفات!$E$5:$E$304,MATCH($B1945,الموظفات!$B$5:$B$304,0))&amp;"",""))</f>
        <v/>
      </c>
      <c r="O1945" s="21">
        <f>IF(C1945="","",IFERROR(INDEX(الإعدادات!$D$7:$D$35,MATCH(C1945,الإعدادات!$A$7:$A$35,0))&amp;"",""))</f>
        <v/>
      </c>
      <c r="P1945" s="20">
        <f>IF(A1945="","",INDEX(الإعدادات!$H$7:$H$18,MONTH(A1945)))</f>
        <v/>
      </c>
      <c r="Q1945" s="20">
        <f>IF(A1945="","",INDEX(الإعدادات!$I$7:$I$18,MONTH(A1945)))</f>
        <v/>
      </c>
      <c r="R1945" s="20">
        <f>IF(A1945="","",IF(MONTH(A1945)&gt;=8,YEAR(A1945)&amp;"-"&amp;(YEAR(A1945)+1),(YEAR(A1945)-1)&amp;"-"&amp;YEAR(A1945)))</f>
        <v/>
      </c>
      <c r="S1945" s="20">
        <f>IF(OR(A1945="",B1945=""),0,IF(AND(R1945=التقارير!$C$4,OR(التقارير!$C$5="سنوي",AND(التقارير!$C$5="شهري",P1945=التقارير!$C$6),AND(التقارير!$C$5="فصلي",Q1945=التقارير!$C$7))),1,0))</f>
        <v/>
      </c>
      <c r="T1945" s="20">
        <f>IF(S1945=1,COUNTIF($S$5:S1945,1),"")</f>
        <v/>
      </c>
      <c r="U1945">
        <f>IF(AND($A1945&lt;&gt;"",$B1945&lt;&gt;"",$R1945='تقرير الفصل الأول'!$C$4,$Q1945='تقرير الفصل الأول'!$C$7),COUNT(U$4:U1944)+1,"")</f>
        <v/>
      </c>
      <c r="V1945">
        <f>IF(AND($A1945&lt;&gt;"",$B1945&lt;&gt;"",$R1945='تقرير الفصل الثاني'!$C$4,$Q1945='تقرير الفصل الثاني'!$C$7),COUNT(V$4:V1944)+1,"")</f>
        <v/>
      </c>
      <c r="W1945">
        <f>IF(AND($A1945&lt;&gt;"",$B1945&lt;&gt;"",$R1945='تقرير سبتمبر'!$C$4,$P1945='تقرير سبتمبر'!$C$6),COUNT(W$4:W1944)+1,"")</f>
        <v/>
      </c>
      <c r="X1945">
        <f>IF(AND($A1945&lt;&gt;"",$B1945&lt;&gt;"",$R1945='تقرير أكتوبر'!$C$4,$P1945='تقرير أكتوبر'!$C$6),COUNT(X$4:X1944)+1,"")</f>
        <v/>
      </c>
      <c r="Y1945">
        <f>IF(AND($A1945&lt;&gt;"",$B1945&lt;&gt;"",$R1945='تقرير نوفمبر'!$C$4,$P1945='تقرير نوفمبر'!$C$6),COUNT(Y$4:Y1944)+1,"")</f>
        <v/>
      </c>
      <c r="Z1945">
        <f>IF(AND($A1945&lt;&gt;"",$B1945&lt;&gt;"",$R1945='تقرير ديسمبر'!$C$4,$P1945='تقرير ديسمبر'!$C$6),COUNT(Z$4:Z1944)+1,"")</f>
        <v/>
      </c>
      <c r="AA1945">
        <f>IF(AND($A1945&lt;&gt;"",$B1945&lt;&gt;"",$R1945='تقرير يناير'!$C$4,$P1945='تقرير يناير'!$C$6),COUNT(AA$4:AA1944)+1,"")</f>
        <v/>
      </c>
      <c r="AB1945">
        <f>IF(AND($A1945&lt;&gt;"",$B1945&lt;&gt;"",$R1945='تقرير فبراير'!$C$4,$P1945='تقرير فبراير'!$C$6),COUNT(AB$4:AB1944)+1,"")</f>
        <v/>
      </c>
      <c r="AC1945">
        <f>IF(AND($A1945&lt;&gt;"",$B1945&lt;&gt;"",$R1945='تقرير مارس'!$C$4,$P1945='تقرير مارس'!$C$6),COUNT(AC$4:AC1944)+1,"")</f>
        <v/>
      </c>
      <c r="AD1945">
        <f>IF(AND($A1945&lt;&gt;"",$B1945&lt;&gt;"",$R1945='تقرير أبريل'!$C$4,$P1945='تقرير أبريل'!$C$6),COUNT(AD$4:AD1944)+1,"")</f>
        <v/>
      </c>
      <c r="AE1945">
        <f>IF(AND($A1945&lt;&gt;"",$B1945&lt;&gt;"",$R1945='تقرير مايو'!$C$4,$P1945='تقرير مايو'!$C$6),COUNT(AE$4:AE1944)+1,"")</f>
        <v/>
      </c>
    </row>
    <row r="1946">
      <c r="A1946" s="16" t="n"/>
      <c r="B1946" s="17" t="n"/>
      <c r="C1946" s="17" t="n"/>
      <c r="D1946" s="18" t="n"/>
      <c r="E1946" s="17" t="n"/>
      <c r="F1946" s="17" t="n"/>
      <c r="G1946" s="19" t="n"/>
      <c r="H1946" s="17" t="n"/>
      <c r="I1946" s="17" t="n"/>
      <c r="J1946" s="17" t="n"/>
      <c r="K1946" s="20">
        <f>IF($B1946="","",IFERROR(INDEX(الموظفات!$A$5:$A$304,MATCH($B1946,الموظفات!$B$5:$B$304,0))&amp;"",""))</f>
        <v/>
      </c>
      <c r="L1946" s="21">
        <f>IF($B1946="","",IFERROR(INDEX(الموظفات!$C$5:$C$304,MATCH($B1946,الموظفات!$B$5:$B$304,0))&amp;"",""))</f>
        <v/>
      </c>
      <c r="M1946" s="20">
        <f>IF($B1946="","",IFERROR(INDEX(الموظفات!$D$5:$D$304,MATCH($B1946,الموظفات!$B$5:$B$304,0))&amp;"",""))</f>
        <v/>
      </c>
      <c r="N1946" s="20">
        <f>IF($B1946="","",IFERROR(INDEX(الموظفات!$E$5:$E$304,MATCH($B1946,الموظفات!$B$5:$B$304,0))&amp;"",""))</f>
        <v/>
      </c>
      <c r="O1946" s="21">
        <f>IF(C1946="","",IFERROR(INDEX(الإعدادات!$D$7:$D$35,MATCH(C1946,الإعدادات!$A$7:$A$35,0))&amp;"",""))</f>
        <v/>
      </c>
      <c r="P1946" s="20">
        <f>IF(A1946="","",INDEX(الإعدادات!$H$7:$H$18,MONTH(A1946)))</f>
        <v/>
      </c>
      <c r="Q1946" s="20">
        <f>IF(A1946="","",INDEX(الإعدادات!$I$7:$I$18,MONTH(A1946)))</f>
        <v/>
      </c>
      <c r="R1946" s="20">
        <f>IF(A1946="","",IF(MONTH(A1946)&gt;=8,YEAR(A1946)&amp;"-"&amp;(YEAR(A1946)+1),(YEAR(A1946)-1)&amp;"-"&amp;YEAR(A1946)))</f>
        <v/>
      </c>
      <c r="S1946" s="20">
        <f>IF(OR(A1946="",B1946=""),0,IF(AND(R1946=التقارير!$C$4,OR(التقارير!$C$5="سنوي",AND(التقارير!$C$5="شهري",P1946=التقارير!$C$6),AND(التقارير!$C$5="فصلي",Q1946=التقارير!$C$7))),1,0))</f>
        <v/>
      </c>
      <c r="T1946" s="20">
        <f>IF(S1946=1,COUNTIF($S$5:S1946,1),"")</f>
        <v/>
      </c>
      <c r="U1946">
        <f>IF(AND($A1946&lt;&gt;"",$B1946&lt;&gt;"",$R1946='تقرير الفصل الأول'!$C$4,$Q1946='تقرير الفصل الأول'!$C$7),COUNT(U$4:U1945)+1,"")</f>
        <v/>
      </c>
      <c r="V1946">
        <f>IF(AND($A1946&lt;&gt;"",$B1946&lt;&gt;"",$R1946='تقرير الفصل الثاني'!$C$4,$Q1946='تقرير الفصل الثاني'!$C$7),COUNT(V$4:V1945)+1,"")</f>
        <v/>
      </c>
      <c r="W1946">
        <f>IF(AND($A1946&lt;&gt;"",$B1946&lt;&gt;"",$R1946='تقرير سبتمبر'!$C$4,$P1946='تقرير سبتمبر'!$C$6),COUNT(W$4:W1945)+1,"")</f>
        <v/>
      </c>
      <c r="X1946">
        <f>IF(AND($A1946&lt;&gt;"",$B1946&lt;&gt;"",$R1946='تقرير أكتوبر'!$C$4,$P1946='تقرير أكتوبر'!$C$6),COUNT(X$4:X1945)+1,"")</f>
        <v/>
      </c>
      <c r="Y1946">
        <f>IF(AND($A1946&lt;&gt;"",$B1946&lt;&gt;"",$R1946='تقرير نوفمبر'!$C$4,$P1946='تقرير نوفمبر'!$C$6),COUNT(Y$4:Y1945)+1,"")</f>
        <v/>
      </c>
      <c r="Z1946">
        <f>IF(AND($A1946&lt;&gt;"",$B1946&lt;&gt;"",$R1946='تقرير ديسمبر'!$C$4,$P1946='تقرير ديسمبر'!$C$6),COUNT(Z$4:Z1945)+1,"")</f>
        <v/>
      </c>
      <c r="AA1946">
        <f>IF(AND($A1946&lt;&gt;"",$B1946&lt;&gt;"",$R1946='تقرير يناير'!$C$4,$P1946='تقرير يناير'!$C$6),COUNT(AA$4:AA1945)+1,"")</f>
        <v/>
      </c>
      <c r="AB1946">
        <f>IF(AND($A1946&lt;&gt;"",$B1946&lt;&gt;"",$R1946='تقرير فبراير'!$C$4,$P1946='تقرير فبراير'!$C$6),COUNT(AB$4:AB1945)+1,"")</f>
        <v/>
      </c>
      <c r="AC1946">
        <f>IF(AND($A1946&lt;&gt;"",$B1946&lt;&gt;"",$R1946='تقرير مارس'!$C$4,$P1946='تقرير مارس'!$C$6),COUNT(AC$4:AC1945)+1,"")</f>
        <v/>
      </c>
      <c r="AD1946">
        <f>IF(AND($A1946&lt;&gt;"",$B1946&lt;&gt;"",$R1946='تقرير أبريل'!$C$4,$P1946='تقرير أبريل'!$C$6),COUNT(AD$4:AD1945)+1,"")</f>
        <v/>
      </c>
      <c r="AE1946">
        <f>IF(AND($A1946&lt;&gt;"",$B1946&lt;&gt;"",$R1946='تقرير مايو'!$C$4,$P1946='تقرير مايو'!$C$6),COUNT(AE$4:AE1945)+1,"")</f>
        <v/>
      </c>
    </row>
    <row r="1947">
      <c r="A1947" s="16" t="n"/>
      <c r="B1947" s="17" t="n"/>
      <c r="C1947" s="17" t="n"/>
      <c r="D1947" s="18" t="n"/>
      <c r="E1947" s="17" t="n"/>
      <c r="F1947" s="17" t="n"/>
      <c r="G1947" s="19" t="n"/>
      <c r="H1947" s="17" t="n"/>
      <c r="I1947" s="17" t="n"/>
      <c r="J1947" s="17" t="n"/>
      <c r="K1947" s="20">
        <f>IF($B1947="","",IFERROR(INDEX(الموظفات!$A$5:$A$304,MATCH($B1947,الموظفات!$B$5:$B$304,0))&amp;"",""))</f>
        <v/>
      </c>
      <c r="L1947" s="21">
        <f>IF($B1947="","",IFERROR(INDEX(الموظفات!$C$5:$C$304,MATCH($B1947,الموظفات!$B$5:$B$304,0))&amp;"",""))</f>
        <v/>
      </c>
      <c r="M1947" s="20">
        <f>IF($B1947="","",IFERROR(INDEX(الموظفات!$D$5:$D$304,MATCH($B1947,الموظفات!$B$5:$B$304,0))&amp;"",""))</f>
        <v/>
      </c>
      <c r="N1947" s="20">
        <f>IF($B1947="","",IFERROR(INDEX(الموظفات!$E$5:$E$304,MATCH($B1947,الموظفات!$B$5:$B$304,0))&amp;"",""))</f>
        <v/>
      </c>
      <c r="O1947" s="21">
        <f>IF(C1947="","",IFERROR(INDEX(الإعدادات!$D$7:$D$35,MATCH(C1947,الإعدادات!$A$7:$A$35,0))&amp;"",""))</f>
        <v/>
      </c>
      <c r="P1947" s="20">
        <f>IF(A1947="","",INDEX(الإعدادات!$H$7:$H$18,MONTH(A1947)))</f>
        <v/>
      </c>
      <c r="Q1947" s="20">
        <f>IF(A1947="","",INDEX(الإعدادات!$I$7:$I$18,MONTH(A1947)))</f>
        <v/>
      </c>
      <c r="R1947" s="20">
        <f>IF(A1947="","",IF(MONTH(A1947)&gt;=8,YEAR(A1947)&amp;"-"&amp;(YEAR(A1947)+1),(YEAR(A1947)-1)&amp;"-"&amp;YEAR(A1947)))</f>
        <v/>
      </c>
      <c r="S1947" s="20">
        <f>IF(OR(A1947="",B1947=""),0,IF(AND(R1947=التقارير!$C$4,OR(التقارير!$C$5="سنوي",AND(التقارير!$C$5="شهري",P1947=التقارير!$C$6),AND(التقارير!$C$5="فصلي",Q1947=التقارير!$C$7))),1,0))</f>
        <v/>
      </c>
      <c r="T1947" s="20">
        <f>IF(S1947=1,COUNTIF($S$5:S1947,1),"")</f>
        <v/>
      </c>
      <c r="U1947">
        <f>IF(AND($A1947&lt;&gt;"",$B1947&lt;&gt;"",$R1947='تقرير الفصل الأول'!$C$4,$Q1947='تقرير الفصل الأول'!$C$7),COUNT(U$4:U1946)+1,"")</f>
        <v/>
      </c>
      <c r="V1947">
        <f>IF(AND($A1947&lt;&gt;"",$B1947&lt;&gt;"",$R1947='تقرير الفصل الثاني'!$C$4,$Q1947='تقرير الفصل الثاني'!$C$7),COUNT(V$4:V1946)+1,"")</f>
        <v/>
      </c>
      <c r="W1947">
        <f>IF(AND($A1947&lt;&gt;"",$B1947&lt;&gt;"",$R1947='تقرير سبتمبر'!$C$4,$P1947='تقرير سبتمبر'!$C$6),COUNT(W$4:W1946)+1,"")</f>
        <v/>
      </c>
      <c r="X1947">
        <f>IF(AND($A1947&lt;&gt;"",$B1947&lt;&gt;"",$R1947='تقرير أكتوبر'!$C$4,$P1947='تقرير أكتوبر'!$C$6),COUNT(X$4:X1946)+1,"")</f>
        <v/>
      </c>
      <c r="Y1947">
        <f>IF(AND($A1947&lt;&gt;"",$B1947&lt;&gt;"",$R1947='تقرير نوفمبر'!$C$4,$P1947='تقرير نوفمبر'!$C$6),COUNT(Y$4:Y1946)+1,"")</f>
        <v/>
      </c>
      <c r="Z1947">
        <f>IF(AND($A1947&lt;&gt;"",$B1947&lt;&gt;"",$R1947='تقرير ديسمبر'!$C$4,$P1947='تقرير ديسمبر'!$C$6),COUNT(Z$4:Z1946)+1,"")</f>
        <v/>
      </c>
      <c r="AA1947">
        <f>IF(AND($A1947&lt;&gt;"",$B1947&lt;&gt;"",$R1947='تقرير يناير'!$C$4,$P1947='تقرير يناير'!$C$6),COUNT(AA$4:AA1946)+1,"")</f>
        <v/>
      </c>
      <c r="AB1947">
        <f>IF(AND($A1947&lt;&gt;"",$B1947&lt;&gt;"",$R1947='تقرير فبراير'!$C$4,$P1947='تقرير فبراير'!$C$6),COUNT(AB$4:AB1946)+1,"")</f>
        <v/>
      </c>
      <c r="AC1947">
        <f>IF(AND($A1947&lt;&gt;"",$B1947&lt;&gt;"",$R1947='تقرير مارس'!$C$4,$P1947='تقرير مارس'!$C$6),COUNT(AC$4:AC1946)+1,"")</f>
        <v/>
      </c>
      <c r="AD1947">
        <f>IF(AND($A1947&lt;&gt;"",$B1947&lt;&gt;"",$R1947='تقرير أبريل'!$C$4,$P1947='تقرير أبريل'!$C$6),COUNT(AD$4:AD1946)+1,"")</f>
        <v/>
      </c>
      <c r="AE1947">
        <f>IF(AND($A1947&lt;&gt;"",$B1947&lt;&gt;"",$R1947='تقرير مايو'!$C$4,$P1947='تقرير مايو'!$C$6),COUNT(AE$4:AE1946)+1,"")</f>
        <v/>
      </c>
    </row>
    <row r="1948">
      <c r="A1948" s="16" t="n"/>
      <c r="B1948" s="17" t="n"/>
      <c r="C1948" s="17" t="n"/>
      <c r="D1948" s="18" t="n"/>
      <c r="E1948" s="17" t="n"/>
      <c r="F1948" s="17" t="n"/>
      <c r="G1948" s="19" t="n"/>
      <c r="H1948" s="17" t="n"/>
      <c r="I1948" s="17" t="n"/>
      <c r="J1948" s="17" t="n"/>
      <c r="K1948" s="20">
        <f>IF($B1948="","",IFERROR(INDEX(الموظفات!$A$5:$A$304,MATCH($B1948,الموظفات!$B$5:$B$304,0))&amp;"",""))</f>
        <v/>
      </c>
      <c r="L1948" s="21">
        <f>IF($B1948="","",IFERROR(INDEX(الموظفات!$C$5:$C$304,MATCH($B1948,الموظفات!$B$5:$B$304,0))&amp;"",""))</f>
        <v/>
      </c>
      <c r="M1948" s="20">
        <f>IF($B1948="","",IFERROR(INDEX(الموظفات!$D$5:$D$304,MATCH($B1948,الموظفات!$B$5:$B$304,0))&amp;"",""))</f>
        <v/>
      </c>
      <c r="N1948" s="20">
        <f>IF($B1948="","",IFERROR(INDEX(الموظفات!$E$5:$E$304,MATCH($B1948,الموظفات!$B$5:$B$304,0))&amp;"",""))</f>
        <v/>
      </c>
      <c r="O1948" s="21">
        <f>IF(C1948="","",IFERROR(INDEX(الإعدادات!$D$7:$D$35,MATCH(C1948,الإعدادات!$A$7:$A$35,0))&amp;"",""))</f>
        <v/>
      </c>
      <c r="P1948" s="20">
        <f>IF(A1948="","",INDEX(الإعدادات!$H$7:$H$18,MONTH(A1948)))</f>
        <v/>
      </c>
      <c r="Q1948" s="20">
        <f>IF(A1948="","",INDEX(الإعدادات!$I$7:$I$18,MONTH(A1948)))</f>
        <v/>
      </c>
      <c r="R1948" s="20">
        <f>IF(A1948="","",IF(MONTH(A1948)&gt;=8,YEAR(A1948)&amp;"-"&amp;(YEAR(A1948)+1),(YEAR(A1948)-1)&amp;"-"&amp;YEAR(A1948)))</f>
        <v/>
      </c>
      <c r="S1948" s="20">
        <f>IF(OR(A1948="",B1948=""),0,IF(AND(R1948=التقارير!$C$4,OR(التقارير!$C$5="سنوي",AND(التقارير!$C$5="شهري",P1948=التقارير!$C$6),AND(التقارير!$C$5="فصلي",Q1948=التقارير!$C$7))),1,0))</f>
        <v/>
      </c>
      <c r="T1948" s="20">
        <f>IF(S1948=1,COUNTIF($S$5:S1948,1),"")</f>
        <v/>
      </c>
      <c r="U1948">
        <f>IF(AND($A1948&lt;&gt;"",$B1948&lt;&gt;"",$R1948='تقرير الفصل الأول'!$C$4,$Q1948='تقرير الفصل الأول'!$C$7),COUNT(U$4:U1947)+1,"")</f>
        <v/>
      </c>
      <c r="V1948">
        <f>IF(AND($A1948&lt;&gt;"",$B1948&lt;&gt;"",$R1948='تقرير الفصل الثاني'!$C$4,$Q1948='تقرير الفصل الثاني'!$C$7),COUNT(V$4:V1947)+1,"")</f>
        <v/>
      </c>
      <c r="W1948">
        <f>IF(AND($A1948&lt;&gt;"",$B1948&lt;&gt;"",$R1948='تقرير سبتمبر'!$C$4,$P1948='تقرير سبتمبر'!$C$6),COUNT(W$4:W1947)+1,"")</f>
        <v/>
      </c>
      <c r="X1948">
        <f>IF(AND($A1948&lt;&gt;"",$B1948&lt;&gt;"",$R1948='تقرير أكتوبر'!$C$4,$P1948='تقرير أكتوبر'!$C$6),COUNT(X$4:X1947)+1,"")</f>
        <v/>
      </c>
      <c r="Y1948">
        <f>IF(AND($A1948&lt;&gt;"",$B1948&lt;&gt;"",$R1948='تقرير نوفمبر'!$C$4,$P1948='تقرير نوفمبر'!$C$6),COUNT(Y$4:Y1947)+1,"")</f>
        <v/>
      </c>
      <c r="Z1948">
        <f>IF(AND($A1948&lt;&gt;"",$B1948&lt;&gt;"",$R1948='تقرير ديسمبر'!$C$4,$P1948='تقرير ديسمبر'!$C$6),COUNT(Z$4:Z1947)+1,"")</f>
        <v/>
      </c>
      <c r="AA1948">
        <f>IF(AND($A1948&lt;&gt;"",$B1948&lt;&gt;"",$R1948='تقرير يناير'!$C$4,$P1948='تقرير يناير'!$C$6),COUNT(AA$4:AA1947)+1,"")</f>
        <v/>
      </c>
      <c r="AB1948">
        <f>IF(AND($A1948&lt;&gt;"",$B1948&lt;&gt;"",$R1948='تقرير فبراير'!$C$4,$P1948='تقرير فبراير'!$C$6),COUNT(AB$4:AB1947)+1,"")</f>
        <v/>
      </c>
      <c r="AC1948">
        <f>IF(AND($A1948&lt;&gt;"",$B1948&lt;&gt;"",$R1948='تقرير مارس'!$C$4,$P1948='تقرير مارس'!$C$6),COUNT(AC$4:AC1947)+1,"")</f>
        <v/>
      </c>
      <c r="AD1948">
        <f>IF(AND($A1948&lt;&gt;"",$B1948&lt;&gt;"",$R1948='تقرير أبريل'!$C$4,$P1948='تقرير أبريل'!$C$6),COUNT(AD$4:AD1947)+1,"")</f>
        <v/>
      </c>
      <c r="AE1948">
        <f>IF(AND($A1948&lt;&gt;"",$B1948&lt;&gt;"",$R1948='تقرير مايو'!$C$4,$P1948='تقرير مايو'!$C$6),COUNT(AE$4:AE1947)+1,"")</f>
        <v/>
      </c>
    </row>
    <row r="1949">
      <c r="A1949" s="16" t="n"/>
      <c r="B1949" s="17" t="n"/>
      <c r="C1949" s="17" t="n"/>
      <c r="D1949" s="18" t="n"/>
      <c r="E1949" s="17" t="n"/>
      <c r="F1949" s="17" t="n"/>
      <c r="G1949" s="19" t="n"/>
      <c r="H1949" s="17" t="n"/>
      <c r="I1949" s="17" t="n"/>
      <c r="J1949" s="17" t="n"/>
      <c r="K1949" s="20">
        <f>IF($B1949="","",IFERROR(INDEX(الموظفات!$A$5:$A$304,MATCH($B1949,الموظفات!$B$5:$B$304,0))&amp;"",""))</f>
        <v/>
      </c>
      <c r="L1949" s="21">
        <f>IF($B1949="","",IFERROR(INDEX(الموظفات!$C$5:$C$304,MATCH($B1949,الموظفات!$B$5:$B$304,0))&amp;"",""))</f>
        <v/>
      </c>
      <c r="M1949" s="20">
        <f>IF($B1949="","",IFERROR(INDEX(الموظفات!$D$5:$D$304,MATCH($B1949,الموظفات!$B$5:$B$304,0))&amp;"",""))</f>
        <v/>
      </c>
      <c r="N1949" s="20">
        <f>IF($B1949="","",IFERROR(INDEX(الموظفات!$E$5:$E$304,MATCH($B1949,الموظفات!$B$5:$B$304,0))&amp;"",""))</f>
        <v/>
      </c>
      <c r="O1949" s="21">
        <f>IF(C1949="","",IFERROR(INDEX(الإعدادات!$D$7:$D$35,MATCH(C1949,الإعدادات!$A$7:$A$35,0))&amp;"",""))</f>
        <v/>
      </c>
      <c r="P1949" s="20">
        <f>IF(A1949="","",INDEX(الإعدادات!$H$7:$H$18,MONTH(A1949)))</f>
        <v/>
      </c>
      <c r="Q1949" s="20">
        <f>IF(A1949="","",INDEX(الإعدادات!$I$7:$I$18,MONTH(A1949)))</f>
        <v/>
      </c>
      <c r="R1949" s="20">
        <f>IF(A1949="","",IF(MONTH(A1949)&gt;=8,YEAR(A1949)&amp;"-"&amp;(YEAR(A1949)+1),(YEAR(A1949)-1)&amp;"-"&amp;YEAR(A1949)))</f>
        <v/>
      </c>
      <c r="S1949" s="20">
        <f>IF(OR(A1949="",B1949=""),0,IF(AND(R1949=التقارير!$C$4,OR(التقارير!$C$5="سنوي",AND(التقارير!$C$5="شهري",P1949=التقارير!$C$6),AND(التقارير!$C$5="فصلي",Q1949=التقارير!$C$7))),1,0))</f>
        <v/>
      </c>
      <c r="T1949" s="20">
        <f>IF(S1949=1,COUNTIF($S$5:S1949,1),"")</f>
        <v/>
      </c>
      <c r="U1949">
        <f>IF(AND($A1949&lt;&gt;"",$B1949&lt;&gt;"",$R1949='تقرير الفصل الأول'!$C$4,$Q1949='تقرير الفصل الأول'!$C$7),COUNT(U$4:U1948)+1,"")</f>
        <v/>
      </c>
      <c r="V1949">
        <f>IF(AND($A1949&lt;&gt;"",$B1949&lt;&gt;"",$R1949='تقرير الفصل الثاني'!$C$4,$Q1949='تقرير الفصل الثاني'!$C$7),COUNT(V$4:V1948)+1,"")</f>
        <v/>
      </c>
      <c r="W1949">
        <f>IF(AND($A1949&lt;&gt;"",$B1949&lt;&gt;"",$R1949='تقرير سبتمبر'!$C$4,$P1949='تقرير سبتمبر'!$C$6),COUNT(W$4:W1948)+1,"")</f>
        <v/>
      </c>
      <c r="X1949">
        <f>IF(AND($A1949&lt;&gt;"",$B1949&lt;&gt;"",$R1949='تقرير أكتوبر'!$C$4,$P1949='تقرير أكتوبر'!$C$6),COUNT(X$4:X1948)+1,"")</f>
        <v/>
      </c>
      <c r="Y1949">
        <f>IF(AND($A1949&lt;&gt;"",$B1949&lt;&gt;"",$R1949='تقرير نوفمبر'!$C$4,$P1949='تقرير نوفمبر'!$C$6),COUNT(Y$4:Y1948)+1,"")</f>
        <v/>
      </c>
      <c r="Z1949">
        <f>IF(AND($A1949&lt;&gt;"",$B1949&lt;&gt;"",$R1949='تقرير ديسمبر'!$C$4,$P1949='تقرير ديسمبر'!$C$6),COUNT(Z$4:Z1948)+1,"")</f>
        <v/>
      </c>
      <c r="AA1949">
        <f>IF(AND($A1949&lt;&gt;"",$B1949&lt;&gt;"",$R1949='تقرير يناير'!$C$4,$P1949='تقرير يناير'!$C$6),COUNT(AA$4:AA1948)+1,"")</f>
        <v/>
      </c>
      <c r="AB1949">
        <f>IF(AND($A1949&lt;&gt;"",$B1949&lt;&gt;"",$R1949='تقرير فبراير'!$C$4,$P1949='تقرير فبراير'!$C$6),COUNT(AB$4:AB1948)+1,"")</f>
        <v/>
      </c>
      <c r="AC1949">
        <f>IF(AND($A1949&lt;&gt;"",$B1949&lt;&gt;"",$R1949='تقرير مارس'!$C$4,$P1949='تقرير مارس'!$C$6),COUNT(AC$4:AC1948)+1,"")</f>
        <v/>
      </c>
      <c r="AD1949">
        <f>IF(AND($A1949&lt;&gt;"",$B1949&lt;&gt;"",$R1949='تقرير أبريل'!$C$4,$P1949='تقرير أبريل'!$C$6),COUNT(AD$4:AD1948)+1,"")</f>
        <v/>
      </c>
      <c r="AE1949">
        <f>IF(AND($A1949&lt;&gt;"",$B1949&lt;&gt;"",$R1949='تقرير مايو'!$C$4,$P1949='تقرير مايو'!$C$6),COUNT(AE$4:AE1948)+1,"")</f>
        <v/>
      </c>
    </row>
    <row r="1950">
      <c r="A1950" s="16" t="n"/>
      <c r="B1950" s="17" t="n"/>
      <c r="C1950" s="17" t="n"/>
      <c r="D1950" s="18" t="n"/>
      <c r="E1950" s="17" t="n"/>
      <c r="F1950" s="17" t="n"/>
      <c r="G1950" s="19" t="n"/>
      <c r="H1950" s="17" t="n"/>
      <c r="I1950" s="17" t="n"/>
      <c r="J1950" s="17" t="n"/>
      <c r="K1950" s="20">
        <f>IF($B1950="","",IFERROR(INDEX(الموظفات!$A$5:$A$304,MATCH($B1950,الموظفات!$B$5:$B$304,0))&amp;"",""))</f>
        <v/>
      </c>
      <c r="L1950" s="21">
        <f>IF($B1950="","",IFERROR(INDEX(الموظفات!$C$5:$C$304,MATCH($B1950,الموظفات!$B$5:$B$304,0))&amp;"",""))</f>
        <v/>
      </c>
      <c r="M1950" s="20">
        <f>IF($B1950="","",IFERROR(INDEX(الموظفات!$D$5:$D$304,MATCH($B1950,الموظفات!$B$5:$B$304,0))&amp;"",""))</f>
        <v/>
      </c>
      <c r="N1950" s="20">
        <f>IF($B1950="","",IFERROR(INDEX(الموظفات!$E$5:$E$304,MATCH($B1950,الموظفات!$B$5:$B$304,0))&amp;"",""))</f>
        <v/>
      </c>
      <c r="O1950" s="21">
        <f>IF(C1950="","",IFERROR(INDEX(الإعدادات!$D$7:$D$35,MATCH(C1950,الإعدادات!$A$7:$A$35,0))&amp;"",""))</f>
        <v/>
      </c>
      <c r="P1950" s="20">
        <f>IF(A1950="","",INDEX(الإعدادات!$H$7:$H$18,MONTH(A1950)))</f>
        <v/>
      </c>
      <c r="Q1950" s="20">
        <f>IF(A1950="","",INDEX(الإعدادات!$I$7:$I$18,MONTH(A1950)))</f>
        <v/>
      </c>
      <c r="R1950" s="20">
        <f>IF(A1950="","",IF(MONTH(A1950)&gt;=8,YEAR(A1950)&amp;"-"&amp;(YEAR(A1950)+1),(YEAR(A1950)-1)&amp;"-"&amp;YEAR(A1950)))</f>
        <v/>
      </c>
      <c r="S1950" s="20">
        <f>IF(OR(A1950="",B1950=""),0,IF(AND(R1950=التقارير!$C$4,OR(التقارير!$C$5="سنوي",AND(التقارير!$C$5="شهري",P1950=التقارير!$C$6),AND(التقارير!$C$5="فصلي",Q1950=التقارير!$C$7))),1,0))</f>
        <v/>
      </c>
      <c r="T1950" s="20">
        <f>IF(S1950=1,COUNTIF($S$5:S1950,1),"")</f>
        <v/>
      </c>
      <c r="U1950">
        <f>IF(AND($A1950&lt;&gt;"",$B1950&lt;&gt;"",$R1950='تقرير الفصل الأول'!$C$4,$Q1950='تقرير الفصل الأول'!$C$7),COUNT(U$4:U1949)+1,"")</f>
        <v/>
      </c>
      <c r="V1950">
        <f>IF(AND($A1950&lt;&gt;"",$B1950&lt;&gt;"",$R1950='تقرير الفصل الثاني'!$C$4,$Q1950='تقرير الفصل الثاني'!$C$7),COUNT(V$4:V1949)+1,"")</f>
        <v/>
      </c>
      <c r="W1950">
        <f>IF(AND($A1950&lt;&gt;"",$B1950&lt;&gt;"",$R1950='تقرير سبتمبر'!$C$4,$P1950='تقرير سبتمبر'!$C$6),COUNT(W$4:W1949)+1,"")</f>
        <v/>
      </c>
      <c r="X1950">
        <f>IF(AND($A1950&lt;&gt;"",$B1950&lt;&gt;"",$R1950='تقرير أكتوبر'!$C$4,$P1950='تقرير أكتوبر'!$C$6),COUNT(X$4:X1949)+1,"")</f>
        <v/>
      </c>
      <c r="Y1950">
        <f>IF(AND($A1950&lt;&gt;"",$B1950&lt;&gt;"",$R1950='تقرير نوفمبر'!$C$4,$P1950='تقرير نوفمبر'!$C$6),COUNT(Y$4:Y1949)+1,"")</f>
        <v/>
      </c>
      <c r="Z1950">
        <f>IF(AND($A1950&lt;&gt;"",$B1950&lt;&gt;"",$R1950='تقرير ديسمبر'!$C$4,$P1950='تقرير ديسمبر'!$C$6),COUNT(Z$4:Z1949)+1,"")</f>
        <v/>
      </c>
      <c r="AA1950">
        <f>IF(AND($A1950&lt;&gt;"",$B1950&lt;&gt;"",$R1950='تقرير يناير'!$C$4,$P1950='تقرير يناير'!$C$6),COUNT(AA$4:AA1949)+1,"")</f>
        <v/>
      </c>
      <c r="AB1950">
        <f>IF(AND($A1950&lt;&gt;"",$B1950&lt;&gt;"",$R1950='تقرير فبراير'!$C$4,$P1950='تقرير فبراير'!$C$6),COUNT(AB$4:AB1949)+1,"")</f>
        <v/>
      </c>
      <c r="AC1950">
        <f>IF(AND($A1950&lt;&gt;"",$B1950&lt;&gt;"",$R1950='تقرير مارس'!$C$4,$P1950='تقرير مارس'!$C$6),COUNT(AC$4:AC1949)+1,"")</f>
        <v/>
      </c>
      <c r="AD1950">
        <f>IF(AND($A1950&lt;&gt;"",$B1950&lt;&gt;"",$R1950='تقرير أبريل'!$C$4,$P1950='تقرير أبريل'!$C$6),COUNT(AD$4:AD1949)+1,"")</f>
        <v/>
      </c>
      <c r="AE1950">
        <f>IF(AND($A1950&lt;&gt;"",$B1950&lt;&gt;"",$R1950='تقرير مايو'!$C$4,$P1950='تقرير مايو'!$C$6),COUNT(AE$4:AE1949)+1,"")</f>
        <v/>
      </c>
    </row>
    <row r="1951">
      <c r="A1951" s="16" t="n"/>
      <c r="B1951" s="17" t="n"/>
      <c r="C1951" s="17" t="n"/>
      <c r="D1951" s="18" t="n"/>
      <c r="E1951" s="17" t="n"/>
      <c r="F1951" s="17" t="n"/>
      <c r="G1951" s="19" t="n"/>
      <c r="H1951" s="17" t="n"/>
      <c r="I1951" s="17" t="n"/>
      <c r="J1951" s="17" t="n"/>
      <c r="K1951" s="20">
        <f>IF($B1951="","",IFERROR(INDEX(الموظفات!$A$5:$A$304,MATCH($B1951,الموظفات!$B$5:$B$304,0))&amp;"",""))</f>
        <v/>
      </c>
      <c r="L1951" s="21">
        <f>IF($B1951="","",IFERROR(INDEX(الموظفات!$C$5:$C$304,MATCH($B1951,الموظفات!$B$5:$B$304,0))&amp;"",""))</f>
        <v/>
      </c>
      <c r="M1951" s="20">
        <f>IF($B1951="","",IFERROR(INDEX(الموظفات!$D$5:$D$304,MATCH($B1951,الموظفات!$B$5:$B$304,0))&amp;"",""))</f>
        <v/>
      </c>
      <c r="N1951" s="20">
        <f>IF($B1951="","",IFERROR(INDEX(الموظفات!$E$5:$E$304,MATCH($B1951,الموظفات!$B$5:$B$304,0))&amp;"",""))</f>
        <v/>
      </c>
      <c r="O1951" s="21">
        <f>IF(C1951="","",IFERROR(INDEX(الإعدادات!$D$7:$D$35,MATCH(C1951,الإعدادات!$A$7:$A$35,0))&amp;"",""))</f>
        <v/>
      </c>
      <c r="P1951" s="20">
        <f>IF(A1951="","",INDEX(الإعدادات!$H$7:$H$18,MONTH(A1951)))</f>
        <v/>
      </c>
      <c r="Q1951" s="20">
        <f>IF(A1951="","",INDEX(الإعدادات!$I$7:$I$18,MONTH(A1951)))</f>
        <v/>
      </c>
      <c r="R1951" s="20">
        <f>IF(A1951="","",IF(MONTH(A1951)&gt;=8,YEAR(A1951)&amp;"-"&amp;(YEAR(A1951)+1),(YEAR(A1951)-1)&amp;"-"&amp;YEAR(A1951)))</f>
        <v/>
      </c>
      <c r="S1951" s="20">
        <f>IF(OR(A1951="",B1951=""),0,IF(AND(R1951=التقارير!$C$4,OR(التقارير!$C$5="سنوي",AND(التقارير!$C$5="شهري",P1951=التقارير!$C$6),AND(التقارير!$C$5="فصلي",Q1951=التقارير!$C$7))),1,0))</f>
        <v/>
      </c>
      <c r="T1951" s="20">
        <f>IF(S1951=1,COUNTIF($S$5:S1951,1),"")</f>
        <v/>
      </c>
      <c r="U1951">
        <f>IF(AND($A1951&lt;&gt;"",$B1951&lt;&gt;"",$R1951='تقرير الفصل الأول'!$C$4,$Q1951='تقرير الفصل الأول'!$C$7),COUNT(U$4:U1950)+1,"")</f>
        <v/>
      </c>
      <c r="V1951">
        <f>IF(AND($A1951&lt;&gt;"",$B1951&lt;&gt;"",$R1951='تقرير الفصل الثاني'!$C$4,$Q1951='تقرير الفصل الثاني'!$C$7),COUNT(V$4:V1950)+1,"")</f>
        <v/>
      </c>
      <c r="W1951">
        <f>IF(AND($A1951&lt;&gt;"",$B1951&lt;&gt;"",$R1951='تقرير سبتمبر'!$C$4,$P1951='تقرير سبتمبر'!$C$6),COUNT(W$4:W1950)+1,"")</f>
        <v/>
      </c>
      <c r="X1951">
        <f>IF(AND($A1951&lt;&gt;"",$B1951&lt;&gt;"",$R1951='تقرير أكتوبر'!$C$4,$P1951='تقرير أكتوبر'!$C$6),COUNT(X$4:X1950)+1,"")</f>
        <v/>
      </c>
      <c r="Y1951">
        <f>IF(AND($A1951&lt;&gt;"",$B1951&lt;&gt;"",$R1951='تقرير نوفمبر'!$C$4,$P1951='تقرير نوفمبر'!$C$6),COUNT(Y$4:Y1950)+1,"")</f>
        <v/>
      </c>
      <c r="Z1951">
        <f>IF(AND($A1951&lt;&gt;"",$B1951&lt;&gt;"",$R1951='تقرير ديسمبر'!$C$4,$P1951='تقرير ديسمبر'!$C$6),COUNT(Z$4:Z1950)+1,"")</f>
        <v/>
      </c>
      <c r="AA1951">
        <f>IF(AND($A1951&lt;&gt;"",$B1951&lt;&gt;"",$R1951='تقرير يناير'!$C$4,$P1951='تقرير يناير'!$C$6),COUNT(AA$4:AA1950)+1,"")</f>
        <v/>
      </c>
      <c r="AB1951">
        <f>IF(AND($A1951&lt;&gt;"",$B1951&lt;&gt;"",$R1951='تقرير فبراير'!$C$4,$P1951='تقرير فبراير'!$C$6),COUNT(AB$4:AB1950)+1,"")</f>
        <v/>
      </c>
      <c r="AC1951">
        <f>IF(AND($A1951&lt;&gt;"",$B1951&lt;&gt;"",$R1951='تقرير مارس'!$C$4,$P1951='تقرير مارس'!$C$6),COUNT(AC$4:AC1950)+1,"")</f>
        <v/>
      </c>
      <c r="AD1951">
        <f>IF(AND($A1951&lt;&gt;"",$B1951&lt;&gt;"",$R1951='تقرير أبريل'!$C$4,$P1951='تقرير أبريل'!$C$6),COUNT(AD$4:AD1950)+1,"")</f>
        <v/>
      </c>
      <c r="AE1951">
        <f>IF(AND($A1951&lt;&gt;"",$B1951&lt;&gt;"",$R1951='تقرير مايو'!$C$4,$P1951='تقرير مايو'!$C$6),COUNT(AE$4:AE1950)+1,"")</f>
        <v/>
      </c>
    </row>
    <row r="1952">
      <c r="A1952" s="16" t="n"/>
      <c r="B1952" s="17" t="n"/>
      <c r="C1952" s="17" t="n"/>
      <c r="D1952" s="18" t="n"/>
      <c r="E1952" s="17" t="n"/>
      <c r="F1952" s="17" t="n"/>
      <c r="G1952" s="19" t="n"/>
      <c r="H1952" s="17" t="n"/>
      <c r="I1952" s="17" t="n"/>
      <c r="J1952" s="17" t="n"/>
      <c r="K1952" s="20">
        <f>IF($B1952="","",IFERROR(INDEX(الموظفات!$A$5:$A$304,MATCH($B1952,الموظفات!$B$5:$B$304,0))&amp;"",""))</f>
        <v/>
      </c>
      <c r="L1952" s="21">
        <f>IF($B1952="","",IFERROR(INDEX(الموظفات!$C$5:$C$304,MATCH($B1952,الموظفات!$B$5:$B$304,0))&amp;"",""))</f>
        <v/>
      </c>
      <c r="M1952" s="20">
        <f>IF($B1952="","",IFERROR(INDEX(الموظفات!$D$5:$D$304,MATCH($B1952,الموظفات!$B$5:$B$304,0))&amp;"",""))</f>
        <v/>
      </c>
      <c r="N1952" s="20">
        <f>IF($B1952="","",IFERROR(INDEX(الموظفات!$E$5:$E$304,MATCH($B1952,الموظفات!$B$5:$B$304,0))&amp;"",""))</f>
        <v/>
      </c>
      <c r="O1952" s="21">
        <f>IF(C1952="","",IFERROR(INDEX(الإعدادات!$D$7:$D$35,MATCH(C1952,الإعدادات!$A$7:$A$35,0))&amp;"",""))</f>
        <v/>
      </c>
      <c r="P1952" s="20">
        <f>IF(A1952="","",INDEX(الإعدادات!$H$7:$H$18,MONTH(A1952)))</f>
        <v/>
      </c>
      <c r="Q1952" s="20">
        <f>IF(A1952="","",INDEX(الإعدادات!$I$7:$I$18,MONTH(A1952)))</f>
        <v/>
      </c>
      <c r="R1952" s="20">
        <f>IF(A1952="","",IF(MONTH(A1952)&gt;=8,YEAR(A1952)&amp;"-"&amp;(YEAR(A1952)+1),(YEAR(A1952)-1)&amp;"-"&amp;YEAR(A1952)))</f>
        <v/>
      </c>
      <c r="S1952" s="20">
        <f>IF(OR(A1952="",B1952=""),0,IF(AND(R1952=التقارير!$C$4,OR(التقارير!$C$5="سنوي",AND(التقارير!$C$5="شهري",P1952=التقارير!$C$6),AND(التقارير!$C$5="فصلي",Q1952=التقارير!$C$7))),1,0))</f>
        <v/>
      </c>
      <c r="T1952" s="20">
        <f>IF(S1952=1,COUNTIF($S$5:S1952,1),"")</f>
        <v/>
      </c>
      <c r="U1952">
        <f>IF(AND($A1952&lt;&gt;"",$B1952&lt;&gt;"",$R1952='تقرير الفصل الأول'!$C$4,$Q1952='تقرير الفصل الأول'!$C$7),COUNT(U$4:U1951)+1,"")</f>
        <v/>
      </c>
      <c r="V1952">
        <f>IF(AND($A1952&lt;&gt;"",$B1952&lt;&gt;"",$R1952='تقرير الفصل الثاني'!$C$4,$Q1952='تقرير الفصل الثاني'!$C$7),COUNT(V$4:V1951)+1,"")</f>
        <v/>
      </c>
      <c r="W1952">
        <f>IF(AND($A1952&lt;&gt;"",$B1952&lt;&gt;"",$R1952='تقرير سبتمبر'!$C$4,$P1952='تقرير سبتمبر'!$C$6),COUNT(W$4:W1951)+1,"")</f>
        <v/>
      </c>
      <c r="X1952">
        <f>IF(AND($A1952&lt;&gt;"",$B1952&lt;&gt;"",$R1952='تقرير أكتوبر'!$C$4,$P1952='تقرير أكتوبر'!$C$6),COUNT(X$4:X1951)+1,"")</f>
        <v/>
      </c>
      <c r="Y1952">
        <f>IF(AND($A1952&lt;&gt;"",$B1952&lt;&gt;"",$R1952='تقرير نوفمبر'!$C$4,$P1952='تقرير نوفمبر'!$C$6),COUNT(Y$4:Y1951)+1,"")</f>
        <v/>
      </c>
      <c r="Z1952">
        <f>IF(AND($A1952&lt;&gt;"",$B1952&lt;&gt;"",$R1952='تقرير ديسمبر'!$C$4,$P1952='تقرير ديسمبر'!$C$6),COUNT(Z$4:Z1951)+1,"")</f>
        <v/>
      </c>
      <c r="AA1952">
        <f>IF(AND($A1952&lt;&gt;"",$B1952&lt;&gt;"",$R1952='تقرير يناير'!$C$4,$P1952='تقرير يناير'!$C$6),COUNT(AA$4:AA1951)+1,"")</f>
        <v/>
      </c>
      <c r="AB1952">
        <f>IF(AND($A1952&lt;&gt;"",$B1952&lt;&gt;"",$R1952='تقرير فبراير'!$C$4,$P1952='تقرير فبراير'!$C$6),COUNT(AB$4:AB1951)+1,"")</f>
        <v/>
      </c>
      <c r="AC1952">
        <f>IF(AND($A1952&lt;&gt;"",$B1952&lt;&gt;"",$R1952='تقرير مارس'!$C$4,$P1952='تقرير مارس'!$C$6),COUNT(AC$4:AC1951)+1,"")</f>
        <v/>
      </c>
      <c r="AD1952">
        <f>IF(AND($A1952&lt;&gt;"",$B1952&lt;&gt;"",$R1952='تقرير أبريل'!$C$4,$P1952='تقرير أبريل'!$C$6),COUNT(AD$4:AD1951)+1,"")</f>
        <v/>
      </c>
      <c r="AE1952">
        <f>IF(AND($A1952&lt;&gt;"",$B1952&lt;&gt;"",$R1952='تقرير مايو'!$C$4,$P1952='تقرير مايو'!$C$6),COUNT(AE$4:AE1951)+1,"")</f>
        <v/>
      </c>
    </row>
    <row r="1953">
      <c r="A1953" s="16" t="n"/>
      <c r="B1953" s="17" t="n"/>
      <c r="C1953" s="17" t="n"/>
      <c r="D1953" s="18" t="n"/>
      <c r="E1953" s="17" t="n"/>
      <c r="F1953" s="17" t="n"/>
      <c r="G1953" s="19" t="n"/>
      <c r="H1953" s="17" t="n"/>
      <c r="I1953" s="17" t="n"/>
      <c r="J1953" s="17" t="n"/>
      <c r="K1953" s="20">
        <f>IF($B1953="","",IFERROR(INDEX(الموظفات!$A$5:$A$304,MATCH($B1953,الموظفات!$B$5:$B$304,0))&amp;"",""))</f>
        <v/>
      </c>
      <c r="L1953" s="21">
        <f>IF($B1953="","",IFERROR(INDEX(الموظفات!$C$5:$C$304,MATCH($B1953,الموظفات!$B$5:$B$304,0))&amp;"",""))</f>
        <v/>
      </c>
      <c r="M1953" s="20">
        <f>IF($B1953="","",IFERROR(INDEX(الموظفات!$D$5:$D$304,MATCH($B1953,الموظفات!$B$5:$B$304,0))&amp;"",""))</f>
        <v/>
      </c>
      <c r="N1953" s="20">
        <f>IF($B1953="","",IFERROR(INDEX(الموظفات!$E$5:$E$304,MATCH($B1953,الموظفات!$B$5:$B$304,0))&amp;"",""))</f>
        <v/>
      </c>
      <c r="O1953" s="21">
        <f>IF(C1953="","",IFERROR(INDEX(الإعدادات!$D$7:$D$35,MATCH(C1953,الإعدادات!$A$7:$A$35,0))&amp;"",""))</f>
        <v/>
      </c>
      <c r="P1953" s="20">
        <f>IF(A1953="","",INDEX(الإعدادات!$H$7:$H$18,MONTH(A1953)))</f>
        <v/>
      </c>
      <c r="Q1953" s="20">
        <f>IF(A1953="","",INDEX(الإعدادات!$I$7:$I$18,MONTH(A1953)))</f>
        <v/>
      </c>
      <c r="R1953" s="20">
        <f>IF(A1953="","",IF(MONTH(A1953)&gt;=8,YEAR(A1953)&amp;"-"&amp;(YEAR(A1953)+1),(YEAR(A1953)-1)&amp;"-"&amp;YEAR(A1953)))</f>
        <v/>
      </c>
      <c r="S1953" s="20">
        <f>IF(OR(A1953="",B1953=""),0,IF(AND(R1953=التقارير!$C$4,OR(التقارير!$C$5="سنوي",AND(التقارير!$C$5="شهري",P1953=التقارير!$C$6),AND(التقارير!$C$5="فصلي",Q1953=التقارير!$C$7))),1,0))</f>
        <v/>
      </c>
      <c r="T1953" s="20">
        <f>IF(S1953=1,COUNTIF($S$5:S1953,1),"")</f>
        <v/>
      </c>
      <c r="U1953">
        <f>IF(AND($A1953&lt;&gt;"",$B1953&lt;&gt;"",$R1953='تقرير الفصل الأول'!$C$4,$Q1953='تقرير الفصل الأول'!$C$7),COUNT(U$4:U1952)+1,"")</f>
        <v/>
      </c>
      <c r="V1953">
        <f>IF(AND($A1953&lt;&gt;"",$B1953&lt;&gt;"",$R1953='تقرير الفصل الثاني'!$C$4,$Q1953='تقرير الفصل الثاني'!$C$7),COUNT(V$4:V1952)+1,"")</f>
        <v/>
      </c>
      <c r="W1953">
        <f>IF(AND($A1953&lt;&gt;"",$B1953&lt;&gt;"",$R1953='تقرير سبتمبر'!$C$4,$P1953='تقرير سبتمبر'!$C$6),COUNT(W$4:W1952)+1,"")</f>
        <v/>
      </c>
      <c r="X1953">
        <f>IF(AND($A1953&lt;&gt;"",$B1953&lt;&gt;"",$R1953='تقرير أكتوبر'!$C$4,$P1953='تقرير أكتوبر'!$C$6),COUNT(X$4:X1952)+1,"")</f>
        <v/>
      </c>
      <c r="Y1953">
        <f>IF(AND($A1953&lt;&gt;"",$B1953&lt;&gt;"",$R1953='تقرير نوفمبر'!$C$4,$P1953='تقرير نوفمبر'!$C$6),COUNT(Y$4:Y1952)+1,"")</f>
        <v/>
      </c>
      <c r="Z1953">
        <f>IF(AND($A1953&lt;&gt;"",$B1953&lt;&gt;"",$R1953='تقرير ديسمبر'!$C$4,$P1953='تقرير ديسمبر'!$C$6),COUNT(Z$4:Z1952)+1,"")</f>
        <v/>
      </c>
      <c r="AA1953">
        <f>IF(AND($A1953&lt;&gt;"",$B1953&lt;&gt;"",$R1953='تقرير يناير'!$C$4,$P1953='تقرير يناير'!$C$6),COUNT(AA$4:AA1952)+1,"")</f>
        <v/>
      </c>
      <c r="AB1953">
        <f>IF(AND($A1953&lt;&gt;"",$B1953&lt;&gt;"",$R1953='تقرير فبراير'!$C$4,$P1953='تقرير فبراير'!$C$6),COUNT(AB$4:AB1952)+1,"")</f>
        <v/>
      </c>
      <c r="AC1953">
        <f>IF(AND($A1953&lt;&gt;"",$B1953&lt;&gt;"",$R1953='تقرير مارس'!$C$4,$P1953='تقرير مارس'!$C$6),COUNT(AC$4:AC1952)+1,"")</f>
        <v/>
      </c>
      <c r="AD1953">
        <f>IF(AND($A1953&lt;&gt;"",$B1953&lt;&gt;"",$R1953='تقرير أبريل'!$C$4,$P1953='تقرير أبريل'!$C$6),COUNT(AD$4:AD1952)+1,"")</f>
        <v/>
      </c>
      <c r="AE1953">
        <f>IF(AND($A1953&lt;&gt;"",$B1953&lt;&gt;"",$R1953='تقرير مايو'!$C$4,$P1953='تقرير مايو'!$C$6),COUNT(AE$4:AE1952)+1,"")</f>
        <v/>
      </c>
    </row>
    <row r="1954">
      <c r="A1954" s="16" t="n"/>
      <c r="B1954" s="17" t="n"/>
      <c r="C1954" s="17" t="n"/>
      <c r="D1954" s="18" t="n"/>
      <c r="E1954" s="17" t="n"/>
      <c r="F1954" s="17" t="n"/>
      <c r="G1954" s="19" t="n"/>
      <c r="H1954" s="17" t="n"/>
      <c r="I1954" s="17" t="n"/>
      <c r="J1954" s="17" t="n"/>
      <c r="K1954" s="20">
        <f>IF($B1954="","",IFERROR(INDEX(الموظفات!$A$5:$A$304,MATCH($B1954,الموظفات!$B$5:$B$304,0))&amp;"",""))</f>
        <v/>
      </c>
      <c r="L1954" s="21">
        <f>IF($B1954="","",IFERROR(INDEX(الموظفات!$C$5:$C$304,MATCH($B1954,الموظفات!$B$5:$B$304,0))&amp;"",""))</f>
        <v/>
      </c>
      <c r="M1954" s="20">
        <f>IF($B1954="","",IFERROR(INDEX(الموظفات!$D$5:$D$304,MATCH($B1954,الموظفات!$B$5:$B$304,0))&amp;"",""))</f>
        <v/>
      </c>
      <c r="N1954" s="20">
        <f>IF($B1954="","",IFERROR(INDEX(الموظفات!$E$5:$E$304,MATCH($B1954,الموظفات!$B$5:$B$304,0))&amp;"",""))</f>
        <v/>
      </c>
      <c r="O1954" s="21">
        <f>IF(C1954="","",IFERROR(INDEX(الإعدادات!$D$7:$D$35,MATCH(C1954,الإعدادات!$A$7:$A$35,0))&amp;"",""))</f>
        <v/>
      </c>
      <c r="P1954" s="20">
        <f>IF(A1954="","",INDEX(الإعدادات!$H$7:$H$18,MONTH(A1954)))</f>
        <v/>
      </c>
      <c r="Q1954" s="20">
        <f>IF(A1954="","",INDEX(الإعدادات!$I$7:$I$18,MONTH(A1954)))</f>
        <v/>
      </c>
      <c r="R1954" s="20">
        <f>IF(A1954="","",IF(MONTH(A1954)&gt;=8,YEAR(A1954)&amp;"-"&amp;(YEAR(A1954)+1),(YEAR(A1954)-1)&amp;"-"&amp;YEAR(A1954)))</f>
        <v/>
      </c>
      <c r="S1954" s="20">
        <f>IF(OR(A1954="",B1954=""),0,IF(AND(R1954=التقارير!$C$4,OR(التقارير!$C$5="سنوي",AND(التقارير!$C$5="شهري",P1954=التقارير!$C$6),AND(التقارير!$C$5="فصلي",Q1954=التقارير!$C$7))),1,0))</f>
        <v/>
      </c>
      <c r="T1954" s="20">
        <f>IF(S1954=1,COUNTIF($S$5:S1954,1),"")</f>
        <v/>
      </c>
      <c r="U1954">
        <f>IF(AND($A1954&lt;&gt;"",$B1954&lt;&gt;"",$R1954='تقرير الفصل الأول'!$C$4,$Q1954='تقرير الفصل الأول'!$C$7),COUNT(U$4:U1953)+1,"")</f>
        <v/>
      </c>
      <c r="V1954">
        <f>IF(AND($A1954&lt;&gt;"",$B1954&lt;&gt;"",$R1954='تقرير الفصل الثاني'!$C$4,$Q1954='تقرير الفصل الثاني'!$C$7),COUNT(V$4:V1953)+1,"")</f>
        <v/>
      </c>
      <c r="W1954">
        <f>IF(AND($A1954&lt;&gt;"",$B1954&lt;&gt;"",$R1954='تقرير سبتمبر'!$C$4,$P1954='تقرير سبتمبر'!$C$6),COUNT(W$4:W1953)+1,"")</f>
        <v/>
      </c>
      <c r="X1954">
        <f>IF(AND($A1954&lt;&gt;"",$B1954&lt;&gt;"",$R1954='تقرير أكتوبر'!$C$4,$P1954='تقرير أكتوبر'!$C$6),COUNT(X$4:X1953)+1,"")</f>
        <v/>
      </c>
      <c r="Y1954">
        <f>IF(AND($A1954&lt;&gt;"",$B1954&lt;&gt;"",$R1954='تقرير نوفمبر'!$C$4,$P1954='تقرير نوفمبر'!$C$6),COUNT(Y$4:Y1953)+1,"")</f>
        <v/>
      </c>
      <c r="Z1954">
        <f>IF(AND($A1954&lt;&gt;"",$B1954&lt;&gt;"",$R1954='تقرير ديسمبر'!$C$4,$P1954='تقرير ديسمبر'!$C$6),COUNT(Z$4:Z1953)+1,"")</f>
        <v/>
      </c>
      <c r="AA1954">
        <f>IF(AND($A1954&lt;&gt;"",$B1954&lt;&gt;"",$R1954='تقرير يناير'!$C$4,$P1954='تقرير يناير'!$C$6),COUNT(AA$4:AA1953)+1,"")</f>
        <v/>
      </c>
      <c r="AB1954">
        <f>IF(AND($A1954&lt;&gt;"",$B1954&lt;&gt;"",$R1954='تقرير فبراير'!$C$4,$P1954='تقرير فبراير'!$C$6),COUNT(AB$4:AB1953)+1,"")</f>
        <v/>
      </c>
      <c r="AC1954">
        <f>IF(AND($A1954&lt;&gt;"",$B1954&lt;&gt;"",$R1954='تقرير مارس'!$C$4,$P1954='تقرير مارس'!$C$6),COUNT(AC$4:AC1953)+1,"")</f>
        <v/>
      </c>
      <c r="AD1954">
        <f>IF(AND($A1954&lt;&gt;"",$B1954&lt;&gt;"",$R1954='تقرير أبريل'!$C$4,$P1954='تقرير أبريل'!$C$6),COUNT(AD$4:AD1953)+1,"")</f>
        <v/>
      </c>
      <c r="AE1954">
        <f>IF(AND($A1954&lt;&gt;"",$B1954&lt;&gt;"",$R1954='تقرير مايو'!$C$4,$P1954='تقرير مايو'!$C$6),COUNT(AE$4:AE1953)+1,"")</f>
        <v/>
      </c>
    </row>
    <row r="1955">
      <c r="A1955" s="16" t="n"/>
      <c r="B1955" s="17" t="n"/>
      <c r="C1955" s="17" t="n"/>
      <c r="D1955" s="18" t="n"/>
      <c r="E1955" s="17" t="n"/>
      <c r="F1955" s="17" t="n"/>
      <c r="G1955" s="19" t="n"/>
      <c r="H1955" s="17" t="n"/>
      <c r="I1955" s="17" t="n"/>
      <c r="J1955" s="17" t="n"/>
      <c r="K1955" s="20">
        <f>IF($B1955="","",IFERROR(INDEX(الموظفات!$A$5:$A$304,MATCH($B1955,الموظفات!$B$5:$B$304,0))&amp;"",""))</f>
        <v/>
      </c>
      <c r="L1955" s="21">
        <f>IF($B1955="","",IFERROR(INDEX(الموظفات!$C$5:$C$304,MATCH($B1955,الموظفات!$B$5:$B$304,0))&amp;"",""))</f>
        <v/>
      </c>
      <c r="M1955" s="20">
        <f>IF($B1955="","",IFERROR(INDEX(الموظفات!$D$5:$D$304,MATCH($B1955,الموظفات!$B$5:$B$304,0))&amp;"",""))</f>
        <v/>
      </c>
      <c r="N1955" s="20">
        <f>IF($B1955="","",IFERROR(INDEX(الموظفات!$E$5:$E$304,MATCH($B1955,الموظفات!$B$5:$B$304,0))&amp;"",""))</f>
        <v/>
      </c>
      <c r="O1955" s="21">
        <f>IF(C1955="","",IFERROR(INDEX(الإعدادات!$D$7:$D$35,MATCH(C1955,الإعدادات!$A$7:$A$35,0))&amp;"",""))</f>
        <v/>
      </c>
      <c r="P1955" s="20">
        <f>IF(A1955="","",INDEX(الإعدادات!$H$7:$H$18,MONTH(A1955)))</f>
        <v/>
      </c>
      <c r="Q1955" s="20">
        <f>IF(A1955="","",INDEX(الإعدادات!$I$7:$I$18,MONTH(A1955)))</f>
        <v/>
      </c>
      <c r="R1955" s="20">
        <f>IF(A1955="","",IF(MONTH(A1955)&gt;=8,YEAR(A1955)&amp;"-"&amp;(YEAR(A1955)+1),(YEAR(A1955)-1)&amp;"-"&amp;YEAR(A1955)))</f>
        <v/>
      </c>
      <c r="S1955" s="20">
        <f>IF(OR(A1955="",B1955=""),0,IF(AND(R1955=التقارير!$C$4,OR(التقارير!$C$5="سنوي",AND(التقارير!$C$5="شهري",P1955=التقارير!$C$6),AND(التقارير!$C$5="فصلي",Q1955=التقارير!$C$7))),1,0))</f>
        <v/>
      </c>
      <c r="T1955" s="20">
        <f>IF(S1955=1,COUNTIF($S$5:S1955,1),"")</f>
        <v/>
      </c>
      <c r="U1955">
        <f>IF(AND($A1955&lt;&gt;"",$B1955&lt;&gt;"",$R1955='تقرير الفصل الأول'!$C$4,$Q1955='تقرير الفصل الأول'!$C$7),COUNT(U$4:U1954)+1,"")</f>
        <v/>
      </c>
      <c r="V1955">
        <f>IF(AND($A1955&lt;&gt;"",$B1955&lt;&gt;"",$R1955='تقرير الفصل الثاني'!$C$4,$Q1955='تقرير الفصل الثاني'!$C$7),COUNT(V$4:V1954)+1,"")</f>
        <v/>
      </c>
      <c r="W1955">
        <f>IF(AND($A1955&lt;&gt;"",$B1955&lt;&gt;"",$R1955='تقرير سبتمبر'!$C$4,$P1955='تقرير سبتمبر'!$C$6),COUNT(W$4:W1954)+1,"")</f>
        <v/>
      </c>
      <c r="X1955">
        <f>IF(AND($A1955&lt;&gt;"",$B1955&lt;&gt;"",$R1955='تقرير أكتوبر'!$C$4,$P1955='تقرير أكتوبر'!$C$6),COUNT(X$4:X1954)+1,"")</f>
        <v/>
      </c>
      <c r="Y1955">
        <f>IF(AND($A1955&lt;&gt;"",$B1955&lt;&gt;"",$R1955='تقرير نوفمبر'!$C$4,$P1955='تقرير نوفمبر'!$C$6),COUNT(Y$4:Y1954)+1,"")</f>
        <v/>
      </c>
      <c r="Z1955">
        <f>IF(AND($A1955&lt;&gt;"",$B1955&lt;&gt;"",$R1955='تقرير ديسمبر'!$C$4,$P1955='تقرير ديسمبر'!$C$6),COUNT(Z$4:Z1954)+1,"")</f>
        <v/>
      </c>
      <c r="AA1955">
        <f>IF(AND($A1955&lt;&gt;"",$B1955&lt;&gt;"",$R1955='تقرير يناير'!$C$4,$P1955='تقرير يناير'!$C$6),COUNT(AA$4:AA1954)+1,"")</f>
        <v/>
      </c>
      <c r="AB1955">
        <f>IF(AND($A1955&lt;&gt;"",$B1955&lt;&gt;"",$R1955='تقرير فبراير'!$C$4,$P1955='تقرير فبراير'!$C$6),COUNT(AB$4:AB1954)+1,"")</f>
        <v/>
      </c>
      <c r="AC1955">
        <f>IF(AND($A1955&lt;&gt;"",$B1955&lt;&gt;"",$R1955='تقرير مارس'!$C$4,$P1955='تقرير مارس'!$C$6),COUNT(AC$4:AC1954)+1,"")</f>
        <v/>
      </c>
      <c r="AD1955">
        <f>IF(AND($A1955&lt;&gt;"",$B1955&lt;&gt;"",$R1955='تقرير أبريل'!$C$4,$P1955='تقرير أبريل'!$C$6),COUNT(AD$4:AD1954)+1,"")</f>
        <v/>
      </c>
      <c r="AE1955">
        <f>IF(AND($A1955&lt;&gt;"",$B1955&lt;&gt;"",$R1955='تقرير مايو'!$C$4,$P1955='تقرير مايو'!$C$6),COUNT(AE$4:AE1954)+1,"")</f>
        <v/>
      </c>
    </row>
    <row r="1956">
      <c r="A1956" s="16" t="n"/>
      <c r="B1956" s="17" t="n"/>
      <c r="C1956" s="17" t="n"/>
      <c r="D1956" s="18" t="n"/>
      <c r="E1956" s="17" t="n"/>
      <c r="F1956" s="17" t="n"/>
      <c r="G1956" s="19" t="n"/>
      <c r="H1956" s="17" t="n"/>
      <c r="I1956" s="17" t="n"/>
      <c r="J1956" s="17" t="n"/>
      <c r="K1956" s="20">
        <f>IF($B1956="","",IFERROR(INDEX(الموظفات!$A$5:$A$304,MATCH($B1956,الموظفات!$B$5:$B$304,0))&amp;"",""))</f>
        <v/>
      </c>
      <c r="L1956" s="21">
        <f>IF($B1956="","",IFERROR(INDEX(الموظفات!$C$5:$C$304,MATCH($B1956,الموظفات!$B$5:$B$304,0))&amp;"",""))</f>
        <v/>
      </c>
      <c r="M1956" s="20">
        <f>IF($B1956="","",IFERROR(INDEX(الموظفات!$D$5:$D$304,MATCH($B1956,الموظفات!$B$5:$B$304,0))&amp;"",""))</f>
        <v/>
      </c>
      <c r="N1956" s="20">
        <f>IF($B1956="","",IFERROR(INDEX(الموظفات!$E$5:$E$304,MATCH($B1956,الموظفات!$B$5:$B$304,0))&amp;"",""))</f>
        <v/>
      </c>
      <c r="O1956" s="21">
        <f>IF(C1956="","",IFERROR(INDEX(الإعدادات!$D$7:$D$35,MATCH(C1956,الإعدادات!$A$7:$A$35,0))&amp;"",""))</f>
        <v/>
      </c>
      <c r="P1956" s="20">
        <f>IF(A1956="","",INDEX(الإعدادات!$H$7:$H$18,MONTH(A1956)))</f>
        <v/>
      </c>
      <c r="Q1956" s="20">
        <f>IF(A1956="","",INDEX(الإعدادات!$I$7:$I$18,MONTH(A1956)))</f>
        <v/>
      </c>
      <c r="R1956" s="20">
        <f>IF(A1956="","",IF(MONTH(A1956)&gt;=8,YEAR(A1956)&amp;"-"&amp;(YEAR(A1956)+1),(YEAR(A1956)-1)&amp;"-"&amp;YEAR(A1956)))</f>
        <v/>
      </c>
      <c r="S1956" s="20">
        <f>IF(OR(A1956="",B1956=""),0,IF(AND(R1956=التقارير!$C$4,OR(التقارير!$C$5="سنوي",AND(التقارير!$C$5="شهري",P1956=التقارير!$C$6),AND(التقارير!$C$5="فصلي",Q1956=التقارير!$C$7))),1,0))</f>
        <v/>
      </c>
      <c r="T1956" s="20">
        <f>IF(S1956=1,COUNTIF($S$5:S1956,1),"")</f>
        <v/>
      </c>
      <c r="U1956">
        <f>IF(AND($A1956&lt;&gt;"",$B1956&lt;&gt;"",$R1956='تقرير الفصل الأول'!$C$4,$Q1956='تقرير الفصل الأول'!$C$7),COUNT(U$4:U1955)+1,"")</f>
        <v/>
      </c>
      <c r="V1956">
        <f>IF(AND($A1956&lt;&gt;"",$B1956&lt;&gt;"",$R1956='تقرير الفصل الثاني'!$C$4,$Q1956='تقرير الفصل الثاني'!$C$7),COUNT(V$4:V1955)+1,"")</f>
        <v/>
      </c>
      <c r="W1956">
        <f>IF(AND($A1956&lt;&gt;"",$B1956&lt;&gt;"",$R1956='تقرير سبتمبر'!$C$4,$P1956='تقرير سبتمبر'!$C$6),COUNT(W$4:W1955)+1,"")</f>
        <v/>
      </c>
      <c r="X1956">
        <f>IF(AND($A1956&lt;&gt;"",$B1956&lt;&gt;"",$R1956='تقرير أكتوبر'!$C$4,$P1956='تقرير أكتوبر'!$C$6),COUNT(X$4:X1955)+1,"")</f>
        <v/>
      </c>
      <c r="Y1956">
        <f>IF(AND($A1956&lt;&gt;"",$B1956&lt;&gt;"",$R1956='تقرير نوفمبر'!$C$4,$P1956='تقرير نوفمبر'!$C$6),COUNT(Y$4:Y1955)+1,"")</f>
        <v/>
      </c>
      <c r="Z1956">
        <f>IF(AND($A1956&lt;&gt;"",$B1956&lt;&gt;"",$R1956='تقرير ديسمبر'!$C$4,$P1956='تقرير ديسمبر'!$C$6),COUNT(Z$4:Z1955)+1,"")</f>
        <v/>
      </c>
      <c r="AA1956">
        <f>IF(AND($A1956&lt;&gt;"",$B1956&lt;&gt;"",$R1956='تقرير يناير'!$C$4,$P1956='تقرير يناير'!$C$6),COUNT(AA$4:AA1955)+1,"")</f>
        <v/>
      </c>
      <c r="AB1956">
        <f>IF(AND($A1956&lt;&gt;"",$B1956&lt;&gt;"",$R1956='تقرير فبراير'!$C$4,$P1956='تقرير فبراير'!$C$6),COUNT(AB$4:AB1955)+1,"")</f>
        <v/>
      </c>
      <c r="AC1956">
        <f>IF(AND($A1956&lt;&gt;"",$B1956&lt;&gt;"",$R1956='تقرير مارس'!$C$4,$P1956='تقرير مارس'!$C$6),COUNT(AC$4:AC1955)+1,"")</f>
        <v/>
      </c>
      <c r="AD1956">
        <f>IF(AND($A1956&lt;&gt;"",$B1956&lt;&gt;"",$R1956='تقرير أبريل'!$C$4,$P1956='تقرير أبريل'!$C$6),COUNT(AD$4:AD1955)+1,"")</f>
        <v/>
      </c>
      <c r="AE1956">
        <f>IF(AND($A1956&lt;&gt;"",$B1956&lt;&gt;"",$R1956='تقرير مايو'!$C$4,$P1956='تقرير مايو'!$C$6),COUNT(AE$4:AE1955)+1,"")</f>
        <v/>
      </c>
    </row>
    <row r="1957">
      <c r="A1957" s="16" t="n"/>
      <c r="B1957" s="17" t="n"/>
      <c r="C1957" s="17" t="n"/>
      <c r="D1957" s="18" t="n"/>
      <c r="E1957" s="17" t="n"/>
      <c r="F1957" s="17" t="n"/>
      <c r="G1957" s="19" t="n"/>
      <c r="H1957" s="17" t="n"/>
      <c r="I1957" s="17" t="n"/>
      <c r="J1957" s="17" t="n"/>
      <c r="K1957" s="20">
        <f>IF($B1957="","",IFERROR(INDEX(الموظفات!$A$5:$A$304,MATCH($B1957,الموظفات!$B$5:$B$304,0))&amp;"",""))</f>
        <v/>
      </c>
      <c r="L1957" s="21">
        <f>IF($B1957="","",IFERROR(INDEX(الموظفات!$C$5:$C$304,MATCH($B1957,الموظفات!$B$5:$B$304,0))&amp;"",""))</f>
        <v/>
      </c>
      <c r="M1957" s="20">
        <f>IF($B1957="","",IFERROR(INDEX(الموظفات!$D$5:$D$304,MATCH($B1957,الموظفات!$B$5:$B$304,0))&amp;"",""))</f>
        <v/>
      </c>
      <c r="N1957" s="20">
        <f>IF($B1957="","",IFERROR(INDEX(الموظفات!$E$5:$E$304,MATCH($B1957,الموظفات!$B$5:$B$304,0))&amp;"",""))</f>
        <v/>
      </c>
      <c r="O1957" s="21">
        <f>IF(C1957="","",IFERROR(INDEX(الإعدادات!$D$7:$D$35,MATCH(C1957,الإعدادات!$A$7:$A$35,0))&amp;"",""))</f>
        <v/>
      </c>
      <c r="P1957" s="20">
        <f>IF(A1957="","",INDEX(الإعدادات!$H$7:$H$18,MONTH(A1957)))</f>
        <v/>
      </c>
      <c r="Q1957" s="20">
        <f>IF(A1957="","",INDEX(الإعدادات!$I$7:$I$18,MONTH(A1957)))</f>
        <v/>
      </c>
      <c r="R1957" s="20">
        <f>IF(A1957="","",IF(MONTH(A1957)&gt;=8,YEAR(A1957)&amp;"-"&amp;(YEAR(A1957)+1),(YEAR(A1957)-1)&amp;"-"&amp;YEAR(A1957)))</f>
        <v/>
      </c>
      <c r="S1957" s="20">
        <f>IF(OR(A1957="",B1957=""),0,IF(AND(R1957=التقارير!$C$4,OR(التقارير!$C$5="سنوي",AND(التقارير!$C$5="شهري",P1957=التقارير!$C$6),AND(التقارير!$C$5="فصلي",Q1957=التقارير!$C$7))),1,0))</f>
        <v/>
      </c>
      <c r="T1957" s="20">
        <f>IF(S1957=1,COUNTIF($S$5:S1957,1),"")</f>
        <v/>
      </c>
      <c r="U1957">
        <f>IF(AND($A1957&lt;&gt;"",$B1957&lt;&gt;"",$R1957='تقرير الفصل الأول'!$C$4,$Q1957='تقرير الفصل الأول'!$C$7),COUNT(U$4:U1956)+1,"")</f>
        <v/>
      </c>
      <c r="V1957">
        <f>IF(AND($A1957&lt;&gt;"",$B1957&lt;&gt;"",$R1957='تقرير الفصل الثاني'!$C$4,$Q1957='تقرير الفصل الثاني'!$C$7),COUNT(V$4:V1956)+1,"")</f>
        <v/>
      </c>
      <c r="W1957">
        <f>IF(AND($A1957&lt;&gt;"",$B1957&lt;&gt;"",$R1957='تقرير سبتمبر'!$C$4,$P1957='تقرير سبتمبر'!$C$6),COUNT(W$4:W1956)+1,"")</f>
        <v/>
      </c>
      <c r="X1957">
        <f>IF(AND($A1957&lt;&gt;"",$B1957&lt;&gt;"",$R1957='تقرير أكتوبر'!$C$4,$P1957='تقرير أكتوبر'!$C$6),COUNT(X$4:X1956)+1,"")</f>
        <v/>
      </c>
      <c r="Y1957">
        <f>IF(AND($A1957&lt;&gt;"",$B1957&lt;&gt;"",$R1957='تقرير نوفمبر'!$C$4,$P1957='تقرير نوفمبر'!$C$6),COUNT(Y$4:Y1956)+1,"")</f>
        <v/>
      </c>
      <c r="Z1957">
        <f>IF(AND($A1957&lt;&gt;"",$B1957&lt;&gt;"",$R1957='تقرير ديسمبر'!$C$4,$P1957='تقرير ديسمبر'!$C$6),COUNT(Z$4:Z1956)+1,"")</f>
        <v/>
      </c>
      <c r="AA1957">
        <f>IF(AND($A1957&lt;&gt;"",$B1957&lt;&gt;"",$R1957='تقرير يناير'!$C$4,$P1957='تقرير يناير'!$C$6),COUNT(AA$4:AA1956)+1,"")</f>
        <v/>
      </c>
      <c r="AB1957">
        <f>IF(AND($A1957&lt;&gt;"",$B1957&lt;&gt;"",$R1957='تقرير فبراير'!$C$4,$P1957='تقرير فبراير'!$C$6),COUNT(AB$4:AB1956)+1,"")</f>
        <v/>
      </c>
      <c r="AC1957">
        <f>IF(AND($A1957&lt;&gt;"",$B1957&lt;&gt;"",$R1957='تقرير مارس'!$C$4,$P1957='تقرير مارس'!$C$6),COUNT(AC$4:AC1956)+1,"")</f>
        <v/>
      </c>
      <c r="AD1957">
        <f>IF(AND($A1957&lt;&gt;"",$B1957&lt;&gt;"",$R1957='تقرير أبريل'!$C$4,$P1957='تقرير أبريل'!$C$6),COUNT(AD$4:AD1956)+1,"")</f>
        <v/>
      </c>
      <c r="AE1957">
        <f>IF(AND($A1957&lt;&gt;"",$B1957&lt;&gt;"",$R1957='تقرير مايو'!$C$4,$P1957='تقرير مايو'!$C$6),COUNT(AE$4:AE1956)+1,"")</f>
        <v/>
      </c>
    </row>
    <row r="1958">
      <c r="A1958" s="16" t="n"/>
      <c r="B1958" s="17" t="n"/>
      <c r="C1958" s="17" t="n"/>
      <c r="D1958" s="18" t="n"/>
      <c r="E1958" s="17" t="n"/>
      <c r="F1958" s="17" t="n"/>
      <c r="G1958" s="19" t="n"/>
      <c r="H1958" s="17" t="n"/>
      <c r="I1958" s="17" t="n"/>
      <c r="J1958" s="17" t="n"/>
      <c r="K1958" s="20">
        <f>IF($B1958="","",IFERROR(INDEX(الموظفات!$A$5:$A$304,MATCH($B1958,الموظفات!$B$5:$B$304,0))&amp;"",""))</f>
        <v/>
      </c>
      <c r="L1958" s="21">
        <f>IF($B1958="","",IFERROR(INDEX(الموظفات!$C$5:$C$304,MATCH($B1958,الموظفات!$B$5:$B$304,0))&amp;"",""))</f>
        <v/>
      </c>
      <c r="M1958" s="20">
        <f>IF($B1958="","",IFERROR(INDEX(الموظفات!$D$5:$D$304,MATCH($B1958,الموظفات!$B$5:$B$304,0))&amp;"",""))</f>
        <v/>
      </c>
      <c r="N1958" s="20">
        <f>IF($B1958="","",IFERROR(INDEX(الموظفات!$E$5:$E$304,MATCH($B1958,الموظفات!$B$5:$B$304,0))&amp;"",""))</f>
        <v/>
      </c>
      <c r="O1958" s="21">
        <f>IF(C1958="","",IFERROR(INDEX(الإعدادات!$D$7:$D$35,MATCH(C1958,الإعدادات!$A$7:$A$35,0))&amp;"",""))</f>
        <v/>
      </c>
      <c r="P1958" s="20">
        <f>IF(A1958="","",INDEX(الإعدادات!$H$7:$H$18,MONTH(A1958)))</f>
        <v/>
      </c>
      <c r="Q1958" s="20">
        <f>IF(A1958="","",INDEX(الإعدادات!$I$7:$I$18,MONTH(A1958)))</f>
        <v/>
      </c>
      <c r="R1958" s="20">
        <f>IF(A1958="","",IF(MONTH(A1958)&gt;=8,YEAR(A1958)&amp;"-"&amp;(YEAR(A1958)+1),(YEAR(A1958)-1)&amp;"-"&amp;YEAR(A1958)))</f>
        <v/>
      </c>
      <c r="S1958" s="20">
        <f>IF(OR(A1958="",B1958=""),0,IF(AND(R1958=التقارير!$C$4,OR(التقارير!$C$5="سنوي",AND(التقارير!$C$5="شهري",P1958=التقارير!$C$6),AND(التقارير!$C$5="فصلي",Q1958=التقارير!$C$7))),1,0))</f>
        <v/>
      </c>
      <c r="T1958" s="20">
        <f>IF(S1958=1,COUNTIF($S$5:S1958,1),"")</f>
        <v/>
      </c>
      <c r="U1958">
        <f>IF(AND($A1958&lt;&gt;"",$B1958&lt;&gt;"",$R1958='تقرير الفصل الأول'!$C$4,$Q1958='تقرير الفصل الأول'!$C$7),COUNT(U$4:U1957)+1,"")</f>
        <v/>
      </c>
      <c r="V1958">
        <f>IF(AND($A1958&lt;&gt;"",$B1958&lt;&gt;"",$R1958='تقرير الفصل الثاني'!$C$4,$Q1958='تقرير الفصل الثاني'!$C$7),COUNT(V$4:V1957)+1,"")</f>
        <v/>
      </c>
      <c r="W1958">
        <f>IF(AND($A1958&lt;&gt;"",$B1958&lt;&gt;"",$R1958='تقرير سبتمبر'!$C$4,$P1958='تقرير سبتمبر'!$C$6),COUNT(W$4:W1957)+1,"")</f>
        <v/>
      </c>
      <c r="X1958">
        <f>IF(AND($A1958&lt;&gt;"",$B1958&lt;&gt;"",$R1958='تقرير أكتوبر'!$C$4,$P1958='تقرير أكتوبر'!$C$6),COUNT(X$4:X1957)+1,"")</f>
        <v/>
      </c>
      <c r="Y1958">
        <f>IF(AND($A1958&lt;&gt;"",$B1958&lt;&gt;"",$R1958='تقرير نوفمبر'!$C$4,$P1958='تقرير نوفمبر'!$C$6),COUNT(Y$4:Y1957)+1,"")</f>
        <v/>
      </c>
      <c r="Z1958">
        <f>IF(AND($A1958&lt;&gt;"",$B1958&lt;&gt;"",$R1958='تقرير ديسمبر'!$C$4,$P1958='تقرير ديسمبر'!$C$6),COUNT(Z$4:Z1957)+1,"")</f>
        <v/>
      </c>
      <c r="AA1958">
        <f>IF(AND($A1958&lt;&gt;"",$B1958&lt;&gt;"",$R1958='تقرير يناير'!$C$4,$P1958='تقرير يناير'!$C$6),COUNT(AA$4:AA1957)+1,"")</f>
        <v/>
      </c>
      <c r="AB1958">
        <f>IF(AND($A1958&lt;&gt;"",$B1958&lt;&gt;"",$R1958='تقرير فبراير'!$C$4,$P1958='تقرير فبراير'!$C$6),COUNT(AB$4:AB1957)+1,"")</f>
        <v/>
      </c>
      <c r="AC1958">
        <f>IF(AND($A1958&lt;&gt;"",$B1958&lt;&gt;"",$R1958='تقرير مارس'!$C$4,$P1958='تقرير مارس'!$C$6),COUNT(AC$4:AC1957)+1,"")</f>
        <v/>
      </c>
      <c r="AD1958">
        <f>IF(AND($A1958&lt;&gt;"",$B1958&lt;&gt;"",$R1958='تقرير أبريل'!$C$4,$P1958='تقرير أبريل'!$C$6),COUNT(AD$4:AD1957)+1,"")</f>
        <v/>
      </c>
      <c r="AE1958">
        <f>IF(AND($A1958&lt;&gt;"",$B1958&lt;&gt;"",$R1958='تقرير مايو'!$C$4,$P1958='تقرير مايو'!$C$6),COUNT(AE$4:AE1957)+1,"")</f>
        <v/>
      </c>
    </row>
    <row r="1959">
      <c r="A1959" s="16" t="n"/>
      <c r="B1959" s="17" t="n"/>
      <c r="C1959" s="17" t="n"/>
      <c r="D1959" s="18" t="n"/>
      <c r="E1959" s="17" t="n"/>
      <c r="F1959" s="17" t="n"/>
      <c r="G1959" s="19" t="n"/>
      <c r="H1959" s="17" t="n"/>
      <c r="I1959" s="17" t="n"/>
      <c r="J1959" s="17" t="n"/>
      <c r="K1959" s="20">
        <f>IF($B1959="","",IFERROR(INDEX(الموظفات!$A$5:$A$304,MATCH($B1959,الموظفات!$B$5:$B$304,0))&amp;"",""))</f>
        <v/>
      </c>
      <c r="L1959" s="21">
        <f>IF($B1959="","",IFERROR(INDEX(الموظفات!$C$5:$C$304,MATCH($B1959,الموظفات!$B$5:$B$304,0))&amp;"",""))</f>
        <v/>
      </c>
      <c r="M1959" s="20">
        <f>IF($B1959="","",IFERROR(INDEX(الموظفات!$D$5:$D$304,MATCH($B1959,الموظفات!$B$5:$B$304,0))&amp;"",""))</f>
        <v/>
      </c>
      <c r="N1959" s="20">
        <f>IF($B1959="","",IFERROR(INDEX(الموظفات!$E$5:$E$304,MATCH($B1959,الموظفات!$B$5:$B$304,0))&amp;"",""))</f>
        <v/>
      </c>
      <c r="O1959" s="21">
        <f>IF(C1959="","",IFERROR(INDEX(الإعدادات!$D$7:$D$35,MATCH(C1959,الإعدادات!$A$7:$A$35,0))&amp;"",""))</f>
        <v/>
      </c>
      <c r="P1959" s="20">
        <f>IF(A1959="","",INDEX(الإعدادات!$H$7:$H$18,MONTH(A1959)))</f>
        <v/>
      </c>
      <c r="Q1959" s="20">
        <f>IF(A1959="","",INDEX(الإعدادات!$I$7:$I$18,MONTH(A1959)))</f>
        <v/>
      </c>
      <c r="R1959" s="20">
        <f>IF(A1959="","",IF(MONTH(A1959)&gt;=8,YEAR(A1959)&amp;"-"&amp;(YEAR(A1959)+1),(YEAR(A1959)-1)&amp;"-"&amp;YEAR(A1959)))</f>
        <v/>
      </c>
      <c r="S1959" s="20">
        <f>IF(OR(A1959="",B1959=""),0,IF(AND(R1959=التقارير!$C$4,OR(التقارير!$C$5="سنوي",AND(التقارير!$C$5="شهري",P1959=التقارير!$C$6),AND(التقارير!$C$5="فصلي",Q1959=التقارير!$C$7))),1,0))</f>
        <v/>
      </c>
      <c r="T1959" s="20">
        <f>IF(S1959=1,COUNTIF($S$5:S1959,1),"")</f>
        <v/>
      </c>
      <c r="U1959">
        <f>IF(AND($A1959&lt;&gt;"",$B1959&lt;&gt;"",$R1959='تقرير الفصل الأول'!$C$4,$Q1959='تقرير الفصل الأول'!$C$7),COUNT(U$4:U1958)+1,"")</f>
        <v/>
      </c>
      <c r="V1959">
        <f>IF(AND($A1959&lt;&gt;"",$B1959&lt;&gt;"",$R1959='تقرير الفصل الثاني'!$C$4,$Q1959='تقرير الفصل الثاني'!$C$7),COUNT(V$4:V1958)+1,"")</f>
        <v/>
      </c>
      <c r="W1959">
        <f>IF(AND($A1959&lt;&gt;"",$B1959&lt;&gt;"",$R1959='تقرير سبتمبر'!$C$4,$P1959='تقرير سبتمبر'!$C$6),COUNT(W$4:W1958)+1,"")</f>
        <v/>
      </c>
      <c r="X1959">
        <f>IF(AND($A1959&lt;&gt;"",$B1959&lt;&gt;"",$R1959='تقرير أكتوبر'!$C$4,$P1959='تقرير أكتوبر'!$C$6),COUNT(X$4:X1958)+1,"")</f>
        <v/>
      </c>
      <c r="Y1959">
        <f>IF(AND($A1959&lt;&gt;"",$B1959&lt;&gt;"",$R1959='تقرير نوفمبر'!$C$4,$P1959='تقرير نوفمبر'!$C$6),COUNT(Y$4:Y1958)+1,"")</f>
        <v/>
      </c>
      <c r="Z1959">
        <f>IF(AND($A1959&lt;&gt;"",$B1959&lt;&gt;"",$R1959='تقرير ديسمبر'!$C$4,$P1959='تقرير ديسمبر'!$C$6),COUNT(Z$4:Z1958)+1,"")</f>
        <v/>
      </c>
      <c r="AA1959">
        <f>IF(AND($A1959&lt;&gt;"",$B1959&lt;&gt;"",$R1959='تقرير يناير'!$C$4,$P1959='تقرير يناير'!$C$6),COUNT(AA$4:AA1958)+1,"")</f>
        <v/>
      </c>
      <c r="AB1959">
        <f>IF(AND($A1959&lt;&gt;"",$B1959&lt;&gt;"",$R1959='تقرير فبراير'!$C$4,$P1959='تقرير فبراير'!$C$6),COUNT(AB$4:AB1958)+1,"")</f>
        <v/>
      </c>
      <c r="AC1959">
        <f>IF(AND($A1959&lt;&gt;"",$B1959&lt;&gt;"",$R1959='تقرير مارس'!$C$4,$P1959='تقرير مارس'!$C$6),COUNT(AC$4:AC1958)+1,"")</f>
        <v/>
      </c>
      <c r="AD1959">
        <f>IF(AND($A1959&lt;&gt;"",$B1959&lt;&gt;"",$R1959='تقرير أبريل'!$C$4,$P1959='تقرير أبريل'!$C$6),COUNT(AD$4:AD1958)+1,"")</f>
        <v/>
      </c>
      <c r="AE1959">
        <f>IF(AND($A1959&lt;&gt;"",$B1959&lt;&gt;"",$R1959='تقرير مايو'!$C$4,$P1959='تقرير مايو'!$C$6),COUNT(AE$4:AE1958)+1,"")</f>
        <v/>
      </c>
    </row>
    <row r="1960">
      <c r="A1960" s="16" t="n"/>
      <c r="B1960" s="17" t="n"/>
      <c r="C1960" s="17" t="n"/>
      <c r="D1960" s="18" t="n"/>
      <c r="E1960" s="17" t="n"/>
      <c r="F1960" s="17" t="n"/>
      <c r="G1960" s="19" t="n"/>
      <c r="H1960" s="17" t="n"/>
      <c r="I1960" s="17" t="n"/>
      <c r="J1960" s="17" t="n"/>
      <c r="K1960" s="20">
        <f>IF($B1960="","",IFERROR(INDEX(الموظفات!$A$5:$A$304,MATCH($B1960,الموظفات!$B$5:$B$304,0))&amp;"",""))</f>
        <v/>
      </c>
      <c r="L1960" s="21">
        <f>IF($B1960="","",IFERROR(INDEX(الموظفات!$C$5:$C$304,MATCH($B1960,الموظفات!$B$5:$B$304,0))&amp;"",""))</f>
        <v/>
      </c>
      <c r="M1960" s="20">
        <f>IF($B1960="","",IFERROR(INDEX(الموظفات!$D$5:$D$304,MATCH($B1960,الموظفات!$B$5:$B$304,0))&amp;"",""))</f>
        <v/>
      </c>
      <c r="N1960" s="20">
        <f>IF($B1960="","",IFERROR(INDEX(الموظفات!$E$5:$E$304,MATCH($B1960,الموظفات!$B$5:$B$304,0))&amp;"",""))</f>
        <v/>
      </c>
      <c r="O1960" s="21">
        <f>IF(C1960="","",IFERROR(INDEX(الإعدادات!$D$7:$D$35,MATCH(C1960,الإعدادات!$A$7:$A$35,0))&amp;"",""))</f>
        <v/>
      </c>
      <c r="P1960" s="20">
        <f>IF(A1960="","",INDEX(الإعدادات!$H$7:$H$18,MONTH(A1960)))</f>
        <v/>
      </c>
      <c r="Q1960" s="20">
        <f>IF(A1960="","",INDEX(الإعدادات!$I$7:$I$18,MONTH(A1960)))</f>
        <v/>
      </c>
      <c r="R1960" s="20">
        <f>IF(A1960="","",IF(MONTH(A1960)&gt;=8,YEAR(A1960)&amp;"-"&amp;(YEAR(A1960)+1),(YEAR(A1960)-1)&amp;"-"&amp;YEAR(A1960)))</f>
        <v/>
      </c>
      <c r="S1960" s="20">
        <f>IF(OR(A1960="",B1960=""),0,IF(AND(R1960=التقارير!$C$4,OR(التقارير!$C$5="سنوي",AND(التقارير!$C$5="شهري",P1960=التقارير!$C$6),AND(التقارير!$C$5="فصلي",Q1960=التقارير!$C$7))),1,0))</f>
        <v/>
      </c>
      <c r="T1960" s="20">
        <f>IF(S1960=1,COUNTIF($S$5:S1960,1),"")</f>
        <v/>
      </c>
      <c r="U1960">
        <f>IF(AND($A1960&lt;&gt;"",$B1960&lt;&gt;"",$R1960='تقرير الفصل الأول'!$C$4,$Q1960='تقرير الفصل الأول'!$C$7),COUNT(U$4:U1959)+1,"")</f>
        <v/>
      </c>
      <c r="V1960">
        <f>IF(AND($A1960&lt;&gt;"",$B1960&lt;&gt;"",$R1960='تقرير الفصل الثاني'!$C$4,$Q1960='تقرير الفصل الثاني'!$C$7),COUNT(V$4:V1959)+1,"")</f>
        <v/>
      </c>
      <c r="W1960">
        <f>IF(AND($A1960&lt;&gt;"",$B1960&lt;&gt;"",$R1960='تقرير سبتمبر'!$C$4,$P1960='تقرير سبتمبر'!$C$6),COUNT(W$4:W1959)+1,"")</f>
        <v/>
      </c>
      <c r="X1960">
        <f>IF(AND($A1960&lt;&gt;"",$B1960&lt;&gt;"",$R1960='تقرير أكتوبر'!$C$4,$P1960='تقرير أكتوبر'!$C$6),COUNT(X$4:X1959)+1,"")</f>
        <v/>
      </c>
      <c r="Y1960">
        <f>IF(AND($A1960&lt;&gt;"",$B1960&lt;&gt;"",$R1960='تقرير نوفمبر'!$C$4,$P1960='تقرير نوفمبر'!$C$6),COUNT(Y$4:Y1959)+1,"")</f>
        <v/>
      </c>
      <c r="Z1960">
        <f>IF(AND($A1960&lt;&gt;"",$B1960&lt;&gt;"",$R1960='تقرير ديسمبر'!$C$4,$P1960='تقرير ديسمبر'!$C$6),COUNT(Z$4:Z1959)+1,"")</f>
        <v/>
      </c>
      <c r="AA1960">
        <f>IF(AND($A1960&lt;&gt;"",$B1960&lt;&gt;"",$R1960='تقرير يناير'!$C$4,$P1960='تقرير يناير'!$C$6),COUNT(AA$4:AA1959)+1,"")</f>
        <v/>
      </c>
      <c r="AB1960">
        <f>IF(AND($A1960&lt;&gt;"",$B1960&lt;&gt;"",$R1960='تقرير فبراير'!$C$4,$P1960='تقرير فبراير'!$C$6),COUNT(AB$4:AB1959)+1,"")</f>
        <v/>
      </c>
      <c r="AC1960">
        <f>IF(AND($A1960&lt;&gt;"",$B1960&lt;&gt;"",$R1960='تقرير مارس'!$C$4,$P1960='تقرير مارس'!$C$6),COUNT(AC$4:AC1959)+1,"")</f>
        <v/>
      </c>
      <c r="AD1960">
        <f>IF(AND($A1960&lt;&gt;"",$B1960&lt;&gt;"",$R1960='تقرير أبريل'!$C$4,$P1960='تقرير أبريل'!$C$6),COUNT(AD$4:AD1959)+1,"")</f>
        <v/>
      </c>
      <c r="AE1960">
        <f>IF(AND($A1960&lt;&gt;"",$B1960&lt;&gt;"",$R1960='تقرير مايو'!$C$4,$P1960='تقرير مايو'!$C$6),COUNT(AE$4:AE1959)+1,"")</f>
        <v/>
      </c>
    </row>
    <row r="1961">
      <c r="A1961" s="16" t="n"/>
      <c r="B1961" s="17" t="n"/>
      <c r="C1961" s="17" t="n"/>
      <c r="D1961" s="18" t="n"/>
      <c r="E1961" s="17" t="n"/>
      <c r="F1961" s="17" t="n"/>
      <c r="G1961" s="19" t="n"/>
      <c r="H1961" s="17" t="n"/>
      <c r="I1961" s="17" t="n"/>
      <c r="J1961" s="17" t="n"/>
      <c r="K1961" s="20">
        <f>IF($B1961="","",IFERROR(INDEX(الموظفات!$A$5:$A$304,MATCH($B1961,الموظفات!$B$5:$B$304,0))&amp;"",""))</f>
        <v/>
      </c>
      <c r="L1961" s="21">
        <f>IF($B1961="","",IFERROR(INDEX(الموظفات!$C$5:$C$304,MATCH($B1961,الموظفات!$B$5:$B$304,0))&amp;"",""))</f>
        <v/>
      </c>
      <c r="M1961" s="20">
        <f>IF($B1961="","",IFERROR(INDEX(الموظفات!$D$5:$D$304,MATCH($B1961,الموظفات!$B$5:$B$304,0))&amp;"",""))</f>
        <v/>
      </c>
      <c r="N1961" s="20">
        <f>IF($B1961="","",IFERROR(INDEX(الموظفات!$E$5:$E$304,MATCH($B1961,الموظفات!$B$5:$B$304,0))&amp;"",""))</f>
        <v/>
      </c>
      <c r="O1961" s="21">
        <f>IF(C1961="","",IFERROR(INDEX(الإعدادات!$D$7:$D$35,MATCH(C1961,الإعدادات!$A$7:$A$35,0))&amp;"",""))</f>
        <v/>
      </c>
      <c r="P1961" s="20">
        <f>IF(A1961="","",INDEX(الإعدادات!$H$7:$H$18,MONTH(A1961)))</f>
        <v/>
      </c>
      <c r="Q1961" s="20">
        <f>IF(A1961="","",INDEX(الإعدادات!$I$7:$I$18,MONTH(A1961)))</f>
        <v/>
      </c>
      <c r="R1961" s="20">
        <f>IF(A1961="","",IF(MONTH(A1961)&gt;=8,YEAR(A1961)&amp;"-"&amp;(YEAR(A1961)+1),(YEAR(A1961)-1)&amp;"-"&amp;YEAR(A1961)))</f>
        <v/>
      </c>
      <c r="S1961" s="20">
        <f>IF(OR(A1961="",B1961=""),0,IF(AND(R1961=التقارير!$C$4,OR(التقارير!$C$5="سنوي",AND(التقارير!$C$5="شهري",P1961=التقارير!$C$6),AND(التقارير!$C$5="فصلي",Q1961=التقارير!$C$7))),1,0))</f>
        <v/>
      </c>
      <c r="T1961" s="20">
        <f>IF(S1961=1,COUNTIF($S$5:S1961,1),"")</f>
        <v/>
      </c>
      <c r="U1961">
        <f>IF(AND($A1961&lt;&gt;"",$B1961&lt;&gt;"",$R1961='تقرير الفصل الأول'!$C$4,$Q1961='تقرير الفصل الأول'!$C$7),COUNT(U$4:U1960)+1,"")</f>
        <v/>
      </c>
      <c r="V1961">
        <f>IF(AND($A1961&lt;&gt;"",$B1961&lt;&gt;"",$R1961='تقرير الفصل الثاني'!$C$4,$Q1961='تقرير الفصل الثاني'!$C$7),COUNT(V$4:V1960)+1,"")</f>
        <v/>
      </c>
      <c r="W1961">
        <f>IF(AND($A1961&lt;&gt;"",$B1961&lt;&gt;"",$R1961='تقرير سبتمبر'!$C$4,$P1961='تقرير سبتمبر'!$C$6),COUNT(W$4:W1960)+1,"")</f>
        <v/>
      </c>
      <c r="X1961">
        <f>IF(AND($A1961&lt;&gt;"",$B1961&lt;&gt;"",$R1961='تقرير أكتوبر'!$C$4,$P1961='تقرير أكتوبر'!$C$6),COUNT(X$4:X1960)+1,"")</f>
        <v/>
      </c>
      <c r="Y1961">
        <f>IF(AND($A1961&lt;&gt;"",$B1961&lt;&gt;"",$R1961='تقرير نوفمبر'!$C$4,$P1961='تقرير نوفمبر'!$C$6),COUNT(Y$4:Y1960)+1,"")</f>
        <v/>
      </c>
      <c r="Z1961">
        <f>IF(AND($A1961&lt;&gt;"",$B1961&lt;&gt;"",$R1961='تقرير ديسمبر'!$C$4,$P1961='تقرير ديسمبر'!$C$6),COUNT(Z$4:Z1960)+1,"")</f>
        <v/>
      </c>
      <c r="AA1961">
        <f>IF(AND($A1961&lt;&gt;"",$B1961&lt;&gt;"",$R1961='تقرير يناير'!$C$4,$P1961='تقرير يناير'!$C$6),COUNT(AA$4:AA1960)+1,"")</f>
        <v/>
      </c>
      <c r="AB1961">
        <f>IF(AND($A1961&lt;&gt;"",$B1961&lt;&gt;"",$R1961='تقرير فبراير'!$C$4,$P1961='تقرير فبراير'!$C$6),COUNT(AB$4:AB1960)+1,"")</f>
        <v/>
      </c>
      <c r="AC1961">
        <f>IF(AND($A1961&lt;&gt;"",$B1961&lt;&gt;"",$R1961='تقرير مارس'!$C$4,$P1961='تقرير مارس'!$C$6),COUNT(AC$4:AC1960)+1,"")</f>
        <v/>
      </c>
      <c r="AD1961">
        <f>IF(AND($A1961&lt;&gt;"",$B1961&lt;&gt;"",$R1961='تقرير أبريل'!$C$4,$P1961='تقرير أبريل'!$C$6),COUNT(AD$4:AD1960)+1,"")</f>
        <v/>
      </c>
      <c r="AE1961">
        <f>IF(AND($A1961&lt;&gt;"",$B1961&lt;&gt;"",$R1961='تقرير مايو'!$C$4,$P1961='تقرير مايو'!$C$6),COUNT(AE$4:AE1960)+1,"")</f>
        <v/>
      </c>
    </row>
    <row r="1962">
      <c r="A1962" s="16" t="n"/>
      <c r="B1962" s="17" t="n"/>
      <c r="C1962" s="17" t="n"/>
      <c r="D1962" s="18" t="n"/>
      <c r="E1962" s="17" t="n"/>
      <c r="F1962" s="17" t="n"/>
      <c r="G1962" s="19" t="n"/>
      <c r="H1962" s="17" t="n"/>
      <c r="I1962" s="17" t="n"/>
      <c r="J1962" s="17" t="n"/>
      <c r="K1962" s="20">
        <f>IF($B1962="","",IFERROR(INDEX(الموظفات!$A$5:$A$304,MATCH($B1962,الموظفات!$B$5:$B$304,0))&amp;"",""))</f>
        <v/>
      </c>
      <c r="L1962" s="21">
        <f>IF($B1962="","",IFERROR(INDEX(الموظفات!$C$5:$C$304,MATCH($B1962,الموظفات!$B$5:$B$304,0))&amp;"",""))</f>
        <v/>
      </c>
      <c r="M1962" s="20">
        <f>IF($B1962="","",IFERROR(INDEX(الموظفات!$D$5:$D$304,MATCH($B1962,الموظفات!$B$5:$B$304,0))&amp;"",""))</f>
        <v/>
      </c>
      <c r="N1962" s="20">
        <f>IF($B1962="","",IFERROR(INDEX(الموظفات!$E$5:$E$304,MATCH($B1962,الموظفات!$B$5:$B$304,0))&amp;"",""))</f>
        <v/>
      </c>
      <c r="O1962" s="21">
        <f>IF(C1962="","",IFERROR(INDEX(الإعدادات!$D$7:$D$35,MATCH(C1962,الإعدادات!$A$7:$A$35,0))&amp;"",""))</f>
        <v/>
      </c>
      <c r="P1962" s="20">
        <f>IF(A1962="","",INDEX(الإعدادات!$H$7:$H$18,MONTH(A1962)))</f>
        <v/>
      </c>
      <c r="Q1962" s="20">
        <f>IF(A1962="","",INDEX(الإعدادات!$I$7:$I$18,MONTH(A1962)))</f>
        <v/>
      </c>
      <c r="R1962" s="20">
        <f>IF(A1962="","",IF(MONTH(A1962)&gt;=8,YEAR(A1962)&amp;"-"&amp;(YEAR(A1962)+1),(YEAR(A1962)-1)&amp;"-"&amp;YEAR(A1962)))</f>
        <v/>
      </c>
      <c r="S1962" s="20">
        <f>IF(OR(A1962="",B1962=""),0,IF(AND(R1962=التقارير!$C$4,OR(التقارير!$C$5="سنوي",AND(التقارير!$C$5="شهري",P1962=التقارير!$C$6),AND(التقارير!$C$5="فصلي",Q1962=التقارير!$C$7))),1,0))</f>
        <v/>
      </c>
      <c r="T1962" s="20">
        <f>IF(S1962=1,COUNTIF($S$5:S1962,1),"")</f>
        <v/>
      </c>
      <c r="U1962">
        <f>IF(AND($A1962&lt;&gt;"",$B1962&lt;&gt;"",$R1962='تقرير الفصل الأول'!$C$4,$Q1962='تقرير الفصل الأول'!$C$7),COUNT(U$4:U1961)+1,"")</f>
        <v/>
      </c>
      <c r="V1962">
        <f>IF(AND($A1962&lt;&gt;"",$B1962&lt;&gt;"",$R1962='تقرير الفصل الثاني'!$C$4,$Q1962='تقرير الفصل الثاني'!$C$7),COUNT(V$4:V1961)+1,"")</f>
        <v/>
      </c>
      <c r="W1962">
        <f>IF(AND($A1962&lt;&gt;"",$B1962&lt;&gt;"",$R1962='تقرير سبتمبر'!$C$4,$P1962='تقرير سبتمبر'!$C$6),COUNT(W$4:W1961)+1,"")</f>
        <v/>
      </c>
      <c r="X1962">
        <f>IF(AND($A1962&lt;&gt;"",$B1962&lt;&gt;"",$R1962='تقرير أكتوبر'!$C$4,$P1962='تقرير أكتوبر'!$C$6),COUNT(X$4:X1961)+1,"")</f>
        <v/>
      </c>
      <c r="Y1962">
        <f>IF(AND($A1962&lt;&gt;"",$B1962&lt;&gt;"",$R1962='تقرير نوفمبر'!$C$4,$P1962='تقرير نوفمبر'!$C$6),COUNT(Y$4:Y1961)+1,"")</f>
        <v/>
      </c>
      <c r="Z1962">
        <f>IF(AND($A1962&lt;&gt;"",$B1962&lt;&gt;"",$R1962='تقرير ديسمبر'!$C$4,$P1962='تقرير ديسمبر'!$C$6),COUNT(Z$4:Z1961)+1,"")</f>
        <v/>
      </c>
      <c r="AA1962">
        <f>IF(AND($A1962&lt;&gt;"",$B1962&lt;&gt;"",$R1962='تقرير يناير'!$C$4,$P1962='تقرير يناير'!$C$6),COUNT(AA$4:AA1961)+1,"")</f>
        <v/>
      </c>
      <c r="AB1962">
        <f>IF(AND($A1962&lt;&gt;"",$B1962&lt;&gt;"",$R1962='تقرير فبراير'!$C$4,$P1962='تقرير فبراير'!$C$6),COUNT(AB$4:AB1961)+1,"")</f>
        <v/>
      </c>
      <c r="AC1962">
        <f>IF(AND($A1962&lt;&gt;"",$B1962&lt;&gt;"",$R1962='تقرير مارس'!$C$4,$P1962='تقرير مارس'!$C$6),COUNT(AC$4:AC1961)+1,"")</f>
        <v/>
      </c>
      <c r="AD1962">
        <f>IF(AND($A1962&lt;&gt;"",$B1962&lt;&gt;"",$R1962='تقرير أبريل'!$C$4,$P1962='تقرير أبريل'!$C$6),COUNT(AD$4:AD1961)+1,"")</f>
        <v/>
      </c>
      <c r="AE1962">
        <f>IF(AND($A1962&lt;&gt;"",$B1962&lt;&gt;"",$R1962='تقرير مايو'!$C$4,$P1962='تقرير مايو'!$C$6),COUNT(AE$4:AE1961)+1,"")</f>
        <v/>
      </c>
    </row>
    <row r="1963">
      <c r="A1963" s="16" t="n"/>
      <c r="B1963" s="17" t="n"/>
      <c r="C1963" s="17" t="n"/>
      <c r="D1963" s="18" t="n"/>
      <c r="E1963" s="17" t="n"/>
      <c r="F1963" s="17" t="n"/>
      <c r="G1963" s="19" t="n"/>
      <c r="H1963" s="17" t="n"/>
      <c r="I1963" s="17" t="n"/>
      <c r="J1963" s="17" t="n"/>
      <c r="K1963" s="20">
        <f>IF($B1963="","",IFERROR(INDEX(الموظفات!$A$5:$A$304,MATCH($B1963,الموظفات!$B$5:$B$304,0))&amp;"",""))</f>
        <v/>
      </c>
      <c r="L1963" s="21">
        <f>IF($B1963="","",IFERROR(INDEX(الموظفات!$C$5:$C$304,MATCH($B1963,الموظفات!$B$5:$B$304,0))&amp;"",""))</f>
        <v/>
      </c>
      <c r="M1963" s="20">
        <f>IF($B1963="","",IFERROR(INDEX(الموظفات!$D$5:$D$304,MATCH($B1963,الموظفات!$B$5:$B$304,0))&amp;"",""))</f>
        <v/>
      </c>
      <c r="N1963" s="20">
        <f>IF($B1963="","",IFERROR(INDEX(الموظفات!$E$5:$E$304,MATCH($B1963,الموظفات!$B$5:$B$304,0))&amp;"",""))</f>
        <v/>
      </c>
      <c r="O1963" s="21">
        <f>IF(C1963="","",IFERROR(INDEX(الإعدادات!$D$7:$D$35,MATCH(C1963,الإعدادات!$A$7:$A$35,0))&amp;"",""))</f>
        <v/>
      </c>
      <c r="P1963" s="20">
        <f>IF(A1963="","",INDEX(الإعدادات!$H$7:$H$18,MONTH(A1963)))</f>
        <v/>
      </c>
      <c r="Q1963" s="20">
        <f>IF(A1963="","",INDEX(الإعدادات!$I$7:$I$18,MONTH(A1963)))</f>
        <v/>
      </c>
      <c r="R1963" s="20">
        <f>IF(A1963="","",IF(MONTH(A1963)&gt;=8,YEAR(A1963)&amp;"-"&amp;(YEAR(A1963)+1),(YEAR(A1963)-1)&amp;"-"&amp;YEAR(A1963)))</f>
        <v/>
      </c>
      <c r="S1963" s="20">
        <f>IF(OR(A1963="",B1963=""),0,IF(AND(R1963=التقارير!$C$4,OR(التقارير!$C$5="سنوي",AND(التقارير!$C$5="شهري",P1963=التقارير!$C$6),AND(التقارير!$C$5="فصلي",Q1963=التقارير!$C$7))),1,0))</f>
        <v/>
      </c>
      <c r="T1963" s="20">
        <f>IF(S1963=1,COUNTIF($S$5:S1963,1),"")</f>
        <v/>
      </c>
      <c r="U1963">
        <f>IF(AND($A1963&lt;&gt;"",$B1963&lt;&gt;"",$R1963='تقرير الفصل الأول'!$C$4,$Q1963='تقرير الفصل الأول'!$C$7),COUNT(U$4:U1962)+1,"")</f>
        <v/>
      </c>
      <c r="V1963">
        <f>IF(AND($A1963&lt;&gt;"",$B1963&lt;&gt;"",$R1963='تقرير الفصل الثاني'!$C$4,$Q1963='تقرير الفصل الثاني'!$C$7),COUNT(V$4:V1962)+1,"")</f>
        <v/>
      </c>
      <c r="W1963">
        <f>IF(AND($A1963&lt;&gt;"",$B1963&lt;&gt;"",$R1963='تقرير سبتمبر'!$C$4,$P1963='تقرير سبتمبر'!$C$6),COUNT(W$4:W1962)+1,"")</f>
        <v/>
      </c>
      <c r="X1963">
        <f>IF(AND($A1963&lt;&gt;"",$B1963&lt;&gt;"",$R1963='تقرير أكتوبر'!$C$4,$P1963='تقرير أكتوبر'!$C$6),COUNT(X$4:X1962)+1,"")</f>
        <v/>
      </c>
      <c r="Y1963">
        <f>IF(AND($A1963&lt;&gt;"",$B1963&lt;&gt;"",$R1963='تقرير نوفمبر'!$C$4,$P1963='تقرير نوفمبر'!$C$6),COUNT(Y$4:Y1962)+1,"")</f>
        <v/>
      </c>
      <c r="Z1963">
        <f>IF(AND($A1963&lt;&gt;"",$B1963&lt;&gt;"",$R1963='تقرير ديسمبر'!$C$4,$P1963='تقرير ديسمبر'!$C$6),COUNT(Z$4:Z1962)+1,"")</f>
        <v/>
      </c>
      <c r="AA1963">
        <f>IF(AND($A1963&lt;&gt;"",$B1963&lt;&gt;"",$R1963='تقرير يناير'!$C$4,$P1963='تقرير يناير'!$C$6),COUNT(AA$4:AA1962)+1,"")</f>
        <v/>
      </c>
      <c r="AB1963">
        <f>IF(AND($A1963&lt;&gt;"",$B1963&lt;&gt;"",$R1963='تقرير فبراير'!$C$4,$P1963='تقرير فبراير'!$C$6),COUNT(AB$4:AB1962)+1,"")</f>
        <v/>
      </c>
      <c r="AC1963">
        <f>IF(AND($A1963&lt;&gt;"",$B1963&lt;&gt;"",$R1963='تقرير مارس'!$C$4,$P1963='تقرير مارس'!$C$6),COUNT(AC$4:AC1962)+1,"")</f>
        <v/>
      </c>
      <c r="AD1963">
        <f>IF(AND($A1963&lt;&gt;"",$B1963&lt;&gt;"",$R1963='تقرير أبريل'!$C$4,$P1963='تقرير أبريل'!$C$6),COUNT(AD$4:AD1962)+1,"")</f>
        <v/>
      </c>
      <c r="AE1963">
        <f>IF(AND($A1963&lt;&gt;"",$B1963&lt;&gt;"",$R1963='تقرير مايو'!$C$4,$P1963='تقرير مايو'!$C$6),COUNT(AE$4:AE1962)+1,"")</f>
        <v/>
      </c>
    </row>
    <row r="1964">
      <c r="A1964" s="16" t="n"/>
      <c r="B1964" s="17" t="n"/>
      <c r="C1964" s="17" t="n"/>
      <c r="D1964" s="18" t="n"/>
      <c r="E1964" s="17" t="n"/>
      <c r="F1964" s="17" t="n"/>
      <c r="G1964" s="19" t="n"/>
      <c r="H1964" s="17" t="n"/>
      <c r="I1964" s="17" t="n"/>
      <c r="J1964" s="17" t="n"/>
      <c r="K1964" s="20">
        <f>IF($B1964="","",IFERROR(INDEX(الموظفات!$A$5:$A$304,MATCH($B1964,الموظفات!$B$5:$B$304,0))&amp;"",""))</f>
        <v/>
      </c>
      <c r="L1964" s="21">
        <f>IF($B1964="","",IFERROR(INDEX(الموظفات!$C$5:$C$304,MATCH($B1964,الموظفات!$B$5:$B$304,0))&amp;"",""))</f>
        <v/>
      </c>
      <c r="M1964" s="20">
        <f>IF($B1964="","",IFERROR(INDEX(الموظفات!$D$5:$D$304,MATCH($B1964,الموظفات!$B$5:$B$304,0))&amp;"",""))</f>
        <v/>
      </c>
      <c r="N1964" s="20">
        <f>IF($B1964="","",IFERROR(INDEX(الموظفات!$E$5:$E$304,MATCH($B1964,الموظفات!$B$5:$B$304,0))&amp;"",""))</f>
        <v/>
      </c>
      <c r="O1964" s="21">
        <f>IF(C1964="","",IFERROR(INDEX(الإعدادات!$D$7:$D$35,MATCH(C1964,الإعدادات!$A$7:$A$35,0))&amp;"",""))</f>
        <v/>
      </c>
      <c r="P1964" s="20">
        <f>IF(A1964="","",INDEX(الإعدادات!$H$7:$H$18,MONTH(A1964)))</f>
        <v/>
      </c>
      <c r="Q1964" s="20">
        <f>IF(A1964="","",INDEX(الإعدادات!$I$7:$I$18,MONTH(A1964)))</f>
        <v/>
      </c>
      <c r="R1964" s="20">
        <f>IF(A1964="","",IF(MONTH(A1964)&gt;=8,YEAR(A1964)&amp;"-"&amp;(YEAR(A1964)+1),(YEAR(A1964)-1)&amp;"-"&amp;YEAR(A1964)))</f>
        <v/>
      </c>
      <c r="S1964" s="20">
        <f>IF(OR(A1964="",B1964=""),0,IF(AND(R1964=التقارير!$C$4,OR(التقارير!$C$5="سنوي",AND(التقارير!$C$5="شهري",P1964=التقارير!$C$6),AND(التقارير!$C$5="فصلي",Q1964=التقارير!$C$7))),1,0))</f>
        <v/>
      </c>
      <c r="T1964" s="20">
        <f>IF(S1964=1,COUNTIF($S$5:S1964,1),"")</f>
        <v/>
      </c>
      <c r="U1964">
        <f>IF(AND($A1964&lt;&gt;"",$B1964&lt;&gt;"",$R1964='تقرير الفصل الأول'!$C$4,$Q1964='تقرير الفصل الأول'!$C$7),COUNT(U$4:U1963)+1,"")</f>
        <v/>
      </c>
      <c r="V1964">
        <f>IF(AND($A1964&lt;&gt;"",$B1964&lt;&gt;"",$R1964='تقرير الفصل الثاني'!$C$4,$Q1964='تقرير الفصل الثاني'!$C$7),COUNT(V$4:V1963)+1,"")</f>
        <v/>
      </c>
      <c r="W1964">
        <f>IF(AND($A1964&lt;&gt;"",$B1964&lt;&gt;"",$R1964='تقرير سبتمبر'!$C$4,$P1964='تقرير سبتمبر'!$C$6),COUNT(W$4:W1963)+1,"")</f>
        <v/>
      </c>
      <c r="X1964">
        <f>IF(AND($A1964&lt;&gt;"",$B1964&lt;&gt;"",$R1964='تقرير أكتوبر'!$C$4,$P1964='تقرير أكتوبر'!$C$6),COUNT(X$4:X1963)+1,"")</f>
        <v/>
      </c>
      <c r="Y1964">
        <f>IF(AND($A1964&lt;&gt;"",$B1964&lt;&gt;"",$R1964='تقرير نوفمبر'!$C$4,$P1964='تقرير نوفمبر'!$C$6),COUNT(Y$4:Y1963)+1,"")</f>
        <v/>
      </c>
      <c r="Z1964">
        <f>IF(AND($A1964&lt;&gt;"",$B1964&lt;&gt;"",$R1964='تقرير ديسمبر'!$C$4,$P1964='تقرير ديسمبر'!$C$6),COUNT(Z$4:Z1963)+1,"")</f>
        <v/>
      </c>
      <c r="AA1964">
        <f>IF(AND($A1964&lt;&gt;"",$B1964&lt;&gt;"",$R1964='تقرير يناير'!$C$4,$P1964='تقرير يناير'!$C$6),COUNT(AA$4:AA1963)+1,"")</f>
        <v/>
      </c>
      <c r="AB1964">
        <f>IF(AND($A1964&lt;&gt;"",$B1964&lt;&gt;"",$R1964='تقرير فبراير'!$C$4,$P1964='تقرير فبراير'!$C$6),COUNT(AB$4:AB1963)+1,"")</f>
        <v/>
      </c>
      <c r="AC1964">
        <f>IF(AND($A1964&lt;&gt;"",$B1964&lt;&gt;"",$R1964='تقرير مارس'!$C$4,$P1964='تقرير مارس'!$C$6),COUNT(AC$4:AC1963)+1,"")</f>
        <v/>
      </c>
      <c r="AD1964">
        <f>IF(AND($A1964&lt;&gt;"",$B1964&lt;&gt;"",$R1964='تقرير أبريل'!$C$4,$P1964='تقرير أبريل'!$C$6),COUNT(AD$4:AD1963)+1,"")</f>
        <v/>
      </c>
      <c r="AE1964">
        <f>IF(AND($A1964&lt;&gt;"",$B1964&lt;&gt;"",$R1964='تقرير مايو'!$C$4,$P1964='تقرير مايو'!$C$6),COUNT(AE$4:AE1963)+1,"")</f>
        <v/>
      </c>
    </row>
    <row r="1965">
      <c r="A1965" s="16" t="n"/>
      <c r="B1965" s="17" t="n"/>
      <c r="C1965" s="17" t="n"/>
      <c r="D1965" s="18" t="n"/>
      <c r="E1965" s="17" t="n"/>
      <c r="F1965" s="17" t="n"/>
      <c r="G1965" s="19" t="n"/>
      <c r="H1965" s="17" t="n"/>
      <c r="I1965" s="17" t="n"/>
      <c r="J1965" s="17" t="n"/>
      <c r="K1965" s="20">
        <f>IF($B1965="","",IFERROR(INDEX(الموظفات!$A$5:$A$304,MATCH($B1965,الموظفات!$B$5:$B$304,0))&amp;"",""))</f>
        <v/>
      </c>
      <c r="L1965" s="21">
        <f>IF($B1965="","",IFERROR(INDEX(الموظفات!$C$5:$C$304,MATCH($B1965,الموظفات!$B$5:$B$304,0))&amp;"",""))</f>
        <v/>
      </c>
      <c r="M1965" s="20">
        <f>IF($B1965="","",IFERROR(INDEX(الموظفات!$D$5:$D$304,MATCH($B1965,الموظفات!$B$5:$B$304,0))&amp;"",""))</f>
        <v/>
      </c>
      <c r="N1965" s="20">
        <f>IF($B1965="","",IFERROR(INDEX(الموظفات!$E$5:$E$304,MATCH($B1965,الموظفات!$B$5:$B$304,0))&amp;"",""))</f>
        <v/>
      </c>
      <c r="O1965" s="21">
        <f>IF(C1965="","",IFERROR(INDEX(الإعدادات!$D$7:$D$35,MATCH(C1965,الإعدادات!$A$7:$A$35,0))&amp;"",""))</f>
        <v/>
      </c>
      <c r="P1965" s="20">
        <f>IF(A1965="","",INDEX(الإعدادات!$H$7:$H$18,MONTH(A1965)))</f>
        <v/>
      </c>
      <c r="Q1965" s="20">
        <f>IF(A1965="","",INDEX(الإعدادات!$I$7:$I$18,MONTH(A1965)))</f>
        <v/>
      </c>
      <c r="R1965" s="20">
        <f>IF(A1965="","",IF(MONTH(A1965)&gt;=8,YEAR(A1965)&amp;"-"&amp;(YEAR(A1965)+1),(YEAR(A1965)-1)&amp;"-"&amp;YEAR(A1965)))</f>
        <v/>
      </c>
      <c r="S1965" s="20">
        <f>IF(OR(A1965="",B1965=""),0,IF(AND(R1965=التقارير!$C$4,OR(التقارير!$C$5="سنوي",AND(التقارير!$C$5="شهري",P1965=التقارير!$C$6),AND(التقارير!$C$5="فصلي",Q1965=التقارير!$C$7))),1,0))</f>
        <v/>
      </c>
      <c r="T1965" s="20">
        <f>IF(S1965=1,COUNTIF($S$5:S1965,1),"")</f>
        <v/>
      </c>
      <c r="U1965">
        <f>IF(AND($A1965&lt;&gt;"",$B1965&lt;&gt;"",$R1965='تقرير الفصل الأول'!$C$4,$Q1965='تقرير الفصل الأول'!$C$7),COUNT(U$4:U1964)+1,"")</f>
        <v/>
      </c>
      <c r="V1965">
        <f>IF(AND($A1965&lt;&gt;"",$B1965&lt;&gt;"",$R1965='تقرير الفصل الثاني'!$C$4,$Q1965='تقرير الفصل الثاني'!$C$7),COUNT(V$4:V1964)+1,"")</f>
        <v/>
      </c>
      <c r="W1965">
        <f>IF(AND($A1965&lt;&gt;"",$B1965&lt;&gt;"",$R1965='تقرير سبتمبر'!$C$4,$P1965='تقرير سبتمبر'!$C$6),COUNT(W$4:W1964)+1,"")</f>
        <v/>
      </c>
      <c r="X1965">
        <f>IF(AND($A1965&lt;&gt;"",$B1965&lt;&gt;"",$R1965='تقرير أكتوبر'!$C$4,$P1965='تقرير أكتوبر'!$C$6),COUNT(X$4:X1964)+1,"")</f>
        <v/>
      </c>
      <c r="Y1965">
        <f>IF(AND($A1965&lt;&gt;"",$B1965&lt;&gt;"",$R1965='تقرير نوفمبر'!$C$4,$P1965='تقرير نوفمبر'!$C$6),COUNT(Y$4:Y1964)+1,"")</f>
        <v/>
      </c>
      <c r="Z1965">
        <f>IF(AND($A1965&lt;&gt;"",$B1965&lt;&gt;"",$R1965='تقرير ديسمبر'!$C$4,$P1965='تقرير ديسمبر'!$C$6),COUNT(Z$4:Z1964)+1,"")</f>
        <v/>
      </c>
      <c r="AA1965">
        <f>IF(AND($A1965&lt;&gt;"",$B1965&lt;&gt;"",$R1965='تقرير يناير'!$C$4,$P1965='تقرير يناير'!$C$6),COUNT(AA$4:AA1964)+1,"")</f>
        <v/>
      </c>
      <c r="AB1965">
        <f>IF(AND($A1965&lt;&gt;"",$B1965&lt;&gt;"",$R1965='تقرير فبراير'!$C$4,$P1965='تقرير فبراير'!$C$6),COUNT(AB$4:AB1964)+1,"")</f>
        <v/>
      </c>
      <c r="AC1965">
        <f>IF(AND($A1965&lt;&gt;"",$B1965&lt;&gt;"",$R1965='تقرير مارس'!$C$4,$P1965='تقرير مارس'!$C$6),COUNT(AC$4:AC1964)+1,"")</f>
        <v/>
      </c>
      <c r="AD1965">
        <f>IF(AND($A1965&lt;&gt;"",$B1965&lt;&gt;"",$R1965='تقرير أبريل'!$C$4,$P1965='تقرير أبريل'!$C$6),COUNT(AD$4:AD1964)+1,"")</f>
        <v/>
      </c>
      <c r="AE1965">
        <f>IF(AND($A1965&lt;&gt;"",$B1965&lt;&gt;"",$R1965='تقرير مايو'!$C$4,$P1965='تقرير مايو'!$C$6),COUNT(AE$4:AE1964)+1,"")</f>
        <v/>
      </c>
    </row>
    <row r="1966">
      <c r="A1966" s="16" t="n"/>
      <c r="B1966" s="17" t="n"/>
      <c r="C1966" s="17" t="n"/>
      <c r="D1966" s="18" t="n"/>
      <c r="E1966" s="17" t="n"/>
      <c r="F1966" s="17" t="n"/>
      <c r="G1966" s="19" t="n"/>
      <c r="H1966" s="17" t="n"/>
      <c r="I1966" s="17" t="n"/>
      <c r="J1966" s="17" t="n"/>
      <c r="K1966" s="20">
        <f>IF($B1966="","",IFERROR(INDEX(الموظفات!$A$5:$A$304,MATCH($B1966,الموظفات!$B$5:$B$304,0))&amp;"",""))</f>
        <v/>
      </c>
      <c r="L1966" s="21">
        <f>IF($B1966="","",IFERROR(INDEX(الموظفات!$C$5:$C$304,MATCH($B1966,الموظفات!$B$5:$B$304,0))&amp;"",""))</f>
        <v/>
      </c>
      <c r="M1966" s="20">
        <f>IF($B1966="","",IFERROR(INDEX(الموظفات!$D$5:$D$304,MATCH($B1966,الموظفات!$B$5:$B$304,0))&amp;"",""))</f>
        <v/>
      </c>
      <c r="N1966" s="20">
        <f>IF($B1966="","",IFERROR(INDEX(الموظفات!$E$5:$E$304,MATCH($B1966,الموظفات!$B$5:$B$304,0))&amp;"",""))</f>
        <v/>
      </c>
      <c r="O1966" s="21">
        <f>IF(C1966="","",IFERROR(INDEX(الإعدادات!$D$7:$D$35,MATCH(C1966,الإعدادات!$A$7:$A$35,0))&amp;"",""))</f>
        <v/>
      </c>
      <c r="P1966" s="20">
        <f>IF(A1966="","",INDEX(الإعدادات!$H$7:$H$18,MONTH(A1966)))</f>
        <v/>
      </c>
      <c r="Q1966" s="20">
        <f>IF(A1966="","",INDEX(الإعدادات!$I$7:$I$18,MONTH(A1966)))</f>
        <v/>
      </c>
      <c r="R1966" s="20">
        <f>IF(A1966="","",IF(MONTH(A1966)&gt;=8,YEAR(A1966)&amp;"-"&amp;(YEAR(A1966)+1),(YEAR(A1966)-1)&amp;"-"&amp;YEAR(A1966)))</f>
        <v/>
      </c>
      <c r="S1966" s="20">
        <f>IF(OR(A1966="",B1966=""),0,IF(AND(R1966=التقارير!$C$4,OR(التقارير!$C$5="سنوي",AND(التقارير!$C$5="شهري",P1966=التقارير!$C$6),AND(التقارير!$C$5="فصلي",Q1966=التقارير!$C$7))),1,0))</f>
        <v/>
      </c>
      <c r="T1966" s="20">
        <f>IF(S1966=1,COUNTIF($S$5:S1966,1),"")</f>
        <v/>
      </c>
      <c r="U1966">
        <f>IF(AND($A1966&lt;&gt;"",$B1966&lt;&gt;"",$R1966='تقرير الفصل الأول'!$C$4,$Q1966='تقرير الفصل الأول'!$C$7),COUNT(U$4:U1965)+1,"")</f>
        <v/>
      </c>
      <c r="V1966">
        <f>IF(AND($A1966&lt;&gt;"",$B1966&lt;&gt;"",$R1966='تقرير الفصل الثاني'!$C$4,$Q1966='تقرير الفصل الثاني'!$C$7),COUNT(V$4:V1965)+1,"")</f>
        <v/>
      </c>
      <c r="W1966">
        <f>IF(AND($A1966&lt;&gt;"",$B1966&lt;&gt;"",$R1966='تقرير سبتمبر'!$C$4,$P1966='تقرير سبتمبر'!$C$6),COUNT(W$4:W1965)+1,"")</f>
        <v/>
      </c>
      <c r="X1966">
        <f>IF(AND($A1966&lt;&gt;"",$B1966&lt;&gt;"",$R1966='تقرير أكتوبر'!$C$4,$P1966='تقرير أكتوبر'!$C$6),COUNT(X$4:X1965)+1,"")</f>
        <v/>
      </c>
      <c r="Y1966">
        <f>IF(AND($A1966&lt;&gt;"",$B1966&lt;&gt;"",$R1966='تقرير نوفمبر'!$C$4,$P1966='تقرير نوفمبر'!$C$6),COUNT(Y$4:Y1965)+1,"")</f>
        <v/>
      </c>
      <c r="Z1966">
        <f>IF(AND($A1966&lt;&gt;"",$B1966&lt;&gt;"",$R1966='تقرير ديسمبر'!$C$4,$P1966='تقرير ديسمبر'!$C$6),COUNT(Z$4:Z1965)+1,"")</f>
        <v/>
      </c>
      <c r="AA1966">
        <f>IF(AND($A1966&lt;&gt;"",$B1966&lt;&gt;"",$R1966='تقرير يناير'!$C$4,$P1966='تقرير يناير'!$C$6),COUNT(AA$4:AA1965)+1,"")</f>
        <v/>
      </c>
      <c r="AB1966">
        <f>IF(AND($A1966&lt;&gt;"",$B1966&lt;&gt;"",$R1966='تقرير فبراير'!$C$4,$P1966='تقرير فبراير'!$C$6),COUNT(AB$4:AB1965)+1,"")</f>
        <v/>
      </c>
      <c r="AC1966">
        <f>IF(AND($A1966&lt;&gt;"",$B1966&lt;&gt;"",$R1966='تقرير مارس'!$C$4,$P1966='تقرير مارس'!$C$6),COUNT(AC$4:AC1965)+1,"")</f>
        <v/>
      </c>
      <c r="AD1966">
        <f>IF(AND($A1966&lt;&gt;"",$B1966&lt;&gt;"",$R1966='تقرير أبريل'!$C$4,$P1966='تقرير أبريل'!$C$6),COUNT(AD$4:AD1965)+1,"")</f>
        <v/>
      </c>
      <c r="AE1966">
        <f>IF(AND($A1966&lt;&gt;"",$B1966&lt;&gt;"",$R1966='تقرير مايو'!$C$4,$P1966='تقرير مايو'!$C$6),COUNT(AE$4:AE1965)+1,"")</f>
        <v/>
      </c>
    </row>
    <row r="1967">
      <c r="A1967" s="16" t="n"/>
      <c r="B1967" s="17" t="n"/>
      <c r="C1967" s="17" t="n"/>
      <c r="D1967" s="18" t="n"/>
      <c r="E1967" s="17" t="n"/>
      <c r="F1967" s="17" t="n"/>
      <c r="G1967" s="19" t="n"/>
      <c r="H1967" s="17" t="n"/>
      <c r="I1967" s="17" t="n"/>
      <c r="J1967" s="17" t="n"/>
      <c r="K1967" s="20">
        <f>IF($B1967="","",IFERROR(INDEX(الموظفات!$A$5:$A$304,MATCH($B1967,الموظفات!$B$5:$B$304,0))&amp;"",""))</f>
        <v/>
      </c>
      <c r="L1967" s="21">
        <f>IF($B1967="","",IFERROR(INDEX(الموظفات!$C$5:$C$304,MATCH($B1967,الموظفات!$B$5:$B$304,0))&amp;"",""))</f>
        <v/>
      </c>
      <c r="M1967" s="20">
        <f>IF($B1967="","",IFERROR(INDEX(الموظفات!$D$5:$D$304,MATCH($B1967,الموظفات!$B$5:$B$304,0))&amp;"",""))</f>
        <v/>
      </c>
      <c r="N1967" s="20">
        <f>IF($B1967="","",IFERROR(INDEX(الموظفات!$E$5:$E$304,MATCH($B1967,الموظفات!$B$5:$B$304,0))&amp;"",""))</f>
        <v/>
      </c>
      <c r="O1967" s="21">
        <f>IF(C1967="","",IFERROR(INDEX(الإعدادات!$D$7:$D$35,MATCH(C1967,الإعدادات!$A$7:$A$35,0))&amp;"",""))</f>
        <v/>
      </c>
      <c r="P1967" s="20">
        <f>IF(A1967="","",INDEX(الإعدادات!$H$7:$H$18,MONTH(A1967)))</f>
        <v/>
      </c>
      <c r="Q1967" s="20">
        <f>IF(A1967="","",INDEX(الإعدادات!$I$7:$I$18,MONTH(A1967)))</f>
        <v/>
      </c>
      <c r="R1967" s="20">
        <f>IF(A1967="","",IF(MONTH(A1967)&gt;=8,YEAR(A1967)&amp;"-"&amp;(YEAR(A1967)+1),(YEAR(A1967)-1)&amp;"-"&amp;YEAR(A1967)))</f>
        <v/>
      </c>
      <c r="S1967" s="20">
        <f>IF(OR(A1967="",B1967=""),0,IF(AND(R1967=التقارير!$C$4,OR(التقارير!$C$5="سنوي",AND(التقارير!$C$5="شهري",P1967=التقارير!$C$6),AND(التقارير!$C$5="فصلي",Q1967=التقارير!$C$7))),1,0))</f>
        <v/>
      </c>
      <c r="T1967" s="20">
        <f>IF(S1967=1,COUNTIF($S$5:S1967,1),"")</f>
        <v/>
      </c>
      <c r="U1967">
        <f>IF(AND($A1967&lt;&gt;"",$B1967&lt;&gt;"",$R1967='تقرير الفصل الأول'!$C$4,$Q1967='تقرير الفصل الأول'!$C$7),COUNT(U$4:U1966)+1,"")</f>
        <v/>
      </c>
      <c r="V1967">
        <f>IF(AND($A1967&lt;&gt;"",$B1967&lt;&gt;"",$R1967='تقرير الفصل الثاني'!$C$4,$Q1967='تقرير الفصل الثاني'!$C$7),COUNT(V$4:V1966)+1,"")</f>
        <v/>
      </c>
      <c r="W1967">
        <f>IF(AND($A1967&lt;&gt;"",$B1967&lt;&gt;"",$R1967='تقرير سبتمبر'!$C$4,$P1967='تقرير سبتمبر'!$C$6),COUNT(W$4:W1966)+1,"")</f>
        <v/>
      </c>
      <c r="X1967">
        <f>IF(AND($A1967&lt;&gt;"",$B1967&lt;&gt;"",$R1967='تقرير أكتوبر'!$C$4,$P1967='تقرير أكتوبر'!$C$6),COUNT(X$4:X1966)+1,"")</f>
        <v/>
      </c>
      <c r="Y1967">
        <f>IF(AND($A1967&lt;&gt;"",$B1967&lt;&gt;"",$R1967='تقرير نوفمبر'!$C$4,$P1967='تقرير نوفمبر'!$C$6),COUNT(Y$4:Y1966)+1,"")</f>
        <v/>
      </c>
      <c r="Z1967">
        <f>IF(AND($A1967&lt;&gt;"",$B1967&lt;&gt;"",$R1967='تقرير ديسمبر'!$C$4,$P1967='تقرير ديسمبر'!$C$6),COUNT(Z$4:Z1966)+1,"")</f>
        <v/>
      </c>
      <c r="AA1967">
        <f>IF(AND($A1967&lt;&gt;"",$B1967&lt;&gt;"",$R1967='تقرير يناير'!$C$4,$P1967='تقرير يناير'!$C$6),COUNT(AA$4:AA1966)+1,"")</f>
        <v/>
      </c>
      <c r="AB1967">
        <f>IF(AND($A1967&lt;&gt;"",$B1967&lt;&gt;"",$R1967='تقرير فبراير'!$C$4,$P1967='تقرير فبراير'!$C$6),COUNT(AB$4:AB1966)+1,"")</f>
        <v/>
      </c>
      <c r="AC1967">
        <f>IF(AND($A1967&lt;&gt;"",$B1967&lt;&gt;"",$R1967='تقرير مارس'!$C$4,$P1967='تقرير مارس'!$C$6),COUNT(AC$4:AC1966)+1,"")</f>
        <v/>
      </c>
      <c r="AD1967">
        <f>IF(AND($A1967&lt;&gt;"",$B1967&lt;&gt;"",$R1967='تقرير أبريل'!$C$4,$P1967='تقرير أبريل'!$C$6),COUNT(AD$4:AD1966)+1,"")</f>
        <v/>
      </c>
      <c r="AE1967">
        <f>IF(AND($A1967&lt;&gt;"",$B1967&lt;&gt;"",$R1967='تقرير مايو'!$C$4,$P1967='تقرير مايو'!$C$6),COUNT(AE$4:AE1966)+1,"")</f>
        <v/>
      </c>
    </row>
    <row r="1968">
      <c r="A1968" s="16" t="n"/>
      <c r="B1968" s="17" t="n"/>
      <c r="C1968" s="17" t="n"/>
      <c r="D1968" s="18" t="n"/>
      <c r="E1968" s="17" t="n"/>
      <c r="F1968" s="17" t="n"/>
      <c r="G1968" s="19" t="n"/>
      <c r="H1968" s="17" t="n"/>
      <c r="I1968" s="17" t="n"/>
      <c r="J1968" s="17" t="n"/>
      <c r="K1968" s="20">
        <f>IF($B1968="","",IFERROR(INDEX(الموظفات!$A$5:$A$304,MATCH($B1968,الموظفات!$B$5:$B$304,0))&amp;"",""))</f>
        <v/>
      </c>
      <c r="L1968" s="21">
        <f>IF($B1968="","",IFERROR(INDEX(الموظفات!$C$5:$C$304,MATCH($B1968,الموظفات!$B$5:$B$304,0))&amp;"",""))</f>
        <v/>
      </c>
      <c r="M1968" s="20">
        <f>IF($B1968="","",IFERROR(INDEX(الموظفات!$D$5:$D$304,MATCH($B1968,الموظفات!$B$5:$B$304,0))&amp;"",""))</f>
        <v/>
      </c>
      <c r="N1968" s="20">
        <f>IF($B1968="","",IFERROR(INDEX(الموظفات!$E$5:$E$304,MATCH($B1968,الموظفات!$B$5:$B$304,0))&amp;"",""))</f>
        <v/>
      </c>
      <c r="O1968" s="21">
        <f>IF(C1968="","",IFERROR(INDEX(الإعدادات!$D$7:$D$35,MATCH(C1968,الإعدادات!$A$7:$A$35,0))&amp;"",""))</f>
        <v/>
      </c>
      <c r="P1968" s="20">
        <f>IF(A1968="","",INDEX(الإعدادات!$H$7:$H$18,MONTH(A1968)))</f>
        <v/>
      </c>
      <c r="Q1968" s="20">
        <f>IF(A1968="","",INDEX(الإعدادات!$I$7:$I$18,MONTH(A1968)))</f>
        <v/>
      </c>
      <c r="R1968" s="20">
        <f>IF(A1968="","",IF(MONTH(A1968)&gt;=8,YEAR(A1968)&amp;"-"&amp;(YEAR(A1968)+1),(YEAR(A1968)-1)&amp;"-"&amp;YEAR(A1968)))</f>
        <v/>
      </c>
      <c r="S1968" s="20">
        <f>IF(OR(A1968="",B1968=""),0,IF(AND(R1968=التقارير!$C$4,OR(التقارير!$C$5="سنوي",AND(التقارير!$C$5="شهري",P1968=التقارير!$C$6),AND(التقارير!$C$5="فصلي",Q1968=التقارير!$C$7))),1,0))</f>
        <v/>
      </c>
      <c r="T1968" s="20">
        <f>IF(S1968=1,COUNTIF($S$5:S1968,1),"")</f>
        <v/>
      </c>
      <c r="U1968">
        <f>IF(AND($A1968&lt;&gt;"",$B1968&lt;&gt;"",$R1968='تقرير الفصل الأول'!$C$4,$Q1968='تقرير الفصل الأول'!$C$7),COUNT(U$4:U1967)+1,"")</f>
        <v/>
      </c>
      <c r="V1968">
        <f>IF(AND($A1968&lt;&gt;"",$B1968&lt;&gt;"",$R1968='تقرير الفصل الثاني'!$C$4,$Q1968='تقرير الفصل الثاني'!$C$7),COUNT(V$4:V1967)+1,"")</f>
        <v/>
      </c>
      <c r="W1968">
        <f>IF(AND($A1968&lt;&gt;"",$B1968&lt;&gt;"",$R1968='تقرير سبتمبر'!$C$4,$P1968='تقرير سبتمبر'!$C$6),COUNT(W$4:W1967)+1,"")</f>
        <v/>
      </c>
      <c r="X1968">
        <f>IF(AND($A1968&lt;&gt;"",$B1968&lt;&gt;"",$R1968='تقرير أكتوبر'!$C$4,$P1968='تقرير أكتوبر'!$C$6),COUNT(X$4:X1967)+1,"")</f>
        <v/>
      </c>
      <c r="Y1968">
        <f>IF(AND($A1968&lt;&gt;"",$B1968&lt;&gt;"",$R1968='تقرير نوفمبر'!$C$4,$P1968='تقرير نوفمبر'!$C$6),COUNT(Y$4:Y1967)+1,"")</f>
        <v/>
      </c>
      <c r="Z1968">
        <f>IF(AND($A1968&lt;&gt;"",$B1968&lt;&gt;"",$R1968='تقرير ديسمبر'!$C$4,$P1968='تقرير ديسمبر'!$C$6),COUNT(Z$4:Z1967)+1,"")</f>
        <v/>
      </c>
      <c r="AA1968">
        <f>IF(AND($A1968&lt;&gt;"",$B1968&lt;&gt;"",$R1968='تقرير يناير'!$C$4,$P1968='تقرير يناير'!$C$6),COUNT(AA$4:AA1967)+1,"")</f>
        <v/>
      </c>
      <c r="AB1968">
        <f>IF(AND($A1968&lt;&gt;"",$B1968&lt;&gt;"",$R1968='تقرير فبراير'!$C$4,$P1968='تقرير فبراير'!$C$6),COUNT(AB$4:AB1967)+1,"")</f>
        <v/>
      </c>
      <c r="AC1968">
        <f>IF(AND($A1968&lt;&gt;"",$B1968&lt;&gt;"",$R1968='تقرير مارس'!$C$4,$P1968='تقرير مارس'!$C$6),COUNT(AC$4:AC1967)+1,"")</f>
        <v/>
      </c>
      <c r="AD1968">
        <f>IF(AND($A1968&lt;&gt;"",$B1968&lt;&gt;"",$R1968='تقرير أبريل'!$C$4,$P1968='تقرير أبريل'!$C$6),COUNT(AD$4:AD1967)+1,"")</f>
        <v/>
      </c>
      <c r="AE1968">
        <f>IF(AND($A1968&lt;&gt;"",$B1968&lt;&gt;"",$R1968='تقرير مايو'!$C$4,$P1968='تقرير مايو'!$C$6),COUNT(AE$4:AE1967)+1,"")</f>
        <v/>
      </c>
    </row>
    <row r="1969">
      <c r="A1969" s="16" t="n"/>
      <c r="B1969" s="17" t="n"/>
      <c r="C1969" s="17" t="n"/>
      <c r="D1969" s="18" t="n"/>
      <c r="E1969" s="17" t="n"/>
      <c r="F1969" s="17" t="n"/>
      <c r="G1969" s="19" t="n"/>
      <c r="H1969" s="17" t="n"/>
      <c r="I1969" s="17" t="n"/>
      <c r="J1969" s="17" t="n"/>
      <c r="K1969" s="20">
        <f>IF($B1969="","",IFERROR(INDEX(الموظفات!$A$5:$A$304,MATCH($B1969,الموظفات!$B$5:$B$304,0))&amp;"",""))</f>
        <v/>
      </c>
      <c r="L1969" s="21">
        <f>IF($B1969="","",IFERROR(INDEX(الموظفات!$C$5:$C$304,MATCH($B1969,الموظفات!$B$5:$B$304,0))&amp;"",""))</f>
        <v/>
      </c>
      <c r="M1969" s="20">
        <f>IF($B1969="","",IFERROR(INDEX(الموظفات!$D$5:$D$304,MATCH($B1969,الموظفات!$B$5:$B$304,0))&amp;"",""))</f>
        <v/>
      </c>
      <c r="N1969" s="20">
        <f>IF($B1969="","",IFERROR(INDEX(الموظفات!$E$5:$E$304,MATCH($B1969,الموظفات!$B$5:$B$304,0))&amp;"",""))</f>
        <v/>
      </c>
      <c r="O1969" s="21">
        <f>IF(C1969="","",IFERROR(INDEX(الإعدادات!$D$7:$D$35,MATCH(C1969,الإعدادات!$A$7:$A$35,0))&amp;"",""))</f>
        <v/>
      </c>
      <c r="P1969" s="20">
        <f>IF(A1969="","",INDEX(الإعدادات!$H$7:$H$18,MONTH(A1969)))</f>
        <v/>
      </c>
      <c r="Q1969" s="20">
        <f>IF(A1969="","",INDEX(الإعدادات!$I$7:$I$18,MONTH(A1969)))</f>
        <v/>
      </c>
      <c r="R1969" s="20">
        <f>IF(A1969="","",IF(MONTH(A1969)&gt;=8,YEAR(A1969)&amp;"-"&amp;(YEAR(A1969)+1),(YEAR(A1969)-1)&amp;"-"&amp;YEAR(A1969)))</f>
        <v/>
      </c>
      <c r="S1969" s="20">
        <f>IF(OR(A1969="",B1969=""),0,IF(AND(R1969=التقارير!$C$4,OR(التقارير!$C$5="سنوي",AND(التقارير!$C$5="شهري",P1969=التقارير!$C$6),AND(التقارير!$C$5="فصلي",Q1969=التقارير!$C$7))),1,0))</f>
        <v/>
      </c>
      <c r="T1969" s="20">
        <f>IF(S1969=1,COUNTIF($S$5:S1969,1),"")</f>
        <v/>
      </c>
      <c r="U1969">
        <f>IF(AND($A1969&lt;&gt;"",$B1969&lt;&gt;"",$R1969='تقرير الفصل الأول'!$C$4,$Q1969='تقرير الفصل الأول'!$C$7),COUNT(U$4:U1968)+1,"")</f>
        <v/>
      </c>
      <c r="V1969">
        <f>IF(AND($A1969&lt;&gt;"",$B1969&lt;&gt;"",$R1969='تقرير الفصل الثاني'!$C$4,$Q1969='تقرير الفصل الثاني'!$C$7),COUNT(V$4:V1968)+1,"")</f>
        <v/>
      </c>
      <c r="W1969">
        <f>IF(AND($A1969&lt;&gt;"",$B1969&lt;&gt;"",$R1969='تقرير سبتمبر'!$C$4,$P1969='تقرير سبتمبر'!$C$6),COUNT(W$4:W1968)+1,"")</f>
        <v/>
      </c>
      <c r="X1969">
        <f>IF(AND($A1969&lt;&gt;"",$B1969&lt;&gt;"",$R1969='تقرير أكتوبر'!$C$4,$P1969='تقرير أكتوبر'!$C$6),COUNT(X$4:X1968)+1,"")</f>
        <v/>
      </c>
      <c r="Y1969">
        <f>IF(AND($A1969&lt;&gt;"",$B1969&lt;&gt;"",$R1969='تقرير نوفمبر'!$C$4,$P1969='تقرير نوفمبر'!$C$6),COUNT(Y$4:Y1968)+1,"")</f>
        <v/>
      </c>
      <c r="Z1969">
        <f>IF(AND($A1969&lt;&gt;"",$B1969&lt;&gt;"",$R1969='تقرير ديسمبر'!$C$4,$P1969='تقرير ديسمبر'!$C$6),COUNT(Z$4:Z1968)+1,"")</f>
        <v/>
      </c>
      <c r="AA1969">
        <f>IF(AND($A1969&lt;&gt;"",$B1969&lt;&gt;"",$R1969='تقرير يناير'!$C$4,$P1969='تقرير يناير'!$C$6),COUNT(AA$4:AA1968)+1,"")</f>
        <v/>
      </c>
      <c r="AB1969">
        <f>IF(AND($A1969&lt;&gt;"",$B1969&lt;&gt;"",$R1969='تقرير فبراير'!$C$4,$P1969='تقرير فبراير'!$C$6),COUNT(AB$4:AB1968)+1,"")</f>
        <v/>
      </c>
      <c r="AC1969">
        <f>IF(AND($A1969&lt;&gt;"",$B1969&lt;&gt;"",$R1969='تقرير مارس'!$C$4,$P1969='تقرير مارس'!$C$6),COUNT(AC$4:AC1968)+1,"")</f>
        <v/>
      </c>
      <c r="AD1969">
        <f>IF(AND($A1969&lt;&gt;"",$B1969&lt;&gt;"",$R1969='تقرير أبريل'!$C$4,$P1969='تقرير أبريل'!$C$6),COUNT(AD$4:AD1968)+1,"")</f>
        <v/>
      </c>
      <c r="AE1969">
        <f>IF(AND($A1969&lt;&gt;"",$B1969&lt;&gt;"",$R1969='تقرير مايو'!$C$4,$P1969='تقرير مايو'!$C$6),COUNT(AE$4:AE1968)+1,"")</f>
        <v/>
      </c>
    </row>
    <row r="1970">
      <c r="A1970" s="16" t="n"/>
      <c r="B1970" s="17" t="n"/>
      <c r="C1970" s="17" t="n"/>
      <c r="D1970" s="18" t="n"/>
      <c r="E1970" s="17" t="n"/>
      <c r="F1970" s="17" t="n"/>
      <c r="G1970" s="19" t="n"/>
      <c r="H1970" s="17" t="n"/>
      <c r="I1970" s="17" t="n"/>
      <c r="J1970" s="17" t="n"/>
      <c r="K1970" s="20">
        <f>IF($B1970="","",IFERROR(INDEX(الموظفات!$A$5:$A$304,MATCH($B1970,الموظفات!$B$5:$B$304,0))&amp;"",""))</f>
        <v/>
      </c>
      <c r="L1970" s="21">
        <f>IF($B1970="","",IFERROR(INDEX(الموظفات!$C$5:$C$304,MATCH($B1970,الموظفات!$B$5:$B$304,0))&amp;"",""))</f>
        <v/>
      </c>
      <c r="M1970" s="20">
        <f>IF($B1970="","",IFERROR(INDEX(الموظفات!$D$5:$D$304,MATCH($B1970,الموظفات!$B$5:$B$304,0))&amp;"",""))</f>
        <v/>
      </c>
      <c r="N1970" s="20">
        <f>IF($B1970="","",IFERROR(INDEX(الموظفات!$E$5:$E$304,MATCH($B1970,الموظفات!$B$5:$B$304,0))&amp;"",""))</f>
        <v/>
      </c>
      <c r="O1970" s="21">
        <f>IF(C1970="","",IFERROR(INDEX(الإعدادات!$D$7:$D$35,MATCH(C1970,الإعدادات!$A$7:$A$35,0))&amp;"",""))</f>
        <v/>
      </c>
      <c r="P1970" s="20">
        <f>IF(A1970="","",INDEX(الإعدادات!$H$7:$H$18,MONTH(A1970)))</f>
        <v/>
      </c>
      <c r="Q1970" s="20">
        <f>IF(A1970="","",INDEX(الإعدادات!$I$7:$I$18,MONTH(A1970)))</f>
        <v/>
      </c>
      <c r="R1970" s="20">
        <f>IF(A1970="","",IF(MONTH(A1970)&gt;=8,YEAR(A1970)&amp;"-"&amp;(YEAR(A1970)+1),(YEAR(A1970)-1)&amp;"-"&amp;YEAR(A1970)))</f>
        <v/>
      </c>
      <c r="S1970" s="20">
        <f>IF(OR(A1970="",B1970=""),0,IF(AND(R1970=التقارير!$C$4,OR(التقارير!$C$5="سنوي",AND(التقارير!$C$5="شهري",P1970=التقارير!$C$6),AND(التقارير!$C$5="فصلي",Q1970=التقارير!$C$7))),1,0))</f>
        <v/>
      </c>
      <c r="T1970" s="20">
        <f>IF(S1970=1,COUNTIF($S$5:S1970,1),"")</f>
        <v/>
      </c>
      <c r="U1970">
        <f>IF(AND($A1970&lt;&gt;"",$B1970&lt;&gt;"",$R1970='تقرير الفصل الأول'!$C$4,$Q1970='تقرير الفصل الأول'!$C$7),COUNT(U$4:U1969)+1,"")</f>
        <v/>
      </c>
      <c r="V1970">
        <f>IF(AND($A1970&lt;&gt;"",$B1970&lt;&gt;"",$R1970='تقرير الفصل الثاني'!$C$4,$Q1970='تقرير الفصل الثاني'!$C$7),COUNT(V$4:V1969)+1,"")</f>
        <v/>
      </c>
      <c r="W1970">
        <f>IF(AND($A1970&lt;&gt;"",$B1970&lt;&gt;"",$R1970='تقرير سبتمبر'!$C$4,$P1970='تقرير سبتمبر'!$C$6),COUNT(W$4:W1969)+1,"")</f>
        <v/>
      </c>
      <c r="X1970">
        <f>IF(AND($A1970&lt;&gt;"",$B1970&lt;&gt;"",$R1970='تقرير أكتوبر'!$C$4,$P1970='تقرير أكتوبر'!$C$6),COUNT(X$4:X1969)+1,"")</f>
        <v/>
      </c>
      <c r="Y1970">
        <f>IF(AND($A1970&lt;&gt;"",$B1970&lt;&gt;"",$R1970='تقرير نوفمبر'!$C$4,$P1970='تقرير نوفمبر'!$C$6),COUNT(Y$4:Y1969)+1,"")</f>
        <v/>
      </c>
      <c r="Z1970">
        <f>IF(AND($A1970&lt;&gt;"",$B1970&lt;&gt;"",$R1970='تقرير ديسمبر'!$C$4,$P1970='تقرير ديسمبر'!$C$6),COUNT(Z$4:Z1969)+1,"")</f>
        <v/>
      </c>
      <c r="AA1970">
        <f>IF(AND($A1970&lt;&gt;"",$B1970&lt;&gt;"",$R1970='تقرير يناير'!$C$4,$P1970='تقرير يناير'!$C$6),COUNT(AA$4:AA1969)+1,"")</f>
        <v/>
      </c>
      <c r="AB1970">
        <f>IF(AND($A1970&lt;&gt;"",$B1970&lt;&gt;"",$R1970='تقرير فبراير'!$C$4,$P1970='تقرير فبراير'!$C$6),COUNT(AB$4:AB1969)+1,"")</f>
        <v/>
      </c>
      <c r="AC1970">
        <f>IF(AND($A1970&lt;&gt;"",$B1970&lt;&gt;"",$R1970='تقرير مارس'!$C$4,$P1970='تقرير مارس'!$C$6),COUNT(AC$4:AC1969)+1,"")</f>
        <v/>
      </c>
      <c r="AD1970">
        <f>IF(AND($A1970&lt;&gt;"",$B1970&lt;&gt;"",$R1970='تقرير أبريل'!$C$4,$P1970='تقرير أبريل'!$C$6),COUNT(AD$4:AD1969)+1,"")</f>
        <v/>
      </c>
      <c r="AE1970">
        <f>IF(AND($A1970&lt;&gt;"",$B1970&lt;&gt;"",$R1970='تقرير مايو'!$C$4,$P1970='تقرير مايو'!$C$6),COUNT(AE$4:AE1969)+1,"")</f>
        <v/>
      </c>
    </row>
    <row r="1971">
      <c r="A1971" s="16" t="n"/>
      <c r="B1971" s="17" t="n"/>
      <c r="C1971" s="17" t="n"/>
      <c r="D1971" s="18" t="n"/>
      <c r="E1971" s="17" t="n"/>
      <c r="F1971" s="17" t="n"/>
      <c r="G1971" s="19" t="n"/>
      <c r="H1971" s="17" t="n"/>
      <c r="I1971" s="17" t="n"/>
      <c r="J1971" s="17" t="n"/>
      <c r="K1971" s="20">
        <f>IF($B1971="","",IFERROR(INDEX(الموظفات!$A$5:$A$304,MATCH($B1971,الموظفات!$B$5:$B$304,0))&amp;"",""))</f>
        <v/>
      </c>
      <c r="L1971" s="21">
        <f>IF($B1971="","",IFERROR(INDEX(الموظفات!$C$5:$C$304,MATCH($B1971,الموظفات!$B$5:$B$304,0))&amp;"",""))</f>
        <v/>
      </c>
      <c r="M1971" s="20">
        <f>IF($B1971="","",IFERROR(INDEX(الموظفات!$D$5:$D$304,MATCH($B1971,الموظفات!$B$5:$B$304,0))&amp;"",""))</f>
        <v/>
      </c>
      <c r="N1971" s="20">
        <f>IF($B1971="","",IFERROR(INDEX(الموظفات!$E$5:$E$304,MATCH($B1971,الموظفات!$B$5:$B$304,0))&amp;"",""))</f>
        <v/>
      </c>
      <c r="O1971" s="21">
        <f>IF(C1971="","",IFERROR(INDEX(الإعدادات!$D$7:$D$35,MATCH(C1971,الإعدادات!$A$7:$A$35,0))&amp;"",""))</f>
        <v/>
      </c>
      <c r="P1971" s="20">
        <f>IF(A1971="","",INDEX(الإعدادات!$H$7:$H$18,MONTH(A1971)))</f>
        <v/>
      </c>
      <c r="Q1971" s="20">
        <f>IF(A1971="","",INDEX(الإعدادات!$I$7:$I$18,MONTH(A1971)))</f>
        <v/>
      </c>
      <c r="R1971" s="20">
        <f>IF(A1971="","",IF(MONTH(A1971)&gt;=8,YEAR(A1971)&amp;"-"&amp;(YEAR(A1971)+1),(YEAR(A1971)-1)&amp;"-"&amp;YEAR(A1971)))</f>
        <v/>
      </c>
      <c r="S1971" s="20">
        <f>IF(OR(A1971="",B1971=""),0,IF(AND(R1971=التقارير!$C$4,OR(التقارير!$C$5="سنوي",AND(التقارير!$C$5="شهري",P1971=التقارير!$C$6),AND(التقارير!$C$5="فصلي",Q1971=التقارير!$C$7))),1,0))</f>
        <v/>
      </c>
      <c r="T1971" s="20">
        <f>IF(S1971=1,COUNTIF($S$5:S1971,1),"")</f>
        <v/>
      </c>
      <c r="U1971">
        <f>IF(AND($A1971&lt;&gt;"",$B1971&lt;&gt;"",$R1971='تقرير الفصل الأول'!$C$4,$Q1971='تقرير الفصل الأول'!$C$7),COUNT(U$4:U1970)+1,"")</f>
        <v/>
      </c>
      <c r="V1971">
        <f>IF(AND($A1971&lt;&gt;"",$B1971&lt;&gt;"",$R1971='تقرير الفصل الثاني'!$C$4,$Q1971='تقرير الفصل الثاني'!$C$7),COUNT(V$4:V1970)+1,"")</f>
        <v/>
      </c>
      <c r="W1971">
        <f>IF(AND($A1971&lt;&gt;"",$B1971&lt;&gt;"",$R1971='تقرير سبتمبر'!$C$4,$P1971='تقرير سبتمبر'!$C$6),COUNT(W$4:W1970)+1,"")</f>
        <v/>
      </c>
      <c r="X1971">
        <f>IF(AND($A1971&lt;&gt;"",$B1971&lt;&gt;"",$R1971='تقرير أكتوبر'!$C$4,$P1971='تقرير أكتوبر'!$C$6),COUNT(X$4:X1970)+1,"")</f>
        <v/>
      </c>
      <c r="Y1971">
        <f>IF(AND($A1971&lt;&gt;"",$B1971&lt;&gt;"",$R1971='تقرير نوفمبر'!$C$4,$P1971='تقرير نوفمبر'!$C$6),COUNT(Y$4:Y1970)+1,"")</f>
        <v/>
      </c>
      <c r="Z1971">
        <f>IF(AND($A1971&lt;&gt;"",$B1971&lt;&gt;"",$R1971='تقرير ديسمبر'!$C$4,$P1971='تقرير ديسمبر'!$C$6),COUNT(Z$4:Z1970)+1,"")</f>
        <v/>
      </c>
      <c r="AA1971">
        <f>IF(AND($A1971&lt;&gt;"",$B1971&lt;&gt;"",$R1971='تقرير يناير'!$C$4,$P1971='تقرير يناير'!$C$6),COUNT(AA$4:AA1970)+1,"")</f>
        <v/>
      </c>
      <c r="AB1971">
        <f>IF(AND($A1971&lt;&gt;"",$B1971&lt;&gt;"",$R1971='تقرير فبراير'!$C$4,$P1971='تقرير فبراير'!$C$6),COUNT(AB$4:AB1970)+1,"")</f>
        <v/>
      </c>
      <c r="AC1971">
        <f>IF(AND($A1971&lt;&gt;"",$B1971&lt;&gt;"",$R1971='تقرير مارس'!$C$4,$P1971='تقرير مارس'!$C$6),COUNT(AC$4:AC1970)+1,"")</f>
        <v/>
      </c>
      <c r="AD1971">
        <f>IF(AND($A1971&lt;&gt;"",$B1971&lt;&gt;"",$R1971='تقرير أبريل'!$C$4,$P1971='تقرير أبريل'!$C$6),COUNT(AD$4:AD1970)+1,"")</f>
        <v/>
      </c>
      <c r="AE1971">
        <f>IF(AND($A1971&lt;&gt;"",$B1971&lt;&gt;"",$R1971='تقرير مايو'!$C$4,$P1971='تقرير مايو'!$C$6),COUNT(AE$4:AE1970)+1,"")</f>
        <v/>
      </c>
    </row>
    <row r="1972">
      <c r="A1972" s="16" t="n"/>
      <c r="B1972" s="17" t="n"/>
      <c r="C1972" s="17" t="n"/>
      <c r="D1972" s="18" t="n"/>
      <c r="E1972" s="17" t="n"/>
      <c r="F1972" s="17" t="n"/>
      <c r="G1972" s="19" t="n"/>
      <c r="H1972" s="17" t="n"/>
      <c r="I1972" s="17" t="n"/>
      <c r="J1972" s="17" t="n"/>
      <c r="K1972" s="20">
        <f>IF($B1972="","",IFERROR(INDEX(الموظفات!$A$5:$A$304,MATCH($B1972,الموظفات!$B$5:$B$304,0))&amp;"",""))</f>
        <v/>
      </c>
      <c r="L1972" s="21">
        <f>IF($B1972="","",IFERROR(INDEX(الموظفات!$C$5:$C$304,MATCH($B1972,الموظفات!$B$5:$B$304,0))&amp;"",""))</f>
        <v/>
      </c>
      <c r="M1972" s="20">
        <f>IF($B1972="","",IFERROR(INDEX(الموظفات!$D$5:$D$304,MATCH($B1972,الموظفات!$B$5:$B$304,0))&amp;"",""))</f>
        <v/>
      </c>
      <c r="N1972" s="20">
        <f>IF($B1972="","",IFERROR(INDEX(الموظفات!$E$5:$E$304,MATCH($B1972,الموظفات!$B$5:$B$304,0))&amp;"",""))</f>
        <v/>
      </c>
      <c r="O1972" s="21">
        <f>IF(C1972="","",IFERROR(INDEX(الإعدادات!$D$7:$D$35,MATCH(C1972,الإعدادات!$A$7:$A$35,0))&amp;"",""))</f>
        <v/>
      </c>
      <c r="P1972" s="20">
        <f>IF(A1972="","",INDEX(الإعدادات!$H$7:$H$18,MONTH(A1972)))</f>
        <v/>
      </c>
      <c r="Q1972" s="20">
        <f>IF(A1972="","",INDEX(الإعدادات!$I$7:$I$18,MONTH(A1972)))</f>
        <v/>
      </c>
      <c r="R1972" s="20">
        <f>IF(A1972="","",IF(MONTH(A1972)&gt;=8,YEAR(A1972)&amp;"-"&amp;(YEAR(A1972)+1),(YEAR(A1972)-1)&amp;"-"&amp;YEAR(A1972)))</f>
        <v/>
      </c>
      <c r="S1972" s="20">
        <f>IF(OR(A1972="",B1972=""),0,IF(AND(R1972=التقارير!$C$4,OR(التقارير!$C$5="سنوي",AND(التقارير!$C$5="شهري",P1972=التقارير!$C$6),AND(التقارير!$C$5="فصلي",Q1972=التقارير!$C$7))),1,0))</f>
        <v/>
      </c>
      <c r="T1972" s="20">
        <f>IF(S1972=1,COUNTIF($S$5:S1972,1),"")</f>
        <v/>
      </c>
      <c r="U1972">
        <f>IF(AND($A1972&lt;&gt;"",$B1972&lt;&gt;"",$R1972='تقرير الفصل الأول'!$C$4,$Q1972='تقرير الفصل الأول'!$C$7),COUNT(U$4:U1971)+1,"")</f>
        <v/>
      </c>
      <c r="V1972">
        <f>IF(AND($A1972&lt;&gt;"",$B1972&lt;&gt;"",$R1972='تقرير الفصل الثاني'!$C$4,$Q1972='تقرير الفصل الثاني'!$C$7),COUNT(V$4:V1971)+1,"")</f>
        <v/>
      </c>
      <c r="W1972">
        <f>IF(AND($A1972&lt;&gt;"",$B1972&lt;&gt;"",$R1972='تقرير سبتمبر'!$C$4,$P1972='تقرير سبتمبر'!$C$6),COUNT(W$4:W1971)+1,"")</f>
        <v/>
      </c>
      <c r="X1972">
        <f>IF(AND($A1972&lt;&gt;"",$B1972&lt;&gt;"",$R1972='تقرير أكتوبر'!$C$4,$P1972='تقرير أكتوبر'!$C$6),COUNT(X$4:X1971)+1,"")</f>
        <v/>
      </c>
      <c r="Y1972">
        <f>IF(AND($A1972&lt;&gt;"",$B1972&lt;&gt;"",$R1972='تقرير نوفمبر'!$C$4,$P1972='تقرير نوفمبر'!$C$6),COUNT(Y$4:Y1971)+1,"")</f>
        <v/>
      </c>
      <c r="Z1972">
        <f>IF(AND($A1972&lt;&gt;"",$B1972&lt;&gt;"",$R1972='تقرير ديسمبر'!$C$4,$P1972='تقرير ديسمبر'!$C$6),COUNT(Z$4:Z1971)+1,"")</f>
        <v/>
      </c>
      <c r="AA1972">
        <f>IF(AND($A1972&lt;&gt;"",$B1972&lt;&gt;"",$R1972='تقرير يناير'!$C$4,$P1972='تقرير يناير'!$C$6),COUNT(AA$4:AA1971)+1,"")</f>
        <v/>
      </c>
      <c r="AB1972">
        <f>IF(AND($A1972&lt;&gt;"",$B1972&lt;&gt;"",$R1972='تقرير فبراير'!$C$4,$P1972='تقرير فبراير'!$C$6),COUNT(AB$4:AB1971)+1,"")</f>
        <v/>
      </c>
      <c r="AC1972">
        <f>IF(AND($A1972&lt;&gt;"",$B1972&lt;&gt;"",$R1972='تقرير مارس'!$C$4,$P1972='تقرير مارس'!$C$6),COUNT(AC$4:AC1971)+1,"")</f>
        <v/>
      </c>
      <c r="AD1972">
        <f>IF(AND($A1972&lt;&gt;"",$B1972&lt;&gt;"",$R1972='تقرير أبريل'!$C$4,$P1972='تقرير أبريل'!$C$6),COUNT(AD$4:AD1971)+1,"")</f>
        <v/>
      </c>
      <c r="AE1972">
        <f>IF(AND($A1972&lt;&gt;"",$B1972&lt;&gt;"",$R1972='تقرير مايو'!$C$4,$P1972='تقرير مايو'!$C$6),COUNT(AE$4:AE1971)+1,"")</f>
        <v/>
      </c>
    </row>
    <row r="1973">
      <c r="A1973" s="16" t="n"/>
      <c r="B1973" s="17" t="n"/>
      <c r="C1973" s="17" t="n"/>
      <c r="D1973" s="18" t="n"/>
      <c r="E1973" s="17" t="n"/>
      <c r="F1973" s="17" t="n"/>
      <c r="G1973" s="19" t="n"/>
      <c r="H1973" s="17" t="n"/>
      <c r="I1973" s="17" t="n"/>
      <c r="J1973" s="17" t="n"/>
      <c r="K1973" s="20">
        <f>IF($B1973="","",IFERROR(INDEX(الموظفات!$A$5:$A$304,MATCH($B1973,الموظفات!$B$5:$B$304,0))&amp;"",""))</f>
        <v/>
      </c>
      <c r="L1973" s="21">
        <f>IF($B1973="","",IFERROR(INDEX(الموظفات!$C$5:$C$304,MATCH($B1973,الموظفات!$B$5:$B$304,0))&amp;"",""))</f>
        <v/>
      </c>
      <c r="M1973" s="20">
        <f>IF($B1973="","",IFERROR(INDEX(الموظفات!$D$5:$D$304,MATCH($B1973,الموظفات!$B$5:$B$304,0))&amp;"",""))</f>
        <v/>
      </c>
      <c r="N1973" s="20">
        <f>IF($B1973="","",IFERROR(INDEX(الموظفات!$E$5:$E$304,MATCH($B1973,الموظفات!$B$5:$B$304,0))&amp;"",""))</f>
        <v/>
      </c>
      <c r="O1973" s="21">
        <f>IF(C1973="","",IFERROR(INDEX(الإعدادات!$D$7:$D$35,MATCH(C1973,الإعدادات!$A$7:$A$35,0))&amp;"",""))</f>
        <v/>
      </c>
      <c r="P1973" s="20">
        <f>IF(A1973="","",INDEX(الإعدادات!$H$7:$H$18,MONTH(A1973)))</f>
        <v/>
      </c>
      <c r="Q1973" s="20">
        <f>IF(A1973="","",INDEX(الإعدادات!$I$7:$I$18,MONTH(A1973)))</f>
        <v/>
      </c>
      <c r="R1973" s="20">
        <f>IF(A1973="","",IF(MONTH(A1973)&gt;=8,YEAR(A1973)&amp;"-"&amp;(YEAR(A1973)+1),(YEAR(A1973)-1)&amp;"-"&amp;YEAR(A1973)))</f>
        <v/>
      </c>
      <c r="S1973" s="20">
        <f>IF(OR(A1973="",B1973=""),0,IF(AND(R1973=التقارير!$C$4,OR(التقارير!$C$5="سنوي",AND(التقارير!$C$5="شهري",P1973=التقارير!$C$6),AND(التقارير!$C$5="فصلي",Q1973=التقارير!$C$7))),1,0))</f>
        <v/>
      </c>
      <c r="T1973" s="20">
        <f>IF(S1973=1,COUNTIF($S$5:S1973,1),"")</f>
        <v/>
      </c>
      <c r="U1973">
        <f>IF(AND($A1973&lt;&gt;"",$B1973&lt;&gt;"",$R1973='تقرير الفصل الأول'!$C$4,$Q1973='تقرير الفصل الأول'!$C$7),COUNT(U$4:U1972)+1,"")</f>
        <v/>
      </c>
      <c r="V1973">
        <f>IF(AND($A1973&lt;&gt;"",$B1973&lt;&gt;"",$R1973='تقرير الفصل الثاني'!$C$4,$Q1973='تقرير الفصل الثاني'!$C$7),COUNT(V$4:V1972)+1,"")</f>
        <v/>
      </c>
      <c r="W1973">
        <f>IF(AND($A1973&lt;&gt;"",$B1973&lt;&gt;"",$R1973='تقرير سبتمبر'!$C$4,$P1973='تقرير سبتمبر'!$C$6),COUNT(W$4:W1972)+1,"")</f>
        <v/>
      </c>
      <c r="X1973">
        <f>IF(AND($A1973&lt;&gt;"",$B1973&lt;&gt;"",$R1973='تقرير أكتوبر'!$C$4,$P1973='تقرير أكتوبر'!$C$6),COUNT(X$4:X1972)+1,"")</f>
        <v/>
      </c>
      <c r="Y1973">
        <f>IF(AND($A1973&lt;&gt;"",$B1973&lt;&gt;"",$R1973='تقرير نوفمبر'!$C$4,$P1973='تقرير نوفمبر'!$C$6),COUNT(Y$4:Y1972)+1,"")</f>
        <v/>
      </c>
      <c r="Z1973">
        <f>IF(AND($A1973&lt;&gt;"",$B1973&lt;&gt;"",$R1973='تقرير ديسمبر'!$C$4,$P1973='تقرير ديسمبر'!$C$6),COUNT(Z$4:Z1972)+1,"")</f>
        <v/>
      </c>
      <c r="AA1973">
        <f>IF(AND($A1973&lt;&gt;"",$B1973&lt;&gt;"",$R1973='تقرير يناير'!$C$4,$P1973='تقرير يناير'!$C$6),COUNT(AA$4:AA1972)+1,"")</f>
        <v/>
      </c>
      <c r="AB1973">
        <f>IF(AND($A1973&lt;&gt;"",$B1973&lt;&gt;"",$R1973='تقرير فبراير'!$C$4,$P1973='تقرير فبراير'!$C$6),COUNT(AB$4:AB1972)+1,"")</f>
        <v/>
      </c>
      <c r="AC1973">
        <f>IF(AND($A1973&lt;&gt;"",$B1973&lt;&gt;"",$R1973='تقرير مارس'!$C$4,$P1973='تقرير مارس'!$C$6),COUNT(AC$4:AC1972)+1,"")</f>
        <v/>
      </c>
      <c r="AD1973">
        <f>IF(AND($A1973&lt;&gt;"",$B1973&lt;&gt;"",$R1973='تقرير أبريل'!$C$4,$P1973='تقرير أبريل'!$C$6),COUNT(AD$4:AD1972)+1,"")</f>
        <v/>
      </c>
      <c r="AE1973">
        <f>IF(AND($A1973&lt;&gt;"",$B1973&lt;&gt;"",$R1973='تقرير مايو'!$C$4,$P1973='تقرير مايو'!$C$6),COUNT(AE$4:AE1972)+1,"")</f>
        <v/>
      </c>
    </row>
    <row r="1974">
      <c r="A1974" s="16" t="n"/>
      <c r="B1974" s="17" t="n"/>
      <c r="C1974" s="17" t="n"/>
      <c r="D1974" s="18" t="n"/>
      <c r="E1974" s="17" t="n"/>
      <c r="F1974" s="17" t="n"/>
      <c r="G1974" s="19" t="n"/>
      <c r="H1974" s="17" t="n"/>
      <c r="I1974" s="17" t="n"/>
      <c r="J1974" s="17" t="n"/>
      <c r="K1974" s="20">
        <f>IF($B1974="","",IFERROR(INDEX(الموظفات!$A$5:$A$304,MATCH($B1974,الموظفات!$B$5:$B$304,0))&amp;"",""))</f>
        <v/>
      </c>
      <c r="L1974" s="21">
        <f>IF($B1974="","",IFERROR(INDEX(الموظفات!$C$5:$C$304,MATCH($B1974,الموظفات!$B$5:$B$304,0))&amp;"",""))</f>
        <v/>
      </c>
      <c r="M1974" s="20">
        <f>IF($B1974="","",IFERROR(INDEX(الموظفات!$D$5:$D$304,MATCH($B1974,الموظفات!$B$5:$B$304,0))&amp;"",""))</f>
        <v/>
      </c>
      <c r="N1974" s="20">
        <f>IF($B1974="","",IFERROR(INDEX(الموظفات!$E$5:$E$304,MATCH($B1974,الموظفات!$B$5:$B$304,0))&amp;"",""))</f>
        <v/>
      </c>
      <c r="O1974" s="21">
        <f>IF(C1974="","",IFERROR(INDEX(الإعدادات!$D$7:$D$35,MATCH(C1974,الإعدادات!$A$7:$A$35,0))&amp;"",""))</f>
        <v/>
      </c>
      <c r="P1974" s="20">
        <f>IF(A1974="","",INDEX(الإعدادات!$H$7:$H$18,MONTH(A1974)))</f>
        <v/>
      </c>
      <c r="Q1974" s="20">
        <f>IF(A1974="","",INDEX(الإعدادات!$I$7:$I$18,MONTH(A1974)))</f>
        <v/>
      </c>
      <c r="R1974" s="20">
        <f>IF(A1974="","",IF(MONTH(A1974)&gt;=8,YEAR(A1974)&amp;"-"&amp;(YEAR(A1974)+1),(YEAR(A1974)-1)&amp;"-"&amp;YEAR(A1974)))</f>
        <v/>
      </c>
      <c r="S1974" s="20">
        <f>IF(OR(A1974="",B1974=""),0,IF(AND(R1974=التقارير!$C$4,OR(التقارير!$C$5="سنوي",AND(التقارير!$C$5="شهري",P1974=التقارير!$C$6),AND(التقارير!$C$5="فصلي",Q1974=التقارير!$C$7))),1,0))</f>
        <v/>
      </c>
      <c r="T1974" s="20">
        <f>IF(S1974=1,COUNTIF($S$5:S1974,1),"")</f>
        <v/>
      </c>
      <c r="U1974">
        <f>IF(AND($A1974&lt;&gt;"",$B1974&lt;&gt;"",$R1974='تقرير الفصل الأول'!$C$4,$Q1974='تقرير الفصل الأول'!$C$7),COUNT(U$4:U1973)+1,"")</f>
        <v/>
      </c>
      <c r="V1974">
        <f>IF(AND($A1974&lt;&gt;"",$B1974&lt;&gt;"",$R1974='تقرير الفصل الثاني'!$C$4,$Q1974='تقرير الفصل الثاني'!$C$7),COUNT(V$4:V1973)+1,"")</f>
        <v/>
      </c>
      <c r="W1974">
        <f>IF(AND($A1974&lt;&gt;"",$B1974&lt;&gt;"",$R1974='تقرير سبتمبر'!$C$4,$P1974='تقرير سبتمبر'!$C$6),COUNT(W$4:W1973)+1,"")</f>
        <v/>
      </c>
      <c r="X1974">
        <f>IF(AND($A1974&lt;&gt;"",$B1974&lt;&gt;"",$R1974='تقرير أكتوبر'!$C$4,$P1974='تقرير أكتوبر'!$C$6),COUNT(X$4:X1973)+1,"")</f>
        <v/>
      </c>
      <c r="Y1974">
        <f>IF(AND($A1974&lt;&gt;"",$B1974&lt;&gt;"",$R1974='تقرير نوفمبر'!$C$4,$P1974='تقرير نوفمبر'!$C$6),COUNT(Y$4:Y1973)+1,"")</f>
        <v/>
      </c>
      <c r="Z1974">
        <f>IF(AND($A1974&lt;&gt;"",$B1974&lt;&gt;"",$R1974='تقرير ديسمبر'!$C$4,$P1974='تقرير ديسمبر'!$C$6),COUNT(Z$4:Z1973)+1,"")</f>
        <v/>
      </c>
      <c r="AA1974">
        <f>IF(AND($A1974&lt;&gt;"",$B1974&lt;&gt;"",$R1974='تقرير يناير'!$C$4,$P1974='تقرير يناير'!$C$6),COUNT(AA$4:AA1973)+1,"")</f>
        <v/>
      </c>
      <c r="AB1974">
        <f>IF(AND($A1974&lt;&gt;"",$B1974&lt;&gt;"",$R1974='تقرير فبراير'!$C$4,$P1974='تقرير فبراير'!$C$6),COUNT(AB$4:AB1973)+1,"")</f>
        <v/>
      </c>
      <c r="AC1974">
        <f>IF(AND($A1974&lt;&gt;"",$B1974&lt;&gt;"",$R1974='تقرير مارس'!$C$4,$P1974='تقرير مارس'!$C$6),COUNT(AC$4:AC1973)+1,"")</f>
        <v/>
      </c>
      <c r="AD1974">
        <f>IF(AND($A1974&lt;&gt;"",$B1974&lt;&gt;"",$R1974='تقرير أبريل'!$C$4,$P1974='تقرير أبريل'!$C$6),COUNT(AD$4:AD1973)+1,"")</f>
        <v/>
      </c>
      <c r="AE1974">
        <f>IF(AND($A1974&lt;&gt;"",$B1974&lt;&gt;"",$R1974='تقرير مايو'!$C$4,$P1974='تقرير مايو'!$C$6),COUNT(AE$4:AE1973)+1,"")</f>
        <v/>
      </c>
    </row>
    <row r="1975">
      <c r="A1975" s="16" t="n"/>
      <c r="B1975" s="17" t="n"/>
      <c r="C1975" s="17" t="n"/>
      <c r="D1975" s="18" t="n"/>
      <c r="E1975" s="17" t="n"/>
      <c r="F1975" s="17" t="n"/>
      <c r="G1975" s="19" t="n"/>
      <c r="H1975" s="17" t="n"/>
      <c r="I1975" s="17" t="n"/>
      <c r="J1975" s="17" t="n"/>
      <c r="K1975" s="20">
        <f>IF($B1975="","",IFERROR(INDEX(الموظفات!$A$5:$A$304,MATCH($B1975,الموظفات!$B$5:$B$304,0))&amp;"",""))</f>
        <v/>
      </c>
      <c r="L1975" s="21">
        <f>IF($B1975="","",IFERROR(INDEX(الموظفات!$C$5:$C$304,MATCH($B1975,الموظفات!$B$5:$B$304,0))&amp;"",""))</f>
        <v/>
      </c>
      <c r="M1975" s="20">
        <f>IF($B1975="","",IFERROR(INDEX(الموظفات!$D$5:$D$304,MATCH($B1975,الموظفات!$B$5:$B$304,0))&amp;"",""))</f>
        <v/>
      </c>
      <c r="N1975" s="20">
        <f>IF($B1975="","",IFERROR(INDEX(الموظفات!$E$5:$E$304,MATCH($B1975,الموظفات!$B$5:$B$304,0))&amp;"",""))</f>
        <v/>
      </c>
      <c r="O1975" s="21">
        <f>IF(C1975="","",IFERROR(INDEX(الإعدادات!$D$7:$D$35,MATCH(C1975,الإعدادات!$A$7:$A$35,0))&amp;"",""))</f>
        <v/>
      </c>
      <c r="P1975" s="20">
        <f>IF(A1975="","",INDEX(الإعدادات!$H$7:$H$18,MONTH(A1975)))</f>
        <v/>
      </c>
      <c r="Q1975" s="20">
        <f>IF(A1975="","",INDEX(الإعدادات!$I$7:$I$18,MONTH(A1975)))</f>
        <v/>
      </c>
      <c r="R1975" s="20">
        <f>IF(A1975="","",IF(MONTH(A1975)&gt;=8,YEAR(A1975)&amp;"-"&amp;(YEAR(A1975)+1),(YEAR(A1975)-1)&amp;"-"&amp;YEAR(A1975)))</f>
        <v/>
      </c>
      <c r="S1975" s="20">
        <f>IF(OR(A1975="",B1975=""),0,IF(AND(R1975=التقارير!$C$4,OR(التقارير!$C$5="سنوي",AND(التقارير!$C$5="شهري",P1975=التقارير!$C$6),AND(التقارير!$C$5="فصلي",Q1975=التقارير!$C$7))),1,0))</f>
        <v/>
      </c>
      <c r="T1975" s="20">
        <f>IF(S1975=1,COUNTIF($S$5:S1975,1),"")</f>
        <v/>
      </c>
      <c r="U1975">
        <f>IF(AND($A1975&lt;&gt;"",$B1975&lt;&gt;"",$R1975='تقرير الفصل الأول'!$C$4,$Q1975='تقرير الفصل الأول'!$C$7),COUNT(U$4:U1974)+1,"")</f>
        <v/>
      </c>
      <c r="V1975">
        <f>IF(AND($A1975&lt;&gt;"",$B1975&lt;&gt;"",$R1975='تقرير الفصل الثاني'!$C$4,$Q1975='تقرير الفصل الثاني'!$C$7),COUNT(V$4:V1974)+1,"")</f>
        <v/>
      </c>
      <c r="W1975">
        <f>IF(AND($A1975&lt;&gt;"",$B1975&lt;&gt;"",$R1975='تقرير سبتمبر'!$C$4,$P1975='تقرير سبتمبر'!$C$6),COUNT(W$4:W1974)+1,"")</f>
        <v/>
      </c>
      <c r="X1975">
        <f>IF(AND($A1975&lt;&gt;"",$B1975&lt;&gt;"",$R1975='تقرير أكتوبر'!$C$4,$P1975='تقرير أكتوبر'!$C$6),COUNT(X$4:X1974)+1,"")</f>
        <v/>
      </c>
      <c r="Y1975">
        <f>IF(AND($A1975&lt;&gt;"",$B1975&lt;&gt;"",$R1975='تقرير نوفمبر'!$C$4,$P1975='تقرير نوفمبر'!$C$6),COUNT(Y$4:Y1974)+1,"")</f>
        <v/>
      </c>
      <c r="Z1975">
        <f>IF(AND($A1975&lt;&gt;"",$B1975&lt;&gt;"",$R1975='تقرير ديسمبر'!$C$4,$P1975='تقرير ديسمبر'!$C$6),COUNT(Z$4:Z1974)+1,"")</f>
        <v/>
      </c>
      <c r="AA1975">
        <f>IF(AND($A1975&lt;&gt;"",$B1975&lt;&gt;"",$R1975='تقرير يناير'!$C$4,$P1975='تقرير يناير'!$C$6),COUNT(AA$4:AA1974)+1,"")</f>
        <v/>
      </c>
      <c r="AB1975">
        <f>IF(AND($A1975&lt;&gt;"",$B1975&lt;&gt;"",$R1975='تقرير فبراير'!$C$4,$P1975='تقرير فبراير'!$C$6),COUNT(AB$4:AB1974)+1,"")</f>
        <v/>
      </c>
      <c r="AC1975">
        <f>IF(AND($A1975&lt;&gt;"",$B1975&lt;&gt;"",$R1975='تقرير مارس'!$C$4,$P1975='تقرير مارس'!$C$6),COUNT(AC$4:AC1974)+1,"")</f>
        <v/>
      </c>
      <c r="AD1975">
        <f>IF(AND($A1975&lt;&gt;"",$B1975&lt;&gt;"",$R1975='تقرير أبريل'!$C$4,$P1975='تقرير أبريل'!$C$6),COUNT(AD$4:AD1974)+1,"")</f>
        <v/>
      </c>
      <c r="AE1975">
        <f>IF(AND($A1975&lt;&gt;"",$B1975&lt;&gt;"",$R1975='تقرير مايو'!$C$4,$P1975='تقرير مايو'!$C$6),COUNT(AE$4:AE1974)+1,"")</f>
        <v/>
      </c>
    </row>
    <row r="1976">
      <c r="A1976" s="16" t="n"/>
      <c r="B1976" s="17" t="n"/>
      <c r="C1976" s="17" t="n"/>
      <c r="D1976" s="18" t="n"/>
      <c r="E1976" s="17" t="n"/>
      <c r="F1976" s="17" t="n"/>
      <c r="G1976" s="19" t="n"/>
      <c r="H1976" s="17" t="n"/>
      <c r="I1976" s="17" t="n"/>
      <c r="J1976" s="17" t="n"/>
      <c r="K1976" s="20">
        <f>IF($B1976="","",IFERROR(INDEX(الموظفات!$A$5:$A$304,MATCH($B1976,الموظفات!$B$5:$B$304,0))&amp;"",""))</f>
        <v/>
      </c>
      <c r="L1976" s="21">
        <f>IF($B1976="","",IFERROR(INDEX(الموظفات!$C$5:$C$304,MATCH($B1976,الموظفات!$B$5:$B$304,0))&amp;"",""))</f>
        <v/>
      </c>
      <c r="M1976" s="20">
        <f>IF($B1976="","",IFERROR(INDEX(الموظفات!$D$5:$D$304,MATCH($B1976,الموظفات!$B$5:$B$304,0))&amp;"",""))</f>
        <v/>
      </c>
      <c r="N1976" s="20">
        <f>IF($B1976="","",IFERROR(INDEX(الموظفات!$E$5:$E$304,MATCH($B1976,الموظفات!$B$5:$B$304,0))&amp;"",""))</f>
        <v/>
      </c>
      <c r="O1976" s="21">
        <f>IF(C1976="","",IFERROR(INDEX(الإعدادات!$D$7:$D$35,MATCH(C1976,الإعدادات!$A$7:$A$35,0))&amp;"",""))</f>
        <v/>
      </c>
      <c r="P1976" s="20">
        <f>IF(A1976="","",INDEX(الإعدادات!$H$7:$H$18,MONTH(A1976)))</f>
        <v/>
      </c>
      <c r="Q1976" s="20">
        <f>IF(A1976="","",INDEX(الإعدادات!$I$7:$I$18,MONTH(A1976)))</f>
        <v/>
      </c>
      <c r="R1976" s="20">
        <f>IF(A1976="","",IF(MONTH(A1976)&gt;=8,YEAR(A1976)&amp;"-"&amp;(YEAR(A1976)+1),(YEAR(A1976)-1)&amp;"-"&amp;YEAR(A1976)))</f>
        <v/>
      </c>
      <c r="S1976" s="20">
        <f>IF(OR(A1976="",B1976=""),0,IF(AND(R1976=التقارير!$C$4,OR(التقارير!$C$5="سنوي",AND(التقارير!$C$5="شهري",P1976=التقارير!$C$6),AND(التقارير!$C$5="فصلي",Q1976=التقارير!$C$7))),1,0))</f>
        <v/>
      </c>
      <c r="T1976" s="20">
        <f>IF(S1976=1,COUNTIF($S$5:S1976,1),"")</f>
        <v/>
      </c>
      <c r="U1976">
        <f>IF(AND($A1976&lt;&gt;"",$B1976&lt;&gt;"",$R1976='تقرير الفصل الأول'!$C$4,$Q1976='تقرير الفصل الأول'!$C$7),COUNT(U$4:U1975)+1,"")</f>
        <v/>
      </c>
      <c r="V1976">
        <f>IF(AND($A1976&lt;&gt;"",$B1976&lt;&gt;"",$R1976='تقرير الفصل الثاني'!$C$4,$Q1976='تقرير الفصل الثاني'!$C$7),COUNT(V$4:V1975)+1,"")</f>
        <v/>
      </c>
      <c r="W1976">
        <f>IF(AND($A1976&lt;&gt;"",$B1976&lt;&gt;"",$R1976='تقرير سبتمبر'!$C$4,$P1976='تقرير سبتمبر'!$C$6),COUNT(W$4:W1975)+1,"")</f>
        <v/>
      </c>
      <c r="X1976">
        <f>IF(AND($A1976&lt;&gt;"",$B1976&lt;&gt;"",$R1976='تقرير أكتوبر'!$C$4,$P1976='تقرير أكتوبر'!$C$6),COUNT(X$4:X1975)+1,"")</f>
        <v/>
      </c>
      <c r="Y1976">
        <f>IF(AND($A1976&lt;&gt;"",$B1976&lt;&gt;"",$R1976='تقرير نوفمبر'!$C$4,$P1976='تقرير نوفمبر'!$C$6),COUNT(Y$4:Y1975)+1,"")</f>
        <v/>
      </c>
      <c r="Z1976">
        <f>IF(AND($A1976&lt;&gt;"",$B1976&lt;&gt;"",$R1976='تقرير ديسمبر'!$C$4,$P1976='تقرير ديسمبر'!$C$6),COUNT(Z$4:Z1975)+1,"")</f>
        <v/>
      </c>
      <c r="AA1976">
        <f>IF(AND($A1976&lt;&gt;"",$B1976&lt;&gt;"",$R1976='تقرير يناير'!$C$4,$P1976='تقرير يناير'!$C$6),COUNT(AA$4:AA1975)+1,"")</f>
        <v/>
      </c>
      <c r="AB1976">
        <f>IF(AND($A1976&lt;&gt;"",$B1976&lt;&gt;"",$R1976='تقرير فبراير'!$C$4,$P1976='تقرير فبراير'!$C$6),COUNT(AB$4:AB1975)+1,"")</f>
        <v/>
      </c>
      <c r="AC1976">
        <f>IF(AND($A1976&lt;&gt;"",$B1976&lt;&gt;"",$R1976='تقرير مارس'!$C$4,$P1976='تقرير مارس'!$C$6),COUNT(AC$4:AC1975)+1,"")</f>
        <v/>
      </c>
      <c r="AD1976">
        <f>IF(AND($A1976&lt;&gt;"",$B1976&lt;&gt;"",$R1976='تقرير أبريل'!$C$4,$P1976='تقرير أبريل'!$C$6),COUNT(AD$4:AD1975)+1,"")</f>
        <v/>
      </c>
      <c r="AE1976">
        <f>IF(AND($A1976&lt;&gt;"",$B1976&lt;&gt;"",$R1976='تقرير مايو'!$C$4,$P1976='تقرير مايو'!$C$6),COUNT(AE$4:AE1975)+1,"")</f>
        <v/>
      </c>
    </row>
    <row r="1977">
      <c r="A1977" s="16" t="n"/>
      <c r="B1977" s="17" t="n"/>
      <c r="C1977" s="17" t="n"/>
      <c r="D1977" s="18" t="n"/>
      <c r="E1977" s="17" t="n"/>
      <c r="F1977" s="17" t="n"/>
      <c r="G1977" s="19" t="n"/>
      <c r="H1977" s="17" t="n"/>
      <c r="I1977" s="17" t="n"/>
      <c r="J1977" s="17" t="n"/>
      <c r="K1977" s="20">
        <f>IF($B1977="","",IFERROR(INDEX(الموظفات!$A$5:$A$304,MATCH($B1977,الموظفات!$B$5:$B$304,0))&amp;"",""))</f>
        <v/>
      </c>
      <c r="L1977" s="21">
        <f>IF($B1977="","",IFERROR(INDEX(الموظفات!$C$5:$C$304,MATCH($B1977,الموظفات!$B$5:$B$304,0))&amp;"",""))</f>
        <v/>
      </c>
      <c r="M1977" s="20">
        <f>IF($B1977="","",IFERROR(INDEX(الموظفات!$D$5:$D$304,MATCH($B1977,الموظفات!$B$5:$B$304,0))&amp;"",""))</f>
        <v/>
      </c>
      <c r="N1977" s="20">
        <f>IF($B1977="","",IFERROR(INDEX(الموظفات!$E$5:$E$304,MATCH($B1977,الموظفات!$B$5:$B$304,0))&amp;"",""))</f>
        <v/>
      </c>
      <c r="O1977" s="21">
        <f>IF(C1977="","",IFERROR(INDEX(الإعدادات!$D$7:$D$35,MATCH(C1977,الإعدادات!$A$7:$A$35,0))&amp;"",""))</f>
        <v/>
      </c>
      <c r="P1977" s="20">
        <f>IF(A1977="","",INDEX(الإعدادات!$H$7:$H$18,MONTH(A1977)))</f>
        <v/>
      </c>
      <c r="Q1977" s="20">
        <f>IF(A1977="","",INDEX(الإعدادات!$I$7:$I$18,MONTH(A1977)))</f>
        <v/>
      </c>
      <c r="R1977" s="20">
        <f>IF(A1977="","",IF(MONTH(A1977)&gt;=8,YEAR(A1977)&amp;"-"&amp;(YEAR(A1977)+1),(YEAR(A1977)-1)&amp;"-"&amp;YEAR(A1977)))</f>
        <v/>
      </c>
      <c r="S1977" s="20">
        <f>IF(OR(A1977="",B1977=""),0,IF(AND(R1977=التقارير!$C$4,OR(التقارير!$C$5="سنوي",AND(التقارير!$C$5="شهري",P1977=التقارير!$C$6),AND(التقارير!$C$5="فصلي",Q1977=التقارير!$C$7))),1,0))</f>
        <v/>
      </c>
      <c r="T1977" s="20">
        <f>IF(S1977=1,COUNTIF($S$5:S1977,1),"")</f>
        <v/>
      </c>
      <c r="U1977">
        <f>IF(AND($A1977&lt;&gt;"",$B1977&lt;&gt;"",$R1977='تقرير الفصل الأول'!$C$4,$Q1977='تقرير الفصل الأول'!$C$7),COUNT(U$4:U1976)+1,"")</f>
        <v/>
      </c>
      <c r="V1977">
        <f>IF(AND($A1977&lt;&gt;"",$B1977&lt;&gt;"",$R1977='تقرير الفصل الثاني'!$C$4,$Q1977='تقرير الفصل الثاني'!$C$7),COUNT(V$4:V1976)+1,"")</f>
        <v/>
      </c>
      <c r="W1977">
        <f>IF(AND($A1977&lt;&gt;"",$B1977&lt;&gt;"",$R1977='تقرير سبتمبر'!$C$4,$P1977='تقرير سبتمبر'!$C$6),COUNT(W$4:W1976)+1,"")</f>
        <v/>
      </c>
      <c r="X1977">
        <f>IF(AND($A1977&lt;&gt;"",$B1977&lt;&gt;"",$R1977='تقرير أكتوبر'!$C$4,$P1977='تقرير أكتوبر'!$C$6),COUNT(X$4:X1976)+1,"")</f>
        <v/>
      </c>
      <c r="Y1977">
        <f>IF(AND($A1977&lt;&gt;"",$B1977&lt;&gt;"",$R1977='تقرير نوفمبر'!$C$4,$P1977='تقرير نوفمبر'!$C$6),COUNT(Y$4:Y1976)+1,"")</f>
        <v/>
      </c>
      <c r="Z1977">
        <f>IF(AND($A1977&lt;&gt;"",$B1977&lt;&gt;"",$R1977='تقرير ديسمبر'!$C$4,$P1977='تقرير ديسمبر'!$C$6),COUNT(Z$4:Z1976)+1,"")</f>
        <v/>
      </c>
      <c r="AA1977">
        <f>IF(AND($A1977&lt;&gt;"",$B1977&lt;&gt;"",$R1977='تقرير يناير'!$C$4,$P1977='تقرير يناير'!$C$6),COUNT(AA$4:AA1976)+1,"")</f>
        <v/>
      </c>
      <c r="AB1977">
        <f>IF(AND($A1977&lt;&gt;"",$B1977&lt;&gt;"",$R1977='تقرير فبراير'!$C$4,$P1977='تقرير فبراير'!$C$6),COUNT(AB$4:AB1976)+1,"")</f>
        <v/>
      </c>
      <c r="AC1977">
        <f>IF(AND($A1977&lt;&gt;"",$B1977&lt;&gt;"",$R1977='تقرير مارس'!$C$4,$P1977='تقرير مارس'!$C$6),COUNT(AC$4:AC1976)+1,"")</f>
        <v/>
      </c>
      <c r="AD1977">
        <f>IF(AND($A1977&lt;&gt;"",$B1977&lt;&gt;"",$R1977='تقرير أبريل'!$C$4,$P1977='تقرير أبريل'!$C$6),COUNT(AD$4:AD1976)+1,"")</f>
        <v/>
      </c>
      <c r="AE1977">
        <f>IF(AND($A1977&lt;&gt;"",$B1977&lt;&gt;"",$R1977='تقرير مايو'!$C$4,$P1977='تقرير مايو'!$C$6),COUNT(AE$4:AE1976)+1,"")</f>
        <v/>
      </c>
    </row>
    <row r="1978">
      <c r="A1978" s="16" t="n"/>
      <c r="B1978" s="17" t="n"/>
      <c r="C1978" s="17" t="n"/>
      <c r="D1978" s="18" t="n"/>
      <c r="E1978" s="17" t="n"/>
      <c r="F1978" s="17" t="n"/>
      <c r="G1978" s="19" t="n"/>
      <c r="H1978" s="17" t="n"/>
      <c r="I1978" s="17" t="n"/>
      <c r="J1978" s="17" t="n"/>
      <c r="K1978" s="20">
        <f>IF($B1978="","",IFERROR(INDEX(الموظفات!$A$5:$A$304,MATCH($B1978,الموظفات!$B$5:$B$304,0))&amp;"",""))</f>
        <v/>
      </c>
      <c r="L1978" s="21">
        <f>IF($B1978="","",IFERROR(INDEX(الموظفات!$C$5:$C$304,MATCH($B1978,الموظفات!$B$5:$B$304,0))&amp;"",""))</f>
        <v/>
      </c>
      <c r="M1978" s="20">
        <f>IF($B1978="","",IFERROR(INDEX(الموظفات!$D$5:$D$304,MATCH($B1978,الموظفات!$B$5:$B$304,0))&amp;"",""))</f>
        <v/>
      </c>
      <c r="N1978" s="20">
        <f>IF($B1978="","",IFERROR(INDEX(الموظفات!$E$5:$E$304,MATCH($B1978,الموظفات!$B$5:$B$304,0))&amp;"",""))</f>
        <v/>
      </c>
      <c r="O1978" s="21">
        <f>IF(C1978="","",IFERROR(INDEX(الإعدادات!$D$7:$D$35,MATCH(C1978,الإعدادات!$A$7:$A$35,0))&amp;"",""))</f>
        <v/>
      </c>
      <c r="P1978" s="20">
        <f>IF(A1978="","",INDEX(الإعدادات!$H$7:$H$18,MONTH(A1978)))</f>
        <v/>
      </c>
      <c r="Q1978" s="20">
        <f>IF(A1978="","",INDEX(الإعدادات!$I$7:$I$18,MONTH(A1978)))</f>
        <v/>
      </c>
      <c r="R1978" s="20">
        <f>IF(A1978="","",IF(MONTH(A1978)&gt;=8,YEAR(A1978)&amp;"-"&amp;(YEAR(A1978)+1),(YEAR(A1978)-1)&amp;"-"&amp;YEAR(A1978)))</f>
        <v/>
      </c>
      <c r="S1978" s="20">
        <f>IF(OR(A1978="",B1978=""),0,IF(AND(R1978=التقارير!$C$4,OR(التقارير!$C$5="سنوي",AND(التقارير!$C$5="شهري",P1978=التقارير!$C$6),AND(التقارير!$C$5="فصلي",Q1978=التقارير!$C$7))),1,0))</f>
        <v/>
      </c>
      <c r="T1978" s="20">
        <f>IF(S1978=1,COUNTIF($S$5:S1978,1),"")</f>
        <v/>
      </c>
      <c r="U1978">
        <f>IF(AND($A1978&lt;&gt;"",$B1978&lt;&gt;"",$R1978='تقرير الفصل الأول'!$C$4,$Q1978='تقرير الفصل الأول'!$C$7),COUNT(U$4:U1977)+1,"")</f>
        <v/>
      </c>
      <c r="V1978">
        <f>IF(AND($A1978&lt;&gt;"",$B1978&lt;&gt;"",$R1978='تقرير الفصل الثاني'!$C$4,$Q1978='تقرير الفصل الثاني'!$C$7),COUNT(V$4:V1977)+1,"")</f>
        <v/>
      </c>
      <c r="W1978">
        <f>IF(AND($A1978&lt;&gt;"",$B1978&lt;&gt;"",$R1978='تقرير سبتمبر'!$C$4,$P1978='تقرير سبتمبر'!$C$6),COUNT(W$4:W1977)+1,"")</f>
        <v/>
      </c>
      <c r="X1978">
        <f>IF(AND($A1978&lt;&gt;"",$B1978&lt;&gt;"",$R1978='تقرير أكتوبر'!$C$4,$P1978='تقرير أكتوبر'!$C$6),COUNT(X$4:X1977)+1,"")</f>
        <v/>
      </c>
      <c r="Y1978">
        <f>IF(AND($A1978&lt;&gt;"",$B1978&lt;&gt;"",$R1978='تقرير نوفمبر'!$C$4,$P1978='تقرير نوفمبر'!$C$6),COUNT(Y$4:Y1977)+1,"")</f>
        <v/>
      </c>
      <c r="Z1978">
        <f>IF(AND($A1978&lt;&gt;"",$B1978&lt;&gt;"",$R1978='تقرير ديسمبر'!$C$4,$P1978='تقرير ديسمبر'!$C$6),COUNT(Z$4:Z1977)+1,"")</f>
        <v/>
      </c>
      <c r="AA1978">
        <f>IF(AND($A1978&lt;&gt;"",$B1978&lt;&gt;"",$R1978='تقرير يناير'!$C$4,$P1978='تقرير يناير'!$C$6),COUNT(AA$4:AA1977)+1,"")</f>
        <v/>
      </c>
      <c r="AB1978">
        <f>IF(AND($A1978&lt;&gt;"",$B1978&lt;&gt;"",$R1978='تقرير فبراير'!$C$4,$P1978='تقرير فبراير'!$C$6),COUNT(AB$4:AB1977)+1,"")</f>
        <v/>
      </c>
      <c r="AC1978">
        <f>IF(AND($A1978&lt;&gt;"",$B1978&lt;&gt;"",$R1978='تقرير مارس'!$C$4,$P1978='تقرير مارس'!$C$6),COUNT(AC$4:AC1977)+1,"")</f>
        <v/>
      </c>
      <c r="AD1978">
        <f>IF(AND($A1978&lt;&gt;"",$B1978&lt;&gt;"",$R1978='تقرير أبريل'!$C$4,$P1978='تقرير أبريل'!$C$6),COUNT(AD$4:AD1977)+1,"")</f>
        <v/>
      </c>
      <c r="AE1978">
        <f>IF(AND($A1978&lt;&gt;"",$B1978&lt;&gt;"",$R1978='تقرير مايو'!$C$4,$P1978='تقرير مايو'!$C$6),COUNT(AE$4:AE1977)+1,"")</f>
        <v/>
      </c>
    </row>
    <row r="1979">
      <c r="A1979" s="16" t="n"/>
      <c r="B1979" s="17" t="n"/>
      <c r="C1979" s="17" t="n"/>
      <c r="D1979" s="18" t="n"/>
      <c r="E1979" s="17" t="n"/>
      <c r="F1979" s="17" t="n"/>
      <c r="G1979" s="19" t="n"/>
      <c r="H1979" s="17" t="n"/>
      <c r="I1979" s="17" t="n"/>
      <c r="J1979" s="17" t="n"/>
      <c r="K1979" s="20">
        <f>IF($B1979="","",IFERROR(INDEX(الموظفات!$A$5:$A$304,MATCH($B1979,الموظفات!$B$5:$B$304,0))&amp;"",""))</f>
        <v/>
      </c>
      <c r="L1979" s="21">
        <f>IF($B1979="","",IFERROR(INDEX(الموظفات!$C$5:$C$304,MATCH($B1979,الموظفات!$B$5:$B$304,0))&amp;"",""))</f>
        <v/>
      </c>
      <c r="M1979" s="20">
        <f>IF($B1979="","",IFERROR(INDEX(الموظفات!$D$5:$D$304,MATCH($B1979,الموظفات!$B$5:$B$304,0))&amp;"",""))</f>
        <v/>
      </c>
      <c r="N1979" s="20">
        <f>IF($B1979="","",IFERROR(INDEX(الموظفات!$E$5:$E$304,MATCH($B1979,الموظفات!$B$5:$B$304,0))&amp;"",""))</f>
        <v/>
      </c>
      <c r="O1979" s="21">
        <f>IF(C1979="","",IFERROR(INDEX(الإعدادات!$D$7:$D$35,MATCH(C1979,الإعدادات!$A$7:$A$35,0))&amp;"",""))</f>
        <v/>
      </c>
      <c r="P1979" s="20">
        <f>IF(A1979="","",INDEX(الإعدادات!$H$7:$H$18,MONTH(A1979)))</f>
        <v/>
      </c>
      <c r="Q1979" s="20">
        <f>IF(A1979="","",INDEX(الإعدادات!$I$7:$I$18,MONTH(A1979)))</f>
        <v/>
      </c>
      <c r="R1979" s="20">
        <f>IF(A1979="","",IF(MONTH(A1979)&gt;=8,YEAR(A1979)&amp;"-"&amp;(YEAR(A1979)+1),(YEAR(A1979)-1)&amp;"-"&amp;YEAR(A1979)))</f>
        <v/>
      </c>
      <c r="S1979" s="20">
        <f>IF(OR(A1979="",B1979=""),0,IF(AND(R1979=التقارير!$C$4,OR(التقارير!$C$5="سنوي",AND(التقارير!$C$5="شهري",P1979=التقارير!$C$6),AND(التقارير!$C$5="فصلي",Q1979=التقارير!$C$7))),1,0))</f>
        <v/>
      </c>
      <c r="T1979" s="20">
        <f>IF(S1979=1,COUNTIF($S$5:S1979,1),"")</f>
        <v/>
      </c>
      <c r="U1979">
        <f>IF(AND($A1979&lt;&gt;"",$B1979&lt;&gt;"",$R1979='تقرير الفصل الأول'!$C$4,$Q1979='تقرير الفصل الأول'!$C$7),COUNT(U$4:U1978)+1,"")</f>
        <v/>
      </c>
      <c r="V1979">
        <f>IF(AND($A1979&lt;&gt;"",$B1979&lt;&gt;"",$R1979='تقرير الفصل الثاني'!$C$4,$Q1979='تقرير الفصل الثاني'!$C$7),COUNT(V$4:V1978)+1,"")</f>
        <v/>
      </c>
      <c r="W1979">
        <f>IF(AND($A1979&lt;&gt;"",$B1979&lt;&gt;"",$R1979='تقرير سبتمبر'!$C$4,$P1979='تقرير سبتمبر'!$C$6),COUNT(W$4:W1978)+1,"")</f>
        <v/>
      </c>
      <c r="X1979">
        <f>IF(AND($A1979&lt;&gt;"",$B1979&lt;&gt;"",$R1979='تقرير أكتوبر'!$C$4,$P1979='تقرير أكتوبر'!$C$6),COUNT(X$4:X1978)+1,"")</f>
        <v/>
      </c>
      <c r="Y1979">
        <f>IF(AND($A1979&lt;&gt;"",$B1979&lt;&gt;"",$R1979='تقرير نوفمبر'!$C$4,$P1979='تقرير نوفمبر'!$C$6),COUNT(Y$4:Y1978)+1,"")</f>
        <v/>
      </c>
      <c r="Z1979">
        <f>IF(AND($A1979&lt;&gt;"",$B1979&lt;&gt;"",$R1979='تقرير ديسمبر'!$C$4,$P1979='تقرير ديسمبر'!$C$6),COUNT(Z$4:Z1978)+1,"")</f>
        <v/>
      </c>
      <c r="AA1979">
        <f>IF(AND($A1979&lt;&gt;"",$B1979&lt;&gt;"",$R1979='تقرير يناير'!$C$4,$P1979='تقرير يناير'!$C$6),COUNT(AA$4:AA1978)+1,"")</f>
        <v/>
      </c>
      <c r="AB1979">
        <f>IF(AND($A1979&lt;&gt;"",$B1979&lt;&gt;"",$R1979='تقرير فبراير'!$C$4,$P1979='تقرير فبراير'!$C$6),COUNT(AB$4:AB1978)+1,"")</f>
        <v/>
      </c>
      <c r="AC1979">
        <f>IF(AND($A1979&lt;&gt;"",$B1979&lt;&gt;"",$R1979='تقرير مارس'!$C$4,$P1979='تقرير مارس'!$C$6),COUNT(AC$4:AC1978)+1,"")</f>
        <v/>
      </c>
      <c r="AD1979">
        <f>IF(AND($A1979&lt;&gt;"",$B1979&lt;&gt;"",$R1979='تقرير أبريل'!$C$4,$P1979='تقرير أبريل'!$C$6),COUNT(AD$4:AD1978)+1,"")</f>
        <v/>
      </c>
      <c r="AE1979">
        <f>IF(AND($A1979&lt;&gt;"",$B1979&lt;&gt;"",$R1979='تقرير مايو'!$C$4,$P1979='تقرير مايو'!$C$6),COUNT(AE$4:AE1978)+1,"")</f>
        <v/>
      </c>
    </row>
    <row r="1980">
      <c r="A1980" s="16" t="n"/>
      <c r="B1980" s="17" t="n"/>
      <c r="C1980" s="17" t="n"/>
      <c r="D1980" s="18" t="n"/>
      <c r="E1980" s="17" t="n"/>
      <c r="F1980" s="17" t="n"/>
      <c r="G1980" s="19" t="n"/>
      <c r="H1980" s="17" t="n"/>
      <c r="I1980" s="17" t="n"/>
      <c r="J1980" s="17" t="n"/>
      <c r="K1980" s="20">
        <f>IF($B1980="","",IFERROR(INDEX(الموظفات!$A$5:$A$304,MATCH($B1980,الموظفات!$B$5:$B$304,0))&amp;"",""))</f>
        <v/>
      </c>
      <c r="L1980" s="21">
        <f>IF($B1980="","",IFERROR(INDEX(الموظفات!$C$5:$C$304,MATCH($B1980,الموظفات!$B$5:$B$304,0))&amp;"",""))</f>
        <v/>
      </c>
      <c r="M1980" s="20">
        <f>IF($B1980="","",IFERROR(INDEX(الموظفات!$D$5:$D$304,MATCH($B1980,الموظفات!$B$5:$B$304,0))&amp;"",""))</f>
        <v/>
      </c>
      <c r="N1980" s="20">
        <f>IF($B1980="","",IFERROR(INDEX(الموظفات!$E$5:$E$304,MATCH($B1980,الموظفات!$B$5:$B$304,0))&amp;"",""))</f>
        <v/>
      </c>
      <c r="O1980" s="21">
        <f>IF(C1980="","",IFERROR(INDEX(الإعدادات!$D$7:$D$35,MATCH(C1980,الإعدادات!$A$7:$A$35,0))&amp;"",""))</f>
        <v/>
      </c>
      <c r="P1980" s="20">
        <f>IF(A1980="","",INDEX(الإعدادات!$H$7:$H$18,MONTH(A1980)))</f>
        <v/>
      </c>
      <c r="Q1980" s="20">
        <f>IF(A1980="","",INDEX(الإعدادات!$I$7:$I$18,MONTH(A1980)))</f>
        <v/>
      </c>
      <c r="R1980" s="20">
        <f>IF(A1980="","",IF(MONTH(A1980)&gt;=8,YEAR(A1980)&amp;"-"&amp;(YEAR(A1980)+1),(YEAR(A1980)-1)&amp;"-"&amp;YEAR(A1980)))</f>
        <v/>
      </c>
      <c r="S1980" s="20">
        <f>IF(OR(A1980="",B1980=""),0,IF(AND(R1980=التقارير!$C$4,OR(التقارير!$C$5="سنوي",AND(التقارير!$C$5="شهري",P1980=التقارير!$C$6),AND(التقارير!$C$5="فصلي",Q1980=التقارير!$C$7))),1,0))</f>
        <v/>
      </c>
      <c r="T1980" s="20">
        <f>IF(S1980=1,COUNTIF($S$5:S1980,1),"")</f>
        <v/>
      </c>
      <c r="U1980">
        <f>IF(AND($A1980&lt;&gt;"",$B1980&lt;&gt;"",$R1980='تقرير الفصل الأول'!$C$4,$Q1980='تقرير الفصل الأول'!$C$7),COUNT(U$4:U1979)+1,"")</f>
        <v/>
      </c>
      <c r="V1980">
        <f>IF(AND($A1980&lt;&gt;"",$B1980&lt;&gt;"",$R1980='تقرير الفصل الثاني'!$C$4,$Q1980='تقرير الفصل الثاني'!$C$7),COUNT(V$4:V1979)+1,"")</f>
        <v/>
      </c>
      <c r="W1980">
        <f>IF(AND($A1980&lt;&gt;"",$B1980&lt;&gt;"",$R1980='تقرير سبتمبر'!$C$4,$P1980='تقرير سبتمبر'!$C$6),COUNT(W$4:W1979)+1,"")</f>
        <v/>
      </c>
      <c r="X1980">
        <f>IF(AND($A1980&lt;&gt;"",$B1980&lt;&gt;"",$R1980='تقرير أكتوبر'!$C$4,$P1980='تقرير أكتوبر'!$C$6),COUNT(X$4:X1979)+1,"")</f>
        <v/>
      </c>
      <c r="Y1980">
        <f>IF(AND($A1980&lt;&gt;"",$B1980&lt;&gt;"",$R1980='تقرير نوفمبر'!$C$4,$P1980='تقرير نوفمبر'!$C$6),COUNT(Y$4:Y1979)+1,"")</f>
        <v/>
      </c>
      <c r="Z1980">
        <f>IF(AND($A1980&lt;&gt;"",$B1980&lt;&gt;"",$R1980='تقرير ديسمبر'!$C$4,$P1980='تقرير ديسمبر'!$C$6),COUNT(Z$4:Z1979)+1,"")</f>
        <v/>
      </c>
      <c r="AA1980">
        <f>IF(AND($A1980&lt;&gt;"",$B1980&lt;&gt;"",$R1980='تقرير يناير'!$C$4,$P1980='تقرير يناير'!$C$6),COUNT(AA$4:AA1979)+1,"")</f>
        <v/>
      </c>
      <c r="AB1980">
        <f>IF(AND($A1980&lt;&gt;"",$B1980&lt;&gt;"",$R1980='تقرير فبراير'!$C$4,$P1980='تقرير فبراير'!$C$6),COUNT(AB$4:AB1979)+1,"")</f>
        <v/>
      </c>
      <c r="AC1980">
        <f>IF(AND($A1980&lt;&gt;"",$B1980&lt;&gt;"",$R1980='تقرير مارس'!$C$4,$P1980='تقرير مارس'!$C$6),COUNT(AC$4:AC1979)+1,"")</f>
        <v/>
      </c>
      <c r="AD1980">
        <f>IF(AND($A1980&lt;&gt;"",$B1980&lt;&gt;"",$R1980='تقرير أبريل'!$C$4,$P1980='تقرير أبريل'!$C$6),COUNT(AD$4:AD1979)+1,"")</f>
        <v/>
      </c>
      <c r="AE1980">
        <f>IF(AND($A1980&lt;&gt;"",$B1980&lt;&gt;"",$R1980='تقرير مايو'!$C$4,$P1980='تقرير مايو'!$C$6),COUNT(AE$4:AE1979)+1,"")</f>
        <v/>
      </c>
    </row>
    <row r="1981">
      <c r="A1981" s="16" t="n"/>
      <c r="B1981" s="17" t="n"/>
      <c r="C1981" s="17" t="n"/>
      <c r="D1981" s="18" t="n"/>
      <c r="E1981" s="17" t="n"/>
      <c r="F1981" s="17" t="n"/>
      <c r="G1981" s="19" t="n"/>
      <c r="H1981" s="17" t="n"/>
      <c r="I1981" s="17" t="n"/>
      <c r="J1981" s="17" t="n"/>
      <c r="K1981" s="20">
        <f>IF($B1981="","",IFERROR(INDEX(الموظفات!$A$5:$A$304,MATCH($B1981,الموظفات!$B$5:$B$304,0))&amp;"",""))</f>
        <v/>
      </c>
      <c r="L1981" s="21">
        <f>IF($B1981="","",IFERROR(INDEX(الموظفات!$C$5:$C$304,MATCH($B1981,الموظفات!$B$5:$B$304,0))&amp;"",""))</f>
        <v/>
      </c>
      <c r="M1981" s="20">
        <f>IF($B1981="","",IFERROR(INDEX(الموظفات!$D$5:$D$304,MATCH($B1981,الموظفات!$B$5:$B$304,0))&amp;"",""))</f>
        <v/>
      </c>
      <c r="N1981" s="20">
        <f>IF($B1981="","",IFERROR(INDEX(الموظفات!$E$5:$E$304,MATCH($B1981,الموظفات!$B$5:$B$304,0))&amp;"",""))</f>
        <v/>
      </c>
      <c r="O1981" s="21">
        <f>IF(C1981="","",IFERROR(INDEX(الإعدادات!$D$7:$D$35,MATCH(C1981,الإعدادات!$A$7:$A$35,0))&amp;"",""))</f>
        <v/>
      </c>
      <c r="P1981" s="20">
        <f>IF(A1981="","",INDEX(الإعدادات!$H$7:$H$18,MONTH(A1981)))</f>
        <v/>
      </c>
      <c r="Q1981" s="20">
        <f>IF(A1981="","",INDEX(الإعدادات!$I$7:$I$18,MONTH(A1981)))</f>
        <v/>
      </c>
      <c r="R1981" s="20">
        <f>IF(A1981="","",IF(MONTH(A1981)&gt;=8,YEAR(A1981)&amp;"-"&amp;(YEAR(A1981)+1),(YEAR(A1981)-1)&amp;"-"&amp;YEAR(A1981)))</f>
        <v/>
      </c>
      <c r="S1981" s="20">
        <f>IF(OR(A1981="",B1981=""),0,IF(AND(R1981=التقارير!$C$4,OR(التقارير!$C$5="سنوي",AND(التقارير!$C$5="شهري",P1981=التقارير!$C$6),AND(التقارير!$C$5="فصلي",Q1981=التقارير!$C$7))),1,0))</f>
        <v/>
      </c>
      <c r="T1981" s="20">
        <f>IF(S1981=1,COUNTIF($S$5:S1981,1),"")</f>
        <v/>
      </c>
      <c r="U1981">
        <f>IF(AND($A1981&lt;&gt;"",$B1981&lt;&gt;"",$R1981='تقرير الفصل الأول'!$C$4,$Q1981='تقرير الفصل الأول'!$C$7),COUNT(U$4:U1980)+1,"")</f>
        <v/>
      </c>
      <c r="V1981">
        <f>IF(AND($A1981&lt;&gt;"",$B1981&lt;&gt;"",$R1981='تقرير الفصل الثاني'!$C$4,$Q1981='تقرير الفصل الثاني'!$C$7),COUNT(V$4:V1980)+1,"")</f>
        <v/>
      </c>
      <c r="W1981">
        <f>IF(AND($A1981&lt;&gt;"",$B1981&lt;&gt;"",$R1981='تقرير سبتمبر'!$C$4,$P1981='تقرير سبتمبر'!$C$6),COUNT(W$4:W1980)+1,"")</f>
        <v/>
      </c>
      <c r="X1981">
        <f>IF(AND($A1981&lt;&gt;"",$B1981&lt;&gt;"",$R1981='تقرير أكتوبر'!$C$4,$P1981='تقرير أكتوبر'!$C$6),COUNT(X$4:X1980)+1,"")</f>
        <v/>
      </c>
      <c r="Y1981">
        <f>IF(AND($A1981&lt;&gt;"",$B1981&lt;&gt;"",$R1981='تقرير نوفمبر'!$C$4,$P1981='تقرير نوفمبر'!$C$6),COUNT(Y$4:Y1980)+1,"")</f>
        <v/>
      </c>
      <c r="Z1981">
        <f>IF(AND($A1981&lt;&gt;"",$B1981&lt;&gt;"",$R1981='تقرير ديسمبر'!$C$4,$P1981='تقرير ديسمبر'!$C$6),COUNT(Z$4:Z1980)+1,"")</f>
        <v/>
      </c>
      <c r="AA1981">
        <f>IF(AND($A1981&lt;&gt;"",$B1981&lt;&gt;"",$R1981='تقرير يناير'!$C$4,$P1981='تقرير يناير'!$C$6),COUNT(AA$4:AA1980)+1,"")</f>
        <v/>
      </c>
      <c r="AB1981">
        <f>IF(AND($A1981&lt;&gt;"",$B1981&lt;&gt;"",$R1981='تقرير فبراير'!$C$4,$P1981='تقرير فبراير'!$C$6),COUNT(AB$4:AB1980)+1,"")</f>
        <v/>
      </c>
      <c r="AC1981">
        <f>IF(AND($A1981&lt;&gt;"",$B1981&lt;&gt;"",$R1981='تقرير مارس'!$C$4,$P1981='تقرير مارس'!$C$6),COUNT(AC$4:AC1980)+1,"")</f>
        <v/>
      </c>
      <c r="AD1981">
        <f>IF(AND($A1981&lt;&gt;"",$B1981&lt;&gt;"",$R1981='تقرير أبريل'!$C$4,$P1981='تقرير أبريل'!$C$6),COUNT(AD$4:AD1980)+1,"")</f>
        <v/>
      </c>
      <c r="AE1981">
        <f>IF(AND($A1981&lt;&gt;"",$B1981&lt;&gt;"",$R1981='تقرير مايو'!$C$4,$P1981='تقرير مايو'!$C$6),COUNT(AE$4:AE1980)+1,"")</f>
        <v/>
      </c>
    </row>
    <row r="1982">
      <c r="A1982" s="16" t="n"/>
      <c r="B1982" s="17" t="n"/>
      <c r="C1982" s="17" t="n"/>
      <c r="D1982" s="18" t="n"/>
      <c r="E1982" s="17" t="n"/>
      <c r="F1982" s="17" t="n"/>
      <c r="G1982" s="19" t="n"/>
      <c r="H1982" s="17" t="n"/>
      <c r="I1982" s="17" t="n"/>
      <c r="J1982" s="17" t="n"/>
      <c r="K1982" s="20">
        <f>IF($B1982="","",IFERROR(INDEX(الموظفات!$A$5:$A$304,MATCH($B1982,الموظفات!$B$5:$B$304,0))&amp;"",""))</f>
        <v/>
      </c>
      <c r="L1982" s="21">
        <f>IF($B1982="","",IFERROR(INDEX(الموظفات!$C$5:$C$304,MATCH($B1982,الموظفات!$B$5:$B$304,0))&amp;"",""))</f>
        <v/>
      </c>
      <c r="M1982" s="20">
        <f>IF($B1982="","",IFERROR(INDEX(الموظفات!$D$5:$D$304,MATCH($B1982,الموظفات!$B$5:$B$304,0))&amp;"",""))</f>
        <v/>
      </c>
      <c r="N1982" s="20">
        <f>IF($B1982="","",IFERROR(INDEX(الموظفات!$E$5:$E$304,MATCH($B1982,الموظفات!$B$5:$B$304,0))&amp;"",""))</f>
        <v/>
      </c>
      <c r="O1982" s="21">
        <f>IF(C1982="","",IFERROR(INDEX(الإعدادات!$D$7:$D$35,MATCH(C1982,الإعدادات!$A$7:$A$35,0))&amp;"",""))</f>
        <v/>
      </c>
      <c r="P1982" s="20">
        <f>IF(A1982="","",INDEX(الإعدادات!$H$7:$H$18,MONTH(A1982)))</f>
        <v/>
      </c>
      <c r="Q1982" s="20">
        <f>IF(A1982="","",INDEX(الإعدادات!$I$7:$I$18,MONTH(A1982)))</f>
        <v/>
      </c>
      <c r="R1982" s="20">
        <f>IF(A1982="","",IF(MONTH(A1982)&gt;=8,YEAR(A1982)&amp;"-"&amp;(YEAR(A1982)+1),(YEAR(A1982)-1)&amp;"-"&amp;YEAR(A1982)))</f>
        <v/>
      </c>
      <c r="S1982" s="20">
        <f>IF(OR(A1982="",B1982=""),0,IF(AND(R1982=التقارير!$C$4,OR(التقارير!$C$5="سنوي",AND(التقارير!$C$5="شهري",P1982=التقارير!$C$6),AND(التقارير!$C$5="فصلي",Q1982=التقارير!$C$7))),1,0))</f>
        <v/>
      </c>
      <c r="T1982" s="20">
        <f>IF(S1982=1,COUNTIF($S$5:S1982,1),"")</f>
        <v/>
      </c>
      <c r="U1982">
        <f>IF(AND($A1982&lt;&gt;"",$B1982&lt;&gt;"",$R1982='تقرير الفصل الأول'!$C$4,$Q1982='تقرير الفصل الأول'!$C$7),COUNT(U$4:U1981)+1,"")</f>
        <v/>
      </c>
      <c r="V1982">
        <f>IF(AND($A1982&lt;&gt;"",$B1982&lt;&gt;"",$R1982='تقرير الفصل الثاني'!$C$4,$Q1982='تقرير الفصل الثاني'!$C$7),COUNT(V$4:V1981)+1,"")</f>
        <v/>
      </c>
      <c r="W1982">
        <f>IF(AND($A1982&lt;&gt;"",$B1982&lt;&gt;"",$R1982='تقرير سبتمبر'!$C$4,$P1982='تقرير سبتمبر'!$C$6),COUNT(W$4:W1981)+1,"")</f>
        <v/>
      </c>
      <c r="X1982">
        <f>IF(AND($A1982&lt;&gt;"",$B1982&lt;&gt;"",$R1982='تقرير أكتوبر'!$C$4,$P1982='تقرير أكتوبر'!$C$6),COUNT(X$4:X1981)+1,"")</f>
        <v/>
      </c>
      <c r="Y1982">
        <f>IF(AND($A1982&lt;&gt;"",$B1982&lt;&gt;"",$R1982='تقرير نوفمبر'!$C$4,$P1982='تقرير نوفمبر'!$C$6),COUNT(Y$4:Y1981)+1,"")</f>
        <v/>
      </c>
      <c r="Z1982">
        <f>IF(AND($A1982&lt;&gt;"",$B1982&lt;&gt;"",$R1982='تقرير ديسمبر'!$C$4,$P1982='تقرير ديسمبر'!$C$6),COUNT(Z$4:Z1981)+1,"")</f>
        <v/>
      </c>
      <c r="AA1982">
        <f>IF(AND($A1982&lt;&gt;"",$B1982&lt;&gt;"",$R1982='تقرير يناير'!$C$4,$P1982='تقرير يناير'!$C$6),COUNT(AA$4:AA1981)+1,"")</f>
        <v/>
      </c>
      <c r="AB1982">
        <f>IF(AND($A1982&lt;&gt;"",$B1982&lt;&gt;"",$R1982='تقرير فبراير'!$C$4,$P1982='تقرير فبراير'!$C$6),COUNT(AB$4:AB1981)+1,"")</f>
        <v/>
      </c>
      <c r="AC1982">
        <f>IF(AND($A1982&lt;&gt;"",$B1982&lt;&gt;"",$R1982='تقرير مارس'!$C$4,$P1982='تقرير مارس'!$C$6),COUNT(AC$4:AC1981)+1,"")</f>
        <v/>
      </c>
      <c r="AD1982">
        <f>IF(AND($A1982&lt;&gt;"",$B1982&lt;&gt;"",$R1982='تقرير أبريل'!$C$4,$P1982='تقرير أبريل'!$C$6),COUNT(AD$4:AD1981)+1,"")</f>
        <v/>
      </c>
      <c r="AE1982">
        <f>IF(AND($A1982&lt;&gt;"",$B1982&lt;&gt;"",$R1982='تقرير مايو'!$C$4,$P1982='تقرير مايو'!$C$6),COUNT(AE$4:AE1981)+1,"")</f>
        <v/>
      </c>
    </row>
    <row r="1983">
      <c r="A1983" s="16" t="n"/>
      <c r="B1983" s="17" t="n"/>
      <c r="C1983" s="17" t="n"/>
      <c r="D1983" s="18" t="n"/>
      <c r="E1983" s="17" t="n"/>
      <c r="F1983" s="17" t="n"/>
      <c r="G1983" s="19" t="n"/>
      <c r="H1983" s="17" t="n"/>
      <c r="I1983" s="17" t="n"/>
      <c r="J1983" s="17" t="n"/>
      <c r="K1983" s="20">
        <f>IF($B1983="","",IFERROR(INDEX(الموظفات!$A$5:$A$304,MATCH($B1983,الموظفات!$B$5:$B$304,0))&amp;"",""))</f>
        <v/>
      </c>
      <c r="L1983" s="21">
        <f>IF($B1983="","",IFERROR(INDEX(الموظفات!$C$5:$C$304,MATCH($B1983,الموظفات!$B$5:$B$304,0))&amp;"",""))</f>
        <v/>
      </c>
      <c r="M1983" s="20">
        <f>IF($B1983="","",IFERROR(INDEX(الموظفات!$D$5:$D$304,MATCH($B1983,الموظفات!$B$5:$B$304,0))&amp;"",""))</f>
        <v/>
      </c>
      <c r="N1983" s="20">
        <f>IF($B1983="","",IFERROR(INDEX(الموظفات!$E$5:$E$304,MATCH($B1983,الموظفات!$B$5:$B$304,0))&amp;"",""))</f>
        <v/>
      </c>
      <c r="O1983" s="21">
        <f>IF(C1983="","",IFERROR(INDEX(الإعدادات!$D$7:$D$35,MATCH(C1983,الإعدادات!$A$7:$A$35,0))&amp;"",""))</f>
        <v/>
      </c>
      <c r="P1983" s="20">
        <f>IF(A1983="","",INDEX(الإعدادات!$H$7:$H$18,MONTH(A1983)))</f>
        <v/>
      </c>
      <c r="Q1983" s="20">
        <f>IF(A1983="","",INDEX(الإعدادات!$I$7:$I$18,MONTH(A1983)))</f>
        <v/>
      </c>
      <c r="R1983" s="20">
        <f>IF(A1983="","",IF(MONTH(A1983)&gt;=8,YEAR(A1983)&amp;"-"&amp;(YEAR(A1983)+1),(YEAR(A1983)-1)&amp;"-"&amp;YEAR(A1983)))</f>
        <v/>
      </c>
      <c r="S1983" s="20">
        <f>IF(OR(A1983="",B1983=""),0,IF(AND(R1983=التقارير!$C$4,OR(التقارير!$C$5="سنوي",AND(التقارير!$C$5="شهري",P1983=التقارير!$C$6),AND(التقارير!$C$5="فصلي",Q1983=التقارير!$C$7))),1,0))</f>
        <v/>
      </c>
      <c r="T1983" s="20">
        <f>IF(S1983=1,COUNTIF($S$5:S1983,1),"")</f>
        <v/>
      </c>
      <c r="U1983">
        <f>IF(AND($A1983&lt;&gt;"",$B1983&lt;&gt;"",$R1983='تقرير الفصل الأول'!$C$4,$Q1983='تقرير الفصل الأول'!$C$7),COUNT(U$4:U1982)+1,"")</f>
        <v/>
      </c>
      <c r="V1983">
        <f>IF(AND($A1983&lt;&gt;"",$B1983&lt;&gt;"",$R1983='تقرير الفصل الثاني'!$C$4,$Q1983='تقرير الفصل الثاني'!$C$7),COUNT(V$4:V1982)+1,"")</f>
        <v/>
      </c>
      <c r="W1983">
        <f>IF(AND($A1983&lt;&gt;"",$B1983&lt;&gt;"",$R1983='تقرير سبتمبر'!$C$4,$P1983='تقرير سبتمبر'!$C$6),COUNT(W$4:W1982)+1,"")</f>
        <v/>
      </c>
      <c r="X1983">
        <f>IF(AND($A1983&lt;&gt;"",$B1983&lt;&gt;"",$R1983='تقرير أكتوبر'!$C$4,$P1983='تقرير أكتوبر'!$C$6),COUNT(X$4:X1982)+1,"")</f>
        <v/>
      </c>
      <c r="Y1983">
        <f>IF(AND($A1983&lt;&gt;"",$B1983&lt;&gt;"",$R1983='تقرير نوفمبر'!$C$4,$P1983='تقرير نوفمبر'!$C$6),COUNT(Y$4:Y1982)+1,"")</f>
        <v/>
      </c>
      <c r="Z1983">
        <f>IF(AND($A1983&lt;&gt;"",$B1983&lt;&gt;"",$R1983='تقرير ديسمبر'!$C$4,$P1983='تقرير ديسمبر'!$C$6),COUNT(Z$4:Z1982)+1,"")</f>
        <v/>
      </c>
      <c r="AA1983">
        <f>IF(AND($A1983&lt;&gt;"",$B1983&lt;&gt;"",$R1983='تقرير يناير'!$C$4,$P1983='تقرير يناير'!$C$6),COUNT(AA$4:AA1982)+1,"")</f>
        <v/>
      </c>
      <c r="AB1983">
        <f>IF(AND($A1983&lt;&gt;"",$B1983&lt;&gt;"",$R1983='تقرير فبراير'!$C$4,$P1983='تقرير فبراير'!$C$6),COUNT(AB$4:AB1982)+1,"")</f>
        <v/>
      </c>
      <c r="AC1983">
        <f>IF(AND($A1983&lt;&gt;"",$B1983&lt;&gt;"",$R1983='تقرير مارس'!$C$4,$P1983='تقرير مارس'!$C$6),COUNT(AC$4:AC1982)+1,"")</f>
        <v/>
      </c>
      <c r="AD1983">
        <f>IF(AND($A1983&lt;&gt;"",$B1983&lt;&gt;"",$R1983='تقرير أبريل'!$C$4,$P1983='تقرير أبريل'!$C$6),COUNT(AD$4:AD1982)+1,"")</f>
        <v/>
      </c>
      <c r="AE1983">
        <f>IF(AND($A1983&lt;&gt;"",$B1983&lt;&gt;"",$R1983='تقرير مايو'!$C$4,$P1983='تقرير مايو'!$C$6),COUNT(AE$4:AE1982)+1,"")</f>
        <v/>
      </c>
    </row>
    <row r="1984">
      <c r="A1984" s="16" t="n"/>
      <c r="B1984" s="17" t="n"/>
      <c r="C1984" s="17" t="n"/>
      <c r="D1984" s="18" t="n"/>
      <c r="E1984" s="17" t="n"/>
      <c r="F1984" s="17" t="n"/>
      <c r="G1984" s="19" t="n"/>
      <c r="H1984" s="17" t="n"/>
      <c r="I1984" s="17" t="n"/>
      <c r="J1984" s="17" t="n"/>
      <c r="K1984" s="20">
        <f>IF($B1984="","",IFERROR(INDEX(الموظفات!$A$5:$A$304,MATCH($B1984,الموظفات!$B$5:$B$304,0))&amp;"",""))</f>
        <v/>
      </c>
      <c r="L1984" s="21">
        <f>IF($B1984="","",IFERROR(INDEX(الموظفات!$C$5:$C$304,MATCH($B1984,الموظفات!$B$5:$B$304,0))&amp;"",""))</f>
        <v/>
      </c>
      <c r="M1984" s="20">
        <f>IF($B1984="","",IFERROR(INDEX(الموظفات!$D$5:$D$304,MATCH($B1984,الموظفات!$B$5:$B$304,0))&amp;"",""))</f>
        <v/>
      </c>
      <c r="N1984" s="20">
        <f>IF($B1984="","",IFERROR(INDEX(الموظفات!$E$5:$E$304,MATCH($B1984,الموظفات!$B$5:$B$304,0))&amp;"",""))</f>
        <v/>
      </c>
      <c r="O1984" s="21">
        <f>IF(C1984="","",IFERROR(INDEX(الإعدادات!$D$7:$D$35,MATCH(C1984,الإعدادات!$A$7:$A$35,0))&amp;"",""))</f>
        <v/>
      </c>
      <c r="P1984" s="20">
        <f>IF(A1984="","",INDEX(الإعدادات!$H$7:$H$18,MONTH(A1984)))</f>
        <v/>
      </c>
      <c r="Q1984" s="20">
        <f>IF(A1984="","",INDEX(الإعدادات!$I$7:$I$18,MONTH(A1984)))</f>
        <v/>
      </c>
      <c r="R1984" s="20">
        <f>IF(A1984="","",IF(MONTH(A1984)&gt;=8,YEAR(A1984)&amp;"-"&amp;(YEAR(A1984)+1),(YEAR(A1984)-1)&amp;"-"&amp;YEAR(A1984)))</f>
        <v/>
      </c>
      <c r="S1984" s="20">
        <f>IF(OR(A1984="",B1984=""),0,IF(AND(R1984=التقارير!$C$4,OR(التقارير!$C$5="سنوي",AND(التقارير!$C$5="شهري",P1984=التقارير!$C$6),AND(التقارير!$C$5="فصلي",Q1984=التقارير!$C$7))),1,0))</f>
        <v/>
      </c>
      <c r="T1984" s="20">
        <f>IF(S1984=1,COUNTIF($S$5:S1984,1),"")</f>
        <v/>
      </c>
      <c r="U1984">
        <f>IF(AND($A1984&lt;&gt;"",$B1984&lt;&gt;"",$R1984='تقرير الفصل الأول'!$C$4,$Q1984='تقرير الفصل الأول'!$C$7),COUNT(U$4:U1983)+1,"")</f>
        <v/>
      </c>
      <c r="V1984">
        <f>IF(AND($A1984&lt;&gt;"",$B1984&lt;&gt;"",$R1984='تقرير الفصل الثاني'!$C$4,$Q1984='تقرير الفصل الثاني'!$C$7),COUNT(V$4:V1983)+1,"")</f>
        <v/>
      </c>
      <c r="W1984">
        <f>IF(AND($A1984&lt;&gt;"",$B1984&lt;&gt;"",$R1984='تقرير سبتمبر'!$C$4,$P1984='تقرير سبتمبر'!$C$6),COUNT(W$4:W1983)+1,"")</f>
        <v/>
      </c>
      <c r="X1984">
        <f>IF(AND($A1984&lt;&gt;"",$B1984&lt;&gt;"",$R1984='تقرير أكتوبر'!$C$4,$P1984='تقرير أكتوبر'!$C$6),COUNT(X$4:X1983)+1,"")</f>
        <v/>
      </c>
      <c r="Y1984">
        <f>IF(AND($A1984&lt;&gt;"",$B1984&lt;&gt;"",$R1984='تقرير نوفمبر'!$C$4,$P1984='تقرير نوفمبر'!$C$6),COUNT(Y$4:Y1983)+1,"")</f>
        <v/>
      </c>
      <c r="Z1984">
        <f>IF(AND($A1984&lt;&gt;"",$B1984&lt;&gt;"",$R1984='تقرير ديسمبر'!$C$4,$P1984='تقرير ديسمبر'!$C$6),COUNT(Z$4:Z1983)+1,"")</f>
        <v/>
      </c>
      <c r="AA1984">
        <f>IF(AND($A1984&lt;&gt;"",$B1984&lt;&gt;"",$R1984='تقرير يناير'!$C$4,$P1984='تقرير يناير'!$C$6),COUNT(AA$4:AA1983)+1,"")</f>
        <v/>
      </c>
      <c r="AB1984">
        <f>IF(AND($A1984&lt;&gt;"",$B1984&lt;&gt;"",$R1984='تقرير فبراير'!$C$4,$P1984='تقرير فبراير'!$C$6),COUNT(AB$4:AB1983)+1,"")</f>
        <v/>
      </c>
      <c r="AC1984">
        <f>IF(AND($A1984&lt;&gt;"",$B1984&lt;&gt;"",$R1984='تقرير مارس'!$C$4,$P1984='تقرير مارس'!$C$6),COUNT(AC$4:AC1983)+1,"")</f>
        <v/>
      </c>
      <c r="AD1984">
        <f>IF(AND($A1984&lt;&gt;"",$B1984&lt;&gt;"",$R1984='تقرير أبريل'!$C$4,$P1984='تقرير أبريل'!$C$6),COUNT(AD$4:AD1983)+1,"")</f>
        <v/>
      </c>
      <c r="AE1984">
        <f>IF(AND($A1984&lt;&gt;"",$B1984&lt;&gt;"",$R1984='تقرير مايو'!$C$4,$P1984='تقرير مايو'!$C$6),COUNT(AE$4:AE1983)+1,"")</f>
        <v/>
      </c>
    </row>
    <row r="1985">
      <c r="A1985" s="16" t="n"/>
      <c r="B1985" s="17" t="n"/>
      <c r="C1985" s="17" t="n"/>
      <c r="D1985" s="18" t="n"/>
      <c r="E1985" s="17" t="n"/>
      <c r="F1985" s="17" t="n"/>
      <c r="G1985" s="19" t="n"/>
      <c r="H1985" s="17" t="n"/>
      <c r="I1985" s="17" t="n"/>
      <c r="J1985" s="17" t="n"/>
      <c r="K1985" s="20">
        <f>IF($B1985="","",IFERROR(INDEX(الموظفات!$A$5:$A$304,MATCH($B1985,الموظفات!$B$5:$B$304,0))&amp;"",""))</f>
        <v/>
      </c>
      <c r="L1985" s="21">
        <f>IF($B1985="","",IFERROR(INDEX(الموظفات!$C$5:$C$304,MATCH($B1985,الموظفات!$B$5:$B$304,0))&amp;"",""))</f>
        <v/>
      </c>
      <c r="M1985" s="20">
        <f>IF($B1985="","",IFERROR(INDEX(الموظفات!$D$5:$D$304,MATCH($B1985,الموظفات!$B$5:$B$304,0))&amp;"",""))</f>
        <v/>
      </c>
      <c r="N1985" s="20">
        <f>IF($B1985="","",IFERROR(INDEX(الموظفات!$E$5:$E$304,MATCH($B1985,الموظفات!$B$5:$B$304,0))&amp;"",""))</f>
        <v/>
      </c>
      <c r="O1985" s="21">
        <f>IF(C1985="","",IFERROR(INDEX(الإعدادات!$D$7:$D$35,MATCH(C1985,الإعدادات!$A$7:$A$35,0))&amp;"",""))</f>
        <v/>
      </c>
      <c r="P1985" s="20">
        <f>IF(A1985="","",INDEX(الإعدادات!$H$7:$H$18,MONTH(A1985)))</f>
        <v/>
      </c>
      <c r="Q1985" s="20">
        <f>IF(A1985="","",INDEX(الإعدادات!$I$7:$I$18,MONTH(A1985)))</f>
        <v/>
      </c>
      <c r="R1985" s="20">
        <f>IF(A1985="","",IF(MONTH(A1985)&gt;=8,YEAR(A1985)&amp;"-"&amp;(YEAR(A1985)+1),(YEAR(A1985)-1)&amp;"-"&amp;YEAR(A1985)))</f>
        <v/>
      </c>
      <c r="S1985" s="20">
        <f>IF(OR(A1985="",B1985=""),0,IF(AND(R1985=التقارير!$C$4,OR(التقارير!$C$5="سنوي",AND(التقارير!$C$5="شهري",P1985=التقارير!$C$6),AND(التقارير!$C$5="فصلي",Q1985=التقارير!$C$7))),1,0))</f>
        <v/>
      </c>
      <c r="T1985" s="20">
        <f>IF(S1985=1,COUNTIF($S$5:S1985,1),"")</f>
        <v/>
      </c>
      <c r="U1985">
        <f>IF(AND($A1985&lt;&gt;"",$B1985&lt;&gt;"",$R1985='تقرير الفصل الأول'!$C$4,$Q1985='تقرير الفصل الأول'!$C$7),COUNT(U$4:U1984)+1,"")</f>
        <v/>
      </c>
      <c r="V1985">
        <f>IF(AND($A1985&lt;&gt;"",$B1985&lt;&gt;"",$R1985='تقرير الفصل الثاني'!$C$4,$Q1985='تقرير الفصل الثاني'!$C$7),COUNT(V$4:V1984)+1,"")</f>
        <v/>
      </c>
      <c r="W1985">
        <f>IF(AND($A1985&lt;&gt;"",$B1985&lt;&gt;"",$R1985='تقرير سبتمبر'!$C$4,$P1985='تقرير سبتمبر'!$C$6),COUNT(W$4:W1984)+1,"")</f>
        <v/>
      </c>
      <c r="X1985">
        <f>IF(AND($A1985&lt;&gt;"",$B1985&lt;&gt;"",$R1985='تقرير أكتوبر'!$C$4,$P1985='تقرير أكتوبر'!$C$6),COUNT(X$4:X1984)+1,"")</f>
        <v/>
      </c>
      <c r="Y1985">
        <f>IF(AND($A1985&lt;&gt;"",$B1985&lt;&gt;"",$R1985='تقرير نوفمبر'!$C$4,$P1985='تقرير نوفمبر'!$C$6),COUNT(Y$4:Y1984)+1,"")</f>
        <v/>
      </c>
      <c r="Z1985">
        <f>IF(AND($A1985&lt;&gt;"",$B1985&lt;&gt;"",$R1985='تقرير ديسمبر'!$C$4,$P1985='تقرير ديسمبر'!$C$6),COUNT(Z$4:Z1984)+1,"")</f>
        <v/>
      </c>
      <c r="AA1985">
        <f>IF(AND($A1985&lt;&gt;"",$B1985&lt;&gt;"",$R1985='تقرير يناير'!$C$4,$P1985='تقرير يناير'!$C$6),COUNT(AA$4:AA1984)+1,"")</f>
        <v/>
      </c>
      <c r="AB1985">
        <f>IF(AND($A1985&lt;&gt;"",$B1985&lt;&gt;"",$R1985='تقرير فبراير'!$C$4,$P1985='تقرير فبراير'!$C$6),COUNT(AB$4:AB1984)+1,"")</f>
        <v/>
      </c>
      <c r="AC1985">
        <f>IF(AND($A1985&lt;&gt;"",$B1985&lt;&gt;"",$R1985='تقرير مارس'!$C$4,$P1985='تقرير مارس'!$C$6),COUNT(AC$4:AC1984)+1,"")</f>
        <v/>
      </c>
      <c r="AD1985">
        <f>IF(AND($A1985&lt;&gt;"",$B1985&lt;&gt;"",$R1985='تقرير أبريل'!$C$4,$P1985='تقرير أبريل'!$C$6),COUNT(AD$4:AD1984)+1,"")</f>
        <v/>
      </c>
      <c r="AE1985">
        <f>IF(AND($A1985&lt;&gt;"",$B1985&lt;&gt;"",$R1985='تقرير مايو'!$C$4,$P1985='تقرير مايو'!$C$6),COUNT(AE$4:AE1984)+1,"")</f>
        <v/>
      </c>
    </row>
    <row r="1986">
      <c r="A1986" s="16" t="n"/>
      <c r="B1986" s="17" t="n"/>
      <c r="C1986" s="17" t="n"/>
      <c r="D1986" s="18" t="n"/>
      <c r="E1986" s="17" t="n"/>
      <c r="F1986" s="17" t="n"/>
      <c r="G1986" s="19" t="n"/>
      <c r="H1986" s="17" t="n"/>
      <c r="I1986" s="17" t="n"/>
      <c r="J1986" s="17" t="n"/>
      <c r="K1986" s="20">
        <f>IF($B1986="","",IFERROR(INDEX(الموظفات!$A$5:$A$304,MATCH($B1986,الموظفات!$B$5:$B$304,0))&amp;"",""))</f>
        <v/>
      </c>
      <c r="L1986" s="21">
        <f>IF($B1986="","",IFERROR(INDEX(الموظفات!$C$5:$C$304,MATCH($B1986,الموظفات!$B$5:$B$304,0))&amp;"",""))</f>
        <v/>
      </c>
      <c r="M1986" s="20">
        <f>IF($B1986="","",IFERROR(INDEX(الموظفات!$D$5:$D$304,MATCH($B1986,الموظفات!$B$5:$B$304,0))&amp;"",""))</f>
        <v/>
      </c>
      <c r="N1986" s="20">
        <f>IF($B1986="","",IFERROR(INDEX(الموظفات!$E$5:$E$304,MATCH($B1986,الموظفات!$B$5:$B$304,0))&amp;"",""))</f>
        <v/>
      </c>
      <c r="O1986" s="21">
        <f>IF(C1986="","",IFERROR(INDEX(الإعدادات!$D$7:$D$35,MATCH(C1986,الإعدادات!$A$7:$A$35,0))&amp;"",""))</f>
        <v/>
      </c>
      <c r="P1986" s="20">
        <f>IF(A1986="","",INDEX(الإعدادات!$H$7:$H$18,MONTH(A1986)))</f>
        <v/>
      </c>
      <c r="Q1986" s="20">
        <f>IF(A1986="","",INDEX(الإعدادات!$I$7:$I$18,MONTH(A1986)))</f>
        <v/>
      </c>
      <c r="R1986" s="20">
        <f>IF(A1986="","",IF(MONTH(A1986)&gt;=8,YEAR(A1986)&amp;"-"&amp;(YEAR(A1986)+1),(YEAR(A1986)-1)&amp;"-"&amp;YEAR(A1986)))</f>
        <v/>
      </c>
      <c r="S1986" s="20">
        <f>IF(OR(A1986="",B1986=""),0,IF(AND(R1986=التقارير!$C$4,OR(التقارير!$C$5="سنوي",AND(التقارير!$C$5="شهري",P1986=التقارير!$C$6),AND(التقارير!$C$5="فصلي",Q1986=التقارير!$C$7))),1,0))</f>
        <v/>
      </c>
      <c r="T1986" s="20">
        <f>IF(S1986=1,COUNTIF($S$5:S1986,1),"")</f>
        <v/>
      </c>
      <c r="U1986">
        <f>IF(AND($A1986&lt;&gt;"",$B1986&lt;&gt;"",$R1986='تقرير الفصل الأول'!$C$4,$Q1986='تقرير الفصل الأول'!$C$7),COUNT(U$4:U1985)+1,"")</f>
        <v/>
      </c>
      <c r="V1986">
        <f>IF(AND($A1986&lt;&gt;"",$B1986&lt;&gt;"",$R1986='تقرير الفصل الثاني'!$C$4,$Q1986='تقرير الفصل الثاني'!$C$7),COUNT(V$4:V1985)+1,"")</f>
        <v/>
      </c>
      <c r="W1986">
        <f>IF(AND($A1986&lt;&gt;"",$B1986&lt;&gt;"",$R1986='تقرير سبتمبر'!$C$4,$P1986='تقرير سبتمبر'!$C$6),COUNT(W$4:W1985)+1,"")</f>
        <v/>
      </c>
      <c r="X1986">
        <f>IF(AND($A1986&lt;&gt;"",$B1986&lt;&gt;"",$R1986='تقرير أكتوبر'!$C$4,$P1986='تقرير أكتوبر'!$C$6),COUNT(X$4:X1985)+1,"")</f>
        <v/>
      </c>
      <c r="Y1986">
        <f>IF(AND($A1986&lt;&gt;"",$B1986&lt;&gt;"",$R1986='تقرير نوفمبر'!$C$4,$P1986='تقرير نوفمبر'!$C$6),COUNT(Y$4:Y1985)+1,"")</f>
        <v/>
      </c>
      <c r="Z1986">
        <f>IF(AND($A1986&lt;&gt;"",$B1986&lt;&gt;"",$R1986='تقرير ديسمبر'!$C$4,$P1986='تقرير ديسمبر'!$C$6),COUNT(Z$4:Z1985)+1,"")</f>
        <v/>
      </c>
      <c r="AA1986">
        <f>IF(AND($A1986&lt;&gt;"",$B1986&lt;&gt;"",$R1986='تقرير يناير'!$C$4,$P1986='تقرير يناير'!$C$6),COUNT(AA$4:AA1985)+1,"")</f>
        <v/>
      </c>
      <c r="AB1986">
        <f>IF(AND($A1986&lt;&gt;"",$B1986&lt;&gt;"",$R1986='تقرير فبراير'!$C$4,$P1986='تقرير فبراير'!$C$6),COUNT(AB$4:AB1985)+1,"")</f>
        <v/>
      </c>
      <c r="AC1986">
        <f>IF(AND($A1986&lt;&gt;"",$B1986&lt;&gt;"",$R1986='تقرير مارس'!$C$4,$P1986='تقرير مارس'!$C$6),COUNT(AC$4:AC1985)+1,"")</f>
        <v/>
      </c>
      <c r="AD1986">
        <f>IF(AND($A1986&lt;&gt;"",$B1986&lt;&gt;"",$R1986='تقرير أبريل'!$C$4,$P1986='تقرير أبريل'!$C$6),COUNT(AD$4:AD1985)+1,"")</f>
        <v/>
      </c>
      <c r="AE1986">
        <f>IF(AND($A1986&lt;&gt;"",$B1986&lt;&gt;"",$R1986='تقرير مايو'!$C$4,$P1986='تقرير مايو'!$C$6),COUNT(AE$4:AE1985)+1,"")</f>
        <v/>
      </c>
    </row>
    <row r="1987">
      <c r="A1987" s="16" t="n"/>
      <c r="B1987" s="17" t="n"/>
      <c r="C1987" s="17" t="n"/>
      <c r="D1987" s="18" t="n"/>
      <c r="E1987" s="17" t="n"/>
      <c r="F1987" s="17" t="n"/>
      <c r="G1987" s="19" t="n"/>
      <c r="H1987" s="17" t="n"/>
      <c r="I1987" s="17" t="n"/>
      <c r="J1987" s="17" t="n"/>
      <c r="K1987" s="20">
        <f>IF($B1987="","",IFERROR(INDEX(الموظفات!$A$5:$A$304,MATCH($B1987,الموظفات!$B$5:$B$304,0))&amp;"",""))</f>
        <v/>
      </c>
      <c r="L1987" s="21">
        <f>IF($B1987="","",IFERROR(INDEX(الموظفات!$C$5:$C$304,MATCH($B1987,الموظفات!$B$5:$B$304,0))&amp;"",""))</f>
        <v/>
      </c>
      <c r="M1987" s="20">
        <f>IF($B1987="","",IFERROR(INDEX(الموظفات!$D$5:$D$304,MATCH($B1987,الموظفات!$B$5:$B$304,0))&amp;"",""))</f>
        <v/>
      </c>
      <c r="N1987" s="20">
        <f>IF($B1987="","",IFERROR(INDEX(الموظفات!$E$5:$E$304,MATCH($B1987,الموظفات!$B$5:$B$304,0))&amp;"",""))</f>
        <v/>
      </c>
      <c r="O1987" s="21">
        <f>IF(C1987="","",IFERROR(INDEX(الإعدادات!$D$7:$D$35,MATCH(C1987,الإعدادات!$A$7:$A$35,0))&amp;"",""))</f>
        <v/>
      </c>
      <c r="P1987" s="20">
        <f>IF(A1987="","",INDEX(الإعدادات!$H$7:$H$18,MONTH(A1987)))</f>
        <v/>
      </c>
      <c r="Q1987" s="20">
        <f>IF(A1987="","",INDEX(الإعدادات!$I$7:$I$18,MONTH(A1987)))</f>
        <v/>
      </c>
      <c r="R1987" s="20">
        <f>IF(A1987="","",IF(MONTH(A1987)&gt;=8,YEAR(A1987)&amp;"-"&amp;(YEAR(A1987)+1),(YEAR(A1987)-1)&amp;"-"&amp;YEAR(A1987)))</f>
        <v/>
      </c>
      <c r="S1987" s="20">
        <f>IF(OR(A1987="",B1987=""),0,IF(AND(R1987=التقارير!$C$4,OR(التقارير!$C$5="سنوي",AND(التقارير!$C$5="شهري",P1987=التقارير!$C$6),AND(التقارير!$C$5="فصلي",Q1987=التقارير!$C$7))),1,0))</f>
        <v/>
      </c>
      <c r="T1987" s="20">
        <f>IF(S1987=1,COUNTIF($S$5:S1987,1),"")</f>
        <v/>
      </c>
      <c r="U1987">
        <f>IF(AND($A1987&lt;&gt;"",$B1987&lt;&gt;"",$R1987='تقرير الفصل الأول'!$C$4,$Q1987='تقرير الفصل الأول'!$C$7),COUNT(U$4:U1986)+1,"")</f>
        <v/>
      </c>
      <c r="V1987">
        <f>IF(AND($A1987&lt;&gt;"",$B1987&lt;&gt;"",$R1987='تقرير الفصل الثاني'!$C$4,$Q1987='تقرير الفصل الثاني'!$C$7),COUNT(V$4:V1986)+1,"")</f>
        <v/>
      </c>
      <c r="W1987">
        <f>IF(AND($A1987&lt;&gt;"",$B1987&lt;&gt;"",$R1987='تقرير سبتمبر'!$C$4,$P1987='تقرير سبتمبر'!$C$6),COUNT(W$4:W1986)+1,"")</f>
        <v/>
      </c>
      <c r="X1987">
        <f>IF(AND($A1987&lt;&gt;"",$B1987&lt;&gt;"",$R1987='تقرير أكتوبر'!$C$4,$P1987='تقرير أكتوبر'!$C$6),COUNT(X$4:X1986)+1,"")</f>
        <v/>
      </c>
      <c r="Y1987">
        <f>IF(AND($A1987&lt;&gt;"",$B1987&lt;&gt;"",$R1987='تقرير نوفمبر'!$C$4,$P1987='تقرير نوفمبر'!$C$6),COUNT(Y$4:Y1986)+1,"")</f>
        <v/>
      </c>
      <c r="Z1987">
        <f>IF(AND($A1987&lt;&gt;"",$B1987&lt;&gt;"",$R1987='تقرير ديسمبر'!$C$4,$P1987='تقرير ديسمبر'!$C$6),COUNT(Z$4:Z1986)+1,"")</f>
        <v/>
      </c>
      <c r="AA1987">
        <f>IF(AND($A1987&lt;&gt;"",$B1987&lt;&gt;"",$R1987='تقرير يناير'!$C$4,$P1987='تقرير يناير'!$C$6),COUNT(AA$4:AA1986)+1,"")</f>
        <v/>
      </c>
      <c r="AB1987">
        <f>IF(AND($A1987&lt;&gt;"",$B1987&lt;&gt;"",$R1987='تقرير فبراير'!$C$4,$P1987='تقرير فبراير'!$C$6),COUNT(AB$4:AB1986)+1,"")</f>
        <v/>
      </c>
      <c r="AC1987">
        <f>IF(AND($A1987&lt;&gt;"",$B1987&lt;&gt;"",$R1987='تقرير مارس'!$C$4,$P1987='تقرير مارس'!$C$6),COUNT(AC$4:AC1986)+1,"")</f>
        <v/>
      </c>
      <c r="AD1987">
        <f>IF(AND($A1987&lt;&gt;"",$B1987&lt;&gt;"",$R1987='تقرير أبريل'!$C$4,$P1987='تقرير أبريل'!$C$6),COUNT(AD$4:AD1986)+1,"")</f>
        <v/>
      </c>
      <c r="AE1987">
        <f>IF(AND($A1987&lt;&gt;"",$B1987&lt;&gt;"",$R1987='تقرير مايو'!$C$4,$P1987='تقرير مايو'!$C$6),COUNT(AE$4:AE1986)+1,"")</f>
        <v/>
      </c>
    </row>
    <row r="1988">
      <c r="A1988" s="16" t="n"/>
      <c r="B1988" s="17" t="n"/>
      <c r="C1988" s="17" t="n"/>
      <c r="D1988" s="18" t="n"/>
      <c r="E1988" s="17" t="n"/>
      <c r="F1988" s="17" t="n"/>
      <c r="G1988" s="19" t="n"/>
      <c r="H1988" s="17" t="n"/>
      <c r="I1988" s="17" t="n"/>
      <c r="J1988" s="17" t="n"/>
      <c r="K1988" s="20">
        <f>IF($B1988="","",IFERROR(INDEX(الموظفات!$A$5:$A$304,MATCH($B1988,الموظفات!$B$5:$B$304,0))&amp;"",""))</f>
        <v/>
      </c>
      <c r="L1988" s="21">
        <f>IF($B1988="","",IFERROR(INDEX(الموظفات!$C$5:$C$304,MATCH($B1988,الموظفات!$B$5:$B$304,0))&amp;"",""))</f>
        <v/>
      </c>
      <c r="M1988" s="20">
        <f>IF($B1988="","",IFERROR(INDEX(الموظفات!$D$5:$D$304,MATCH($B1988,الموظفات!$B$5:$B$304,0))&amp;"",""))</f>
        <v/>
      </c>
      <c r="N1988" s="20">
        <f>IF($B1988="","",IFERROR(INDEX(الموظفات!$E$5:$E$304,MATCH($B1988,الموظفات!$B$5:$B$304,0))&amp;"",""))</f>
        <v/>
      </c>
      <c r="O1988" s="21">
        <f>IF(C1988="","",IFERROR(INDEX(الإعدادات!$D$7:$D$35,MATCH(C1988,الإعدادات!$A$7:$A$35,0))&amp;"",""))</f>
        <v/>
      </c>
      <c r="P1988" s="20">
        <f>IF(A1988="","",INDEX(الإعدادات!$H$7:$H$18,MONTH(A1988)))</f>
        <v/>
      </c>
      <c r="Q1988" s="20">
        <f>IF(A1988="","",INDEX(الإعدادات!$I$7:$I$18,MONTH(A1988)))</f>
        <v/>
      </c>
      <c r="R1988" s="20">
        <f>IF(A1988="","",IF(MONTH(A1988)&gt;=8,YEAR(A1988)&amp;"-"&amp;(YEAR(A1988)+1),(YEAR(A1988)-1)&amp;"-"&amp;YEAR(A1988)))</f>
        <v/>
      </c>
      <c r="S1988" s="20">
        <f>IF(OR(A1988="",B1988=""),0,IF(AND(R1988=التقارير!$C$4,OR(التقارير!$C$5="سنوي",AND(التقارير!$C$5="شهري",P1988=التقارير!$C$6),AND(التقارير!$C$5="فصلي",Q1988=التقارير!$C$7))),1,0))</f>
        <v/>
      </c>
      <c r="T1988" s="20">
        <f>IF(S1988=1,COUNTIF($S$5:S1988,1),"")</f>
        <v/>
      </c>
      <c r="U1988">
        <f>IF(AND($A1988&lt;&gt;"",$B1988&lt;&gt;"",$R1988='تقرير الفصل الأول'!$C$4,$Q1988='تقرير الفصل الأول'!$C$7),COUNT(U$4:U1987)+1,"")</f>
        <v/>
      </c>
      <c r="V1988">
        <f>IF(AND($A1988&lt;&gt;"",$B1988&lt;&gt;"",$R1988='تقرير الفصل الثاني'!$C$4,$Q1988='تقرير الفصل الثاني'!$C$7),COUNT(V$4:V1987)+1,"")</f>
        <v/>
      </c>
      <c r="W1988">
        <f>IF(AND($A1988&lt;&gt;"",$B1988&lt;&gt;"",$R1988='تقرير سبتمبر'!$C$4,$P1988='تقرير سبتمبر'!$C$6),COUNT(W$4:W1987)+1,"")</f>
        <v/>
      </c>
      <c r="X1988">
        <f>IF(AND($A1988&lt;&gt;"",$B1988&lt;&gt;"",$R1988='تقرير أكتوبر'!$C$4,$P1988='تقرير أكتوبر'!$C$6),COUNT(X$4:X1987)+1,"")</f>
        <v/>
      </c>
      <c r="Y1988">
        <f>IF(AND($A1988&lt;&gt;"",$B1988&lt;&gt;"",$R1988='تقرير نوفمبر'!$C$4,$P1988='تقرير نوفمبر'!$C$6),COUNT(Y$4:Y1987)+1,"")</f>
        <v/>
      </c>
      <c r="Z1988">
        <f>IF(AND($A1988&lt;&gt;"",$B1988&lt;&gt;"",$R1988='تقرير ديسمبر'!$C$4,$P1988='تقرير ديسمبر'!$C$6),COUNT(Z$4:Z1987)+1,"")</f>
        <v/>
      </c>
      <c r="AA1988">
        <f>IF(AND($A1988&lt;&gt;"",$B1988&lt;&gt;"",$R1988='تقرير يناير'!$C$4,$P1988='تقرير يناير'!$C$6),COUNT(AA$4:AA1987)+1,"")</f>
        <v/>
      </c>
      <c r="AB1988">
        <f>IF(AND($A1988&lt;&gt;"",$B1988&lt;&gt;"",$R1988='تقرير فبراير'!$C$4,$P1988='تقرير فبراير'!$C$6),COUNT(AB$4:AB1987)+1,"")</f>
        <v/>
      </c>
      <c r="AC1988">
        <f>IF(AND($A1988&lt;&gt;"",$B1988&lt;&gt;"",$R1988='تقرير مارس'!$C$4,$P1988='تقرير مارس'!$C$6),COUNT(AC$4:AC1987)+1,"")</f>
        <v/>
      </c>
      <c r="AD1988">
        <f>IF(AND($A1988&lt;&gt;"",$B1988&lt;&gt;"",$R1988='تقرير أبريل'!$C$4,$P1988='تقرير أبريل'!$C$6),COUNT(AD$4:AD1987)+1,"")</f>
        <v/>
      </c>
      <c r="AE1988">
        <f>IF(AND($A1988&lt;&gt;"",$B1988&lt;&gt;"",$R1988='تقرير مايو'!$C$4,$P1988='تقرير مايو'!$C$6),COUNT(AE$4:AE1987)+1,"")</f>
        <v/>
      </c>
    </row>
    <row r="1989">
      <c r="A1989" s="16" t="n"/>
      <c r="B1989" s="17" t="n"/>
      <c r="C1989" s="17" t="n"/>
      <c r="D1989" s="18" t="n"/>
      <c r="E1989" s="17" t="n"/>
      <c r="F1989" s="17" t="n"/>
      <c r="G1989" s="19" t="n"/>
      <c r="H1989" s="17" t="n"/>
      <c r="I1989" s="17" t="n"/>
      <c r="J1989" s="17" t="n"/>
      <c r="K1989" s="20">
        <f>IF($B1989="","",IFERROR(INDEX(الموظفات!$A$5:$A$304,MATCH($B1989,الموظفات!$B$5:$B$304,0))&amp;"",""))</f>
        <v/>
      </c>
      <c r="L1989" s="21">
        <f>IF($B1989="","",IFERROR(INDEX(الموظفات!$C$5:$C$304,MATCH($B1989,الموظفات!$B$5:$B$304,0))&amp;"",""))</f>
        <v/>
      </c>
      <c r="M1989" s="20">
        <f>IF($B1989="","",IFERROR(INDEX(الموظفات!$D$5:$D$304,MATCH($B1989,الموظفات!$B$5:$B$304,0))&amp;"",""))</f>
        <v/>
      </c>
      <c r="N1989" s="20">
        <f>IF($B1989="","",IFERROR(INDEX(الموظفات!$E$5:$E$304,MATCH($B1989,الموظفات!$B$5:$B$304,0))&amp;"",""))</f>
        <v/>
      </c>
      <c r="O1989" s="21">
        <f>IF(C1989="","",IFERROR(INDEX(الإعدادات!$D$7:$D$35,MATCH(C1989,الإعدادات!$A$7:$A$35,0))&amp;"",""))</f>
        <v/>
      </c>
      <c r="P1989" s="20">
        <f>IF(A1989="","",INDEX(الإعدادات!$H$7:$H$18,MONTH(A1989)))</f>
        <v/>
      </c>
      <c r="Q1989" s="20">
        <f>IF(A1989="","",INDEX(الإعدادات!$I$7:$I$18,MONTH(A1989)))</f>
        <v/>
      </c>
      <c r="R1989" s="20">
        <f>IF(A1989="","",IF(MONTH(A1989)&gt;=8,YEAR(A1989)&amp;"-"&amp;(YEAR(A1989)+1),(YEAR(A1989)-1)&amp;"-"&amp;YEAR(A1989)))</f>
        <v/>
      </c>
      <c r="S1989" s="20">
        <f>IF(OR(A1989="",B1989=""),0,IF(AND(R1989=التقارير!$C$4,OR(التقارير!$C$5="سنوي",AND(التقارير!$C$5="شهري",P1989=التقارير!$C$6),AND(التقارير!$C$5="فصلي",Q1989=التقارير!$C$7))),1,0))</f>
        <v/>
      </c>
      <c r="T1989" s="20">
        <f>IF(S1989=1,COUNTIF($S$5:S1989,1),"")</f>
        <v/>
      </c>
      <c r="U1989">
        <f>IF(AND($A1989&lt;&gt;"",$B1989&lt;&gt;"",$R1989='تقرير الفصل الأول'!$C$4,$Q1989='تقرير الفصل الأول'!$C$7),COUNT(U$4:U1988)+1,"")</f>
        <v/>
      </c>
      <c r="V1989">
        <f>IF(AND($A1989&lt;&gt;"",$B1989&lt;&gt;"",$R1989='تقرير الفصل الثاني'!$C$4,$Q1989='تقرير الفصل الثاني'!$C$7),COUNT(V$4:V1988)+1,"")</f>
        <v/>
      </c>
      <c r="W1989">
        <f>IF(AND($A1989&lt;&gt;"",$B1989&lt;&gt;"",$R1989='تقرير سبتمبر'!$C$4,$P1989='تقرير سبتمبر'!$C$6),COUNT(W$4:W1988)+1,"")</f>
        <v/>
      </c>
      <c r="X1989">
        <f>IF(AND($A1989&lt;&gt;"",$B1989&lt;&gt;"",$R1989='تقرير أكتوبر'!$C$4,$P1989='تقرير أكتوبر'!$C$6),COUNT(X$4:X1988)+1,"")</f>
        <v/>
      </c>
      <c r="Y1989">
        <f>IF(AND($A1989&lt;&gt;"",$B1989&lt;&gt;"",$R1989='تقرير نوفمبر'!$C$4,$P1989='تقرير نوفمبر'!$C$6),COUNT(Y$4:Y1988)+1,"")</f>
        <v/>
      </c>
      <c r="Z1989">
        <f>IF(AND($A1989&lt;&gt;"",$B1989&lt;&gt;"",$R1989='تقرير ديسمبر'!$C$4,$P1989='تقرير ديسمبر'!$C$6),COUNT(Z$4:Z1988)+1,"")</f>
        <v/>
      </c>
      <c r="AA1989">
        <f>IF(AND($A1989&lt;&gt;"",$B1989&lt;&gt;"",$R1989='تقرير يناير'!$C$4,$P1989='تقرير يناير'!$C$6),COUNT(AA$4:AA1988)+1,"")</f>
        <v/>
      </c>
      <c r="AB1989">
        <f>IF(AND($A1989&lt;&gt;"",$B1989&lt;&gt;"",$R1989='تقرير فبراير'!$C$4,$P1989='تقرير فبراير'!$C$6),COUNT(AB$4:AB1988)+1,"")</f>
        <v/>
      </c>
      <c r="AC1989">
        <f>IF(AND($A1989&lt;&gt;"",$B1989&lt;&gt;"",$R1989='تقرير مارس'!$C$4,$P1989='تقرير مارس'!$C$6),COUNT(AC$4:AC1988)+1,"")</f>
        <v/>
      </c>
      <c r="AD1989">
        <f>IF(AND($A1989&lt;&gt;"",$B1989&lt;&gt;"",$R1989='تقرير أبريل'!$C$4,$P1989='تقرير أبريل'!$C$6),COUNT(AD$4:AD1988)+1,"")</f>
        <v/>
      </c>
      <c r="AE1989">
        <f>IF(AND($A1989&lt;&gt;"",$B1989&lt;&gt;"",$R1989='تقرير مايو'!$C$4,$P1989='تقرير مايو'!$C$6),COUNT(AE$4:AE1988)+1,"")</f>
        <v/>
      </c>
    </row>
    <row r="1990">
      <c r="A1990" s="16" t="n"/>
      <c r="B1990" s="17" t="n"/>
      <c r="C1990" s="17" t="n"/>
      <c r="D1990" s="18" t="n"/>
      <c r="E1990" s="17" t="n"/>
      <c r="F1990" s="17" t="n"/>
      <c r="G1990" s="19" t="n"/>
      <c r="H1990" s="17" t="n"/>
      <c r="I1990" s="17" t="n"/>
      <c r="J1990" s="17" t="n"/>
      <c r="K1990" s="20">
        <f>IF($B1990="","",IFERROR(INDEX(الموظفات!$A$5:$A$304,MATCH($B1990,الموظفات!$B$5:$B$304,0))&amp;"",""))</f>
        <v/>
      </c>
      <c r="L1990" s="21">
        <f>IF($B1990="","",IFERROR(INDEX(الموظفات!$C$5:$C$304,MATCH($B1990,الموظفات!$B$5:$B$304,0))&amp;"",""))</f>
        <v/>
      </c>
      <c r="M1990" s="20">
        <f>IF($B1990="","",IFERROR(INDEX(الموظفات!$D$5:$D$304,MATCH($B1990,الموظفات!$B$5:$B$304,0))&amp;"",""))</f>
        <v/>
      </c>
      <c r="N1990" s="20">
        <f>IF($B1990="","",IFERROR(INDEX(الموظفات!$E$5:$E$304,MATCH($B1990,الموظفات!$B$5:$B$304,0))&amp;"",""))</f>
        <v/>
      </c>
      <c r="O1990" s="21">
        <f>IF(C1990="","",IFERROR(INDEX(الإعدادات!$D$7:$D$35,MATCH(C1990,الإعدادات!$A$7:$A$35,0))&amp;"",""))</f>
        <v/>
      </c>
      <c r="P1990" s="20">
        <f>IF(A1990="","",INDEX(الإعدادات!$H$7:$H$18,MONTH(A1990)))</f>
        <v/>
      </c>
      <c r="Q1990" s="20">
        <f>IF(A1990="","",INDEX(الإعدادات!$I$7:$I$18,MONTH(A1990)))</f>
        <v/>
      </c>
      <c r="R1990" s="20">
        <f>IF(A1990="","",IF(MONTH(A1990)&gt;=8,YEAR(A1990)&amp;"-"&amp;(YEAR(A1990)+1),(YEAR(A1990)-1)&amp;"-"&amp;YEAR(A1990)))</f>
        <v/>
      </c>
      <c r="S1990" s="20">
        <f>IF(OR(A1990="",B1990=""),0,IF(AND(R1990=التقارير!$C$4,OR(التقارير!$C$5="سنوي",AND(التقارير!$C$5="شهري",P1990=التقارير!$C$6),AND(التقارير!$C$5="فصلي",Q1990=التقارير!$C$7))),1,0))</f>
        <v/>
      </c>
      <c r="T1990" s="20">
        <f>IF(S1990=1,COUNTIF($S$5:S1990,1),"")</f>
        <v/>
      </c>
      <c r="U1990">
        <f>IF(AND($A1990&lt;&gt;"",$B1990&lt;&gt;"",$R1990='تقرير الفصل الأول'!$C$4,$Q1990='تقرير الفصل الأول'!$C$7),COUNT(U$4:U1989)+1,"")</f>
        <v/>
      </c>
      <c r="V1990">
        <f>IF(AND($A1990&lt;&gt;"",$B1990&lt;&gt;"",$R1990='تقرير الفصل الثاني'!$C$4,$Q1990='تقرير الفصل الثاني'!$C$7),COUNT(V$4:V1989)+1,"")</f>
        <v/>
      </c>
      <c r="W1990">
        <f>IF(AND($A1990&lt;&gt;"",$B1990&lt;&gt;"",$R1990='تقرير سبتمبر'!$C$4,$P1990='تقرير سبتمبر'!$C$6),COUNT(W$4:W1989)+1,"")</f>
        <v/>
      </c>
      <c r="X1990">
        <f>IF(AND($A1990&lt;&gt;"",$B1990&lt;&gt;"",$R1990='تقرير أكتوبر'!$C$4,$P1990='تقرير أكتوبر'!$C$6),COUNT(X$4:X1989)+1,"")</f>
        <v/>
      </c>
      <c r="Y1990">
        <f>IF(AND($A1990&lt;&gt;"",$B1990&lt;&gt;"",$R1990='تقرير نوفمبر'!$C$4,$P1990='تقرير نوفمبر'!$C$6),COUNT(Y$4:Y1989)+1,"")</f>
        <v/>
      </c>
      <c r="Z1990">
        <f>IF(AND($A1990&lt;&gt;"",$B1990&lt;&gt;"",$R1990='تقرير ديسمبر'!$C$4,$P1990='تقرير ديسمبر'!$C$6),COUNT(Z$4:Z1989)+1,"")</f>
        <v/>
      </c>
      <c r="AA1990">
        <f>IF(AND($A1990&lt;&gt;"",$B1990&lt;&gt;"",$R1990='تقرير يناير'!$C$4,$P1990='تقرير يناير'!$C$6),COUNT(AA$4:AA1989)+1,"")</f>
        <v/>
      </c>
      <c r="AB1990">
        <f>IF(AND($A1990&lt;&gt;"",$B1990&lt;&gt;"",$R1990='تقرير فبراير'!$C$4,$P1990='تقرير فبراير'!$C$6),COUNT(AB$4:AB1989)+1,"")</f>
        <v/>
      </c>
      <c r="AC1990">
        <f>IF(AND($A1990&lt;&gt;"",$B1990&lt;&gt;"",$R1990='تقرير مارس'!$C$4,$P1990='تقرير مارس'!$C$6),COUNT(AC$4:AC1989)+1,"")</f>
        <v/>
      </c>
      <c r="AD1990">
        <f>IF(AND($A1990&lt;&gt;"",$B1990&lt;&gt;"",$R1990='تقرير أبريل'!$C$4,$P1990='تقرير أبريل'!$C$6),COUNT(AD$4:AD1989)+1,"")</f>
        <v/>
      </c>
      <c r="AE1990">
        <f>IF(AND($A1990&lt;&gt;"",$B1990&lt;&gt;"",$R1990='تقرير مايو'!$C$4,$P1990='تقرير مايو'!$C$6),COUNT(AE$4:AE1989)+1,"")</f>
        <v/>
      </c>
    </row>
    <row r="1991">
      <c r="A1991" s="16" t="n"/>
      <c r="B1991" s="17" t="n"/>
      <c r="C1991" s="17" t="n"/>
      <c r="D1991" s="18" t="n"/>
      <c r="E1991" s="17" t="n"/>
      <c r="F1991" s="17" t="n"/>
      <c r="G1991" s="19" t="n"/>
      <c r="H1991" s="17" t="n"/>
      <c r="I1991" s="17" t="n"/>
      <c r="J1991" s="17" t="n"/>
      <c r="K1991" s="20">
        <f>IF($B1991="","",IFERROR(INDEX(الموظفات!$A$5:$A$304,MATCH($B1991,الموظفات!$B$5:$B$304,0))&amp;"",""))</f>
        <v/>
      </c>
      <c r="L1991" s="21">
        <f>IF($B1991="","",IFERROR(INDEX(الموظفات!$C$5:$C$304,MATCH($B1991,الموظفات!$B$5:$B$304,0))&amp;"",""))</f>
        <v/>
      </c>
      <c r="M1991" s="20">
        <f>IF($B1991="","",IFERROR(INDEX(الموظفات!$D$5:$D$304,MATCH($B1991,الموظفات!$B$5:$B$304,0))&amp;"",""))</f>
        <v/>
      </c>
      <c r="N1991" s="20">
        <f>IF($B1991="","",IFERROR(INDEX(الموظفات!$E$5:$E$304,MATCH($B1991,الموظفات!$B$5:$B$304,0))&amp;"",""))</f>
        <v/>
      </c>
      <c r="O1991" s="21">
        <f>IF(C1991="","",IFERROR(INDEX(الإعدادات!$D$7:$D$35,MATCH(C1991,الإعدادات!$A$7:$A$35,0))&amp;"",""))</f>
        <v/>
      </c>
      <c r="P1991" s="20">
        <f>IF(A1991="","",INDEX(الإعدادات!$H$7:$H$18,MONTH(A1991)))</f>
        <v/>
      </c>
      <c r="Q1991" s="20">
        <f>IF(A1991="","",INDEX(الإعدادات!$I$7:$I$18,MONTH(A1991)))</f>
        <v/>
      </c>
      <c r="R1991" s="20">
        <f>IF(A1991="","",IF(MONTH(A1991)&gt;=8,YEAR(A1991)&amp;"-"&amp;(YEAR(A1991)+1),(YEAR(A1991)-1)&amp;"-"&amp;YEAR(A1991)))</f>
        <v/>
      </c>
      <c r="S1991" s="20">
        <f>IF(OR(A1991="",B1991=""),0,IF(AND(R1991=التقارير!$C$4,OR(التقارير!$C$5="سنوي",AND(التقارير!$C$5="شهري",P1991=التقارير!$C$6),AND(التقارير!$C$5="فصلي",Q1991=التقارير!$C$7))),1,0))</f>
        <v/>
      </c>
      <c r="T1991" s="20">
        <f>IF(S1991=1,COUNTIF($S$5:S1991,1),"")</f>
        <v/>
      </c>
      <c r="U1991">
        <f>IF(AND($A1991&lt;&gt;"",$B1991&lt;&gt;"",$R1991='تقرير الفصل الأول'!$C$4,$Q1991='تقرير الفصل الأول'!$C$7),COUNT(U$4:U1990)+1,"")</f>
        <v/>
      </c>
      <c r="V1991">
        <f>IF(AND($A1991&lt;&gt;"",$B1991&lt;&gt;"",$R1991='تقرير الفصل الثاني'!$C$4,$Q1991='تقرير الفصل الثاني'!$C$7),COUNT(V$4:V1990)+1,"")</f>
        <v/>
      </c>
      <c r="W1991">
        <f>IF(AND($A1991&lt;&gt;"",$B1991&lt;&gt;"",$R1991='تقرير سبتمبر'!$C$4,$P1991='تقرير سبتمبر'!$C$6),COUNT(W$4:W1990)+1,"")</f>
        <v/>
      </c>
      <c r="X1991">
        <f>IF(AND($A1991&lt;&gt;"",$B1991&lt;&gt;"",$R1991='تقرير أكتوبر'!$C$4,$P1991='تقرير أكتوبر'!$C$6),COUNT(X$4:X1990)+1,"")</f>
        <v/>
      </c>
      <c r="Y1991">
        <f>IF(AND($A1991&lt;&gt;"",$B1991&lt;&gt;"",$R1991='تقرير نوفمبر'!$C$4,$P1991='تقرير نوفمبر'!$C$6),COUNT(Y$4:Y1990)+1,"")</f>
        <v/>
      </c>
      <c r="Z1991">
        <f>IF(AND($A1991&lt;&gt;"",$B1991&lt;&gt;"",$R1991='تقرير ديسمبر'!$C$4,$P1991='تقرير ديسمبر'!$C$6),COUNT(Z$4:Z1990)+1,"")</f>
        <v/>
      </c>
      <c r="AA1991">
        <f>IF(AND($A1991&lt;&gt;"",$B1991&lt;&gt;"",$R1991='تقرير يناير'!$C$4,$P1991='تقرير يناير'!$C$6),COUNT(AA$4:AA1990)+1,"")</f>
        <v/>
      </c>
      <c r="AB1991">
        <f>IF(AND($A1991&lt;&gt;"",$B1991&lt;&gt;"",$R1991='تقرير فبراير'!$C$4,$P1991='تقرير فبراير'!$C$6),COUNT(AB$4:AB1990)+1,"")</f>
        <v/>
      </c>
      <c r="AC1991">
        <f>IF(AND($A1991&lt;&gt;"",$B1991&lt;&gt;"",$R1991='تقرير مارس'!$C$4,$P1991='تقرير مارس'!$C$6),COUNT(AC$4:AC1990)+1,"")</f>
        <v/>
      </c>
      <c r="AD1991">
        <f>IF(AND($A1991&lt;&gt;"",$B1991&lt;&gt;"",$R1991='تقرير أبريل'!$C$4,$P1991='تقرير أبريل'!$C$6),COUNT(AD$4:AD1990)+1,"")</f>
        <v/>
      </c>
      <c r="AE1991">
        <f>IF(AND($A1991&lt;&gt;"",$B1991&lt;&gt;"",$R1991='تقرير مايو'!$C$4,$P1991='تقرير مايو'!$C$6),COUNT(AE$4:AE1990)+1,"")</f>
        <v/>
      </c>
    </row>
    <row r="1992">
      <c r="A1992" s="16" t="n"/>
      <c r="B1992" s="17" t="n"/>
      <c r="C1992" s="17" t="n"/>
      <c r="D1992" s="18" t="n"/>
      <c r="E1992" s="17" t="n"/>
      <c r="F1992" s="17" t="n"/>
      <c r="G1992" s="19" t="n"/>
      <c r="H1992" s="17" t="n"/>
      <c r="I1992" s="17" t="n"/>
      <c r="J1992" s="17" t="n"/>
      <c r="K1992" s="20">
        <f>IF($B1992="","",IFERROR(INDEX(الموظفات!$A$5:$A$304,MATCH($B1992,الموظفات!$B$5:$B$304,0))&amp;"",""))</f>
        <v/>
      </c>
      <c r="L1992" s="21">
        <f>IF($B1992="","",IFERROR(INDEX(الموظفات!$C$5:$C$304,MATCH($B1992,الموظفات!$B$5:$B$304,0))&amp;"",""))</f>
        <v/>
      </c>
      <c r="M1992" s="20">
        <f>IF($B1992="","",IFERROR(INDEX(الموظفات!$D$5:$D$304,MATCH($B1992,الموظفات!$B$5:$B$304,0))&amp;"",""))</f>
        <v/>
      </c>
      <c r="N1992" s="20">
        <f>IF($B1992="","",IFERROR(INDEX(الموظفات!$E$5:$E$304,MATCH($B1992,الموظفات!$B$5:$B$304,0))&amp;"",""))</f>
        <v/>
      </c>
      <c r="O1992" s="21">
        <f>IF(C1992="","",IFERROR(INDEX(الإعدادات!$D$7:$D$35,MATCH(C1992,الإعدادات!$A$7:$A$35,0))&amp;"",""))</f>
        <v/>
      </c>
      <c r="P1992" s="20">
        <f>IF(A1992="","",INDEX(الإعدادات!$H$7:$H$18,MONTH(A1992)))</f>
        <v/>
      </c>
      <c r="Q1992" s="20">
        <f>IF(A1992="","",INDEX(الإعدادات!$I$7:$I$18,MONTH(A1992)))</f>
        <v/>
      </c>
      <c r="R1992" s="20">
        <f>IF(A1992="","",IF(MONTH(A1992)&gt;=8,YEAR(A1992)&amp;"-"&amp;(YEAR(A1992)+1),(YEAR(A1992)-1)&amp;"-"&amp;YEAR(A1992)))</f>
        <v/>
      </c>
      <c r="S1992" s="20">
        <f>IF(OR(A1992="",B1992=""),0,IF(AND(R1992=التقارير!$C$4,OR(التقارير!$C$5="سنوي",AND(التقارير!$C$5="شهري",P1992=التقارير!$C$6),AND(التقارير!$C$5="فصلي",Q1992=التقارير!$C$7))),1,0))</f>
        <v/>
      </c>
      <c r="T1992" s="20">
        <f>IF(S1992=1,COUNTIF($S$5:S1992,1),"")</f>
        <v/>
      </c>
      <c r="U1992">
        <f>IF(AND($A1992&lt;&gt;"",$B1992&lt;&gt;"",$R1992='تقرير الفصل الأول'!$C$4,$Q1992='تقرير الفصل الأول'!$C$7),COUNT(U$4:U1991)+1,"")</f>
        <v/>
      </c>
      <c r="V1992">
        <f>IF(AND($A1992&lt;&gt;"",$B1992&lt;&gt;"",$R1992='تقرير الفصل الثاني'!$C$4,$Q1992='تقرير الفصل الثاني'!$C$7),COUNT(V$4:V1991)+1,"")</f>
        <v/>
      </c>
      <c r="W1992">
        <f>IF(AND($A1992&lt;&gt;"",$B1992&lt;&gt;"",$R1992='تقرير سبتمبر'!$C$4,$P1992='تقرير سبتمبر'!$C$6),COUNT(W$4:W1991)+1,"")</f>
        <v/>
      </c>
      <c r="X1992">
        <f>IF(AND($A1992&lt;&gt;"",$B1992&lt;&gt;"",$R1992='تقرير أكتوبر'!$C$4,$P1992='تقرير أكتوبر'!$C$6),COUNT(X$4:X1991)+1,"")</f>
        <v/>
      </c>
      <c r="Y1992">
        <f>IF(AND($A1992&lt;&gt;"",$B1992&lt;&gt;"",$R1992='تقرير نوفمبر'!$C$4,$P1992='تقرير نوفمبر'!$C$6),COUNT(Y$4:Y1991)+1,"")</f>
        <v/>
      </c>
      <c r="Z1992">
        <f>IF(AND($A1992&lt;&gt;"",$B1992&lt;&gt;"",$R1992='تقرير ديسمبر'!$C$4,$P1992='تقرير ديسمبر'!$C$6),COUNT(Z$4:Z1991)+1,"")</f>
        <v/>
      </c>
      <c r="AA1992">
        <f>IF(AND($A1992&lt;&gt;"",$B1992&lt;&gt;"",$R1992='تقرير يناير'!$C$4,$P1992='تقرير يناير'!$C$6),COUNT(AA$4:AA1991)+1,"")</f>
        <v/>
      </c>
      <c r="AB1992">
        <f>IF(AND($A1992&lt;&gt;"",$B1992&lt;&gt;"",$R1992='تقرير فبراير'!$C$4,$P1992='تقرير فبراير'!$C$6),COUNT(AB$4:AB1991)+1,"")</f>
        <v/>
      </c>
      <c r="AC1992">
        <f>IF(AND($A1992&lt;&gt;"",$B1992&lt;&gt;"",$R1992='تقرير مارس'!$C$4,$P1992='تقرير مارس'!$C$6),COUNT(AC$4:AC1991)+1,"")</f>
        <v/>
      </c>
      <c r="AD1992">
        <f>IF(AND($A1992&lt;&gt;"",$B1992&lt;&gt;"",$R1992='تقرير أبريل'!$C$4,$P1992='تقرير أبريل'!$C$6),COUNT(AD$4:AD1991)+1,"")</f>
        <v/>
      </c>
      <c r="AE1992">
        <f>IF(AND($A1992&lt;&gt;"",$B1992&lt;&gt;"",$R1992='تقرير مايو'!$C$4,$P1992='تقرير مايو'!$C$6),COUNT(AE$4:AE1991)+1,"")</f>
        <v/>
      </c>
    </row>
    <row r="1993">
      <c r="A1993" s="16" t="n"/>
      <c r="B1993" s="17" t="n"/>
      <c r="C1993" s="17" t="n"/>
      <c r="D1993" s="18" t="n"/>
      <c r="E1993" s="17" t="n"/>
      <c r="F1993" s="17" t="n"/>
      <c r="G1993" s="19" t="n"/>
      <c r="H1993" s="17" t="n"/>
      <c r="I1993" s="17" t="n"/>
      <c r="J1993" s="17" t="n"/>
      <c r="K1993" s="20">
        <f>IF($B1993="","",IFERROR(INDEX(الموظفات!$A$5:$A$304,MATCH($B1993,الموظفات!$B$5:$B$304,0))&amp;"",""))</f>
        <v/>
      </c>
      <c r="L1993" s="21">
        <f>IF($B1993="","",IFERROR(INDEX(الموظفات!$C$5:$C$304,MATCH($B1993,الموظفات!$B$5:$B$304,0))&amp;"",""))</f>
        <v/>
      </c>
      <c r="M1993" s="20">
        <f>IF($B1993="","",IFERROR(INDEX(الموظفات!$D$5:$D$304,MATCH($B1993,الموظفات!$B$5:$B$304,0))&amp;"",""))</f>
        <v/>
      </c>
      <c r="N1993" s="20">
        <f>IF($B1993="","",IFERROR(INDEX(الموظفات!$E$5:$E$304,MATCH($B1993,الموظفات!$B$5:$B$304,0))&amp;"",""))</f>
        <v/>
      </c>
      <c r="O1993" s="21">
        <f>IF(C1993="","",IFERROR(INDEX(الإعدادات!$D$7:$D$35,MATCH(C1993,الإعدادات!$A$7:$A$35,0))&amp;"",""))</f>
        <v/>
      </c>
      <c r="P1993" s="20">
        <f>IF(A1993="","",INDEX(الإعدادات!$H$7:$H$18,MONTH(A1993)))</f>
        <v/>
      </c>
      <c r="Q1993" s="20">
        <f>IF(A1993="","",INDEX(الإعدادات!$I$7:$I$18,MONTH(A1993)))</f>
        <v/>
      </c>
      <c r="R1993" s="20">
        <f>IF(A1993="","",IF(MONTH(A1993)&gt;=8,YEAR(A1993)&amp;"-"&amp;(YEAR(A1993)+1),(YEAR(A1993)-1)&amp;"-"&amp;YEAR(A1993)))</f>
        <v/>
      </c>
      <c r="S1993" s="20">
        <f>IF(OR(A1993="",B1993=""),0,IF(AND(R1993=التقارير!$C$4,OR(التقارير!$C$5="سنوي",AND(التقارير!$C$5="شهري",P1993=التقارير!$C$6),AND(التقارير!$C$5="فصلي",Q1993=التقارير!$C$7))),1,0))</f>
        <v/>
      </c>
      <c r="T1993" s="20">
        <f>IF(S1993=1,COUNTIF($S$5:S1993,1),"")</f>
        <v/>
      </c>
      <c r="U1993">
        <f>IF(AND($A1993&lt;&gt;"",$B1993&lt;&gt;"",$R1993='تقرير الفصل الأول'!$C$4,$Q1993='تقرير الفصل الأول'!$C$7),COUNT(U$4:U1992)+1,"")</f>
        <v/>
      </c>
      <c r="V1993">
        <f>IF(AND($A1993&lt;&gt;"",$B1993&lt;&gt;"",$R1993='تقرير الفصل الثاني'!$C$4,$Q1993='تقرير الفصل الثاني'!$C$7),COUNT(V$4:V1992)+1,"")</f>
        <v/>
      </c>
      <c r="W1993">
        <f>IF(AND($A1993&lt;&gt;"",$B1993&lt;&gt;"",$R1993='تقرير سبتمبر'!$C$4,$P1993='تقرير سبتمبر'!$C$6),COUNT(W$4:W1992)+1,"")</f>
        <v/>
      </c>
      <c r="X1993">
        <f>IF(AND($A1993&lt;&gt;"",$B1993&lt;&gt;"",$R1993='تقرير أكتوبر'!$C$4,$P1993='تقرير أكتوبر'!$C$6),COUNT(X$4:X1992)+1,"")</f>
        <v/>
      </c>
      <c r="Y1993">
        <f>IF(AND($A1993&lt;&gt;"",$B1993&lt;&gt;"",$R1993='تقرير نوفمبر'!$C$4,$P1993='تقرير نوفمبر'!$C$6),COUNT(Y$4:Y1992)+1,"")</f>
        <v/>
      </c>
      <c r="Z1993">
        <f>IF(AND($A1993&lt;&gt;"",$B1993&lt;&gt;"",$R1993='تقرير ديسمبر'!$C$4,$P1993='تقرير ديسمبر'!$C$6),COUNT(Z$4:Z1992)+1,"")</f>
        <v/>
      </c>
      <c r="AA1993">
        <f>IF(AND($A1993&lt;&gt;"",$B1993&lt;&gt;"",$R1993='تقرير يناير'!$C$4,$P1993='تقرير يناير'!$C$6),COUNT(AA$4:AA1992)+1,"")</f>
        <v/>
      </c>
      <c r="AB1993">
        <f>IF(AND($A1993&lt;&gt;"",$B1993&lt;&gt;"",$R1993='تقرير فبراير'!$C$4,$P1993='تقرير فبراير'!$C$6),COUNT(AB$4:AB1992)+1,"")</f>
        <v/>
      </c>
      <c r="AC1993">
        <f>IF(AND($A1993&lt;&gt;"",$B1993&lt;&gt;"",$R1993='تقرير مارس'!$C$4,$P1993='تقرير مارس'!$C$6),COUNT(AC$4:AC1992)+1,"")</f>
        <v/>
      </c>
      <c r="AD1993">
        <f>IF(AND($A1993&lt;&gt;"",$B1993&lt;&gt;"",$R1993='تقرير أبريل'!$C$4,$P1993='تقرير أبريل'!$C$6),COUNT(AD$4:AD1992)+1,"")</f>
        <v/>
      </c>
      <c r="AE1993">
        <f>IF(AND($A1993&lt;&gt;"",$B1993&lt;&gt;"",$R1993='تقرير مايو'!$C$4,$P1993='تقرير مايو'!$C$6),COUNT(AE$4:AE1992)+1,"")</f>
        <v/>
      </c>
    </row>
    <row r="1994">
      <c r="A1994" s="16" t="n"/>
      <c r="B1994" s="17" t="n"/>
      <c r="C1994" s="17" t="n"/>
      <c r="D1994" s="18" t="n"/>
      <c r="E1994" s="17" t="n"/>
      <c r="F1994" s="17" t="n"/>
      <c r="G1994" s="19" t="n"/>
      <c r="H1994" s="17" t="n"/>
      <c r="I1994" s="17" t="n"/>
      <c r="J1994" s="17" t="n"/>
      <c r="K1994" s="20">
        <f>IF($B1994="","",IFERROR(INDEX(الموظفات!$A$5:$A$304,MATCH($B1994,الموظفات!$B$5:$B$304,0))&amp;"",""))</f>
        <v/>
      </c>
      <c r="L1994" s="21">
        <f>IF($B1994="","",IFERROR(INDEX(الموظفات!$C$5:$C$304,MATCH($B1994,الموظفات!$B$5:$B$304,0))&amp;"",""))</f>
        <v/>
      </c>
      <c r="M1994" s="20">
        <f>IF($B1994="","",IFERROR(INDEX(الموظفات!$D$5:$D$304,MATCH($B1994,الموظفات!$B$5:$B$304,0))&amp;"",""))</f>
        <v/>
      </c>
      <c r="N1994" s="20">
        <f>IF($B1994="","",IFERROR(INDEX(الموظفات!$E$5:$E$304,MATCH($B1994,الموظفات!$B$5:$B$304,0))&amp;"",""))</f>
        <v/>
      </c>
      <c r="O1994" s="21">
        <f>IF(C1994="","",IFERROR(INDEX(الإعدادات!$D$7:$D$35,MATCH(C1994,الإعدادات!$A$7:$A$35,0))&amp;"",""))</f>
        <v/>
      </c>
      <c r="P1994" s="20">
        <f>IF(A1994="","",INDEX(الإعدادات!$H$7:$H$18,MONTH(A1994)))</f>
        <v/>
      </c>
      <c r="Q1994" s="20">
        <f>IF(A1994="","",INDEX(الإعدادات!$I$7:$I$18,MONTH(A1994)))</f>
        <v/>
      </c>
      <c r="R1994" s="20">
        <f>IF(A1994="","",IF(MONTH(A1994)&gt;=8,YEAR(A1994)&amp;"-"&amp;(YEAR(A1994)+1),(YEAR(A1994)-1)&amp;"-"&amp;YEAR(A1994)))</f>
        <v/>
      </c>
      <c r="S1994" s="20">
        <f>IF(OR(A1994="",B1994=""),0,IF(AND(R1994=التقارير!$C$4,OR(التقارير!$C$5="سنوي",AND(التقارير!$C$5="شهري",P1994=التقارير!$C$6),AND(التقارير!$C$5="فصلي",Q1994=التقارير!$C$7))),1,0))</f>
        <v/>
      </c>
      <c r="T1994" s="20">
        <f>IF(S1994=1,COUNTIF($S$5:S1994,1),"")</f>
        <v/>
      </c>
      <c r="U1994">
        <f>IF(AND($A1994&lt;&gt;"",$B1994&lt;&gt;"",$R1994='تقرير الفصل الأول'!$C$4,$Q1994='تقرير الفصل الأول'!$C$7),COUNT(U$4:U1993)+1,"")</f>
        <v/>
      </c>
      <c r="V1994">
        <f>IF(AND($A1994&lt;&gt;"",$B1994&lt;&gt;"",$R1994='تقرير الفصل الثاني'!$C$4,$Q1994='تقرير الفصل الثاني'!$C$7),COUNT(V$4:V1993)+1,"")</f>
        <v/>
      </c>
      <c r="W1994">
        <f>IF(AND($A1994&lt;&gt;"",$B1994&lt;&gt;"",$R1994='تقرير سبتمبر'!$C$4,$P1994='تقرير سبتمبر'!$C$6),COUNT(W$4:W1993)+1,"")</f>
        <v/>
      </c>
      <c r="X1994">
        <f>IF(AND($A1994&lt;&gt;"",$B1994&lt;&gt;"",$R1994='تقرير أكتوبر'!$C$4,$P1994='تقرير أكتوبر'!$C$6),COUNT(X$4:X1993)+1,"")</f>
        <v/>
      </c>
      <c r="Y1994">
        <f>IF(AND($A1994&lt;&gt;"",$B1994&lt;&gt;"",$R1994='تقرير نوفمبر'!$C$4,$P1994='تقرير نوفمبر'!$C$6),COUNT(Y$4:Y1993)+1,"")</f>
        <v/>
      </c>
      <c r="Z1994">
        <f>IF(AND($A1994&lt;&gt;"",$B1994&lt;&gt;"",$R1994='تقرير ديسمبر'!$C$4,$P1994='تقرير ديسمبر'!$C$6),COUNT(Z$4:Z1993)+1,"")</f>
        <v/>
      </c>
      <c r="AA1994">
        <f>IF(AND($A1994&lt;&gt;"",$B1994&lt;&gt;"",$R1994='تقرير يناير'!$C$4,$P1994='تقرير يناير'!$C$6),COUNT(AA$4:AA1993)+1,"")</f>
        <v/>
      </c>
      <c r="AB1994">
        <f>IF(AND($A1994&lt;&gt;"",$B1994&lt;&gt;"",$R1994='تقرير فبراير'!$C$4,$P1994='تقرير فبراير'!$C$6),COUNT(AB$4:AB1993)+1,"")</f>
        <v/>
      </c>
      <c r="AC1994">
        <f>IF(AND($A1994&lt;&gt;"",$B1994&lt;&gt;"",$R1994='تقرير مارس'!$C$4,$P1994='تقرير مارس'!$C$6),COUNT(AC$4:AC1993)+1,"")</f>
        <v/>
      </c>
      <c r="AD1994">
        <f>IF(AND($A1994&lt;&gt;"",$B1994&lt;&gt;"",$R1994='تقرير أبريل'!$C$4,$P1994='تقرير أبريل'!$C$6),COUNT(AD$4:AD1993)+1,"")</f>
        <v/>
      </c>
      <c r="AE1994">
        <f>IF(AND($A1994&lt;&gt;"",$B1994&lt;&gt;"",$R1994='تقرير مايو'!$C$4,$P1994='تقرير مايو'!$C$6),COUNT(AE$4:AE1993)+1,"")</f>
        <v/>
      </c>
    </row>
    <row r="1995">
      <c r="A1995" s="16" t="n"/>
      <c r="B1995" s="17" t="n"/>
      <c r="C1995" s="17" t="n"/>
      <c r="D1995" s="18" t="n"/>
      <c r="E1995" s="17" t="n"/>
      <c r="F1995" s="17" t="n"/>
      <c r="G1995" s="19" t="n"/>
      <c r="H1995" s="17" t="n"/>
      <c r="I1995" s="17" t="n"/>
      <c r="J1995" s="17" t="n"/>
      <c r="K1995" s="20">
        <f>IF($B1995="","",IFERROR(INDEX(الموظفات!$A$5:$A$304,MATCH($B1995,الموظفات!$B$5:$B$304,0))&amp;"",""))</f>
        <v/>
      </c>
      <c r="L1995" s="21">
        <f>IF($B1995="","",IFERROR(INDEX(الموظفات!$C$5:$C$304,MATCH($B1995,الموظفات!$B$5:$B$304,0))&amp;"",""))</f>
        <v/>
      </c>
      <c r="M1995" s="20">
        <f>IF($B1995="","",IFERROR(INDEX(الموظفات!$D$5:$D$304,MATCH($B1995,الموظفات!$B$5:$B$304,0))&amp;"",""))</f>
        <v/>
      </c>
      <c r="N1995" s="20">
        <f>IF($B1995="","",IFERROR(INDEX(الموظفات!$E$5:$E$304,MATCH($B1995,الموظفات!$B$5:$B$304,0))&amp;"",""))</f>
        <v/>
      </c>
      <c r="O1995" s="21">
        <f>IF(C1995="","",IFERROR(INDEX(الإعدادات!$D$7:$D$35,MATCH(C1995,الإعدادات!$A$7:$A$35,0))&amp;"",""))</f>
        <v/>
      </c>
      <c r="P1995" s="20">
        <f>IF(A1995="","",INDEX(الإعدادات!$H$7:$H$18,MONTH(A1995)))</f>
        <v/>
      </c>
      <c r="Q1995" s="20">
        <f>IF(A1995="","",INDEX(الإعدادات!$I$7:$I$18,MONTH(A1995)))</f>
        <v/>
      </c>
      <c r="R1995" s="20">
        <f>IF(A1995="","",IF(MONTH(A1995)&gt;=8,YEAR(A1995)&amp;"-"&amp;(YEAR(A1995)+1),(YEAR(A1995)-1)&amp;"-"&amp;YEAR(A1995)))</f>
        <v/>
      </c>
      <c r="S1995" s="20">
        <f>IF(OR(A1995="",B1995=""),0,IF(AND(R1995=التقارير!$C$4,OR(التقارير!$C$5="سنوي",AND(التقارير!$C$5="شهري",P1995=التقارير!$C$6),AND(التقارير!$C$5="فصلي",Q1995=التقارير!$C$7))),1,0))</f>
        <v/>
      </c>
      <c r="T1995" s="20">
        <f>IF(S1995=1,COUNTIF($S$5:S1995,1),"")</f>
        <v/>
      </c>
      <c r="U1995">
        <f>IF(AND($A1995&lt;&gt;"",$B1995&lt;&gt;"",$R1995='تقرير الفصل الأول'!$C$4,$Q1995='تقرير الفصل الأول'!$C$7),COUNT(U$4:U1994)+1,"")</f>
        <v/>
      </c>
      <c r="V1995">
        <f>IF(AND($A1995&lt;&gt;"",$B1995&lt;&gt;"",$R1995='تقرير الفصل الثاني'!$C$4,$Q1995='تقرير الفصل الثاني'!$C$7),COUNT(V$4:V1994)+1,"")</f>
        <v/>
      </c>
      <c r="W1995">
        <f>IF(AND($A1995&lt;&gt;"",$B1995&lt;&gt;"",$R1995='تقرير سبتمبر'!$C$4,$P1995='تقرير سبتمبر'!$C$6),COUNT(W$4:W1994)+1,"")</f>
        <v/>
      </c>
      <c r="X1995">
        <f>IF(AND($A1995&lt;&gt;"",$B1995&lt;&gt;"",$R1995='تقرير أكتوبر'!$C$4,$P1995='تقرير أكتوبر'!$C$6),COUNT(X$4:X1994)+1,"")</f>
        <v/>
      </c>
      <c r="Y1995">
        <f>IF(AND($A1995&lt;&gt;"",$B1995&lt;&gt;"",$R1995='تقرير نوفمبر'!$C$4,$P1995='تقرير نوفمبر'!$C$6),COUNT(Y$4:Y1994)+1,"")</f>
        <v/>
      </c>
      <c r="Z1995">
        <f>IF(AND($A1995&lt;&gt;"",$B1995&lt;&gt;"",$R1995='تقرير ديسمبر'!$C$4,$P1995='تقرير ديسمبر'!$C$6),COUNT(Z$4:Z1994)+1,"")</f>
        <v/>
      </c>
      <c r="AA1995">
        <f>IF(AND($A1995&lt;&gt;"",$B1995&lt;&gt;"",$R1995='تقرير يناير'!$C$4,$P1995='تقرير يناير'!$C$6),COUNT(AA$4:AA1994)+1,"")</f>
        <v/>
      </c>
      <c r="AB1995">
        <f>IF(AND($A1995&lt;&gt;"",$B1995&lt;&gt;"",$R1995='تقرير فبراير'!$C$4,$P1995='تقرير فبراير'!$C$6),COUNT(AB$4:AB1994)+1,"")</f>
        <v/>
      </c>
      <c r="AC1995">
        <f>IF(AND($A1995&lt;&gt;"",$B1995&lt;&gt;"",$R1995='تقرير مارس'!$C$4,$P1995='تقرير مارس'!$C$6),COUNT(AC$4:AC1994)+1,"")</f>
        <v/>
      </c>
      <c r="AD1995">
        <f>IF(AND($A1995&lt;&gt;"",$B1995&lt;&gt;"",$R1995='تقرير أبريل'!$C$4,$P1995='تقرير أبريل'!$C$6),COUNT(AD$4:AD1994)+1,"")</f>
        <v/>
      </c>
      <c r="AE1995">
        <f>IF(AND($A1995&lt;&gt;"",$B1995&lt;&gt;"",$R1995='تقرير مايو'!$C$4,$P1995='تقرير مايو'!$C$6),COUNT(AE$4:AE1994)+1,"")</f>
        <v/>
      </c>
    </row>
    <row r="1996">
      <c r="A1996" s="16" t="n"/>
      <c r="B1996" s="17" t="n"/>
      <c r="C1996" s="17" t="n"/>
      <c r="D1996" s="18" t="n"/>
      <c r="E1996" s="17" t="n"/>
      <c r="F1996" s="17" t="n"/>
      <c r="G1996" s="19" t="n"/>
      <c r="H1996" s="17" t="n"/>
      <c r="I1996" s="17" t="n"/>
      <c r="J1996" s="17" t="n"/>
      <c r="K1996" s="20">
        <f>IF($B1996="","",IFERROR(INDEX(الموظفات!$A$5:$A$304,MATCH($B1996,الموظفات!$B$5:$B$304,0))&amp;"",""))</f>
        <v/>
      </c>
      <c r="L1996" s="21">
        <f>IF($B1996="","",IFERROR(INDEX(الموظفات!$C$5:$C$304,MATCH($B1996,الموظفات!$B$5:$B$304,0))&amp;"",""))</f>
        <v/>
      </c>
      <c r="M1996" s="20">
        <f>IF($B1996="","",IFERROR(INDEX(الموظفات!$D$5:$D$304,MATCH($B1996,الموظفات!$B$5:$B$304,0))&amp;"",""))</f>
        <v/>
      </c>
      <c r="N1996" s="20">
        <f>IF($B1996="","",IFERROR(INDEX(الموظفات!$E$5:$E$304,MATCH($B1996,الموظفات!$B$5:$B$304,0))&amp;"",""))</f>
        <v/>
      </c>
      <c r="O1996" s="21">
        <f>IF(C1996="","",IFERROR(INDEX(الإعدادات!$D$7:$D$35,MATCH(C1996,الإعدادات!$A$7:$A$35,0))&amp;"",""))</f>
        <v/>
      </c>
      <c r="P1996" s="20">
        <f>IF(A1996="","",INDEX(الإعدادات!$H$7:$H$18,MONTH(A1996)))</f>
        <v/>
      </c>
      <c r="Q1996" s="20">
        <f>IF(A1996="","",INDEX(الإعدادات!$I$7:$I$18,MONTH(A1996)))</f>
        <v/>
      </c>
      <c r="R1996" s="20">
        <f>IF(A1996="","",IF(MONTH(A1996)&gt;=8,YEAR(A1996)&amp;"-"&amp;(YEAR(A1996)+1),(YEAR(A1996)-1)&amp;"-"&amp;YEAR(A1996)))</f>
        <v/>
      </c>
      <c r="S1996" s="20">
        <f>IF(OR(A1996="",B1996=""),0,IF(AND(R1996=التقارير!$C$4,OR(التقارير!$C$5="سنوي",AND(التقارير!$C$5="شهري",P1996=التقارير!$C$6),AND(التقارير!$C$5="فصلي",Q1996=التقارير!$C$7))),1,0))</f>
        <v/>
      </c>
      <c r="T1996" s="20">
        <f>IF(S1996=1,COUNTIF($S$5:S1996,1),"")</f>
        <v/>
      </c>
      <c r="U1996">
        <f>IF(AND($A1996&lt;&gt;"",$B1996&lt;&gt;"",$R1996='تقرير الفصل الأول'!$C$4,$Q1996='تقرير الفصل الأول'!$C$7),COUNT(U$4:U1995)+1,"")</f>
        <v/>
      </c>
      <c r="V1996">
        <f>IF(AND($A1996&lt;&gt;"",$B1996&lt;&gt;"",$R1996='تقرير الفصل الثاني'!$C$4,$Q1996='تقرير الفصل الثاني'!$C$7),COUNT(V$4:V1995)+1,"")</f>
        <v/>
      </c>
      <c r="W1996">
        <f>IF(AND($A1996&lt;&gt;"",$B1996&lt;&gt;"",$R1996='تقرير سبتمبر'!$C$4,$P1996='تقرير سبتمبر'!$C$6),COUNT(W$4:W1995)+1,"")</f>
        <v/>
      </c>
      <c r="X1996">
        <f>IF(AND($A1996&lt;&gt;"",$B1996&lt;&gt;"",$R1996='تقرير أكتوبر'!$C$4,$P1996='تقرير أكتوبر'!$C$6),COUNT(X$4:X1995)+1,"")</f>
        <v/>
      </c>
      <c r="Y1996">
        <f>IF(AND($A1996&lt;&gt;"",$B1996&lt;&gt;"",$R1996='تقرير نوفمبر'!$C$4,$P1996='تقرير نوفمبر'!$C$6),COUNT(Y$4:Y1995)+1,"")</f>
        <v/>
      </c>
      <c r="Z1996">
        <f>IF(AND($A1996&lt;&gt;"",$B1996&lt;&gt;"",$R1996='تقرير ديسمبر'!$C$4,$P1996='تقرير ديسمبر'!$C$6),COUNT(Z$4:Z1995)+1,"")</f>
        <v/>
      </c>
      <c r="AA1996">
        <f>IF(AND($A1996&lt;&gt;"",$B1996&lt;&gt;"",$R1996='تقرير يناير'!$C$4,$P1996='تقرير يناير'!$C$6),COUNT(AA$4:AA1995)+1,"")</f>
        <v/>
      </c>
      <c r="AB1996">
        <f>IF(AND($A1996&lt;&gt;"",$B1996&lt;&gt;"",$R1996='تقرير فبراير'!$C$4,$P1996='تقرير فبراير'!$C$6),COUNT(AB$4:AB1995)+1,"")</f>
        <v/>
      </c>
      <c r="AC1996">
        <f>IF(AND($A1996&lt;&gt;"",$B1996&lt;&gt;"",$R1996='تقرير مارس'!$C$4,$P1996='تقرير مارس'!$C$6),COUNT(AC$4:AC1995)+1,"")</f>
        <v/>
      </c>
      <c r="AD1996">
        <f>IF(AND($A1996&lt;&gt;"",$B1996&lt;&gt;"",$R1996='تقرير أبريل'!$C$4,$P1996='تقرير أبريل'!$C$6),COUNT(AD$4:AD1995)+1,"")</f>
        <v/>
      </c>
      <c r="AE1996">
        <f>IF(AND($A1996&lt;&gt;"",$B1996&lt;&gt;"",$R1996='تقرير مايو'!$C$4,$P1996='تقرير مايو'!$C$6),COUNT(AE$4:AE1995)+1,"")</f>
        <v/>
      </c>
    </row>
    <row r="1997">
      <c r="A1997" s="16" t="n"/>
      <c r="B1997" s="17" t="n"/>
      <c r="C1997" s="17" t="n"/>
      <c r="D1997" s="18" t="n"/>
      <c r="E1997" s="17" t="n"/>
      <c r="F1997" s="17" t="n"/>
      <c r="G1997" s="19" t="n"/>
      <c r="H1997" s="17" t="n"/>
      <c r="I1997" s="17" t="n"/>
      <c r="J1997" s="17" t="n"/>
      <c r="K1997" s="20">
        <f>IF($B1997="","",IFERROR(INDEX(الموظفات!$A$5:$A$304,MATCH($B1997,الموظفات!$B$5:$B$304,0))&amp;"",""))</f>
        <v/>
      </c>
      <c r="L1997" s="21">
        <f>IF($B1997="","",IFERROR(INDEX(الموظفات!$C$5:$C$304,MATCH($B1997,الموظفات!$B$5:$B$304,0))&amp;"",""))</f>
        <v/>
      </c>
      <c r="M1997" s="20">
        <f>IF($B1997="","",IFERROR(INDEX(الموظفات!$D$5:$D$304,MATCH($B1997,الموظفات!$B$5:$B$304,0))&amp;"",""))</f>
        <v/>
      </c>
      <c r="N1997" s="20">
        <f>IF($B1997="","",IFERROR(INDEX(الموظفات!$E$5:$E$304,MATCH($B1997,الموظفات!$B$5:$B$304,0))&amp;"",""))</f>
        <v/>
      </c>
      <c r="O1997" s="21">
        <f>IF(C1997="","",IFERROR(INDEX(الإعدادات!$D$7:$D$35,MATCH(C1997,الإعدادات!$A$7:$A$35,0))&amp;"",""))</f>
        <v/>
      </c>
      <c r="P1997" s="20">
        <f>IF(A1997="","",INDEX(الإعدادات!$H$7:$H$18,MONTH(A1997)))</f>
        <v/>
      </c>
      <c r="Q1997" s="20">
        <f>IF(A1997="","",INDEX(الإعدادات!$I$7:$I$18,MONTH(A1997)))</f>
        <v/>
      </c>
      <c r="R1997" s="20">
        <f>IF(A1997="","",IF(MONTH(A1997)&gt;=8,YEAR(A1997)&amp;"-"&amp;(YEAR(A1997)+1),(YEAR(A1997)-1)&amp;"-"&amp;YEAR(A1997)))</f>
        <v/>
      </c>
      <c r="S1997" s="20">
        <f>IF(OR(A1997="",B1997=""),0,IF(AND(R1997=التقارير!$C$4,OR(التقارير!$C$5="سنوي",AND(التقارير!$C$5="شهري",P1997=التقارير!$C$6),AND(التقارير!$C$5="فصلي",Q1997=التقارير!$C$7))),1,0))</f>
        <v/>
      </c>
      <c r="T1997" s="20">
        <f>IF(S1997=1,COUNTIF($S$5:S1997,1),"")</f>
        <v/>
      </c>
      <c r="U1997">
        <f>IF(AND($A1997&lt;&gt;"",$B1997&lt;&gt;"",$R1997='تقرير الفصل الأول'!$C$4,$Q1997='تقرير الفصل الأول'!$C$7),COUNT(U$4:U1996)+1,"")</f>
        <v/>
      </c>
      <c r="V1997">
        <f>IF(AND($A1997&lt;&gt;"",$B1997&lt;&gt;"",$R1997='تقرير الفصل الثاني'!$C$4,$Q1997='تقرير الفصل الثاني'!$C$7),COUNT(V$4:V1996)+1,"")</f>
        <v/>
      </c>
      <c r="W1997">
        <f>IF(AND($A1997&lt;&gt;"",$B1997&lt;&gt;"",$R1997='تقرير سبتمبر'!$C$4,$P1997='تقرير سبتمبر'!$C$6),COUNT(W$4:W1996)+1,"")</f>
        <v/>
      </c>
      <c r="X1997">
        <f>IF(AND($A1997&lt;&gt;"",$B1997&lt;&gt;"",$R1997='تقرير أكتوبر'!$C$4,$P1997='تقرير أكتوبر'!$C$6),COUNT(X$4:X1996)+1,"")</f>
        <v/>
      </c>
      <c r="Y1997">
        <f>IF(AND($A1997&lt;&gt;"",$B1997&lt;&gt;"",$R1997='تقرير نوفمبر'!$C$4,$P1997='تقرير نوفمبر'!$C$6),COUNT(Y$4:Y1996)+1,"")</f>
        <v/>
      </c>
      <c r="Z1997">
        <f>IF(AND($A1997&lt;&gt;"",$B1997&lt;&gt;"",$R1997='تقرير ديسمبر'!$C$4,$P1997='تقرير ديسمبر'!$C$6),COUNT(Z$4:Z1996)+1,"")</f>
        <v/>
      </c>
      <c r="AA1997">
        <f>IF(AND($A1997&lt;&gt;"",$B1997&lt;&gt;"",$R1997='تقرير يناير'!$C$4,$P1997='تقرير يناير'!$C$6),COUNT(AA$4:AA1996)+1,"")</f>
        <v/>
      </c>
      <c r="AB1997">
        <f>IF(AND($A1997&lt;&gt;"",$B1997&lt;&gt;"",$R1997='تقرير فبراير'!$C$4,$P1997='تقرير فبراير'!$C$6),COUNT(AB$4:AB1996)+1,"")</f>
        <v/>
      </c>
      <c r="AC1997">
        <f>IF(AND($A1997&lt;&gt;"",$B1997&lt;&gt;"",$R1997='تقرير مارس'!$C$4,$P1997='تقرير مارس'!$C$6),COUNT(AC$4:AC1996)+1,"")</f>
        <v/>
      </c>
      <c r="AD1997">
        <f>IF(AND($A1997&lt;&gt;"",$B1997&lt;&gt;"",$R1997='تقرير أبريل'!$C$4,$P1997='تقرير أبريل'!$C$6),COUNT(AD$4:AD1996)+1,"")</f>
        <v/>
      </c>
      <c r="AE1997">
        <f>IF(AND($A1997&lt;&gt;"",$B1997&lt;&gt;"",$R1997='تقرير مايو'!$C$4,$P1997='تقرير مايو'!$C$6),COUNT(AE$4:AE1996)+1,"")</f>
        <v/>
      </c>
    </row>
    <row r="1998">
      <c r="A1998" s="16" t="n"/>
      <c r="B1998" s="17" t="n"/>
      <c r="C1998" s="17" t="n"/>
      <c r="D1998" s="18" t="n"/>
      <c r="E1998" s="17" t="n"/>
      <c r="F1998" s="17" t="n"/>
      <c r="G1998" s="19" t="n"/>
      <c r="H1998" s="17" t="n"/>
      <c r="I1998" s="17" t="n"/>
      <c r="J1998" s="17" t="n"/>
      <c r="K1998" s="20">
        <f>IF($B1998="","",IFERROR(INDEX(الموظفات!$A$5:$A$304,MATCH($B1998,الموظفات!$B$5:$B$304,0))&amp;"",""))</f>
        <v/>
      </c>
      <c r="L1998" s="21">
        <f>IF($B1998="","",IFERROR(INDEX(الموظفات!$C$5:$C$304,MATCH($B1998,الموظفات!$B$5:$B$304,0))&amp;"",""))</f>
        <v/>
      </c>
      <c r="M1998" s="20">
        <f>IF($B1998="","",IFERROR(INDEX(الموظفات!$D$5:$D$304,MATCH($B1998,الموظفات!$B$5:$B$304,0))&amp;"",""))</f>
        <v/>
      </c>
      <c r="N1998" s="20">
        <f>IF($B1998="","",IFERROR(INDEX(الموظفات!$E$5:$E$304,MATCH($B1998,الموظفات!$B$5:$B$304,0))&amp;"",""))</f>
        <v/>
      </c>
      <c r="O1998" s="21">
        <f>IF(C1998="","",IFERROR(INDEX(الإعدادات!$D$7:$D$35,MATCH(C1998,الإعدادات!$A$7:$A$35,0))&amp;"",""))</f>
        <v/>
      </c>
      <c r="P1998" s="20">
        <f>IF(A1998="","",INDEX(الإعدادات!$H$7:$H$18,MONTH(A1998)))</f>
        <v/>
      </c>
      <c r="Q1998" s="20">
        <f>IF(A1998="","",INDEX(الإعدادات!$I$7:$I$18,MONTH(A1998)))</f>
        <v/>
      </c>
      <c r="R1998" s="20">
        <f>IF(A1998="","",IF(MONTH(A1998)&gt;=8,YEAR(A1998)&amp;"-"&amp;(YEAR(A1998)+1),(YEAR(A1998)-1)&amp;"-"&amp;YEAR(A1998)))</f>
        <v/>
      </c>
      <c r="S1998" s="20">
        <f>IF(OR(A1998="",B1998=""),0,IF(AND(R1998=التقارير!$C$4,OR(التقارير!$C$5="سنوي",AND(التقارير!$C$5="شهري",P1998=التقارير!$C$6),AND(التقارير!$C$5="فصلي",Q1998=التقارير!$C$7))),1,0))</f>
        <v/>
      </c>
      <c r="T1998" s="20">
        <f>IF(S1998=1,COUNTIF($S$5:S1998,1),"")</f>
        <v/>
      </c>
      <c r="U1998">
        <f>IF(AND($A1998&lt;&gt;"",$B1998&lt;&gt;"",$R1998='تقرير الفصل الأول'!$C$4,$Q1998='تقرير الفصل الأول'!$C$7),COUNT(U$4:U1997)+1,"")</f>
        <v/>
      </c>
      <c r="V1998">
        <f>IF(AND($A1998&lt;&gt;"",$B1998&lt;&gt;"",$R1998='تقرير الفصل الثاني'!$C$4,$Q1998='تقرير الفصل الثاني'!$C$7),COUNT(V$4:V1997)+1,"")</f>
        <v/>
      </c>
      <c r="W1998">
        <f>IF(AND($A1998&lt;&gt;"",$B1998&lt;&gt;"",$R1998='تقرير سبتمبر'!$C$4,$P1998='تقرير سبتمبر'!$C$6),COUNT(W$4:W1997)+1,"")</f>
        <v/>
      </c>
      <c r="X1998">
        <f>IF(AND($A1998&lt;&gt;"",$B1998&lt;&gt;"",$R1998='تقرير أكتوبر'!$C$4,$P1998='تقرير أكتوبر'!$C$6),COUNT(X$4:X1997)+1,"")</f>
        <v/>
      </c>
      <c r="Y1998">
        <f>IF(AND($A1998&lt;&gt;"",$B1998&lt;&gt;"",$R1998='تقرير نوفمبر'!$C$4,$P1998='تقرير نوفمبر'!$C$6),COUNT(Y$4:Y1997)+1,"")</f>
        <v/>
      </c>
      <c r="Z1998">
        <f>IF(AND($A1998&lt;&gt;"",$B1998&lt;&gt;"",$R1998='تقرير ديسمبر'!$C$4,$P1998='تقرير ديسمبر'!$C$6),COUNT(Z$4:Z1997)+1,"")</f>
        <v/>
      </c>
      <c r="AA1998">
        <f>IF(AND($A1998&lt;&gt;"",$B1998&lt;&gt;"",$R1998='تقرير يناير'!$C$4,$P1998='تقرير يناير'!$C$6),COUNT(AA$4:AA1997)+1,"")</f>
        <v/>
      </c>
      <c r="AB1998">
        <f>IF(AND($A1998&lt;&gt;"",$B1998&lt;&gt;"",$R1998='تقرير فبراير'!$C$4,$P1998='تقرير فبراير'!$C$6),COUNT(AB$4:AB1997)+1,"")</f>
        <v/>
      </c>
      <c r="AC1998">
        <f>IF(AND($A1998&lt;&gt;"",$B1998&lt;&gt;"",$R1998='تقرير مارس'!$C$4,$P1998='تقرير مارس'!$C$6),COUNT(AC$4:AC1997)+1,"")</f>
        <v/>
      </c>
      <c r="AD1998">
        <f>IF(AND($A1998&lt;&gt;"",$B1998&lt;&gt;"",$R1998='تقرير أبريل'!$C$4,$P1998='تقرير أبريل'!$C$6),COUNT(AD$4:AD1997)+1,"")</f>
        <v/>
      </c>
      <c r="AE1998">
        <f>IF(AND($A1998&lt;&gt;"",$B1998&lt;&gt;"",$R1998='تقرير مايو'!$C$4,$P1998='تقرير مايو'!$C$6),COUNT(AE$4:AE1997)+1,"")</f>
        <v/>
      </c>
    </row>
    <row r="1999">
      <c r="A1999" s="16" t="n"/>
      <c r="B1999" s="17" t="n"/>
      <c r="C1999" s="17" t="n"/>
      <c r="D1999" s="18" t="n"/>
      <c r="E1999" s="17" t="n"/>
      <c r="F1999" s="17" t="n"/>
      <c r="G1999" s="19" t="n"/>
      <c r="H1999" s="17" t="n"/>
      <c r="I1999" s="17" t="n"/>
      <c r="J1999" s="17" t="n"/>
      <c r="K1999" s="20">
        <f>IF($B1999="","",IFERROR(INDEX(الموظفات!$A$5:$A$304,MATCH($B1999,الموظفات!$B$5:$B$304,0))&amp;"",""))</f>
        <v/>
      </c>
      <c r="L1999" s="21">
        <f>IF($B1999="","",IFERROR(INDEX(الموظفات!$C$5:$C$304,MATCH($B1999,الموظفات!$B$5:$B$304,0))&amp;"",""))</f>
        <v/>
      </c>
      <c r="M1999" s="20">
        <f>IF($B1999="","",IFERROR(INDEX(الموظفات!$D$5:$D$304,MATCH($B1999,الموظفات!$B$5:$B$304,0))&amp;"",""))</f>
        <v/>
      </c>
      <c r="N1999" s="20">
        <f>IF($B1999="","",IFERROR(INDEX(الموظفات!$E$5:$E$304,MATCH($B1999,الموظفات!$B$5:$B$304,0))&amp;"",""))</f>
        <v/>
      </c>
      <c r="O1999" s="21">
        <f>IF(C1999="","",IFERROR(INDEX(الإعدادات!$D$7:$D$35,MATCH(C1999,الإعدادات!$A$7:$A$35,0))&amp;"",""))</f>
        <v/>
      </c>
      <c r="P1999" s="20">
        <f>IF(A1999="","",INDEX(الإعدادات!$H$7:$H$18,MONTH(A1999)))</f>
        <v/>
      </c>
      <c r="Q1999" s="20">
        <f>IF(A1999="","",INDEX(الإعدادات!$I$7:$I$18,MONTH(A1999)))</f>
        <v/>
      </c>
      <c r="R1999" s="20">
        <f>IF(A1999="","",IF(MONTH(A1999)&gt;=8,YEAR(A1999)&amp;"-"&amp;(YEAR(A1999)+1),(YEAR(A1999)-1)&amp;"-"&amp;YEAR(A1999)))</f>
        <v/>
      </c>
      <c r="S1999" s="20">
        <f>IF(OR(A1999="",B1999=""),0,IF(AND(R1999=التقارير!$C$4,OR(التقارير!$C$5="سنوي",AND(التقارير!$C$5="شهري",P1999=التقارير!$C$6),AND(التقارير!$C$5="فصلي",Q1999=التقارير!$C$7))),1,0))</f>
        <v/>
      </c>
      <c r="T1999" s="20">
        <f>IF(S1999=1,COUNTIF($S$5:S1999,1),"")</f>
        <v/>
      </c>
      <c r="U1999">
        <f>IF(AND($A1999&lt;&gt;"",$B1999&lt;&gt;"",$R1999='تقرير الفصل الأول'!$C$4,$Q1999='تقرير الفصل الأول'!$C$7),COUNT(U$4:U1998)+1,"")</f>
        <v/>
      </c>
      <c r="V1999">
        <f>IF(AND($A1999&lt;&gt;"",$B1999&lt;&gt;"",$R1999='تقرير الفصل الثاني'!$C$4,$Q1999='تقرير الفصل الثاني'!$C$7),COUNT(V$4:V1998)+1,"")</f>
        <v/>
      </c>
      <c r="W1999">
        <f>IF(AND($A1999&lt;&gt;"",$B1999&lt;&gt;"",$R1999='تقرير سبتمبر'!$C$4,$P1999='تقرير سبتمبر'!$C$6),COUNT(W$4:W1998)+1,"")</f>
        <v/>
      </c>
      <c r="X1999">
        <f>IF(AND($A1999&lt;&gt;"",$B1999&lt;&gt;"",$R1999='تقرير أكتوبر'!$C$4,$P1999='تقرير أكتوبر'!$C$6),COUNT(X$4:X1998)+1,"")</f>
        <v/>
      </c>
      <c r="Y1999">
        <f>IF(AND($A1999&lt;&gt;"",$B1999&lt;&gt;"",$R1999='تقرير نوفمبر'!$C$4,$P1999='تقرير نوفمبر'!$C$6),COUNT(Y$4:Y1998)+1,"")</f>
        <v/>
      </c>
      <c r="Z1999">
        <f>IF(AND($A1999&lt;&gt;"",$B1999&lt;&gt;"",$R1999='تقرير ديسمبر'!$C$4,$P1999='تقرير ديسمبر'!$C$6),COUNT(Z$4:Z1998)+1,"")</f>
        <v/>
      </c>
      <c r="AA1999">
        <f>IF(AND($A1999&lt;&gt;"",$B1999&lt;&gt;"",$R1999='تقرير يناير'!$C$4,$P1999='تقرير يناير'!$C$6),COUNT(AA$4:AA1998)+1,"")</f>
        <v/>
      </c>
      <c r="AB1999">
        <f>IF(AND($A1999&lt;&gt;"",$B1999&lt;&gt;"",$R1999='تقرير فبراير'!$C$4,$P1999='تقرير فبراير'!$C$6),COUNT(AB$4:AB1998)+1,"")</f>
        <v/>
      </c>
      <c r="AC1999">
        <f>IF(AND($A1999&lt;&gt;"",$B1999&lt;&gt;"",$R1999='تقرير مارس'!$C$4,$P1999='تقرير مارس'!$C$6),COUNT(AC$4:AC1998)+1,"")</f>
        <v/>
      </c>
      <c r="AD1999">
        <f>IF(AND($A1999&lt;&gt;"",$B1999&lt;&gt;"",$R1999='تقرير أبريل'!$C$4,$P1999='تقرير أبريل'!$C$6),COUNT(AD$4:AD1998)+1,"")</f>
        <v/>
      </c>
      <c r="AE1999">
        <f>IF(AND($A1999&lt;&gt;"",$B1999&lt;&gt;"",$R1999='تقرير مايو'!$C$4,$P1999='تقرير مايو'!$C$6),COUNT(AE$4:AE1998)+1,"")</f>
        <v/>
      </c>
    </row>
    <row r="2000">
      <c r="A2000" s="16" t="n"/>
      <c r="B2000" s="17" t="n"/>
      <c r="C2000" s="17" t="n"/>
      <c r="D2000" s="18" t="n"/>
      <c r="E2000" s="17" t="n"/>
      <c r="F2000" s="17" t="n"/>
      <c r="G2000" s="19" t="n"/>
      <c r="H2000" s="17" t="n"/>
      <c r="I2000" s="17" t="n"/>
      <c r="J2000" s="17" t="n"/>
      <c r="K2000" s="20">
        <f>IF($B2000="","",IFERROR(INDEX(الموظفات!$A$5:$A$304,MATCH($B2000,الموظفات!$B$5:$B$304,0))&amp;"",""))</f>
        <v/>
      </c>
      <c r="L2000" s="21">
        <f>IF($B2000="","",IFERROR(INDEX(الموظفات!$C$5:$C$304,MATCH($B2000,الموظفات!$B$5:$B$304,0))&amp;"",""))</f>
        <v/>
      </c>
      <c r="M2000" s="20">
        <f>IF($B2000="","",IFERROR(INDEX(الموظفات!$D$5:$D$304,MATCH($B2000,الموظفات!$B$5:$B$304,0))&amp;"",""))</f>
        <v/>
      </c>
      <c r="N2000" s="20">
        <f>IF($B2000="","",IFERROR(INDEX(الموظفات!$E$5:$E$304,MATCH($B2000,الموظفات!$B$5:$B$304,0))&amp;"",""))</f>
        <v/>
      </c>
      <c r="O2000" s="21">
        <f>IF(C2000="","",IFERROR(INDEX(الإعدادات!$D$7:$D$35,MATCH(C2000,الإعدادات!$A$7:$A$35,0))&amp;"",""))</f>
        <v/>
      </c>
      <c r="P2000" s="20">
        <f>IF(A2000="","",INDEX(الإعدادات!$H$7:$H$18,MONTH(A2000)))</f>
        <v/>
      </c>
      <c r="Q2000" s="20">
        <f>IF(A2000="","",INDEX(الإعدادات!$I$7:$I$18,MONTH(A2000)))</f>
        <v/>
      </c>
      <c r="R2000" s="20">
        <f>IF(A2000="","",IF(MONTH(A2000)&gt;=8,YEAR(A2000)&amp;"-"&amp;(YEAR(A2000)+1),(YEAR(A2000)-1)&amp;"-"&amp;YEAR(A2000)))</f>
        <v/>
      </c>
      <c r="S2000" s="20">
        <f>IF(OR(A2000="",B2000=""),0,IF(AND(R2000=التقارير!$C$4,OR(التقارير!$C$5="سنوي",AND(التقارير!$C$5="شهري",P2000=التقارير!$C$6),AND(التقارير!$C$5="فصلي",Q2000=التقارير!$C$7))),1,0))</f>
        <v/>
      </c>
      <c r="T2000" s="20">
        <f>IF(S2000=1,COUNTIF($S$5:S2000,1),"")</f>
        <v/>
      </c>
      <c r="U2000">
        <f>IF(AND($A2000&lt;&gt;"",$B2000&lt;&gt;"",$R2000='تقرير الفصل الأول'!$C$4,$Q2000='تقرير الفصل الأول'!$C$7),COUNT(U$4:U1999)+1,"")</f>
        <v/>
      </c>
      <c r="V2000">
        <f>IF(AND($A2000&lt;&gt;"",$B2000&lt;&gt;"",$R2000='تقرير الفصل الثاني'!$C$4,$Q2000='تقرير الفصل الثاني'!$C$7),COUNT(V$4:V1999)+1,"")</f>
        <v/>
      </c>
      <c r="W2000">
        <f>IF(AND($A2000&lt;&gt;"",$B2000&lt;&gt;"",$R2000='تقرير سبتمبر'!$C$4,$P2000='تقرير سبتمبر'!$C$6),COUNT(W$4:W1999)+1,"")</f>
        <v/>
      </c>
      <c r="X2000">
        <f>IF(AND($A2000&lt;&gt;"",$B2000&lt;&gt;"",$R2000='تقرير أكتوبر'!$C$4,$P2000='تقرير أكتوبر'!$C$6),COUNT(X$4:X1999)+1,"")</f>
        <v/>
      </c>
      <c r="Y2000">
        <f>IF(AND($A2000&lt;&gt;"",$B2000&lt;&gt;"",$R2000='تقرير نوفمبر'!$C$4,$P2000='تقرير نوفمبر'!$C$6),COUNT(Y$4:Y1999)+1,"")</f>
        <v/>
      </c>
      <c r="Z2000">
        <f>IF(AND($A2000&lt;&gt;"",$B2000&lt;&gt;"",$R2000='تقرير ديسمبر'!$C$4,$P2000='تقرير ديسمبر'!$C$6),COUNT(Z$4:Z1999)+1,"")</f>
        <v/>
      </c>
      <c r="AA2000">
        <f>IF(AND($A2000&lt;&gt;"",$B2000&lt;&gt;"",$R2000='تقرير يناير'!$C$4,$P2000='تقرير يناير'!$C$6),COUNT(AA$4:AA1999)+1,"")</f>
        <v/>
      </c>
      <c r="AB2000">
        <f>IF(AND($A2000&lt;&gt;"",$B2000&lt;&gt;"",$R2000='تقرير فبراير'!$C$4,$P2000='تقرير فبراير'!$C$6),COUNT(AB$4:AB1999)+1,"")</f>
        <v/>
      </c>
      <c r="AC2000">
        <f>IF(AND($A2000&lt;&gt;"",$B2000&lt;&gt;"",$R2000='تقرير مارس'!$C$4,$P2000='تقرير مارس'!$C$6),COUNT(AC$4:AC1999)+1,"")</f>
        <v/>
      </c>
      <c r="AD2000">
        <f>IF(AND($A2000&lt;&gt;"",$B2000&lt;&gt;"",$R2000='تقرير أبريل'!$C$4,$P2000='تقرير أبريل'!$C$6),COUNT(AD$4:AD1999)+1,"")</f>
        <v/>
      </c>
      <c r="AE2000">
        <f>IF(AND($A2000&lt;&gt;"",$B2000&lt;&gt;"",$R2000='تقرير مايو'!$C$4,$P2000='تقرير مايو'!$C$6),COUNT(AE$4:AE1999)+1,"")</f>
        <v/>
      </c>
    </row>
    <row r="2001">
      <c r="A2001" s="16" t="n"/>
      <c r="B2001" s="17" t="n"/>
      <c r="C2001" s="17" t="n"/>
      <c r="D2001" s="18" t="n"/>
      <c r="E2001" s="17" t="n"/>
      <c r="F2001" s="17" t="n"/>
      <c r="G2001" s="19" t="n"/>
      <c r="H2001" s="17" t="n"/>
      <c r="I2001" s="17" t="n"/>
      <c r="J2001" s="17" t="n"/>
      <c r="K2001" s="20">
        <f>IF($B2001="","",IFERROR(INDEX(الموظفات!$A$5:$A$304,MATCH($B2001,الموظفات!$B$5:$B$304,0))&amp;"",""))</f>
        <v/>
      </c>
      <c r="L2001" s="21">
        <f>IF($B2001="","",IFERROR(INDEX(الموظفات!$C$5:$C$304,MATCH($B2001,الموظفات!$B$5:$B$304,0))&amp;"",""))</f>
        <v/>
      </c>
      <c r="M2001" s="20">
        <f>IF($B2001="","",IFERROR(INDEX(الموظفات!$D$5:$D$304,MATCH($B2001,الموظفات!$B$5:$B$304,0))&amp;"",""))</f>
        <v/>
      </c>
      <c r="N2001" s="20">
        <f>IF($B2001="","",IFERROR(INDEX(الموظفات!$E$5:$E$304,MATCH($B2001,الموظفات!$B$5:$B$304,0))&amp;"",""))</f>
        <v/>
      </c>
      <c r="O2001" s="21">
        <f>IF(C2001="","",IFERROR(INDEX(الإعدادات!$D$7:$D$35,MATCH(C2001,الإعدادات!$A$7:$A$35,0))&amp;"",""))</f>
        <v/>
      </c>
      <c r="P2001" s="20">
        <f>IF(A2001="","",INDEX(الإعدادات!$H$7:$H$18,MONTH(A2001)))</f>
        <v/>
      </c>
      <c r="Q2001" s="20">
        <f>IF(A2001="","",INDEX(الإعدادات!$I$7:$I$18,MONTH(A2001)))</f>
        <v/>
      </c>
      <c r="R2001" s="20">
        <f>IF(A2001="","",IF(MONTH(A2001)&gt;=8,YEAR(A2001)&amp;"-"&amp;(YEAR(A2001)+1),(YEAR(A2001)-1)&amp;"-"&amp;YEAR(A2001)))</f>
        <v/>
      </c>
      <c r="S2001" s="20">
        <f>IF(OR(A2001="",B2001=""),0,IF(AND(R2001=التقارير!$C$4,OR(التقارير!$C$5="سنوي",AND(التقارير!$C$5="شهري",P2001=التقارير!$C$6),AND(التقارير!$C$5="فصلي",Q2001=التقارير!$C$7))),1,0))</f>
        <v/>
      </c>
      <c r="T2001" s="20">
        <f>IF(S2001=1,COUNTIF($S$5:S2001,1),"")</f>
        <v/>
      </c>
      <c r="U2001">
        <f>IF(AND($A2001&lt;&gt;"",$B2001&lt;&gt;"",$R2001='تقرير الفصل الأول'!$C$4,$Q2001='تقرير الفصل الأول'!$C$7),COUNT(U$4:U2000)+1,"")</f>
        <v/>
      </c>
      <c r="V2001">
        <f>IF(AND($A2001&lt;&gt;"",$B2001&lt;&gt;"",$R2001='تقرير الفصل الثاني'!$C$4,$Q2001='تقرير الفصل الثاني'!$C$7),COUNT(V$4:V2000)+1,"")</f>
        <v/>
      </c>
      <c r="W2001">
        <f>IF(AND($A2001&lt;&gt;"",$B2001&lt;&gt;"",$R2001='تقرير سبتمبر'!$C$4,$P2001='تقرير سبتمبر'!$C$6),COUNT(W$4:W2000)+1,"")</f>
        <v/>
      </c>
      <c r="X2001">
        <f>IF(AND($A2001&lt;&gt;"",$B2001&lt;&gt;"",$R2001='تقرير أكتوبر'!$C$4,$P2001='تقرير أكتوبر'!$C$6),COUNT(X$4:X2000)+1,"")</f>
        <v/>
      </c>
      <c r="Y2001">
        <f>IF(AND($A2001&lt;&gt;"",$B2001&lt;&gt;"",$R2001='تقرير نوفمبر'!$C$4,$P2001='تقرير نوفمبر'!$C$6),COUNT(Y$4:Y2000)+1,"")</f>
        <v/>
      </c>
      <c r="Z2001">
        <f>IF(AND($A2001&lt;&gt;"",$B2001&lt;&gt;"",$R2001='تقرير ديسمبر'!$C$4,$P2001='تقرير ديسمبر'!$C$6),COUNT(Z$4:Z2000)+1,"")</f>
        <v/>
      </c>
      <c r="AA2001">
        <f>IF(AND($A2001&lt;&gt;"",$B2001&lt;&gt;"",$R2001='تقرير يناير'!$C$4,$P2001='تقرير يناير'!$C$6),COUNT(AA$4:AA2000)+1,"")</f>
        <v/>
      </c>
      <c r="AB2001">
        <f>IF(AND($A2001&lt;&gt;"",$B2001&lt;&gt;"",$R2001='تقرير فبراير'!$C$4,$P2001='تقرير فبراير'!$C$6),COUNT(AB$4:AB2000)+1,"")</f>
        <v/>
      </c>
      <c r="AC2001">
        <f>IF(AND($A2001&lt;&gt;"",$B2001&lt;&gt;"",$R2001='تقرير مارس'!$C$4,$P2001='تقرير مارس'!$C$6),COUNT(AC$4:AC2000)+1,"")</f>
        <v/>
      </c>
      <c r="AD2001">
        <f>IF(AND($A2001&lt;&gt;"",$B2001&lt;&gt;"",$R2001='تقرير أبريل'!$C$4,$P2001='تقرير أبريل'!$C$6),COUNT(AD$4:AD2000)+1,"")</f>
        <v/>
      </c>
      <c r="AE2001">
        <f>IF(AND($A2001&lt;&gt;"",$B2001&lt;&gt;"",$R2001='تقرير مايو'!$C$4,$P2001='تقرير مايو'!$C$6),COUNT(AE$4:AE2000)+1,"")</f>
        <v/>
      </c>
    </row>
    <row r="2002">
      <c r="A2002" s="16" t="n"/>
      <c r="B2002" s="17" t="n"/>
      <c r="C2002" s="17" t="n"/>
      <c r="D2002" s="18" t="n"/>
      <c r="E2002" s="17" t="n"/>
      <c r="F2002" s="17" t="n"/>
      <c r="G2002" s="19" t="n"/>
      <c r="H2002" s="17" t="n"/>
      <c r="I2002" s="17" t="n"/>
      <c r="J2002" s="17" t="n"/>
      <c r="K2002" s="20">
        <f>IF($B2002="","",IFERROR(INDEX(الموظفات!$A$5:$A$304,MATCH($B2002,الموظفات!$B$5:$B$304,0))&amp;"",""))</f>
        <v/>
      </c>
      <c r="L2002" s="21">
        <f>IF($B2002="","",IFERROR(INDEX(الموظفات!$C$5:$C$304,MATCH($B2002,الموظفات!$B$5:$B$304,0))&amp;"",""))</f>
        <v/>
      </c>
      <c r="M2002" s="20">
        <f>IF($B2002="","",IFERROR(INDEX(الموظفات!$D$5:$D$304,MATCH($B2002,الموظفات!$B$5:$B$304,0))&amp;"",""))</f>
        <v/>
      </c>
      <c r="N2002" s="20">
        <f>IF($B2002="","",IFERROR(INDEX(الموظفات!$E$5:$E$304,MATCH($B2002,الموظفات!$B$5:$B$304,0))&amp;"",""))</f>
        <v/>
      </c>
      <c r="O2002" s="21">
        <f>IF(C2002="","",IFERROR(INDEX(الإعدادات!$D$7:$D$35,MATCH(C2002,الإعدادات!$A$7:$A$35,0))&amp;"",""))</f>
        <v/>
      </c>
      <c r="P2002" s="20">
        <f>IF(A2002="","",INDEX(الإعدادات!$H$7:$H$18,MONTH(A2002)))</f>
        <v/>
      </c>
      <c r="Q2002" s="20">
        <f>IF(A2002="","",INDEX(الإعدادات!$I$7:$I$18,MONTH(A2002)))</f>
        <v/>
      </c>
      <c r="R2002" s="20">
        <f>IF(A2002="","",IF(MONTH(A2002)&gt;=8,YEAR(A2002)&amp;"-"&amp;(YEAR(A2002)+1),(YEAR(A2002)-1)&amp;"-"&amp;YEAR(A2002)))</f>
        <v/>
      </c>
      <c r="S2002" s="20">
        <f>IF(OR(A2002="",B2002=""),0,IF(AND(R2002=التقارير!$C$4,OR(التقارير!$C$5="سنوي",AND(التقارير!$C$5="شهري",P2002=التقارير!$C$6),AND(التقارير!$C$5="فصلي",Q2002=التقارير!$C$7))),1,0))</f>
        <v/>
      </c>
      <c r="T2002" s="20">
        <f>IF(S2002=1,COUNTIF($S$5:S2002,1),"")</f>
        <v/>
      </c>
      <c r="U2002">
        <f>IF(AND($A2002&lt;&gt;"",$B2002&lt;&gt;"",$R2002='تقرير الفصل الأول'!$C$4,$Q2002='تقرير الفصل الأول'!$C$7),COUNT(U$4:U2001)+1,"")</f>
        <v/>
      </c>
      <c r="V2002">
        <f>IF(AND($A2002&lt;&gt;"",$B2002&lt;&gt;"",$R2002='تقرير الفصل الثاني'!$C$4,$Q2002='تقرير الفصل الثاني'!$C$7),COUNT(V$4:V2001)+1,"")</f>
        <v/>
      </c>
      <c r="W2002">
        <f>IF(AND($A2002&lt;&gt;"",$B2002&lt;&gt;"",$R2002='تقرير سبتمبر'!$C$4,$P2002='تقرير سبتمبر'!$C$6),COUNT(W$4:W2001)+1,"")</f>
        <v/>
      </c>
      <c r="X2002">
        <f>IF(AND($A2002&lt;&gt;"",$B2002&lt;&gt;"",$R2002='تقرير أكتوبر'!$C$4,$P2002='تقرير أكتوبر'!$C$6),COUNT(X$4:X2001)+1,"")</f>
        <v/>
      </c>
      <c r="Y2002">
        <f>IF(AND($A2002&lt;&gt;"",$B2002&lt;&gt;"",$R2002='تقرير نوفمبر'!$C$4,$P2002='تقرير نوفمبر'!$C$6),COUNT(Y$4:Y2001)+1,"")</f>
        <v/>
      </c>
      <c r="Z2002">
        <f>IF(AND($A2002&lt;&gt;"",$B2002&lt;&gt;"",$R2002='تقرير ديسمبر'!$C$4,$P2002='تقرير ديسمبر'!$C$6),COUNT(Z$4:Z2001)+1,"")</f>
        <v/>
      </c>
      <c r="AA2002">
        <f>IF(AND($A2002&lt;&gt;"",$B2002&lt;&gt;"",$R2002='تقرير يناير'!$C$4,$P2002='تقرير يناير'!$C$6),COUNT(AA$4:AA2001)+1,"")</f>
        <v/>
      </c>
      <c r="AB2002">
        <f>IF(AND($A2002&lt;&gt;"",$B2002&lt;&gt;"",$R2002='تقرير فبراير'!$C$4,$P2002='تقرير فبراير'!$C$6),COUNT(AB$4:AB2001)+1,"")</f>
        <v/>
      </c>
      <c r="AC2002">
        <f>IF(AND($A2002&lt;&gt;"",$B2002&lt;&gt;"",$R2002='تقرير مارس'!$C$4,$P2002='تقرير مارس'!$C$6),COUNT(AC$4:AC2001)+1,"")</f>
        <v/>
      </c>
      <c r="AD2002">
        <f>IF(AND($A2002&lt;&gt;"",$B2002&lt;&gt;"",$R2002='تقرير أبريل'!$C$4,$P2002='تقرير أبريل'!$C$6),COUNT(AD$4:AD2001)+1,"")</f>
        <v/>
      </c>
      <c r="AE2002">
        <f>IF(AND($A2002&lt;&gt;"",$B2002&lt;&gt;"",$R2002='تقرير مايو'!$C$4,$P2002='تقرير مايو'!$C$6),COUNT(AE$4:AE2001)+1,"")</f>
        <v/>
      </c>
    </row>
    <row r="2003">
      <c r="A2003" s="16" t="n"/>
      <c r="B2003" s="17" t="n"/>
      <c r="C2003" s="17" t="n"/>
      <c r="D2003" s="18" t="n"/>
      <c r="E2003" s="17" t="n"/>
      <c r="F2003" s="17" t="n"/>
      <c r="G2003" s="19" t="n"/>
      <c r="H2003" s="17" t="n"/>
      <c r="I2003" s="17" t="n"/>
      <c r="J2003" s="17" t="n"/>
      <c r="K2003" s="20">
        <f>IF($B2003="","",IFERROR(INDEX(الموظفات!$A$5:$A$304,MATCH($B2003,الموظفات!$B$5:$B$304,0))&amp;"",""))</f>
        <v/>
      </c>
      <c r="L2003" s="21">
        <f>IF($B2003="","",IFERROR(INDEX(الموظفات!$C$5:$C$304,MATCH($B2003,الموظفات!$B$5:$B$304,0))&amp;"",""))</f>
        <v/>
      </c>
      <c r="M2003" s="20">
        <f>IF($B2003="","",IFERROR(INDEX(الموظفات!$D$5:$D$304,MATCH($B2003,الموظفات!$B$5:$B$304,0))&amp;"",""))</f>
        <v/>
      </c>
      <c r="N2003" s="20">
        <f>IF($B2003="","",IFERROR(INDEX(الموظفات!$E$5:$E$304,MATCH($B2003,الموظفات!$B$5:$B$304,0))&amp;"",""))</f>
        <v/>
      </c>
      <c r="O2003" s="21">
        <f>IF(C2003="","",IFERROR(INDEX(الإعدادات!$D$7:$D$35,MATCH(C2003,الإعدادات!$A$7:$A$35,0))&amp;"",""))</f>
        <v/>
      </c>
      <c r="P2003" s="20">
        <f>IF(A2003="","",INDEX(الإعدادات!$H$7:$H$18,MONTH(A2003)))</f>
        <v/>
      </c>
      <c r="Q2003" s="20">
        <f>IF(A2003="","",INDEX(الإعدادات!$I$7:$I$18,MONTH(A2003)))</f>
        <v/>
      </c>
      <c r="R2003" s="20">
        <f>IF(A2003="","",IF(MONTH(A2003)&gt;=8,YEAR(A2003)&amp;"-"&amp;(YEAR(A2003)+1),(YEAR(A2003)-1)&amp;"-"&amp;YEAR(A2003)))</f>
        <v/>
      </c>
      <c r="S2003" s="20">
        <f>IF(OR(A2003="",B2003=""),0,IF(AND(R2003=التقارير!$C$4,OR(التقارير!$C$5="سنوي",AND(التقارير!$C$5="شهري",P2003=التقارير!$C$6),AND(التقارير!$C$5="فصلي",Q2003=التقارير!$C$7))),1,0))</f>
        <v/>
      </c>
      <c r="T2003" s="20">
        <f>IF(S2003=1,COUNTIF($S$5:S2003,1),"")</f>
        <v/>
      </c>
      <c r="U2003">
        <f>IF(AND($A2003&lt;&gt;"",$B2003&lt;&gt;"",$R2003='تقرير الفصل الأول'!$C$4,$Q2003='تقرير الفصل الأول'!$C$7),COUNT(U$4:U2002)+1,"")</f>
        <v/>
      </c>
      <c r="V2003">
        <f>IF(AND($A2003&lt;&gt;"",$B2003&lt;&gt;"",$R2003='تقرير الفصل الثاني'!$C$4,$Q2003='تقرير الفصل الثاني'!$C$7),COUNT(V$4:V2002)+1,"")</f>
        <v/>
      </c>
      <c r="W2003">
        <f>IF(AND($A2003&lt;&gt;"",$B2003&lt;&gt;"",$R2003='تقرير سبتمبر'!$C$4,$P2003='تقرير سبتمبر'!$C$6),COUNT(W$4:W2002)+1,"")</f>
        <v/>
      </c>
      <c r="X2003">
        <f>IF(AND($A2003&lt;&gt;"",$B2003&lt;&gt;"",$R2003='تقرير أكتوبر'!$C$4,$P2003='تقرير أكتوبر'!$C$6),COUNT(X$4:X2002)+1,"")</f>
        <v/>
      </c>
      <c r="Y2003">
        <f>IF(AND($A2003&lt;&gt;"",$B2003&lt;&gt;"",$R2003='تقرير نوفمبر'!$C$4,$P2003='تقرير نوفمبر'!$C$6),COUNT(Y$4:Y2002)+1,"")</f>
        <v/>
      </c>
      <c r="Z2003">
        <f>IF(AND($A2003&lt;&gt;"",$B2003&lt;&gt;"",$R2003='تقرير ديسمبر'!$C$4,$P2003='تقرير ديسمبر'!$C$6),COUNT(Z$4:Z2002)+1,"")</f>
        <v/>
      </c>
      <c r="AA2003">
        <f>IF(AND($A2003&lt;&gt;"",$B2003&lt;&gt;"",$R2003='تقرير يناير'!$C$4,$P2003='تقرير يناير'!$C$6),COUNT(AA$4:AA2002)+1,"")</f>
        <v/>
      </c>
      <c r="AB2003">
        <f>IF(AND($A2003&lt;&gt;"",$B2003&lt;&gt;"",$R2003='تقرير فبراير'!$C$4,$P2003='تقرير فبراير'!$C$6),COUNT(AB$4:AB2002)+1,"")</f>
        <v/>
      </c>
      <c r="AC2003">
        <f>IF(AND($A2003&lt;&gt;"",$B2003&lt;&gt;"",$R2003='تقرير مارس'!$C$4,$P2003='تقرير مارس'!$C$6),COUNT(AC$4:AC2002)+1,"")</f>
        <v/>
      </c>
      <c r="AD2003">
        <f>IF(AND($A2003&lt;&gt;"",$B2003&lt;&gt;"",$R2003='تقرير أبريل'!$C$4,$P2003='تقرير أبريل'!$C$6),COUNT(AD$4:AD2002)+1,"")</f>
        <v/>
      </c>
      <c r="AE2003">
        <f>IF(AND($A2003&lt;&gt;"",$B2003&lt;&gt;"",$R2003='تقرير مايو'!$C$4,$P2003='تقرير مايو'!$C$6),COUNT(AE$4:AE2002)+1,"")</f>
        <v/>
      </c>
    </row>
    <row r="2004">
      <c r="A2004" s="16" t="n"/>
      <c r="B2004" s="17" t="n"/>
      <c r="C2004" s="17" t="n"/>
      <c r="D2004" s="18" t="n"/>
      <c r="E2004" s="17" t="n"/>
      <c r="F2004" s="17" t="n"/>
      <c r="G2004" s="19" t="n"/>
      <c r="H2004" s="17" t="n"/>
      <c r="I2004" s="17" t="n"/>
      <c r="J2004" s="17" t="n"/>
      <c r="K2004" s="20">
        <f>IF($B2004="","",IFERROR(INDEX(الموظفات!$A$5:$A$304,MATCH($B2004,الموظفات!$B$5:$B$304,0))&amp;"",""))</f>
        <v/>
      </c>
      <c r="L2004" s="21">
        <f>IF($B2004="","",IFERROR(INDEX(الموظفات!$C$5:$C$304,MATCH($B2004,الموظفات!$B$5:$B$304,0))&amp;"",""))</f>
        <v/>
      </c>
      <c r="M2004" s="20">
        <f>IF($B2004="","",IFERROR(INDEX(الموظفات!$D$5:$D$304,MATCH($B2004,الموظفات!$B$5:$B$304,0))&amp;"",""))</f>
        <v/>
      </c>
      <c r="N2004" s="20">
        <f>IF($B2004="","",IFERROR(INDEX(الموظفات!$E$5:$E$304,MATCH($B2004,الموظفات!$B$5:$B$304,0))&amp;"",""))</f>
        <v/>
      </c>
      <c r="O2004" s="21">
        <f>IF(C2004="","",IFERROR(INDEX(الإعدادات!$D$7:$D$35,MATCH(C2004,الإعدادات!$A$7:$A$35,0))&amp;"",""))</f>
        <v/>
      </c>
      <c r="P2004" s="20">
        <f>IF(A2004="","",INDEX(الإعدادات!$H$7:$H$18,MONTH(A2004)))</f>
        <v/>
      </c>
      <c r="Q2004" s="20">
        <f>IF(A2004="","",INDEX(الإعدادات!$I$7:$I$18,MONTH(A2004)))</f>
        <v/>
      </c>
      <c r="R2004" s="20">
        <f>IF(A2004="","",IF(MONTH(A2004)&gt;=8,YEAR(A2004)&amp;"-"&amp;(YEAR(A2004)+1),(YEAR(A2004)-1)&amp;"-"&amp;YEAR(A2004)))</f>
        <v/>
      </c>
      <c r="S2004" s="20">
        <f>IF(OR(A2004="",B2004=""),0,IF(AND(R2004=التقارير!$C$4,OR(التقارير!$C$5="سنوي",AND(التقارير!$C$5="شهري",P2004=التقارير!$C$6),AND(التقارير!$C$5="فصلي",Q2004=التقارير!$C$7))),1,0))</f>
        <v/>
      </c>
      <c r="T2004" s="20">
        <f>IF(S2004=1,COUNTIF($S$5:S2004,1),"")</f>
        <v/>
      </c>
      <c r="U2004">
        <f>IF(AND($A2004&lt;&gt;"",$B2004&lt;&gt;"",$R2004='تقرير الفصل الأول'!$C$4,$Q2004='تقرير الفصل الأول'!$C$7),COUNT(U$4:U2003)+1,"")</f>
        <v/>
      </c>
      <c r="V2004">
        <f>IF(AND($A2004&lt;&gt;"",$B2004&lt;&gt;"",$R2004='تقرير الفصل الثاني'!$C$4,$Q2004='تقرير الفصل الثاني'!$C$7),COUNT(V$4:V2003)+1,"")</f>
        <v/>
      </c>
      <c r="W2004">
        <f>IF(AND($A2004&lt;&gt;"",$B2004&lt;&gt;"",$R2004='تقرير سبتمبر'!$C$4,$P2004='تقرير سبتمبر'!$C$6),COUNT(W$4:W2003)+1,"")</f>
        <v/>
      </c>
      <c r="X2004">
        <f>IF(AND($A2004&lt;&gt;"",$B2004&lt;&gt;"",$R2004='تقرير أكتوبر'!$C$4,$P2004='تقرير أكتوبر'!$C$6),COUNT(X$4:X2003)+1,"")</f>
        <v/>
      </c>
      <c r="Y2004">
        <f>IF(AND($A2004&lt;&gt;"",$B2004&lt;&gt;"",$R2004='تقرير نوفمبر'!$C$4,$P2004='تقرير نوفمبر'!$C$6),COUNT(Y$4:Y2003)+1,"")</f>
        <v/>
      </c>
      <c r="Z2004">
        <f>IF(AND($A2004&lt;&gt;"",$B2004&lt;&gt;"",$R2004='تقرير ديسمبر'!$C$4,$P2004='تقرير ديسمبر'!$C$6),COUNT(Z$4:Z2003)+1,"")</f>
        <v/>
      </c>
      <c r="AA2004">
        <f>IF(AND($A2004&lt;&gt;"",$B2004&lt;&gt;"",$R2004='تقرير يناير'!$C$4,$P2004='تقرير يناير'!$C$6),COUNT(AA$4:AA2003)+1,"")</f>
        <v/>
      </c>
      <c r="AB2004">
        <f>IF(AND($A2004&lt;&gt;"",$B2004&lt;&gt;"",$R2004='تقرير فبراير'!$C$4,$P2004='تقرير فبراير'!$C$6),COUNT(AB$4:AB2003)+1,"")</f>
        <v/>
      </c>
      <c r="AC2004">
        <f>IF(AND($A2004&lt;&gt;"",$B2004&lt;&gt;"",$R2004='تقرير مارس'!$C$4,$P2004='تقرير مارس'!$C$6),COUNT(AC$4:AC2003)+1,"")</f>
        <v/>
      </c>
      <c r="AD2004">
        <f>IF(AND($A2004&lt;&gt;"",$B2004&lt;&gt;"",$R2004='تقرير أبريل'!$C$4,$P2004='تقرير أبريل'!$C$6),COUNT(AD$4:AD2003)+1,"")</f>
        <v/>
      </c>
      <c r="AE2004">
        <f>IF(AND($A2004&lt;&gt;"",$B2004&lt;&gt;"",$R2004='تقرير مايو'!$C$4,$P2004='تقرير مايو'!$C$6),COUNT(AE$4:AE2003)+1,"")</f>
        <v/>
      </c>
    </row>
  </sheetData>
  <autoFilter ref="A4:R2004"/>
  <mergeCells count="2">
    <mergeCell ref="A2:R2"/>
    <mergeCell ref="A1:R1"/>
  </mergeCells>
  <conditionalFormatting sqref="D5:D2004">
    <cfRule type="cellIs" priority="1" operator="equal" dxfId="0">
      <formula>"ذهبي"</formula>
    </cfRule>
  </conditionalFormatting>
  <dataValidations count="7">
    <dataValidation sqref="A5:A2004" showDropDown="0" showInputMessage="0" showErrorMessage="1" allowBlank="1" errorTitle="تاريخ غير صحيح" error="اكتبي التاريخ بصيغة سنة/شهر/يوم، مثل 2026/10/15" type="date" operator="between">
      <formula1>DATE(2024,1,1)</formula1>
      <formula2>DATE(2040,12,31)</formula2>
    </dataValidation>
    <dataValidation sqref="B5:B2004" showDropDown="0" showInputMessage="0" showErrorMessage="1" allowBlank="1" errorTitle="موظفة غير مسجلة" error="أضيفي الموظفة أولًا في صفحة «الموظفات»." type="list">
      <formula1>=EmpNames</formula1>
    </dataValidation>
    <dataValidation sqref="C5:C2004" showDropDown="0" showInputMessage="0" showErrorMessage="0" allowBlank="1" type="list">
      <formula1>=FieldList</formula1>
    </dataValidation>
    <dataValidation sqref="D5:D2004" showDropDown="0" showInputMessage="0" showErrorMessage="0" allowBlank="1" type="list">
      <formula1>=LevelList</formula1>
    </dataValidation>
    <dataValidation sqref="E5:E2004" showDropDown="0" showInputMessage="0" showErrorMessage="1" allowBlank="1" errorTitle="تنبيه" error="المعيار غير موجود في القائمة. اختاري المجال والمستوى أولًا." type="list" errorStyle="warning">
      <formula1>=OFFSET(المعايير!$D$5,MATCH($C5&amp;"|"&amp;$D5,CritKey,0)-1,0,COUNTIF(CritKey,$C5&amp;"|"&amp;$D5),1)</formula1>
    </dataValidation>
    <dataValidation sqref="F5:F2004" showDropDown="0" showInputMessage="0" showErrorMessage="1" allowBlank="1" errorTitle="مكافأة غير مدرجة" error="هذه المكافأة غير موجودة في القائمة. اضغطي «نعم» لاعتمادها كما كتبتِها." type="list" errorStyle="warning">
      <formula1>=RewardList</formula1>
    </dataValidation>
    <dataValidation sqref="H5:H2004" showDropDown="0" showInputMessage="0" showErrorMessage="1" allowBlank="1" errorTitle="جهة غير مدرجة" error="غير موجودة في القائمة. اضغطي «نعم» لاعتمادها." type="list" errorStyle="warning">
      <formula1>=NomList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30" customWidth="1" min="3" max="3"/>
    <col width="20" customWidth="1" min="4" max="4"/>
    <col width="11" customWidth="1" min="5" max="5"/>
    <col width="24" customWidth="1" min="6" max="6"/>
    <col width="10" customWidth="1" min="7" max="7"/>
    <col width="13" customWidth="1" min="8" max="8"/>
    <col width="14" customWidth="1" min="9" max="9"/>
    <col width="14" customWidth="1" min="10" max="10"/>
    <col width="15" customWidth="1" min="11" max="11"/>
    <col width="18" customWidth="1" min="12" max="12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 ht="34" customHeight="1">
      <c r="A1" s="1" t="inlineStr">
        <is>
          <t>بيانات الموظفات</t>
        </is>
      </c>
    </row>
    <row r="2" ht="30" customHeight="1">
      <c r="A2" s="2" t="inlineStr">
        <is>
          <t>منقولة من كشف موظفات المدرسة. أضيفي الرقم الوظيفي في العمود A. الأعمدة الرمادية (من H) تُحسب من السجل للسنة الدراسية الحالية.</t>
        </is>
      </c>
    </row>
    <row r="4" ht="36" customHeight="1">
      <c r="A4" s="13" t="inlineStr">
        <is>
          <t>الرقم الوظيفي</t>
        </is>
      </c>
      <c r="B4" s="13" t="inlineStr">
        <is>
          <t>اسم الموظفة</t>
        </is>
      </c>
      <c r="C4" s="13" t="inlineStr">
        <is>
          <t>المسمى الوظيفي</t>
        </is>
      </c>
      <c r="D4" s="13" t="inlineStr">
        <is>
          <t>القسم</t>
        </is>
      </c>
      <c r="E4" s="13" t="inlineStr">
        <is>
          <t>الفئة</t>
        </is>
      </c>
      <c r="F4" s="13" t="inlineStr">
        <is>
          <t>البريد الإلكتروني</t>
        </is>
      </c>
      <c r="G4" s="13" t="inlineStr">
        <is>
          <t>الحالة</t>
        </is>
      </c>
      <c r="H4" s="13" t="inlineStr">
        <is>
          <t>إجمالي التكريمات (السنة)</t>
        </is>
      </c>
      <c r="I4" s="13" t="inlineStr">
        <is>
          <t>معايير ذهبية - الفصل الأول</t>
        </is>
      </c>
      <c r="J4" s="13" t="inlineStr">
        <is>
          <t>معايير ذهبية - الفصل الثاني</t>
        </is>
      </c>
      <c r="K4" s="13" t="inlineStr">
        <is>
          <t>إجمالي المعايير الذهبية (السنة)</t>
        </is>
      </c>
      <c r="L4" s="13" t="inlineStr">
        <is>
          <t>كوبون أمري تدللي</t>
        </is>
      </c>
      <c r="N4" s="15" t="inlineStr">
        <is>
          <t>مُكرَّمة: التقارير</t>
        </is>
      </c>
      <c r="O4" s="15" t="inlineStr">
        <is>
          <t>مُكرَّمة: تقرير الفصل الأول</t>
        </is>
      </c>
      <c r="P4" s="15" t="inlineStr">
        <is>
          <t>مُكرَّمة: تقرير الفصل الثاني</t>
        </is>
      </c>
      <c r="Q4" s="15" t="inlineStr">
        <is>
          <t>مُكرَّمة: تقرير سبتمبر</t>
        </is>
      </c>
      <c r="R4" s="15" t="inlineStr">
        <is>
          <t>مُكرَّمة: تقرير أكتوبر</t>
        </is>
      </c>
      <c r="S4" s="15" t="inlineStr">
        <is>
          <t>مُكرَّمة: تقرير نوفمبر</t>
        </is>
      </c>
      <c r="T4" s="15" t="inlineStr">
        <is>
          <t>مُكرَّمة: تقرير ديسمبر</t>
        </is>
      </c>
      <c r="U4" s="15" t="inlineStr">
        <is>
          <t>مُكرَّمة: تقرير يناير</t>
        </is>
      </c>
      <c r="V4" s="15" t="inlineStr">
        <is>
          <t>مُكرَّمة: تقرير فبراير</t>
        </is>
      </c>
      <c r="W4" s="15" t="inlineStr">
        <is>
          <t>مُكرَّمة: تقرير مارس</t>
        </is>
      </c>
      <c r="X4" s="15" t="inlineStr">
        <is>
          <t>مُكرَّمة: تقرير أبريل</t>
        </is>
      </c>
      <c r="Y4" s="15" t="inlineStr">
        <is>
          <t>مُكرَّمة: تقرير مايو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20">
        <f>IF(B5="","",COUNTIFS('سجل التحفيز'!$B$5:$B$2004,B5,'سجل التحفيز'!$R$5:$R$2004,الإعدادات!$B$4))</f>
        <v/>
      </c>
      <c r="I5" s="20">
        <f>IF(B5="","",COUNTIFS('سجل التحفيز'!$B$5:$B$2004,B5,'سجل التحفيز'!$R$5:$R$2004,الإعدادات!$B$4,'سجل التحفيز'!$Q$5:$Q$2004,"الفصل الأول",'سجل التحفيز'!$D$5:$D$2004,"ذهبي"))</f>
        <v/>
      </c>
      <c r="J5" s="20">
        <f>IF(B5="","",COUNTIFS('سجل التحفيز'!$B$5:$B$2004,B5,'سجل التحفيز'!$R$5:$R$2004,الإعدادات!$B$4,'سجل التحفيز'!$Q$5:$Q$2004,"الفصل الثاني",'سجل التحفيز'!$D$5:$D$2004,"ذهبي"))</f>
        <v/>
      </c>
      <c r="K5" s="20">
        <f>IF(B5="","",COUNTIFS('سجل التحفيز'!$B$5:$B$2004,B5,'سجل التحفيز'!$R$5:$R$2004,الإعدادات!$B$4,'سجل التحفيز'!$D$5:$D$2004,"ذهبي"))</f>
        <v/>
      </c>
      <c r="L5" s="20">
        <f>IF(B5="","",IF(G5="محرومة","محرومة - مخالفة",IF(K5&gt;=5,"مستحقة ★","متبقي "&amp;(5-K5)&amp;" معايير")))</f>
        <v/>
      </c>
      <c r="N5">
        <f>IF(B5="","",IF(COUNTIFS('سجل التحفيز'!$T$5:$T$2004,"&gt;0",'سجل التحفيز'!$B$5:$B$2004,B5)&gt;0,COUNT(N$4:N4)+1,""))</f>
        <v/>
      </c>
      <c r="O5">
        <f>IF(B5="","",IF(COUNTIFS('سجل التحفيز'!$U$5:$U$2004,"&gt;0",'سجل التحفيز'!$B$5:$B$2004,B5)&gt;0,COUNT(O$4:O4)+1,""))</f>
        <v/>
      </c>
      <c r="P5">
        <f>IF(B5="","",IF(COUNTIFS('سجل التحفيز'!$V$5:$V$2004,"&gt;0",'سجل التحفيز'!$B$5:$B$2004,B5)&gt;0,COUNT(P$4:P4)+1,""))</f>
        <v/>
      </c>
      <c r="Q5">
        <f>IF(B5="","",IF(COUNTIFS('سجل التحفيز'!$W$5:$W$2004,"&gt;0",'سجل التحفيز'!$B$5:$B$2004,B5)&gt;0,COUNT(Q$4:Q4)+1,""))</f>
        <v/>
      </c>
      <c r="R5">
        <f>IF(B5="","",IF(COUNTIFS('سجل التحفيز'!$X$5:$X$2004,"&gt;0",'سجل التحفيز'!$B$5:$B$2004,B5)&gt;0,COUNT(R$4:R4)+1,""))</f>
        <v/>
      </c>
      <c r="S5">
        <f>IF(B5="","",IF(COUNTIFS('سجل التحفيز'!$Y$5:$Y$2004,"&gt;0",'سجل التحفيز'!$B$5:$B$2004,B5)&gt;0,COUNT(S$4:S4)+1,""))</f>
        <v/>
      </c>
      <c r="T5">
        <f>IF(B5="","",IF(COUNTIFS('سجل التحفيز'!$Z$5:$Z$2004,"&gt;0",'سجل التحفيز'!$B$5:$B$2004,B5)&gt;0,COUNT(T$4:T4)+1,""))</f>
        <v/>
      </c>
      <c r="U5">
        <f>IF(B5="","",IF(COUNTIFS('سجل التحفيز'!$AA$5:$AA$2004,"&gt;0",'سجل التحفيز'!$B$5:$B$2004,B5)&gt;0,COUNT(U$4:U4)+1,""))</f>
        <v/>
      </c>
      <c r="V5">
        <f>IF(B5="","",IF(COUNTIFS('سجل التحفيز'!$AB$5:$AB$2004,"&gt;0",'سجل التحفيز'!$B$5:$B$2004,B5)&gt;0,COUNT(V$4:V4)+1,""))</f>
        <v/>
      </c>
      <c r="W5">
        <f>IF(B5="","",IF(COUNTIFS('سجل التحفيز'!$AC$5:$AC$2004,"&gt;0",'سجل التحفيز'!$B$5:$B$2004,B5)&gt;0,COUNT(W$4:W4)+1,""))</f>
        <v/>
      </c>
      <c r="X5">
        <f>IF(B5="","",IF(COUNTIFS('سجل التحفيز'!$AD$5:$AD$2004,"&gt;0",'سجل التحفيز'!$B$5:$B$2004,B5)&gt;0,COUNT(X$4:X4)+1,""))</f>
        <v/>
      </c>
      <c r="Y5">
        <f>IF(B5="","",IF(COUNTIFS('سجل التحفيز'!$AE$5:$AE$2004,"&gt;0",'سجل التحفيز'!$B$5:$B$2004,B5)&gt;0,COUNT(Y$4:Y4)+1,""))</f>
        <v/>
      </c>
    </row>
    <row r="6">
      <c r="A6" s="17" t="n"/>
      <c r="B6" s="17" t="n"/>
      <c r="C6" s="17" t="n"/>
      <c r="D6" s="17" t="n"/>
      <c r="E6" s="17" t="n"/>
      <c r="F6" s="17" t="n"/>
      <c r="G6" s="17" t="n"/>
      <c r="H6" s="20">
        <f>IF(B6="","",COUNTIFS('سجل التحفيز'!$B$5:$B$2004,B6,'سجل التحفيز'!$R$5:$R$2004,الإعدادات!$B$4))</f>
        <v/>
      </c>
      <c r="I6" s="20">
        <f>IF(B6="","",COUNTIFS('سجل التحفيز'!$B$5:$B$2004,B6,'سجل التحفيز'!$R$5:$R$2004,الإعدادات!$B$4,'سجل التحفيز'!$Q$5:$Q$2004,"الفصل الأول",'سجل التحفيز'!$D$5:$D$2004,"ذهبي"))</f>
        <v/>
      </c>
      <c r="J6" s="20">
        <f>IF(B6="","",COUNTIFS('سجل التحفيز'!$B$5:$B$2004,B6,'سجل التحفيز'!$R$5:$R$2004,الإعدادات!$B$4,'سجل التحفيز'!$Q$5:$Q$2004,"الفصل الثاني",'سجل التحفيز'!$D$5:$D$2004,"ذهبي"))</f>
        <v/>
      </c>
      <c r="K6" s="20">
        <f>IF(B6="","",COUNTIFS('سجل التحفيز'!$B$5:$B$2004,B6,'سجل التحفيز'!$R$5:$R$2004,الإعدادات!$B$4,'سجل التحفيز'!$D$5:$D$2004,"ذهبي"))</f>
        <v/>
      </c>
      <c r="L6" s="20">
        <f>IF(B6="","",IF(G6="محرومة","محرومة - مخالفة",IF(K6&gt;=5,"مستحقة ★","متبقي "&amp;(5-K6)&amp;" معايير")))</f>
        <v/>
      </c>
      <c r="N6">
        <f>IF(B6="","",IF(COUNTIFS('سجل التحفيز'!$T$5:$T$2004,"&gt;0",'سجل التحفيز'!$B$5:$B$2004,B6)&gt;0,COUNT(N$4:N5)+1,""))</f>
        <v/>
      </c>
      <c r="O6">
        <f>IF(B6="","",IF(COUNTIFS('سجل التحفيز'!$U$5:$U$2004,"&gt;0",'سجل التحفيز'!$B$5:$B$2004,B6)&gt;0,COUNT(O$4:O5)+1,""))</f>
        <v/>
      </c>
      <c r="P6">
        <f>IF(B6="","",IF(COUNTIFS('سجل التحفيز'!$V$5:$V$2004,"&gt;0",'سجل التحفيز'!$B$5:$B$2004,B6)&gt;0,COUNT(P$4:P5)+1,""))</f>
        <v/>
      </c>
      <c r="Q6">
        <f>IF(B6="","",IF(COUNTIFS('سجل التحفيز'!$W$5:$W$2004,"&gt;0",'سجل التحفيز'!$B$5:$B$2004,B6)&gt;0,COUNT(Q$4:Q5)+1,""))</f>
        <v/>
      </c>
      <c r="R6">
        <f>IF(B6="","",IF(COUNTIFS('سجل التحفيز'!$X$5:$X$2004,"&gt;0",'سجل التحفيز'!$B$5:$B$2004,B6)&gt;0,COUNT(R$4:R5)+1,""))</f>
        <v/>
      </c>
      <c r="S6">
        <f>IF(B6="","",IF(COUNTIFS('سجل التحفيز'!$Y$5:$Y$2004,"&gt;0",'سجل التحفيز'!$B$5:$B$2004,B6)&gt;0,COUNT(S$4:S5)+1,""))</f>
        <v/>
      </c>
      <c r="T6">
        <f>IF(B6="","",IF(COUNTIFS('سجل التحفيز'!$Z$5:$Z$2004,"&gt;0",'سجل التحفيز'!$B$5:$B$2004,B6)&gt;0,COUNT(T$4:T5)+1,""))</f>
        <v/>
      </c>
      <c r="U6">
        <f>IF(B6="","",IF(COUNTIFS('سجل التحفيز'!$AA$5:$AA$2004,"&gt;0",'سجل التحفيز'!$B$5:$B$2004,B6)&gt;0,COUNT(U$4:U5)+1,""))</f>
        <v/>
      </c>
      <c r="V6">
        <f>IF(B6="","",IF(COUNTIFS('سجل التحفيز'!$AB$5:$AB$2004,"&gt;0",'سجل التحفيز'!$B$5:$B$2004,B6)&gt;0,COUNT(V$4:V5)+1,""))</f>
        <v/>
      </c>
      <c r="W6">
        <f>IF(B6="","",IF(COUNTIFS('سجل التحفيز'!$AC$5:$AC$2004,"&gt;0",'سجل التحفيز'!$B$5:$B$2004,B6)&gt;0,COUNT(W$4:W5)+1,""))</f>
        <v/>
      </c>
      <c r="X6">
        <f>IF(B6="","",IF(COUNTIFS('سجل التحفيز'!$AD$5:$AD$2004,"&gt;0",'سجل التحفيز'!$B$5:$B$2004,B6)&gt;0,COUNT(X$4:X5)+1,""))</f>
        <v/>
      </c>
      <c r="Y6">
        <f>IF(B6="","",IF(COUNTIFS('سجل التحفيز'!$AE$5:$AE$2004,"&gt;0",'سجل التحفيز'!$B$5:$B$2004,B6)&gt;0,COUNT(Y$4:Y5)+1,""))</f>
        <v/>
      </c>
    </row>
    <row r="7">
      <c r="A7" s="17" t="n"/>
      <c r="B7" s="17" t="n"/>
      <c r="C7" s="17" t="n"/>
      <c r="D7" s="17" t="n"/>
      <c r="E7" s="17" t="n"/>
      <c r="F7" s="17" t="n"/>
      <c r="G7" s="17" t="n"/>
      <c r="H7" s="20">
        <f>IF(B7="","",COUNTIFS('سجل التحفيز'!$B$5:$B$2004,B7,'سجل التحفيز'!$R$5:$R$2004,الإعدادات!$B$4))</f>
        <v/>
      </c>
      <c r="I7" s="20">
        <f>IF(B7="","",COUNTIFS('سجل التحفيز'!$B$5:$B$2004,B7,'سجل التحفيز'!$R$5:$R$2004,الإعدادات!$B$4,'سجل التحفيز'!$Q$5:$Q$2004,"الفصل الأول",'سجل التحفيز'!$D$5:$D$2004,"ذهبي"))</f>
        <v/>
      </c>
      <c r="J7" s="20">
        <f>IF(B7="","",COUNTIFS('سجل التحفيز'!$B$5:$B$2004,B7,'سجل التحفيز'!$R$5:$R$2004,الإعدادات!$B$4,'سجل التحفيز'!$Q$5:$Q$2004,"الفصل الثاني",'سجل التحفيز'!$D$5:$D$2004,"ذهبي"))</f>
        <v/>
      </c>
      <c r="K7" s="20">
        <f>IF(B7="","",COUNTIFS('سجل التحفيز'!$B$5:$B$2004,B7,'سجل التحفيز'!$R$5:$R$2004,الإعدادات!$B$4,'سجل التحفيز'!$D$5:$D$2004,"ذهبي"))</f>
        <v/>
      </c>
      <c r="L7" s="20">
        <f>IF(B7="","",IF(G7="محرومة","محرومة - مخالفة",IF(K7&gt;=5,"مستحقة ★","متبقي "&amp;(5-K7)&amp;" معايير")))</f>
        <v/>
      </c>
      <c r="N7">
        <f>IF(B7="","",IF(COUNTIFS('سجل التحفيز'!$T$5:$T$2004,"&gt;0",'سجل التحفيز'!$B$5:$B$2004,B7)&gt;0,COUNT(N$4:N6)+1,""))</f>
        <v/>
      </c>
      <c r="O7">
        <f>IF(B7="","",IF(COUNTIFS('سجل التحفيز'!$U$5:$U$2004,"&gt;0",'سجل التحفيز'!$B$5:$B$2004,B7)&gt;0,COUNT(O$4:O6)+1,""))</f>
        <v/>
      </c>
      <c r="P7">
        <f>IF(B7="","",IF(COUNTIFS('سجل التحفيز'!$V$5:$V$2004,"&gt;0",'سجل التحفيز'!$B$5:$B$2004,B7)&gt;0,COUNT(P$4:P6)+1,""))</f>
        <v/>
      </c>
      <c r="Q7">
        <f>IF(B7="","",IF(COUNTIFS('سجل التحفيز'!$W$5:$W$2004,"&gt;0",'سجل التحفيز'!$B$5:$B$2004,B7)&gt;0,COUNT(Q$4:Q6)+1,""))</f>
        <v/>
      </c>
      <c r="R7">
        <f>IF(B7="","",IF(COUNTIFS('سجل التحفيز'!$X$5:$X$2004,"&gt;0",'سجل التحفيز'!$B$5:$B$2004,B7)&gt;0,COUNT(R$4:R6)+1,""))</f>
        <v/>
      </c>
      <c r="S7">
        <f>IF(B7="","",IF(COUNTIFS('سجل التحفيز'!$Y$5:$Y$2004,"&gt;0",'سجل التحفيز'!$B$5:$B$2004,B7)&gt;0,COUNT(S$4:S6)+1,""))</f>
        <v/>
      </c>
      <c r="T7">
        <f>IF(B7="","",IF(COUNTIFS('سجل التحفيز'!$Z$5:$Z$2004,"&gt;0",'سجل التحفيز'!$B$5:$B$2004,B7)&gt;0,COUNT(T$4:T6)+1,""))</f>
        <v/>
      </c>
      <c r="U7">
        <f>IF(B7="","",IF(COUNTIFS('سجل التحفيز'!$AA$5:$AA$2004,"&gt;0",'سجل التحفيز'!$B$5:$B$2004,B7)&gt;0,COUNT(U$4:U6)+1,""))</f>
        <v/>
      </c>
      <c r="V7">
        <f>IF(B7="","",IF(COUNTIFS('سجل التحفيز'!$AB$5:$AB$2004,"&gt;0",'سجل التحفيز'!$B$5:$B$2004,B7)&gt;0,COUNT(V$4:V6)+1,""))</f>
        <v/>
      </c>
      <c r="W7">
        <f>IF(B7="","",IF(COUNTIFS('سجل التحفيز'!$AC$5:$AC$2004,"&gt;0",'سجل التحفيز'!$B$5:$B$2004,B7)&gt;0,COUNT(W$4:W6)+1,""))</f>
        <v/>
      </c>
      <c r="X7">
        <f>IF(B7="","",IF(COUNTIFS('سجل التحفيز'!$AD$5:$AD$2004,"&gt;0",'سجل التحفيز'!$B$5:$B$2004,B7)&gt;0,COUNT(X$4:X6)+1,""))</f>
        <v/>
      </c>
      <c r="Y7">
        <f>IF(B7="","",IF(COUNTIFS('سجل التحفيز'!$AE$5:$AE$2004,"&gt;0",'سجل التحفيز'!$B$5:$B$2004,B7)&gt;0,COUNT(Y$4:Y6)+1,""))</f>
        <v/>
      </c>
    </row>
    <row r="8">
      <c r="A8" s="17" t="n"/>
      <c r="B8" s="17" t="n"/>
      <c r="C8" s="17" t="n"/>
      <c r="D8" s="17" t="n"/>
      <c r="E8" s="17" t="n"/>
      <c r="F8" s="17" t="n"/>
      <c r="G8" s="17" t="n"/>
      <c r="H8" s="20">
        <f>IF(B8="","",COUNTIFS('سجل التحفيز'!$B$5:$B$2004,B8,'سجل التحفيز'!$R$5:$R$2004,الإعدادات!$B$4))</f>
        <v/>
      </c>
      <c r="I8" s="20">
        <f>IF(B8="","",COUNTIFS('سجل التحفيز'!$B$5:$B$2004,B8,'سجل التحفيز'!$R$5:$R$2004,الإعدادات!$B$4,'سجل التحفيز'!$Q$5:$Q$2004,"الفصل الأول",'سجل التحفيز'!$D$5:$D$2004,"ذهبي"))</f>
        <v/>
      </c>
      <c r="J8" s="20">
        <f>IF(B8="","",COUNTIFS('سجل التحفيز'!$B$5:$B$2004,B8,'سجل التحفيز'!$R$5:$R$2004,الإعدادات!$B$4,'سجل التحفيز'!$Q$5:$Q$2004,"الفصل الثاني",'سجل التحفيز'!$D$5:$D$2004,"ذهبي"))</f>
        <v/>
      </c>
      <c r="K8" s="20">
        <f>IF(B8="","",COUNTIFS('سجل التحفيز'!$B$5:$B$2004,B8,'سجل التحفيز'!$R$5:$R$2004,الإعدادات!$B$4,'سجل التحفيز'!$D$5:$D$2004,"ذهبي"))</f>
        <v/>
      </c>
      <c r="L8" s="20">
        <f>IF(B8="","",IF(G8="محرومة","محرومة - مخالفة",IF(K8&gt;=5,"مستحقة ★","متبقي "&amp;(5-K8)&amp;" معايير")))</f>
        <v/>
      </c>
      <c r="N8">
        <f>IF(B8="","",IF(COUNTIFS('سجل التحفيز'!$T$5:$T$2004,"&gt;0",'سجل التحفيز'!$B$5:$B$2004,B8)&gt;0,COUNT(N$4:N7)+1,""))</f>
        <v/>
      </c>
      <c r="O8">
        <f>IF(B8="","",IF(COUNTIFS('سجل التحفيز'!$U$5:$U$2004,"&gt;0",'سجل التحفيز'!$B$5:$B$2004,B8)&gt;0,COUNT(O$4:O7)+1,""))</f>
        <v/>
      </c>
      <c r="P8">
        <f>IF(B8="","",IF(COUNTIFS('سجل التحفيز'!$V$5:$V$2004,"&gt;0",'سجل التحفيز'!$B$5:$B$2004,B8)&gt;0,COUNT(P$4:P7)+1,""))</f>
        <v/>
      </c>
      <c r="Q8">
        <f>IF(B8="","",IF(COUNTIFS('سجل التحفيز'!$W$5:$W$2004,"&gt;0",'سجل التحفيز'!$B$5:$B$2004,B8)&gt;0,COUNT(Q$4:Q7)+1,""))</f>
        <v/>
      </c>
      <c r="R8">
        <f>IF(B8="","",IF(COUNTIFS('سجل التحفيز'!$X$5:$X$2004,"&gt;0",'سجل التحفيز'!$B$5:$B$2004,B8)&gt;0,COUNT(R$4:R7)+1,""))</f>
        <v/>
      </c>
      <c r="S8">
        <f>IF(B8="","",IF(COUNTIFS('سجل التحفيز'!$Y$5:$Y$2004,"&gt;0",'سجل التحفيز'!$B$5:$B$2004,B8)&gt;0,COUNT(S$4:S7)+1,""))</f>
        <v/>
      </c>
      <c r="T8">
        <f>IF(B8="","",IF(COUNTIFS('سجل التحفيز'!$Z$5:$Z$2004,"&gt;0",'سجل التحفيز'!$B$5:$B$2004,B8)&gt;0,COUNT(T$4:T7)+1,""))</f>
        <v/>
      </c>
      <c r="U8">
        <f>IF(B8="","",IF(COUNTIFS('سجل التحفيز'!$AA$5:$AA$2004,"&gt;0",'سجل التحفيز'!$B$5:$B$2004,B8)&gt;0,COUNT(U$4:U7)+1,""))</f>
        <v/>
      </c>
      <c r="V8">
        <f>IF(B8="","",IF(COUNTIFS('سجل التحفيز'!$AB$5:$AB$2004,"&gt;0",'سجل التحفيز'!$B$5:$B$2004,B8)&gt;0,COUNT(V$4:V7)+1,""))</f>
        <v/>
      </c>
      <c r="W8">
        <f>IF(B8="","",IF(COUNTIFS('سجل التحفيز'!$AC$5:$AC$2004,"&gt;0",'سجل التحفيز'!$B$5:$B$2004,B8)&gt;0,COUNT(W$4:W7)+1,""))</f>
        <v/>
      </c>
      <c r="X8">
        <f>IF(B8="","",IF(COUNTIFS('سجل التحفيز'!$AD$5:$AD$2004,"&gt;0",'سجل التحفيز'!$B$5:$B$2004,B8)&gt;0,COUNT(X$4:X7)+1,""))</f>
        <v/>
      </c>
      <c r="Y8">
        <f>IF(B8="","",IF(COUNTIFS('سجل التحفيز'!$AE$5:$AE$2004,"&gt;0",'سجل التحفيز'!$B$5:$B$2004,B8)&gt;0,COUNT(Y$4:Y7)+1,""))</f>
        <v/>
      </c>
    </row>
    <row r="9">
      <c r="A9" s="17" t="n"/>
      <c r="B9" s="17" t="n"/>
      <c r="C9" s="17" t="n"/>
      <c r="D9" s="17" t="n"/>
      <c r="E9" s="17" t="n"/>
      <c r="F9" s="17" t="n"/>
      <c r="G9" s="17" t="n"/>
      <c r="H9" s="20">
        <f>IF(B9="","",COUNTIFS('سجل التحفيز'!$B$5:$B$2004,B9,'سجل التحفيز'!$R$5:$R$2004,الإعدادات!$B$4))</f>
        <v/>
      </c>
      <c r="I9" s="20">
        <f>IF(B9="","",COUNTIFS('سجل التحفيز'!$B$5:$B$2004,B9,'سجل التحفيز'!$R$5:$R$2004,الإعدادات!$B$4,'سجل التحفيز'!$Q$5:$Q$2004,"الفصل الأول",'سجل التحفيز'!$D$5:$D$2004,"ذهبي"))</f>
        <v/>
      </c>
      <c r="J9" s="20">
        <f>IF(B9="","",COUNTIFS('سجل التحفيز'!$B$5:$B$2004,B9,'سجل التحفيز'!$R$5:$R$2004,الإعدادات!$B$4,'سجل التحفيز'!$Q$5:$Q$2004,"الفصل الثاني",'سجل التحفيز'!$D$5:$D$2004,"ذهبي"))</f>
        <v/>
      </c>
      <c r="K9" s="20">
        <f>IF(B9="","",COUNTIFS('سجل التحفيز'!$B$5:$B$2004,B9,'سجل التحفيز'!$R$5:$R$2004,الإعدادات!$B$4,'سجل التحفيز'!$D$5:$D$2004,"ذهبي"))</f>
        <v/>
      </c>
      <c r="L9" s="20">
        <f>IF(B9="","",IF(G9="محرومة","محرومة - مخالفة",IF(K9&gt;=5,"مستحقة ★","متبقي "&amp;(5-K9)&amp;" معايير")))</f>
        <v/>
      </c>
      <c r="N9">
        <f>IF(B9="","",IF(COUNTIFS('سجل التحفيز'!$T$5:$T$2004,"&gt;0",'سجل التحفيز'!$B$5:$B$2004,B9)&gt;0,COUNT(N$4:N8)+1,""))</f>
        <v/>
      </c>
      <c r="O9">
        <f>IF(B9="","",IF(COUNTIFS('سجل التحفيز'!$U$5:$U$2004,"&gt;0",'سجل التحفيز'!$B$5:$B$2004,B9)&gt;0,COUNT(O$4:O8)+1,""))</f>
        <v/>
      </c>
      <c r="P9">
        <f>IF(B9="","",IF(COUNTIFS('سجل التحفيز'!$V$5:$V$2004,"&gt;0",'سجل التحفيز'!$B$5:$B$2004,B9)&gt;0,COUNT(P$4:P8)+1,""))</f>
        <v/>
      </c>
      <c r="Q9">
        <f>IF(B9="","",IF(COUNTIFS('سجل التحفيز'!$W$5:$W$2004,"&gt;0",'سجل التحفيز'!$B$5:$B$2004,B9)&gt;0,COUNT(Q$4:Q8)+1,""))</f>
        <v/>
      </c>
      <c r="R9">
        <f>IF(B9="","",IF(COUNTIFS('سجل التحفيز'!$X$5:$X$2004,"&gt;0",'سجل التحفيز'!$B$5:$B$2004,B9)&gt;0,COUNT(R$4:R8)+1,""))</f>
        <v/>
      </c>
      <c r="S9">
        <f>IF(B9="","",IF(COUNTIFS('سجل التحفيز'!$Y$5:$Y$2004,"&gt;0",'سجل التحفيز'!$B$5:$B$2004,B9)&gt;0,COUNT(S$4:S8)+1,""))</f>
        <v/>
      </c>
      <c r="T9">
        <f>IF(B9="","",IF(COUNTIFS('سجل التحفيز'!$Z$5:$Z$2004,"&gt;0",'سجل التحفيز'!$B$5:$B$2004,B9)&gt;0,COUNT(T$4:T8)+1,""))</f>
        <v/>
      </c>
      <c r="U9">
        <f>IF(B9="","",IF(COUNTIFS('سجل التحفيز'!$AA$5:$AA$2004,"&gt;0",'سجل التحفيز'!$B$5:$B$2004,B9)&gt;0,COUNT(U$4:U8)+1,""))</f>
        <v/>
      </c>
      <c r="V9">
        <f>IF(B9="","",IF(COUNTIFS('سجل التحفيز'!$AB$5:$AB$2004,"&gt;0",'سجل التحفيز'!$B$5:$B$2004,B9)&gt;0,COUNT(V$4:V8)+1,""))</f>
        <v/>
      </c>
      <c r="W9">
        <f>IF(B9="","",IF(COUNTIFS('سجل التحفيز'!$AC$5:$AC$2004,"&gt;0",'سجل التحفيز'!$B$5:$B$2004,B9)&gt;0,COUNT(W$4:W8)+1,""))</f>
        <v/>
      </c>
      <c r="X9">
        <f>IF(B9="","",IF(COUNTIFS('سجل التحفيز'!$AD$5:$AD$2004,"&gt;0",'سجل التحفيز'!$B$5:$B$2004,B9)&gt;0,COUNT(X$4:X8)+1,""))</f>
        <v/>
      </c>
      <c r="Y9">
        <f>IF(B9="","",IF(COUNTIFS('سجل التحفيز'!$AE$5:$AE$2004,"&gt;0",'سجل التحفيز'!$B$5:$B$2004,B9)&gt;0,COUNT(Y$4:Y8)+1,""))</f>
        <v/>
      </c>
    </row>
    <row r="10">
      <c r="A10" s="17" t="n"/>
      <c r="B10" s="17" t="n"/>
      <c r="C10" s="17" t="n"/>
      <c r="D10" s="17" t="n"/>
      <c r="E10" s="17" t="n"/>
      <c r="F10" s="17" t="n"/>
      <c r="G10" s="17" t="n"/>
      <c r="H10" s="20">
        <f>IF(B10="","",COUNTIFS('سجل التحفيز'!$B$5:$B$2004,B10,'سجل التحفيز'!$R$5:$R$2004,الإعدادات!$B$4))</f>
        <v/>
      </c>
      <c r="I10" s="20">
        <f>IF(B10="","",COUNTIFS('سجل التحفيز'!$B$5:$B$2004,B10,'سجل التحفيز'!$R$5:$R$2004,الإعدادات!$B$4,'سجل التحفيز'!$Q$5:$Q$2004,"الفصل الأول",'سجل التحفيز'!$D$5:$D$2004,"ذهبي"))</f>
        <v/>
      </c>
      <c r="J10" s="20">
        <f>IF(B10="","",COUNTIFS('سجل التحفيز'!$B$5:$B$2004,B10,'سجل التحفيز'!$R$5:$R$2004,الإعدادات!$B$4,'سجل التحفيز'!$Q$5:$Q$2004,"الفصل الثاني",'سجل التحفيز'!$D$5:$D$2004,"ذهبي"))</f>
        <v/>
      </c>
      <c r="K10" s="20">
        <f>IF(B10="","",COUNTIFS('سجل التحفيز'!$B$5:$B$2004,B10,'سجل التحفيز'!$R$5:$R$2004,الإعدادات!$B$4,'سجل التحفيز'!$D$5:$D$2004,"ذهبي"))</f>
        <v/>
      </c>
      <c r="L10" s="20">
        <f>IF(B10="","",IF(G10="محرومة","محرومة - مخالفة",IF(K10&gt;=5,"مستحقة ★","متبقي "&amp;(5-K10)&amp;" معايير")))</f>
        <v/>
      </c>
      <c r="N10">
        <f>IF(B10="","",IF(COUNTIFS('سجل التحفيز'!$T$5:$T$2004,"&gt;0",'سجل التحفيز'!$B$5:$B$2004,B10)&gt;0,COUNT(N$4:N9)+1,""))</f>
        <v/>
      </c>
      <c r="O10">
        <f>IF(B10="","",IF(COUNTIFS('سجل التحفيز'!$U$5:$U$2004,"&gt;0",'سجل التحفيز'!$B$5:$B$2004,B10)&gt;0,COUNT(O$4:O9)+1,""))</f>
        <v/>
      </c>
      <c r="P10">
        <f>IF(B10="","",IF(COUNTIFS('سجل التحفيز'!$V$5:$V$2004,"&gt;0",'سجل التحفيز'!$B$5:$B$2004,B10)&gt;0,COUNT(P$4:P9)+1,""))</f>
        <v/>
      </c>
      <c r="Q10">
        <f>IF(B10="","",IF(COUNTIFS('سجل التحفيز'!$W$5:$W$2004,"&gt;0",'سجل التحفيز'!$B$5:$B$2004,B10)&gt;0,COUNT(Q$4:Q9)+1,""))</f>
        <v/>
      </c>
      <c r="R10">
        <f>IF(B10="","",IF(COUNTIFS('سجل التحفيز'!$X$5:$X$2004,"&gt;0",'سجل التحفيز'!$B$5:$B$2004,B10)&gt;0,COUNT(R$4:R9)+1,""))</f>
        <v/>
      </c>
      <c r="S10">
        <f>IF(B10="","",IF(COUNTIFS('سجل التحفيز'!$Y$5:$Y$2004,"&gt;0",'سجل التحفيز'!$B$5:$B$2004,B10)&gt;0,COUNT(S$4:S9)+1,""))</f>
        <v/>
      </c>
      <c r="T10">
        <f>IF(B10="","",IF(COUNTIFS('سجل التحفيز'!$Z$5:$Z$2004,"&gt;0",'سجل التحفيز'!$B$5:$B$2004,B10)&gt;0,COUNT(T$4:T9)+1,""))</f>
        <v/>
      </c>
      <c r="U10">
        <f>IF(B10="","",IF(COUNTIFS('سجل التحفيز'!$AA$5:$AA$2004,"&gt;0",'سجل التحفيز'!$B$5:$B$2004,B10)&gt;0,COUNT(U$4:U9)+1,""))</f>
        <v/>
      </c>
      <c r="V10">
        <f>IF(B10="","",IF(COUNTIFS('سجل التحفيز'!$AB$5:$AB$2004,"&gt;0",'سجل التحفيز'!$B$5:$B$2004,B10)&gt;0,COUNT(V$4:V9)+1,""))</f>
        <v/>
      </c>
      <c r="W10">
        <f>IF(B10="","",IF(COUNTIFS('سجل التحفيز'!$AC$5:$AC$2004,"&gt;0",'سجل التحفيز'!$B$5:$B$2004,B10)&gt;0,COUNT(W$4:W9)+1,""))</f>
        <v/>
      </c>
      <c r="X10">
        <f>IF(B10="","",IF(COUNTIFS('سجل التحفيز'!$AD$5:$AD$2004,"&gt;0",'سجل التحفيز'!$B$5:$B$2004,B10)&gt;0,COUNT(X$4:X9)+1,""))</f>
        <v/>
      </c>
      <c r="Y10">
        <f>IF(B10="","",IF(COUNTIFS('سجل التحفيز'!$AE$5:$AE$2004,"&gt;0",'سجل التحفيز'!$B$5:$B$2004,B10)&gt;0,COUNT(Y$4:Y9)+1,""))</f>
        <v/>
      </c>
    </row>
    <row r="11">
      <c r="A11" s="17" t="n"/>
      <c r="B11" s="17" t="n"/>
      <c r="C11" s="17" t="n"/>
      <c r="D11" s="17" t="n"/>
      <c r="E11" s="17" t="n"/>
      <c r="F11" s="17" t="n"/>
      <c r="G11" s="17" t="n"/>
      <c r="H11" s="20">
        <f>IF(B11="","",COUNTIFS('سجل التحفيز'!$B$5:$B$2004,B11,'سجل التحفيز'!$R$5:$R$2004,الإعدادات!$B$4))</f>
        <v/>
      </c>
      <c r="I11" s="20">
        <f>IF(B11="","",COUNTIFS('سجل التحفيز'!$B$5:$B$2004,B11,'سجل التحفيز'!$R$5:$R$2004,الإعدادات!$B$4,'سجل التحفيز'!$Q$5:$Q$2004,"الفصل الأول",'سجل التحفيز'!$D$5:$D$2004,"ذهبي"))</f>
        <v/>
      </c>
      <c r="J11" s="20">
        <f>IF(B11="","",COUNTIFS('سجل التحفيز'!$B$5:$B$2004,B11,'سجل التحفيز'!$R$5:$R$2004,الإعدادات!$B$4,'سجل التحفيز'!$Q$5:$Q$2004,"الفصل الثاني",'سجل التحفيز'!$D$5:$D$2004,"ذهبي"))</f>
        <v/>
      </c>
      <c r="K11" s="20">
        <f>IF(B11="","",COUNTIFS('سجل التحفيز'!$B$5:$B$2004,B11,'سجل التحفيز'!$R$5:$R$2004,الإعدادات!$B$4,'سجل التحفيز'!$D$5:$D$2004,"ذهبي"))</f>
        <v/>
      </c>
      <c r="L11" s="20">
        <f>IF(B11="","",IF(G11="محرومة","محرومة - مخالفة",IF(K11&gt;=5,"مستحقة ★","متبقي "&amp;(5-K11)&amp;" معايير")))</f>
        <v/>
      </c>
      <c r="N11">
        <f>IF(B11="","",IF(COUNTIFS('سجل التحفيز'!$T$5:$T$2004,"&gt;0",'سجل التحفيز'!$B$5:$B$2004,B11)&gt;0,COUNT(N$4:N10)+1,""))</f>
        <v/>
      </c>
      <c r="O11">
        <f>IF(B11="","",IF(COUNTIFS('سجل التحفيز'!$U$5:$U$2004,"&gt;0",'سجل التحفيز'!$B$5:$B$2004,B11)&gt;0,COUNT(O$4:O10)+1,""))</f>
        <v/>
      </c>
      <c r="P11">
        <f>IF(B11="","",IF(COUNTIFS('سجل التحفيز'!$V$5:$V$2004,"&gt;0",'سجل التحفيز'!$B$5:$B$2004,B11)&gt;0,COUNT(P$4:P10)+1,""))</f>
        <v/>
      </c>
      <c r="Q11">
        <f>IF(B11="","",IF(COUNTIFS('سجل التحفيز'!$W$5:$W$2004,"&gt;0",'سجل التحفيز'!$B$5:$B$2004,B11)&gt;0,COUNT(Q$4:Q10)+1,""))</f>
        <v/>
      </c>
      <c r="R11">
        <f>IF(B11="","",IF(COUNTIFS('سجل التحفيز'!$X$5:$X$2004,"&gt;0",'سجل التحفيز'!$B$5:$B$2004,B11)&gt;0,COUNT(R$4:R10)+1,""))</f>
        <v/>
      </c>
      <c r="S11">
        <f>IF(B11="","",IF(COUNTIFS('سجل التحفيز'!$Y$5:$Y$2004,"&gt;0",'سجل التحفيز'!$B$5:$B$2004,B11)&gt;0,COUNT(S$4:S10)+1,""))</f>
        <v/>
      </c>
      <c r="T11">
        <f>IF(B11="","",IF(COUNTIFS('سجل التحفيز'!$Z$5:$Z$2004,"&gt;0",'سجل التحفيز'!$B$5:$B$2004,B11)&gt;0,COUNT(T$4:T10)+1,""))</f>
        <v/>
      </c>
      <c r="U11">
        <f>IF(B11="","",IF(COUNTIFS('سجل التحفيز'!$AA$5:$AA$2004,"&gt;0",'سجل التحفيز'!$B$5:$B$2004,B11)&gt;0,COUNT(U$4:U10)+1,""))</f>
        <v/>
      </c>
      <c r="V11">
        <f>IF(B11="","",IF(COUNTIFS('سجل التحفيز'!$AB$5:$AB$2004,"&gt;0",'سجل التحفيز'!$B$5:$B$2004,B11)&gt;0,COUNT(V$4:V10)+1,""))</f>
        <v/>
      </c>
      <c r="W11">
        <f>IF(B11="","",IF(COUNTIFS('سجل التحفيز'!$AC$5:$AC$2004,"&gt;0",'سجل التحفيز'!$B$5:$B$2004,B11)&gt;0,COUNT(W$4:W10)+1,""))</f>
        <v/>
      </c>
      <c r="X11">
        <f>IF(B11="","",IF(COUNTIFS('سجل التحفيز'!$AD$5:$AD$2004,"&gt;0",'سجل التحفيز'!$B$5:$B$2004,B11)&gt;0,COUNT(X$4:X10)+1,""))</f>
        <v/>
      </c>
      <c r="Y11">
        <f>IF(B11="","",IF(COUNTIFS('سجل التحفيز'!$AE$5:$AE$2004,"&gt;0",'سجل التحفيز'!$B$5:$B$2004,B11)&gt;0,COUNT(Y$4:Y10)+1,""))</f>
        <v/>
      </c>
    </row>
    <row r="12">
      <c r="A12" s="17" t="n"/>
      <c r="B12" s="17" t="n"/>
      <c r="C12" s="17" t="n"/>
      <c r="D12" s="17" t="n"/>
      <c r="E12" s="17" t="n"/>
      <c r="F12" s="17" t="n"/>
      <c r="G12" s="17" t="n"/>
      <c r="H12" s="20">
        <f>IF(B12="","",COUNTIFS('سجل التحفيز'!$B$5:$B$2004,B12,'سجل التحفيز'!$R$5:$R$2004,الإعدادات!$B$4))</f>
        <v/>
      </c>
      <c r="I12" s="20">
        <f>IF(B12="","",COUNTIFS('سجل التحفيز'!$B$5:$B$2004,B12,'سجل التحفيز'!$R$5:$R$2004,الإعدادات!$B$4,'سجل التحفيز'!$Q$5:$Q$2004,"الفصل الأول",'سجل التحفيز'!$D$5:$D$2004,"ذهبي"))</f>
        <v/>
      </c>
      <c r="J12" s="20">
        <f>IF(B12="","",COUNTIFS('سجل التحفيز'!$B$5:$B$2004,B12,'سجل التحفيز'!$R$5:$R$2004,الإعدادات!$B$4,'سجل التحفيز'!$Q$5:$Q$2004,"الفصل الثاني",'سجل التحفيز'!$D$5:$D$2004,"ذهبي"))</f>
        <v/>
      </c>
      <c r="K12" s="20">
        <f>IF(B12="","",COUNTIFS('سجل التحفيز'!$B$5:$B$2004,B12,'سجل التحفيز'!$R$5:$R$2004,الإعدادات!$B$4,'سجل التحفيز'!$D$5:$D$2004,"ذهبي"))</f>
        <v/>
      </c>
      <c r="L12" s="20">
        <f>IF(B12="","",IF(G12="محرومة","محرومة - مخالفة",IF(K12&gt;=5,"مستحقة ★","متبقي "&amp;(5-K12)&amp;" معايير")))</f>
        <v/>
      </c>
      <c r="N12">
        <f>IF(B12="","",IF(COUNTIFS('سجل التحفيز'!$T$5:$T$2004,"&gt;0",'سجل التحفيز'!$B$5:$B$2004,B12)&gt;0,COUNT(N$4:N11)+1,""))</f>
        <v/>
      </c>
      <c r="O12">
        <f>IF(B12="","",IF(COUNTIFS('سجل التحفيز'!$U$5:$U$2004,"&gt;0",'سجل التحفيز'!$B$5:$B$2004,B12)&gt;0,COUNT(O$4:O11)+1,""))</f>
        <v/>
      </c>
      <c r="P12">
        <f>IF(B12="","",IF(COUNTIFS('سجل التحفيز'!$V$5:$V$2004,"&gt;0",'سجل التحفيز'!$B$5:$B$2004,B12)&gt;0,COUNT(P$4:P11)+1,""))</f>
        <v/>
      </c>
      <c r="Q12">
        <f>IF(B12="","",IF(COUNTIFS('سجل التحفيز'!$W$5:$W$2004,"&gt;0",'سجل التحفيز'!$B$5:$B$2004,B12)&gt;0,COUNT(Q$4:Q11)+1,""))</f>
        <v/>
      </c>
      <c r="R12">
        <f>IF(B12="","",IF(COUNTIFS('سجل التحفيز'!$X$5:$X$2004,"&gt;0",'سجل التحفيز'!$B$5:$B$2004,B12)&gt;0,COUNT(R$4:R11)+1,""))</f>
        <v/>
      </c>
      <c r="S12">
        <f>IF(B12="","",IF(COUNTIFS('سجل التحفيز'!$Y$5:$Y$2004,"&gt;0",'سجل التحفيز'!$B$5:$B$2004,B12)&gt;0,COUNT(S$4:S11)+1,""))</f>
        <v/>
      </c>
      <c r="T12">
        <f>IF(B12="","",IF(COUNTIFS('سجل التحفيز'!$Z$5:$Z$2004,"&gt;0",'سجل التحفيز'!$B$5:$B$2004,B12)&gt;0,COUNT(T$4:T11)+1,""))</f>
        <v/>
      </c>
      <c r="U12">
        <f>IF(B12="","",IF(COUNTIFS('سجل التحفيز'!$AA$5:$AA$2004,"&gt;0",'سجل التحفيز'!$B$5:$B$2004,B12)&gt;0,COUNT(U$4:U11)+1,""))</f>
        <v/>
      </c>
      <c r="V12">
        <f>IF(B12="","",IF(COUNTIFS('سجل التحفيز'!$AB$5:$AB$2004,"&gt;0",'سجل التحفيز'!$B$5:$B$2004,B12)&gt;0,COUNT(V$4:V11)+1,""))</f>
        <v/>
      </c>
      <c r="W12">
        <f>IF(B12="","",IF(COUNTIFS('سجل التحفيز'!$AC$5:$AC$2004,"&gt;0",'سجل التحفيز'!$B$5:$B$2004,B12)&gt;0,COUNT(W$4:W11)+1,""))</f>
        <v/>
      </c>
      <c r="X12">
        <f>IF(B12="","",IF(COUNTIFS('سجل التحفيز'!$AD$5:$AD$2004,"&gt;0",'سجل التحفيز'!$B$5:$B$2004,B12)&gt;0,COUNT(X$4:X11)+1,""))</f>
        <v/>
      </c>
      <c r="Y12">
        <f>IF(B12="","",IF(COUNTIFS('سجل التحفيز'!$AE$5:$AE$2004,"&gt;0",'سجل التحفيز'!$B$5:$B$2004,B12)&gt;0,COUNT(Y$4:Y11)+1,""))</f>
        <v/>
      </c>
    </row>
    <row r="13">
      <c r="A13" s="17" t="n"/>
      <c r="B13" s="17" t="n"/>
      <c r="C13" s="17" t="n"/>
      <c r="D13" s="17" t="n"/>
      <c r="E13" s="17" t="n"/>
      <c r="F13" s="17" t="n"/>
      <c r="G13" s="17" t="n"/>
      <c r="H13" s="20">
        <f>IF(B13="","",COUNTIFS('سجل التحفيز'!$B$5:$B$2004,B13,'سجل التحفيز'!$R$5:$R$2004,الإعدادات!$B$4))</f>
        <v/>
      </c>
      <c r="I13" s="20">
        <f>IF(B13="","",COUNTIFS('سجل التحفيز'!$B$5:$B$2004,B13,'سجل التحفيز'!$R$5:$R$2004,الإعدادات!$B$4,'سجل التحفيز'!$Q$5:$Q$2004,"الفصل الأول",'سجل التحفيز'!$D$5:$D$2004,"ذهبي"))</f>
        <v/>
      </c>
      <c r="J13" s="20">
        <f>IF(B13="","",COUNTIFS('سجل التحفيز'!$B$5:$B$2004,B13,'سجل التحفيز'!$R$5:$R$2004,الإعدادات!$B$4,'سجل التحفيز'!$Q$5:$Q$2004,"الفصل الثاني",'سجل التحفيز'!$D$5:$D$2004,"ذهبي"))</f>
        <v/>
      </c>
      <c r="K13" s="20">
        <f>IF(B13="","",COUNTIFS('سجل التحفيز'!$B$5:$B$2004,B13,'سجل التحفيز'!$R$5:$R$2004,الإعدادات!$B$4,'سجل التحفيز'!$D$5:$D$2004,"ذهبي"))</f>
        <v/>
      </c>
      <c r="L13" s="20">
        <f>IF(B13="","",IF(G13="محرومة","محرومة - مخالفة",IF(K13&gt;=5,"مستحقة ★","متبقي "&amp;(5-K13)&amp;" معايير")))</f>
        <v/>
      </c>
      <c r="N13">
        <f>IF(B13="","",IF(COUNTIFS('سجل التحفيز'!$T$5:$T$2004,"&gt;0",'سجل التحفيز'!$B$5:$B$2004,B13)&gt;0,COUNT(N$4:N12)+1,""))</f>
        <v/>
      </c>
      <c r="O13">
        <f>IF(B13="","",IF(COUNTIFS('سجل التحفيز'!$U$5:$U$2004,"&gt;0",'سجل التحفيز'!$B$5:$B$2004,B13)&gt;0,COUNT(O$4:O12)+1,""))</f>
        <v/>
      </c>
      <c r="P13">
        <f>IF(B13="","",IF(COUNTIFS('سجل التحفيز'!$V$5:$V$2004,"&gt;0",'سجل التحفيز'!$B$5:$B$2004,B13)&gt;0,COUNT(P$4:P12)+1,""))</f>
        <v/>
      </c>
      <c r="Q13">
        <f>IF(B13="","",IF(COUNTIFS('سجل التحفيز'!$W$5:$W$2004,"&gt;0",'سجل التحفيز'!$B$5:$B$2004,B13)&gt;0,COUNT(Q$4:Q12)+1,""))</f>
        <v/>
      </c>
      <c r="R13">
        <f>IF(B13="","",IF(COUNTIFS('سجل التحفيز'!$X$5:$X$2004,"&gt;0",'سجل التحفيز'!$B$5:$B$2004,B13)&gt;0,COUNT(R$4:R12)+1,""))</f>
        <v/>
      </c>
      <c r="S13">
        <f>IF(B13="","",IF(COUNTIFS('سجل التحفيز'!$Y$5:$Y$2004,"&gt;0",'سجل التحفيز'!$B$5:$B$2004,B13)&gt;0,COUNT(S$4:S12)+1,""))</f>
        <v/>
      </c>
      <c r="T13">
        <f>IF(B13="","",IF(COUNTIFS('سجل التحفيز'!$Z$5:$Z$2004,"&gt;0",'سجل التحفيز'!$B$5:$B$2004,B13)&gt;0,COUNT(T$4:T12)+1,""))</f>
        <v/>
      </c>
      <c r="U13">
        <f>IF(B13="","",IF(COUNTIFS('سجل التحفيز'!$AA$5:$AA$2004,"&gt;0",'سجل التحفيز'!$B$5:$B$2004,B13)&gt;0,COUNT(U$4:U12)+1,""))</f>
        <v/>
      </c>
      <c r="V13">
        <f>IF(B13="","",IF(COUNTIFS('سجل التحفيز'!$AB$5:$AB$2004,"&gt;0",'سجل التحفيز'!$B$5:$B$2004,B13)&gt;0,COUNT(V$4:V12)+1,""))</f>
        <v/>
      </c>
      <c r="W13">
        <f>IF(B13="","",IF(COUNTIFS('سجل التحفيز'!$AC$5:$AC$2004,"&gt;0",'سجل التحفيز'!$B$5:$B$2004,B13)&gt;0,COUNT(W$4:W12)+1,""))</f>
        <v/>
      </c>
      <c r="X13">
        <f>IF(B13="","",IF(COUNTIFS('سجل التحفيز'!$AD$5:$AD$2004,"&gt;0",'سجل التحفيز'!$B$5:$B$2004,B13)&gt;0,COUNT(X$4:X12)+1,""))</f>
        <v/>
      </c>
      <c r="Y13">
        <f>IF(B13="","",IF(COUNTIFS('سجل التحفيز'!$AE$5:$AE$2004,"&gt;0",'سجل التحفيز'!$B$5:$B$2004,B13)&gt;0,COUNT(Y$4:Y12)+1,""))</f>
        <v/>
      </c>
    </row>
    <row r="14">
      <c r="A14" s="17" t="n"/>
      <c r="B14" s="17" t="n"/>
      <c r="C14" s="17" t="n"/>
      <c r="D14" s="17" t="n"/>
      <c r="E14" s="17" t="n"/>
      <c r="F14" s="17" t="n"/>
      <c r="G14" s="17" t="n"/>
      <c r="H14" s="20">
        <f>IF(B14="","",COUNTIFS('سجل التحفيز'!$B$5:$B$2004,B14,'سجل التحفيز'!$R$5:$R$2004,الإعدادات!$B$4))</f>
        <v/>
      </c>
      <c r="I14" s="20">
        <f>IF(B14="","",COUNTIFS('سجل التحفيز'!$B$5:$B$2004,B14,'سجل التحفيز'!$R$5:$R$2004,الإعدادات!$B$4,'سجل التحفيز'!$Q$5:$Q$2004,"الفصل الأول",'سجل التحفيز'!$D$5:$D$2004,"ذهبي"))</f>
        <v/>
      </c>
      <c r="J14" s="20">
        <f>IF(B14="","",COUNTIFS('سجل التحفيز'!$B$5:$B$2004,B14,'سجل التحفيز'!$R$5:$R$2004,الإعدادات!$B$4,'سجل التحفيز'!$Q$5:$Q$2004,"الفصل الثاني",'سجل التحفيز'!$D$5:$D$2004,"ذهبي"))</f>
        <v/>
      </c>
      <c r="K14" s="20">
        <f>IF(B14="","",COUNTIFS('سجل التحفيز'!$B$5:$B$2004,B14,'سجل التحفيز'!$R$5:$R$2004,الإعدادات!$B$4,'سجل التحفيز'!$D$5:$D$2004,"ذهبي"))</f>
        <v/>
      </c>
      <c r="L14" s="20">
        <f>IF(B14="","",IF(G14="محرومة","محرومة - مخالفة",IF(K14&gt;=5,"مستحقة ★","متبقي "&amp;(5-K14)&amp;" معايير")))</f>
        <v/>
      </c>
      <c r="N14">
        <f>IF(B14="","",IF(COUNTIFS('سجل التحفيز'!$T$5:$T$2004,"&gt;0",'سجل التحفيز'!$B$5:$B$2004,B14)&gt;0,COUNT(N$4:N13)+1,""))</f>
        <v/>
      </c>
      <c r="O14">
        <f>IF(B14="","",IF(COUNTIFS('سجل التحفيز'!$U$5:$U$2004,"&gt;0",'سجل التحفيز'!$B$5:$B$2004,B14)&gt;0,COUNT(O$4:O13)+1,""))</f>
        <v/>
      </c>
      <c r="P14">
        <f>IF(B14="","",IF(COUNTIFS('سجل التحفيز'!$V$5:$V$2004,"&gt;0",'سجل التحفيز'!$B$5:$B$2004,B14)&gt;0,COUNT(P$4:P13)+1,""))</f>
        <v/>
      </c>
      <c r="Q14">
        <f>IF(B14="","",IF(COUNTIFS('سجل التحفيز'!$W$5:$W$2004,"&gt;0",'سجل التحفيز'!$B$5:$B$2004,B14)&gt;0,COUNT(Q$4:Q13)+1,""))</f>
        <v/>
      </c>
      <c r="R14">
        <f>IF(B14="","",IF(COUNTIFS('سجل التحفيز'!$X$5:$X$2004,"&gt;0",'سجل التحفيز'!$B$5:$B$2004,B14)&gt;0,COUNT(R$4:R13)+1,""))</f>
        <v/>
      </c>
      <c r="S14">
        <f>IF(B14="","",IF(COUNTIFS('سجل التحفيز'!$Y$5:$Y$2004,"&gt;0",'سجل التحفيز'!$B$5:$B$2004,B14)&gt;0,COUNT(S$4:S13)+1,""))</f>
        <v/>
      </c>
      <c r="T14">
        <f>IF(B14="","",IF(COUNTIFS('سجل التحفيز'!$Z$5:$Z$2004,"&gt;0",'سجل التحفيز'!$B$5:$B$2004,B14)&gt;0,COUNT(T$4:T13)+1,""))</f>
        <v/>
      </c>
      <c r="U14">
        <f>IF(B14="","",IF(COUNTIFS('سجل التحفيز'!$AA$5:$AA$2004,"&gt;0",'سجل التحفيز'!$B$5:$B$2004,B14)&gt;0,COUNT(U$4:U13)+1,""))</f>
        <v/>
      </c>
      <c r="V14">
        <f>IF(B14="","",IF(COUNTIFS('سجل التحفيز'!$AB$5:$AB$2004,"&gt;0",'سجل التحفيز'!$B$5:$B$2004,B14)&gt;0,COUNT(V$4:V13)+1,""))</f>
        <v/>
      </c>
      <c r="W14">
        <f>IF(B14="","",IF(COUNTIFS('سجل التحفيز'!$AC$5:$AC$2004,"&gt;0",'سجل التحفيز'!$B$5:$B$2004,B14)&gt;0,COUNT(W$4:W13)+1,""))</f>
        <v/>
      </c>
      <c r="X14">
        <f>IF(B14="","",IF(COUNTIFS('سجل التحفيز'!$AD$5:$AD$2004,"&gt;0",'سجل التحفيز'!$B$5:$B$2004,B14)&gt;0,COUNT(X$4:X13)+1,""))</f>
        <v/>
      </c>
      <c r="Y14">
        <f>IF(B14="","",IF(COUNTIFS('سجل التحفيز'!$AE$5:$AE$2004,"&gt;0",'سجل التحفيز'!$B$5:$B$2004,B14)&gt;0,COUNT(Y$4:Y13)+1,""))</f>
        <v/>
      </c>
    </row>
    <row r="15">
      <c r="A15" s="17" t="n"/>
      <c r="B15" s="17" t="n"/>
      <c r="C15" s="17" t="n"/>
      <c r="D15" s="17" t="n"/>
      <c r="E15" s="17" t="n"/>
      <c r="F15" s="17" t="n"/>
      <c r="G15" s="17" t="n"/>
      <c r="H15" s="20">
        <f>IF(B15="","",COUNTIFS('سجل التحفيز'!$B$5:$B$2004,B15,'سجل التحفيز'!$R$5:$R$2004,الإعدادات!$B$4))</f>
        <v/>
      </c>
      <c r="I15" s="20">
        <f>IF(B15="","",COUNTIFS('سجل التحفيز'!$B$5:$B$2004,B15,'سجل التحفيز'!$R$5:$R$2004,الإعدادات!$B$4,'سجل التحفيز'!$Q$5:$Q$2004,"الفصل الأول",'سجل التحفيز'!$D$5:$D$2004,"ذهبي"))</f>
        <v/>
      </c>
      <c r="J15" s="20">
        <f>IF(B15="","",COUNTIFS('سجل التحفيز'!$B$5:$B$2004,B15,'سجل التحفيز'!$R$5:$R$2004,الإعدادات!$B$4,'سجل التحفيز'!$Q$5:$Q$2004,"الفصل الثاني",'سجل التحفيز'!$D$5:$D$2004,"ذهبي"))</f>
        <v/>
      </c>
      <c r="K15" s="20">
        <f>IF(B15="","",COUNTIFS('سجل التحفيز'!$B$5:$B$2004,B15,'سجل التحفيز'!$R$5:$R$2004,الإعدادات!$B$4,'سجل التحفيز'!$D$5:$D$2004,"ذهبي"))</f>
        <v/>
      </c>
      <c r="L15" s="20">
        <f>IF(B15="","",IF(G15="محرومة","محرومة - مخالفة",IF(K15&gt;=5,"مستحقة ★","متبقي "&amp;(5-K15)&amp;" معايير")))</f>
        <v/>
      </c>
      <c r="N15">
        <f>IF(B15="","",IF(COUNTIFS('سجل التحفيز'!$T$5:$T$2004,"&gt;0",'سجل التحفيز'!$B$5:$B$2004,B15)&gt;0,COUNT(N$4:N14)+1,""))</f>
        <v/>
      </c>
      <c r="O15">
        <f>IF(B15="","",IF(COUNTIFS('سجل التحفيز'!$U$5:$U$2004,"&gt;0",'سجل التحفيز'!$B$5:$B$2004,B15)&gt;0,COUNT(O$4:O14)+1,""))</f>
        <v/>
      </c>
      <c r="P15">
        <f>IF(B15="","",IF(COUNTIFS('سجل التحفيز'!$V$5:$V$2004,"&gt;0",'سجل التحفيز'!$B$5:$B$2004,B15)&gt;0,COUNT(P$4:P14)+1,""))</f>
        <v/>
      </c>
      <c r="Q15">
        <f>IF(B15="","",IF(COUNTIFS('سجل التحفيز'!$W$5:$W$2004,"&gt;0",'سجل التحفيز'!$B$5:$B$2004,B15)&gt;0,COUNT(Q$4:Q14)+1,""))</f>
        <v/>
      </c>
      <c r="R15">
        <f>IF(B15="","",IF(COUNTIFS('سجل التحفيز'!$X$5:$X$2004,"&gt;0",'سجل التحفيز'!$B$5:$B$2004,B15)&gt;0,COUNT(R$4:R14)+1,""))</f>
        <v/>
      </c>
      <c r="S15">
        <f>IF(B15="","",IF(COUNTIFS('سجل التحفيز'!$Y$5:$Y$2004,"&gt;0",'سجل التحفيز'!$B$5:$B$2004,B15)&gt;0,COUNT(S$4:S14)+1,""))</f>
        <v/>
      </c>
      <c r="T15">
        <f>IF(B15="","",IF(COUNTIFS('سجل التحفيز'!$Z$5:$Z$2004,"&gt;0",'سجل التحفيز'!$B$5:$B$2004,B15)&gt;0,COUNT(T$4:T14)+1,""))</f>
        <v/>
      </c>
      <c r="U15">
        <f>IF(B15="","",IF(COUNTIFS('سجل التحفيز'!$AA$5:$AA$2004,"&gt;0",'سجل التحفيز'!$B$5:$B$2004,B15)&gt;0,COUNT(U$4:U14)+1,""))</f>
        <v/>
      </c>
      <c r="V15">
        <f>IF(B15="","",IF(COUNTIFS('سجل التحفيز'!$AB$5:$AB$2004,"&gt;0",'سجل التحفيز'!$B$5:$B$2004,B15)&gt;0,COUNT(V$4:V14)+1,""))</f>
        <v/>
      </c>
      <c r="W15">
        <f>IF(B15="","",IF(COUNTIFS('سجل التحفيز'!$AC$5:$AC$2004,"&gt;0",'سجل التحفيز'!$B$5:$B$2004,B15)&gt;0,COUNT(W$4:W14)+1,""))</f>
        <v/>
      </c>
      <c r="X15">
        <f>IF(B15="","",IF(COUNTIFS('سجل التحفيز'!$AD$5:$AD$2004,"&gt;0",'سجل التحفيز'!$B$5:$B$2004,B15)&gt;0,COUNT(X$4:X14)+1,""))</f>
        <v/>
      </c>
      <c r="Y15">
        <f>IF(B15="","",IF(COUNTIFS('سجل التحفيز'!$AE$5:$AE$2004,"&gt;0",'سجل التحفيز'!$B$5:$B$2004,B15)&gt;0,COUNT(Y$4:Y14)+1,""))</f>
        <v/>
      </c>
    </row>
    <row r="16">
      <c r="A16" s="17" t="n"/>
      <c r="B16" s="17" t="n"/>
      <c r="C16" s="17" t="n"/>
      <c r="D16" s="17" t="n"/>
      <c r="E16" s="17" t="n"/>
      <c r="F16" s="17" t="n"/>
      <c r="G16" s="17" t="n"/>
      <c r="H16" s="20">
        <f>IF(B16="","",COUNTIFS('سجل التحفيز'!$B$5:$B$2004,B16,'سجل التحفيز'!$R$5:$R$2004,الإعدادات!$B$4))</f>
        <v/>
      </c>
      <c r="I16" s="20">
        <f>IF(B16="","",COUNTIFS('سجل التحفيز'!$B$5:$B$2004,B16,'سجل التحفيز'!$R$5:$R$2004,الإعدادات!$B$4,'سجل التحفيز'!$Q$5:$Q$2004,"الفصل الأول",'سجل التحفيز'!$D$5:$D$2004,"ذهبي"))</f>
        <v/>
      </c>
      <c r="J16" s="20">
        <f>IF(B16="","",COUNTIFS('سجل التحفيز'!$B$5:$B$2004,B16,'سجل التحفيز'!$R$5:$R$2004,الإعدادات!$B$4,'سجل التحفيز'!$Q$5:$Q$2004,"الفصل الثاني",'سجل التحفيز'!$D$5:$D$2004,"ذهبي"))</f>
        <v/>
      </c>
      <c r="K16" s="20">
        <f>IF(B16="","",COUNTIFS('سجل التحفيز'!$B$5:$B$2004,B16,'سجل التحفيز'!$R$5:$R$2004,الإعدادات!$B$4,'سجل التحفيز'!$D$5:$D$2004,"ذهبي"))</f>
        <v/>
      </c>
      <c r="L16" s="20">
        <f>IF(B16="","",IF(G16="محرومة","محرومة - مخالفة",IF(K16&gt;=5,"مستحقة ★","متبقي "&amp;(5-K16)&amp;" معايير")))</f>
        <v/>
      </c>
      <c r="N16">
        <f>IF(B16="","",IF(COUNTIFS('سجل التحفيز'!$T$5:$T$2004,"&gt;0",'سجل التحفيز'!$B$5:$B$2004,B16)&gt;0,COUNT(N$4:N15)+1,""))</f>
        <v/>
      </c>
      <c r="O16">
        <f>IF(B16="","",IF(COUNTIFS('سجل التحفيز'!$U$5:$U$2004,"&gt;0",'سجل التحفيز'!$B$5:$B$2004,B16)&gt;0,COUNT(O$4:O15)+1,""))</f>
        <v/>
      </c>
      <c r="P16">
        <f>IF(B16="","",IF(COUNTIFS('سجل التحفيز'!$V$5:$V$2004,"&gt;0",'سجل التحفيز'!$B$5:$B$2004,B16)&gt;0,COUNT(P$4:P15)+1,""))</f>
        <v/>
      </c>
      <c r="Q16">
        <f>IF(B16="","",IF(COUNTIFS('سجل التحفيز'!$W$5:$W$2004,"&gt;0",'سجل التحفيز'!$B$5:$B$2004,B16)&gt;0,COUNT(Q$4:Q15)+1,""))</f>
        <v/>
      </c>
      <c r="R16">
        <f>IF(B16="","",IF(COUNTIFS('سجل التحفيز'!$X$5:$X$2004,"&gt;0",'سجل التحفيز'!$B$5:$B$2004,B16)&gt;0,COUNT(R$4:R15)+1,""))</f>
        <v/>
      </c>
      <c r="S16">
        <f>IF(B16="","",IF(COUNTIFS('سجل التحفيز'!$Y$5:$Y$2004,"&gt;0",'سجل التحفيز'!$B$5:$B$2004,B16)&gt;0,COUNT(S$4:S15)+1,""))</f>
        <v/>
      </c>
      <c r="T16">
        <f>IF(B16="","",IF(COUNTIFS('سجل التحفيز'!$Z$5:$Z$2004,"&gt;0",'سجل التحفيز'!$B$5:$B$2004,B16)&gt;0,COUNT(T$4:T15)+1,""))</f>
        <v/>
      </c>
      <c r="U16">
        <f>IF(B16="","",IF(COUNTIFS('سجل التحفيز'!$AA$5:$AA$2004,"&gt;0",'سجل التحفيز'!$B$5:$B$2004,B16)&gt;0,COUNT(U$4:U15)+1,""))</f>
        <v/>
      </c>
      <c r="V16">
        <f>IF(B16="","",IF(COUNTIFS('سجل التحفيز'!$AB$5:$AB$2004,"&gt;0",'سجل التحفيز'!$B$5:$B$2004,B16)&gt;0,COUNT(V$4:V15)+1,""))</f>
        <v/>
      </c>
      <c r="W16">
        <f>IF(B16="","",IF(COUNTIFS('سجل التحفيز'!$AC$5:$AC$2004,"&gt;0",'سجل التحفيز'!$B$5:$B$2004,B16)&gt;0,COUNT(W$4:W15)+1,""))</f>
        <v/>
      </c>
      <c r="X16">
        <f>IF(B16="","",IF(COUNTIFS('سجل التحفيز'!$AD$5:$AD$2004,"&gt;0",'سجل التحفيز'!$B$5:$B$2004,B16)&gt;0,COUNT(X$4:X15)+1,""))</f>
        <v/>
      </c>
      <c r="Y16">
        <f>IF(B16="","",IF(COUNTIFS('سجل التحفيز'!$AE$5:$AE$2004,"&gt;0",'سجل التحفيز'!$B$5:$B$2004,B16)&gt;0,COUNT(Y$4:Y15)+1,""))</f>
        <v/>
      </c>
    </row>
    <row r="17">
      <c r="A17" s="17" t="n"/>
      <c r="B17" s="17" t="n"/>
      <c r="C17" s="17" t="n"/>
      <c r="D17" s="17" t="n"/>
      <c r="E17" s="17" t="n"/>
      <c r="F17" s="17" t="n"/>
      <c r="G17" s="17" t="n"/>
      <c r="H17" s="20">
        <f>IF(B17="","",COUNTIFS('سجل التحفيز'!$B$5:$B$2004,B17,'سجل التحفيز'!$R$5:$R$2004,الإعدادات!$B$4))</f>
        <v/>
      </c>
      <c r="I17" s="20">
        <f>IF(B17="","",COUNTIFS('سجل التحفيز'!$B$5:$B$2004,B17,'سجل التحفيز'!$R$5:$R$2004,الإعدادات!$B$4,'سجل التحفيز'!$Q$5:$Q$2004,"الفصل الأول",'سجل التحفيز'!$D$5:$D$2004,"ذهبي"))</f>
        <v/>
      </c>
      <c r="J17" s="20">
        <f>IF(B17="","",COUNTIFS('سجل التحفيز'!$B$5:$B$2004,B17,'سجل التحفيز'!$R$5:$R$2004,الإعدادات!$B$4,'سجل التحفيز'!$Q$5:$Q$2004,"الفصل الثاني",'سجل التحفيز'!$D$5:$D$2004,"ذهبي"))</f>
        <v/>
      </c>
      <c r="K17" s="20">
        <f>IF(B17="","",COUNTIFS('سجل التحفيز'!$B$5:$B$2004,B17,'سجل التحفيز'!$R$5:$R$2004,الإعدادات!$B$4,'سجل التحفيز'!$D$5:$D$2004,"ذهبي"))</f>
        <v/>
      </c>
      <c r="L17" s="20">
        <f>IF(B17="","",IF(G17="محرومة","محرومة - مخالفة",IF(K17&gt;=5,"مستحقة ★","متبقي "&amp;(5-K17)&amp;" معايير")))</f>
        <v/>
      </c>
      <c r="N17">
        <f>IF(B17="","",IF(COUNTIFS('سجل التحفيز'!$T$5:$T$2004,"&gt;0",'سجل التحفيز'!$B$5:$B$2004,B17)&gt;0,COUNT(N$4:N16)+1,""))</f>
        <v/>
      </c>
      <c r="O17">
        <f>IF(B17="","",IF(COUNTIFS('سجل التحفيز'!$U$5:$U$2004,"&gt;0",'سجل التحفيز'!$B$5:$B$2004,B17)&gt;0,COUNT(O$4:O16)+1,""))</f>
        <v/>
      </c>
      <c r="P17">
        <f>IF(B17="","",IF(COUNTIFS('سجل التحفيز'!$V$5:$V$2004,"&gt;0",'سجل التحفيز'!$B$5:$B$2004,B17)&gt;0,COUNT(P$4:P16)+1,""))</f>
        <v/>
      </c>
      <c r="Q17">
        <f>IF(B17="","",IF(COUNTIFS('سجل التحفيز'!$W$5:$W$2004,"&gt;0",'سجل التحفيز'!$B$5:$B$2004,B17)&gt;0,COUNT(Q$4:Q16)+1,""))</f>
        <v/>
      </c>
      <c r="R17">
        <f>IF(B17="","",IF(COUNTIFS('سجل التحفيز'!$X$5:$X$2004,"&gt;0",'سجل التحفيز'!$B$5:$B$2004,B17)&gt;0,COUNT(R$4:R16)+1,""))</f>
        <v/>
      </c>
      <c r="S17">
        <f>IF(B17="","",IF(COUNTIFS('سجل التحفيز'!$Y$5:$Y$2004,"&gt;0",'سجل التحفيز'!$B$5:$B$2004,B17)&gt;0,COUNT(S$4:S16)+1,""))</f>
        <v/>
      </c>
      <c r="T17">
        <f>IF(B17="","",IF(COUNTIFS('سجل التحفيز'!$Z$5:$Z$2004,"&gt;0",'سجل التحفيز'!$B$5:$B$2004,B17)&gt;0,COUNT(T$4:T16)+1,""))</f>
        <v/>
      </c>
      <c r="U17">
        <f>IF(B17="","",IF(COUNTIFS('سجل التحفيز'!$AA$5:$AA$2004,"&gt;0",'سجل التحفيز'!$B$5:$B$2004,B17)&gt;0,COUNT(U$4:U16)+1,""))</f>
        <v/>
      </c>
      <c r="V17">
        <f>IF(B17="","",IF(COUNTIFS('سجل التحفيز'!$AB$5:$AB$2004,"&gt;0",'سجل التحفيز'!$B$5:$B$2004,B17)&gt;0,COUNT(V$4:V16)+1,""))</f>
        <v/>
      </c>
      <c r="W17">
        <f>IF(B17="","",IF(COUNTIFS('سجل التحفيز'!$AC$5:$AC$2004,"&gt;0",'سجل التحفيز'!$B$5:$B$2004,B17)&gt;0,COUNT(W$4:W16)+1,""))</f>
        <v/>
      </c>
      <c r="X17">
        <f>IF(B17="","",IF(COUNTIFS('سجل التحفيز'!$AD$5:$AD$2004,"&gt;0",'سجل التحفيز'!$B$5:$B$2004,B17)&gt;0,COUNT(X$4:X16)+1,""))</f>
        <v/>
      </c>
      <c r="Y17">
        <f>IF(B17="","",IF(COUNTIFS('سجل التحفيز'!$AE$5:$AE$2004,"&gt;0",'سجل التحفيز'!$B$5:$B$2004,B17)&gt;0,COUNT(Y$4:Y16)+1,""))</f>
        <v/>
      </c>
    </row>
    <row r="18">
      <c r="A18" s="17" t="n"/>
      <c r="B18" s="17" t="n"/>
      <c r="C18" s="17" t="n"/>
      <c r="D18" s="17" t="n"/>
      <c r="E18" s="17" t="n"/>
      <c r="F18" s="17" t="n"/>
      <c r="G18" s="17" t="n"/>
      <c r="H18" s="20">
        <f>IF(B18="","",COUNTIFS('سجل التحفيز'!$B$5:$B$2004,B18,'سجل التحفيز'!$R$5:$R$2004,الإعدادات!$B$4))</f>
        <v/>
      </c>
      <c r="I18" s="20">
        <f>IF(B18="","",COUNTIFS('سجل التحفيز'!$B$5:$B$2004,B18,'سجل التحفيز'!$R$5:$R$2004,الإعدادات!$B$4,'سجل التحفيز'!$Q$5:$Q$2004,"الفصل الأول",'سجل التحفيز'!$D$5:$D$2004,"ذهبي"))</f>
        <v/>
      </c>
      <c r="J18" s="20">
        <f>IF(B18="","",COUNTIFS('سجل التحفيز'!$B$5:$B$2004,B18,'سجل التحفيز'!$R$5:$R$2004,الإعدادات!$B$4,'سجل التحفيز'!$Q$5:$Q$2004,"الفصل الثاني",'سجل التحفيز'!$D$5:$D$2004,"ذهبي"))</f>
        <v/>
      </c>
      <c r="K18" s="20">
        <f>IF(B18="","",COUNTIFS('سجل التحفيز'!$B$5:$B$2004,B18,'سجل التحفيز'!$R$5:$R$2004,الإعدادات!$B$4,'سجل التحفيز'!$D$5:$D$2004,"ذهبي"))</f>
        <v/>
      </c>
      <c r="L18" s="20">
        <f>IF(B18="","",IF(G18="محرومة","محرومة - مخالفة",IF(K18&gt;=5,"مستحقة ★","متبقي "&amp;(5-K18)&amp;" معايير")))</f>
        <v/>
      </c>
      <c r="N18">
        <f>IF(B18="","",IF(COUNTIFS('سجل التحفيز'!$T$5:$T$2004,"&gt;0",'سجل التحفيز'!$B$5:$B$2004,B18)&gt;0,COUNT(N$4:N17)+1,""))</f>
        <v/>
      </c>
      <c r="O18">
        <f>IF(B18="","",IF(COUNTIFS('سجل التحفيز'!$U$5:$U$2004,"&gt;0",'سجل التحفيز'!$B$5:$B$2004,B18)&gt;0,COUNT(O$4:O17)+1,""))</f>
        <v/>
      </c>
      <c r="P18">
        <f>IF(B18="","",IF(COUNTIFS('سجل التحفيز'!$V$5:$V$2004,"&gt;0",'سجل التحفيز'!$B$5:$B$2004,B18)&gt;0,COUNT(P$4:P17)+1,""))</f>
        <v/>
      </c>
      <c r="Q18">
        <f>IF(B18="","",IF(COUNTIFS('سجل التحفيز'!$W$5:$W$2004,"&gt;0",'سجل التحفيز'!$B$5:$B$2004,B18)&gt;0,COUNT(Q$4:Q17)+1,""))</f>
        <v/>
      </c>
      <c r="R18">
        <f>IF(B18="","",IF(COUNTIFS('سجل التحفيز'!$X$5:$X$2004,"&gt;0",'سجل التحفيز'!$B$5:$B$2004,B18)&gt;0,COUNT(R$4:R17)+1,""))</f>
        <v/>
      </c>
      <c r="S18">
        <f>IF(B18="","",IF(COUNTIFS('سجل التحفيز'!$Y$5:$Y$2004,"&gt;0",'سجل التحفيز'!$B$5:$B$2004,B18)&gt;0,COUNT(S$4:S17)+1,""))</f>
        <v/>
      </c>
      <c r="T18">
        <f>IF(B18="","",IF(COUNTIFS('سجل التحفيز'!$Z$5:$Z$2004,"&gt;0",'سجل التحفيز'!$B$5:$B$2004,B18)&gt;0,COUNT(T$4:T17)+1,""))</f>
        <v/>
      </c>
      <c r="U18">
        <f>IF(B18="","",IF(COUNTIFS('سجل التحفيز'!$AA$5:$AA$2004,"&gt;0",'سجل التحفيز'!$B$5:$B$2004,B18)&gt;0,COUNT(U$4:U17)+1,""))</f>
        <v/>
      </c>
      <c r="V18">
        <f>IF(B18="","",IF(COUNTIFS('سجل التحفيز'!$AB$5:$AB$2004,"&gt;0",'سجل التحفيز'!$B$5:$B$2004,B18)&gt;0,COUNT(V$4:V17)+1,""))</f>
        <v/>
      </c>
      <c r="W18">
        <f>IF(B18="","",IF(COUNTIFS('سجل التحفيز'!$AC$5:$AC$2004,"&gt;0",'سجل التحفيز'!$B$5:$B$2004,B18)&gt;0,COUNT(W$4:W17)+1,""))</f>
        <v/>
      </c>
      <c r="X18">
        <f>IF(B18="","",IF(COUNTIFS('سجل التحفيز'!$AD$5:$AD$2004,"&gt;0",'سجل التحفيز'!$B$5:$B$2004,B18)&gt;0,COUNT(X$4:X17)+1,""))</f>
        <v/>
      </c>
      <c r="Y18">
        <f>IF(B18="","",IF(COUNTIFS('سجل التحفيز'!$AE$5:$AE$2004,"&gt;0",'سجل التحفيز'!$B$5:$B$2004,B18)&gt;0,COUNT(Y$4:Y17)+1,""))</f>
        <v/>
      </c>
    </row>
    <row r="19">
      <c r="A19" s="17" t="n"/>
      <c r="B19" s="17" t="n"/>
      <c r="C19" s="17" t="n"/>
      <c r="D19" s="17" t="n"/>
      <c r="E19" s="17" t="n"/>
      <c r="F19" s="17" t="n"/>
      <c r="G19" s="17" t="n"/>
      <c r="H19" s="20">
        <f>IF(B19="","",COUNTIFS('سجل التحفيز'!$B$5:$B$2004,B19,'سجل التحفيز'!$R$5:$R$2004,الإعدادات!$B$4))</f>
        <v/>
      </c>
      <c r="I19" s="20">
        <f>IF(B19="","",COUNTIFS('سجل التحفيز'!$B$5:$B$2004,B19,'سجل التحفيز'!$R$5:$R$2004,الإعدادات!$B$4,'سجل التحفيز'!$Q$5:$Q$2004,"الفصل الأول",'سجل التحفيز'!$D$5:$D$2004,"ذهبي"))</f>
        <v/>
      </c>
      <c r="J19" s="20">
        <f>IF(B19="","",COUNTIFS('سجل التحفيز'!$B$5:$B$2004,B19,'سجل التحفيز'!$R$5:$R$2004,الإعدادات!$B$4,'سجل التحفيز'!$Q$5:$Q$2004,"الفصل الثاني",'سجل التحفيز'!$D$5:$D$2004,"ذهبي"))</f>
        <v/>
      </c>
      <c r="K19" s="20">
        <f>IF(B19="","",COUNTIFS('سجل التحفيز'!$B$5:$B$2004,B19,'سجل التحفيز'!$R$5:$R$2004,الإعدادات!$B$4,'سجل التحفيز'!$D$5:$D$2004,"ذهبي"))</f>
        <v/>
      </c>
      <c r="L19" s="20">
        <f>IF(B19="","",IF(G19="محرومة","محرومة - مخالفة",IF(K19&gt;=5,"مستحقة ★","متبقي "&amp;(5-K19)&amp;" معايير")))</f>
        <v/>
      </c>
      <c r="N19">
        <f>IF(B19="","",IF(COUNTIFS('سجل التحفيز'!$T$5:$T$2004,"&gt;0",'سجل التحفيز'!$B$5:$B$2004,B19)&gt;0,COUNT(N$4:N18)+1,""))</f>
        <v/>
      </c>
      <c r="O19">
        <f>IF(B19="","",IF(COUNTIFS('سجل التحفيز'!$U$5:$U$2004,"&gt;0",'سجل التحفيز'!$B$5:$B$2004,B19)&gt;0,COUNT(O$4:O18)+1,""))</f>
        <v/>
      </c>
      <c r="P19">
        <f>IF(B19="","",IF(COUNTIFS('سجل التحفيز'!$V$5:$V$2004,"&gt;0",'سجل التحفيز'!$B$5:$B$2004,B19)&gt;0,COUNT(P$4:P18)+1,""))</f>
        <v/>
      </c>
      <c r="Q19">
        <f>IF(B19="","",IF(COUNTIFS('سجل التحفيز'!$W$5:$W$2004,"&gt;0",'سجل التحفيز'!$B$5:$B$2004,B19)&gt;0,COUNT(Q$4:Q18)+1,""))</f>
        <v/>
      </c>
      <c r="R19">
        <f>IF(B19="","",IF(COUNTIFS('سجل التحفيز'!$X$5:$X$2004,"&gt;0",'سجل التحفيز'!$B$5:$B$2004,B19)&gt;0,COUNT(R$4:R18)+1,""))</f>
        <v/>
      </c>
      <c r="S19">
        <f>IF(B19="","",IF(COUNTIFS('سجل التحفيز'!$Y$5:$Y$2004,"&gt;0",'سجل التحفيز'!$B$5:$B$2004,B19)&gt;0,COUNT(S$4:S18)+1,""))</f>
        <v/>
      </c>
      <c r="T19">
        <f>IF(B19="","",IF(COUNTIFS('سجل التحفيز'!$Z$5:$Z$2004,"&gt;0",'سجل التحفيز'!$B$5:$B$2004,B19)&gt;0,COUNT(T$4:T18)+1,""))</f>
        <v/>
      </c>
      <c r="U19">
        <f>IF(B19="","",IF(COUNTIFS('سجل التحفيز'!$AA$5:$AA$2004,"&gt;0",'سجل التحفيز'!$B$5:$B$2004,B19)&gt;0,COUNT(U$4:U18)+1,""))</f>
        <v/>
      </c>
      <c r="V19">
        <f>IF(B19="","",IF(COUNTIFS('سجل التحفيز'!$AB$5:$AB$2004,"&gt;0",'سجل التحفيز'!$B$5:$B$2004,B19)&gt;0,COUNT(V$4:V18)+1,""))</f>
        <v/>
      </c>
      <c r="W19">
        <f>IF(B19="","",IF(COUNTIFS('سجل التحفيز'!$AC$5:$AC$2004,"&gt;0",'سجل التحفيز'!$B$5:$B$2004,B19)&gt;0,COUNT(W$4:W18)+1,""))</f>
        <v/>
      </c>
      <c r="X19">
        <f>IF(B19="","",IF(COUNTIFS('سجل التحفيز'!$AD$5:$AD$2004,"&gt;0",'سجل التحفيز'!$B$5:$B$2004,B19)&gt;0,COUNT(X$4:X18)+1,""))</f>
        <v/>
      </c>
      <c r="Y19">
        <f>IF(B19="","",IF(COUNTIFS('سجل التحفيز'!$AE$5:$AE$2004,"&gt;0",'سجل التحفيز'!$B$5:$B$2004,B19)&gt;0,COUNT(Y$4:Y18)+1,""))</f>
        <v/>
      </c>
    </row>
    <row r="20">
      <c r="A20" s="17" t="n"/>
      <c r="B20" s="17" t="n"/>
      <c r="C20" s="17" t="n"/>
      <c r="D20" s="17" t="n"/>
      <c r="E20" s="17" t="n"/>
      <c r="F20" s="17" t="n"/>
      <c r="G20" s="17" t="n"/>
      <c r="H20" s="20">
        <f>IF(B20="","",COUNTIFS('سجل التحفيز'!$B$5:$B$2004,B20,'سجل التحفيز'!$R$5:$R$2004,الإعدادات!$B$4))</f>
        <v/>
      </c>
      <c r="I20" s="20">
        <f>IF(B20="","",COUNTIFS('سجل التحفيز'!$B$5:$B$2004,B20,'سجل التحفيز'!$R$5:$R$2004,الإعدادات!$B$4,'سجل التحفيز'!$Q$5:$Q$2004,"الفصل الأول",'سجل التحفيز'!$D$5:$D$2004,"ذهبي"))</f>
        <v/>
      </c>
      <c r="J20" s="20">
        <f>IF(B20="","",COUNTIFS('سجل التحفيز'!$B$5:$B$2004,B20,'سجل التحفيز'!$R$5:$R$2004,الإعدادات!$B$4,'سجل التحفيز'!$Q$5:$Q$2004,"الفصل الثاني",'سجل التحفيز'!$D$5:$D$2004,"ذهبي"))</f>
        <v/>
      </c>
      <c r="K20" s="20">
        <f>IF(B20="","",COUNTIFS('سجل التحفيز'!$B$5:$B$2004,B20,'سجل التحفيز'!$R$5:$R$2004,الإعدادات!$B$4,'سجل التحفيز'!$D$5:$D$2004,"ذهبي"))</f>
        <v/>
      </c>
      <c r="L20" s="20">
        <f>IF(B20="","",IF(G20="محرومة","محرومة - مخالفة",IF(K20&gt;=5,"مستحقة ★","متبقي "&amp;(5-K20)&amp;" معايير")))</f>
        <v/>
      </c>
      <c r="N20">
        <f>IF(B20="","",IF(COUNTIFS('سجل التحفيز'!$T$5:$T$2004,"&gt;0",'سجل التحفيز'!$B$5:$B$2004,B20)&gt;0,COUNT(N$4:N19)+1,""))</f>
        <v/>
      </c>
      <c r="O20">
        <f>IF(B20="","",IF(COUNTIFS('سجل التحفيز'!$U$5:$U$2004,"&gt;0",'سجل التحفيز'!$B$5:$B$2004,B20)&gt;0,COUNT(O$4:O19)+1,""))</f>
        <v/>
      </c>
      <c r="P20">
        <f>IF(B20="","",IF(COUNTIFS('سجل التحفيز'!$V$5:$V$2004,"&gt;0",'سجل التحفيز'!$B$5:$B$2004,B20)&gt;0,COUNT(P$4:P19)+1,""))</f>
        <v/>
      </c>
      <c r="Q20">
        <f>IF(B20="","",IF(COUNTIFS('سجل التحفيز'!$W$5:$W$2004,"&gt;0",'سجل التحفيز'!$B$5:$B$2004,B20)&gt;0,COUNT(Q$4:Q19)+1,""))</f>
        <v/>
      </c>
      <c r="R20">
        <f>IF(B20="","",IF(COUNTIFS('سجل التحفيز'!$X$5:$X$2004,"&gt;0",'سجل التحفيز'!$B$5:$B$2004,B20)&gt;0,COUNT(R$4:R19)+1,""))</f>
        <v/>
      </c>
      <c r="S20">
        <f>IF(B20="","",IF(COUNTIFS('سجل التحفيز'!$Y$5:$Y$2004,"&gt;0",'سجل التحفيز'!$B$5:$B$2004,B20)&gt;0,COUNT(S$4:S19)+1,""))</f>
        <v/>
      </c>
      <c r="T20">
        <f>IF(B20="","",IF(COUNTIFS('سجل التحفيز'!$Z$5:$Z$2004,"&gt;0",'سجل التحفيز'!$B$5:$B$2004,B20)&gt;0,COUNT(T$4:T19)+1,""))</f>
        <v/>
      </c>
      <c r="U20">
        <f>IF(B20="","",IF(COUNTIFS('سجل التحفيز'!$AA$5:$AA$2004,"&gt;0",'سجل التحفيز'!$B$5:$B$2004,B20)&gt;0,COUNT(U$4:U19)+1,""))</f>
        <v/>
      </c>
      <c r="V20">
        <f>IF(B20="","",IF(COUNTIFS('سجل التحفيز'!$AB$5:$AB$2004,"&gt;0",'سجل التحفيز'!$B$5:$B$2004,B20)&gt;0,COUNT(V$4:V19)+1,""))</f>
        <v/>
      </c>
      <c r="W20">
        <f>IF(B20="","",IF(COUNTIFS('سجل التحفيز'!$AC$5:$AC$2004,"&gt;0",'سجل التحفيز'!$B$5:$B$2004,B20)&gt;0,COUNT(W$4:W19)+1,""))</f>
        <v/>
      </c>
      <c r="X20">
        <f>IF(B20="","",IF(COUNTIFS('سجل التحفيز'!$AD$5:$AD$2004,"&gt;0",'سجل التحفيز'!$B$5:$B$2004,B20)&gt;0,COUNT(X$4:X19)+1,""))</f>
        <v/>
      </c>
      <c r="Y20">
        <f>IF(B20="","",IF(COUNTIFS('سجل التحفيز'!$AE$5:$AE$2004,"&gt;0",'سجل التحفيز'!$B$5:$B$2004,B20)&gt;0,COUNT(Y$4:Y19)+1,""))</f>
        <v/>
      </c>
    </row>
    <row r="21">
      <c r="A21" s="17" t="n"/>
      <c r="B21" s="17" t="n"/>
      <c r="C21" s="17" t="n"/>
      <c r="D21" s="17" t="n"/>
      <c r="E21" s="17" t="n"/>
      <c r="F21" s="17" t="n"/>
      <c r="G21" s="17" t="n"/>
      <c r="H21" s="20">
        <f>IF(B21="","",COUNTIFS('سجل التحفيز'!$B$5:$B$2004,B21,'سجل التحفيز'!$R$5:$R$2004,الإعدادات!$B$4))</f>
        <v/>
      </c>
      <c r="I21" s="20">
        <f>IF(B21="","",COUNTIFS('سجل التحفيز'!$B$5:$B$2004,B21,'سجل التحفيز'!$R$5:$R$2004,الإعدادات!$B$4,'سجل التحفيز'!$Q$5:$Q$2004,"الفصل الأول",'سجل التحفيز'!$D$5:$D$2004,"ذهبي"))</f>
        <v/>
      </c>
      <c r="J21" s="20">
        <f>IF(B21="","",COUNTIFS('سجل التحفيز'!$B$5:$B$2004,B21,'سجل التحفيز'!$R$5:$R$2004,الإعدادات!$B$4,'سجل التحفيز'!$Q$5:$Q$2004,"الفصل الثاني",'سجل التحفيز'!$D$5:$D$2004,"ذهبي"))</f>
        <v/>
      </c>
      <c r="K21" s="20">
        <f>IF(B21="","",COUNTIFS('سجل التحفيز'!$B$5:$B$2004,B21,'سجل التحفيز'!$R$5:$R$2004,الإعدادات!$B$4,'سجل التحفيز'!$D$5:$D$2004,"ذهبي"))</f>
        <v/>
      </c>
      <c r="L21" s="20">
        <f>IF(B21="","",IF(G21="محرومة","محرومة - مخالفة",IF(K21&gt;=5,"مستحقة ★","متبقي "&amp;(5-K21)&amp;" معايير")))</f>
        <v/>
      </c>
      <c r="N21">
        <f>IF(B21="","",IF(COUNTIFS('سجل التحفيز'!$T$5:$T$2004,"&gt;0",'سجل التحفيز'!$B$5:$B$2004,B21)&gt;0,COUNT(N$4:N20)+1,""))</f>
        <v/>
      </c>
      <c r="O21">
        <f>IF(B21="","",IF(COUNTIFS('سجل التحفيز'!$U$5:$U$2004,"&gt;0",'سجل التحفيز'!$B$5:$B$2004,B21)&gt;0,COUNT(O$4:O20)+1,""))</f>
        <v/>
      </c>
      <c r="P21">
        <f>IF(B21="","",IF(COUNTIFS('سجل التحفيز'!$V$5:$V$2004,"&gt;0",'سجل التحفيز'!$B$5:$B$2004,B21)&gt;0,COUNT(P$4:P20)+1,""))</f>
        <v/>
      </c>
      <c r="Q21">
        <f>IF(B21="","",IF(COUNTIFS('سجل التحفيز'!$W$5:$W$2004,"&gt;0",'سجل التحفيز'!$B$5:$B$2004,B21)&gt;0,COUNT(Q$4:Q20)+1,""))</f>
        <v/>
      </c>
      <c r="R21">
        <f>IF(B21="","",IF(COUNTIFS('سجل التحفيز'!$X$5:$X$2004,"&gt;0",'سجل التحفيز'!$B$5:$B$2004,B21)&gt;0,COUNT(R$4:R20)+1,""))</f>
        <v/>
      </c>
      <c r="S21">
        <f>IF(B21="","",IF(COUNTIFS('سجل التحفيز'!$Y$5:$Y$2004,"&gt;0",'سجل التحفيز'!$B$5:$B$2004,B21)&gt;0,COUNT(S$4:S20)+1,""))</f>
        <v/>
      </c>
      <c r="T21">
        <f>IF(B21="","",IF(COUNTIFS('سجل التحفيز'!$Z$5:$Z$2004,"&gt;0",'سجل التحفيز'!$B$5:$B$2004,B21)&gt;0,COUNT(T$4:T20)+1,""))</f>
        <v/>
      </c>
      <c r="U21">
        <f>IF(B21="","",IF(COUNTIFS('سجل التحفيز'!$AA$5:$AA$2004,"&gt;0",'سجل التحفيز'!$B$5:$B$2004,B21)&gt;0,COUNT(U$4:U20)+1,""))</f>
        <v/>
      </c>
      <c r="V21">
        <f>IF(B21="","",IF(COUNTIFS('سجل التحفيز'!$AB$5:$AB$2004,"&gt;0",'سجل التحفيز'!$B$5:$B$2004,B21)&gt;0,COUNT(V$4:V20)+1,""))</f>
        <v/>
      </c>
      <c r="W21">
        <f>IF(B21="","",IF(COUNTIFS('سجل التحفيز'!$AC$5:$AC$2004,"&gt;0",'سجل التحفيز'!$B$5:$B$2004,B21)&gt;0,COUNT(W$4:W20)+1,""))</f>
        <v/>
      </c>
      <c r="X21">
        <f>IF(B21="","",IF(COUNTIFS('سجل التحفيز'!$AD$5:$AD$2004,"&gt;0",'سجل التحفيز'!$B$5:$B$2004,B21)&gt;0,COUNT(X$4:X20)+1,""))</f>
        <v/>
      </c>
      <c r="Y21">
        <f>IF(B21="","",IF(COUNTIFS('سجل التحفيز'!$AE$5:$AE$2004,"&gt;0",'سجل التحفيز'!$B$5:$B$2004,B21)&gt;0,COUNT(Y$4:Y20)+1,""))</f>
        <v/>
      </c>
    </row>
    <row r="22">
      <c r="A22" s="17" t="n"/>
      <c r="B22" s="17" t="n"/>
      <c r="C22" s="17" t="n"/>
      <c r="D22" s="17" t="n"/>
      <c r="E22" s="17" t="n"/>
      <c r="F22" s="17" t="n"/>
      <c r="G22" s="17" t="n"/>
      <c r="H22" s="20">
        <f>IF(B22="","",COUNTIFS('سجل التحفيز'!$B$5:$B$2004,B22,'سجل التحفيز'!$R$5:$R$2004,الإعدادات!$B$4))</f>
        <v/>
      </c>
      <c r="I22" s="20">
        <f>IF(B22="","",COUNTIFS('سجل التحفيز'!$B$5:$B$2004,B22,'سجل التحفيز'!$R$5:$R$2004,الإعدادات!$B$4,'سجل التحفيز'!$Q$5:$Q$2004,"الفصل الأول",'سجل التحفيز'!$D$5:$D$2004,"ذهبي"))</f>
        <v/>
      </c>
      <c r="J22" s="20">
        <f>IF(B22="","",COUNTIFS('سجل التحفيز'!$B$5:$B$2004,B22,'سجل التحفيز'!$R$5:$R$2004,الإعدادات!$B$4,'سجل التحفيز'!$Q$5:$Q$2004,"الفصل الثاني",'سجل التحفيز'!$D$5:$D$2004,"ذهبي"))</f>
        <v/>
      </c>
      <c r="K22" s="20">
        <f>IF(B22="","",COUNTIFS('سجل التحفيز'!$B$5:$B$2004,B22,'سجل التحفيز'!$R$5:$R$2004,الإعدادات!$B$4,'سجل التحفيز'!$D$5:$D$2004,"ذهبي"))</f>
        <v/>
      </c>
      <c r="L22" s="20">
        <f>IF(B22="","",IF(G22="محرومة","محرومة - مخالفة",IF(K22&gt;=5,"مستحقة ★","متبقي "&amp;(5-K22)&amp;" معايير")))</f>
        <v/>
      </c>
      <c r="N22">
        <f>IF(B22="","",IF(COUNTIFS('سجل التحفيز'!$T$5:$T$2004,"&gt;0",'سجل التحفيز'!$B$5:$B$2004,B22)&gt;0,COUNT(N$4:N21)+1,""))</f>
        <v/>
      </c>
      <c r="O22">
        <f>IF(B22="","",IF(COUNTIFS('سجل التحفيز'!$U$5:$U$2004,"&gt;0",'سجل التحفيز'!$B$5:$B$2004,B22)&gt;0,COUNT(O$4:O21)+1,""))</f>
        <v/>
      </c>
      <c r="P22">
        <f>IF(B22="","",IF(COUNTIFS('سجل التحفيز'!$V$5:$V$2004,"&gt;0",'سجل التحفيز'!$B$5:$B$2004,B22)&gt;0,COUNT(P$4:P21)+1,""))</f>
        <v/>
      </c>
      <c r="Q22">
        <f>IF(B22="","",IF(COUNTIFS('سجل التحفيز'!$W$5:$W$2004,"&gt;0",'سجل التحفيز'!$B$5:$B$2004,B22)&gt;0,COUNT(Q$4:Q21)+1,""))</f>
        <v/>
      </c>
      <c r="R22">
        <f>IF(B22="","",IF(COUNTIFS('سجل التحفيز'!$X$5:$X$2004,"&gt;0",'سجل التحفيز'!$B$5:$B$2004,B22)&gt;0,COUNT(R$4:R21)+1,""))</f>
        <v/>
      </c>
      <c r="S22">
        <f>IF(B22="","",IF(COUNTIFS('سجل التحفيز'!$Y$5:$Y$2004,"&gt;0",'سجل التحفيز'!$B$5:$B$2004,B22)&gt;0,COUNT(S$4:S21)+1,""))</f>
        <v/>
      </c>
      <c r="T22">
        <f>IF(B22="","",IF(COUNTIFS('سجل التحفيز'!$Z$5:$Z$2004,"&gt;0",'سجل التحفيز'!$B$5:$B$2004,B22)&gt;0,COUNT(T$4:T21)+1,""))</f>
        <v/>
      </c>
      <c r="U22">
        <f>IF(B22="","",IF(COUNTIFS('سجل التحفيز'!$AA$5:$AA$2004,"&gt;0",'سجل التحفيز'!$B$5:$B$2004,B22)&gt;0,COUNT(U$4:U21)+1,""))</f>
        <v/>
      </c>
      <c r="V22">
        <f>IF(B22="","",IF(COUNTIFS('سجل التحفيز'!$AB$5:$AB$2004,"&gt;0",'سجل التحفيز'!$B$5:$B$2004,B22)&gt;0,COUNT(V$4:V21)+1,""))</f>
        <v/>
      </c>
      <c r="W22">
        <f>IF(B22="","",IF(COUNTIFS('سجل التحفيز'!$AC$5:$AC$2004,"&gt;0",'سجل التحفيز'!$B$5:$B$2004,B22)&gt;0,COUNT(W$4:W21)+1,""))</f>
        <v/>
      </c>
      <c r="X22">
        <f>IF(B22="","",IF(COUNTIFS('سجل التحفيز'!$AD$5:$AD$2004,"&gt;0",'سجل التحفيز'!$B$5:$B$2004,B22)&gt;0,COUNT(X$4:X21)+1,""))</f>
        <v/>
      </c>
      <c r="Y22">
        <f>IF(B22="","",IF(COUNTIFS('سجل التحفيز'!$AE$5:$AE$2004,"&gt;0",'سجل التحفيز'!$B$5:$B$2004,B22)&gt;0,COUNT(Y$4:Y21)+1,""))</f>
        <v/>
      </c>
    </row>
    <row r="23">
      <c r="A23" s="17" t="n"/>
      <c r="B23" s="17" t="n"/>
      <c r="C23" s="17" t="n"/>
      <c r="D23" s="17" t="n"/>
      <c r="E23" s="17" t="n"/>
      <c r="F23" s="17" t="n"/>
      <c r="G23" s="17" t="n"/>
      <c r="H23" s="20">
        <f>IF(B23="","",COUNTIFS('سجل التحفيز'!$B$5:$B$2004,B23,'سجل التحفيز'!$R$5:$R$2004,الإعدادات!$B$4))</f>
        <v/>
      </c>
      <c r="I23" s="20">
        <f>IF(B23="","",COUNTIFS('سجل التحفيز'!$B$5:$B$2004,B23,'سجل التحفيز'!$R$5:$R$2004,الإعدادات!$B$4,'سجل التحفيز'!$Q$5:$Q$2004,"الفصل الأول",'سجل التحفيز'!$D$5:$D$2004,"ذهبي"))</f>
        <v/>
      </c>
      <c r="J23" s="20">
        <f>IF(B23="","",COUNTIFS('سجل التحفيز'!$B$5:$B$2004,B23,'سجل التحفيز'!$R$5:$R$2004,الإعدادات!$B$4,'سجل التحفيز'!$Q$5:$Q$2004,"الفصل الثاني",'سجل التحفيز'!$D$5:$D$2004,"ذهبي"))</f>
        <v/>
      </c>
      <c r="K23" s="20">
        <f>IF(B23="","",COUNTIFS('سجل التحفيز'!$B$5:$B$2004,B23,'سجل التحفيز'!$R$5:$R$2004,الإعدادات!$B$4,'سجل التحفيز'!$D$5:$D$2004,"ذهبي"))</f>
        <v/>
      </c>
      <c r="L23" s="20">
        <f>IF(B23="","",IF(G23="محرومة","محرومة - مخالفة",IF(K23&gt;=5,"مستحقة ★","متبقي "&amp;(5-K23)&amp;" معايير")))</f>
        <v/>
      </c>
      <c r="N23">
        <f>IF(B23="","",IF(COUNTIFS('سجل التحفيز'!$T$5:$T$2004,"&gt;0",'سجل التحفيز'!$B$5:$B$2004,B23)&gt;0,COUNT(N$4:N22)+1,""))</f>
        <v/>
      </c>
      <c r="O23">
        <f>IF(B23="","",IF(COUNTIFS('سجل التحفيز'!$U$5:$U$2004,"&gt;0",'سجل التحفيز'!$B$5:$B$2004,B23)&gt;0,COUNT(O$4:O22)+1,""))</f>
        <v/>
      </c>
      <c r="P23">
        <f>IF(B23="","",IF(COUNTIFS('سجل التحفيز'!$V$5:$V$2004,"&gt;0",'سجل التحفيز'!$B$5:$B$2004,B23)&gt;0,COUNT(P$4:P22)+1,""))</f>
        <v/>
      </c>
      <c r="Q23">
        <f>IF(B23="","",IF(COUNTIFS('سجل التحفيز'!$W$5:$W$2004,"&gt;0",'سجل التحفيز'!$B$5:$B$2004,B23)&gt;0,COUNT(Q$4:Q22)+1,""))</f>
        <v/>
      </c>
      <c r="R23">
        <f>IF(B23="","",IF(COUNTIFS('سجل التحفيز'!$X$5:$X$2004,"&gt;0",'سجل التحفيز'!$B$5:$B$2004,B23)&gt;0,COUNT(R$4:R22)+1,""))</f>
        <v/>
      </c>
      <c r="S23">
        <f>IF(B23="","",IF(COUNTIFS('سجل التحفيز'!$Y$5:$Y$2004,"&gt;0",'سجل التحفيز'!$B$5:$B$2004,B23)&gt;0,COUNT(S$4:S22)+1,""))</f>
        <v/>
      </c>
      <c r="T23">
        <f>IF(B23="","",IF(COUNTIFS('سجل التحفيز'!$Z$5:$Z$2004,"&gt;0",'سجل التحفيز'!$B$5:$B$2004,B23)&gt;0,COUNT(T$4:T22)+1,""))</f>
        <v/>
      </c>
      <c r="U23">
        <f>IF(B23="","",IF(COUNTIFS('سجل التحفيز'!$AA$5:$AA$2004,"&gt;0",'سجل التحفيز'!$B$5:$B$2004,B23)&gt;0,COUNT(U$4:U22)+1,""))</f>
        <v/>
      </c>
      <c r="V23">
        <f>IF(B23="","",IF(COUNTIFS('سجل التحفيز'!$AB$5:$AB$2004,"&gt;0",'سجل التحفيز'!$B$5:$B$2004,B23)&gt;0,COUNT(V$4:V22)+1,""))</f>
        <v/>
      </c>
      <c r="W23">
        <f>IF(B23="","",IF(COUNTIFS('سجل التحفيز'!$AC$5:$AC$2004,"&gt;0",'سجل التحفيز'!$B$5:$B$2004,B23)&gt;0,COUNT(W$4:W22)+1,""))</f>
        <v/>
      </c>
      <c r="X23">
        <f>IF(B23="","",IF(COUNTIFS('سجل التحفيز'!$AD$5:$AD$2004,"&gt;0",'سجل التحفيز'!$B$5:$B$2004,B23)&gt;0,COUNT(X$4:X22)+1,""))</f>
        <v/>
      </c>
      <c r="Y23">
        <f>IF(B23="","",IF(COUNTIFS('سجل التحفيز'!$AE$5:$AE$2004,"&gt;0",'سجل التحفيز'!$B$5:$B$2004,B23)&gt;0,COUNT(Y$4:Y22)+1,""))</f>
        <v/>
      </c>
    </row>
    <row r="24">
      <c r="A24" s="17" t="n"/>
      <c r="B24" s="17" t="n"/>
      <c r="C24" s="17" t="n"/>
      <c r="D24" s="17" t="n"/>
      <c r="E24" s="17" t="n"/>
      <c r="F24" s="17" t="n"/>
      <c r="G24" s="17" t="n"/>
      <c r="H24" s="20">
        <f>IF(B24="","",COUNTIFS('سجل التحفيز'!$B$5:$B$2004,B24,'سجل التحفيز'!$R$5:$R$2004,الإعدادات!$B$4))</f>
        <v/>
      </c>
      <c r="I24" s="20">
        <f>IF(B24="","",COUNTIFS('سجل التحفيز'!$B$5:$B$2004,B24,'سجل التحفيز'!$R$5:$R$2004,الإعدادات!$B$4,'سجل التحفيز'!$Q$5:$Q$2004,"الفصل الأول",'سجل التحفيز'!$D$5:$D$2004,"ذهبي"))</f>
        <v/>
      </c>
      <c r="J24" s="20">
        <f>IF(B24="","",COUNTIFS('سجل التحفيز'!$B$5:$B$2004,B24,'سجل التحفيز'!$R$5:$R$2004,الإعدادات!$B$4,'سجل التحفيز'!$Q$5:$Q$2004,"الفصل الثاني",'سجل التحفيز'!$D$5:$D$2004,"ذهبي"))</f>
        <v/>
      </c>
      <c r="K24" s="20">
        <f>IF(B24="","",COUNTIFS('سجل التحفيز'!$B$5:$B$2004,B24,'سجل التحفيز'!$R$5:$R$2004,الإعدادات!$B$4,'سجل التحفيز'!$D$5:$D$2004,"ذهبي"))</f>
        <v/>
      </c>
      <c r="L24" s="20">
        <f>IF(B24="","",IF(G24="محرومة","محرومة - مخالفة",IF(K24&gt;=5,"مستحقة ★","متبقي "&amp;(5-K24)&amp;" معايير")))</f>
        <v/>
      </c>
      <c r="N24">
        <f>IF(B24="","",IF(COUNTIFS('سجل التحفيز'!$T$5:$T$2004,"&gt;0",'سجل التحفيز'!$B$5:$B$2004,B24)&gt;0,COUNT(N$4:N23)+1,""))</f>
        <v/>
      </c>
      <c r="O24">
        <f>IF(B24="","",IF(COUNTIFS('سجل التحفيز'!$U$5:$U$2004,"&gt;0",'سجل التحفيز'!$B$5:$B$2004,B24)&gt;0,COUNT(O$4:O23)+1,""))</f>
        <v/>
      </c>
      <c r="P24">
        <f>IF(B24="","",IF(COUNTIFS('سجل التحفيز'!$V$5:$V$2004,"&gt;0",'سجل التحفيز'!$B$5:$B$2004,B24)&gt;0,COUNT(P$4:P23)+1,""))</f>
        <v/>
      </c>
      <c r="Q24">
        <f>IF(B24="","",IF(COUNTIFS('سجل التحفيز'!$W$5:$W$2004,"&gt;0",'سجل التحفيز'!$B$5:$B$2004,B24)&gt;0,COUNT(Q$4:Q23)+1,""))</f>
        <v/>
      </c>
      <c r="R24">
        <f>IF(B24="","",IF(COUNTIFS('سجل التحفيز'!$X$5:$X$2004,"&gt;0",'سجل التحفيز'!$B$5:$B$2004,B24)&gt;0,COUNT(R$4:R23)+1,""))</f>
        <v/>
      </c>
      <c r="S24">
        <f>IF(B24="","",IF(COUNTIFS('سجل التحفيز'!$Y$5:$Y$2004,"&gt;0",'سجل التحفيز'!$B$5:$B$2004,B24)&gt;0,COUNT(S$4:S23)+1,""))</f>
        <v/>
      </c>
      <c r="T24">
        <f>IF(B24="","",IF(COUNTIFS('سجل التحفيز'!$Z$5:$Z$2004,"&gt;0",'سجل التحفيز'!$B$5:$B$2004,B24)&gt;0,COUNT(T$4:T23)+1,""))</f>
        <v/>
      </c>
      <c r="U24">
        <f>IF(B24="","",IF(COUNTIFS('سجل التحفيز'!$AA$5:$AA$2004,"&gt;0",'سجل التحفيز'!$B$5:$B$2004,B24)&gt;0,COUNT(U$4:U23)+1,""))</f>
        <v/>
      </c>
      <c r="V24">
        <f>IF(B24="","",IF(COUNTIFS('سجل التحفيز'!$AB$5:$AB$2004,"&gt;0",'سجل التحفيز'!$B$5:$B$2004,B24)&gt;0,COUNT(V$4:V23)+1,""))</f>
        <v/>
      </c>
      <c r="W24">
        <f>IF(B24="","",IF(COUNTIFS('سجل التحفيز'!$AC$5:$AC$2004,"&gt;0",'سجل التحفيز'!$B$5:$B$2004,B24)&gt;0,COUNT(W$4:W23)+1,""))</f>
        <v/>
      </c>
      <c r="X24">
        <f>IF(B24="","",IF(COUNTIFS('سجل التحفيز'!$AD$5:$AD$2004,"&gt;0",'سجل التحفيز'!$B$5:$B$2004,B24)&gt;0,COUNT(X$4:X23)+1,""))</f>
        <v/>
      </c>
      <c r="Y24">
        <f>IF(B24="","",IF(COUNTIFS('سجل التحفيز'!$AE$5:$AE$2004,"&gt;0",'سجل التحفيز'!$B$5:$B$2004,B24)&gt;0,COUNT(Y$4:Y23)+1,""))</f>
        <v/>
      </c>
    </row>
    <row r="25">
      <c r="A25" s="17" t="n"/>
      <c r="B25" s="17" t="n"/>
      <c r="C25" s="17" t="n"/>
      <c r="D25" s="17" t="n"/>
      <c r="E25" s="17" t="n"/>
      <c r="F25" s="17" t="n"/>
      <c r="G25" s="17" t="n"/>
      <c r="H25" s="20">
        <f>IF(B25="","",COUNTIFS('سجل التحفيز'!$B$5:$B$2004,B25,'سجل التحفيز'!$R$5:$R$2004,الإعدادات!$B$4))</f>
        <v/>
      </c>
      <c r="I25" s="20">
        <f>IF(B25="","",COUNTIFS('سجل التحفيز'!$B$5:$B$2004,B25,'سجل التحفيز'!$R$5:$R$2004,الإعدادات!$B$4,'سجل التحفيز'!$Q$5:$Q$2004,"الفصل الأول",'سجل التحفيز'!$D$5:$D$2004,"ذهبي"))</f>
        <v/>
      </c>
      <c r="J25" s="20">
        <f>IF(B25="","",COUNTIFS('سجل التحفيز'!$B$5:$B$2004,B25,'سجل التحفيز'!$R$5:$R$2004,الإعدادات!$B$4,'سجل التحفيز'!$Q$5:$Q$2004,"الفصل الثاني",'سجل التحفيز'!$D$5:$D$2004,"ذهبي"))</f>
        <v/>
      </c>
      <c r="K25" s="20">
        <f>IF(B25="","",COUNTIFS('سجل التحفيز'!$B$5:$B$2004,B25,'سجل التحفيز'!$R$5:$R$2004,الإعدادات!$B$4,'سجل التحفيز'!$D$5:$D$2004,"ذهبي"))</f>
        <v/>
      </c>
      <c r="L25" s="20">
        <f>IF(B25="","",IF(G25="محرومة","محرومة - مخالفة",IF(K25&gt;=5,"مستحقة ★","متبقي "&amp;(5-K25)&amp;" معايير")))</f>
        <v/>
      </c>
      <c r="N25">
        <f>IF(B25="","",IF(COUNTIFS('سجل التحفيز'!$T$5:$T$2004,"&gt;0",'سجل التحفيز'!$B$5:$B$2004,B25)&gt;0,COUNT(N$4:N24)+1,""))</f>
        <v/>
      </c>
      <c r="O25">
        <f>IF(B25="","",IF(COUNTIFS('سجل التحفيز'!$U$5:$U$2004,"&gt;0",'سجل التحفيز'!$B$5:$B$2004,B25)&gt;0,COUNT(O$4:O24)+1,""))</f>
        <v/>
      </c>
      <c r="P25">
        <f>IF(B25="","",IF(COUNTIFS('سجل التحفيز'!$V$5:$V$2004,"&gt;0",'سجل التحفيز'!$B$5:$B$2004,B25)&gt;0,COUNT(P$4:P24)+1,""))</f>
        <v/>
      </c>
      <c r="Q25">
        <f>IF(B25="","",IF(COUNTIFS('سجل التحفيز'!$W$5:$W$2004,"&gt;0",'سجل التحفيز'!$B$5:$B$2004,B25)&gt;0,COUNT(Q$4:Q24)+1,""))</f>
        <v/>
      </c>
      <c r="R25">
        <f>IF(B25="","",IF(COUNTIFS('سجل التحفيز'!$X$5:$X$2004,"&gt;0",'سجل التحفيز'!$B$5:$B$2004,B25)&gt;0,COUNT(R$4:R24)+1,""))</f>
        <v/>
      </c>
      <c r="S25">
        <f>IF(B25="","",IF(COUNTIFS('سجل التحفيز'!$Y$5:$Y$2004,"&gt;0",'سجل التحفيز'!$B$5:$B$2004,B25)&gt;0,COUNT(S$4:S24)+1,""))</f>
        <v/>
      </c>
      <c r="T25">
        <f>IF(B25="","",IF(COUNTIFS('سجل التحفيز'!$Z$5:$Z$2004,"&gt;0",'سجل التحفيز'!$B$5:$B$2004,B25)&gt;0,COUNT(T$4:T24)+1,""))</f>
        <v/>
      </c>
      <c r="U25">
        <f>IF(B25="","",IF(COUNTIFS('سجل التحفيز'!$AA$5:$AA$2004,"&gt;0",'سجل التحفيز'!$B$5:$B$2004,B25)&gt;0,COUNT(U$4:U24)+1,""))</f>
        <v/>
      </c>
      <c r="V25">
        <f>IF(B25="","",IF(COUNTIFS('سجل التحفيز'!$AB$5:$AB$2004,"&gt;0",'سجل التحفيز'!$B$5:$B$2004,B25)&gt;0,COUNT(V$4:V24)+1,""))</f>
        <v/>
      </c>
      <c r="W25">
        <f>IF(B25="","",IF(COUNTIFS('سجل التحفيز'!$AC$5:$AC$2004,"&gt;0",'سجل التحفيز'!$B$5:$B$2004,B25)&gt;0,COUNT(W$4:W24)+1,""))</f>
        <v/>
      </c>
      <c r="X25">
        <f>IF(B25="","",IF(COUNTIFS('سجل التحفيز'!$AD$5:$AD$2004,"&gt;0",'سجل التحفيز'!$B$5:$B$2004,B25)&gt;0,COUNT(X$4:X24)+1,""))</f>
        <v/>
      </c>
      <c r="Y25">
        <f>IF(B25="","",IF(COUNTIFS('سجل التحفيز'!$AE$5:$AE$2004,"&gt;0",'سجل التحفيز'!$B$5:$B$2004,B25)&gt;0,COUNT(Y$4:Y24)+1,""))</f>
        <v/>
      </c>
    </row>
    <row r="26">
      <c r="A26" s="17" t="n"/>
      <c r="B26" s="17" t="n"/>
      <c r="C26" s="17" t="n"/>
      <c r="D26" s="17" t="n"/>
      <c r="E26" s="17" t="n"/>
      <c r="F26" s="17" t="n"/>
      <c r="G26" s="17" t="n"/>
      <c r="H26" s="20">
        <f>IF(B26="","",COUNTIFS('سجل التحفيز'!$B$5:$B$2004,B26,'سجل التحفيز'!$R$5:$R$2004,الإعدادات!$B$4))</f>
        <v/>
      </c>
      <c r="I26" s="20">
        <f>IF(B26="","",COUNTIFS('سجل التحفيز'!$B$5:$B$2004,B26,'سجل التحفيز'!$R$5:$R$2004,الإعدادات!$B$4,'سجل التحفيز'!$Q$5:$Q$2004,"الفصل الأول",'سجل التحفيز'!$D$5:$D$2004,"ذهبي"))</f>
        <v/>
      </c>
      <c r="J26" s="20">
        <f>IF(B26="","",COUNTIFS('سجل التحفيز'!$B$5:$B$2004,B26,'سجل التحفيز'!$R$5:$R$2004,الإعدادات!$B$4,'سجل التحفيز'!$Q$5:$Q$2004,"الفصل الثاني",'سجل التحفيز'!$D$5:$D$2004,"ذهبي"))</f>
        <v/>
      </c>
      <c r="K26" s="20">
        <f>IF(B26="","",COUNTIFS('سجل التحفيز'!$B$5:$B$2004,B26,'سجل التحفيز'!$R$5:$R$2004,الإعدادات!$B$4,'سجل التحفيز'!$D$5:$D$2004,"ذهبي"))</f>
        <v/>
      </c>
      <c r="L26" s="20">
        <f>IF(B26="","",IF(G26="محرومة","محرومة - مخالفة",IF(K26&gt;=5,"مستحقة ★","متبقي "&amp;(5-K26)&amp;" معايير")))</f>
        <v/>
      </c>
      <c r="N26">
        <f>IF(B26="","",IF(COUNTIFS('سجل التحفيز'!$T$5:$T$2004,"&gt;0",'سجل التحفيز'!$B$5:$B$2004,B26)&gt;0,COUNT(N$4:N25)+1,""))</f>
        <v/>
      </c>
      <c r="O26">
        <f>IF(B26="","",IF(COUNTIFS('سجل التحفيز'!$U$5:$U$2004,"&gt;0",'سجل التحفيز'!$B$5:$B$2004,B26)&gt;0,COUNT(O$4:O25)+1,""))</f>
        <v/>
      </c>
      <c r="P26">
        <f>IF(B26="","",IF(COUNTIFS('سجل التحفيز'!$V$5:$V$2004,"&gt;0",'سجل التحفيز'!$B$5:$B$2004,B26)&gt;0,COUNT(P$4:P25)+1,""))</f>
        <v/>
      </c>
      <c r="Q26">
        <f>IF(B26="","",IF(COUNTIFS('سجل التحفيز'!$W$5:$W$2004,"&gt;0",'سجل التحفيز'!$B$5:$B$2004,B26)&gt;0,COUNT(Q$4:Q25)+1,""))</f>
        <v/>
      </c>
      <c r="R26">
        <f>IF(B26="","",IF(COUNTIFS('سجل التحفيز'!$X$5:$X$2004,"&gt;0",'سجل التحفيز'!$B$5:$B$2004,B26)&gt;0,COUNT(R$4:R25)+1,""))</f>
        <v/>
      </c>
      <c r="S26">
        <f>IF(B26="","",IF(COUNTIFS('سجل التحفيز'!$Y$5:$Y$2004,"&gt;0",'سجل التحفيز'!$B$5:$B$2004,B26)&gt;0,COUNT(S$4:S25)+1,""))</f>
        <v/>
      </c>
      <c r="T26">
        <f>IF(B26="","",IF(COUNTIFS('سجل التحفيز'!$Z$5:$Z$2004,"&gt;0",'سجل التحفيز'!$B$5:$B$2004,B26)&gt;0,COUNT(T$4:T25)+1,""))</f>
        <v/>
      </c>
      <c r="U26">
        <f>IF(B26="","",IF(COUNTIFS('سجل التحفيز'!$AA$5:$AA$2004,"&gt;0",'سجل التحفيز'!$B$5:$B$2004,B26)&gt;0,COUNT(U$4:U25)+1,""))</f>
        <v/>
      </c>
      <c r="V26">
        <f>IF(B26="","",IF(COUNTIFS('سجل التحفيز'!$AB$5:$AB$2004,"&gt;0",'سجل التحفيز'!$B$5:$B$2004,B26)&gt;0,COUNT(V$4:V25)+1,""))</f>
        <v/>
      </c>
      <c r="W26">
        <f>IF(B26="","",IF(COUNTIFS('سجل التحفيز'!$AC$5:$AC$2004,"&gt;0",'سجل التحفيز'!$B$5:$B$2004,B26)&gt;0,COUNT(W$4:W25)+1,""))</f>
        <v/>
      </c>
      <c r="X26">
        <f>IF(B26="","",IF(COUNTIFS('سجل التحفيز'!$AD$5:$AD$2004,"&gt;0",'سجل التحفيز'!$B$5:$B$2004,B26)&gt;0,COUNT(X$4:X25)+1,""))</f>
        <v/>
      </c>
      <c r="Y26">
        <f>IF(B26="","",IF(COUNTIFS('سجل التحفيز'!$AE$5:$AE$2004,"&gt;0",'سجل التحفيز'!$B$5:$B$2004,B26)&gt;0,COUNT(Y$4:Y25)+1,""))</f>
        <v/>
      </c>
    </row>
    <row r="27">
      <c r="A27" s="17" t="n"/>
      <c r="B27" s="17" t="n"/>
      <c r="C27" s="17" t="n"/>
      <c r="D27" s="17" t="n"/>
      <c r="E27" s="17" t="n"/>
      <c r="F27" s="17" t="n"/>
      <c r="G27" s="17" t="n"/>
      <c r="H27" s="20">
        <f>IF(B27="","",COUNTIFS('سجل التحفيز'!$B$5:$B$2004,B27,'سجل التحفيز'!$R$5:$R$2004,الإعدادات!$B$4))</f>
        <v/>
      </c>
      <c r="I27" s="20">
        <f>IF(B27="","",COUNTIFS('سجل التحفيز'!$B$5:$B$2004,B27,'سجل التحفيز'!$R$5:$R$2004,الإعدادات!$B$4,'سجل التحفيز'!$Q$5:$Q$2004,"الفصل الأول",'سجل التحفيز'!$D$5:$D$2004,"ذهبي"))</f>
        <v/>
      </c>
      <c r="J27" s="20">
        <f>IF(B27="","",COUNTIFS('سجل التحفيز'!$B$5:$B$2004,B27,'سجل التحفيز'!$R$5:$R$2004,الإعدادات!$B$4,'سجل التحفيز'!$Q$5:$Q$2004,"الفصل الثاني",'سجل التحفيز'!$D$5:$D$2004,"ذهبي"))</f>
        <v/>
      </c>
      <c r="K27" s="20">
        <f>IF(B27="","",COUNTIFS('سجل التحفيز'!$B$5:$B$2004,B27,'سجل التحفيز'!$R$5:$R$2004,الإعدادات!$B$4,'سجل التحفيز'!$D$5:$D$2004,"ذهبي"))</f>
        <v/>
      </c>
      <c r="L27" s="20">
        <f>IF(B27="","",IF(G27="محرومة","محرومة - مخالفة",IF(K27&gt;=5,"مستحقة ★","متبقي "&amp;(5-K27)&amp;" معايير")))</f>
        <v/>
      </c>
      <c r="N27">
        <f>IF(B27="","",IF(COUNTIFS('سجل التحفيز'!$T$5:$T$2004,"&gt;0",'سجل التحفيز'!$B$5:$B$2004,B27)&gt;0,COUNT(N$4:N26)+1,""))</f>
        <v/>
      </c>
      <c r="O27">
        <f>IF(B27="","",IF(COUNTIFS('سجل التحفيز'!$U$5:$U$2004,"&gt;0",'سجل التحفيز'!$B$5:$B$2004,B27)&gt;0,COUNT(O$4:O26)+1,""))</f>
        <v/>
      </c>
      <c r="P27">
        <f>IF(B27="","",IF(COUNTIFS('سجل التحفيز'!$V$5:$V$2004,"&gt;0",'سجل التحفيز'!$B$5:$B$2004,B27)&gt;0,COUNT(P$4:P26)+1,""))</f>
        <v/>
      </c>
      <c r="Q27">
        <f>IF(B27="","",IF(COUNTIFS('سجل التحفيز'!$W$5:$W$2004,"&gt;0",'سجل التحفيز'!$B$5:$B$2004,B27)&gt;0,COUNT(Q$4:Q26)+1,""))</f>
        <v/>
      </c>
      <c r="R27">
        <f>IF(B27="","",IF(COUNTIFS('سجل التحفيز'!$X$5:$X$2004,"&gt;0",'سجل التحفيز'!$B$5:$B$2004,B27)&gt;0,COUNT(R$4:R26)+1,""))</f>
        <v/>
      </c>
      <c r="S27">
        <f>IF(B27="","",IF(COUNTIFS('سجل التحفيز'!$Y$5:$Y$2004,"&gt;0",'سجل التحفيز'!$B$5:$B$2004,B27)&gt;0,COUNT(S$4:S26)+1,""))</f>
        <v/>
      </c>
      <c r="T27">
        <f>IF(B27="","",IF(COUNTIFS('سجل التحفيز'!$Z$5:$Z$2004,"&gt;0",'سجل التحفيز'!$B$5:$B$2004,B27)&gt;0,COUNT(T$4:T26)+1,""))</f>
        <v/>
      </c>
      <c r="U27">
        <f>IF(B27="","",IF(COUNTIFS('سجل التحفيز'!$AA$5:$AA$2004,"&gt;0",'سجل التحفيز'!$B$5:$B$2004,B27)&gt;0,COUNT(U$4:U26)+1,""))</f>
        <v/>
      </c>
      <c r="V27">
        <f>IF(B27="","",IF(COUNTIFS('سجل التحفيز'!$AB$5:$AB$2004,"&gt;0",'سجل التحفيز'!$B$5:$B$2004,B27)&gt;0,COUNT(V$4:V26)+1,""))</f>
        <v/>
      </c>
      <c r="W27">
        <f>IF(B27="","",IF(COUNTIFS('سجل التحفيز'!$AC$5:$AC$2004,"&gt;0",'سجل التحفيز'!$B$5:$B$2004,B27)&gt;0,COUNT(W$4:W26)+1,""))</f>
        <v/>
      </c>
      <c r="X27">
        <f>IF(B27="","",IF(COUNTIFS('سجل التحفيز'!$AD$5:$AD$2004,"&gt;0",'سجل التحفيز'!$B$5:$B$2004,B27)&gt;0,COUNT(X$4:X26)+1,""))</f>
        <v/>
      </c>
      <c r="Y27">
        <f>IF(B27="","",IF(COUNTIFS('سجل التحفيز'!$AE$5:$AE$2004,"&gt;0",'سجل التحفيز'!$B$5:$B$2004,B27)&gt;0,COUNT(Y$4:Y26)+1,""))</f>
        <v/>
      </c>
    </row>
    <row r="28">
      <c r="A28" s="17" t="n"/>
      <c r="B28" s="17" t="n"/>
      <c r="C28" s="17" t="n"/>
      <c r="D28" s="17" t="n"/>
      <c r="E28" s="17" t="n"/>
      <c r="F28" s="17" t="n"/>
      <c r="G28" s="17" t="n"/>
      <c r="H28" s="20">
        <f>IF(B28="","",COUNTIFS('سجل التحفيز'!$B$5:$B$2004,B28,'سجل التحفيز'!$R$5:$R$2004,الإعدادات!$B$4))</f>
        <v/>
      </c>
      <c r="I28" s="20">
        <f>IF(B28="","",COUNTIFS('سجل التحفيز'!$B$5:$B$2004,B28,'سجل التحفيز'!$R$5:$R$2004,الإعدادات!$B$4,'سجل التحفيز'!$Q$5:$Q$2004,"الفصل الأول",'سجل التحفيز'!$D$5:$D$2004,"ذهبي"))</f>
        <v/>
      </c>
      <c r="J28" s="20">
        <f>IF(B28="","",COUNTIFS('سجل التحفيز'!$B$5:$B$2004,B28,'سجل التحفيز'!$R$5:$R$2004,الإعدادات!$B$4,'سجل التحفيز'!$Q$5:$Q$2004,"الفصل الثاني",'سجل التحفيز'!$D$5:$D$2004,"ذهبي"))</f>
        <v/>
      </c>
      <c r="K28" s="20">
        <f>IF(B28="","",COUNTIFS('سجل التحفيز'!$B$5:$B$2004,B28,'سجل التحفيز'!$R$5:$R$2004,الإعدادات!$B$4,'سجل التحفيز'!$D$5:$D$2004,"ذهبي"))</f>
        <v/>
      </c>
      <c r="L28" s="20">
        <f>IF(B28="","",IF(G28="محرومة","محرومة - مخالفة",IF(K28&gt;=5,"مستحقة ★","متبقي "&amp;(5-K28)&amp;" معايير")))</f>
        <v/>
      </c>
      <c r="N28">
        <f>IF(B28="","",IF(COUNTIFS('سجل التحفيز'!$T$5:$T$2004,"&gt;0",'سجل التحفيز'!$B$5:$B$2004,B28)&gt;0,COUNT(N$4:N27)+1,""))</f>
        <v/>
      </c>
      <c r="O28">
        <f>IF(B28="","",IF(COUNTIFS('سجل التحفيز'!$U$5:$U$2004,"&gt;0",'سجل التحفيز'!$B$5:$B$2004,B28)&gt;0,COUNT(O$4:O27)+1,""))</f>
        <v/>
      </c>
      <c r="P28">
        <f>IF(B28="","",IF(COUNTIFS('سجل التحفيز'!$V$5:$V$2004,"&gt;0",'سجل التحفيز'!$B$5:$B$2004,B28)&gt;0,COUNT(P$4:P27)+1,""))</f>
        <v/>
      </c>
      <c r="Q28">
        <f>IF(B28="","",IF(COUNTIFS('سجل التحفيز'!$W$5:$W$2004,"&gt;0",'سجل التحفيز'!$B$5:$B$2004,B28)&gt;0,COUNT(Q$4:Q27)+1,""))</f>
        <v/>
      </c>
      <c r="R28">
        <f>IF(B28="","",IF(COUNTIFS('سجل التحفيز'!$X$5:$X$2004,"&gt;0",'سجل التحفيز'!$B$5:$B$2004,B28)&gt;0,COUNT(R$4:R27)+1,""))</f>
        <v/>
      </c>
      <c r="S28">
        <f>IF(B28="","",IF(COUNTIFS('سجل التحفيز'!$Y$5:$Y$2004,"&gt;0",'سجل التحفيز'!$B$5:$B$2004,B28)&gt;0,COUNT(S$4:S27)+1,""))</f>
        <v/>
      </c>
      <c r="T28">
        <f>IF(B28="","",IF(COUNTIFS('سجل التحفيز'!$Z$5:$Z$2004,"&gt;0",'سجل التحفيز'!$B$5:$B$2004,B28)&gt;0,COUNT(T$4:T27)+1,""))</f>
        <v/>
      </c>
      <c r="U28">
        <f>IF(B28="","",IF(COUNTIFS('سجل التحفيز'!$AA$5:$AA$2004,"&gt;0",'سجل التحفيز'!$B$5:$B$2004,B28)&gt;0,COUNT(U$4:U27)+1,""))</f>
        <v/>
      </c>
      <c r="V28">
        <f>IF(B28="","",IF(COUNTIFS('سجل التحفيز'!$AB$5:$AB$2004,"&gt;0",'سجل التحفيز'!$B$5:$B$2004,B28)&gt;0,COUNT(V$4:V27)+1,""))</f>
        <v/>
      </c>
      <c r="W28">
        <f>IF(B28="","",IF(COUNTIFS('سجل التحفيز'!$AC$5:$AC$2004,"&gt;0",'سجل التحفيز'!$B$5:$B$2004,B28)&gt;0,COUNT(W$4:W27)+1,""))</f>
        <v/>
      </c>
      <c r="X28">
        <f>IF(B28="","",IF(COUNTIFS('سجل التحفيز'!$AD$5:$AD$2004,"&gt;0",'سجل التحفيز'!$B$5:$B$2004,B28)&gt;0,COUNT(X$4:X27)+1,""))</f>
        <v/>
      </c>
      <c r="Y28">
        <f>IF(B28="","",IF(COUNTIFS('سجل التحفيز'!$AE$5:$AE$2004,"&gt;0",'سجل التحفيز'!$B$5:$B$2004,B28)&gt;0,COUNT(Y$4:Y27)+1,""))</f>
        <v/>
      </c>
    </row>
    <row r="29">
      <c r="A29" s="17" t="n"/>
      <c r="B29" s="17" t="n"/>
      <c r="C29" s="17" t="n"/>
      <c r="D29" s="17" t="n"/>
      <c r="E29" s="17" t="n"/>
      <c r="F29" s="17" t="n"/>
      <c r="G29" s="17" t="n"/>
      <c r="H29" s="20">
        <f>IF(B29="","",COUNTIFS('سجل التحفيز'!$B$5:$B$2004,B29,'سجل التحفيز'!$R$5:$R$2004,الإعدادات!$B$4))</f>
        <v/>
      </c>
      <c r="I29" s="20">
        <f>IF(B29="","",COUNTIFS('سجل التحفيز'!$B$5:$B$2004,B29,'سجل التحفيز'!$R$5:$R$2004,الإعدادات!$B$4,'سجل التحفيز'!$Q$5:$Q$2004,"الفصل الأول",'سجل التحفيز'!$D$5:$D$2004,"ذهبي"))</f>
        <v/>
      </c>
      <c r="J29" s="20">
        <f>IF(B29="","",COUNTIFS('سجل التحفيز'!$B$5:$B$2004,B29,'سجل التحفيز'!$R$5:$R$2004,الإعدادات!$B$4,'سجل التحفيز'!$Q$5:$Q$2004,"الفصل الثاني",'سجل التحفيز'!$D$5:$D$2004,"ذهبي"))</f>
        <v/>
      </c>
      <c r="K29" s="20">
        <f>IF(B29="","",COUNTIFS('سجل التحفيز'!$B$5:$B$2004,B29,'سجل التحفيز'!$R$5:$R$2004,الإعدادات!$B$4,'سجل التحفيز'!$D$5:$D$2004,"ذهبي"))</f>
        <v/>
      </c>
      <c r="L29" s="20">
        <f>IF(B29="","",IF(G29="محرومة","محرومة - مخالفة",IF(K29&gt;=5,"مستحقة ★","متبقي "&amp;(5-K29)&amp;" معايير")))</f>
        <v/>
      </c>
      <c r="N29">
        <f>IF(B29="","",IF(COUNTIFS('سجل التحفيز'!$T$5:$T$2004,"&gt;0",'سجل التحفيز'!$B$5:$B$2004,B29)&gt;0,COUNT(N$4:N28)+1,""))</f>
        <v/>
      </c>
      <c r="O29">
        <f>IF(B29="","",IF(COUNTIFS('سجل التحفيز'!$U$5:$U$2004,"&gt;0",'سجل التحفيز'!$B$5:$B$2004,B29)&gt;0,COUNT(O$4:O28)+1,""))</f>
        <v/>
      </c>
      <c r="P29">
        <f>IF(B29="","",IF(COUNTIFS('سجل التحفيز'!$V$5:$V$2004,"&gt;0",'سجل التحفيز'!$B$5:$B$2004,B29)&gt;0,COUNT(P$4:P28)+1,""))</f>
        <v/>
      </c>
      <c r="Q29">
        <f>IF(B29="","",IF(COUNTIFS('سجل التحفيز'!$W$5:$W$2004,"&gt;0",'سجل التحفيز'!$B$5:$B$2004,B29)&gt;0,COUNT(Q$4:Q28)+1,""))</f>
        <v/>
      </c>
      <c r="R29">
        <f>IF(B29="","",IF(COUNTIFS('سجل التحفيز'!$X$5:$X$2004,"&gt;0",'سجل التحفيز'!$B$5:$B$2004,B29)&gt;0,COUNT(R$4:R28)+1,""))</f>
        <v/>
      </c>
      <c r="S29">
        <f>IF(B29="","",IF(COUNTIFS('سجل التحفيز'!$Y$5:$Y$2004,"&gt;0",'سجل التحفيز'!$B$5:$B$2004,B29)&gt;0,COUNT(S$4:S28)+1,""))</f>
        <v/>
      </c>
      <c r="T29">
        <f>IF(B29="","",IF(COUNTIFS('سجل التحفيز'!$Z$5:$Z$2004,"&gt;0",'سجل التحفيز'!$B$5:$B$2004,B29)&gt;0,COUNT(T$4:T28)+1,""))</f>
        <v/>
      </c>
      <c r="U29">
        <f>IF(B29="","",IF(COUNTIFS('سجل التحفيز'!$AA$5:$AA$2004,"&gt;0",'سجل التحفيز'!$B$5:$B$2004,B29)&gt;0,COUNT(U$4:U28)+1,""))</f>
        <v/>
      </c>
      <c r="V29">
        <f>IF(B29="","",IF(COUNTIFS('سجل التحفيز'!$AB$5:$AB$2004,"&gt;0",'سجل التحفيز'!$B$5:$B$2004,B29)&gt;0,COUNT(V$4:V28)+1,""))</f>
        <v/>
      </c>
      <c r="W29">
        <f>IF(B29="","",IF(COUNTIFS('سجل التحفيز'!$AC$5:$AC$2004,"&gt;0",'سجل التحفيز'!$B$5:$B$2004,B29)&gt;0,COUNT(W$4:W28)+1,""))</f>
        <v/>
      </c>
      <c r="X29">
        <f>IF(B29="","",IF(COUNTIFS('سجل التحفيز'!$AD$5:$AD$2004,"&gt;0",'سجل التحفيز'!$B$5:$B$2004,B29)&gt;0,COUNT(X$4:X28)+1,""))</f>
        <v/>
      </c>
      <c r="Y29">
        <f>IF(B29="","",IF(COUNTIFS('سجل التحفيز'!$AE$5:$AE$2004,"&gt;0",'سجل التحفيز'!$B$5:$B$2004,B29)&gt;0,COUNT(Y$4:Y28)+1,""))</f>
        <v/>
      </c>
    </row>
    <row r="30">
      <c r="A30" s="17" t="n"/>
      <c r="B30" s="17" t="n"/>
      <c r="C30" s="17" t="n"/>
      <c r="D30" s="17" t="n"/>
      <c r="E30" s="17" t="n"/>
      <c r="F30" s="17" t="n"/>
      <c r="G30" s="17" t="n"/>
      <c r="H30" s="20">
        <f>IF(B30="","",COUNTIFS('سجل التحفيز'!$B$5:$B$2004,B30,'سجل التحفيز'!$R$5:$R$2004,الإعدادات!$B$4))</f>
        <v/>
      </c>
      <c r="I30" s="20">
        <f>IF(B30="","",COUNTIFS('سجل التحفيز'!$B$5:$B$2004,B30,'سجل التحفيز'!$R$5:$R$2004,الإعدادات!$B$4,'سجل التحفيز'!$Q$5:$Q$2004,"الفصل الأول",'سجل التحفيز'!$D$5:$D$2004,"ذهبي"))</f>
        <v/>
      </c>
      <c r="J30" s="20">
        <f>IF(B30="","",COUNTIFS('سجل التحفيز'!$B$5:$B$2004,B30,'سجل التحفيز'!$R$5:$R$2004,الإعدادات!$B$4,'سجل التحفيز'!$Q$5:$Q$2004,"الفصل الثاني",'سجل التحفيز'!$D$5:$D$2004,"ذهبي"))</f>
        <v/>
      </c>
      <c r="K30" s="20">
        <f>IF(B30="","",COUNTIFS('سجل التحفيز'!$B$5:$B$2004,B30,'سجل التحفيز'!$R$5:$R$2004,الإعدادات!$B$4,'سجل التحفيز'!$D$5:$D$2004,"ذهبي"))</f>
        <v/>
      </c>
      <c r="L30" s="20">
        <f>IF(B30="","",IF(G30="محرومة","محرومة - مخالفة",IF(K30&gt;=5,"مستحقة ★","متبقي "&amp;(5-K30)&amp;" معايير")))</f>
        <v/>
      </c>
      <c r="N30">
        <f>IF(B30="","",IF(COUNTIFS('سجل التحفيز'!$T$5:$T$2004,"&gt;0",'سجل التحفيز'!$B$5:$B$2004,B30)&gt;0,COUNT(N$4:N29)+1,""))</f>
        <v/>
      </c>
      <c r="O30">
        <f>IF(B30="","",IF(COUNTIFS('سجل التحفيز'!$U$5:$U$2004,"&gt;0",'سجل التحفيز'!$B$5:$B$2004,B30)&gt;0,COUNT(O$4:O29)+1,""))</f>
        <v/>
      </c>
      <c r="P30">
        <f>IF(B30="","",IF(COUNTIFS('سجل التحفيز'!$V$5:$V$2004,"&gt;0",'سجل التحفيز'!$B$5:$B$2004,B30)&gt;0,COUNT(P$4:P29)+1,""))</f>
        <v/>
      </c>
      <c r="Q30">
        <f>IF(B30="","",IF(COUNTIFS('سجل التحفيز'!$W$5:$W$2004,"&gt;0",'سجل التحفيز'!$B$5:$B$2004,B30)&gt;0,COUNT(Q$4:Q29)+1,""))</f>
        <v/>
      </c>
      <c r="R30">
        <f>IF(B30="","",IF(COUNTIFS('سجل التحفيز'!$X$5:$X$2004,"&gt;0",'سجل التحفيز'!$B$5:$B$2004,B30)&gt;0,COUNT(R$4:R29)+1,""))</f>
        <v/>
      </c>
      <c r="S30">
        <f>IF(B30="","",IF(COUNTIFS('سجل التحفيز'!$Y$5:$Y$2004,"&gt;0",'سجل التحفيز'!$B$5:$B$2004,B30)&gt;0,COUNT(S$4:S29)+1,""))</f>
        <v/>
      </c>
      <c r="T30">
        <f>IF(B30="","",IF(COUNTIFS('سجل التحفيز'!$Z$5:$Z$2004,"&gt;0",'سجل التحفيز'!$B$5:$B$2004,B30)&gt;0,COUNT(T$4:T29)+1,""))</f>
        <v/>
      </c>
      <c r="U30">
        <f>IF(B30="","",IF(COUNTIFS('سجل التحفيز'!$AA$5:$AA$2004,"&gt;0",'سجل التحفيز'!$B$5:$B$2004,B30)&gt;0,COUNT(U$4:U29)+1,""))</f>
        <v/>
      </c>
      <c r="V30">
        <f>IF(B30="","",IF(COUNTIFS('سجل التحفيز'!$AB$5:$AB$2004,"&gt;0",'سجل التحفيز'!$B$5:$B$2004,B30)&gt;0,COUNT(V$4:V29)+1,""))</f>
        <v/>
      </c>
      <c r="W30">
        <f>IF(B30="","",IF(COUNTIFS('سجل التحفيز'!$AC$5:$AC$2004,"&gt;0",'سجل التحفيز'!$B$5:$B$2004,B30)&gt;0,COUNT(W$4:W29)+1,""))</f>
        <v/>
      </c>
      <c r="X30">
        <f>IF(B30="","",IF(COUNTIFS('سجل التحفيز'!$AD$5:$AD$2004,"&gt;0",'سجل التحفيز'!$B$5:$B$2004,B30)&gt;0,COUNT(X$4:X29)+1,""))</f>
        <v/>
      </c>
      <c r="Y30">
        <f>IF(B30="","",IF(COUNTIFS('سجل التحفيز'!$AE$5:$AE$2004,"&gt;0",'سجل التحفيز'!$B$5:$B$2004,B30)&gt;0,COUNT(Y$4:Y29)+1,""))</f>
        <v/>
      </c>
    </row>
    <row r="31">
      <c r="A31" s="17" t="n"/>
      <c r="B31" s="17" t="n"/>
      <c r="C31" s="17" t="n"/>
      <c r="D31" s="17" t="n"/>
      <c r="E31" s="17" t="n"/>
      <c r="F31" s="17" t="n"/>
      <c r="G31" s="17" t="n"/>
      <c r="H31" s="20">
        <f>IF(B31="","",COUNTIFS('سجل التحفيز'!$B$5:$B$2004,B31,'سجل التحفيز'!$R$5:$R$2004,الإعدادات!$B$4))</f>
        <v/>
      </c>
      <c r="I31" s="20">
        <f>IF(B31="","",COUNTIFS('سجل التحفيز'!$B$5:$B$2004,B31,'سجل التحفيز'!$R$5:$R$2004,الإعدادات!$B$4,'سجل التحفيز'!$Q$5:$Q$2004,"الفصل الأول",'سجل التحفيز'!$D$5:$D$2004,"ذهبي"))</f>
        <v/>
      </c>
      <c r="J31" s="20">
        <f>IF(B31="","",COUNTIFS('سجل التحفيز'!$B$5:$B$2004,B31,'سجل التحفيز'!$R$5:$R$2004,الإعدادات!$B$4,'سجل التحفيز'!$Q$5:$Q$2004,"الفصل الثاني",'سجل التحفيز'!$D$5:$D$2004,"ذهبي"))</f>
        <v/>
      </c>
      <c r="K31" s="20">
        <f>IF(B31="","",COUNTIFS('سجل التحفيز'!$B$5:$B$2004,B31,'سجل التحفيز'!$R$5:$R$2004,الإعدادات!$B$4,'سجل التحفيز'!$D$5:$D$2004,"ذهبي"))</f>
        <v/>
      </c>
      <c r="L31" s="20">
        <f>IF(B31="","",IF(G31="محرومة","محرومة - مخالفة",IF(K31&gt;=5,"مستحقة ★","متبقي "&amp;(5-K31)&amp;" معايير")))</f>
        <v/>
      </c>
      <c r="N31">
        <f>IF(B31="","",IF(COUNTIFS('سجل التحفيز'!$T$5:$T$2004,"&gt;0",'سجل التحفيز'!$B$5:$B$2004,B31)&gt;0,COUNT(N$4:N30)+1,""))</f>
        <v/>
      </c>
      <c r="O31">
        <f>IF(B31="","",IF(COUNTIFS('سجل التحفيز'!$U$5:$U$2004,"&gt;0",'سجل التحفيز'!$B$5:$B$2004,B31)&gt;0,COUNT(O$4:O30)+1,""))</f>
        <v/>
      </c>
      <c r="P31">
        <f>IF(B31="","",IF(COUNTIFS('سجل التحفيز'!$V$5:$V$2004,"&gt;0",'سجل التحفيز'!$B$5:$B$2004,B31)&gt;0,COUNT(P$4:P30)+1,""))</f>
        <v/>
      </c>
      <c r="Q31">
        <f>IF(B31="","",IF(COUNTIFS('سجل التحفيز'!$W$5:$W$2004,"&gt;0",'سجل التحفيز'!$B$5:$B$2004,B31)&gt;0,COUNT(Q$4:Q30)+1,""))</f>
        <v/>
      </c>
      <c r="R31">
        <f>IF(B31="","",IF(COUNTIFS('سجل التحفيز'!$X$5:$X$2004,"&gt;0",'سجل التحفيز'!$B$5:$B$2004,B31)&gt;0,COUNT(R$4:R30)+1,""))</f>
        <v/>
      </c>
      <c r="S31">
        <f>IF(B31="","",IF(COUNTIFS('سجل التحفيز'!$Y$5:$Y$2004,"&gt;0",'سجل التحفيز'!$B$5:$B$2004,B31)&gt;0,COUNT(S$4:S30)+1,""))</f>
        <v/>
      </c>
      <c r="T31">
        <f>IF(B31="","",IF(COUNTIFS('سجل التحفيز'!$Z$5:$Z$2004,"&gt;0",'سجل التحفيز'!$B$5:$B$2004,B31)&gt;0,COUNT(T$4:T30)+1,""))</f>
        <v/>
      </c>
      <c r="U31">
        <f>IF(B31="","",IF(COUNTIFS('سجل التحفيز'!$AA$5:$AA$2004,"&gt;0",'سجل التحفيز'!$B$5:$B$2004,B31)&gt;0,COUNT(U$4:U30)+1,""))</f>
        <v/>
      </c>
      <c r="V31">
        <f>IF(B31="","",IF(COUNTIFS('سجل التحفيز'!$AB$5:$AB$2004,"&gt;0",'سجل التحفيز'!$B$5:$B$2004,B31)&gt;0,COUNT(V$4:V30)+1,""))</f>
        <v/>
      </c>
      <c r="W31">
        <f>IF(B31="","",IF(COUNTIFS('سجل التحفيز'!$AC$5:$AC$2004,"&gt;0",'سجل التحفيز'!$B$5:$B$2004,B31)&gt;0,COUNT(W$4:W30)+1,""))</f>
        <v/>
      </c>
      <c r="X31">
        <f>IF(B31="","",IF(COUNTIFS('سجل التحفيز'!$AD$5:$AD$2004,"&gt;0",'سجل التحفيز'!$B$5:$B$2004,B31)&gt;0,COUNT(X$4:X30)+1,""))</f>
        <v/>
      </c>
      <c r="Y31">
        <f>IF(B31="","",IF(COUNTIFS('سجل التحفيز'!$AE$5:$AE$2004,"&gt;0",'سجل التحفيز'!$B$5:$B$2004,B31)&gt;0,COUNT(Y$4:Y30)+1,""))</f>
        <v/>
      </c>
    </row>
    <row r="32">
      <c r="A32" s="17" t="n"/>
      <c r="B32" s="17" t="n"/>
      <c r="C32" s="17" t="n"/>
      <c r="D32" s="17" t="n"/>
      <c r="E32" s="17" t="n"/>
      <c r="F32" s="17" t="n"/>
      <c r="G32" s="17" t="n"/>
      <c r="H32" s="20">
        <f>IF(B32="","",COUNTIFS('سجل التحفيز'!$B$5:$B$2004,B32,'سجل التحفيز'!$R$5:$R$2004,الإعدادات!$B$4))</f>
        <v/>
      </c>
      <c r="I32" s="20">
        <f>IF(B32="","",COUNTIFS('سجل التحفيز'!$B$5:$B$2004,B32,'سجل التحفيز'!$R$5:$R$2004,الإعدادات!$B$4,'سجل التحفيز'!$Q$5:$Q$2004,"الفصل الأول",'سجل التحفيز'!$D$5:$D$2004,"ذهبي"))</f>
        <v/>
      </c>
      <c r="J32" s="20">
        <f>IF(B32="","",COUNTIFS('سجل التحفيز'!$B$5:$B$2004,B32,'سجل التحفيز'!$R$5:$R$2004,الإعدادات!$B$4,'سجل التحفيز'!$Q$5:$Q$2004,"الفصل الثاني",'سجل التحفيز'!$D$5:$D$2004,"ذهبي"))</f>
        <v/>
      </c>
      <c r="K32" s="20">
        <f>IF(B32="","",COUNTIFS('سجل التحفيز'!$B$5:$B$2004,B32,'سجل التحفيز'!$R$5:$R$2004,الإعدادات!$B$4,'سجل التحفيز'!$D$5:$D$2004,"ذهبي"))</f>
        <v/>
      </c>
      <c r="L32" s="20">
        <f>IF(B32="","",IF(G32="محرومة","محرومة - مخالفة",IF(K32&gt;=5,"مستحقة ★","متبقي "&amp;(5-K32)&amp;" معايير")))</f>
        <v/>
      </c>
      <c r="N32">
        <f>IF(B32="","",IF(COUNTIFS('سجل التحفيز'!$T$5:$T$2004,"&gt;0",'سجل التحفيز'!$B$5:$B$2004,B32)&gt;0,COUNT(N$4:N31)+1,""))</f>
        <v/>
      </c>
      <c r="O32">
        <f>IF(B32="","",IF(COUNTIFS('سجل التحفيز'!$U$5:$U$2004,"&gt;0",'سجل التحفيز'!$B$5:$B$2004,B32)&gt;0,COUNT(O$4:O31)+1,""))</f>
        <v/>
      </c>
      <c r="P32">
        <f>IF(B32="","",IF(COUNTIFS('سجل التحفيز'!$V$5:$V$2004,"&gt;0",'سجل التحفيز'!$B$5:$B$2004,B32)&gt;0,COUNT(P$4:P31)+1,""))</f>
        <v/>
      </c>
      <c r="Q32">
        <f>IF(B32="","",IF(COUNTIFS('سجل التحفيز'!$W$5:$W$2004,"&gt;0",'سجل التحفيز'!$B$5:$B$2004,B32)&gt;0,COUNT(Q$4:Q31)+1,""))</f>
        <v/>
      </c>
      <c r="R32">
        <f>IF(B32="","",IF(COUNTIFS('سجل التحفيز'!$X$5:$X$2004,"&gt;0",'سجل التحفيز'!$B$5:$B$2004,B32)&gt;0,COUNT(R$4:R31)+1,""))</f>
        <v/>
      </c>
      <c r="S32">
        <f>IF(B32="","",IF(COUNTIFS('سجل التحفيز'!$Y$5:$Y$2004,"&gt;0",'سجل التحفيز'!$B$5:$B$2004,B32)&gt;0,COUNT(S$4:S31)+1,""))</f>
        <v/>
      </c>
      <c r="T32">
        <f>IF(B32="","",IF(COUNTIFS('سجل التحفيز'!$Z$5:$Z$2004,"&gt;0",'سجل التحفيز'!$B$5:$B$2004,B32)&gt;0,COUNT(T$4:T31)+1,""))</f>
        <v/>
      </c>
      <c r="U32">
        <f>IF(B32="","",IF(COUNTIFS('سجل التحفيز'!$AA$5:$AA$2004,"&gt;0",'سجل التحفيز'!$B$5:$B$2004,B32)&gt;0,COUNT(U$4:U31)+1,""))</f>
        <v/>
      </c>
      <c r="V32">
        <f>IF(B32="","",IF(COUNTIFS('سجل التحفيز'!$AB$5:$AB$2004,"&gt;0",'سجل التحفيز'!$B$5:$B$2004,B32)&gt;0,COUNT(V$4:V31)+1,""))</f>
        <v/>
      </c>
      <c r="W32">
        <f>IF(B32="","",IF(COUNTIFS('سجل التحفيز'!$AC$5:$AC$2004,"&gt;0",'سجل التحفيز'!$B$5:$B$2004,B32)&gt;0,COUNT(W$4:W31)+1,""))</f>
        <v/>
      </c>
      <c r="X32">
        <f>IF(B32="","",IF(COUNTIFS('سجل التحفيز'!$AD$5:$AD$2004,"&gt;0",'سجل التحفيز'!$B$5:$B$2004,B32)&gt;0,COUNT(X$4:X31)+1,""))</f>
        <v/>
      </c>
      <c r="Y32">
        <f>IF(B32="","",IF(COUNTIFS('سجل التحفيز'!$AE$5:$AE$2004,"&gt;0",'سجل التحفيز'!$B$5:$B$2004,B32)&gt;0,COUNT(Y$4:Y31)+1,""))</f>
        <v/>
      </c>
    </row>
    <row r="33">
      <c r="A33" s="17" t="n"/>
      <c r="B33" s="17" t="n"/>
      <c r="C33" s="17" t="n"/>
      <c r="D33" s="17" t="n"/>
      <c r="E33" s="17" t="n"/>
      <c r="F33" s="17" t="n"/>
      <c r="G33" s="17" t="n"/>
      <c r="H33" s="20">
        <f>IF(B33="","",COUNTIFS('سجل التحفيز'!$B$5:$B$2004,B33,'سجل التحفيز'!$R$5:$R$2004,الإعدادات!$B$4))</f>
        <v/>
      </c>
      <c r="I33" s="20">
        <f>IF(B33="","",COUNTIFS('سجل التحفيز'!$B$5:$B$2004,B33,'سجل التحفيز'!$R$5:$R$2004,الإعدادات!$B$4,'سجل التحفيز'!$Q$5:$Q$2004,"الفصل الأول",'سجل التحفيز'!$D$5:$D$2004,"ذهبي"))</f>
        <v/>
      </c>
      <c r="J33" s="20">
        <f>IF(B33="","",COUNTIFS('سجل التحفيز'!$B$5:$B$2004,B33,'سجل التحفيز'!$R$5:$R$2004,الإعدادات!$B$4,'سجل التحفيز'!$Q$5:$Q$2004,"الفصل الثاني",'سجل التحفيز'!$D$5:$D$2004,"ذهبي"))</f>
        <v/>
      </c>
      <c r="K33" s="20">
        <f>IF(B33="","",COUNTIFS('سجل التحفيز'!$B$5:$B$2004,B33,'سجل التحفيز'!$R$5:$R$2004,الإعدادات!$B$4,'سجل التحفيز'!$D$5:$D$2004,"ذهبي"))</f>
        <v/>
      </c>
      <c r="L33" s="20">
        <f>IF(B33="","",IF(G33="محرومة","محرومة - مخالفة",IF(K33&gt;=5,"مستحقة ★","متبقي "&amp;(5-K33)&amp;" معايير")))</f>
        <v/>
      </c>
      <c r="N33">
        <f>IF(B33="","",IF(COUNTIFS('سجل التحفيز'!$T$5:$T$2004,"&gt;0",'سجل التحفيز'!$B$5:$B$2004,B33)&gt;0,COUNT(N$4:N32)+1,""))</f>
        <v/>
      </c>
      <c r="O33">
        <f>IF(B33="","",IF(COUNTIFS('سجل التحفيز'!$U$5:$U$2004,"&gt;0",'سجل التحفيز'!$B$5:$B$2004,B33)&gt;0,COUNT(O$4:O32)+1,""))</f>
        <v/>
      </c>
      <c r="P33">
        <f>IF(B33="","",IF(COUNTIFS('سجل التحفيز'!$V$5:$V$2004,"&gt;0",'سجل التحفيز'!$B$5:$B$2004,B33)&gt;0,COUNT(P$4:P32)+1,""))</f>
        <v/>
      </c>
      <c r="Q33">
        <f>IF(B33="","",IF(COUNTIFS('سجل التحفيز'!$W$5:$W$2004,"&gt;0",'سجل التحفيز'!$B$5:$B$2004,B33)&gt;0,COUNT(Q$4:Q32)+1,""))</f>
        <v/>
      </c>
      <c r="R33">
        <f>IF(B33="","",IF(COUNTIFS('سجل التحفيز'!$X$5:$X$2004,"&gt;0",'سجل التحفيز'!$B$5:$B$2004,B33)&gt;0,COUNT(R$4:R32)+1,""))</f>
        <v/>
      </c>
      <c r="S33">
        <f>IF(B33="","",IF(COUNTIFS('سجل التحفيز'!$Y$5:$Y$2004,"&gt;0",'سجل التحفيز'!$B$5:$B$2004,B33)&gt;0,COUNT(S$4:S32)+1,""))</f>
        <v/>
      </c>
      <c r="T33">
        <f>IF(B33="","",IF(COUNTIFS('سجل التحفيز'!$Z$5:$Z$2004,"&gt;0",'سجل التحفيز'!$B$5:$B$2004,B33)&gt;0,COUNT(T$4:T32)+1,""))</f>
        <v/>
      </c>
      <c r="U33">
        <f>IF(B33="","",IF(COUNTIFS('سجل التحفيز'!$AA$5:$AA$2004,"&gt;0",'سجل التحفيز'!$B$5:$B$2004,B33)&gt;0,COUNT(U$4:U32)+1,""))</f>
        <v/>
      </c>
      <c r="V33">
        <f>IF(B33="","",IF(COUNTIFS('سجل التحفيز'!$AB$5:$AB$2004,"&gt;0",'سجل التحفيز'!$B$5:$B$2004,B33)&gt;0,COUNT(V$4:V32)+1,""))</f>
        <v/>
      </c>
      <c r="W33">
        <f>IF(B33="","",IF(COUNTIFS('سجل التحفيز'!$AC$5:$AC$2004,"&gt;0",'سجل التحفيز'!$B$5:$B$2004,B33)&gt;0,COUNT(W$4:W32)+1,""))</f>
        <v/>
      </c>
      <c r="X33">
        <f>IF(B33="","",IF(COUNTIFS('سجل التحفيز'!$AD$5:$AD$2004,"&gt;0",'سجل التحفيز'!$B$5:$B$2004,B33)&gt;0,COUNT(X$4:X32)+1,""))</f>
        <v/>
      </c>
      <c r="Y33">
        <f>IF(B33="","",IF(COUNTIFS('سجل التحفيز'!$AE$5:$AE$2004,"&gt;0",'سجل التحفيز'!$B$5:$B$2004,B33)&gt;0,COUNT(Y$4:Y32)+1,""))</f>
        <v/>
      </c>
    </row>
    <row r="34">
      <c r="A34" s="17" t="n"/>
      <c r="B34" s="17" t="n"/>
      <c r="C34" s="17" t="n"/>
      <c r="D34" s="17" t="n"/>
      <c r="E34" s="17" t="n"/>
      <c r="F34" s="17" t="n"/>
      <c r="G34" s="17" t="n"/>
      <c r="H34" s="20">
        <f>IF(B34="","",COUNTIFS('سجل التحفيز'!$B$5:$B$2004,B34,'سجل التحفيز'!$R$5:$R$2004,الإعدادات!$B$4))</f>
        <v/>
      </c>
      <c r="I34" s="20">
        <f>IF(B34="","",COUNTIFS('سجل التحفيز'!$B$5:$B$2004,B34,'سجل التحفيز'!$R$5:$R$2004,الإعدادات!$B$4,'سجل التحفيز'!$Q$5:$Q$2004,"الفصل الأول",'سجل التحفيز'!$D$5:$D$2004,"ذهبي"))</f>
        <v/>
      </c>
      <c r="J34" s="20">
        <f>IF(B34="","",COUNTIFS('سجل التحفيز'!$B$5:$B$2004,B34,'سجل التحفيز'!$R$5:$R$2004,الإعدادات!$B$4,'سجل التحفيز'!$Q$5:$Q$2004,"الفصل الثاني",'سجل التحفيز'!$D$5:$D$2004,"ذهبي"))</f>
        <v/>
      </c>
      <c r="K34" s="20">
        <f>IF(B34="","",COUNTIFS('سجل التحفيز'!$B$5:$B$2004,B34,'سجل التحفيز'!$R$5:$R$2004,الإعدادات!$B$4,'سجل التحفيز'!$D$5:$D$2004,"ذهبي"))</f>
        <v/>
      </c>
      <c r="L34" s="20">
        <f>IF(B34="","",IF(G34="محرومة","محرومة - مخالفة",IF(K34&gt;=5,"مستحقة ★","متبقي "&amp;(5-K34)&amp;" معايير")))</f>
        <v/>
      </c>
      <c r="N34">
        <f>IF(B34="","",IF(COUNTIFS('سجل التحفيز'!$T$5:$T$2004,"&gt;0",'سجل التحفيز'!$B$5:$B$2004,B34)&gt;0,COUNT(N$4:N33)+1,""))</f>
        <v/>
      </c>
      <c r="O34">
        <f>IF(B34="","",IF(COUNTIFS('سجل التحفيز'!$U$5:$U$2004,"&gt;0",'سجل التحفيز'!$B$5:$B$2004,B34)&gt;0,COUNT(O$4:O33)+1,""))</f>
        <v/>
      </c>
      <c r="P34">
        <f>IF(B34="","",IF(COUNTIFS('سجل التحفيز'!$V$5:$V$2004,"&gt;0",'سجل التحفيز'!$B$5:$B$2004,B34)&gt;0,COUNT(P$4:P33)+1,""))</f>
        <v/>
      </c>
      <c r="Q34">
        <f>IF(B34="","",IF(COUNTIFS('سجل التحفيز'!$W$5:$W$2004,"&gt;0",'سجل التحفيز'!$B$5:$B$2004,B34)&gt;0,COUNT(Q$4:Q33)+1,""))</f>
        <v/>
      </c>
      <c r="R34">
        <f>IF(B34="","",IF(COUNTIFS('سجل التحفيز'!$X$5:$X$2004,"&gt;0",'سجل التحفيز'!$B$5:$B$2004,B34)&gt;0,COUNT(R$4:R33)+1,""))</f>
        <v/>
      </c>
      <c r="S34">
        <f>IF(B34="","",IF(COUNTIFS('سجل التحفيز'!$Y$5:$Y$2004,"&gt;0",'سجل التحفيز'!$B$5:$B$2004,B34)&gt;0,COUNT(S$4:S33)+1,""))</f>
        <v/>
      </c>
      <c r="T34">
        <f>IF(B34="","",IF(COUNTIFS('سجل التحفيز'!$Z$5:$Z$2004,"&gt;0",'سجل التحفيز'!$B$5:$B$2004,B34)&gt;0,COUNT(T$4:T33)+1,""))</f>
        <v/>
      </c>
      <c r="U34">
        <f>IF(B34="","",IF(COUNTIFS('سجل التحفيز'!$AA$5:$AA$2004,"&gt;0",'سجل التحفيز'!$B$5:$B$2004,B34)&gt;0,COUNT(U$4:U33)+1,""))</f>
        <v/>
      </c>
      <c r="V34">
        <f>IF(B34="","",IF(COUNTIFS('سجل التحفيز'!$AB$5:$AB$2004,"&gt;0",'سجل التحفيز'!$B$5:$B$2004,B34)&gt;0,COUNT(V$4:V33)+1,""))</f>
        <v/>
      </c>
      <c r="W34">
        <f>IF(B34="","",IF(COUNTIFS('سجل التحفيز'!$AC$5:$AC$2004,"&gt;0",'سجل التحفيز'!$B$5:$B$2004,B34)&gt;0,COUNT(W$4:W33)+1,""))</f>
        <v/>
      </c>
      <c r="X34">
        <f>IF(B34="","",IF(COUNTIFS('سجل التحفيز'!$AD$5:$AD$2004,"&gt;0",'سجل التحفيز'!$B$5:$B$2004,B34)&gt;0,COUNT(X$4:X33)+1,""))</f>
        <v/>
      </c>
      <c r="Y34">
        <f>IF(B34="","",IF(COUNTIFS('سجل التحفيز'!$AE$5:$AE$2004,"&gt;0",'سجل التحفيز'!$B$5:$B$2004,B34)&gt;0,COUNT(Y$4:Y33)+1,""))</f>
        <v/>
      </c>
    </row>
    <row r="35">
      <c r="A35" s="17" t="n"/>
      <c r="B35" s="17" t="n"/>
      <c r="C35" s="17" t="n"/>
      <c r="D35" s="17" t="n"/>
      <c r="E35" s="17" t="n"/>
      <c r="F35" s="17" t="n"/>
      <c r="G35" s="17" t="n"/>
      <c r="H35" s="20">
        <f>IF(B35="","",COUNTIFS('سجل التحفيز'!$B$5:$B$2004,B35,'سجل التحفيز'!$R$5:$R$2004,الإعدادات!$B$4))</f>
        <v/>
      </c>
      <c r="I35" s="20">
        <f>IF(B35="","",COUNTIFS('سجل التحفيز'!$B$5:$B$2004,B35,'سجل التحفيز'!$R$5:$R$2004,الإعدادات!$B$4,'سجل التحفيز'!$Q$5:$Q$2004,"الفصل الأول",'سجل التحفيز'!$D$5:$D$2004,"ذهبي"))</f>
        <v/>
      </c>
      <c r="J35" s="20">
        <f>IF(B35="","",COUNTIFS('سجل التحفيز'!$B$5:$B$2004,B35,'سجل التحفيز'!$R$5:$R$2004,الإعدادات!$B$4,'سجل التحفيز'!$Q$5:$Q$2004,"الفصل الثاني",'سجل التحفيز'!$D$5:$D$2004,"ذهبي"))</f>
        <v/>
      </c>
      <c r="K35" s="20">
        <f>IF(B35="","",COUNTIFS('سجل التحفيز'!$B$5:$B$2004,B35,'سجل التحفيز'!$R$5:$R$2004,الإعدادات!$B$4,'سجل التحفيز'!$D$5:$D$2004,"ذهبي"))</f>
        <v/>
      </c>
      <c r="L35" s="20">
        <f>IF(B35="","",IF(G35="محرومة","محرومة - مخالفة",IF(K35&gt;=5,"مستحقة ★","متبقي "&amp;(5-K35)&amp;" معايير")))</f>
        <v/>
      </c>
      <c r="N35">
        <f>IF(B35="","",IF(COUNTIFS('سجل التحفيز'!$T$5:$T$2004,"&gt;0",'سجل التحفيز'!$B$5:$B$2004,B35)&gt;0,COUNT(N$4:N34)+1,""))</f>
        <v/>
      </c>
      <c r="O35">
        <f>IF(B35="","",IF(COUNTIFS('سجل التحفيز'!$U$5:$U$2004,"&gt;0",'سجل التحفيز'!$B$5:$B$2004,B35)&gt;0,COUNT(O$4:O34)+1,""))</f>
        <v/>
      </c>
      <c r="P35">
        <f>IF(B35="","",IF(COUNTIFS('سجل التحفيز'!$V$5:$V$2004,"&gt;0",'سجل التحفيز'!$B$5:$B$2004,B35)&gt;0,COUNT(P$4:P34)+1,""))</f>
        <v/>
      </c>
      <c r="Q35">
        <f>IF(B35="","",IF(COUNTIFS('سجل التحفيز'!$W$5:$W$2004,"&gt;0",'سجل التحفيز'!$B$5:$B$2004,B35)&gt;0,COUNT(Q$4:Q34)+1,""))</f>
        <v/>
      </c>
      <c r="R35">
        <f>IF(B35="","",IF(COUNTIFS('سجل التحفيز'!$X$5:$X$2004,"&gt;0",'سجل التحفيز'!$B$5:$B$2004,B35)&gt;0,COUNT(R$4:R34)+1,""))</f>
        <v/>
      </c>
      <c r="S35">
        <f>IF(B35="","",IF(COUNTIFS('سجل التحفيز'!$Y$5:$Y$2004,"&gt;0",'سجل التحفيز'!$B$5:$B$2004,B35)&gt;0,COUNT(S$4:S34)+1,""))</f>
        <v/>
      </c>
      <c r="T35">
        <f>IF(B35="","",IF(COUNTIFS('سجل التحفيز'!$Z$5:$Z$2004,"&gt;0",'سجل التحفيز'!$B$5:$B$2004,B35)&gt;0,COUNT(T$4:T34)+1,""))</f>
        <v/>
      </c>
      <c r="U35">
        <f>IF(B35="","",IF(COUNTIFS('سجل التحفيز'!$AA$5:$AA$2004,"&gt;0",'سجل التحفيز'!$B$5:$B$2004,B35)&gt;0,COUNT(U$4:U34)+1,""))</f>
        <v/>
      </c>
      <c r="V35">
        <f>IF(B35="","",IF(COUNTIFS('سجل التحفيز'!$AB$5:$AB$2004,"&gt;0",'سجل التحفيز'!$B$5:$B$2004,B35)&gt;0,COUNT(V$4:V34)+1,""))</f>
        <v/>
      </c>
      <c r="W35">
        <f>IF(B35="","",IF(COUNTIFS('سجل التحفيز'!$AC$5:$AC$2004,"&gt;0",'سجل التحفيز'!$B$5:$B$2004,B35)&gt;0,COUNT(W$4:W34)+1,""))</f>
        <v/>
      </c>
      <c r="X35">
        <f>IF(B35="","",IF(COUNTIFS('سجل التحفيز'!$AD$5:$AD$2004,"&gt;0",'سجل التحفيز'!$B$5:$B$2004,B35)&gt;0,COUNT(X$4:X34)+1,""))</f>
        <v/>
      </c>
      <c r="Y35">
        <f>IF(B35="","",IF(COUNTIFS('سجل التحفيز'!$AE$5:$AE$2004,"&gt;0",'سجل التحفيز'!$B$5:$B$2004,B35)&gt;0,COUNT(Y$4:Y34)+1,""))</f>
        <v/>
      </c>
    </row>
    <row r="36">
      <c r="A36" s="17" t="n"/>
      <c r="B36" s="17" t="n"/>
      <c r="C36" s="17" t="n"/>
      <c r="D36" s="17" t="n"/>
      <c r="E36" s="17" t="n"/>
      <c r="F36" s="17" t="n"/>
      <c r="G36" s="17" t="n"/>
      <c r="H36" s="20">
        <f>IF(B36="","",COUNTIFS('سجل التحفيز'!$B$5:$B$2004,B36,'سجل التحفيز'!$R$5:$R$2004,الإعدادات!$B$4))</f>
        <v/>
      </c>
      <c r="I36" s="20">
        <f>IF(B36="","",COUNTIFS('سجل التحفيز'!$B$5:$B$2004,B36,'سجل التحفيز'!$R$5:$R$2004,الإعدادات!$B$4,'سجل التحفيز'!$Q$5:$Q$2004,"الفصل الأول",'سجل التحفيز'!$D$5:$D$2004,"ذهبي"))</f>
        <v/>
      </c>
      <c r="J36" s="20">
        <f>IF(B36="","",COUNTIFS('سجل التحفيز'!$B$5:$B$2004,B36,'سجل التحفيز'!$R$5:$R$2004,الإعدادات!$B$4,'سجل التحفيز'!$Q$5:$Q$2004,"الفصل الثاني",'سجل التحفيز'!$D$5:$D$2004,"ذهبي"))</f>
        <v/>
      </c>
      <c r="K36" s="20">
        <f>IF(B36="","",COUNTIFS('سجل التحفيز'!$B$5:$B$2004,B36,'سجل التحفيز'!$R$5:$R$2004,الإعدادات!$B$4,'سجل التحفيز'!$D$5:$D$2004,"ذهبي"))</f>
        <v/>
      </c>
      <c r="L36" s="20">
        <f>IF(B36="","",IF(G36="محرومة","محرومة - مخالفة",IF(K36&gt;=5,"مستحقة ★","متبقي "&amp;(5-K36)&amp;" معايير")))</f>
        <v/>
      </c>
      <c r="N36">
        <f>IF(B36="","",IF(COUNTIFS('سجل التحفيز'!$T$5:$T$2004,"&gt;0",'سجل التحفيز'!$B$5:$B$2004,B36)&gt;0,COUNT(N$4:N35)+1,""))</f>
        <v/>
      </c>
      <c r="O36">
        <f>IF(B36="","",IF(COUNTIFS('سجل التحفيز'!$U$5:$U$2004,"&gt;0",'سجل التحفيز'!$B$5:$B$2004,B36)&gt;0,COUNT(O$4:O35)+1,""))</f>
        <v/>
      </c>
      <c r="P36">
        <f>IF(B36="","",IF(COUNTIFS('سجل التحفيز'!$V$5:$V$2004,"&gt;0",'سجل التحفيز'!$B$5:$B$2004,B36)&gt;0,COUNT(P$4:P35)+1,""))</f>
        <v/>
      </c>
      <c r="Q36">
        <f>IF(B36="","",IF(COUNTIFS('سجل التحفيز'!$W$5:$W$2004,"&gt;0",'سجل التحفيز'!$B$5:$B$2004,B36)&gt;0,COUNT(Q$4:Q35)+1,""))</f>
        <v/>
      </c>
      <c r="R36">
        <f>IF(B36="","",IF(COUNTIFS('سجل التحفيز'!$X$5:$X$2004,"&gt;0",'سجل التحفيز'!$B$5:$B$2004,B36)&gt;0,COUNT(R$4:R35)+1,""))</f>
        <v/>
      </c>
      <c r="S36">
        <f>IF(B36="","",IF(COUNTIFS('سجل التحفيز'!$Y$5:$Y$2004,"&gt;0",'سجل التحفيز'!$B$5:$B$2004,B36)&gt;0,COUNT(S$4:S35)+1,""))</f>
        <v/>
      </c>
      <c r="T36">
        <f>IF(B36="","",IF(COUNTIFS('سجل التحفيز'!$Z$5:$Z$2004,"&gt;0",'سجل التحفيز'!$B$5:$B$2004,B36)&gt;0,COUNT(T$4:T35)+1,""))</f>
        <v/>
      </c>
      <c r="U36">
        <f>IF(B36="","",IF(COUNTIFS('سجل التحفيز'!$AA$5:$AA$2004,"&gt;0",'سجل التحفيز'!$B$5:$B$2004,B36)&gt;0,COUNT(U$4:U35)+1,""))</f>
        <v/>
      </c>
      <c r="V36">
        <f>IF(B36="","",IF(COUNTIFS('سجل التحفيز'!$AB$5:$AB$2004,"&gt;0",'سجل التحفيز'!$B$5:$B$2004,B36)&gt;0,COUNT(V$4:V35)+1,""))</f>
        <v/>
      </c>
      <c r="W36">
        <f>IF(B36="","",IF(COUNTIFS('سجل التحفيز'!$AC$5:$AC$2004,"&gt;0",'سجل التحفيز'!$B$5:$B$2004,B36)&gt;0,COUNT(W$4:W35)+1,""))</f>
        <v/>
      </c>
      <c r="X36">
        <f>IF(B36="","",IF(COUNTIFS('سجل التحفيز'!$AD$5:$AD$2004,"&gt;0",'سجل التحفيز'!$B$5:$B$2004,B36)&gt;0,COUNT(X$4:X35)+1,""))</f>
        <v/>
      </c>
      <c r="Y36">
        <f>IF(B36="","",IF(COUNTIFS('سجل التحفيز'!$AE$5:$AE$2004,"&gt;0",'سجل التحفيز'!$B$5:$B$2004,B36)&gt;0,COUNT(Y$4:Y35)+1,""))</f>
        <v/>
      </c>
    </row>
    <row r="37">
      <c r="A37" s="17" t="n"/>
      <c r="B37" s="17" t="n"/>
      <c r="C37" s="17" t="n"/>
      <c r="D37" s="17" t="n"/>
      <c r="E37" s="17" t="n"/>
      <c r="F37" s="17" t="n"/>
      <c r="G37" s="17" t="n"/>
      <c r="H37" s="20">
        <f>IF(B37="","",COUNTIFS('سجل التحفيز'!$B$5:$B$2004,B37,'سجل التحفيز'!$R$5:$R$2004,الإعدادات!$B$4))</f>
        <v/>
      </c>
      <c r="I37" s="20">
        <f>IF(B37="","",COUNTIFS('سجل التحفيز'!$B$5:$B$2004,B37,'سجل التحفيز'!$R$5:$R$2004,الإعدادات!$B$4,'سجل التحفيز'!$Q$5:$Q$2004,"الفصل الأول",'سجل التحفيز'!$D$5:$D$2004,"ذهبي"))</f>
        <v/>
      </c>
      <c r="J37" s="20">
        <f>IF(B37="","",COUNTIFS('سجل التحفيز'!$B$5:$B$2004,B37,'سجل التحفيز'!$R$5:$R$2004,الإعدادات!$B$4,'سجل التحفيز'!$Q$5:$Q$2004,"الفصل الثاني",'سجل التحفيز'!$D$5:$D$2004,"ذهبي"))</f>
        <v/>
      </c>
      <c r="K37" s="20">
        <f>IF(B37="","",COUNTIFS('سجل التحفيز'!$B$5:$B$2004,B37,'سجل التحفيز'!$R$5:$R$2004,الإعدادات!$B$4,'سجل التحفيز'!$D$5:$D$2004,"ذهبي"))</f>
        <v/>
      </c>
      <c r="L37" s="20">
        <f>IF(B37="","",IF(G37="محرومة","محرومة - مخالفة",IF(K37&gt;=5,"مستحقة ★","متبقي "&amp;(5-K37)&amp;" معايير")))</f>
        <v/>
      </c>
      <c r="N37">
        <f>IF(B37="","",IF(COUNTIFS('سجل التحفيز'!$T$5:$T$2004,"&gt;0",'سجل التحفيز'!$B$5:$B$2004,B37)&gt;0,COUNT(N$4:N36)+1,""))</f>
        <v/>
      </c>
      <c r="O37">
        <f>IF(B37="","",IF(COUNTIFS('سجل التحفيز'!$U$5:$U$2004,"&gt;0",'سجل التحفيز'!$B$5:$B$2004,B37)&gt;0,COUNT(O$4:O36)+1,""))</f>
        <v/>
      </c>
      <c r="P37">
        <f>IF(B37="","",IF(COUNTIFS('سجل التحفيز'!$V$5:$V$2004,"&gt;0",'سجل التحفيز'!$B$5:$B$2004,B37)&gt;0,COUNT(P$4:P36)+1,""))</f>
        <v/>
      </c>
      <c r="Q37">
        <f>IF(B37="","",IF(COUNTIFS('سجل التحفيز'!$W$5:$W$2004,"&gt;0",'سجل التحفيز'!$B$5:$B$2004,B37)&gt;0,COUNT(Q$4:Q36)+1,""))</f>
        <v/>
      </c>
      <c r="R37">
        <f>IF(B37="","",IF(COUNTIFS('سجل التحفيز'!$X$5:$X$2004,"&gt;0",'سجل التحفيز'!$B$5:$B$2004,B37)&gt;0,COUNT(R$4:R36)+1,""))</f>
        <v/>
      </c>
      <c r="S37">
        <f>IF(B37="","",IF(COUNTIFS('سجل التحفيز'!$Y$5:$Y$2004,"&gt;0",'سجل التحفيز'!$B$5:$B$2004,B37)&gt;0,COUNT(S$4:S36)+1,""))</f>
        <v/>
      </c>
      <c r="T37">
        <f>IF(B37="","",IF(COUNTIFS('سجل التحفيز'!$Z$5:$Z$2004,"&gt;0",'سجل التحفيز'!$B$5:$B$2004,B37)&gt;0,COUNT(T$4:T36)+1,""))</f>
        <v/>
      </c>
      <c r="U37">
        <f>IF(B37="","",IF(COUNTIFS('سجل التحفيز'!$AA$5:$AA$2004,"&gt;0",'سجل التحفيز'!$B$5:$B$2004,B37)&gt;0,COUNT(U$4:U36)+1,""))</f>
        <v/>
      </c>
      <c r="V37">
        <f>IF(B37="","",IF(COUNTIFS('سجل التحفيز'!$AB$5:$AB$2004,"&gt;0",'سجل التحفيز'!$B$5:$B$2004,B37)&gt;0,COUNT(V$4:V36)+1,""))</f>
        <v/>
      </c>
      <c r="W37">
        <f>IF(B37="","",IF(COUNTIFS('سجل التحفيز'!$AC$5:$AC$2004,"&gt;0",'سجل التحفيز'!$B$5:$B$2004,B37)&gt;0,COUNT(W$4:W36)+1,""))</f>
        <v/>
      </c>
      <c r="X37">
        <f>IF(B37="","",IF(COUNTIFS('سجل التحفيز'!$AD$5:$AD$2004,"&gt;0",'سجل التحفيز'!$B$5:$B$2004,B37)&gt;0,COUNT(X$4:X36)+1,""))</f>
        <v/>
      </c>
      <c r="Y37">
        <f>IF(B37="","",IF(COUNTIFS('سجل التحفيز'!$AE$5:$AE$2004,"&gt;0",'سجل التحفيز'!$B$5:$B$2004,B37)&gt;0,COUNT(Y$4:Y36)+1,""))</f>
        <v/>
      </c>
    </row>
    <row r="38">
      <c r="A38" s="17" t="n"/>
      <c r="B38" s="17" t="n"/>
      <c r="C38" s="17" t="n"/>
      <c r="D38" s="17" t="n"/>
      <c r="E38" s="17" t="n"/>
      <c r="F38" s="17" t="n"/>
      <c r="G38" s="17" t="n"/>
      <c r="H38" s="20">
        <f>IF(B38="","",COUNTIFS('سجل التحفيز'!$B$5:$B$2004,B38,'سجل التحفيز'!$R$5:$R$2004,الإعدادات!$B$4))</f>
        <v/>
      </c>
      <c r="I38" s="20">
        <f>IF(B38="","",COUNTIFS('سجل التحفيز'!$B$5:$B$2004,B38,'سجل التحفيز'!$R$5:$R$2004,الإعدادات!$B$4,'سجل التحفيز'!$Q$5:$Q$2004,"الفصل الأول",'سجل التحفيز'!$D$5:$D$2004,"ذهبي"))</f>
        <v/>
      </c>
      <c r="J38" s="20">
        <f>IF(B38="","",COUNTIFS('سجل التحفيز'!$B$5:$B$2004,B38,'سجل التحفيز'!$R$5:$R$2004,الإعدادات!$B$4,'سجل التحفيز'!$Q$5:$Q$2004,"الفصل الثاني",'سجل التحفيز'!$D$5:$D$2004,"ذهبي"))</f>
        <v/>
      </c>
      <c r="K38" s="20">
        <f>IF(B38="","",COUNTIFS('سجل التحفيز'!$B$5:$B$2004,B38,'سجل التحفيز'!$R$5:$R$2004,الإعدادات!$B$4,'سجل التحفيز'!$D$5:$D$2004,"ذهبي"))</f>
        <v/>
      </c>
      <c r="L38" s="20">
        <f>IF(B38="","",IF(G38="محرومة","محرومة - مخالفة",IF(K38&gt;=5,"مستحقة ★","متبقي "&amp;(5-K38)&amp;" معايير")))</f>
        <v/>
      </c>
      <c r="N38">
        <f>IF(B38="","",IF(COUNTIFS('سجل التحفيز'!$T$5:$T$2004,"&gt;0",'سجل التحفيز'!$B$5:$B$2004,B38)&gt;0,COUNT(N$4:N37)+1,""))</f>
        <v/>
      </c>
      <c r="O38">
        <f>IF(B38="","",IF(COUNTIFS('سجل التحفيز'!$U$5:$U$2004,"&gt;0",'سجل التحفيز'!$B$5:$B$2004,B38)&gt;0,COUNT(O$4:O37)+1,""))</f>
        <v/>
      </c>
      <c r="P38">
        <f>IF(B38="","",IF(COUNTIFS('سجل التحفيز'!$V$5:$V$2004,"&gt;0",'سجل التحفيز'!$B$5:$B$2004,B38)&gt;0,COUNT(P$4:P37)+1,""))</f>
        <v/>
      </c>
      <c r="Q38">
        <f>IF(B38="","",IF(COUNTIFS('سجل التحفيز'!$W$5:$W$2004,"&gt;0",'سجل التحفيز'!$B$5:$B$2004,B38)&gt;0,COUNT(Q$4:Q37)+1,""))</f>
        <v/>
      </c>
      <c r="R38">
        <f>IF(B38="","",IF(COUNTIFS('سجل التحفيز'!$X$5:$X$2004,"&gt;0",'سجل التحفيز'!$B$5:$B$2004,B38)&gt;0,COUNT(R$4:R37)+1,""))</f>
        <v/>
      </c>
      <c r="S38">
        <f>IF(B38="","",IF(COUNTIFS('سجل التحفيز'!$Y$5:$Y$2004,"&gt;0",'سجل التحفيز'!$B$5:$B$2004,B38)&gt;0,COUNT(S$4:S37)+1,""))</f>
        <v/>
      </c>
      <c r="T38">
        <f>IF(B38="","",IF(COUNTIFS('سجل التحفيز'!$Z$5:$Z$2004,"&gt;0",'سجل التحفيز'!$B$5:$B$2004,B38)&gt;0,COUNT(T$4:T37)+1,""))</f>
        <v/>
      </c>
      <c r="U38">
        <f>IF(B38="","",IF(COUNTIFS('سجل التحفيز'!$AA$5:$AA$2004,"&gt;0",'سجل التحفيز'!$B$5:$B$2004,B38)&gt;0,COUNT(U$4:U37)+1,""))</f>
        <v/>
      </c>
      <c r="V38">
        <f>IF(B38="","",IF(COUNTIFS('سجل التحفيز'!$AB$5:$AB$2004,"&gt;0",'سجل التحفيز'!$B$5:$B$2004,B38)&gt;0,COUNT(V$4:V37)+1,""))</f>
        <v/>
      </c>
      <c r="W38">
        <f>IF(B38="","",IF(COUNTIFS('سجل التحفيز'!$AC$5:$AC$2004,"&gt;0",'سجل التحفيز'!$B$5:$B$2004,B38)&gt;0,COUNT(W$4:W37)+1,""))</f>
        <v/>
      </c>
      <c r="X38">
        <f>IF(B38="","",IF(COUNTIFS('سجل التحفيز'!$AD$5:$AD$2004,"&gt;0",'سجل التحفيز'!$B$5:$B$2004,B38)&gt;0,COUNT(X$4:X37)+1,""))</f>
        <v/>
      </c>
      <c r="Y38">
        <f>IF(B38="","",IF(COUNTIFS('سجل التحفيز'!$AE$5:$AE$2004,"&gt;0",'سجل التحفيز'!$B$5:$B$2004,B38)&gt;0,COUNT(Y$4:Y37)+1,""))</f>
        <v/>
      </c>
    </row>
    <row r="39">
      <c r="A39" s="17" t="n"/>
      <c r="B39" s="17" t="n"/>
      <c r="C39" s="17" t="n"/>
      <c r="D39" s="17" t="n"/>
      <c r="E39" s="17" t="n"/>
      <c r="F39" s="17" t="n"/>
      <c r="G39" s="17" t="n"/>
      <c r="H39" s="20">
        <f>IF(B39="","",COUNTIFS('سجل التحفيز'!$B$5:$B$2004,B39,'سجل التحفيز'!$R$5:$R$2004,الإعدادات!$B$4))</f>
        <v/>
      </c>
      <c r="I39" s="20">
        <f>IF(B39="","",COUNTIFS('سجل التحفيز'!$B$5:$B$2004,B39,'سجل التحفيز'!$R$5:$R$2004,الإعدادات!$B$4,'سجل التحفيز'!$Q$5:$Q$2004,"الفصل الأول",'سجل التحفيز'!$D$5:$D$2004,"ذهبي"))</f>
        <v/>
      </c>
      <c r="J39" s="20">
        <f>IF(B39="","",COUNTIFS('سجل التحفيز'!$B$5:$B$2004,B39,'سجل التحفيز'!$R$5:$R$2004,الإعدادات!$B$4,'سجل التحفيز'!$Q$5:$Q$2004,"الفصل الثاني",'سجل التحفيز'!$D$5:$D$2004,"ذهبي"))</f>
        <v/>
      </c>
      <c r="K39" s="20">
        <f>IF(B39="","",COUNTIFS('سجل التحفيز'!$B$5:$B$2004,B39,'سجل التحفيز'!$R$5:$R$2004,الإعدادات!$B$4,'سجل التحفيز'!$D$5:$D$2004,"ذهبي"))</f>
        <v/>
      </c>
      <c r="L39" s="20">
        <f>IF(B39="","",IF(G39="محرومة","محرومة - مخالفة",IF(K39&gt;=5,"مستحقة ★","متبقي "&amp;(5-K39)&amp;" معايير")))</f>
        <v/>
      </c>
      <c r="N39">
        <f>IF(B39="","",IF(COUNTIFS('سجل التحفيز'!$T$5:$T$2004,"&gt;0",'سجل التحفيز'!$B$5:$B$2004,B39)&gt;0,COUNT(N$4:N38)+1,""))</f>
        <v/>
      </c>
      <c r="O39">
        <f>IF(B39="","",IF(COUNTIFS('سجل التحفيز'!$U$5:$U$2004,"&gt;0",'سجل التحفيز'!$B$5:$B$2004,B39)&gt;0,COUNT(O$4:O38)+1,""))</f>
        <v/>
      </c>
      <c r="P39">
        <f>IF(B39="","",IF(COUNTIFS('سجل التحفيز'!$V$5:$V$2004,"&gt;0",'سجل التحفيز'!$B$5:$B$2004,B39)&gt;0,COUNT(P$4:P38)+1,""))</f>
        <v/>
      </c>
      <c r="Q39">
        <f>IF(B39="","",IF(COUNTIFS('سجل التحفيز'!$W$5:$W$2004,"&gt;0",'سجل التحفيز'!$B$5:$B$2004,B39)&gt;0,COUNT(Q$4:Q38)+1,""))</f>
        <v/>
      </c>
      <c r="R39">
        <f>IF(B39="","",IF(COUNTIFS('سجل التحفيز'!$X$5:$X$2004,"&gt;0",'سجل التحفيز'!$B$5:$B$2004,B39)&gt;0,COUNT(R$4:R38)+1,""))</f>
        <v/>
      </c>
      <c r="S39">
        <f>IF(B39="","",IF(COUNTIFS('سجل التحفيز'!$Y$5:$Y$2004,"&gt;0",'سجل التحفيز'!$B$5:$B$2004,B39)&gt;0,COUNT(S$4:S38)+1,""))</f>
        <v/>
      </c>
      <c r="T39">
        <f>IF(B39="","",IF(COUNTIFS('سجل التحفيز'!$Z$5:$Z$2004,"&gt;0",'سجل التحفيز'!$B$5:$B$2004,B39)&gt;0,COUNT(T$4:T38)+1,""))</f>
        <v/>
      </c>
      <c r="U39">
        <f>IF(B39="","",IF(COUNTIFS('سجل التحفيز'!$AA$5:$AA$2004,"&gt;0",'سجل التحفيز'!$B$5:$B$2004,B39)&gt;0,COUNT(U$4:U38)+1,""))</f>
        <v/>
      </c>
      <c r="V39">
        <f>IF(B39="","",IF(COUNTIFS('سجل التحفيز'!$AB$5:$AB$2004,"&gt;0",'سجل التحفيز'!$B$5:$B$2004,B39)&gt;0,COUNT(V$4:V38)+1,""))</f>
        <v/>
      </c>
      <c r="W39">
        <f>IF(B39="","",IF(COUNTIFS('سجل التحفيز'!$AC$5:$AC$2004,"&gt;0",'سجل التحفيز'!$B$5:$B$2004,B39)&gt;0,COUNT(W$4:W38)+1,""))</f>
        <v/>
      </c>
      <c r="X39">
        <f>IF(B39="","",IF(COUNTIFS('سجل التحفيز'!$AD$5:$AD$2004,"&gt;0",'سجل التحفيز'!$B$5:$B$2004,B39)&gt;0,COUNT(X$4:X38)+1,""))</f>
        <v/>
      </c>
      <c r="Y39">
        <f>IF(B39="","",IF(COUNTIFS('سجل التحفيز'!$AE$5:$AE$2004,"&gt;0",'سجل التحفيز'!$B$5:$B$2004,B39)&gt;0,COUNT(Y$4:Y38)+1,""))</f>
        <v/>
      </c>
    </row>
    <row r="40">
      <c r="A40" s="17" t="n"/>
      <c r="B40" s="17" t="n"/>
      <c r="C40" s="17" t="n"/>
      <c r="D40" s="17" t="n"/>
      <c r="E40" s="17" t="n"/>
      <c r="F40" s="17" t="n"/>
      <c r="G40" s="17" t="n"/>
      <c r="H40" s="20">
        <f>IF(B40="","",COUNTIFS('سجل التحفيز'!$B$5:$B$2004,B40,'سجل التحفيز'!$R$5:$R$2004,الإعدادات!$B$4))</f>
        <v/>
      </c>
      <c r="I40" s="20">
        <f>IF(B40="","",COUNTIFS('سجل التحفيز'!$B$5:$B$2004,B40,'سجل التحفيز'!$R$5:$R$2004,الإعدادات!$B$4,'سجل التحفيز'!$Q$5:$Q$2004,"الفصل الأول",'سجل التحفيز'!$D$5:$D$2004,"ذهبي"))</f>
        <v/>
      </c>
      <c r="J40" s="20">
        <f>IF(B40="","",COUNTIFS('سجل التحفيز'!$B$5:$B$2004,B40,'سجل التحفيز'!$R$5:$R$2004,الإعدادات!$B$4,'سجل التحفيز'!$Q$5:$Q$2004,"الفصل الثاني",'سجل التحفيز'!$D$5:$D$2004,"ذهبي"))</f>
        <v/>
      </c>
      <c r="K40" s="20">
        <f>IF(B40="","",COUNTIFS('سجل التحفيز'!$B$5:$B$2004,B40,'سجل التحفيز'!$R$5:$R$2004,الإعدادات!$B$4,'سجل التحفيز'!$D$5:$D$2004,"ذهبي"))</f>
        <v/>
      </c>
      <c r="L40" s="20">
        <f>IF(B40="","",IF(G40="محرومة","محرومة - مخالفة",IF(K40&gt;=5,"مستحقة ★","متبقي "&amp;(5-K40)&amp;" معايير")))</f>
        <v/>
      </c>
      <c r="N40">
        <f>IF(B40="","",IF(COUNTIFS('سجل التحفيز'!$T$5:$T$2004,"&gt;0",'سجل التحفيز'!$B$5:$B$2004,B40)&gt;0,COUNT(N$4:N39)+1,""))</f>
        <v/>
      </c>
      <c r="O40">
        <f>IF(B40="","",IF(COUNTIFS('سجل التحفيز'!$U$5:$U$2004,"&gt;0",'سجل التحفيز'!$B$5:$B$2004,B40)&gt;0,COUNT(O$4:O39)+1,""))</f>
        <v/>
      </c>
      <c r="P40">
        <f>IF(B40="","",IF(COUNTIFS('سجل التحفيز'!$V$5:$V$2004,"&gt;0",'سجل التحفيز'!$B$5:$B$2004,B40)&gt;0,COUNT(P$4:P39)+1,""))</f>
        <v/>
      </c>
      <c r="Q40">
        <f>IF(B40="","",IF(COUNTIFS('سجل التحفيز'!$W$5:$W$2004,"&gt;0",'سجل التحفيز'!$B$5:$B$2004,B40)&gt;0,COUNT(Q$4:Q39)+1,""))</f>
        <v/>
      </c>
      <c r="R40">
        <f>IF(B40="","",IF(COUNTIFS('سجل التحفيز'!$X$5:$X$2004,"&gt;0",'سجل التحفيز'!$B$5:$B$2004,B40)&gt;0,COUNT(R$4:R39)+1,""))</f>
        <v/>
      </c>
      <c r="S40">
        <f>IF(B40="","",IF(COUNTIFS('سجل التحفيز'!$Y$5:$Y$2004,"&gt;0",'سجل التحفيز'!$B$5:$B$2004,B40)&gt;0,COUNT(S$4:S39)+1,""))</f>
        <v/>
      </c>
      <c r="T40">
        <f>IF(B40="","",IF(COUNTIFS('سجل التحفيز'!$Z$5:$Z$2004,"&gt;0",'سجل التحفيز'!$B$5:$B$2004,B40)&gt;0,COUNT(T$4:T39)+1,""))</f>
        <v/>
      </c>
      <c r="U40">
        <f>IF(B40="","",IF(COUNTIFS('سجل التحفيز'!$AA$5:$AA$2004,"&gt;0",'سجل التحفيز'!$B$5:$B$2004,B40)&gt;0,COUNT(U$4:U39)+1,""))</f>
        <v/>
      </c>
      <c r="V40">
        <f>IF(B40="","",IF(COUNTIFS('سجل التحفيز'!$AB$5:$AB$2004,"&gt;0",'سجل التحفيز'!$B$5:$B$2004,B40)&gt;0,COUNT(V$4:V39)+1,""))</f>
        <v/>
      </c>
      <c r="W40">
        <f>IF(B40="","",IF(COUNTIFS('سجل التحفيز'!$AC$5:$AC$2004,"&gt;0",'سجل التحفيز'!$B$5:$B$2004,B40)&gt;0,COUNT(W$4:W39)+1,""))</f>
        <v/>
      </c>
      <c r="X40">
        <f>IF(B40="","",IF(COUNTIFS('سجل التحفيز'!$AD$5:$AD$2004,"&gt;0",'سجل التحفيز'!$B$5:$B$2004,B40)&gt;0,COUNT(X$4:X39)+1,""))</f>
        <v/>
      </c>
      <c r="Y40">
        <f>IF(B40="","",IF(COUNTIFS('سجل التحفيز'!$AE$5:$AE$2004,"&gt;0",'سجل التحفيز'!$B$5:$B$2004,B40)&gt;0,COUNT(Y$4:Y39)+1,""))</f>
        <v/>
      </c>
    </row>
    <row r="41">
      <c r="A41" s="17" t="n"/>
      <c r="B41" s="17" t="n"/>
      <c r="C41" s="17" t="n"/>
      <c r="D41" s="17" t="n"/>
      <c r="E41" s="17" t="n"/>
      <c r="F41" s="17" t="n"/>
      <c r="G41" s="17" t="n"/>
      <c r="H41" s="20">
        <f>IF(B41="","",COUNTIFS('سجل التحفيز'!$B$5:$B$2004,B41,'سجل التحفيز'!$R$5:$R$2004,الإعدادات!$B$4))</f>
        <v/>
      </c>
      <c r="I41" s="20">
        <f>IF(B41="","",COUNTIFS('سجل التحفيز'!$B$5:$B$2004,B41,'سجل التحفيز'!$R$5:$R$2004,الإعدادات!$B$4,'سجل التحفيز'!$Q$5:$Q$2004,"الفصل الأول",'سجل التحفيز'!$D$5:$D$2004,"ذهبي"))</f>
        <v/>
      </c>
      <c r="J41" s="20">
        <f>IF(B41="","",COUNTIFS('سجل التحفيز'!$B$5:$B$2004,B41,'سجل التحفيز'!$R$5:$R$2004,الإعدادات!$B$4,'سجل التحفيز'!$Q$5:$Q$2004,"الفصل الثاني",'سجل التحفيز'!$D$5:$D$2004,"ذهبي"))</f>
        <v/>
      </c>
      <c r="K41" s="20">
        <f>IF(B41="","",COUNTIFS('سجل التحفيز'!$B$5:$B$2004,B41,'سجل التحفيز'!$R$5:$R$2004,الإعدادات!$B$4,'سجل التحفيز'!$D$5:$D$2004,"ذهبي"))</f>
        <v/>
      </c>
      <c r="L41" s="20">
        <f>IF(B41="","",IF(G41="محرومة","محرومة - مخالفة",IF(K41&gt;=5,"مستحقة ★","متبقي "&amp;(5-K41)&amp;" معايير")))</f>
        <v/>
      </c>
      <c r="N41">
        <f>IF(B41="","",IF(COUNTIFS('سجل التحفيز'!$T$5:$T$2004,"&gt;0",'سجل التحفيز'!$B$5:$B$2004,B41)&gt;0,COUNT(N$4:N40)+1,""))</f>
        <v/>
      </c>
      <c r="O41">
        <f>IF(B41="","",IF(COUNTIFS('سجل التحفيز'!$U$5:$U$2004,"&gt;0",'سجل التحفيز'!$B$5:$B$2004,B41)&gt;0,COUNT(O$4:O40)+1,""))</f>
        <v/>
      </c>
      <c r="P41">
        <f>IF(B41="","",IF(COUNTIFS('سجل التحفيز'!$V$5:$V$2004,"&gt;0",'سجل التحفيز'!$B$5:$B$2004,B41)&gt;0,COUNT(P$4:P40)+1,""))</f>
        <v/>
      </c>
      <c r="Q41">
        <f>IF(B41="","",IF(COUNTIFS('سجل التحفيز'!$W$5:$W$2004,"&gt;0",'سجل التحفيز'!$B$5:$B$2004,B41)&gt;0,COUNT(Q$4:Q40)+1,""))</f>
        <v/>
      </c>
      <c r="R41">
        <f>IF(B41="","",IF(COUNTIFS('سجل التحفيز'!$X$5:$X$2004,"&gt;0",'سجل التحفيز'!$B$5:$B$2004,B41)&gt;0,COUNT(R$4:R40)+1,""))</f>
        <v/>
      </c>
      <c r="S41">
        <f>IF(B41="","",IF(COUNTIFS('سجل التحفيز'!$Y$5:$Y$2004,"&gt;0",'سجل التحفيز'!$B$5:$B$2004,B41)&gt;0,COUNT(S$4:S40)+1,""))</f>
        <v/>
      </c>
      <c r="T41">
        <f>IF(B41="","",IF(COUNTIFS('سجل التحفيز'!$Z$5:$Z$2004,"&gt;0",'سجل التحفيز'!$B$5:$B$2004,B41)&gt;0,COUNT(T$4:T40)+1,""))</f>
        <v/>
      </c>
      <c r="U41">
        <f>IF(B41="","",IF(COUNTIFS('سجل التحفيز'!$AA$5:$AA$2004,"&gt;0",'سجل التحفيز'!$B$5:$B$2004,B41)&gt;0,COUNT(U$4:U40)+1,""))</f>
        <v/>
      </c>
      <c r="V41">
        <f>IF(B41="","",IF(COUNTIFS('سجل التحفيز'!$AB$5:$AB$2004,"&gt;0",'سجل التحفيز'!$B$5:$B$2004,B41)&gt;0,COUNT(V$4:V40)+1,""))</f>
        <v/>
      </c>
      <c r="W41">
        <f>IF(B41="","",IF(COUNTIFS('سجل التحفيز'!$AC$5:$AC$2004,"&gt;0",'سجل التحفيز'!$B$5:$B$2004,B41)&gt;0,COUNT(W$4:W40)+1,""))</f>
        <v/>
      </c>
      <c r="X41">
        <f>IF(B41="","",IF(COUNTIFS('سجل التحفيز'!$AD$5:$AD$2004,"&gt;0",'سجل التحفيز'!$B$5:$B$2004,B41)&gt;0,COUNT(X$4:X40)+1,""))</f>
        <v/>
      </c>
      <c r="Y41">
        <f>IF(B41="","",IF(COUNTIFS('سجل التحفيز'!$AE$5:$AE$2004,"&gt;0",'سجل التحفيز'!$B$5:$B$2004,B41)&gt;0,COUNT(Y$4:Y40)+1,""))</f>
        <v/>
      </c>
    </row>
    <row r="42">
      <c r="A42" s="17" t="n"/>
      <c r="B42" s="17" t="n"/>
      <c r="C42" s="17" t="n"/>
      <c r="D42" s="17" t="n"/>
      <c r="E42" s="17" t="n"/>
      <c r="F42" s="17" t="n"/>
      <c r="G42" s="17" t="n"/>
      <c r="H42" s="20">
        <f>IF(B42="","",COUNTIFS('سجل التحفيز'!$B$5:$B$2004,B42,'سجل التحفيز'!$R$5:$R$2004,الإعدادات!$B$4))</f>
        <v/>
      </c>
      <c r="I42" s="20">
        <f>IF(B42="","",COUNTIFS('سجل التحفيز'!$B$5:$B$2004,B42,'سجل التحفيز'!$R$5:$R$2004,الإعدادات!$B$4,'سجل التحفيز'!$Q$5:$Q$2004,"الفصل الأول",'سجل التحفيز'!$D$5:$D$2004,"ذهبي"))</f>
        <v/>
      </c>
      <c r="J42" s="20">
        <f>IF(B42="","",COUNTIFS('سجل التحفيز'!$B$5:$B$2004,B42,'سجل التحفيز'!$R$5:$R$2004,الإعدادات!$B$4,'سجل التحفيز'!$Q$5:$Q$2004,"الفصل الثاني",'سجل التحفيز'!$D$5:$D$2004,"ذهبي"))</f>
        <v/>
      </c>
      <c r="K42" s="20">
        <f>IF(B42="","",COUNTIFS('سجل التحفيز'!$B$5:$B$2004,B42,'سجل التحفيز'!$R$5:$R$2004,الإعدادات!$B$4,'سجل التحفيز'!$D$5:$D$2004,"ذهبي"))</f>
        <v/>
      </c>
      <c r="L42" s="20">
        <f>IF(B42="","",IF(G42="محرومة","محرومة - مخالفة",IF(K42&gt;=5,"مستحقة ★","متبقي "&amp;(5-K42)&amp;" معايير")))</f>
        <v/>
      </c>
      <c r="N42">
        <f>IF(B42="","",IF(COUNTIFS('سجل التحفيز'!$T$5:$T$2004,"&gt;0",'سجل التحفيز'!$B$5:$B$2004,B42)&gt;0,COUNT(N$4:N41)+1,""))</f>
        <v/>
      </c>
      <c r="O42">
        <f>IF(B42="","",IF(COUNTIFS('سجل التحفيز'!$U$5:$U$2004,"&gt;0",'سجل التحفيز'!$B$5:$B$2004,B42)&gt;0,COUNT(O$4:O41)+1,""))</f>
        <v/>
      </c>
      <c r="P42">
        <f>IF(B42="","",IF(COUNTIFS('سجل التحفيز'!$V$5:$V$2004,"&gt;0",'سجل التحفيز'!$B$5:$B$2004,B42)&gt;0,COUNT(P$4:P41)+1,""))</f>
        <v/>
      </c>
      <c r="Q42">
        <f>IF(B42="","",IF(COUNTIFS('سجل التحفيز'!$W$5:$W$2004,"&gt;0",'سجل التحفيز'!$B$5:$B$2004,B42)&gt;0,COUNT(Q$4:Q41)+1,""))</f>
        <v/>
      </c>
      <c r="R42">
        <f>IF(B42="","",IF(COUNTIFS('سجل التحفيز'!$X$5:$X$2004,"&gt;0",'سجل التحفيز'!$B$5:$B$2004,B42)&gt;0,COUNT(R$4:R41)+1,""))</f>
        <v/>
      </c>
      <c r="S42">
        <f>IF(B42="","",IF(COUNTIFS('سجل التحفيز'!$Y$5:$Y$2004,"&gt;0",'سجل التحفيز'!$B$5:$B$2004,B42)&gt;0,COUNT(S$4:S41)+1,""))</f>
        <v/>
      </c>
      <c r="T42">
        <f>IF(B42="","",IF(COUNTIFS('سجل التحفيز'!$Z$5:$Z$2004,"&gt;0",'سجل التحفيز'!$B$5:$B$2004,B42)&gt;0,COUNT(T$4:T41)+1,""))</f>
        <v/>
      </c>
      <c r="U42">
        <f>IF(B42="","",IF(COUNTIFS('سجل التحفيز'!$AA$5:$AA$2004,"&gt;0",'سجل التحفيز'!$B$5:$B$2004,B42)&gt;0,COUNT(U$4:U41)+1,""))</f>
        <v/>
      </c>
      <c r="V42">
        <f>IF(B42="","",IF(COUNTIFS('سجل التحفيز'!$AB$5:$AB$2004,"&gt;0",'سجل التحفيز'!$B$5:$B$2004,B42)&gt;0,COUNT(V$4:V41)+1,""))</f>
        <v/>
      </c>
      <c r="W42">
        <f>IF(B42="","",IF(COUNTIFS('سجل التحفيز'!$AC$5:$AC$2004,"&gt;0",'سجل التحفيز'!$B$5:$B$2004,B42)&gt;0,COUNT(W$4:W41)+1,""))</f>
        <v/>
      </c>
      <c r="X42">
        <f>IF(B42="","",IF(COUNTIFS('سجل التحفيز'!$AD$5:$AD$2004,"&gt;0",'سجل التحفيز'!$B$5:$B$2004,B42)&gt;0,COUNT(X$4:X41)+1,""))</f>
        <v/>
      </c>
      <c r="Y42">
        <f>IF(B42="","",IF(COUNTIFS('سجل التحفيز'!$AE$5:$AE$2004,"&gt;0",'سجل التحفيز'!$B$5:$B$2004,B42)&gt;0,COUNT(Y$4:Y41)+1,""))</f>
        <v/>
      </c>
    </row>
    <row r="43">
      <c r="A43" s="17" t="n"/>
      <c r="B43" s="17" t="n"/>
      <c r="C43" s="17" t="n"/>
      <c r="D43" s="17" t="n"/>
      <c r="E43" s="17" t="n"/>
      <c r="F43" s="17" t="n"/>
      <c r="G43" s="17" t="n"/>
      <c r="H43" s="20">
        <f>IF(B43="","",COUNTIFS('سجل التحفيز'!$B$5:$B$2004,B43,'سجل التحفيز'!$R$5:$R$2004,الإعدادات!$B$4))</f>
        <v/>
      </c>
      <c r="I43" s="20">
        <f>IF(B43="","",COUNTIFS('سجل التحفيز'!$B$5:$B$2004,B43,'سجل التحفيز'!$R$5:$R$2004,الإعدادات!$B$4,'سجل التحفيز'!$Q$5:$Q$2004,"الفصل الأول",'سجل التحفيز'!$D$5:$D$2004,"ذهبي"))</f>
        <v/>
      </c>
      <c r="J43" s="20">
        <f>IF(B43="","",COUNTIFS('سجل التحفيز'!$B$5:$B$2004,B43,'سجل التحفيز'!$R$5:$R$2004,الإعدادات!$B$4,'سجل التحفيز'!$Q$5:$Q$2004,"الفصل الثاني",'سجل التحفيز'!$D$5:$D$2004,"ذهبي"))</f>
        <v/>
      </c>
      <c r="K43" s="20">
        <f>IF(B43="","",COUNTIFS('سجل التحفيز'!$B$5:$B$2004,B43,'سجل التحفيز'!$R$5:$R$2004,الإعدادات!$B$4,'سجل التحفيز'!$D$5:$D$2004,"ذهبي"))</f>
        <v/>
      </c>
      <c r="L43" s="20">
        <f>IF(B43="","",IF(G43="محرومة","محرومة - مخالفة",IF(K43&gt;=5,"مستحقة ★","متبقي "&amp;(5-K43)&amp;" معايير")))</f>
        <v/>
      </c>
      <c r="N43">
        <f>IF(B43="","",IF(COUNTIFS('سجل التحفيز'!$T$5:$T$2004,"&gt;0",'سجل التحفيز'!$B$5:$B$2004,B43)&gt;0,COUNT(N$4:N42)+1,""))</f>
        <v/>
      </c>
      <c r="O43">
        <f>IF(B43="","",IF(COUNTIFS('سجل التحفيز'!$U$5:$U$2004,"&gt;0",'سجل التحفيز'!$B$5:$B$2004,B43)&gt;0,COUNT(O$4:O42)+1,""))</f>
        <v/>
      </c>
      <c r="P43">
        <f>IF(B43="","",IF(COUNTIFS('سجل التحفيز'!$V$5:$V$2004,"&gt;0",'سجل التحفيز'!$B$5:$B$2004,B43)&gt;0,COUNT(P$4:P42)+1,""))</f>
        <v/>
      </c>
      <c r="Q43">
        <f>IF(B43="","",IF(COUNTIFS('سجل التحفيز'!$W$5:$W$2004,"&gt;0",'سجل التحفيز'!$B$5:$B$2004,B43)&gt;0,COUNT(Q$4:Q42)+1,""))</f>
        <v/>
      </c>
      <c r="R43">
        <f>IF(B43="","",IF(COUNTIFS('سجل التحفيز'!$X$5:$X$2004,"&gt;0",'سجل التحفيز'!$B$5:$B$2004,B43)&gt;0,COUNT(R$4:R42)+1,""))</f>
        <v/>
      </c>
      <c r="S43">
        <f>IF(B43="","",IF(COUNTIFS('سجل التحفيز'!$Y$5:$Y$2004,"&gt;0",'سجل التحفيز'!$B$5:$B$2004,B43)&gt;0,COUNT(S$4:S42)+1,""))</f>
        <v/>
      </c>
      <c r="T43">
        <f>IF(B43="","",IF(COUNTIFS('سجل التحفيز'!$Z$5:$Z$2004,"&gt;0",'سجل التحفيز'!$B$5:$B$2004,B43)&gt;0,COUNT(T$4:T42)+1,""))</f>
        <v/>
      </c>
      <c r="U43">
        <f>IF(B43="","",IF(COUNTIFS('سجل التحفيز'!$AA$5:$AA$2004,"&gt;0",'سجل التحفيز'!$B$5:$B$2004,B43)&gt;0,COUNT(U$4:U42)+1,""))</f>
        <v/>
      </c>
      <c r="V43">
        <f>IF(B43="","",IF(COUNTIFS('سجل التحفيز'!$AB$5:$AB$2004,"&gt;0",'سجل التحفيز'!$B$5:$B$2004,B43)&gt;0,COUNT(V$4:V42)+1,""))</f>
        <v/>
      </c>
      <c r="W43">
        <f>IF(B43="","",IF(COUNTIFS('سجل التحفيز'!$AC$5:$AC$2004,"&gt;0",'سجل التحفيز'!$B$5:$B$2004,B43)&gt;0,COUNT(W$4:W42)+1,""))</f>
        <v/>
      </c>
      <c r="X43">
        <f>IF(B43="","",IF(COUNTIFS('سجل التحفيز'!$AD$5:$AD$2004,"&gt;0",'سجل التحفيز'!$B$5:$B$2004,B43)&gt;0,COUNT(X$4:X42)+1,""))</f>
        <v/>
      </c>
      <c r="Y43">
        <f>IF(B43="","",IF(COUNTIFS('سجل التحفيز'!$AE$5:$AE$2004,"&gt;0",'سجل التحفيز'!$B$5:$B$2004,B43)&gt;0,COUNT(Y$4:Y42)+1,""))</f>
        <v/>
      </c>
    </row>
    <row r="44">
      <c r="A44" s="17" t="n"/>
      <c r="B44" s="17" t="n"/>
      <c r="C44" s="17" t="n"/>
      <c r="D44" s="17" t="n"/>
      <c r="E44" s="17" t="n"/>
      <c r="F44" s="17" t="n"/>
      <c r="G44" s="17" t="n"/>
      <c r="H44" s="20">
        <f>IF(B44="","",COUNTIFS('سجل التحفيز'!$B$5:$B$2004,B44,'سجل التحفيز'!$R$5:$R$2004,الإعدادات!$B$4))</f>
        <v/>
      </c>
      <c r="I44" s="20">
        <f>IF(B44="","",COUNTIFS('سجل التحفيز'!$B$5:$B$2004,B44,'سجل التحفيز'!$R$5:$R$2004,الإعدادات!$B$4,'سجل التحفيز'!$Q$5:$Q$2004,"الفصل الأول",'سجل التحفيز'!$D$5:$D$2004,"ذهبي"))</f>
        <v/>
      </c>
      <c r="J44" s="20">
        <f>IF(B44="","",COUNTIFS('سجل التحفيز'!$B$5:$B$2004,B44,'سجل التحفيز'!$R$5:$R$2004,الإعدادات!$B$4,'سجل التحفيز'!$Q$5:$Q$2004,"الفصل الثاني",'سجل التحفيز'!$D$5:$D$2004,"ذهبي"))</f>
        <v/>
      </c>
      <c r="K44" s="20">
        <f>IF(B44="","",COUNTIFS('سجل التحفيز'!$B$5:$B$2004,B44,'سجل التحفيز'!$R$5:$R$2004,الإعدادات!$B$4,'سجل التحفيز'!$D$5:$D$2004,"ذهبي"))</f>
        <v/>
      </c>
      <c r="L44" s="20">
        <f>IF(B44="","",IF(G44="محرومة","محرومة - مخالفة",IF(K44&gt;=5,"مستحقة ★","متبقي "&amp;(5-K44)&amp;" معايير")))</f>
        <v/>
      </c>
      <c r="N44">
        <f>IF(B44="","",IF(COUNTIFS('سجل التحفيز'!$T$5:$T$2004,"&gt;0",'سجل التحفيز'!$B$5:$B$2004,B44)&gt;0,COUNT(N$4:N43)+1,""))</f>
        <v/>
      </c>
      <c r="O44">
        <f>IF(B44="","",IF(COUNTIFS('سجل التحفيز'!$U$5:$U$2004,"&gt;0",'سجل التحفيز'!$B$5:$B$2004,B44)&gt;0,COUNT(O$4:O43)+1,""))</f>
        <v/>
      </c>
      <c r="P44">
        <f>IF(B44="","",IF(COUNTIFS('سجل التحفيز'!$V$5:$V$2004,"&gt;0",'سجل التحفيز'!$B$5:$B$2004,B44)&gt;0,COUNT(P$4:P43)+1,""))</f>
        <v/>
      </c>
      <c r="Q44">
        <f>IF(B44="","",IF(COUNTIFS('سجل التحفيز'!$W$5:$W$2004,"&gt;0",'سجل التحفيز'!$B$5:$B$2004,B44)&gt;0,COUNT(Q$4:Q43)+1,""))</f>
        <v/>
      </c>
      <c r="R44">
        <f>IF(B44="","",IF(COUNTIFS('سجل التحفيز'!$X$5:$X$2004,"&gt;0",'سجل التحفيز'!$B$5:$B$2004,B44)&gt;0,COUNT(R$4:R43)+1,""))</f>
        <v/>
      </c>
      <c r="S44">
        <f>IF(B44="","",IF(COUNTIFS('سجل التحفيز'!$Y$5:$Y$2004,"&gt;0",'سجل التحفيز'!$B$5:$B$2004,B44)&gt;0,COUNT(S$4:S43)+1,""))</f>
        <v/>
      </c>
      <c r="T44">
        <f>IF(B44="","",IF(COUNTIFS('سجل التحفيز'!$Z$5:$Z$2004,"&gt;0",'سجل التحفيز'!$B$5:$B$2004,B44)&gt;0,COUNT(T$4:T43)+1,""))</f>
        <v/>
      </c>
      <c r="U44">
        <f>IF(B44="","",IF(COUNTIFS('سجل التحفيز'!$AA$5:$AA$2004,"&gt;0",'سجل التحفيز'!$B$5:$B$2004,B44)&gt;0,COUNT(U$4:U43)+1,""))</f>
        <v/>
      </c>
      <c r="V44">
        <f>IF(B44="","",IF(COUNTIFS('سجل التحفيز'!$AB$5:$AB$2004,"&gt;0",'سجل التحفيز'!$B$5:$B$2004,B44)&gt;0,COUNT(V$4:V43)+1,""))</f>
        <v/>
      </c>
      <c r="W44">
        <f>IF(B44="","",IF(COUNTIFS('سجل التحفيز'!$AC$5:$AC$2004,"&gt;0",'سجل التحفيز'!$B$5:$B$2004,B44)&gt;0,COUNT(W$4:W43)+1,""))</f>
        <v/>
      </c>
      <c r="X44">
        <f>IF(B44="","",IF(COUNTIFS('سجل التحفيز'!$AD$5:$AD$2004,"&gt;0",'سجل التحفيز'!$B$5:$B$2004,B44)&gt;0,COUNT(X$4:X43)+1,""))</f>
        <v/>
      </c>
      <c r="Y44">
        <f>IF(B44="","",IF(COUNTIFS('سجل التحفيز'!$AE$5:$AE$2004,"&gt;0",'سجل التحفيز'!$B$5:$B$2004,B44)&gt;0,COUNT(Y$4:Y43)+1,""))</f>
        <v/>
      </c>
    </row>
    <row r="45">
      <c r="A45" s="17" t="n"/>
      <c r="B45" s="17" t="n"/>
      <c r="C45" s="17" t="n"/>
      <c r="D45" s="17" t="n"/>
      <c r="E45" s="17" t="n"/>
      <c r="F45" s="17" t="n"/>
      <c r="G45" s="17" t="n"/>
      <c r="H45" s="20">
        <f>IF(B45="","",COUNTIFS('سجل التحفيز'!$B$5:$B$2004,B45,'سجل التحفيز'!$R$5:$R$2004,الإعدادات!$B$4))</f>
        <v/>
      </c>
      <c r="I45" s="20">
        <f>IF(B45="","",COUNTIFS('سجل التحفيز'!$B$5:$B$2004,B45,'سجل التحفيز'!$R$5:$R$2004,الإعدادات!$B$4,'سجل التحفيز'!$Q$5:$Q$2004,"الفصل الأول",'سجل التحفيز'!$D$5:$D$2004,"ذهبي"))</f>
        <v/>
      </c>
      <c r="J45" s="20">
        <f>IF(B45="","",COUNTIFS('سجل التحفيز'!$B$5:$B$2004,B45,'سجل التحفيز'!$R$5:$R$2004,الإعدادات!$B$4,'سجل التحفيز'!$Q$5:$Q$2004,"الفصل الثاني",'سجل التحفيز'!$D$5:$D$2004,"ذهبي"))</f>
        <v/>
      </c>
      <c r="K45" s="20">
        <f>IF(B45="","",COUNTIFS('سجل التحفيز'!$B$5:$B$2004,B45,'سجل التحفيز'!$R$5:$R$2004,الإعدادات!$B$4,'سجل التحفيز'!$D$5:$D$2004,"ذهبي"))</f>
        <v/>
      </c>
      <c r="L45" s="20">
        <f>IF(B45="","",IF(G45="محرومة","محرومة - مخالفة",IF(K45&gt;=5,"مستحقة ★","متبقي "&amp;(5-K45)&amp;" معايير")))</f>
        <v/>
      </c>
      <c r="N45">
        <f>IF(B45="","",IF(COUNTIFS('سجل التحفيز'!$T$5:$T$2004,"&gt;0",'سجل التحفيز'!$B$5:$B$2004,B45)&gt;0,COUNT(N$4:N44)+1,""))</f>
        <v/>
      </c>
      <c r="O45">
        <f>IF(B45="","",IF(COUNTIFS('سجل التحفيز'!$U$5:$U$2004,"&gt;0",'سجل التحفيز'!$B$5:$B$2004,B45)&gt;0,COUNT(O$4:O44)+1,""))</f>
        <v/>
      </c>
      <c r="P45">
        <f>IF(B45="","",IF(COUNTIFS('سجل التحفيز'!$V$5:$V$2004,"&gt;0",'سجل التحفيز'!$B$5:$B$2004,B45)&gt;0,COUNT(P$4:P44)+1,""))</f>
        <v/>
      </c>
      <c r="Q45">
        <f>IF(B45="","",IF(COUNTIFS('سجل التحفيز'!$W$5:$W$2004,"&gt;0",'سجل التحفيز'!$B$5:$B$2004,B45)&gt;0,COUNT(Q$4:Q44)+1,""))</f>
        <v/>
      </c>
      <c r="R45">
        <f>IF(B45="","",IF(COUNTIFS('سجل التحفيز'!$X$5:$X$2004,"&gt;0",'سجل التحفيز'!$B$5:$B$2004,B45)&gt;0,COUNT(R$4:R44)+1,""))</f>
        <v/>
      </c>
      <c r="S45">
        <f>IF(B45="","",IF(COUNTIFS('سجل التحفيز'!$Y$5:$Y$2004,"&gt;0",'سجل التحفيز'!$B$5:$B$2004,B45)&gt;0,COUNT(S$4:S44)+1,""))</f>
        <v/>
      </c>
      <c r="T45">
        <f>IF(B45="","",IF(COUNTIFS('سجل التحفيز'!$Z$5:$Z$2004,"&gt;0",'سجل التحفيز'!$B$5:$B$2004,B45)&gt;0,COUNT(T$4:T44)+1,""))</f>
        <v/>
      </c>
      <c r="U45">
        <f>IF(B45="","",IF(COUNTIFS('سجل التحفيز'!$AA$5:$AA$2004,"&gt;0",'سجل التحفيز'!$B$5:$B$2004,B45)&gt;0,COUNT(U$4:U44)+1,""))</f>
        <v/>
      </c>
      <c r="V45">
        <f>IF(B45="","",IF(COUNTIFS('سجل التحفيز'!$AB$5:$AB$2004,"&gt;0",'سجل التحفيز'!$B$5:$B$2004,B45)&gt;0,COUNT(V$4:V44)+1,""))</f>
        <v/>
      </c>
      <c r="W45">
        <f>IF(B45="","",IF(COUNTIFS('سجل التحفيز'!$AC$5:$AC$2004,"&gt;0",'سجل التحفيز'!$B$5:$B$2004,B45)&gt;0,COUNT(W$4:W44)+1,""))</f>
        <v/>
      </c>
      <c r="X45">
        <f>IF(B45="","",IF(COUNTIFS('سجل التحفيز'!$AD$5:$AD$2004,"&gt;0",'سجل التحفيز'!$B$5:$B$2004,B45)&gt;0,COUNT(X$4:X44)+1,""))</f>
        <v/>
      </c>
      <c r="Y45">
        <f>IF(B45="","",IF(COUNTIFS('سجل التحفيز'!$AE$5:$AE$2004,"&gt;0",'سجل التحفيز'!$B$5:$B$2004,B45)&gt;0,COUNT(Y$4:Y44)+1,""))</f>
        <v/>
      </c>
    </row>
    <row r="46">
      <c r="A46" s="17" t="n"/>
      <c r="B46" s="17" t="n"/>
      <c r="C46" s="17" t="n"/>
      <c r="D46" s="17" t="n"/>
      <c r="E46" s="17" t="n"/>
      <c r="F46" s="17" t="n"/>
      <c r="G46" s="17" t="n"/>
      <c r="H46" s="20">
        <f>IF(B46="","",COUNTIFS('سجل التحفيز'!$B$5:$B$2004,B46,'سجل التحفيز'!$R$5:$R$2004,الإعدادات!$B$4))</f>
        <v/>
      </c>
      <c r="I46" s="20">
        <f>IF(B46="","",COUNTIFS('سجل التحفيز'!$B$5:$B$2004,B46,'سجل التحفيز'!$R$5:$R$2004,الإعدادات!$B$4,'سجل التحفيز'!$Q$5:$Q$2004,"الفصل الأول",'سجل التحفيز'!$D$5:$D$2004,"ذهبي"))</f>
        <v/>
      </c>
      <c r="J46" s="20">
        <f>IF(B46="","",COUNTIFS('سجل التحفيز'!$B$5:$B$2004,B46,'سجل التحفيز'!$R$5:$R$2004,الإعدادات!$B$4,'سجل التحفيز'!$Q$5:$Q$2004,"الفصل الثاني",'سجل التحفيز'!$D$5:$D$2004,"ذهبي"))</f>
        <v/>
      </c>
      <c r="K46" s="20">
        <f>IF(B46="","",COUNTIFS('سجل التحفيز'!$B$5:$B$2004,B46,'سجل التحفيز'!$R$5:$R$2004,الإعدادات!$B$4,'سجل التحفيز'!$D$5:$D$2004,"ذهبي"))</f>
        <v/>
      </c>
      <c r="L46" s="20">
        <f>IF(B46="","",IF(G46="محرومة","محرومة - مخالفة",IF(K46&gt;=5,"مستحقة ★","متبقي "&amp;(5-K46)&amp;" معايير")))</f>
        <v/>
      </c>
      <c r="N46">
        <f>IF(B46="","",IF(COUNTIFS('سجل التحفيز'!$T$5:$T$2004,"&gt;0",'سجل التحفيز'!$B$5:$B$2004,B46)&gt;0,COUNT(N$4:N45)+1,""))</f>
        <v/>
      </c>
      <c r="O46">
        <f>IF(B46="","",IF(COUNTIFS('سجل التحفيز'!$U$5:$U$2004,"&gt;0",'سجل التحفيز'!$B$5:$B$2004,B46)&gt;0,COUNT(O$4:O45)+1,""))</f>
        <v/>
      </c>
      <c r="P46">
        <f>IF(B46="","",IF(COUNTIFS('سجل التحفيز'!$V$5:$V$2004,"&gt;0",'سجل التحفيز'!$B$5:$B$2004,B46)&gt;0,COUNT(P$4:P45)+1,""))</f>
        <v/>
      </c>
      <c r="Q46">
        <f>IF(B46="","",IF(COUNTIFS('سجل التحفيز'!$W$5:$W$2004,"&gt;0",'سجل التحفيز'!$B$5:$B$2004,B46)&gt;0,COUNT(Q$4:Q45)+1,""))</f>
        <v/>
      </c>
      <c r="R46">
        <f>IF(B46="","",IF(COUNTIFS('سجل التحفيز'!$X$5:$X$2004,"&gt;0",'سجل التحفيز'!$B$5:$B$2004,B46)&gt;0,COUNT(R$4:R45)+1,""))</f>
        <v/>
      </c>
      <c r="S46">
        <f>IF(B46="","",IF(COUNTIFS('سجل التحفيز'!$Y$5:$Y$2004,"&gt;0",'سجل التحفيز'!$B$5:$B$2004,B46)&gt;0,COUNT(S$4:S45)+1,""))</f>
        <v/>
      </c>
      <c r="T46">
        <f>IF(B46="","",IF(COUNTIFS('سجل التحفيز'!$Z$5:$Z$2004,"&gt;0",'سجل التحفيز'!$B$5:$B$2004,B46)&gt;0,COUNT(T$4:T45)+1,""))</f>
        <v/>
      </c>
      <c r="U46">
        <f>IF(B46="","",IF(COUNTIFS('سجل التحفيز'!$AA$5:$AA$2004,"&gt;0",'سجل التحفيز'!$B$5:$B$2004,B46)&gt;0,COUNT(U$4:U45)+1,""))</f>
        <v/>
      </c>
      <c r="V46">
        <f>IF(B46="","",IF(COUNTIFS('سجل التحفيز'!$AB$5:$AB$2004,"&gt;0",'سجل التحفيز'!$B$5:$B$2004,B46)&gt;0,COUNT(V$4:V45)+1,""))</f>
        <v/>
      </c>
      <c r="W46">
        <f>IF(B46="","",IF(COUNTIFS('سجل التحفيز'!$AC$5:$AC$2004,"&gt;0",'سجل التحفيز'!$B$5:$B$2004,B46)&gt;0,COUNT(W$4:W45)+1,""))</f>
        <v/>
      </c>
      <c r="X46">
        <f>IF(B46="","",IF(COUNTIFS('سجل التحفيز'!$AD$5:$AD$2004,"&gt;0",'سجل التحفيز'!$B$5:$B$2004,B46)&gt;0,COUNT(X$4:X45)+1,""))</f>
        <v/>
      </c>
      <c r="Y46">
        <f>IF(B46="","",IF(COUNTIFS('سجل التحفيز'!$AE$5:$AE$2004,"&gt;0",'سجل التحفيز'!$B$5:$B$2004,B46)&gt;0,COUNT(Y$4:Y45)+1,""))</f>
        <v/>
      </c>
    </row>
    <row r="47">
      <c r="A47" s="17" t="n"/>
      <c r="B47" s="17" t="n"/>
      <c r="C47" s="17" t="n"/>
      <c r="D47" s="17" t="n"/>
      <c r="E47" s="17" t="n"/>
      <c r="F47" s="17" t="n"/>
      <c r="G47" s="17" t="n"/>
      <c r="H47" s="20">
        <f>IF(B47="","",COUNTIFS('سجل التحفيز'!$B$5:$B$2004,B47,'سجل التحفيز'!$R$5:$R$2004,الإعدادات!$B$4))</f>
        <v/>
      </c>
      <c r="I47" s="20">
        <f>IF(B47="","",COUNTIFS('سجل التحفيز'!$B$5:$B$2004,B47,'سجل التحفيز'!$R$5:$R$2004,الإعدادات!$B$4,'سجل التحفيز'!$Q$5:$Q$2004,"الفصل الأول",'سجل التحفيز'!$D$5:$D$2004,"ذهبي"))</f>
        <v/>
      </c>
      <c r="J47" s="20">
        <f>IF(B47="","",COUNTIFS('سجل التحفيز'!$B$5:$B$2004,B47,'سجل التحفيز'!$R$5:$R$2004,الإعدادات!$B$4,'سجل التحفيز'!$Q$5:$Q$2004,"الفصل الثاني",'سجل التحفيز'!$D$5:$D$2004,"ذهبي"))</f>
        <v/>
      </c>
      <c r="K47" s="20">
        <f>IF(B47="","",COUNTIFS('سجل التحفيز'!$B$5:$B$2004,B47,'سجل التحفيز'!$R$5:$R$2004,الإعدادات!$B$4,'سجل التحفيز'!$D$5:$D$2004,"ذهبي"))</f>
        <v/>
      </c>
      <c r="L47" s="20">
        <f>IF(B47="","",IF(G47="محرومة","محرومة - مخالفة",IF(K47&gt;=5,"مستحقة ★","متبقي "&amp;(5-K47)&amp;" معايير")))</f>
        <v/>
      </c>
      <c r="N47">
        <f>IF(B47="","",IF(COUNTIFS('سجل التحفيز'!$T$5:$T$2004,"&gt;0",'سجل التحفيز'!$B$5:$B$2004,B47)&gt;0,COUNT(N$4:N46)+1,""))</f>
        <v/>
      </c>
      <c r="O47">
        <f>IF(B47="","",IF(COUNTIFS('سجل التحفيز'!$U$5:$U$2004,"&gt;0",'سجل التحفيز'!$B$5:$B$2004,B47)&gt;0,COUNT(O$4:O46)+1,""))</f>
        <v/>
      </c>
      <c r="P47">
        <f>IF(B47="","",IF(COUNTIFS('سجل التحفيز'!$V$5:$V$2004,"&gt;0",'سجل التحفيز'!$B$5:$B$2004,B47)&gt;0,COUNT(P$4:P46)+1,""))</f>
        <v/>
      </c>
      <c r="Q47">
        <f>IF(B47="","",IF(COUNTIFS('سجل التحفيز'!$W$5:$W$2004,"&gt;0",'سجل التحفيز'!$B$5:$B$2004,B47)&gt;0,COUNT(Q$4:Q46)+1,""))</f>
        <v/>
      </c>
      <c r="R47">
        <f>IF(B47="","",IF(COUNTIFS('سجل التحفيز'!$X$5:$X$2004,"&gt;0",'سجل التحفيز'!$B$5:$B$2004,B47)&gt;0,COUNT(R$4:R46)+1,""))</f>
        <v/>
      </c>
      <c r="S47">
        <f>IF(B47="","",IF(COUNTIFS('سجل التحفيز'!$Y$5:$Y$2004,"&gt;0",'سجل التحفيز'!$B$5:$B$2004,B47)&gt;0,COUNT(S$4:S46)+1,""))</f>
        <v/>
      </c>
      <c r="T47">
        <f>IF(B47="","",IF(COUNTIFS('سجل التحفيز'!$Z$5:$Z$2004,"&gt;0",'سجل التحفيز'!$B$5:$B$2004,B47)&gt;0,COUNT(T$4:T46)+1,""))</f>
        <v/>
      </c>
      <c r="U47">
        <f>IF(B47="","",IF(COUNTIFS('سجل التحفيز'!$AA$5:$AA$2004,"&gt;0",'سجل التحفيز'!$B$5:$B$2004,B47)&gt;0,COUNT(U$4:U46)+1,""))</f>
        <v/>
      </c>
      <c r="V47">
        <f>IF(B47="","",IF(COUNTIFS('سجل التحفيز'!$AB$5:$AB$2004,"&gt;0",'سجل التحفيز'!$B$5:$B$2004,B47)&gt;0,COUNT(V$4:V46)+1,""))</f>
        <v/>
      </c>
      <c r="W47">
        <f>IF(B47="","",IF(COUNTIFS('سجل التحفيز'!$AC$5:$AC$2004,"&gt;0",'سجل التحفيز'!$B$5:$B$2004,B47)&gt;0,COUNT(W$4:W46)+1,""))</f>
        <v/>
      </c>
      <c r="X47">
        <f>IF(B47="","",IF(COUNTIFS('سجل التحفيز'!$AD$5:$AD$2004,"&gt;0",'سجل التحفيز'!$B$5:$B$2004,B47)&gt;0,COUNT(X$4:X46)+1,""))</f>
        <v/>
      </c>
      <c r="Y47">
        <f>IF(B47="","",IF(COUNTIFS('سجل التحفيز'!$AE$5:$AE$2004,"&gt;0",'سجل التحفيز'!$B$5:$B$2004,B47)&gt;0,COUNT(Y$4:Y46)+1,""))</f>
        <v/>
      </c>
    </row>
    <row r="48">
      <c r="A48" s="17" t="n"/>
      <c r="B48" s="17" t="n"/>
      <c r="C48" s="17" t="n"/>
      <c r="D48" s="17" t="n"/>
      <c r="E48" s="17" t="n"/>
      <c r="F48" s="17" t="n"/>
      <c r="G48" s="17" t="n"/>
      <c r="H48" s="20">
        <f>IF(B48="","",COUNTIFS('سجل التحفيز'!$B$5:$B$2004,B48,'سجل التحفيز'!$R$5:$R$2004,الإعدادات!$B$4))</f>
        <v/>
      </c>
      <c r="I48" s="20">
        <f>IF(B48="","",COUNTIFS('سجل التحفيز'!$B$5:$B$2004,B48,'سجل التحفيز'!$R$5:$R$2004,الإعدادات!$B$4,'سجل التحفيز'!$Q$5:$Q$2004,"الفصل الأول",'سجل التحفيز'!$D$5:$D$2004,"ذهبي"))</f>
        <v/>
      </c>
      <c r="J48" s="20">
        <f>IF(B48="","",COUNTIFS('سجل التحفيز'!$B$5:$B$2004,B48,'سجل التحفيز'!$R$5:$R$2004,الإعدادات!$B$4,'سجل التحفيز'!$Q$5:$Q$2004,"الفصل الثاني",'سجل التحفيز'!$D$5:$D$2004,"ذهبي"))</f>
        <v/>
      </c>
      <c r="K48" s="20">
        <f>IF(B48="","",COUNTIFS('سجل التحفيز'!$B$5:$B$2004,B48,'سجل التحفيز'!$R$5:$R$2004,الإعدادات!$B$4,'سجل التحفيز'!$D$5:$D$2004,"ذهبي"))</f>
        <v/>
      </c>
      <c r="L48" s="20">
        <f>IF(B48="","",IF(G48="محرومة","محرومة - مخالفة",IF(K48&gt;=5,"مستحقة ★","متبقي "&amp;(5-K48)&amp;" معايير")))</f>
        <v/>
      </c>
      <c r="N48">
        <f>IF(B48="","",IF(COUNTIFS('سجل التحفيز'!$T$5:$T$2004,"&gt;0",'سجل التحفيز'!$B$5:$B$2004,B48)&gt;0,COUNT(N$4:N47)+1,""))</f>
        <v/>
      </c>
      <c r="O48">
        <f>IF(B48="","",IF(COUNTIFS('سجل التحفيز'!$U$5:$U$2004,"&gt;0",'سجل التحفيز'!$B$5:$B$2004,B48)&gt;0,COUNT(O$4:O47)+1,""))</f>
        <v/>
      </c>
      <c r="P48">
        <f>IF(B48="","",IF(COUNTIFS('سجل التحفيز'!$V$5:$V$2004,"&gt;0",'سجل التحفيز'!$B$5:$B$2004,B48)&gt;0,COUNT(P$4:P47)+1,""))</f>
        <v/>
      </c>
      <c r="Q48">
        <f>IF(B48="","",IF(COUNTIFS('سجل التحفيز'!$W$5:$W$2004,"&gt;0",'سجل التحفيز'!$B$5:$B$2004,B48)&gt;0,COUNT(Q$4:Q47)+1,""))</f>
        <v/>
      </c>
      <c r="R48">
        <f>IF(B48="","",IF(COUNTIFS('سجل التحفيز'!$X$5:$X$2004,"&gt;0",'سجل التحفيز'!$B$5:$B$2004,B48)&gt;0,COUNT(R$4:R47)+1,""))</f>
        <v/>
      </c>
      <c r="S48">
        <f>IF(B48="","",IF(COUNTIFS('سجل التحفيز'!$Y$5:$Y$2004,"&gt;0",'سجل التحفيز'!$B$5:$B$2004,B48)&gt;0,COUNT(S$4:S47)+1,""))</f>
        <v/>
      </c>
      <c r="T48">
        <f>IF(B48="","",IF(COUNTIFS('سجل التحفيز'!$Z$5:$Z$2004,"&gt;0",'سجل التحفيز'!$B$5:$B$2004,B48)&gt;0,COUNT(T$4:T47)+1,""))</f>
        <v/>
      </c>
      <c r="U48">
        <f>IF(B48="","",IF(COUNTIFS('سجل التحفيز'!$AA$5:$AA$2004,"&gt;0",'سجل التحفيز'!$B$5:$B$2004,B48)&gt;0,COUNT(U$4:U47)+1,""))</f>
        <v/>
      </c>
      <c r="V48">
        <f>IF(B48="","",IF(COUNTIFS('سجل التحفيز'!$AB$5:$AB$2004,"&gt;0",'سجل التحفيز'!$B$5:$B$2004,B48)&gt;0,COUNT(V$4:V47)+1,""))</f>
        <v/>
      </c>
      <c r="W48">
        <f>IF(B48="","",IF(COUNTIFS('سجل التحفيز'!$AC$5:$AC$2004,"&gt;0",'سجل التحفيز'!$B$5:$B$2004,B48)&gt;0,COUNT(W$4:W47)+1,""))</f>
        <v/>
      </c>
      <c r="X48">
        <f>IF(B48="","",IF(COUNTIFS('سجل التحفيز'!$AD$5:$AD$2004,"&gt;0",'سجل التحفيز'!$B$5:$B$2004,B48)&gt;0,COUNT(X$4:X47)+1,""))</f>
        <v/>
      </c>
      <c r="Y48">
        <f>IF(B48="","",IF(COUNTIFS('سجل التحفيز'!$AE$5:$AE$2004,"&gt;0",'سجل التحفيز'!$B$5:$B$2004,B48)&gt;0,COUNT(Y$4:Y47)+1,""))</f>
        <v/>
      </c>
    </row>
    <row r="49">
      <c r="A49" s="17" t="n"/>
      <c r="B49" s="17" t="n"/>
      <c r="C49" s="17" t="n"/>
      <c r="D49" s="17" t="n"/>
      <c r="E49" s="17" t="n"/>
      <c r="F49" s="17" t="n"/>
      <c r="G49" s="17" t="n"/>
      <c r="H49" s="20">
        <f>IF(B49="","",COUNTIFS('سجل التحفيز'!$B$5:$B$2004,B49,'سجل التحفيز'!$R$5:$R$2004,الإعدادات!$B$4))</f>
        <v/>
      </c>
      <c r="I49" s="20">
        <f>IF(B49="","",COUNTIFS('سجل التحفيز'!$B$5:$B$2004,B49,'سجل التحفيز'!$R$5:$R$2004,الإعدادات!$B$4,'سجل التحفيز'!$Q$5:$Q$2004,"الفصل الأول",'سجل التحفيز'!$D$5:$D$2004,"ذهبي"))</f>
        <v/>
      </c>
      <c r="J49" s="20">
        <f>IF(B49="","",COUNTIFS('سجل التحفيز'!$B$5:$B$2004,B49,'سجل التحفيز'!$R$5:$R$2004,الإعدادات!$B$4,'سجل التحفيز'!$Q$5:$Q$2004,"الفصل الثاني",'سجل التحفيز'!$D$5:$D$2004,"ذهبي"))</f>
        <v/>
      </c>
      <c r="K49" s="20">
        <f>IF(B49="","",COUNTIFS('سجل التحفيز'!$B$5:$B$2004,B49,'سجل التحفيز'!$R$5:$R$2004,الإعدادات!$B$4,'سجل التحفيز'!$D$5:$D$2004,"ذهبي"))</f>
        <v/>
      </c>
      <c r="L49" s="20">
        <f>IF(B49="","",IF(G49="محرومة","محرومة - مخالفة",IF(K49&gt;=5,"مستحقة ★","متبقي "&amp;(5-K49)&amp;" معايير")))</f>
        <v/>
      </c>
      <c r="N49">
        <f>IF(B49="","",IF(COUNTIFS('سجل التحفيز'!$T$5:$T$2004,"&gt;0",'سجل التحفيز'!$B$5:$B$2004,B49)&gt;0,COUNT(N$4:N48)+1,""))</f>
        <v/>
      </c>
      <c r="O49">
        <f>IF(B49="","",IF(COUNTIFS('سجل التحفيز'!$U$5:$U$2004,"&gt;0",'سجل التحفيز'!$B$5:$B$2004,B49)&gt;0,COUNT(O$4:O48)+1,""))</f>
        <v/>
      </c>
      <c r="P49">
        <f>IF(B49="","",IF(COUNTIFS('سجل التحفيز'!$V$5:$V$2004,"&gt;0",'سجل التحفيز'!$B$5:$B$2004,B49)&gt;0,COUNT(P$4:P48)+1,""))</f>
        <v/>
      </c>
      <c r="Q49">
        <f>IF(B49="","",IF(COUNTIFS('سجل التحفيز'!$W$5:$W$2004,"&gt;0",'سجل التحفيز'!$B$5:$B$2004,B49)&gt;0,COUNT(Q$4:Q48)+1,""))</f>
        <v/>
      </c>
      <c r="R49">
        <f>IF(B49="","",IF(COUNTIFS('سجل التحفيز'!$X$5:$X$2004,"&gt;0",'سجل التحفيز'!$B$5:$B$2004,B49)&gt;0,COUNT(R$4:R48)+1,""))</f>
        <v/>
      </c>
      <c r="S49">
        <f>IF(B49="","",IF(COUNTIFS('سجل التحفيز'!$Y$5:$Y$2004,"&gt;0",'سجل التحفيز'!$B$5:$B$2004,B49)&gt;0,COUNT(S$4:S48)+1,""))</f>
        <v/>
      </c>
      <c r="T49">
        <f>IF(B49="","",IF(COUNTIFS('سجل التحفيز'!$Z$5:$Z$2004,"&gt;0",'سجل التحفيز'!$B$5:$B$2004,B49)&gt;0,COUNT(T$4:T48)+1,""))</f>
        <v/>
      </c>
      <c r="U49">
        <f>IF(B49="","",IF(COUNTIFS('سجل التحفيز'!$AA$5:$AA$2004,"&gt;0",'سجل التحفيز'!$B$5:$B$2004,B49)&gt;0,COUNT(U$4:U48)+1,""))</f>
        <v/>
      </c>
      <c r="V49">
        <f>IF(B49="","",IF(COUNTIFS('سجل التحفيز'!$AB$5:$AB$2004,"&gt;0",'سجل التحفيز'!$B$5:$B$2004,B49)&gt;0,COUNT(V$4:V48)+1,""))</f>
        <v/>
      </c>
      <c r="W49">
        <f>IF(B49="","",IF(COUNTIFS('سجل التحفيز'!$AC$5:$AC$2004,"&gt;0",'سجل التحفيز'!$B$5:$B$2004,B49)&gt;0,COUNT(W$4:W48)+1,""))</f>
        <v/>
      </c>
      <c r="X49">
        <f>IF(B49="","",IF(COUNTIFS('سجل التحفيز'!$AD$5:$AD$2004,"&gt;0",'سجل التحفيز'!$B$5:$B$2004,B49)&gt;0,COUNT(X$4:X48)+1,""))</f>
        <v/>
      </c>
      <c r="Y49">
        <f>IF(B49="","",IF(COUNTIFS('سجل التحفيز'!$AE$5:$AE$2004,"&gt;0",'سجل التحفيز'!$B$5:$B$2004,B49)&gt;0,COUNT(Y$4:Y48)+1,""))</f>
        <v/>
      </c>
    </row>
    <row r="50">
      <c r="A50" s="17" t="n"/>
      <c r="B50" s="17" t="n"/>
      <c r="C50" s="17" t="n"/>
      <c r="D50" s="17" t="n"/>
      <c r="E50" s="17" t="n"/>
      <c r="F50" s="17" t="n"/>
      <c r="G50" s="17" t="n"/>
      <c r="H50" s="20">
        <f>IF(B50="","",COUNTIFS('سجل التحفيز'!$B$5:$B$2004,B50,'سجل التحفيز'!$R$5:$R$2004,الإعدادات!$B$4))</f>
        <v/>
      </c>
      <c r="I50" s="20">
        <f>IF(B50="","",COUNTIFS('سجل التحفيز'!$B$5:$B$2004,B50,'سجل التحفيز'!$R$5:$R$2004,الإعدادات!$B$4,'سجل التحفيز'!$Q$5:$Q$2004,"الفصل الأول",'سجل التحفيز'!$D$5:$D$2004,"ذهبي"))</f>
        <v/>
      </c>
      <c r="J50" s="20">
        <f>IF(B50="","",COUNTIFS('سجل التحفيز'!$B$5:$B$2004,B50,'سجل التحفيز'!$R$5:$R$2004,الإعدادات!$B$4,'سجل التحفيز'!$Q$5:$Q$2004,"الفصل الثاني",'سجل التحفيز'!$D$5:$D$2004,"ذهبي"))</f>
        <v/>
      </c>
      <c r="K50" s="20">
        <f>IF(B50="","",COUNTIFS('سجل التحفيز'!$B$5:$B$2004,B50,'سجل التحفيز'!$R$5:$R$2004,الإعدادات!$B$4,'سجل التحفيز'!$D$5:$D$2004,"ذهبي"))</f>
        <v/>
      </c>
      <c r="L50" s="20">
        <f>IF(B50="","",IF(G50="محرومة","محرومة - مخالفة",IF(K50&gt;=5,"مستحقة ★","متبقي "&amp;(5-K50)&amp;" معايير")))</f>
        <v/>
      </c>
      <c r="N50">
        <f>IF(B50="","",IF(COUNTIFS('سجل التحفيز'!$T$5:$T$2004,"&gt;0",'سجل التحفيز'!$B$5:$B$2004,B50)&gt;0,COUNT(N$4:N49)+1,""))</f>
        <v/>
      </c>
      <c r="O50">
        <f>IF(B50="","",IF(COUNTIFS('سجل التحفيز'!$U$5:$U$2004,"&gt;0",'سجل التحفيز'!$B$5:$B$2004,B50)&gt;0,COUNT(O$4:O49)+1,""))</f>
        <v/>
      </c>
      <c r="P50">
        <f>IF(B50="","",IF(COUNTIFS('سجل التحفيز'!$V$5:$V$2004,"&gt;0",'سجل التحفيز'!$B$5:$B$2004,B50)&gt;0,COUNT(P$4:P49)+1,""))</f>
        <v/>
      </c>
      <c r="Q50">
        <f>IF(B50="","",IF(COUNTIFS('سجل التحفيز'!$W$5:$W$2004,"&gt;0",'سجل التحفيز'!$B$5:$B$2004,B50)&gt;0,COUNT(Q$4:Q49)+1,""))</f>
        <v/>
      </c>
      <c r="R50">
        <f>IF(B50="","",IF(COUNTIFS('سجل التحفيز'!$X$5:$X$2004,"&gt;0",'سجل التحفيز'!$B$5:$B$2004,B50)&gt;0,COUNT(R$4:R49)+1,""))</f>
        <v/>
      </c>
      <c r="S50">
        <f>IF(B50="","",IF(COUNTIFS('سجل التحفيز'!$Y$5:$Y$2004,"&gt;0",'سجل التحفيز'!$B$5:$B$2004,B50)&gt;0,COUNT(S$4:S49)+1,""))</f>
        <v/>
      </c>
      <c r="T50">
        <f>IF(B50="","",IF(COUNTIFS('سجل التحفيز'!$Z$5:$Z$2004,"&gt;0",'سجل التحفيز'!$B$5:$B$2004,B50)&gt;0,COUNT(T$4:T49)+1,""))</f>
        <v/>
      </c>
      <c r="U50">
        <f>IF(B50="","",IF(COUNTIFS('سجل التحفيز'!$AA$5:$AA$2004,"&gt;0",'سجل التحفيز'!$B$5:$B$2004,B50)&gt;0,COUNT(U$4:U49)+1,""))</f>
        <v/>
      </c>
      <c r="V50">
        <f>IF(B50="","",IF(COUNTIFS('سجل التحفيز'!$AB$5:$AB$2004,"&gt;0",'سجل التحفيز'!$B$5:$B$2004,B50)&gt;0,COUNT(V$4:V49)+1,""))</f>
        <v/>
      </c>
      <c r="W50">
        <f>IF(B50="","",IF(COUNTIFS('سجل التحفيز'!$AC$5:$AC$2004,"&gt;0",'سجل التحفيز'!$B$5:$B$2004,B50)&gt;0,COUNT(W$4:W49)+1,""))</f>
        <v/>
      </c>
      <c r="X50">
        <f>IF(B50="","",IF(COUNTIFS('سجل التحفيز'!$AD$5:$AD$2004,"&gt;0",'سجل التحفيز'!$B$5:$B$2004,B50)&gt;0,COUNT(X$4:X49)+1,""))</f>
        <v/>
      </c>
      <c r="Y50">
        <f>IF(B50="","",IF(COUNTIFS('سجل التحفيز'!$AE$5:$AE$2004,"&gt;0",'سجل التحفيز'!$B$5:$B$2004,B50)&gt;0,COUNT(Y$4:Y49)+1,""))</f>
        <v/>
      </c>
    </row>
    <row r="51">
      <c r="A51" s="17" t="n"/>
      <c r="B51" s="17" t="n"/>
      <c r="C51" s="17" t="n"/>
      <c r="D51" s="17" t="n"/>
      <c r="E51" s="17" t="n"/>
      <c r="F51" s="17" t="n"/>
      <c r="G51" s="17" t="n"/>
      <c r="H51" s="20">
        <f>IF(B51="","",COUNTIFS('سجل التحفيز'!$B$5:$B$2004,B51,'سجل التحفيز'!$R$5:$R$2004,الإعدادات!$B$4))</f>
        <v/>
      </c>
      <c r="I51" s="20">
        <f>IF(B51="","",COUNTIFS('سجل التحفيز'!$B$5:$B$2004,B51,'سجل التحفيز'!$R$5:$R$2004,الإعدادات!$B$4,'سجل التحفيز'!$Q$5:$Q$2004,"الفصل الأول",'سجل التحفيز'!$D$5:$D$2004,"ذهبي"))</f>
        <v/>
      </c>
      <c r="J51" s="20">
        <f>IF(B51="","",COUNTIFS('سجل التحفيز'!$B$5:$B$2004,B51,'سجل التحفيز'!$R$5:$R$2004,الإعدادات!$B$4,'سجل التحفيز'!$Q$5:$Q$2004,"الفصل الثاني",'سجل التحفيز'!$D$5:$D$2004,"ذهبي"))</f>
        <v/>
      </c>
      <c r="K51" s="20">
        <f>IF(B51="","",COUNTIFS('سجل التحفيز'!$B$5:$B$2004,B51,'سجل التحفيز'!$R$5:$R$2004,الإعدادات!$B$4,'سجل التحفيز'!$D$5:$D$2004,"ذهبي"))</f>
        <v/>
      </c>
      <c r="L51" s="20">
        <f>IF(B51="","",IF(G51="محرومة","محرومة - مخالفة",IF(K51&gt;=5,"مستحقة ★","متبقي "&amp;(5-K51)&amp;" معايير")))</f>
        <v/>
      </c>
      <c r="N51">
        <f>IF(B51="","",IF(COUNTIFS('سجل التحفيز'!$T$5:$T$2004,"&gt;0",'سجل التحفيز'!$B$5:$B$2004,B51)&gt;0,COUNT(N$4:N50)+1,""))</f>
        <v/>
      </c>
      <c r="O51">
        <f>IF(B51="","",IF(COUNTIFS('سجل التحفيز'!$U$5:$U$2004,"&gt;0",'سجل التحفيز'!$B$5:$B$2004,B51)&gt;0,COUNT(O$4:O50)+1,""))</f>
        <v/>
      </c>
      <c r="P51">
        <f>IF(B51="","",IF(COUNTIFS('سجل التحفيز'!$V$5:$V$2004,"&gt;0",'سجل التحفيز'!$B$5:$B$2004,B51)&gt;0,COUNT(P$4:P50)+1,""))</f>
        <v/>
      </c>
      <c r="Q51">
        <f>IF(B51="","",IF(COUNTIFS('سجل التحفيز'!$W$5:$W$2004,"&gt;0",'سجل التحفيز'!$B$5:$B$2004,B51)&gt;0,COUNT(Q$4:Q50)+1,""))</f>
        <v/>
      </c>
      <c r="R51">
        <f>IF(B51="","",IF(COUNTIFS('سجل التحفيز'!$X$5:$X$2004,"&gt;0",'سجل التحفيز'!$B$5:$B$2004,B51)&gt;0,COUNT(R$4:R50)+1,""))</f>
        <v/>
      </c>
      <c r="S51">
        <f>IF(B51="","",IF(COUNTIFS('سجل التحفيز'!$Y$5:$Y$2004,"&gt;0",'سجل التحفيز'!$B$5:$B$2004,B51)&gt;0,COUNT(S$4:S50)+1,""))</f>
        <v/>
      </c>
      <c r="T51">
        <f>IF(B51="","",IF(COUNTIFS('سجل التحفيز'!$Z$5:$Z$2004,"&gt;0",'سجل التحفيز'!$B$5:$B$2004,B51)&gt;0,COUNT(T$4:T50)+1,""))</f>
        <v/>
      </c>
      <c r="U51">
        <f>IF(B51="","",IF(COUNTIFS('سجل التحفيز'!$AA$5:$AA$2004,"&gt;0",'سجل التحفيز'!$B$5:$B$2004,B51)&gt;0,COUNT(U$4:U50)+1,""))</f>
        <v/>
      </c>
      <c r="V51">
        <f>IF(B51="","",IF(COUNTIFS('سجل التحفيز'!$AB$5:$AB$2004,"&gt;0",'سجل التحفيز'!$B$5:$B$2004,B51)&gt;0,COUNT(V$4:V50)+1,""))</f>
        <v/>
      </c>
      <c r="W51">
        <f>IF(B51="","",IF(COUNTIFS('سجل التحفيز'!$AC$5:$AC$2004,"&gt;0",'سجل التحفيز'!$B$5:$B$2004,B51)&gt;0,COUNT(W$4:W50)+1,""))</f>
        <v/>
      </c>
      <c r="X51">
        <f>IF(B51="","",IF(COUNTIFS('سجل التحفيز'!$AD$5:$AD$2004,"&gt;0",'سجل التحفيز'!$B$5:$B$2004,B51)&gt;0,COUNT(X$4:X50)+1,""))</f>
        <v/>
      </c>
      <c r="Y51">
        <f>IF(B51="","",IF(COUNTIFS('سجل التحفيز'!$AE$5:$AE$2004,"&gt;0",'سجل التحفيز'!$B$5:$B$2004,B51)&gt;0,COUNT(Y$4:Y50)+1,""))</f>
        <v/>
      </c>
    </row>
    <row r="52">
      <c r="A52" s="17" t="n"/>
      <c r="B52" s="17" t="n"/>
      <c r="C52" s="17" t="n"/>
      <c r="D52" s="17" t="n"/>
      <c r="E52" s="17" t="n"/>
      <c r="F52" s="17" t="n"/>
      <c r="G52" s="17" t="n"/>
      <c r="H52" s="20">
        <f>IF(B52="","",COUNTIFS('سجل التحفيز'!$B$5:$B$2004,B52,'سجل التحفيز'!$R$5:$R$2004,الإعدادات!$B$4))</f>
        <v/>
      </c>
      <c r="I52" s="20">
        <f>IF(B52="","",COUNTIFS('سجل التحفيز'!$B$5:$B$2004,B52,'سجل التحفيز'!$R$5:$R$2004,الإعدادات!$B$4,'سجل التحفيز'!$Q$5:$Q$2004,"الفصل الأول",'سجل التحفيز'!$D$5:$D$2004,"ذهبي"))</f>
        <v/>
      </c>
      <c r="J52" s="20">
        <f>IF(B52="","",COUNTIFS('سجل التحفيز'!$B$5:$B$2004,B52,'سجل التحفيز'!$R$5:$R$2004,الإعدادات!$B$4,'سجل التحفيز'!$Q$5:$Q$2004,"الفصل الثاني",'سجل التحفيز'!$D$5:$D$2004,"ذهبي"))</f>
        <v/>
      </c>
      <c r="K52" s="20">
        <f>IF(B52="","",COUNTIFS('سجل التحفيز'!$B$5:$B$2004,B52,'سجل التحفيز'!$R$5:$R$2004,الإعدادات!$B$4,'سجل التحفيز'!$D$5:$D$2004,"ذهبي"))</f>
        <v/>
      </c>
      <c r="L52" s="20">
        <f>IF(B52="","",IF(G52="محرومة","محرومة - مخالفة",IF(K52&gt;=5,"مستحقة ★","متبقي "&amp;(5-K52)&amp;" معايير")))</f>
        <v/>
      </c>
      <c r="N52">
        <f>IF(B52="","",IF(COUNTIFS('سجل التحفيز'!$T$5:$T$2004,"&gt;0",'سجل التحفيز'!$B$5:$B$2004,B52)&gt;0,COUNT(N$4:N51)+1,""))</f>
        <v/>
      </c>
      <c r="O52">
        <f>IF(B52="","",IF(COUNTIFS('سجل التحفيز'!$U$5:$U$2004,"&gt;0",'سجل التحفيز'!$B$5:$B$2004,B52)&gt;0,COUNT(O$4:O51)+1,""))</f>
        <v/>
      </c>
      <c r="P52">
        <f>IF(B52="","",IF(COUNTIFS('سجل التحفيز'!$V$5:$V$2004,"&gt;0",'سجل التحفيز'!$B$5:$B$2004,B52)&gt;0,COUNT(P$4:P51)+1,""))</f>
        <v/>
      </c>
      <c r="Q52">
        <f>IF(B52="","",IF(COUNTIFS('سجل التحفيز'!$W$5:$W$2004,"&gt;0",'سجل التحفيز'!$B$5:$B$2004,B52)&gt;0,COUNT(Q$4:Q51)+1,""))</f>
        <v/>
      </c>
      <c r="R52">
        <f>IF(B52="","",IF(COUNTIFS('سجل التحفيز'!$X$5:$X$2004,"&gt;0",'سجل التحفيز'!$B$5:$B$2004,B52)&gt;0,COUNT(R$4:R51)+1,""))</f>
        <v/>
      </c>
      <c r="S52">
        <f>IF(B52="","",IF(COUNTIFS('سجل التحفيز'!$Y$5:$Y$2004,"&gt;0",'سجل التحفيز'!$B$5:$B$2004,B52)&gt;0,COUNT(S$4:S51)+1,""))</f>
        <v/>
      </c>
      <c r="T52">
        <f>IF(B52="","",IF(COUNTIFS('سجل التحفيز'!$Z$5:$Z$2004,"&gt;0",'سجل التحفيز'!$B$5:$B$2004,B52)&gt;0,COUNT(T$4:T51)+1,""))</f>
        <v/>
      </c>
      <c r="U52">
        <f>IF(B52="","",IF(COUNTIFS('سجل التحفيز'!$AA$5:$AA$2004,"&gt;0",'سجل التحفيز'!$B$5:$B$2004,B52)&gt;0,COUNT(U$4:U51)+1,""))</f>
        <v/>
      </c>
      <c r="V52">
        <f>IF(B52="","",IF(COUNTIFS('سجل التحفيز'!$AB$5:$AB$2004,"&gt;0",'سجل التحفيز'!$B$5:$B$2004,B52)&gt;0,COUNT(V$4:V51)+1,""))</f>
        <v/>
      </c>
      <c r="W52">
        <f>IF(B52="","",IF(COUNTIFS('سجل التحفيز'!$AC$5:$AC$2004,"&gt;0",'سجل التحفيز'!$B$5:$B$2004,B52)&gt;0,COUNT(W$4:W51)+1,""))</f>
        <v/>
      </c>
      <c r="X52">
        <f>IF(B52="","",IF(COUNTIFS('سجل التحفيز'!$AD$5:$AD$2004,"&gt;0",'سجل التحفيز'!$B$5:$B$2004,B52)&gt;0,COUNT(X$4:X51)+1,""))</f>
        <v/>
      </c>
      <c r="Y52">
        <f>IF(B52="","",IF(COUNTIFS('سجل التحفيز'!$AE$5:$AE$2004,"&gt;0",'سجل التحفيز'!$B$5:$B$2004,B52)&gt;0,COUNT(Y$4:Y51)+1,""))</f>
        <v/>
      </c>
    </row>
    <row r="53">
      <c r="A53" s="17" t="n"/>
      <c r="B53" s="17" t="n"/>
      <c r="C53" s="17" t="n"/>
      <c r="D53" s="17" t="n"/>
      <c r="E53" s="17" t="n"/>
      <c r="F53" s="17" t="n"/>
      <c r="G53" s="17" t="n"/>
      <c r="H53" s="20">
        <f>IF(B53="","",COUNTIFS('سجل التحفيز'!$B$5:$B$2004,B53,'سجل التحفيز'!$R$5:$R$2004,الإعدادات!$B$4))</f>
        <v/>
      </c>
      <c r="I53" s="20">
        <f>IF(B53="","",COUNTIFS('سجل التحفيز'!$B$5:$B$2004,B53,'سجل التحفيز'!$R$5:$R$2004,الإعدادات!$B$4,'سجل التحفيز'!$Q$5:$Q$2004,"الفصل الأول",'سجل التحفيز'!$D$5:$D$2004,"ذهبي"))</f>
        <v/>
      </c>
      <c r="J53" s="20">
        <f>IF(B53="","",COUNTIFS('سجل التحفيز'!$B$5:$B$2004,B53,'سجل التحفيز'!$R$5:$R$2004,الإعدادات!$B$4,'سجل التحفيز'!$Q$5:$Q$2004,"الفصل الثاني",'سجل التحفيز'!$D$5:$D$2004,"ذهبي"))</f>
        <v/>
      </c>
      <c r="K53" s="20">
        <f>IF(B53="","",COUNTIFS('سجل التحفيز'!$B$5:$B$2004,B53,'سجل التحفيز'!$R$5:$R$2004,الإعدادات!$B$4,'سجل التحفيز'!$D$5:$D$2004,"ذهبي"))</f>
        <v/>
      </c>
      <c r="L53" s="20">
        <f>IF(B53="","",IF(G53="محرومة","محرومة - مخالفة",IF(K53&gt;=5,"مستحقة ★","متبقي "&amp;(5-K53)&amp;" معايير")))</f>
        <v/>
      </c>
      <c r="N53">
        <f>IF(B53="","",IF(COUNTIFS('سجل التحفيز'!$T$5:$T$2004,"&gt;0",'سجل التحفيز'!$B$5:$B$2004,B53)&gt;0,COUNT(N$4:N52)+1,""))</f>
        <v/>
      </c>
      <c r="O53">
        <f>IF(B53="","",IF(COUNTIFS('سجل التحفيز'!$U$5:$U$2004,"&gt;0",'سجل التحفيز'!$B$5:$B$2004,B53)&gt;0,COUNT(O$4:O52)+1,""))</f>
        <v/>
      </c>
      <c r="P53">
        <f>IF(B53="","",IF(COUNTIFS('سجل التحفيز'!$V$5:$V$2004,"&gt;0",'سجل التحفيز'!$B$5:$B$2004,B53)&gt;0,COUNT(P$4:P52)+1,""))</f>
        <v/>
      </c>
      <c r="Q53">
        <f>IF(B53="","",IF(COUNTIFS('سجل التحفيز'!$W$5:$W$2004,"&gt;0",'سجل التحفيز'!$B$5:$B$2004,B53)&gt;0,COUNT(Q$4:Q52)+1,""))</f>
        <v/>
      </c>
      <c r="R53">
        <f>IF(B53="","",IF(COUNTIFS('سجل التحفيز'!$X$5:$X$2004,"&gt;0",'سجل التحفيز'!$B$5:$B$2004,B53)&gt;0,COUNT(R$4:R52)+1,""))</f>
        <v/>
      </c>
      <c r="S53">
        <f>IF(B53="","",IF(COUNTIFS('سجل التحفيز'!$Y$5:$Y$2004,"&gt;0",'سجل التحفيز'!$B$5:$B$2004,B53)&gt;0,COUNT(S$4:S52)+1,""))</f>
        <v/>
      </c>
      <c r="T53">
        <f>IF(B53="","",IF(COUNTIFS('سجل التحفيز'!$Z$5:$Z$2004,"&gt;0",'سجل التحفيز'!$B$5:$B$2004,B53)&gt;0,COUNT(T$4:T52)+1,""))</f>
        <v/>
      </c>
      <c r="U53">
        <f>IF(B53="","",IF(COUNTIFS('سجل التحفيز'!$AA$5:$AA$2004,"&gt;0",'سجل التحفيز'!$B$5:$B$2004,B53)&gt;0,COUNT(U$4:U52)+1,""))</f>
        <v/>
      </c>
      <c r="V53">
        <f>IF(B53="","",IF(COUNTIFS('سجل التحفيز'!$AB$5:$AB$2004,"&gt;0",'سجل التحفيز'!$B$5:$B$2004,B53)&gt;0,COUNT(V$4:V52)+1,""))</f>
        <v/>
      </c>
      <c r="W53">
        <f>IF(B53="","",IF(COUNTIFS('سجل التحفيز'!$AC$5:$AC$2004,"&gt;0",'سجل التحفيز'!$B$5:$B$2004,B53)&gt;0,COUNT(W$4:W52)+1,""))</f>
        <v/>
      </c>
      <c r="X53">
        <f>IF(B53="","",IF(COUNTIFS('سجل التحفيز'!$AD$5:$AD$2004,"&gt;0",'سجل التحفيز'!$B$5:$B$2004,B53)&gt;0,COUNT(X$4:X52)+1,""))</f>
        <v/>
      </c>
      <c r="Y53">
        <f>IF(B53="","",IF(COUNTIFS('سجل التحفيز'!$AE$5:$AE$2004,"&gt;0",'سجل التحفيز'!$B$5:$B$2004,B53)&gt;0,COUNT(Y$4:Y52)+1,""))</f>
        <v/>
      </c>
    </row>
    <row r="54">
      <c r="A54" s="17" t="n"/>
      <c r="B54" s="17" t="n"/>
      <c r="C54" s="17" t="n"/>
      <c r="D54" s="17" t="n"/>
      <c r="E54" s="17" t="n"/>
      <c r="F54" s="17" t="n"/>
      <c r="G54" s="17" t="n"/>
      <c r="H54" s="20">
        <f>IF(B54="","",COUNTIFS('سجل التحفيز'!$B$5:$B$2004,B54,'سجل التحفيز'!$R$5:$R$2004,الإعدادات!$B$4))</f>
        <v/>
      </c>
      <c r="I54" s="20">
        <f>IF(B54="","",COUNTIFS('سجل التحفيز'!$B$5:$B$2004,B54,'سجل التحفيز'!$R$5:$R$2004,الإعدادات!$B$4,'سجل التحفيز'!$Q$5:$Q$2004,"الفصل الأول",'سجل التحفيز'!$D$5:$D$2004,"ذهبي"))</f>
        <v/>
      </c>
      <c r="J54" s="20">
        <f>IF(B54="","",COUNTIFS('سجل التحفيز'!$B$5:$B$2004,B54,'سجل التحفيز'!$R$5:$R$2004,الإعدادات!$B$4,'سجل التحفيز'!$Q$5:$Q$2004,"الفصل الثاني",'سجل التحفيز'!$D$5:$D$2004,"ذهبي"))</f>
        <v/>
      </c>
      <c r="K54" s="20">
        <f>IF(B54="","",COUNTIFS('سجل التحفيز'!$B$5:$B$2004,B54,'سجل التحفيز'!$R$5:$R$2004,الإعدادات!$B$4,'سجل التحفيز'!$D$5:$D$2004,"ذهبي"))</f>
        <v/>
      </c>
      <c r="L54" s="20">
        <f>IF(B54="","",IF(G54="محرومة","محرومة - مخالفة",IF(K54&gt;=5,"مستحقة ★","متبقي "&amp;(5-K54)&amp;" معايير")))</f>
        <v/>
      </c>
      <c r="N54">
        <f>IF(B54="","",IF(COUNTIFS('سجل التحفيز'!$T$5:$T$2004,"&gt;0",'سجل التحفيز'!$B$5:$B$2004,B54)&gt;0,COUNT(N$4:N53)+1,""))</f>
        <v/>
      </c>
      <c r="O54">
        <f>IF(B54="","",IF(COUNTIFS('سجل التحفيز'!$U$5:$U$2004,"&gt;0",'سجل التحفيز'!$B$5:$B$2004,B54)&gt;0,COUNT(O$4:O53)+1,""))</f>
        <v/>
      </c>
      <c r="P54">
        <f>IF(B54="","",IF(COUNTIFS('سجل التحفيز'!$V$5:$V$2004,"&gt;0",'سجل التحفيز'!$B$5:$B$2004,B54)&gt;0,COUNT(P$4:P53)+1,""))</f>
        <v/>
      </c>
      <c r="Q54">
        <f>IF(B54="","",IF(COUNTIFS('سجل التحفيز'!$W$5:$W$2004,"&gt;0",'سجل التحفيز'!$B$5:$B$2004,B54)&gt;0,COUNT(Q$4:Q53)+1,""))</f>
        <v/>
      </c>
      <c r="R54">
        <f>IF(B54="","",IF(COUNTIFS('سجل التحفيز'!$X$5:$X$2004,"&gt;0",'سجل التحفيز'!$B$5:$B$2004,B54)&gt;0,COUNT(R$4:R53)+1,""))</f>
        <v/>
      </c>
      <c r="S54">
        <f>IF(B54="","",IF(COUNTIFS('سجل التحفيز'!$Y$5:$Y$2004,"&gt;0",'سجل التحفيز'!$B$5:$B$2004,B54)&gt;0,COUNT(S$4:S53)+1,""))</f>
        <v/>
      </c>
      <c r="T54">
        <f>IF(B54="","",IF(COUNTIFS('سجل التحفيز'!$Z$5:$Z$2004,"&gt;0",'سجل التحفيز'!$B$5:$B$2004,B54)&gt;0,COUNT(T$4:T53)+1,""))</f>
        <v/>
      </c>
      <c r="U54">
        <f>IF(B54="","",IF(COUNTIFS('سجل التحفيز'!$AA$5:$AA$2004,"&gt;0",'سجل التحفيز'!$B$5:$B$2004,B54)&gt;0,COUNT(U$4:U53)+1,""))</f>
        <v/>
      </c>
      <c r="V54">
        <f>IF(B54="","",IF(COUNTIFS('سجل التحفيز'!$AB$5:$AB$2004,"&gt;0",'سجل التحفيز'!$B$5:$B$2004,B54)&gt;0,COUNT(V$4:V53)+1,""))</f>
        <v/>
      </c>
      <c r="W54">
        <f>IF(B54="","",IF(COUNTIFS('سجل التحفيز'!$AC$5:$AC$2004,"&gt;0",'سجل التحفيز'!$B$5:$B$2004,B54)&gt;0,COUNT(W$4:W53)+1,""))</f>
        <v/>
      </c>
      <c r="X54">
        <f>IF(B54="","",IF(COUNTIFS('سجل التحفيز'!$AD$5:$AD$2004,"&gt;0",'سجل التحفيز'!$B$5:$B$2004,B54)&gt;0,COUNT(X$4:X53)+1,""))</f>
        <v/>
      </c>
      <c r="Y54">
        <f>IF(B54="","",IF(COUNTIFS('سجل التحفيز'!$AE$5:$AE$2004,"&gt;0",'سجل التحفيز'!$B$5:$B$2004,B54)&gt;0,COUNT(Y$4:Y53)+1,""))</f>
        <v/>
      </c>
    </row>
    <row r="55">
      <c r="A55" s="17" t="n"/>
      <c r="B55" s="17" t="n"/>
      <c r="C55" s="17" t="n"/>
      <c r="D55" s="17" t="n"/>
      <c r="E55" s="17" t="n"/>
      <c r="F55" s="17" t="n"/>
      <c r="G55" s="17" t="n"/>
      <c r="H55" s="20">
        <f>IF(B55="","",COUNTIFS('سجل التحفيز'!$B$5:$B$2004,B55,'سجل التحفيز'!$R$5:$R$2004,الإعدادات!$B$4))</f>
        <v/>
      </c>
      <c r="I55" s="20">
        <f>IF(B55="","",COUNTIFS('سجل التحفيز'!$B$5:$B$2004,B55,'سجل التحفيز'!$R$5:$R$2004,الإعدادات!$B$4,'سجل التحفيز'!$Q$5:$Q$2004,"الفصل الأول",'سجل التحفيز'!$D$5:$D$2004,"ذهبي"))</f>
        <v/>
      </c>
      <c r="J55" s="20">
        <f>IF(B55="","",COUNTIFS('سجل التحفيز'!$B$5:$B$2004,B55,'سجل التحفيز'!$R$5:$R$2004,الإعدادات!$B$4,'سجل التحفيز'!$Q$5:$Q$2004,"الفصل الثاني",'سجل التحفيز'!$D$5:$D$2004,"ذهبي"))</f>
        <v/>
      </c>
      <c r="K55" s="20">
        <f>IF(B55="","",COUNTIFS('سجل التحفيز'!$B$5:$B$2004,B55,'سجل التحفيز'!$R$5:$R$2004,الإعدادات!$B$4,'سجل التحفيز'!$D$5:$D$2004,"ذهبي"))</f>
        <v/>
      </c>
      <c r="L55" s="20">
        <f>IF(B55="","",IF(G55="محرومة","محرومة - مخالفة",IF(K55&gt;=5,"مستحقة ★","متبقي "&amp;(5-K55)&amp;" معايير")))</f>
        <v/>
      </c>
      <c r="N55">
        <f>IF(B55="","",IF(COUNTIFS('سجل التحفيز'!$T$5:$T$2004,"&gt;0",'سجل التحفيز'!$B$5:$B$2004,B55)&gt;0,COUNT(N$4:N54)+1,""))</f>
        <v/>
      </c>
      <c r="O55">
        <f>IF(B55="","",IF(COUNTIFS('سجل التحفيز'!$U$5:$U$2004,"&gt;0",'سجل التحفيز'!$B$5:$B$2004,B55)&gt;0,COUNT(O$4:O54)+1,""))</f>
        <v/>
      </c>
      <c r="P55">
        <f>IF(B55="","",IF(COUNTIFS('سجل التحفيز'!$V$5:$V$2004,"&gt;0",'سجل التحفيز'!$B$5:$B$2004,B55)&gt;0,COUNT(P$4:P54)+1,""))</f>
        <v/>
      </c>
      <c r="Q55">
        <f>IF(B55="","",IF(COUNTIFS('سجل التحفيز'!$W$5:$W$2004,"&gt;0",'سجل التحفيز'!$B$5:$B$2004,B55)&gt;0,COUNT(Q$4:Q54)+1,""))</f>
        <v/>
      </c>
      <c r="R55">
        <f>IF(B55="","",IF(COUNTIFS('سجل التحفيز'!$X$5:$X$2004,"&gt;0",'سجل التحفيز'!$B$5:$B$2004,B55)&gt;0,COUNT(R$4:R54)+1,""))</f>
        <v/>
      </c>
      <c r="S55">
        <f>IF(B55="","",IF(COUNTIFS('سجل التحفيز'!$Y$5:$Y$2004,"&gt;0",'سجل التحفيز'!$B$5:$B$2004,B55)&gt;0,COUNT(S$4:S54)+1,""))</f>
        <v/>
      </c>
      <c r="T55">
        <f>IF(B55="","",IF(COUNTIFS('سجل التحفيز'!$Z$5:$Z$2004,"&gt;0",'سجل التحفيز'!$B$5:$B$2004,B55)&gt;0,COUNT(T$4:T54)+1,""))</f>
        <v/>
      </c>
      <c r="U55">
        <f>IF(B55="","",IF(COUNTIFS('سجل التحفيز'!$AA$5:$AA$2004,"&gt;0",'سجل التحفيز'!$B$5:$B$2004,B55)&gt;0,COUNT(U$4:U54)+1,""))</f>
        <v/>
      </c>
      <c r="V55">
        <f>IF(B55="","",IF(COUNTIFS('سجل التحفيز'!$AB$5:$AB$2004,"&gt;0",'سجل التحفيز'!$B$5:$B$2004,B55)&gt;0,COUNT(V$4:V54)+1,""))</f>
        <v/>
      </c>
      <c r="W55">
        <f>IF(B55="","",IF(COUNTIFS('سجل التحفيز'!$AC$5:$AC$2004,"&gt;0",'سجل التحفيز'!$B$5:$B$2004,B55)&gt;0,COUNT(W$4:W54)+1,""))</f>
        <v/>
      </c>
      <c r="X55">
        <f>IF(B55="","",IF(COUNTIFS('سجل التحفيز'!$AD$5:$AD$2004,"&gt;0",'سجل التحفيز'!$B$5:$B$2004,B55)&gt;0,COUNT(X$4:X54)+1,""))</f>
        <v/>
      </c>
      <c r="Y55">
        <f>IF(B55="","",IF(COUNTIFS('سجل التحفيز'!$AE$5:$AE$2004,"&gt;0",'سجل التحفيز'!$B$5:$B$2004,B55)&gt;0,COUNT(Y$4:Y54)+1,""))</f>
        <v/>
      </c>
    </row>
    <row r="56">
      <c r="A56" s="17" t="n"/>
      <c r="B56" s="17" t="n"/>
      <c r="C56" s="17" t="n"/>
      <c r="D56" s="17" t="n"/>
      <c r="E56" s="17" t="n"/>
      <c r="F56" s="17" t="n"/>
      <c r="G56" s="17" t="n"/>
      <c r="H56" s="20">
        <f>IF(B56="","",COUNTIFS('سجل التحفيز'!$B$5:$B$2004,B56,'سجل التحفيز'!$R$5:$R$2004,الإعدادات!$B$4))</f>
        <v/>
      </c>
      <c r="I56" s="20">
        <f>IF(B56="","",COUNTIFS('سجل التحفيز'!$B$5:$B$2004,B56,'سجل التحفيز'!$R$5:$R$2004,الإعدادات!$B$4,'سجل التحفيز'!$Q$5:$Q$2004,"الفصل الأول",'سجل التحفيز'!$D$5:$D$2004,"ذهبي"))</f>
        <v/>
      </c>
      <c r="J56" s="20">
        <f>IF(B56="","",COUNTIFS('سجل التحفيز'!$B$5:$B$2004,B56,'سجل التحفيز'!$R$5:$R$2004,الإعدادات!$B$4,'سجل التحفيز'!$Q$5:$Q$2004,"الفصل الثاني",'سجل التحفيز'!$D$5:$D$2004,"ذهبي"))</f>
        <v/>
      </c>
      <c r="K56" s="20">
        <f>IF(B56="","",COUNTIFS('سجل التحفيز'!$B$5:$B$2004,B56,'سجل التحفيز'!$R$5:$R$2004,الإعدادات!$B$4,'سجل التحفيز'!$D$5:$D$2004,"ذهبي"))</f>
        <v/>
      </c>
      <c r="L56" s="20">
        <f>IF(B56="","",IF(G56="محرومة","محرومة - مخالفة",IF(K56&gt;=5,"مستحقة ★","متبقي "&amp;(5-K56)&amp;" معايير")))</f>
        <v/>
      </c>
      <c r="N56">
        <f>IF(B56="","",IF(COUNTIFS('سجل التحفيز'!$T$5:$T$2004,"&gt;0",'سجل التحفيز'!$B$5:$B$2004,B56)&gt;0,COUNT(N$4:N55)+1,""))</f>
        <v/>
      </c>
      <c r="O56">
        <f>IF(B56="","",IF(COUNTIFS('سجل التحفيز'!$U$5:$U$2004,"&gt;0",'سجل التحفيز'!$B$5:$B$2004,B56)&gt;0,COUNT(O$4:O55)+1,""))</f>
        <v/>
      </c>
      <c r="P56">
        <f>IF(B56="","",IF(COUNTIFS('سجل التحفيز'!$V$5:$V$2004,"&gt;0",'سجل التحفيز'!$B$5:$B$2004,B56)&gt;0,COUNT(P$4:P55)+1,""))</f>
        <v/>
      </c>
      <c r="Q56">
        <f>IF(B56="","",IF(COUNTIFS('سجل التحفيز'!$W$5:$W$2004,"&gt;0",'سجل التحفيز'!$B$5:$B$2004,B56)&gt;0,COUNT(Q$4:Q55)+1,""))</f>
        <v/>
      </c>
      <c r="R56">
        <f>IF(B56="","",IF(COUNTIFS('سجل التحفيز'!$X$5:$X$2004,"&gt;0",'سجل التحفيز'!$B$5:$B$2004,B56)&gt;0,COUNT(R$4:R55)+1,""))</f>
        <v/>
      </c>
      <c r="S56">
        <f>IF(B56="","",IF(COUNTIFS('سجل التحفيز'!$Y$5:$Y$2004,"&gt;0",'سجل التحفيز'!$B$5:$B$2004,B56)&gt;0,COUNT(S$4:S55)+1,""))</f>
        <v/>
      </c>
      <c r="T56">
        <f>IF(B56="","",IF(COUNTIFS('سجل التحفيز'!$Z$5:$Z$2004,"&gt;0",'سجل التحفيز'!$B$5:$B$2004,B56)&gt;0,COUNT(T$4:T55)+1,""))</f>
        <v/>
      </c>
      <c r="U56">
        <f>IF(B56="","",IF(COUNTIFS('سجل التحفيز'!$AA$5:$AA$2004,"&gt;0",'سجل التحفيز'!$B$5:$B$2004,B56)&gt;0,COUNT(U$4:U55)+1,""))</f>
        <v/>
      </c>
      <c r="V56">
        <f>IF(B56="","",IF(COUNTIFS('سجل التحفيز'!$AB$5:$AB$2004,"&gt;0",'سجل التحفيز'!$B$5:$B$2004,B56)&gt;0,COUNT(V$4:V55)+1,""))</f>
        <v/>
      </c>
      <c r="W56">
        <f>IF(B56="","",IF(COUNTIFS('سجل التحفيز'!$AC$5:$AC$2004,"&gt;0",'سجل التحفيز'!$B$5:$B$2004,B56)&gt;0,COUNT(W$4:W55)+1,""))</f>
        <v/>
      </c>
      <c r="X56">
        <f>IF(B56="","",IF(COUNTIFS('سجل التحفيز'!$AD$5:$AD$2004,"&gt;0",'سجل التحفيز'!$B$5:$B$2004,B56)&gt;0,COUNT(X$4:X55)+1,""))</f>
        <v/>
      </c>
      <c r="Y56">
        <f>IF(B56="","",IF(COUNTIFS('سجل التحفيز'!$AE$5:$AE$2004,"&gt;0",'سجل التحفيز'!$B$5:$B$2004,B56)&gt;0,COUNT(Y$4:Y55)+1,""))</f>
        <v/>
      </c>
    </row>
    <row r="57">
      <c r="A57" s="17" t="n"/>
      <c r="B57" s="17" t="n"/>
      <c r="C57" s="17" t="n"/>
      <c r="D57" s="17" t="n"/>
      <c r="E57" s="17" t="n"/>
      <c r="F57" s="17" t="n"/>
      <c r="G57" s="17" t="n"/>
      <c r="H57" s="20">
        <f>IF(B57="","",COUNTIFS('سجل التحفيز'!$B$5:$B$2004,B57,'سجل التحفيز'!$R$5:$R$2004,الإعدادات!$B$4))</f>
        <v/>
      </c>
      <c r="I57" s="20">
        <f>IF(B57="","",COUNTIFS('سجل التحفيز'!$B$5:$B$2004,B57,'سجل التحفيز'!$R$5:$R$2004,الإعدادات!$B$4,'سجل التحفيز'!$Q$5:$Q$2004,"الفصل الأول",'سجل التحفيز'!$D$5:$D$2004,"ذهبي"))</f>
        <v/>
      </c>
      <c r="J57" s="20">
        <f>IF(B57="","",COUNTIFS('سجل التحفيز'!$B$5:$B$2004,B57,'سجل التحفيز'!$R$5:$R$2004,الإعدادات!$B$4,'سجل التحفيز'!$Q$5:$Q$2004,"الفصل الثاني",'سجل التحفيز'!$D$5:$D$2004,"ذهبي"))</f>
        <v/>
      </c>
      <c r="K57" s="20">
        <f>IF(B57="","",COUNTIFS('سجل التحفيز'!$B$5:$B$2004,B57,'سجل التحفيز'!$R$5:$R$2004,الإعدادات!$B$4,'سجل التحفيز'!$D$5:$D$2004,"ذهبي"))</f>
        <v/>
      </c>
      <c r="L57" s="20">
        <f>IF(B57="","",IF(G57="محرومة","محرومة - مخالفة",IF(K57&gt;=5,"مستحقة ★","متبقي "&amp;(5-K57)&amp;" معايير")))</f>
        <v/>
      </c>
      <c r="N57">
        <f>IF(B57="","",IF(COUNTIFS('سجل التحفيز'!$T$5:$T$2004,"&gt;0",'سجل التحفيز'!$B$5:$B$2004,B57)&gt;0,COUNT(N$4:N56)+1,""))</f>
        <v/>
      </c>
      <c r="O57">
        <f>IF(B57="","",IF(COUNTIFS('سجل التحفيز'!$U$5:$U$2004,"&gt;0",'سجل التحفيز'!$B$5:$B$2004,B57)&gt;0,COUNT(O$4:O56)+1,""))</f>
        <v/>
      </c>
      <c r="P57">
        <f>IF(B57="","",IF(COUNTIFS('سجل التحفيز'!$V$5:$V$2004,"&gt;0",'سجل التحفيز'!$B$5:$B$2004,B57)&gt;0,COUNT(P$4:P56)+1,""))</f>
        <v/>
      </c>
      <c r="Q57">
        <f>IF(B57="","",IF(COUNTIFS('سجل التحفيز'!$W$5:$W$2004,"&gt;0",'سجل التحفيز'!$B$5:$B$2004,B57)&gt;0,COUNT(Q$4:Q56)+1,""))</f>
        <v/>
      </c>
      <c r="R57">
        <f>IF(B57="","",IF(COUNTIFS('سجل التحفيز'!$X$5:$X$2004,"&gt;0",'سجل التحفيز'!$B$5:$B$2004,B57)&gt;0,COUNT(R$4:R56)+1,""))</f>
        <v/>
      </c>
      <c r="S57">
        <f>IF(B57="","",IF(COUNTIFS('سجل التحفيز'!$Y$5:$Y$2004,"&gt;0",'سجل التحفيز'!$B$5:$B$2004,B57)&gt;0,COUNT(S$4:S56)+1,""))</f>
        <v/>
      </c>
      <c r="T57">
        <f>IF(B57="","",IF(COUNTIFS('سجل التحفيز'!$Z$5:$Z$2004,"&gt;0",'سجل التحفيز'!$B$5:$B$2004,B57)&gt;0,COUNT(T$4:T56)+1,""))</f>
        <v/>
      </c>
      <c r="U57">
        <f>IF(B57="","",IF(COUNTIFS('سجل التحفيز'!$AA$5:$AA$2004,"&gt;0",'سجل التحفيز'!$B$5:$B$2004,B57)&gt;0,COUNT(U$4:U56)+1,""))</f>
        <v/>
      </c>
      <c r="V57">
        <f>IF(B57="","",IF(COUNTIFS('سجل التحفيز'!$AB$5:$AB$2004,"&gt;0",'سجل التحفيز'!$B$5:$B$2004,B57)&gt;0,COUNT(V$4:V56)+1,""))</f>
        <v/>
      </c>
      <c r="W57">
        <f>IF(B57="","",IF(COUNTIFS('سجل التحفيز'!$AC$5:$AC$2004,"&gt;0",'سجل التحفيز'!$B$5:$B$2004,B57)&gt;0,COUNT(W$4:W56)+1,""))</f>
        <v/>
      </c>
      <c r="X57">
        <f>IF(B57="","",IF(COUNTIFS('سجل التحفيز'!$AD$5:$AD$2004,"&gt;0",'سجل التحفيز'!$B$5:$B$2004,B57)&gt;0,COUNT(X$4:X56)+1,""))</f>
        <v/>
      </c>
      <c r="Y57">
        <f>IF(B57="","",IF(COUNTIFS('سجل التحفيز'!$AE$5:$AE$2004,"&gt;0",'سجل التحفيز'!$B$5:$B$2004,B57)&gt;0,COUNT(Y$4:Y56)+1,""))</f>
        <v/>
      </c>
    </row>
    <row r="58">
      <c r="A58" s="17" t="n"/>
      <c r="B58" s="17" t="n"/>
      <c r="C58" s="17" t="n"/>
      <c r="D58" s="17" t="n"/>
      <c r="E58" s="17" t="n"/>
      <c r="F58" s="17" t="n"/>
      <c r="G58" s="17" t="n"/>
      <c r="H58" s="20">
        <f>IF(B58="","",COUNTIFS('سجل التحفيز'!$B$5:$B$2004,B58,'سجل التحفيز'!$R$5:$R$2004,الإعدادات!$B$4))</f>
        <v/>
      </c>
      <c r="I58" s="20">
        <f>IF(B58="","",COUNTIFS('سجل التحفيز'!$B$5:$B$2004,B58,'سجل التحفيز'!$R$5:$R$2004,الإعدادات!$B$4,'سجل التحفيز'!$Q$5:$Q$2004,"الفصل الأول",'سجل التحفيز'!$D$5:$D$2004,"ذهبي"))</f>
        <v/>
      </c>
      <c r="J58" s="20">
        <f>IF(B58="","",COUNTIFS('سجل التحفيز'!$B$5:$B$2004,B58,'سجل التحفيز'!$R$5:$R$2004,الإعدادات!$B$4,'سجل التحفيز'!$Q$5:$Q$2004,"الفصل الثاني",'سجل التحفيز'!$D$5:$D$2004,"ذهبي"))</f>
        <v/>
      </c>
      <c r="K58" s="20">
        <f>IF(B58="","",COUNTIFS('سجل التحفيز'!$B$5:$B$2004,B58,'سجل التحفيز'!$R$5:$R$2004,الإعدادات!$B$4,'سجل التحفيز'!$D$5:$D$2004,"ذهبي"))</f>
        <v/>
      </c>
      <c r="L58" s="20">
        <f>IF(B58="","",IF(G58="محرومة","محرومة - مخالفة",IF(K58&gt;=5,"مستحقة ★","متبقي "&amp;(5-K58)&amp;" معايير")))</f>
        <v/>
      </c>
      <c r="N58">
        <f>IF(B58="","",IF(COUNTIFS('سجل التحفيز'!$T$5:$T$2004,"&gt;0",'سجل التحفيز'!$B$5:$B$2004,B58)&gt;0,COUNT(N$4:N57)+1,""))</f>
        <v/>
      </c>
      <c r="O58">
        <f>IF(B58="","",IF(COUNTIFS('سجل التحفيز'!$U$5:$U$2004,"&gt;0",'سجل التحفيز'!$B$5:$B$2004,B58)&gt;0,COUNT(O$4:O57)+1,""))</f>
        <v/>
      </c>
      <c r="P58">
        <f>IF(B58="","",IF(COUNTIFS('سجل التحفيز'!$V$5:$V$2004,"&gt;0",'سجل التحفيز'!$B$5:$B$2004,B58)&gt;0,COUNT(P$4:P57)+1,""))</f>
        <v/>
      </c>
      <c r="Q58">
        <f>IF(B58="","",IF(COUNTIFS('سجل التحفيز'!$W$5:$W$2004,"&gt;0",'سجل التحفيز'!$B$5:$B$2004,B58)&gt;0,COUNT(Q$4:Q57)+1,""))</f>
        <v/>
      </c>
      <c r="R58">
        <f>IF(B58="","",IF(COUNTIFS('سجل التحفيز'!$X$5:$X$2004,"&gt;0",'سجل التحفيز'!$B$5:$B$2004,B58)&gt;0,COUNT(R$4:R57)+1,""))</f>
        <v/>
      </c>
      <c r="S58">
        <f>IF(B58="","",IF(COUNTIFS('سجل التحفيز'!$Y$5:$Y$2004,"&gt;0",'سجل التحفيز'!$B$5:$B$2004,B58)&gt;0,COUNT(S$4:S57)+1,""))</f>
        <v/>
      </c>
      <c r="T58">
        <f>IF(B58="","",IF(COUNTIFS('سجل التحفيز'!$Z$5:$Z$2004,"&gt;0",'سجل التحفيز'!$B$5:$B$2004,B58)&gt;0,COUNT(T$4:T57)+1,""))</f>
        <v/>
      </c>
      <c r="U58">
        <f>IF(B58="","",IF(COUNTIFS('سجل التحفيز'!$AA$5:$AA$2004,"&gt;0",'سجل التحفيز'!$B$5:$B$2004,B58)&gt;0,COUNT(U$4:U57)+1,""))</f>
        <v/>
      </c>
      <c r="V58">
        <f>IF(B58="","",IF(COUNTIFS('سجل التحفيز'!$AB$5:$AB$2004,"&gt;0",'سجل التحفيز'!$B$5:$B$2004,B58)&gt;0,COUNT(V$4:V57)+1,""))</f>
        <v/>
      </c>
      <c r="W58">
        <f>IF(B58="","",IF(COUNTIFS('سجل التحفيز'!$AC$5:$AC$2004,"&gt;0",'سجل التحفيز'!$B$5:$B$2004,B58)&gt;0,COUNT(W$4:W57)+1,""))</f>
        <v/>
      </c>
      <c r="X58">
        <f>IF(B58="","",IF(COUNTIFS('سجل التحفيز'!$AD$5:$AD$2004,"&gt;0",'سجل التحفيز'!$B$5:$B$2004,B58)&gt;0,COUNT(X$4:X57)+1,""))</f>
        <v/>
      </c>
      <c r="Y58">
        <f>IF(B58="","",IF(COUNTIFS('سجل التحفيز'!$AE$5:$AE$2004,"&gt;0",'سجل التحفيز'!$B$5:$B$2004,B58)&gt;0,COUNT(Y$4:Y57)+1,""))</f>
        <v/>
      </c>
    </row>
    <row r="59">
      <c r="A59" s="17" t="n"/>
      <c r="B59" s="17" t="n"/>
      <c r="C59" s="17" t="n"/>
      <c r="D59" s="17" t="n"/>
      <c r="E59" s="17" t="n"/>
      <c r="F59" s="17" t="n"/>
      <c r="G59" s="17" t="n"/>
      <c r="H59" s="20">
        <f>IF(B59="","",COUNTIFS('سجل التحفيز'!$B$5:$B$2004,B59,'سجل التحفيز'!$R$5:$R$2004,الإعدادات!$B$4))</f>
        <v/>
      </c>
      <c r="I59" s="20">
        <f>IF(B59="","",COUNTIFS('سجل التحفيز'!$B$5:$B$2004,B59,'سجل التحفيز'!$R$5:$R$2004,الإعدادات!$B$4,'سجل التحفيز'!$Q$5:$Q$2004,"الفصل الأول",'سجل التحفيز'!$D$5:$D$2004,"ذهبي"))</f>
        <v/>
      </c>
      <c r="J59" s="20">
        <f>IF(B59="","",COUNTIFS('سجل التحفيز'!$B$5:$B$2004,B59,'سجل التحفيز'!$R$5:$R$2004,الإعدادات!$B$4,'سجل التحفيز'!$Q$5:$Q$2004,"الفصل الثاني",'سجل التحفيز'!$D$5:$D$2004,"ذهبي"))</f>
        <v/>
      </c>
      <c r="K59" s="20">
        <f>IF(B59="","",COUNTIFS('سجل التحفيز'!$B$5:$B$2004,B59,'سجل التحفيز'!$R$5:$R$2004,الإعدادات!$B$4,'سجل التحفيز'!$D$5:$D$2004,"ذهبي"))</f>
        <v/>
      </c>
      <c r="L59" s="20">
        <f>IF(B59="","",IF(G59="محرومة","محرومة - مخالفة",IF(K59&gt;=5,"مستحقة ★","متبقي "&amp;(5-K59)&amp;" معايير")))</f>
        <v/>
      </c>
      <c r="N59">
        <f>IF(B59="","",IF(COUNTIFS('سجل التحفيز'!$T$5:$T$2004,"&gt;0",'سجل التحفيز'!$B$5:$B$2004,B59)&gt;0,COUNT(N$4:N58)+1,""))</f>
        <v/>
      </c>
      <c r="O59">
        <f>IF(B59="","",IF(COUNTIFS('سجل التحفيز'!$U$5:$U$2004,"&gt;0",'سجل التحفيز'!$B$5:$B$2004,B59)&gt;0,COUNT(O$4:O58)+1,""))</f>
        <v/>
      </c>
      <c r="P59">
        <f>IF(B59="","",IF(COUNTIFS('سجل التحفيز'!$V$5:$V$2004,"&gt;0",'سجل التحفيز'!$B$5:$B$2004,B59)&gt;0,COUNT(P$4:P58)+1,""))</f>
        <v/>
      </c>
      <c r="Q59">
        <f>IF(B59="","",IF(COUNTIFS('سجل التحفيز'!$W$5:$W$2004,"&gt;0",'سجل التحفيز'!$B$5:$B$2004,B59)&gt;0,COUNT(Q$4:Q58)+1,""))</f>
        <v/>
      </c>
      <c r="R59">
        <f>IF(B59="","",IF(COUNTIFS('سجل التحفيز'!$X$5:$X$2004,"&gt;0",'سجل التحفيز'!$B$5:$B$2004,B59)&gt;0,COUNT(R$4:R58)+1,""))</f>
        <v/>
      </c>
      <c r="S59">
        <f>IF(B59="","",IF(COUNTIFS('سجل التحفيز'!$Y$5:$Y$2004,"&gt;0",'سجل التحفيز'!$B$5:$B$2004,B59)&gt;0,COUNT(S$4:S58)+1,""))</f>
        <v/>
      </c>
      <c r="T59">
        <f>IF(B59="","",IF(COUNTIFS('سجل التحفيز'!$Z$5:$Z$2004,"&gt;0",'سجل التحفيز'!$B$5:$B$2004,B59)&gt;0,COUNT(T$4:T58)+1,""))</f>
        <v/>
      </c>
      <c r="U59">
        <f>IF(B59="","",IF(COUNTIFS('سجل التحفيز'!$AA$5:$AA$2004,"&gt;0",'سجل التحفيز'!$B$5:$B$2004,B59)&gt;0,COUNT(U$4:U58)+1,""))</f>
        <v/>
      </c>
      <c r="V59">
        <f>IF(B59="","",IF(COUNTIFS('سجل التحفيز'!$AB$5:$AB$2004,"&gt;0",'سجل التحفيز'!$B$5:$B$2004,B59)&gt;0,COUNT(V$4:V58)+1,""))</f>
        <v/>
      </c>
      <c r="W59">
        <f>IF(B59="","",IF(COUNTIFS('سجل التحفيز'!$AC$5:$AC$2004,"&gt;0",'سجل التحفيز'!$B$5:$B$2004,B59)&gt;0,COUNT(W$4:W58)+1,""))</f>
        <v/>
      </c>
      <c r="X59">
        <f>IF(B59="","",IF(COUNTIFS('سجل التحفيز'!$AD$5:$AD$2004,"&gt;0",'سجل التحفيز'!$B$5:$B$2004,B59)&gt;0,COUNT(X$4:X58)+1,""))</f>
        <v/>
      </c>
      <c r="Y59">
        <f>IF(B59="","",IF(COUNTIFS('سجل التحفيز'!$AE$5:$AE$2004,"&gt;0",'سجل التحفيز'!$B$5:$B$2004,B59)&gt;0,COUNT(Y$4:Y58)+1,""))</f>
        <v/>
      </c>
    </row>
    <row r="60">
      <c r="A60" s="17" t="n"/>
      <c r="B60" s="17" t="n"/>
      <c r="C60" s="17" t="n"/>
      <c r="D60" s="17" t="n"/>
      <c r="E60" s="17" t="n"/>
      <c r="F60" s="17" t="n"/>
      <c r="G60" s="17" t="n"/>
      <c r="H60" s="20">
        <f>IF(B60="","",COUNTIFS('سجل التحفيز'!$B$5:$B$2004,B60,'سجل التحفيز'!$R$5:$R$2004,الإعدادات!$B$4))</f>
        <v/>
      </c>
      <c r="I60" s="20">
        <f>IF(B60="","",COUNTIFS('سجل التحفيز'!$B$5:$B$2004,B60,'سجل التحفيز'!$R$5:$R$2004,الإعدادات!$B$4,'سجل التحفيز'!$Q$5:$Q$2004,"الفصل الأول",'سجل التحفيز'!$D$5:$D$2004,"ذهبي"))</f>
        <v/>
      </c>
      <c r="J60" s="20">
        <f>IF(B60="","",COUNTIFS('سجل التحفيز'!$B$5:$B$2004,B60,'سجل التحفيز'!$R$5:$R$2004,الإعدادات!$B$4,'سجل التحفيز'!$Q$5:$Q$2004,"الفصل الثاني",'سجل التحفيز'!$D$5:$D$2004,"ذهبي"))</f>
        <v/>
      </c>
      <c r="K60" s="20">
        <f>IF(B60="","",COUNTIFS('سجل التحفيز'!$B$5:$B$2004,B60,'سجل التحفيز'!$R$5:$R$2004,الإعدادات!$B$4,'سجل التحفيز'!$D$5:$D$2004,"ذهبي"))</f>
        <v/>
      </c>
      <c r="L60" s="20">
        <f>IF(B60="","",IF(G60="محرومة","محرومة - مخالفة",IF(K60&gt;=5,"مستحقة ★","متبقي "&amp;(5-K60)&amp;" معايير")))</f>
        <v/>
      </c>
      <c r="N60">
        <f>IF(B60="","",IF(COUNTIFS('سجل التحفيز'!$T$5:$T$2004,"&gt;0",'سجل التحفيز'!$B$5:$B$2004,B60)&gt;0,COUNT(N$4:N59)+1,""))</f>
        <v/>
      </c>
      <c r="O60">
        <f>IF(B60="","",IF(COUNTIFS('سجل التحفيز'!$U$5:$U$2004,"&gt;0",'سجل التحفيز'!$B$5:$B$2004,B60)&gt;0,COUNT(O$4:O59)+1,""))</f>
        <v/>
      </c>
      <c r="P60">
        <f>IF(B60="","",IF(COUNTIFS('سجل التحفيز'!$V$5:$V$2004,"&gt;0",'سجل التحفيز'!$B$5:$B$2004,B60)&gt;0,COUNT(P$4:P59)+1,""))</f>
        <v/>
      </c>
      <c r="Q60">
        <f>IF(B60="","",IF(COUNTIFS('سجل التحفيز'!$W$5:$W$2004,"&gt;0",'سجل التحفيز'!$B$5:$B$2004,B60)&gt;0,COUNT(Q$4:Q59)+1,""))</f>
        <v/>
      </c>
      <c r="R60">
        <f>IF(B60="","",IF(COUNTIFS('سجل التحفيز'!$X$5:$X$2004,"&gt;0",'سجل التحفيز'!$B$5:$B$2004,B60)&gt;0,COUNT(R$4:R59)+1,""))</f>
        <v/>
      </c>
      <c r="S60">
        <f>IF(B60="","",IF(COUNTIFS('سجل التحفيز'!$Y$5:$Y$2004,"&gt;0",'سجل التحفيز'!$B$5:$B$2004,B60)&gt;0,COUNT(S$4:S59)+1,""))</f>
        <v/>
      </c>
      <c r="T60">
        <f>IF(B60="","",IF(COUNTIFS('سجل التحفيز'!$Z$5:$Z$2004,"&gt;0",'سجل التحفيز'!$B$5:$B$2004,B60)&gt;0,COUNT(T$4:T59)+1,""))</f>
        <v/>
      </c>
      <c r="U60">
        <f>IF(B60="","",IF(COUNTIFS('سجل التحفيز'!$AA$5:$AA$2004,"&gt;0",'سجل التحفيز'!$B$5:$B$2004,B60)&gt;0,COUNT(U$4:U59)+1,""))</f>
        <v/>
      </c>
      <c r="V60">
        <f>IF(B60="","",IF(COUNTIFS('سجل التحفيز'!$AB$5:$AB$2004,"&gt;0",'سجل التحفيز'!$B$5:$B$2004,B60)&gt;0,COUNT(V$4:V59)+1,""))</f>
        <v/>
      </c>
      <c r="W60">
        <f>IF(B60="","",IF(COUNTIFS('سجل التحفيز'!$AC$5:$AC$2004,"&gt;0",'سجل التحفيز'!$B$5:$B$2004,B60)&gt;0,COUNT(W$4:W59)+1,""))</f>
        <v/>
      </c>
      <c r="X60">
        <f>IF(B60="","",IF(COUNTIFS('سجل التحفيز'!$AD$5:$AD$2004,"&gt;0",'سجل التحفيز'!$B$5:$B$2004,B60)&gt;0,COUNT(X$4:X59)+1,""))</f>
        <v/>
      </c>
      <c r="Y60">
        <f>IF(B60="","",IF(COUNTIFS('سجل التحفيز'!$AE$5:$AE$2004,"&gt;0",'سجل التحفيز'!$B$5:$B$2004,B60)&gt;0,COUNT(Y$4:Y59)+1,""))</f>
        <v/>
      </c>
    </row>
    <row r="61">
      <c r="A61" s="17" t="n"/>
      <c r="B61" s="17" t="n"/>
      <c r="C61" s="17" t="n"/>
      <c r="D61" s="17" t="n"/>
      <c r="E61" s="17" t="n"/>
      <c r="F61" s="17" t="n"/>
      <c r="G61" s="17" t="n"/>
      <c r="H61" s="20">
        <f>IF(B61="","",COUNTIFS('سجل التحفيز'!$B$5:$B$2004,B61,'سجل التحفيز'!$R$5:$R$2004,الإعدادات!$B$4))</f>
        <v/>
      </c>
      <c r="I61" s="20">
        <f>IF(B61="","",COUNTIFS('سجل التحفيز'!$B$5:$B$2004,B61,'سجل التحفيز'!$R$5:$R$2004,الإعدادات!$B$4,'سجل التحفيز'!$Q$5:$Q$2004,"الفصل الأول",'سجل التحفيز'!$D$5:$D$2004,"ذهبي"))</f>
        <v/>
      </c>
      <c r="J61" s="20">
        <f>IF(B61="","",COUNTIFS('سجل التحفيز'!$B$5:$B$2004,B61,'سجل التحفيز'!$R$5:$R$2004,الإعدادات!$B$4,'سجل التحفيز'!$Q$5:$Q$2004,"الفصل الثاني",'سجل التحفيز'!$D$5:$D$2004,"ذهبي"))</f>
        <v/>
      </c>
      <c r="K61" s="20">
        <f>IF(B61="","",COUNTIFS('سجل التحفيز'!$B$5:$B$2004,B61,'سجل التحفيز'!$R$5:$R$2004,الإعدادات!$B$4,'سجل التحفيز'!$D$5:$D$2004,"ذهبي"))</f>
        <v/>
      </c>
      <c r="L61" s="20">
        <f>IF(B61="","",IF(G61="محرومة","محرومة - مخالفة",IF(K61&gt;=5,"مستحقة ★","متبقي "&amp;(5-K61)&amp;" معايير")))</f>
        <v/>
      </c>
      <c r="N61">
        <f>IF(B61="","",IF(COUNTIFS('سجل التحفيز'!$T$5:$T$2004,"&gt;0",'سجل التحفيز'!$B$5:$B$2004,B61)&gt;0,COUNT(N$4:N60)+1,""))</f>
        <v/>
      </c>
      <c r="O61">
        <f>IF(B61="","",IF(COUNTIFS('سجل التحفيز'!$U$5:$U$2004,"&gt;0",'سجل التحفيز'!$B$5:$B$2004,B61)&gt;0,COUNT(O$4:O60)+1,""))</f>
        <v/>
      </c>
      <c r="P61">
        <f>IF(B61="","",IF(COUNTIFS('سجل التحفيز'!$V$5:$V$2004,"&gt;0",'سجل التحفيز'!$B$5:$B$2004,B61)&gt;0,COUNT(P$4:P60)+1,""))</f>
        <v/>
      </c>
      <c r="Q61">
        <f>IF(B61="","",IF(COUNTIFS('سجل التحفيز'!$W$5:$W$2004,"&gt;0",'سجل التحفيز'!$B$5:$B$2004,B61)&gt;0,COUNT(Q$4:Q60)+1,""))</f>
        <v/>
      </c>
      <c r="R61">
        <f>IF(B61="","",IF(COUNTIFS('سجل التحفيز'!$X$5:$X$2004,"&gt;0",'سجل التحفيز'!$B$5:$B$2004,B61)&gt;0,COUNT(R$4:R60)+1,""))</f>
        <v/>
      </c>
      <c r="S61">
        <f>IF(B61="","",IF(COUNTIFS('سجل التحفيز'!$Y$5:$Y$2004,"&gt;0",'سجل التحفيز'!$B$5:$B$2004,B61)&gt;0,COUNT(S$4:S60)+1,""))</f>
        <v/>
      </c>
      <c r="T61">
        <f>IF(B61="","",IF(COUNTIFS('سجل التحفيز'!$Z$5:$Z$2004,"&gt;0",'سجل التحفيز'!$B$5:$B$2004,B61)&gt;0,COUNT(T$4:T60)+1,""))</f>
        <v/>
      </c>
      <c r="U61">
        <f>IF(B61="","",IF(COUNTIFS('سجل التحفيز'!$AA$5:$AA$2004,"&gt;0",'سجل التحفيز'!$B$5:$B$2004,B61)&gt;0,COUNT(U$4:U60)+1,""))</f>
        <v/>
      </c>
      <c r="V61">
        <f>IF(B61="","",IF(COUNTIFS('سجل التحفيز'!$AB$5:$AB$2004,"&gt;0",'سجل التحفيز'!$B$5:$B$2004,B61)&gt;0,COUNT(V$4:V60)+1,""))</f>
        <v/>
      </c>
      <c r="W61">
        <f>IF(B61="","",IF(COUNTIFS('سجل التحفيز'!$AC$5:$AC$2004,"&gt;0",'سجل التحفيز'!$B$5:$B$2004,B61)&gt;0,COUNT(W$4:W60)+1,""))</f>
        <v/>
      </c>
      <c r="X61">
        <f>IF(B61="","",IF(COUNTIFS('سجل التحفيز'!$AD$5:$AD$2004,"&gt;0",'سجل التحفيز'!$B$5:$B$2004,B61)&gt;0,COUNT(X$4:X60)+1,""))</f>
        <v/>
      </c>
      <c r="Y61">
        <f>IF(B61="","",IF(COUNTIFS('سجل التحفيز'!$AE$5:$AE$2004,"&gt;0",'سجل التحفيز'!$B$5:$B$2004,B61)&gt;0,COUNT(Y$4:Y60)+1,""))</f>
        <v/>
      </c>
    </row>
    <row r="62">
      <c r="A62" s="17" t="n"/>
      <c r="B62" s="17" t="n"/>
      <c r="C62" s="17" t="n"/>
      <c r="D62" s="17" t="n"/>
      <c r="E62" s="17" t="n"/>
      <c r="F62" s="17" t="n"/>
      <c r="G62" s="17" t="n"/>
      <c r="H62" s="20">
        <f>IF(B62="","",COUNTIFS('سجل التحفيز'!$B$5:$B$2004,B62,'سجل التحفيز'!$R$5:$R$2004,الإعدادات!$B$4))</f>
        <v/>
      </c>
      <c r="I62" s="20">
        <f>IF(B62="","",COUNTIFS('سجل التحفيز'!$B$5:$B$2004,B62,'سجل التحفيز'!$R$5:$R$2004,الإعدادات!$B$4,'سجل التحفيز'!$Q$5:$Q$2004,"الفصل الأول",'سجل التحفيز'!$D$5:$D$2004,"ذهبي"))</f>
        <v/>
      </c>
      <c r="J62" s="20">
        <f>IF(B62="","",COUNTIFS('سجل التحفيز'!$B$5:$B$2004,B62,'سجل التحفيز'!$R$5:$R$2004,الإعدادات!$B$4,'سجل التحفيز'!$Q$5:$Q$2004,"الفصل الثاني",'سجل التحفيز'!$D$5:$D$2004,"ذهبي"))</f>
        <v/>
      </c>
      <c r="K62" s="20">
        <f>IF(B62="","",COUNTIFS('سجل التحفيز'!$B$5:$B$2004,B62,'سجل التحفيز'!$R$5:$R$2004,الإعدادات!$B$4,'سجل التحفيز'!$D$5:$D$2004,"ذهبي"))</f>
        <v/>
      </c>
      <c r="L62" s="20">
        <f>IF(B62="","",IF(G62="محرومة","محرومة - مخالفة",IF(K62&gt;=5,"مستحقة ★","متبقي "&amp;(5-K62)&amp;" معايير")))</f>
        <v/>
      </c>
      <c r="N62">
        <f>IF(B62="","",IF(COUNTIFS('سجل التحفيز'!$T$5:$T$2004,"&gt;0",'سجل التحفيز'!$B$5:$B$2004,B62)&gt;0,COUNT(N$4:N61)+1,""))</f>
        <v/>
      </c>
      <c r="O62">
        <f>IF(B62="","",IF(COUNTIFS('سجل التحفيز'!$U$5:$U$2004,"&gt;0",'سجل التحفيز'!$B$5:$B$2004,B62)&gt;0,COUNT(O$4:O61)+1,""))</f>
        <v/>
      </c>
      <c r="P62">
        <f>IF(B62="","",IF(COUNTIFS('سجل التحفيز'!$V$5:$V$2004,"&gt;0",'سجل التحفيز'!$B$5:$B$2004,B62)&gt;0,COUNT(P$4:P61)+1,""))</f>
        <v/>
      </c>
      <c r="Q62">
        <f>IF(B62="","",IF(COUNTIFS('سجل التحفيز'!$W$5:$W$2004,"&gt;0",'سجل التحفيز'!$B$5:$B$2004,B62)&gt;0,COUNT(Q$4:Q61)+1,""))</f>
        <v/>
      </c>
      <c r="R62">
        <f>IF(B62="","",IF(COUNTIFS('سجل التحفيز'!$X$5:$X$2004,"&gt;0",'سجل التحفيز'!$B$5:$B$2004,B62)&gt;0,COUNT(R$4:R61)+1,""))</f>
        <v/>
      </c>
      <c r="S62">
        <f>IF(B62="","",IF(COUNTIFS('سجل التحفيز'!$Y$5:$Y$2004,"&gt;0",'سجل التحفيز'!$B$5:$B$2004,B62)&gt;0,COUNT(S$4:S61)+1,""))</f>
        <v/>
      </c>
      <c r="T62">
        <f>IF(B62="","",IF(COUNTIFS('سجل التحفيز'!$Z$5:$Z$2004,"&gt;0",'سجل التحفيز'!$B$5:$B$2004,B62)&gt;0,COUNT(T$4:T61)+1,""))</f>
        <v/>
      </c>
      <c r="U62">
        <f>IF(B62="","",IF(COUNTIFS('سجل التحفيز'!$AA$5:$AA$2004,"&gt;0",'سجل التحفيز'!$B$5:$B$2004,B62)&gt;0,COUNT(U$4:U61)+1,""))</f>
        <v/>
      </c>
      <c r="V62">
        <f>IF(B62="","",IF(COUNTIFS('سجل التحفيز'!$AB$5:$AB$2004,"&gt;0",'سجل التحفيز'!$B$5:$B$2004,B62)&gt;0,COUNT(V$4:V61)+1,""))</f>
        <v/>
      </c>
      <c r="W62">
        <f>IF(B62="","",IF(COUNTIFS('سجل التحفيز'!$AC$5:$AC$2004,"&gt;0",'سجل التحفيز'!$B$5:$B$2004,B62)&gt;0,COUNT(W$4:W61)+1,""))</f>
        <v/>
      </c>
      <c r="X62">
        <f>IF(B62="","",IF(COUNTIFS('سجل التحفيز'!$AD$5:$AD$2004,"&gt;0",'سجل التحفيز'!$B$5:$B$2004,B62)&gt;0,COUNT(X$4:X61)+1,""))</f>
        <v/>
      </c>
      <c r="Y62">
        <f>IF(B62="","",IF(COUNTIFS('سجل التحفيز'!$AE$5:$AE$2004,"&gt;0",'سجل التحفيز'!$B$5:$B$2004,B62)&gt;0,COUNT(Y$4:Y61)+1,""))</f>
        <v/>
      </c>
    </row>
    <row r="63">
      <c r="A63" s="17" t="n"/>
      <c r="B63" s="17" t="n"/>
      <c r="C63" s="17" t="n"/>
      <c r="D63" s="17" t="n"/>
      <c r="E63" s="17" t="n"/>
      <c r="F63" s="17" t="n"/>
      <c r="G63" s="17" t="n"/>
      <c r="H63" s="20">
        <f>IF(B63="","",COUNTIFS('سجل التحفيز'!$B$5:$B$2004,B63,'سجل التحفيز'!$R$5:$R$2004,الإعدادات!$B$4))</f>
        <v/>
      </c>
      <c r="I63" s="20">
        <f>IF(B63="","",COUNTIFS('سجل التحفيز'!$B$5:$B$2004,B63,'سجل التحفيز'!$R$5:$R$2004,الإعدادات!$B$4,'سجل التحفيز'!$Q$5:$Q$2004,"الفصل الأول",'سجل التحفيز'!$D$5:$D$2004,"ذهبي"))</f>
        <v/>
      </c>
      <c r="J63" s="20">
        <f>IF(B63="","",COUNTIFS('سجل التحفيز'!$B$5:$B$2004,B63,'سجل التحفيز'!$R$5:$R$2004,الإعدادات!$B$4,'سجل التحفيز'!$Q$5:$Q$2004,"الفصل الثاني",'سجل التحفيز'!$D$5:$D$2004,"ذهبي"))</f>
        <v/>
      </c>
      <c r="K63" s="20">
        <f>IF(B63="","",COUNTIFS('سجل التحفيز'!$B$5:$B$2004,B63,'سجل التحفيز'!$R$5:$R$2004,الإعدادات!$B$4,'سجل التحفيز'!$D$5:$D$2004,"ذهبي"))</f>
        <v/>
      </c>
      <c r="L63" s="20">
        <f>IF(B63="","",IF(G63="محرومة","محرومة - مخالفة",IF(K63&gt;=5,"مستحقة ★","متبقي "&amp;(5-K63)&amp;" معايير")))</f>
        <v/>
      </c>
      <c r="N63">
        <f>IF(B63="","",IF(COUNTIFS('سجل التحفيز'!$T$5:$T$2004,"&gt;0",'سجل التحفيز'!$B$5:$B$2004,B63)&gt;0,COUNT(N$4:N62)+1,""))</f>
        <v/>
      </c>
      <c r="O63">
        <f>IF(B63="","",IF(COUNTIFS('سجل التحفيز'!$U$5:$U$2004,"&gt;0",'سجل التحفيز'!$B$5:$B$2004,B63)&gt;0,COUNT(O$4:O62)+1,""))</f>
        <v/>
      </c>
      <c r="P63">
        <f>IF(B63="","",IF(COUNTIFS('سجل التحفيز'!$V$5:$V$2004,"&gt;0",'سجل التحفيز'!$B$5:$B$2004,B63)&gt;0,COUNT(P$4:P62)+1,""))</f>
        <v/>
      </c>
      <c r="Q63">
        <f>IF(B63="","",IF(COUNTIFS('سجل التحفيز'!$W$5:$W$2004,"&gt;0",'سجل التحفيز'!$B$5:$B$2004,B63)&gt;0,COUNT(Q$4:Q62)+1,""))</f>
        <v/>
      </c>
      <c r="R63">
        <f>IF(B63="","",IF(COUNTIFS('سجل التحفيز'!$X$5:$X$2004,"&gt;0",'سجل التحفيز'!$B$5:$B$2004,B63)&gt;0,COUNT(R$4:R62)+1,""))</f>
        <v/>
      </c>
      <c r="S63">
        <f>IF(B63="","",IF(COUNTIFS('سجل التحفيز'!$Y$5:$Y$2004,"&gt;0",'سجل التحفيز'!$B$5:$B$2004,B63)&gt;0,COUNT(S$4:S62)+1,""))</f>
        <v/>
      </c>
      <c r="T63">
        <f>IF(B63="","",IF(COUNTIFS('سجل التحفيز'!$Z$5:$Z$2004,"&gt;0",'سجل التحفيز'!$B$5:$B$2004,B63)&gt;0,COUNT(T$4:T62)+1,""))</f>
        <v/>
      </c>
      <c r="U63">
        <f>IF(B63="","",IF(COUNTIFS('سجل التحفيز'!$AA$5:$AA$2004,"&gt;0",'سجل التحفيز'!$B$5:$B$2004,B63)&gt;0,COUNT(U$4:U62)+1,""))</f>
        <v/>
      </c>
      <c r="V63">
        <f>IF(B63="","",IF(COUNTIFS('سجل التحفيز'!$AB$5:$AB$2004,"&gt;0",'سجل التحفيز'!$B$5:$B$2004,B63)&gt;0,COUNT(V$4:V62)+1,""))</f>
        <v/>
      </c>
      <c r="W63">
        <f>IF(B63="","",IF(COUNTIFS('سجل التحفيز'!$AC$5:$AC$2004,"&gt;0",'سجل التحفيز'!$B$5:$B$2004,B63)&gt;0,COUNT(W$4:W62)+1,""))</f>
        <v/>
      </c>
      <c r="X63">
        <f>IF(B63="","",IF(COUNTIFS('سجل التحفيز'!$AD$5:$AD$2004,"&gt;0",'سجل التحفيز'!$B$5:$B$2004,B63)&gt;0,COUNT(X$4:X62)+1,""))</f>
        <v/>
      </c>
      <c r="Y63">
        <f>IF(B63="","",IF(COUNTIFS('سجل التحفيز'!$AE$5:$AE$2004,"&gt;0",'سجل التحفيز'!$B$5:$B$2004,B63)&gt;0,COUNT(Y$4:Y62)+1,""))</f>
        <v/>
      </c>
    </row>
    <row r="64">
      <c r="A64" s="17" t="n"/>
      <c r="B64" s="17" t="n"/>
      <c r="C64" s="17" t="n"/>
      <c r="D64" s="17" t="n"/>
      <c r="E64" s="17" t="n"/>
      <c r="F64" s="17" t="n"/>
      <c r="G64" s="17" t="n"/>
      <c r="H64" s="20">
        <f>IF(B64="","",COUNTIFS('سجل التحفيز'!$B$5:$B$2004,B64,'سجل التحفيز'!$R$5:$R$2004,الإعدادات!$B$4))</f>
        <v/>
      </c>
      <c r="I64" s="20">
        <f>IF(B64="","",COUNTIFS('سجل التحفيز'!$B$5:$B$2004,B64,'سجل التحفيز'!$R$5:$R$2004,الإعدادات!$B$4,'سجل التحفيز'!$Q$5:$Q$2004,"الفصل الأول",'سجل التحفيز'!$D$5:$D$2004,"ذهبي"))</f>
        <v/>
      </c>
      <c r="J64" s="20">
        <f>IF(B64="","",COUNTIFS('سجل التحفيز'!$B$5:$B$2004,B64,'سجل التحفيز'!$R$5:$R$2004,الإعدادات!$B$4,'سجل التحفيز'!$Q$5:$Q$2004,"الفصل الثاني",'سجل التحفيز'!$D$5:$D$2004,"ذهبي"))</f>
        <v/>
      </c>
      <c r="K64" s="20">
        <f>IF(B64="","",COUNTIFS('سجل التحفيز'!$B$5:$B$2004,B64,'سجل التحفيز'!$R$5:$R$2004,الإعدادات!$B$4,'سجل التحفيز'!$D$5:$D$2004,"ذهبي"))</f>
        <v/>
      </c>
      <c r="L64" s="20">
        <f>IF(B64="","",IF(G64="محرومة","محرومة - مخالفة",IF(K64&gt;=5,"مستحقة ★","متبقي "&amp;(5-K64)&amp;" معايير")))</f>
        <v/>
      </c>
      <c r="N64">
        <f>IF(B64="","",IF(COUNTIFS('سجل التحفيز'!$T$5:$T$2004,"&gt;0",'سجل التحفيز'!$B$5:$B$2004,B64)&gt;0,COUNT(N$4:N63)+1,""))</f>
        <v/>
      </c>
      <c r="O64">
        <f>IF(B64="","",IF(COUNTIFS('سجل التحفيز'!$U$5:$U$2004,"&gt;0",'سجل التحفيز'!$B$5:$B$2004,B64)&gt;0,COUNT(O$4:O63)+1,""))</f>
        <v/>
      </c>
      <c r="P64">
        <f>IF(B64="","",IF(COUNTIFS('سجل التحفيز'!$V$5:$V$2004,"&gt;0",'سجل التحفيز'!$B$5:$B$2004,B64)&gt;0,COUNT(P$4:P63)+1,""))</f>
        <v/>
      </c>
      <c r="Q64">
        <f>IF(B64="","",IF(COUNTIFS('سجل التحفيز'!$W$5:$W$2004,"&gt;0",'سجل التحفيز'!$B$5:$B$2004,B64)&gt;0,COUNT(Q$4:Q63)+1,""))</f>
        <v/>
      </c>
      <c r="R64">
        <f>IF(B64="","",IF(COUNTIFS('سجل التحفيز'!$X$5:$X$2004,"&gt;0",'سجل التحفيز'!$B$5:$B$2004,B64)&gt;0,COUNT(R$4:R63)+1,""))</f>
        <v/>
      </c>
      <c r="S64">
        <f>IF(B64="","",IF(COUNTIFS('سجل التحفيز'!$Y$5:$Y$2004,"&gt;0",'سجل التحفيز'!$B$5:$B$2004,B64)&gt;0,COUNT(S$4:S63)+1,""))</f>
        <v/>
      </c>
      <c r="T64">
        <f>IF(B64="","",IF(COUNTIFS('سجل التحفيز'!$Z$5:$Z$2004,"&gt;0",'سجل التحفيز'!$B$5:$B$2004,B64)&gt;0,COUNT(T$4:T63)+1,""))</f>
        <v/>
      </c>
      <c r="U64">
        <f>IF(B64="","",IF(COUNTIFS('سجل التحفيز'!$AA$5:$AA$2004,"&gt;0",'سجل التحفيز'!$B$5:$B$2004,B64)&gt;0,COUNT(U$4:U63)+1,""))</f>
        <v/>
      </c>
      <c r="V64">
        <f>IF(B64="","",IF(COUNTIFS('سجل التحفيز'!$AB$5:$AB$2004,"&gt;0",'سجل التحفيز'!$B$5:$B$2004,B64)&gt;0,COUNT(V$4:V63)+1,""))</f>
        <v/>
      </c>
      <c r="W64">
        <f>IF(B64="","",IF(COUNTIFS('سجل التحفيز'!$AC$5:$AC$2004,"&gt;0",'سجل التحفيز'!$B$5:$B$2004,B64)&gt;0,COUNT(W$4:W63)+1,""))</f>
        <v/>
      </c>
      <c r="X64">
        <f>IF(B64="","",IF(COUNTIFS('سجل التحفيز'!$AD$5:$AD$2004,"&gt;0",'سجل التحفيز'!$B$5:$B$2004,B64)&gt;0,COUNT(X$4:X63)+1,""))</f>
        <v/>
      </c>
      <c r="Y64">
        <f>IF(B64="","",IF(COUNTIFS('سجل التحفيز'!$AE$5:$AE$2004,"&gt;0",'سجل التحفيز'!$B$5:$B$2004,B64)&gt;0,COUNT(Y$4:Y63)+1,""))</f>
        <v/>
      </c>
    </row>
    <row r="65">
      <c r="A65" s="17" t="n"/>
      <c r="B65" s="17" t="n"/>
      <c r="C65" s="17" t="n"/>
      <c r="D65" s="17" t="n"/>
      <c r="E65" s="17" t="n"/>
      <c r="F65" s="17" t="n"/>
      <c r="G65" s="17" t="n"/>
      <c r="H65" s="20">
        <f>IF(B65="","",COUNTIFS('سجل التحفيز'!$B$5:$B$2004,B65,'سجل التحفيز'!$R$5:$R$2004,الإعدادات!$B$4))</f>
        <v/>
      </c>
      <c r="I65" s="20">
        <f>IF(B65="","",COUNTIFS('سجل التحفيز'!$B$5:$B$2004,B65,'سجل التحفيز'!$R$5:$R$2004,الإعدادات!$B$4,'سجل التحفيز'!$Q$5:$Q$2004,"الفصل الأول",'سجل التحفيز'!$D$5:$D$2004,"ذهبي"))</f>
        <v/>
      </c>
      <c r="J65" s="20">
        <f>IF(B65="","",COUNTIFS('سجل التحفيز'!$B$5:$B$2004,B65,'سجل التحفيز'!$R$5:$R$2004,الإعدادات!$B$4,'سجل التحفيز'!$Q$5:$Q$2004,"الفصل الثاني",'سجل التحفيز'!$D$5:$D$2004,"ذهبي"))</f>
        <v/>
      </c>
      <c r="K65" s="20">
        <f>IF(B65="","",COUNTIFS('سجل التحفيز'!$B$5:$B$2004,B65,'سجل التحفيز'!$R$5:$R$2004,الإعدادات!$B$4,'سجل التحفيز'!$D$5:$D$2004,"ذهبي"))</f>
        <v/>
      </c>
      <c r="L65" s="20">
        <f>IF(B65="","",IF(G65="محرومة","محرومة - مخالفة",IF(K65&gt;=5,"مستحقة ★","متبقي "&amp;(5-K65)&amp;" معايير")))</f>
        <v/>
      </c>
      <c r="N65">
        <f>IF(B65="","",IF(COUNTIFS('سجل التحفيز'!$T$5:$T$2004,"&gt;0",'سجل التحفيز'!$B$5:$B$2004,B65)&gt;0,COUNT(N$4:N64)+1,""))</f>
        <v/>
      </c>
      <c r="O65">
        <f>IF(B65="","",IF(COUNTIFS('سجل التحفيز'!$U$5:$U$2004,"&gt;0",'سجل التحفيز'!$B$5:$B$2004,B65)&gt;0,COUNT(O$4:O64)+1,""))</f>
        <v/>
      </c>
      <c r="P65">
        <f>IF(B65="","",IF(COUNTIFS('سجل التحفيز'!$V$5:$V$2004,"&gt;0",'سجل التحفيز'!$B$5:$B$2004,B65)&gt;0,COUNT(P$4:P64)+1,""))</f>
        <v/>
      </c>
      <c r="Q65">
        <f>IF(B65="","",IF(COUNTIFS('سجل التحفيز'!$W$5:$W$2004,"&gt;0",'سجل التحفيز'!$B$5:$B$2004,B65)&gt;0,COUNT(Q$4:Q64)+1,""))</f>
        <v/>
      </c>
      <c r="R65">
        <f>IF(B65="","",IF(COUNTIFS('سجل التحفيز'!$X$5:$X$2004,"&gt;0",'سجل التحفيز'!$B$5:$B$2004,B65)&gt;0,COUNT(R$4:R64)+1,""))</f>
        <v/>
      </c>
      <c r="S65">
        <f>IF(B65="","",IF(COUNTIFS('سجل التحفيز'!$Y$5:$Y$2004,"&gt;0",'سجل التحفيز'!$B$5:$B$2004,B65)&gt;0,COUNT(S$4:S64)+1,""))</f>
        <v/>
      </c>
      <c r="T65">
        <f>IF(B65="","",IF(COUNTIFS('سجل التحفيز'!$Z$5:$Z$2004,"&gt;0",'سجل التحفيز'!$B$5:$B$2004,B65)&gt;0,COUNT(T$4:T64)+1,""))</f>
        <v/>
      </c>
      <c r="U65">
        <f>IF(B65="","",IF(COUNTIFS('سجل التحفيز'!$AA$5:$AA$2004,"&gt;0",'سجل التحفيز'!$B$5:$B$2004,B65)&gt;0,COUNT(U$4:U64)+1,""))</f>
        <v/>
      </c>
      <c r="V65">
        <f>IF(B65="","",IF(COUNTIFS('سجل التحفيز'!$AB$5:$AB$2004,"&gt;0",'سجل التحفيز'!$B$5:$B$2004,B65)&gt;0,COUNT(V$4:V64)+1,""))</f>
        <v/>
      </c>
      <c r="W65">
        <f>IF(B65="","",IF(COUNTIFS('سجل التحفيز'!$AC$5:$AC$2004,"&gt;0",'سجل التحفيز'!$B$5:$B$2004,B65)&gt;0,COUNT(W$4:W64)+1,""))</f>
        <v/>
      </c>
      <c r="X65">
        <f>IF(B65="","",IF(COUNTIFS('سجل التحفيز'!$AD$5:$AD$2004,"&gt;0",'سجل التحفيز'!$B$5:$B$2004,B65)&gt;0,COUNT(X$4:X64)+1,""))</f>
        <v/>
      </c>
      <c r="Y65">
        <f>IF(B65="","",IF(COUNTIFS('سجل التحفيز'!$AE$5:$AE$2004,"&gt;0",'سجل التحفيز'!$B$5:$B$2004,B65)&gt;0,COUNT(Y$4:Y64)+1,""))</f>
        <v/>
      </c>
    </row>
    <row r="66">
      <c r="A66" s="17" t="n"/>
      <c r="B66" s="17" t="n"/>
      <c r="C66" s="17" t="n"/>
      <c r="D66" s="17" t="n"/>
      <c r="E66" s="17" t="n"/>
      <c r="F66" s="17" t="n"/>
      <c r="G66" s="17" t="n"/>
      <c r="H66" s="20">
        <f>IF(B66="","",COUNTIFS('سجل التحفيز'!$B$5:$B$2004,B66,'سجل التحفيز'!$R$5:$R$2004,الإعدادات!$B$4))</f>
        <v/>
      </c>
      <c r="I66" s="20">
        <f>IF(B66="","",COUNTIFS('سجل التحفيز'!$B$5:$B$2004,B66,'سجل التحفيز'!$R$5:$R$2004,الإعدادات!$B$4,'سجل التحفيز'!$Q$5:$Q$2004,"الفصل الأول",'سجل التحفيز'!$D$5:$D$2004,"ذهبي"))</f>
        <v/>
      </c>
      <c r="J66" s="20">
        <f>IF(B66="","",COUNTIFS('سجل التحفيز'!$B$5:$B$2004,B66,'سجل التحفيز'!$R$5:$R$2004,الإعدادات!$B$4,'سجل التحفيز'!$Q$5:$Q$2004,"الفصل الثاني",'سجل التحفيز'!$D$5:$D$2004,"ذهبي"))</f>
        <v/>
      </c>
      <c r="K66" s="20">
        <f>IF(B66="","",COUNTIFS('سجل التحفيز'!$B$5:$B$2004,B66,'سجل التحفيز'!$R$5:$R$2004,الإعدادات!$B$4,'سجل التحفيز'!$D$5:$D$2004,"ذهبي"))</f>
        <v/>
      </c>
      <c r="L66" s="20">
        <f>IF(B66="","",IF(G66="محرومة","محرومة - مخالفة",IF(K66&gt;=5,"مستحقة ★","متبقي "&amp;(5-K66)&amp;" معايير")))</f>
        <v/>
      </c>
      <c r="N66">
        <f>IF(B66="","",IF(COUNTIFS('سجل التحفيز'!$T$5:$T$2004,"&gt;0",'سجل التحفيز'!$B$5:$B$2004,B66)&gt;0,COUNT(N$4:N65)+1,""))</f>
        <v/>
      </c>
      <c r="O66">
        <f>IF(B66="","",IF(COUNTIFS('سجل التحفيز'!$U$5:$U$2004,"&gt;0",'سجل التحفيز'!$B$5:$B$2004,B66)&gt;0,COUNT(O$4:O65)+1,""))</f>
        <v/>
      </c>
      <c r="P66">
        <f>IF(B66="","",IF(COUNTIFS('سجل التحفيز'!$V$5:$V$2004,"&gt;0",'سجل التحفيز'!$B$5:$B$2004,B66)&gt;0,COUNT(P$4:P65)+1,""))</f>
        <v/>
      </c>
      <c r="Q66">
        <f>IF(B66="","",IF(COUNTIFS('سجل التحفيز'!$W$5:$W$2004,"&gt;0",'سجل التحفيز'!$B$5:$B$2004,B66)&gt;0,COUNT(Q$4:Q65)+1,""))</f>
        <v/>
      </c>
      <c r="R66">
        <f>IF(B66="","",IF(COUNTIFS('سجل التحفيز'!$X$5:$X$2004,"&gt;0",'سجل التحفيز'!$B$5:$B$2004,B66)&gt;0,COUNT(R$4:R65)+1,""))</f>
        <v/>
      </c>
      <c r="S66">
        <f>IF(B66="","",IF(COUNTIFS('سجل التحفيز'!$Y$5:$Y$2004,"&gt;0",'سجل التحفيز'!$B$5:$B$2004,B66)&gt;0,COUNT(S$4:S65)+1,""))</f>
        <v/>
      </c>
      <c r="T66">
        <f>IF(B66="","",IF(COUNTIFS('سجل التحفيز'!$Z$5:$Z$2004,"&gt;0",'سجل التحفيز'!$B$5:$B$2004,B66)&gt;0,COUNT(T$4:T65)+1,""))</f>
        <v/>
      </c>
      <c r="U66">
        <f>IF(B66="","",IF(COUNTIFS('سجل التحفيز'!$AA$5:$AA$2004,"&gt;0",'سجل التحفيز'!$B$5:$B$2004,B66)&gt;0,COUNT(U$4:U65)+1,""))</f>
        <v/>
      </c>
      <c r="V66">
        <f>IF(B66="","",IF(COUNTIFS('سجل التحفيز'!$AB$5:$AB$2004,"&gt;0",'سجل التحفيز'!$B$5:$B$2004,B66)&gt;0,COUNT(V$4:V65)+1,""))</f>
        <v/>
      </c>
      <c r="W66">
        <f>IF(B66="","",IF(COUNTIFS('سجل التحفيز'!$AC$5:$AC$2004,"&gt;0",'سجل التحفيز'!$B$5:$B$2004,B66)&gt;0,COUNT(W$4:W65)+1,""))</f>
        <v/>
      </c>
      <c r="X66">
        <f>IF(B66="","",IF(COUNTIFS('سجل التحفيز'!$AD$5:$AD$2004,"&gt;0",'سجل التحفيز'!$B$5:$B$2004,B66)&gt;0,COUNT(X$4:X65)+1,""))</f>
        <v/>
      </c>
      <c r="Y66">
        <f>IF(B66="","",IF(COUNTIFS('سجل التحفيز'!$AE$5:$AE$2004,"&gt;0",'سجل التحفيز'!$B$5:$B$2004,B66)&gt;0,COUNT(Y$4:Y65)+1,""))</f>
        <v/>
      </c>
    </row>
    <row r="67">
      <c r="A67" s="17" t="n"/>
      <c r="B67" s="17" t="n"/>
      <c r="C67" s="17" t="n"/>
      <c r="D67" s="17" t="n"/>
      <c r="E67" s="17" t="n"/>
      <c r="F67" s="17" t="n"/>
      <c r="G67" s="17" t="n"/>
      <c r="H67" s="20">
        <f>IF(B67="","",COUNTIFS('سجل التحفيز'!$B$5:$B$2004,B67,'سجل التحفيز'!$R$5:$R$2004,الإعدادات!$B$4))</f>
        <v/>
      </c>
      <c r="I67" s="20">
        <f>IF(B67="","",COUNTIFS('سجل التحفيز'!$B$5:$B$2004,B67,'سجل التحفيز'!$R$5:$R$2004,الإعدادات!$B$4,'سجل التحفيز'!$Q$5:$Q$2004,"الفصل الأول",'سجل التحفيز'!$D$5:$D$2004,"ذهبي"))</f>
        <v/>
      </c>
      <c r="J67" s="20">
        <f>IF(B67="","",COUNTIFS('سجل التحفيز'!$B$5:$B$2004,B67,'سجل التحفيز'!$R$5:$R$2004,الإعدادات!$B$4,'سجل التحفيز'!$Q$5:$Q$2004,"الفصل الثاني",'سجل التحفيز'!$D$5:$D$2004,"ذهبي"))</f>
        <v/>
      </c>
      <c r="K67" s="20">
        <f>IF(B67="","",COUNTIFS('سجل التحفيز'!$B$5:$B$2004,B67,'سجل التحفيز'!$R$5:$R$2004,الإعدادات!$B$4,'سجل التحفيز'!$D$5:$D$2004,"ذهبي"))</f>
        <v/>
      </c>
      <c r="L67" s="20">
        <f>IF(B67="","",IF(G67="محرومة","محرومة - مخالفة",IF(K67&gt;=5,"مستحقة ★","متبقي "&amp;(5-K67)&amp;" معايير")))</f>
        <v/>
      </c>
      <c r="N67">
        <f>IF(B67="","",IF(COUNTIFS('سجل التحفيز'!$T$5:$T$2004,"&gt;0",'سجل التحفيز'!$B$5:$B$2004,B67)&gt;0,COUNT(N$4:N66)+1,""))</f>
        <v/>
      </c>
      <c r="O67">
        <f>IF(B67="","",IF(COUNTIFS('سجل التحفيز'!$U$5:$U$2004,"&gt;0",'سجل التحفيز'!$B$5:$B$2004,B67)&gt;0,COUNT(O$4:O66)+1,""))</f>
        <v/>
      </c>
      <c r="P67">
        <f>IF(B67="","",IF(COUNTIFS('سجل التحفيز'!$V$5:$V$2004,"&gt;0",'سجل التحفيز'!$B$5:$B$2004,B67)&gt;0,COUNT(P$4:P66)+1,""))</f>
        <v/>
      </c>
      <c r="Q67">
        <f>IF(B67="","",IF(COUNTIFS('سجل التحفيز'!$W$5:$W$2004,"&gt;0",'سجل التحفيز'!$B$5:$B$2004,B67)&gt;0,COUNT(Q$4:Q66)+1,""))</f>
        <v/>
      </c>
      <c r="R67">
        <f>IF(B67="","",IF(COUNTIFS('سجل التحفيز'!$X$5:$X$2004,"&gt;0",'سجل التحفيز'!$B$5:$B$2004,B67)&gt;0,COUNT(R$4:R66)+1,""))</f>
        <v/>
      </c>
      <c r="S67">
        <f>IF(B67="","",IF(COUNTIFS('سجل التحفيز'!$Y$5:$Y$2004,"&gt;0",'سجل التحفيز'!$B$5:$B$2004,B67)&gt;0,COUNT(S$4:S66)+1,""))</f>
        <v/>
      </c>
      <c r="T67">
        <f>IF(B67="","",IF(COUNTIFS('سجل التحفيز'!$Z$5:$Z$2004,"&gt;0",'سجل التحفيز'!$B$5:$B$2004,B67)&gt;0,COUNT(T$4:T66)+1,""))</f>
        <v/>
      </c>
      <c r="U67">
        <f>IF(B67="","",IF(COUNTIFS('سجل التحفيز'!$AA$5:$AA$2004,"&gt;0",'سجل التحفيز'!$B$5:$B$2004,B67)&gt;0,COUNT(U$4:U66)+1,""))</f>
        <v/>
      </c>
      <c r="V67">
        <f>IF(B67="","",IF(COUNTIFS('سجل التحفيز'!$AB$5:$AB$2004,"&gt;0",'سجل التحفيز'!$B$5:$B$2004,B67)&gt;0,COUNT(V$4:V66)+1,""))</f>
        <v/>
      </c>
      <c r="W67">
        <f>IF(B67="","",IF(COUNTIFS('سجل التحفيز'!$AC$5:$AC$2004,"&gt;0",'سجل التحفيز'!$B$5:$B$2004,B67)&gt;0,COUNT(W$4:W66)+1,""))</f>
        <v/>
      </c>
      <c r="X67">
        <f>IF(B67="","",IF(COUNTIFS('سجل التحفيز'!$AD$5:$AD$2004,"&gt;0",'سجل التحفيز'!$B$5:$B$2004,B67)&gt;0,COUNT(X$4:X66)+1,""))</f>
        <v/>
      </c>
      <c r="Y67">
        <f>IF(B67="","",IF(COUNTIFS('سجل التحفيز'!$AE$5:$AE$2004,"&gt;0",'سجل التحفيز'!$B$5:$B$2004,B67)&gt;0,COUNT(Y$4:Y66)+1,""))</f>
        <v/>
      </c>
    </row>
    <row r="68">
      <c r="A68" s="17" t="n"/>
      <c r="B68" s="17" t="n"/>
      <c r="C68" s="17" t="n"/>
      <c r="D68" s="17" t="n"/>
      <c r="E68" s="17" t="n"/>
      <c r="F68" s="17" t="n"/>
      <c r="G68" s="17" t="n"/>
      <c r="H68" s="20">
        <f>IF(B68="","",COUNTIFS('سجل التحفيز'!$B$5:$B$2004,B68,'سجل التحفيز'!$R$5:$R$2004,الإعدادات!$B$4))</f>
        <v/>
      </c>
      <c r="I68" s="20">
        <f>IF(B68="","",COUNTIFS('سجل التحفيز'!$B$5:$B$2004,B68,'سجل التحفيز'!$R$5:$R$2004,الإعدادات!$B$4,'سجل التحفيز'!$Q$5:$Q$2004,"الفصل الأول",'سجل التحفيز'!$D$5:$D$2004,"ذهبي"))</f>
        <v/>
      </c>
      <c r="J68" s="20">
        <f>IF(B68="","",COUNTIFS('سجل التحفيز'!$B$5:$B$2004,B68,'سجل التحفيز'!$R$5:$R$2004,الإعدادات!$B$4,'سجل التحفيز'!$Q$5:$Q$2004,"الفصل الثاني",'سجل التحفيز'!$D$5:$D$2004,"ذهبي"))</f>
        <v/>
      </c>
      <c r="K68" s="20">
        <f>IF(B68="","",COUNTIFS('سجل التحفيز'!$B$5:$B$2004,B68,'سجل التحفيز'!$R$5:$R$2004,الإعدادات!$B$4,'سجل التحفيز'!$D$5:$D$2004,"ذهبي"))</f>
        <v/>
      </c>
      <c r="L68" s="20">
        <f>IF(B68="","",IF(G68="محرومة","محرومة - مخالفة",IF(K68&gt;=5,"مستحقة ★","متبقي "&amp;(5-K68)&amp;" معايير")))</f>
        <v/>
      </c>
      <c r="N68">
        <f>IF(B68="","",IF(COUNTIFS('سجل التحفيز'!$T$5:$T$2004,"&gt;0",'سجل التحفيز'!$B$5:$B$2004,B68)&gt;0,COUNT(N$4:N67)+1,""))</f>
        <v/>
      </c>
      <c r="O68">
        <f>IF(B68="","",IF(COUNTIFS('سجل التحفيز'!$U$5:$U$2004,"&gt;0",'سجل التحفيز'!$B$5:$B$2004,B68)&gt;0,COUNT(O$4:O67)+1,""))</f>
        <v/>
      </c>
      <c r="P68">
        <f>IF(B68="","",IF(COUNTIFS('سجل التحفيز'!$V$5:$V$2004,"&gt;0",'سجل التحفيز'!$B$5:$B$2004,B68)&gt;0,COUNT(P$4:P67)+1,""))</f>
        <v/>
      </c>
      <c r="Q68">
        <f>IF(B68="","",IF(COUNTIFS('سجل التحفيز'!$W$5:$W$2004,"&gt;0",'سجل التحفيز'!$B$5:$B$2004,B68)&gt;0,COUNT(Q$4:Q67)+1,""))</f>
        <v/>
      </c>
      <c r="R68">
        <f>IF(B68="","",IF(COUNTIFS('سجل التحفيز'!$X$5:$X$2004,"&gt;0",'سجل التحفيز'!$B$5:$B$2004,B68)&gt;0,COUNT(R$4:R67)+1,""))</f>
        <v/>
      </c>
      <c r="S68">
        <f>IF(B68="","",IF(COUNTIFS('سجل التحفيز'!$Y$5:$Y$2004,"&gt;0",'سجل التحفيز'!$B$5:$B$2004,B68)&gt;0,COUNT(S$4:S67)+1,""))</f>
        <v/>
      </c>
      <c r="T68">
        <f>IF(B68="","",IF(COUNTIFS('سجل التحفيز'!$Z$5:$Z$2004,"&gt;0",'سجل التحفيز'!$B$5:$B$2004,B68)&gt;0,COUNT(T$4:T67)+1,""))</f>
        <v/>
      </c>
      <c r="U68">
        <f>IF(B68="","",IF(COUNTIFS('سجل التحفيز'!$AA$5:$AA$2004,"&gt;0",'سجل التحفيز'!$B$5:$B$2004,B68)&gt;0,COUNT(U$4:U67)+1,""))</f>
        <v/>
      </c>
      <c r="V68">
        <f>IF(B68="","",IF(COUNTIFS('سجل التحفيز'!$AB$5:$AB$2004,"&gt;0",'سجل التحفيز'!$B$5:$B$2004,B68)&gt;0,COUNT(V$4:V67)+1,""))</f>
        <v/>
      </c>
      <c r="W68">
        <f>IF(B68="","",IF(COUNTIFS('سجل التحفيز'!$AC$5:$AC$2004,"&gt;0",'سجل التحفيز'!$B$5:$B$2004,B68)&gt;0,COUNT(W$4:W67)+1,""))</f>
        <v/>
      </c>
      <c r="X68">
        <f>IF(B68="","",IF(COUNTIFS('سجل التحفيز'!$AD$5:$AD$2004,"&gt;0",'سجل التحفيز'!$B$5:$B$2004,B68)&gt;0,COUNT(X$4:X67)+1,""))</f>
        <v/>
      </c>
      <c r="Y68">
        <f>IF(B68="","",IF(COUNTIFS('سجل التحفيز'!$AE$5:$AE$2004,"&gt;0",'سجل التحفيز'!$B$5:$B$2004,B68)&gt;0,COUNT(Y$4:Y67)+1,""))</f>
        <v/>
      </c>
    </row>
    <row r="69">
      <c r="A69" s="17" t="n"/>
      <c r="B69" s="17" t="n"/>
      <c r="C69" s="17" t="n"/>
      <c r="D69" s="17" t="n"/>
      <c r="E69" s="17" t="n"/>
      <c r="F69" s="17" t="n"/>
      <c r="G69" s="17" t="n"/>
      <c r="H69" s="20">
        <f>IF(B69="","",COUNTIFS('سجل التحفيز'!$B$5:$B$2004,B69,'سجل التحفيز'!$R$5:$R$2004,الإعدادات!$B$4))</f>
        <v/>
      </c>
      <c r="I69" s="20">
        <f>IF(B69="","",COUNTIFS('سجل التحفيز'!$B$5:$B$2004,B69,'سجل التحفيز'!$R$5:$R$2004,الإعدادات!$B$4,'سجل التحفيز'!$Q$5:$Q$2004,"الفصل الأول",'سجل التحفيز'!$D$5:$D$2004,"ذهبي"))</f>
        <v/>
      </c>
      <c r="J69" s="20">
        <f>IF(B69="","",COUNTIFS('سجل التحفيز'!$B$5:$B$2004,B69,'سجل التحفيز'!$R$5:$R$2004,الإعدادات!$B$4,'سجل التحفيز'!$Q$5:$Q$2004,"الفصل الثاني",'سجل التحفيز'!$D$5:$D$2004,"ذهبي"))</f>
        <v/>
      </c>
      <c r="K69" s="20">
        <f>IF(B69="","",COUNTIFS('سجل التحفيز'!$B$5:$B$2004,B69,'سجل التحفيز'!$R$5:$R$2004,الإعدادات!$B$4,'سجل التحفيز'!$D$5:$D$2004,"ذهبي"))</f>
        <v/>
      </c>
      <c r="L69" s="20">
        <f>IF(B69="","",IF(G69="محرومة","محرومة - مخالفة",IF(K69&gt;=5,"مستحقة ★","متبقي "&amp;(5-K69)&amp;" معايير")))</f>
        <v/>
      </c>
      <c r="N69">
        <f>IF(B69="","",IF(COUNTIFS('سجل التحفيز'!$T$5:$T$2004,"&gt;0",'سجل التحفيز'!$B$5:$B$2004,B69)&gt;0,COUNT(N$4:N68)+1,""))</f>
        <v/>
      </c>
      <c r="O69">
        <f>IF(B69="","",IF(COUNTIFS('سجل التحفيز'!$U$5:$U$2004,"&gt;0",'سجل التحفيز'!$B$5:$B$2004,B69)&gt;0,COUNT(O$4:O68)+1,""))</f>
        <v/>
      </c>
      <c r="P69">
        <f>IF(B69="","",IF(COUNTIFS('سجل التحفيز'!$V$5:$V$2004,"&gt;0",'سجل التحفيز'!$B$5:$B$2004,B69)&gt;0,COUNT(P$4:P68)+1,""))</f>
        <v/>
      </c>
      <c r="Q69">
        <f>IF(B69="","",IF(COUNTIFS('سجل التحفيز'!$W$5:$W$2004,"&gt;0",'سجل التحفيز'!$B$5:$B$2004,B69)&gt;0,COUNT(Q$4:Q68)+1,""))</f>
        <v/>
      </c>
      <c r="R69">
        <f>IF(B69="","",IF(COUNTIFS('سجل التحفيز'!$X$5:$X$2004,"&gt;0",'سجل التحفيز'!$B$5:$B$2004,B69)&gt;0,COUNT(R$4:R68)+1,""))</f>
        <v/>
      </c>
      <c r="S69">
        <f>IF(B69="","",IF(COUNTIFS('سجل التحفيز'!$Y$5:$Y$2004,"&gt;0",'سجل التحفيز'!$B$5:$B$2004,B69)&gt;0,COUNT(S$4:S68)+1,""))</f>
        <v/>
      </c>
      <c r="T69">
        <f>IF(B69="","",IF(COUNTIFS('سجل التحفيز'!$Z$5:$Z$2004,"&gt;0",'سجل التحفيز'!$B$5:$B$2004,B69)&gt;0,COUNT(T$4:T68)+1,""))</f>
        <v/>
      </c>
      <c r="U69">
        <f>IF(B69="","",IF(COUNTIFS('سجل التحفيز'!$AA$5:$AA$2004,"&gt;0",'سجل التحفيز'!$B$5:$B$2004,B69)&gt;0,COUNT(U$4:U68)+1,""))</f>
        <v/>
      </c>
      <c r="V69">
        <f>IF(B69="","",IF(COUNTIFS('سجل التحفيز'!$AB$5:$AB$2004,"&gt;0",'سجل التحفيز'!$B$5:$B$2004,B69)&gt;0,COUNT(V$4:V68)+1,""))</f>
        <v/>
      </c>
      <c r="W69">
        <f>IF(B69="","",IF(COUNTIFS('سجل التحفيز'!$AC$5:$AC$2004,"&gt;0",'سجل التحفيز'!$B$5:$B$2004,B69)&gt;0,COUNT(W$4:W68)+1,""))</f>
        <v/>
      </c>
      <c r="X69">
        <f>IF(B69="","",IF(COUNTIFS('سجل التحفيز'!$AD$5:$AD$2004,"&gt;0",'سجل التحفيز'!$B$5:$B$2004,B69)&gt;0,COUNT(X$4:X68)+1,""))</f>
        <v/>
      </c>
      <c r="Y69">
        <f>IF(B69="","",IF(COUNTIFS('سجل التحفيز'!$AE$5:$AE$2004,"&gt;0",'سجل التحفيز'!$B$5:$B$2004,B69)&gt;0,COUNT(Y$4:Y68)+1,""))</f>
        <v/>
      </c>
    </row>
    <row r="70">
      <c r="A70" s="17" t="n"/>
      <c r="B70" s="17" t="n"/>
      <c r="C70" s="17" t="n"/>
      <c r="D70" s="17" t="n"/>
      <c r="E70" s="17" t="n"/>
      <c r="F70" s="17" t="n"/>
      <c r="G70" s="17" t="n"/>
      <c r="H70" s="20">
        <f>IF(B70="","",COUNTIFS('سجل التحفيز'!$B$5:$B$2004,B70,'سجل التحفيز'!$R$5:$R$2004,الإعدادات!$B$4))</f>
        <v/>
      </c>
      <c r="I70" s="20">
        <f>IF(B70="","",COUNTIFS('سجل التحفيز'!$B$5:$B$2004,B70,'سجل التحفيز'!$R$5:$R$2004,الإعدادات!$B$4,'سجل التحفيز'!$Q$5:$Q$2004,"الفصل الأول",'سجل التحفيز'!$D$5:$D$2004,"ذهبي"))</f>
        <v/>
      </c>
      <c r="J70" s="20">
        <f>IF(B70="","",COUNTIFS('سجل التحفيز'!$B$5:$B$2004,B70,'سجل التحفيز'!$R$5:$R$2004,الإعدادات!$B$4,'سجل التحفيز'!$Q$5:$Q$2004,"الفصل الثاني",'سجل التحفيز'!$D$5:$D$2004,"ذهبي"))</f>
        <v/>
      </c>
      <c r="K70" s="20">
        <f>IF(B70="","",COUNTIFS('سجل التحفيز'!$B$5:$B$2004,B70,'سجل التحفيز'!$R$5:$R$2004,الإعدادات!$B$4,'سجل التحفيز'!$D$5:$D$2004,"ذهبي"))</f>
        <v/>
      </c>
      <c r="L70" s="20">
        <f>IF(B70="","",IF(G70="محرومة","محرومة - مخالفة",IF(K70&gt;=5,"مستحقة ★","متبقي "&amp;(5-K70)&amp;" معايير")))</f>
        <v/>
      </c>
      <c r="N70">
        <f>IF(B70="","",IF(COUNTIFS('سجل التحفيز'!$T$5:$T$2004,"&gt;0",'سجل التحفيز'!$B$5:$B$2004,B70)&gt;0,COUNT(N$4:N69)+1,""))</f>
        <v/>
      </c>
      <c r="O70">
        <f>IF(B70="","",IF(COUNTIFS('سجل التحفيز'!$U$5:$U$2004,"&gt;0",'سجل التحفيز'!$B$5:$B$2004,B70)&gt;0,COUNT(O$4:O69)+1,""))</f>
        <v/>
      </c>
      <c r="P70">
        <f>IF(B70="","",IF(COUNTIFS('سجل التحفيز'!$V$5:$V$2004,"&gt;0",'سجل التحفيز'!$B$5:$B$2004,B70)&gt;0,COUNT(P$4:P69)+1,""))</f>
        <v/>
      </c>
      <c r="Q70">
        <f>IF(B70="","",IF(COUNTIFS('سجل التحفيز'!$W$5:$W$2004,"&gt;0",'سجل التحفيز'!$B$5:$B$2004,B70)&gt;0,COUNT(Q$4:Q69)+1,""))</f>
        <v/>
      </c>
      <c r="R70">
        <f>IF(B70="","",IF(COUNTIFS('سجل التحفيز'!$X$5:$X$2004,"&gt;0",'سجل التحفيز'!$B$5:$B$2004,B70)&gt;0,COUNT(R$4:R69)+1,""))</f>
        <v/>
      </c>
      <c r="S70">
        <f>IF(B70="","",IF(COUNTIFS('سجل التحفيز'!$Y$5:$Y$2004,"&gt;0",'سجل التحفيز'!$B$5:$B$2004,B70)&gt;0,COUNT(S$4:S69)+1,""))</f>
        <v/>
      </c>
      <c r="T70">
        <f>IF(B70="","",IF(COUNTIFS('سجل التحفيز'!$Z$5:$Z$2004,"&gt;0",'سجل التحفيز'!$B$5:$B$2004,B70)&gt;0,COUNT(T$4:T69)+1,""))</f>
        <v/>
      </c>
      <c r="U70">
        <f>IF(B70="","",IF(COUNTIFS('سجل التحفيز'!$AA$5:$AA$2004,"&gt;0",'سجل التحفيز'!$B$5:$B$2004,B70)&gt;0,COUNT(U$4:U69)+1,""))</f>
        <v/>
      </c>
      <c r="V70">
        <f>IF(B70="","",IF(COUNTIFS('سجل التحفيز'!$AB$5:$AB$2004,"&gt;0",'سجل التحفيز'!$B$5:$B$2004,B70)&gt;0,COUNT(V$4:V69)+1,""))</f>
        <v/>
      </c>
      <c r="W70">
        <f>IF(B70="","",IF(COUNTIFS('سجل التحفيز'!$AC$5:$AC$2004,"&gt;0",'سجل التحفيز'!$B$5:$B$2004,B70)&gt;0,COUNT(W$4:W69)+1,""))</f>
        <v/>
      </c>
      <c r="X70">
        <f>IF(B70="","",IF(COUNTIFS('سجل التحفيز'!$AD$5:$AD$2004,"&gt;0",'سجل التحفيز'!$B$5:$B$2004,B70)&gt;0,COUNT(X$4:X69)+1,""))</f>
        <v/>
      </c>
      <c r="Y70">
        <f>IF(B70="","",IF(COUNTIFS('سجل التحفيز'!$AE$5:$AE$2004,"&gt;0",'سجل التحفيز'!$B$5:$B$2004,B70)&gt;0,COUNT(Y$4:Y69)+1,""))</f>
        <v/>
      </c>
    </row>
    <row r="71">
      <c r="A71" s="17" t="n"/>
      <c r="B71" s="17" t="n"/>
      <c r="C71" s="17" t="n"/>
      <c r="D71" s="17" t="n"/>
      <c r="E71" s="17" t="n"/>
      <c r="F71" s="17" t="n"/>
      <c r="G71" s="17" t="n"/>
      <c r="H71" s="20">
        <f>IF(B71="","",COUNTIFS('سجل التحفيز'!$B$5:$B$2004,B71,'سجل التحفيز'!$R$5:$R$2004,الإعدادات!$B$4))</f>
        <v/>
      </c>
      <c r="I71" s="20">
        <f>IF(B71="","",COUNTIFS('سجل التحفيز'!$B$5:$B$2004,B71,'سجل التحفيز'!$R$5:$R$2004,الإعدادات!$B$4,'سجل التحفيز'!$Q$5:$Q$2004,"الفصل الأول",'سجل التحفيز'!$D$5:$D$2004,"ذهبي"))</f>
        <v/>
      </c>
      <c r="J71" s="20">
        <f>IF(B71="","",COUNTIFS('سجل التحفيز'!$B$5:$B$2004,B71,'سجل التحفيز'!$R$5:$R$2004,الإعدادات!$B$4,'سجل التحفيز'!$Q$5:$Q$2004,"الفصل الثاني",'سجل التحفيز'!$D$5:$D$2004,"ذهبي"))</f>
        <v/>
      </c>
      <c r="K71" s="20">
        <f>IF(B71="","",COUNTIFS('سجل التحفيز'!$B$5:$B$2004,B71,'سجل التحفيز'!$R$5:$R$2004,الإعدادات!$B$4,'سجل التحفيز'!$D$5:$D$2004,"ذهبي"))</f>
        <v/>
      </c>
      <c r="L71" s="20">
        <f>IF(B71="","",IF(G71="محرومة","محرومة - مخالفة",IF(K71&gt;=5,"مستحقة ★","متبقي "&amp;(5-K71)&amp;" معايير")))</f>
        <v/>
      </c>
      <c r="N71">
        <f>IF(B71="","",IF(COUNTIFS('سجل التحفيز'!$T$5:$T$2004,"&gt;0",'سجل التحفيز'!$B$5:$B$2004,B71)&gt;0,COUNT(N$4:N70)+1,""))</f>
        <v/>
      </c>
      <c r="O71">
        <f>IF(B71="","",IF(COUNTIFS('سجل التحفيز'!$U$5:$U$2004,"&gt;0",'سجل التحفيز'!$B$5:$B$2004,B71)&gt;0,COUNT(O$4:O70)+1,""))</f>
        <v/>
      </c>
      <c r="P71">
        <f>IF(B71="","",IF(COUNTIFS('سجل التحفيز'!$V$5:$V$2004,"&gt;0",'سجل التحفيز'!$B$5:$B$2004,B71)&gt;0,COUNT(P$4:P70)+1,""))</f>
        <v/>
      </c>
      <c r="Q71">
        <f>IF(B71="","",IF(COUNTIFS('سجل التحفيز'!$W$5:$W$2004,"&gt;0",'سجل التحفيز'!$B$5:$B$2004,B71)&gt;0,COUNT(Q$4:Q70)+1,""))</f>
        <v/>
      </c>
      <c r="R71">
        <f>IF(B71="","",IF(COUNTIFS('سجل التحفيز'!$X$5:$X$2004,"&gt;0",'سجل التحفيز'!$B$5:$B$2004,B71)&gt;0,COUNT(R$4:R70)+1,""))</f>
        <v/>
      </c>
      <c r="S71">
        <f>IF(B71="","",IF(COUNTIFS('سجل التحفيز'!$Y$5:$Y$2004,"&gt;0",'سجل التحفيز'!$B$5:$B$2004,B71)&gt;0,COUNT(S$4:S70)+1,""))</f>
        <v/>
      </c>
      <c r="T71">
        <f>IF(B71="","",IF(COUNTIFS('سجل التحفيز'!$Z$5:$Z$2004,"&gt;0",'سجل التحفيز'!$B$5:$B$2004,B71)&gt;0,COUNT(T$4:T70)+1,""))</f>
        <v/>
      </c>
      <c r="U71">
        <f>IF(B71="","",IF(COUNTIFS('سجل التحفيز'!$AA$5:$AA$2004,"&gt;0",'سجل التحفيز'!$B$5:$B$2004,B71)&gt;0,COUNT(U$4:U70)+1,""))</f>
        <v/>
      </c>
      <c r="V71">
        <f>IF(B71="","",IF(COUNTIFS('سجل التحفيز'!$AB$5:$AB$2004,"&gt;0",'سجل التحفيز'!$B$5:$B$2004,B71)&gt;0,COUNT(V$4:V70)+1,""))</f>
        <v/>
      </c>
      <c r="W71">
        <f>IF(B71="","",IF(COUNTIFS('سجل التحفيز'!$AC$5:$AC$2004,"&gt;0",'سجل التحفيز'!$B$5:$B$2004,B71)&gt;0,COUNT(W$4:W70)+1,""))</f>
        <v/>
      </c>
      <c r="X71">
        <f>IF(B71="","",IF(COUNTIFS('سجل التحفيز'!$AD$5:$AD$2004,"&gt;0",'سجل التحفيز'!$B$5:$B$2004,B71)&gt;0,COUNT(X$4:X70)+1,""))</f>
        <v/>
      </c>
      <c r="Y71">
        <f>IF(B71="","",IF(COUNTIFS('سجل التحفيز'!$AE$5:$AE$2004,"&gt;0",'سجل التحفيز'!$B$5:$B$2004,B71)&gt;0,COUNT(Y$4:Y70)+1,""))</f>
        <v/>
      </c>
    </row>
    <row r="72">
      <c r="A72" s="17" t="n"/>
      <c r="B72" s="17" t="n"/>
      <c r="C72" s="17" t="n"/>
      <c r="D72" s="17" t="n"/>
      <c r="E72" s="17" t="n"/>
      <c r="F72" s="17" t="n"/>
      <c r="G72" s="17" t="n"/>
      <c r="H72" s="20">
        <f>IF(B72="","",COUNTIFS('سجل التحفيز'!$B$5:$B$2004,B72,'سجل التحفيز'!$R$5:$R$2004,الإعدادات!$B$4))</f>
        <v/>
      </c>
      <c r="I72" s="20">
        <f>IF(B72="","",COUNTIFS('سجل التحفيز'!$B$5:$B$2004,B72,'سجل التحفيز'!$R$5:$R$2004,الإعدادات!$B$4,'سجل التحفيز'!$Q$5:$Q$2004,"الفصل الأول",'سجل التحفيز'!$D$5:$D$2004,"ذهبي"))</f>
        <v/>
      </c>
      <c r="J72" s="20">
        <f>IF(B72="","",COUNTIFS('سجل التحفيز'!$B$5:$B$2004,B72,'سجل التحفيز'!$R$5:$R$2004,الإعدادات!$B$4,'سجل التحفيز'!$Q$5:$Q$2004,"الفصل الثاني",'سجل التحفيز'!$D$5:$D$2004,"ذهبي"))</f>
        <v/>
      </c>
      <c r="K72" s="20">
        <f>IF(B72="","",COUNTIFS('سجل التحفيز'!$B$5:$B$2004,B72,'سجل التحفيز'!$R$5:$R$2004,الإعدادات!$B$4,'سجل التحفيز'!$D$5:$D$2004,"ذهبي"))</f>
        <v/>
      </c>
      <c r="L72" s="20">
        <f>IF(B72="","",IF(G72="محرومة","محرومة - مخالفة",IF(K72&gt;=5,"مستحقة ★","متبقي "&amp;(5-K72)&amp;" معايير")))</f>
        <v/>
      </c>
      <c r="N72">
        <f>IF(B72="","",IF(COUNTIFS('سجل التحفيز'!$T$5:$T$2004,"&gt;0",'سجل التحفيز'!$B$5:$B$2004,B72)&gt;0,COUNT(N$4:N71)+1,""))</f>
        <v/>
      </c>
      <c r="O72">
        <f>IF(B72="","",IF(COUNTIFS('سجل التحفيز'!$U$5:$U$2004,"&gt;0",'سجل التحفيز'!$B$5:$B$2004,B72)&gt;0,COUNT(O$4:O71)+1,""))</f>
        <v/>
      </c>
      <c r="P72">
        <f>IF(B72="","",IF(COUNTIFS('سجل التحفيز'!$V$5:$V$2004,"&gt;0",'سجل التحفيز'!$B$5:$B$2004,B72)&gt;0,COUNT(P$4:P71)+1,""))</f>
        <v/>
      </c>
      <c r="Q72">
        <f>IF(B72="","",IF(COUNTIFS('سجل التحفيز'!$W$5:$W$2004,"&gt;0",'سجل التحفيز'!$B$5:$B$2004,B72)&gt;0,COUNT(Q$4:Q71)+1,""))</f>
        <v/>
      </c>
      <c r="R72">
        <f>IF(B72="","",IF(COUNTIFS('سجل التحفيز'!$X$5:$X$2004,"&gt;0",'سجل التحفيز'!$B$5:$B$2004,B72)&gt;0,COUNT(R$4:R71)+1,""))</f>
        <v/>
      </c>
      <c r="S72">
        <f>IF(B72="","",IF(COUNTIFS('سجل التحفيز'!$Y$5:$Y$2004,"&gt;0",'سجل التحفيز'!$B$5:$B$2004,B72)&gt;0,COUNT(S$4:S71)+1,""))</f>
        <v/>
      </c>
      <c r="T72">
        <f>IF(B72="","",IF(COUNTIFS('سجل التحفيز'!$Z$5:$Z$2004,"&gt;0",'سجل التحفيز'!$B$5:$B$2004,B72)&gt;0,COUNT(T$4:T71)+1,""))</f>
        <v/>
      </c>
      <c r="U72">
        <f>IF(B72="","",IF(COUNTIFS('سجل التحفيز'!$AA$5:$AA$2004,"&gt;0",'سجل التحفيز'!$B$5:$B$2004,B72)&gt;0,COUNT(U$4:U71)+1,""))</f>
        <v/>
      </c>
      <c r="V72">
        <f>IF(B72="","",IF(COUNTIFS('سجل التحفيز'!$AB$5:$AB$2004,"&gt;0",'سجل التحفيز'!$B$5:$B$2004,B72)&gt;0,COUNT(V$4:V71)+1,""))</f>
        <v/>
      </c>
      <c r="W72">
        <f>IF(B72="","",IF(COUNTIFS('سجل التحفيز'!$AC$5:$AC$2004,"&gt;0",'سجل التحفيز'!$B$5:$B$2004,B72)&gt;0,COUNT(W$4:W71)+1,""))</f>
        <v/>
      </c>
      <c r="X72">
        <f>IF(B72="","",IF(COUNTIFS('سجل التحفيز'!$AD$5:$AD$2004,"&gt;0",'سجل التحفيز'!$B$5:$B$2004,B72)&gt;0,COUNT(X$4:X71)+1,""))</f>
        <v/>
      </c>
      <c r="Y72">
        <f>IF(B72="","",IF(COUNTIFS('سجل التحفيز'!$AE$5:$AE$2004,"&gt;0",'سجل التحفيز'!$B$5:$B$2004,B72)&gt;0,COUNT(Y$4:Y71)+1,""))</f>
        <v/>
      </c>
    </row>
    <row r="73">
      <c r="A73" s="17" t="n"/>
      <c r="B73" s="17" t="n"/>
      <c r="C73" s="17" t="n"/>
      <c r="D73" s="17" t="n"/>
      <c r="E73" s="17" t="n"/>
      <c r="F73" s="17" t="n"/>
      <c r="G73" s="17" t="n"/>
      <c r="H73" s="20">
        <f>IF(B73="","",COUNTIFS('سجل التحفيز'!$B$5:$B$2004,B73,'سجل التحفيز'!$R$5:$R$2004,الإعدادات!$B$4))</f>
        <v/>
      </c>
      <c r="I73" s="20">
        <f>IF(B73="","",COUNTIFS('سجل التحفيز'!$B$5:$B$2004,B73,'سجل التحفيز'!$R$5:$R$2004,الإعدادات!$B$4,'سجل التحفيز'!$Q$5:$Q$2004,"الفصل الأول",'سجل التحفيز'!$D$5:$D$2004,"ذهبي"))</f>
        <v/>
      </c>
      <c r="J73" s="20">
        <f>IF(B73="","",COUNTIFS('سجل التحفيز'!$B$5:$B$2004,B73,'سجل التحفيز'!$R$5:$R$2004,الإعدادات!$B$4,'سجل التحفيز'!$Q$5:$Q$2004,"الفصل الثاني",'سجل التحفيز'!$D$5:$D$2004,"ذهبي"))</f>
        <v/>
      </c>
      <c r="K73" s="20">
        <f>IF(B73="","",COUNTIFS('سجل التحفيز'!$B$5:$B$2004,B73,'سجل التحفيز'!$R$5:$R$2004,الإعدادات!$B$4,'سجل التحفيز'!$D$5:$D$2004,"ذهبي"))</f>
        <v/>
      </c>
      <c r="L73" s="20">
        <f>IF(B73="","",IF(G73="محرومة","محرومة - مخالفة",IF(K73&gt;=5,"مستحقة ★","متبقي "&amp;(5-K73)&amp;" معايير")))</f>
        <v/>
      </c>
      <c r="N73">
        <f>IF(B73="","",IF(COUNTIFS('سجل التحفيز'!$T$5:$T$2004,"&gt;0",'سجل التحفيز'!$B$5:$B$2004,B73)&gt;0,COUNT(N$4:N72)+1,""))</f>
        <v/>
      </c>
      <c r="O73">
        <f>IF(B73="","",IF(COUNTIFS('سجل التحفيز'!$U$5:$U$2004,"&gt;0",'سجل التحفيز'!$B$5:$B$2004,B73)&gt;0,COUNT(O$4:O72)+1,""))</f>
        <v/>
      </c>
      <c r="P73">
        <f>IF(B73="","",IF(COUNTIFS('سجل التحفيز'!$V$5:$V$2004,"&gt;0",'سجل التحفيز'!$B$5:$B$2004,B73)&gt;0,COUNT(P$4:P72)+1,""))</f>
        <v/>
      </c>
      <c r="Q73">
        <f>IF(B73="","",IF(COUNTIFS('سجل التحفيز'!$W$5:$W$2004,"&gt;0",'سجل التحفيز'!$B$5:$B$2004,B73)&gt;0,COUNT(Q$4:Q72)+1,""))</f>
        <v/>
      </c>
      <c r="R73">
        <f>IF(B73="","",IF(COUNTIFS('سجل التحفيز'!$X$5:$X$2004,"&gt;0",'سجل التحفيز'!$B$5:$B$2004,B73)&gt;0,COUNT(R$4:R72)+1,""))</f>
        <v/>
      </c>
      <c r="S73">
        <f>IF(B73="","",IF(COUNTIFS('سجل التحفيز'!$Y$5:$Y$2004,"&gt;0",'سجل التحفيز'!$B$5:$B$2004,B73)&gt;0,COUNT(S$4:S72)+1,""))</f>
        <v/>
      </c>
      <c r="T73">
        <f>IF(B73="","",IF(COUNTIFS('سجل التحفيز'!$Z$5:$Z$2004,"&gt;0",'سجل التحفيز'!$B$5:$B$2004,B73)&gt;0,COUNT(T$4:T72)+1,""))</f>
        <v/>
      </c>
      <c r="U73">
        <f>IF(B73="","",IF(COUNTIFS('سجل التحفيز'!$AA$5:$AA$2004,"&gt;0",'سجل التحفيز'!$B$5:$B$2004,B73)&gt;0,COUNT(U$4:U72)+1,""))</f>
        <v/>
      </c>
      <c r="V73">
        <f>IF(B73="","",IF(COUNTIFS('سجل التحفيز'!$AB$5:$AB$2004,"&gt;0",'سجل التحفيز'!$B$5:$B$2004,B73)&gt;0,COUNT(V$4:V72)+1,""))</f>
        <v/>
      </c>
      <c r="W73">
        <f>IF(B73="","",IF(COUNTIFS('سجل التحفيز'!$AC$5:$AC$2004,"&gt;0",'سجل التحفيز'!$B$5:$B$2004,B73)&gt;0,COUNT(W$4:W72)+1,""))</f>
        <v/>
      </c>
      <c r="X73">
        <f>IF(B73="","",IF(COUNTIFS('سجل التحفيز'!$AD$5:$AD$2004,"&gt;0",'سجل التحفيز'!$B$5:$B$2004,B73)&gt;0,COUNT(X$4:X72)+1,""))</f>
        <v/>
      </c>
      <c r="Y73">
        <f>IF(B73="","",IF(COUNTIFS('سجل التحفيز'!$AE$5:$AE$2004,"&gt;0",'سجل التحفيز'!$B$5:$B$2004,B73)&gt;0,COUNT(Y$4:Y72)+1,""))</f>
        <v/>
      </c>
    </row>
    <row r="74">
      <c r="A74" s="17" t="n"/>
      <c r="B74" s="17" t="n"/>
      <c r="C74" s="17" t="n"/>
      <c r="D74" s="17" t="n"/>
      <c r="E74" s="17" t="n"/>
      <c r="F74" s="17" t="n"/>
      <c r="G74" s="17" t="n"/>
      <c r="H74" s="20">
        <f>IF(B74="","",COUNTIFS('سجل التحفيز'!$B$5:$B$2004,B74,'سجل التحفيز'!$R$5:$R$2004,الإعدادات!$B$4))</f>
        <v/>
      </c>
      <c r="I74" s="20">
        <f>IF(B74="","",COUNTIFS('سجل التحفيز'!$B$5:$B$2004,B74,'سجل التحفيز'!$R$5:$R$2004,الإعدادات!$B$4,'سجل التحفيز'!$Q$5:$Q$2004,"الفصل الأول",'سجل التحفيز'!$D$5:$D$2004,"ذهبي"))</f>
        <v/>
      </c>
      <c r="J74" s="20">
        <f>IF(B74="","",COUNTIFS('سجل التحفيز'!$B$5:$B$2004,B74,'سجل التحفيز'!$R$5:$R$2004,الإعدادات!$B$4,'سجل التحفيز'!$Q$5:$Q$2004,"الفصل الثاني",'سجل التحفيز'!$D$5:$D$2004,"ذهبي"))</f>
        <v/>
      </c>
      <c r="K74" s="20">
        <f>IF(B74="","",COUNTIFS('سجل التحفيز'!$B$5:$B$2004,B74,'سجل التحفيز'!$R$5:$R$2004,الإعدادات!$B$4,'سجل التحفيز'!$D$5:$D$2004,"ذهبي"))</f>
        <v/>
      </c>
      <c r="L74" s="20">
        <f>IF(B74="","",IF(G74="محرومة","محرومة - مخالفة",IF(K74&gt;=5,"مستحقة ★","متبقي "&amp;(5-K74)&amp;" معايير")))</f>
        <v/>
      </c>
      <c r="N74">
        <f>IF(B74="","",IF(COUNTIFS('سجل التحفيز'!$T$5:$T$2004,"&gt;0",'سجل التحفيز'!$B$5:$B$2004,B74)&gt;0,COUNT(N$4:N73)+1,""))</f>
        <v/>
      </c>
      <c r="O74">
        <f>IF(B74="","",IF(COUNTIFS('سجل التحفيز'!$U$5:$U$2004,"&gt;0",'سجل التحفيز'!$B$5:$B$2004,B74)&gt;0,COUNT(O$4:O73)+1,""))</f>
        <v/>
      </c>
      <c r="P74">
        <f>IF(B74="","",IF(COUNTIFS('سجل التحفيز'!$V$5:$V$2004,"&gt;0",'سجل التحفيز'!$B$5:$B$2004,B74)&gt;0,COUNT(P$4:P73)+1,""))</f>
        <v/>
      </c>
      <c r="Q74">
        <f>IF(B74="","",IF(COUNTIFS('سجل التحفيز'!$W$5:$W$2004,"&gt;0",'سجل التحفيز'!$B$5:$B$2004,B74)&gt;0,COUNT(Q$4:Q73)+1,""))</f>
        <v/>
      </c>
      <c r="R74">
        <f>IF(B74="","",IF(COUNTIFS('سجل التحفيز'!$X$5:$X$2004,"&gt;0",'سجل التحفيز'!$B$5:$B$2004,B74)&gt;0,COUNT(R$4:R73)+1,""))</f>
        <v/>
      </c>
      <c r="S74">
        <f>IF(B74="","",IF(COUNTIFS('سجل التحفيز'!$Y$5:$Y$2004,"&gt;0",'سجل التحفيز'!$B$5:$B$2004,B74)&gt;0,COUNT(S$4:S73)+1,""))</f>
        <v/>
      </c>
      <c r="T74">
        <f>IF(B74="","",IF(COUNTIFS('سجل التحفيز'!$Z$5:$Z$2004,"&gt;0",'سجل التحفيز'!$B$5:$B$2004,B74)&gt;0,COUNT(T$4:T73)+1,""))</f>
        <v/>
      </c>
      <c r="U74">
        <f>IF(B74="","",IF(COUNTIFS('سجل التحفيز'!$AA$5:$AA$2004,"&gt;0",'سجل التحفيز'!$B$5:$B$2004,B74)&gt;0,COUNT(U$4:U73)+1,""))</f>
        <v/>
      </c>
      <c r="V74">
        <f>IF(B74="","",IF(COUNTIFS('سجل التحفيز'!$AB$5:$AB$2004,"&gt;0",'سجل التحفيز'!$B$5:$B$2004,B74)&gt;0,COUNT(V$4:V73)+1,""))</f>
        <v/>
      </c>
      <c r="W74">
        <f>IF(B74="","",IF(COUNTIFS('سجل التحفيز'!$AC$5:$AC$2004,"&gt;0",'سجل التحفيز'!$B$5:$B$2004,B74)&gt;0,COUNT(W$4:W73)+1,""))</f>
        <v/>
      </c>
      <c r="X74">
        <f>IF(B74="","",IF(COUNTIFS('سجل التحفيز'!$AD$5:$AD$2004,"&gt;0",'سجل التحفيز'!$B$5:$B$2004,B74)&gt;0,COUNT(X$4:X73)+1,""))</f>
        <v/>
      </c>
      <c r="Y74">
        <f>IF(B74="","",IF(COUNTIFS('سجل التحفيز'!$AE$5:$AE$2004,"&gt;0",'سجل التحفيز'!$B$5:$B$2004,B74)&gt;0,COUNT(Y$4:Y73)+1,""))</f>
        <v/>
      </c>
    </row>
    <row r="75">
      <c r="A75" s="17" t="n"/>
      <c r="B75" s="17" t="n"/>
      <c r="C75" s="17" t="n"/>
      <c r="D75" s="17" t="n"/>
      <c r="E75" s="17" t="n"/>
      <c r="F75" s="17" t="n"/>
      <c r="G75" s="17" t="n"/>
      <c r="H75" s="20">
        <f>IF(B75="","",COUNTIFS('سجل التحفيز'!$B$5:$B$2004,B75,'سجل التحفيز'!$R$5:$R$2004,الإعدادات!$B$4))</f>
        <v/>
      </c>
      <c r="I75" s="20">
        <f>IF(B75="","",COUNTIFS('سجل التحفيز'!$B$5:$B$2004,B75,'سجل التحفيز'!$R$5:$R$2004,الإعدادات!$B$4,'سجل التحفيز'!$Q$5:$Q$2004,"الفصل الأول",'سجل التحفيز'!$D$5:$D$2004,"ذهبي"))</f>
        <v/>
      </c>
      <c r="J75" s="20">
        <f>IF(B75="","",COUNTIFS('سجل التحفيز'!$B$5:$B$2004,B75,'سجل التحفيز'!$R$5:$R$2004,الإعدادات!$B$4,'سجل التحفيز'!$Q$5:$Q$2004,"الفصل الثاني",'سجل التحفيز'!$D$5:$D$2004,"ذهبي"))</f>
        <v/>
      </c>
      <c r="K75" s="20">
        <f>IF(B75="","",COUNTIFS('سجل التحفيز'!$B$5:$B$2004,B75,'سجل التحفيز'!$R$5:$R$2004,الإعدادات!$B$4,'سجل التحفيز'!$D$5:$D$2004,"ذهبي"))</f>
        <v/>
      </c>
      <c r="L75" s="20">
        <f>IF(B75="","",IF(G75="محرومة","محرومة - مخالفة",IF(K75&gt;=5,"مستحقة ★","متبقي "&amp;(5-K75)&amp;" معايير")))</f>
        <v/>
      </c>
      <c r="N75">
        <f>IF(B75="","",IF(COUNTIFS('سجل التحفيز'!$T$5:$T$2004,"&gt;0",'سجل التحفيز'!$B$5:$B$2004,B75)&gt;0,COUNT(N$4:N74)+1,""))</f>
        <v/>
      </c>
      <c r="O75">
        <f>IF(B75="","",IF(COUNTIFS('سجل التحفيز'!$U$5:$U$2004,"&gt;0",'سجل التحفيز'!$B$5:$B$2004,B75)&gt;0,COUNT(O$4:O74)+1,""))</f>
        <v/>
      </c>
      <c r="P75">
        <f>IF(B75="","",IF(COUNTIFS('سجل التحفيز'!$V$5:$V$2004,"&gt;0",'سجل التحفيز'!$B$5:$B$2004,B75)&gt;0,COUNT(P$4:P74)+1,""))</f>
        <v/>
      </c>
      <c r="Q75">
        <f>IF(B75="","",IF(COUNTIFS('سجل التحفيز'!$W$5:$W$2004,"&gt;0",'سجل التحفيز'!$B$5:$B$2004,B75)&gt;0,COUNT(Q$4:Q74)+1,""))</f>
        <v/>
      </c>
      <c r="R75">
        <f>IF(B75="","",IF(COUNTIFS('سجل التحفيز'!$X$5:$X$2004,"&gt;0",'سجل التحفيز'!$B$5:$B$2004,B75)&gt;0,COUNT(R$4:R74)+1,""))</f>
        <v/>
      </c>
      <c r="S75">
        <f>IF(B75="","",IF(COUNTIFS('سجل التحفيز'!$Y$5:$Y$2004,"&gt;0",'سجل التحفيز'!$B$5:$B$2004,B75)&gt;0,COUNT(S$4:S74)+1,""))</f>
        <v/>
      </c>
      <c r="T75">
        <f>IF(B75="","",IF(COUNTIFS('سجل التحفيز'!$Z$5:$Z$2004,"&gt;0",'سجل التحفيز'!$B$5:$B$2004,B75)&gt;0,COUNT(T$4:T74)+1,""))</f>
        <v/>
      </c>
      <c r="U75">
        <f>IF(B75="","",IF(COUNTIFS('سجل التحفيز'!$AA$5:$AA$2004,"&gt;0",'سجل التحفيز'!$B$5:$B$2004,B75)&gt;0,COUNT(U$4:U74)+1,""))</f>
        <v/>
      </c>
      <c r="V75">
        <f>IF(B75="","",IF(COUNTIFS('سجل التحفيز'!$AB$5:$AB$2004,"&gt;0",'سجل التحفيز'!$B$5:$B$2004,B75)&gt;0,COUNT(V$4:V74)+1,""))</f>
        <v/>
      </c>
      <c r="W75">
        <f>IF(B75="","",IF(COUNTIFS('سجل التحفيز'!$AC$5:$AC$2004,"&gt;0",'سجل التحفيز'!$B$5:$B$2004,B75)&gt;0,COUNT(W$4:W74)+1,""))</f>
        <v/>
      </c>
      <c r="X75">
        <f>IF(B75="","",IF(COUNTIFS('سجل التحفيز'!$AD$5:$AD$2004,"&gt;0",'سجل التحفيز'!$B$5:$B$2004,B75)&gt;0,COUNT(X$4:X74)+1,""))</f>
        <v/>
      </c>
      <c r="Y75">
        <f>IF(B75="","",IF(COUNTIFS('سجل التحفيز'!$AE$5:$AE$2004,"&gt;0",'سجل التحفيز'!$B$5:$B$2004,B75)&gt;0,COUNT(Y$4:Y74)+1,""))</f>
        <v/>
      </c>
    </row>
    <row r="76">
      <c r="A76" s="17" t="n"/>
      <c r="B76" s="17" t="n"/>
      <c r="C76" s="17" t="n"/>
      <c r="D76" s="17" t="n"/>
      <c r="E76" s="17" t="n"/>
      <c r="F76" s="17" t="n"/>
      <c r="G76" s="17" t="n"/>
      <c r="H76" s="20">
        <f>IF(B76="","",COUNTIFS('سجل التحفيز'!$B$5:$B$2004,B76,'سجل التحفيز'!$R$5:$R$2004,الإعدادات!$B$4))</f>
        <v/>
      </c>
      <c r="I76" s="20">
        <f>IF(B76="","",COUNTIFS('سجل التحفيز'!$B$5:$B$2004,B76,'سجل التحفيز'!$R$5:$R$2004,الإعدادات!$B$4,'سجل التحفيز'!$Q$5:$Q$2004,"الفصل الأول",'سجل التحفيز'!$D$5:$D$2004,"ذهبي"))</f>
        <v/>
      </c>
      <c r="J76" s="20">
        <f>IF(B76="","",COUNTIFS('سجل التحفيز'!$B$5:$B$2004,B76,'سجل التحفيز'!$R$5:$R$2004,الإعدادات!$B$4,'سجل التحفيز'!$Q$5:$Q$2004,"الفصل الثاني",'سجل التحفيز'!$D$5:$D$2004,"ذهبي"))</f>
        <v/>
      </c>
      <c r="K76" s="20">
        <f>IF(B76="","",COUNTIFS('سجل التحفيز'!$B$5:$B$2004,B76,'سجل التحفيز'!$R$5:$R$2004,الإعدادات!$B$4,'سجل التحفيز'!$D$5:$D$2004,"ذهبي"))</f>
        <v/>
      </c>
      <c r="L76" s="20">
        <f>IF(B76="","",IF(G76="محرومة","محرومة - مخالفة",IF(K76&gt;=5,"مستحقة ★","متبقي "&amp;(5-K76)&amp;" معايير")))</f>
        <v/>
      </c>
      <c r="N76">
        <f>IF(B76="","",IF(COUNTIFS('سجل التحفيز'!$T$5:$T$2004,"&gt;0",'سجل التحفيز'!$B$5:$B$2004,B76)&gt;0,COUNT(N$4:N75)+1,""))</f>
        <v/>
      </c>
      <c r="O76">
        <f>IF(B76="","",IF(COUNTIFS('سجل التحفيز'!$U$5:$U$2004,"&gt;0",'سجل التحفيز'!$B$5:$B$2004,B76)&gt;0,COUNT(O$4:O75)+1,""))</f>
        <v/>
      </c>
      <c r="P76">
        <f>IF(B76="","",IF(COUNTIFS('سجل التحفيز'!$V$5:$V$2004,"&gt;0",'سجل التحفيز'!$B$5:$B$2004,B76)&gt;0,COUNT(P$4:P75)+1,""))</f>
        <v/>
      </c>
      <c r="Q76">
        <f>IF(B76="","",IF(COUNTIFS('سجل التحفيز'!$W$5:$W$2004,"&gt;0",'سجل التحفيز'!$B$5:$B$2004,B76)&gt;0,COUNT(Q$4:Q75)+1,""))</f>
        <v/>
      </c>
      <c r="R76">
        <f>IF(B76="","",IF(COUNTIFS('سجل التحفيز'!$X$5:$X$2004,"&gt;0",'سجل التحفيز'!$B$5:$B$2004,B76)&gt;0,COUNT(R$4:R75)+1,""))</f>
        <v/>
      </c>
      <c r="S76">
        <f>IF(B76="","",IF(COUNTIFS('سجل التحفيز'!$Y$5:$Y$2004,"&gt;0",'سجل التحفيز'!$B$5:$B$2004,B76)&gt;0,COUNT(S$4:S75)+1,""))</f>
        <v/>
      </c>
      <c r="T76">
        <f>IF(B76="","",IF(COUNTIFS('سجل التحفيز'!$Z$5:$Z$2004,"&gt;0",'سجل التحفيز'!$B$5:$B$2004,B76)&gt;0,COUNT(T$4:T75)+1,""))</f>
        <v/>
      </c>
      <c r="U76">
        <f>IF(B76="","",IF(COUNTIFS('سجل التحفيز'!$AA$5:$AA$2004,"&gt;0",'سجل التحفيز'!$B$5:$B$2004,B76)&gt;0,COUNT(U$4:U75)+1,""))</f>
        <v/>
      </c>
      <c r="V76">
        <f>IF(B76="","",IF(COUNTIFS('سجل التحفيز'!$AB$5:$AB$2004,"&gt;0",'سجل التحفيز'!$B$5:$B$2004,B76)&gt;0,COUNT(V$4:V75)+1,""))</f>
        <v/>
      </c>
      <c r="W76">
        <f>IF(B76="","",IF(COUNTIFS('سجل التحفيز'!$AC$5:$AC$2004,"&gt;0",'سجل التحفيز'!$B$5:$B$2004,B76)&gt;0,COUNT(W$4:W75)+1,""))</f>
        <v/>
      </c>
      <c r="X76">
        <f>IF(B76="","",IF(COUNTIFS('سجل التحفيز'!$AD$5:$AD$2004,"&gt;0",'سجل التحفيز'!$B$5:$B$2004,B76)&gt;0,COUNT(X$4:X75)+1,""))</f>
        <v/>
      </c>
      <c r="Y76">
        <f>IF(B76="","",IF(COUNTIFS('سجل التحفيز'!$AE$5:$AE$2004,"&gt;0",'سجل التحفيز'!$B$5:$B$2004,B76)&gt;0,COUNT(Y$4:Y75)+1,""))</f>
        <v/>
      </c>
    </row>
    <row r="77">
      <c r="A77" s="17" t="n"/>
      <c r="B77" s="17" t="n"/>
      <c r="C77" s="17" t="n"/>
      <c r="D77" s="17" t="n"/>
      <c r="E77" s="17" t="n"/>
      <c r="F77" s="17" t="n"/>
      <c r="G77" s="17" t="n"/>
      <c r="H77" s="20">
        <f>IF(B77="","",COUNTIFS('سجل التحفيز'!$B$5:$B$2004,B77,'سجل التحفيز'!$R$5:$R$2004,الإعدادات!$B$4))</f>
        <v/>
      </c>
      <c r="I77" s="20">
        <f>IF(B77="","",COUNTIFS('سجل التحفيز'!$B$5:$B$2004,B77,'سجل التحفيز'!$R$5:$R$2004,الإعدادات!$B$4,'سجل التحفيز'!$Q$5:$Q$2004,"الفصل الأول",'سجل التحفيز'!$D$5:$D$2004,"ذهبي"))</f>
        <v/>
      </c>
      <c r="J77" s="20">
        <f>IF(B77="","",COUNTIFS('سجل التحفيز'!$B$5:$B$2004,B77,'سجل التحفيز'!$R$5:$R$2004,الإعدادات!$B$4,'سجل التحفيز'!$Q$5:$Q$2004,"الفصل الثاني",'سجل التحفيز'!$D$5:$D$2004,"ذهبي"))</f>
        <v/>
      </c>
      <c r="K77" s="20">
        <f>IF(B77="","",COUNTIFS('سجل التحفيز'!$B$5:$B$2004,B77,'سجل التحفيز'!$R$5:$R$2004,الإعدادات!$B$4,'سجل التحفيز'!$D$5:$D$2004,"ذهبي"))</f>
        <v/>
      </c>
      <c r="L77" s="20">
        <f>IF(B77="","",IF(G77="محرومة","محرومة - مخالفة",IF(K77&gt;=5,"مستحقة ★","متبقي "&amp;(5-K77)&amp;" معايير")))</f>
        <v/>
      </c>
      <c r="N77">
        <f>IF(B77="","",IF(COUNTIFS('سجل التحفيز'!$T$5:$T$2004,"&gt;0",'سجل التحفيز'!$B$5:$B$2004,B77)&gt;0,COUNT(N$4:N76)+1,""))</f>
        <v/>
      </c>
      <c r="O77">
        <f>IF(B77="","",IF(COUNTIFS('سجل التحفيز'!$U$5:$U$2004,"&gt;0",'سجل التحفيز'!$B$5:$B$2004,B77)&gt;0,COUNT(O$4:O76)+1,""))</f>
        <v/>
      </c>
      <c r="P77">
        <f>IF(B77="","",IF(COUNTIFS('سجل التحفيز'!$V$5:$V$2004,"&gt;0",'سجل التحفيز'!$B$5:$B$2004,B77)&gt;0,COUNT(P$4:P76)+1,""))</f>
        <v/>
      </c>
      <c r="Q77">
        <f>IF(B77="","",IF(COUNTIFS('سجل التحفيز'!$W$5:$W$2004,"&gt;0",'سجل التحفيز'!$B$5:$B$2004,B77)&gt;0,COUNT(Q$4:Q76)+1,""))</f>
        <v/>
      </c>
      <c r="R77">
        <f>IF(B77="","",IF(COUNTIFS('سجل التحفيز'!$X$5:$X$2004,"&gt;0",'سجل التحفيز'!$B$5:$B$2004,B77)&gt;0,COUNT(R$4:R76)+1,""))</f>
        <v/>
      </c>
      <c r="S77">
        <f>IF(B77="","",IF(COUNTIFS('سجل التحفيز'!$Y$5:$Y$2004,"&gt;0",'سجل التحفيز'!$B$5:$B$2004,B77)&gt;0,COUNT(S$4:S76)+1,""))</f>
        <v/>
      </c>
      <c r="T77">
        <f>IF(B77="","",IF(COUNTIFS('سجل التحفيز'!$Z$5:$Z$2004,"&gt;0",'سجل التحفيز'!$B$5:$B$2004,B77)&gt;0,COUNT(T$4:T76)+1,""))</f>
        <v/>
      </c>
      <c r="U77">
        <f>IF(B77="","",IF(COUNTIFS('سجل التحفيز'!$AA$5:$AA$2004,"&gt;0",'سجل التحفيز'!$B$5:$B$2004,B77)&gt;0,COUNT(U$4:U76)+1,""))</f>
        <v/>
      </c>
      <c r="V77">
        <f>IF(B77="","",IF(COUNTIFS('سجل التحفيز'!$AB$5:$AB$2004,"&gt;0",'سجل التحفيز'!$B$5:$B$2004,B77)&gt;0,COUNT(V$4:V76)+1,""))</f>
        <v/>
      </c>
      <c r="W77">
        <f>IF(B77="","",IF(COUNTIFS('سجل التحفيز'!$AC$5:$AC$2004,"&gt;0",'سجل التحفيز'!$B$5:$B$2004,B77)&gt;0,COUNT(W$4:W76)+1,""))</f>
        <v/>
      </c>
      <c r="X77">
        <f>IF(B77="","",IF(COUNTIFS('سجل التحفيز'!$AD$5:$AD$2004,"&gt;0",'سجل التحفيز'!$B$5:$B$2004,B77)&gt;0,COUNT(X$4:X76)+1,""))</f>
        <v/>
      </c>
      <c r="Y77">
        <f>IF(B77="","",IF(COUNTIFS('سجل التحفيز'!$AE$5:$AE$2004,"&gt;0",'سجل التحفيز'!$B$5:$B$2004,B77)&gt;0,COUNT(Y$4:Y76)+1,""))</f>
        <v/>
      </c>
    </row>
    <row r="78">
      <c r="A78" s="17" t="n"/>
      <c r="B78" s="17" t="n"/>
      <c r="C78" s="17" t="n"/>
      <c r="D78" s="17" t="n"/>
      <c r="E78" s="17" t="n"/>
      <c r="F78" s="17" t="n"/>
      <c r="G78" s="17" t="n"/>
      <c r="H78" s="20">
        <f>IF(B78="","",COUNTIFS('سجل التحفيز'!$B$5:$B$2004,B78,'سجل التحفيز'!$R$5:$R$2004,الإعدادات!$B$4))</f>
        <v/>
      </c>
      <c r="I78" s="20">
        <f>IF(B78="","",COUNTIFS('سجل التحفيز'!$B$5:$B$2004,B78,'سجل التحفيز'!$R$5:$R$2004,الإعدادات!$B$4,'سجل التحفيز'!$Q$5:$Q$2004,"الفصل الأول",'سجل التحفيز'!$D$5:$D$2004,"ذهبي"))</f>
        <v/>
      </c>
      <c r="J78" s="20">
        <f>IF(B78="","",COUNTIFS('سجل التحفيز'!$B$5:$B$2004,B78,'سجل التحفيز'!$R$5:$R$2004,الإعدادات!$B$4,'سجل التحفيز'!$Q$5:$Q$2004,"الفصل الثاني",'سجل التحفيز'!$D$5:$D$2004,"ذهبي"))</f>
        <v/>
      </c>
      <c r="K78" s="20">
        <f>IF(B78="","",COUNTIFS('سجل التحفيز'!$B$5:$B$2004,B78,'سجل التحفيز'!$R$5:$R$2004,الإعدادات!$B$4,'سجل التحفيز'!$D$5:$D$2004,"ذهبي"))</f>
        <v/>
      </c>
      <c r="L78" s="20">
        <f>IF(B78="","",IF(G78="محرومة","محرومة - مخالفة",IF(K78&gt;=5,"مستحقة ★","متبقي "&amp;(5-K78)&amp;" معايير")))</f>
        <v/>
      </c>
      <c r="N78">
        <f>IF(B78="","",IF(COUNTIFS('سجل التحفيز'!$T$5:$T$2004,"&gt;0",'سجل التحفيز'!$B$5:$B$2004,B78)&gt;0,COUNT(N$4:N77)+1,""))</f>
        <v/>
      </c>
      <c r="O78">
        <f>IF(B78="","",IF(COUNTIFS('سجل التحفيز'!$U$5:$U$2004,"&gt;0",'سجل التحفيز'!$B$5:$B$2004,B78)&gt;0,COUNT(O$4:O77)+1,""))</f>
        <v/>
      </c>
      <c r="P78">
        <f>IF(B78="","",IF(COUNTIFS('سجل التحفيز'!$V$5:$V$2004,"&gt;0",'سجل التحفيز'!$B$5:$B$2004,B78)&gt;0,COUNT(P$4:P77)+1,""))</f>
        <v/>
      </c>
      <c r="Q78">
        <f>IF(B78="","",IF(COUNTIFS('سجل التحفيز'!$W$5:$W$2004,"&gt;0",'سجل التحفيز'!$B$5:$B$2004,B78)&gt;0,COUNT(Q$4:Q77)+1,""))</f>
        <v/>
      </c>
      <c r="R78">
        <f>IF(B78="","",IF(COUNTIFS('سجل التحفيز'!$X$5:$X$2004,"&gt;0",'سجل التحفيز'!$B$5:$B$2004,B78)&gt;0,COUNT(R$4:R77)+1,""))</f>
        <v/>
      </c>
      <c r="S78">
        <f>IF(B78="","",IF(COUNTIFS('سجل التحفيز'!$Y$5:$Y$2004,"&gt;0",'سجل التحفيز'!$B$5:$B$2004,B78)&gt;0,COUNT(S$4:S77)+1,""))</f>
        <v/>
      </c>
      <c r="T78">
        <f>IF(B78="","",IF(COUNTIFS('سجل التحفيز'!$Z$5:$Z$2004,"&gt;0",'سجل التحفيز'!$B$5:$B$2004,B78)&gt;0,COUNT(T$4:T77)+1,""))</f>
        <v/>
      </c>
      <c r="U78">
        <f>IF(B78="","",IF(COUNTIFS('سجل التحفيز'!$AA$5:$AA$2004,"&gt;0",'سجل التحفيز'!$B$5:$B$2004,B78)&gt;0,COUNT(U$4:U77)+1,""))</f>
        <v/>
      </c>
      <c r="V78">
        <f>IF(B78="","",IF(COUNTIFS('سجل التحفيز'!$AB$5:$AB$2004,"&gt;0",'سجل التحفيز'!$B$5:$B$2004,B78)&gt;0,COUNT(V$4:V77)+1,""))</f>
        <v/>
      </c>
      <c r="W78">
        <f>IF(B78="","",IF(COUNTIFS('سجل التحفيز'!$AC$5:$AC$2004,"&gt;0",'سجل التحفيز'!$B$5:$B$2004,B78)&gt;0,COUNT(W$4:W77)+1,""))</f>
        <v/>
      </c>
      <c r="X78">
        <f>IF(B78="","",IF(COUNTIFS('سجل التحفيز'!$AD$5:$AD$2004,"&gt;0",'سجل التحفيز'!$B$5:$B$2004,B78)&gt;0,COUNT(X$4:X77)+1,""))</f>
        <v/>
      </c>
      <c r="Y78">
        <f>IF(B78="","",IF(COUNTIFS('سجل التحفيز'!$AE$5:$AE$2004,"&gt;0",'سجل التحفيز'!$B$5:$B$2004,B78)&gt;0,COUNT(Y$4:Y77)+1,""))</f>
        <v/>
      </c>
    </row>
    <row r="79">
      <c r="A79" s="17" t="n"/>
      <c r="B79" s="17" t="n"/>
      <c r="C79" s="17" t="n"/>
      <c r="D79" s="17" t="n"/>
      <c r="E79" s="17" t="n"/>
      <c r="F79" s="17" t="n"/>
      <c r="G79" s="17" t="n"/>
      <c r="H79" s="20">
        <f>IF(B79="","",COUNTIFS('سجل التحفيز'!$B$5:$B$2004,B79,'سجل التحفيز'!$R$5:$R$2004,الإعدادات!$B$4))</f>
        <v/>
      </c>
      <c r="I79" s="20">
        <f>IF(B79="","",COUNTIFS('سجل التحفيز'!$B$5:$B$2004,B79,'سجل التحفيز'!$R$5:$R$2004,الإعدادات!$B$4,'سجل التحفيز'!$Q$5:$Q$2004,"الفصل الأول",'سجل التحفيز'!$D$5:$D$2004,"ذهبي"))</f>
        <v/>
      </c>
      <c r="J79" s="20">
        <f>IF(B79="","",COUNTIFS('سجل التحفيز'!$B$5:$B$2004,B79,'سجل التحفيز'!$R$5:$R$2004,الإعدادات!$B$4,'سجل التحفيز'!$Q$5:$Q$2004,"الفصل الثاني",'سجل التحفيز'!$D$5:$D$2004,"ذهبي"))</f>
        <v/>
      </c>
      <c r="K79" s="20">
        <f>IF(B79="","",COUNTIFS('سجل التحفيز'!$B$5:$B$2004,B79,'سجل التحفيز'!$R$5:$R$2004,الإعدادات!$B$4,'سجل التحفيز'!$D$5:$D$2004,"ذهبي"))</f>
        <v/>
      </c>
      <c r="L79" s="20">
        <f>IF(B79="","",IF(G79="محرومة","محرومة - مخالفة",IF(K79&gt;=5,"مستحقة ★","متبقي "&amp;(5-K79)&amp;" معايير")))</f>
        <v/>
      </c>
      <c r="N79">
        <f>IF(B79="","",IF(COUNTIFS('سجل التحفيز'!$T$5:$T$2004,"&gt;0",'سجل التحفيز'!$B$5:$B$2004,B79)&gt;0,COUNT(N$4:N78)+1,""))</f>
        <v/>
      </c>
      <c r="O79">
        <f>IF(B79="","",IF(COUNTIFS('سجل التحفيز'!$U$5:$U$2004,"&gt;0",'سجل التحفيز'!$B$5:$B$2004,B79)&gt;0,COUNT(O$4:O78)+1,""))</f>
        <v/>
      </c>
      <c r="P79">
        <f>IF(B79="","",IF(COUNTIFS('سجل التحفيز'!$V$5:$V$2004,"&gt;0",'سجل التحفيز'!$B$5:$B$2004,B79)&gt;0,COUNT(P$4:P78)+1,""))</f>
        <v/>
      </c>
      <c r="Q79">
        <f>IF(B79="","",IF(COUNTIFS('سجل التحفيز'!$W$5:$W$2004,"&gt;0",'سجل التحفيز'!$B$5:$B$2004,B79)&gt;0,COUNT(Q$4:Q78)+1,""))</f>
        <v/>
      </c>
      <c r="R79">
        <f>IF(B79="","",IF(COUNTIFS('سجل التحفيز'!$X$5:$X$2004,"&gt;0",'سجل التحفيز'!$B$5:$B$2004,B79)&gt;0,COUNT(R$4:R78)+1,""))</f>
        <v/>
      </c>
      <c r="S79">
        <f>IF(B79="","",IF(COUNTIFS('سجل التحفيز'!$Y$5:$Y$2004,"&gt;0",'سجل التحفيز'!$B$5:$B$2004,B79)&gt;0,COUNT(S$4:S78)+1,""))</f>
        <v/>
      </c>
      <c r="T79">
        <f>IF(B79="","",IF(COUNTIFS('سجل التحفيز'!$Z$5:$Z$2004,"&gt;0",'سجل التحفيز'!$B$5:$B$2004,B79)&gt;0,COUNT(T$4:T78)+1,""))</f>
        <v/>
      </c>
      <c r="U79">
        <f>IF(B79="","",IF(COUNTIFS('سجل التحفيز'!$AA$5:$AA$2004,"&gt;0",'سجل التحفيز'!$B$5:$B$2004,B79)&gt;0,COUNT(U$4:U78)+1,""))</f>
        <v/>
      </c>
      <c r="V79">
        <f>IF(B79="","",IF(COUNTIFS('سجل التحفيز'!$AB$5:$AB$2004,"&gt;0",'سجل التحفيز'!$B$5:$B$2004,B79)&gt;0,COUNT(V$4:V78)+1,""))</f>
        <v/>
      </c>
      <c r="W79">
        <f>IF(B79="","",IF(COUNTIFS('سجل التحفيز'!$AC$5:$AC$2004,"&gt;0",'سجل التحفيز'!$B$5:$B$2004,B79)&gt;0,COUNT(W$4:W78)+1,""))</f>
        <v/>
      </c>
      <c r="X79">
        <f>IF(B79="","",IF(COUNTIFS('سجل التحفيز'!$AD$5:$AD$2004,"&gt;0",'سجل التحفيز'!$B$5:$B$2004,B79)&gt;0,COUNT(X$4:X78)+1,""))</f>
        <v/>
      </c>
      <c r="Y79">
        <f>IF(B79="","",IF(COUNTIFS('سجل التحفيز'!$AE$5:$AE$2004,"&gt;0",'سجل التحفيز'!$B$5:$B$2004,B79)&gt;0,COUNT(Y$4:Y78)+1,""))</f>
        <v/>
      </c>
    </row>
    <row r="80">
      <c r="A80" s="17" t="n"/>
      <c r="B80" s="17" t="n"/>
      <c r="C80" s="17" t="n"/>
      <c r="D80" s="17" t="n"/>
      <c r="E80" s="17" t="n"/>
      <c r="F80" s="17" t="n"/>
      <c r="G80" s="17" t="n"/>
      <c r="H80" s="20">
        <f>IF(B80="","",COUNTIFS('سجل التحفيز'!$B$5:$B$2004,B80,'سجل التحفيز'!$R$5:$R$2004,الإعدادات!$B$4))</f>
        <v/>
      </c>
      <c r="I80" s="20">
        <f>IF(B80="","",COUNTIFS('سجل التحفيز'!$B$5:$B$2004,B80,'سجل التحفيز'!$R$5:$R$2004,الإعدادات!$B$4,'سجل التحفيز'!$Q$5:$Q$2004,"الفصل الأول",'سجل التحفيز'!$D$5:$D$2004,"ذهبي"))</f>
        <v/>
      </c>
      <c r="J80" s="20">
        <f>IF(B80="","",COUNTIFS('سجل التحفيز'!$B$5:$B$2004,B80,'سجل التحفيز'!$R$5:$R$2004,الإعدادات!$B$4,'سجل التحفيز'!$Q$5:$Q$2004,"الفصل الثاني",'سجل التحفيز'!$D$5:$D$2004,"ذهبي"))</f>
        <v/>
      </c>
      <c r="K80" s="20">
        <f>IF(B80="","",COUNTIFS('سجل التحفيز'!$B$5:$B$2004,B80,'سجل التحفيز'!$R$5:$R$2004,الإعدادات!$B$4,'سجل التحفيز'!$D$5:$D$2004,"ذهبي"))</f>
        <v/>
      </c>
      <c r="L80" s="20">
        <f>IF(B80="","",IF(G80="محرومة","محرومة - مخالفة",IF(K80&gt;=5,"مستحقة ★","متبقي "&amp;(5-K80)&amp;" معايير")))</f>
        <v/>
      </c>
      <c r="N80">
        <f>IF(B80="","",IF(COUNTIFS('سجل التحفيز'!$T$5:$T$2004,"&gt;0",'سجل التحفيز'!$B$5:$B$2004,B80)&gt;0,COUNT(N$4:N79)+1,""))</f>
        <v/>
      </c>
      <c r="O80">
        <f>IF(B80="","",IF(COUNTIFS('سجل التحفيز'!$U$5:$U$2004,"&gt;0",'سجل التحفيز'!$B$5:$B$2004,B80)&gt;0,COUNT(O$4:O79)+1,""))</f>
        <v/>
      </c>
      <c r="P80">
        <f>IF(B80="","",IF(COUNTIFS('سجل التحفيز'!$V$5:$V$2004,"&gt;0",'سجل التحفيز'!$B$5:$B$2004,B80)&gt;0,COUNT(P$4:P79)+1,""))</f>
        <v/>
      </c>
      <c r="Q80">
        <f>IF(B80="","",IF(COUNTIFS('سجل التحفيز'!$W$5:$W$2004,"&gt;0",'سجل التحفيز'!$B$5:$B$2004,B80)&gt;0,COUNT(Q$4:Q79)+1,""))</f>
        <v/>
      </c>
      <c r="R80">
        <f>IF(B80="","",IF(COUNTIFS('سجل التحفيز'!$X$5:$X$2004,"&gt;0",'سجل التحفيز'!$B$5:$B$2004,B80)&gt;0,COUNT(R$4:R79)+1,""))</f>
        <v/>
      </c>
      <c r="S80">
        <f>IF(B80="","",IF(COUNTIFS('سجل التحفيز'!$Y$5:$Y$2004,"&gt;0",'سجل التحفيز'!$B$5:$B$2004,B80)&gt;0,COUNT(S$4:S79)+1,""))</f>
        <v/>
      </c>
      <c r="T80">
        <f>IF(B80="","",IF(COUNTIFS('سجل التحفيز'!$Z$5:$Z$2004,"&gt;0",'سجل التحفيز'!$B$5:$B$2004,B80)&gt;0,COUNT(T$4:T79)+1,""))</f>
        <v/>
      </c>
      <c r="U80">
        <f>IF(B80="","",IF(COUNTIFS('سجل التحفيز'!$AA$5:$AA$2004,"&gt;0",'سجل التحفيز'!$B$5:$B$2004,B80)&gt;0,COUNT(U$4:U79)+1,""))</f>
        <v/>
      </c>
      <c r="V80">
        <f>IF(B80="","",IF(COUNTIFS('سجل التحفيز'!$AB$5:$AB$2004,"&gt;0",'سجل التحفيز'!$B$5:$B$2004,B80)&gt;0,COUNT(V$4:V79)+1,""))</f>
        <v/>
      </c>
      <c r="W80">
        <f>IF(B80="","",IF(COUNTIFS('سجل التحفيز'!$AC$5:$AC$2004,"&gt;0",'سجل التحفيز'!$B$5:$B$2004,B80)&gt;0,COUNT(W$4:W79)+1,""))</f>
        <v/>
      </c>
      <c r="X80">
        <f>IF(B80="","",IF(COUNTIFS('سجل التحفيز'!$AD$5:$AD$2004,"&gt;0",'سجل التحفيز'!$B$5:$B$2004,B80)&gt;0,COUNT(X$4:X79)+1,""))</f>
        <v/>
      </c>
      <c r="Y80">
        <f>IF(B80="","",IF(COUNTIFS('سجل التحفيز'!$AE$5:$AE$2004,"&gt;0",'سجل التحفيز'!$B$5:$B$2004,B80)&gt;0,COUNT(Y$4:Y79)+1,""))</f>
        <v/>
      </c>
    </row>
    <row r="81">
      <c r="A81" s="17" t="n"/>
      <c r="B81" s="17" t="n"/>
      <c r="C81" s="17" t="n"/>
      <c r="D81" s="17" t="n"/>
      <c r="E81" s="17" t="n"/>
      <c r="F81" s="17" t="n"/>
      <c r="G81" s="17" t="n"/>
      <c r="H81" s="20">
        <f>IF(B81="","",COUNTIFS('سجل التحفيز'!$B$5:$B$2004,B81,'سجل التحفيز'!$R$5:$R$2004,الإعدادات!$B$4))</f>
        <v/>
      </c>
      <c r="I81" s="20">
        <f>IF(B81="","",COUNTIFS('سجل التحفيز'!$B$5:$B$2004,B81,'سجل التحفيز'!$R$5:$R$2004,الإعدادات!$B$4,'سجل التحفيز'!$Q$5:$Q$2004,"الفصل الأول",'سجل التحفيز'!$D$5:$D$2004,"ذهبي"))</f>
        <v/>
      </c>
      <c r="J81" s="20">
        <f>IF(B81="","",COUNTIFS('سجل التحفيز'!$B$5:$B$2004,B81,'سجل التحفيز'!$R$5:$R$2004,الإعدادات!$B$4,'سجل التحفيز'!$Q$5:$Q$2004,"الفصل الثاني",'سجل التحفيز'!$D$5:$D$2004,"ذهبي"))</f>
        <v/>
      </c>
      <c r="K81" s="20">
        <f>IF(B81="","",COUNTIFS('سجل التحفيز'!$B$5:$B$2004,B81,'سجل التحفيز'!$R$5:$R$2004,الإعدادات!$B$4,'سجل التحفيز'!$D$5:$D$2004,"ذهبي"))</f>
        <v/>
      </c>
      <c r="L81" s="20">
        <f>IF(B81="","",IF(G81="محرومة","محرومة - مخالفة",IF(K81&gt;=5,"مستحقة ★","متبقي "&amp;(5-K81)&amp;" معايير")))</f>
        <v/>
      </c>
      <c r="N81">
        <f>IF(B81="","",IF(COUNTIFS('سجل التحفيز'!$T$5:$T$2004,"&gt;0",'سجل التحفيز'!$B$5:$B$2004,B81)&gt;0,COUNT(N$4:N80)+1,""))</f>
        <v/>
      </c>
      <c r="O81">
        <f>IF(B81="","",IF(COUNTIFS('سجل التحفيز'!$U$5:$U$2004,"&gt;0",'سجل التحفيز'!$B$5:$B$2004,B81)&gt;0,COUNT(O$4:O80)+1,""))</f>
        <v/>
      </c>
      <c r="P81">
        <f>IF(B81="","",IF(COUNTIFS('سجل التحفيز'!$V$5:$V$2004,"&gt;0",'سجل التحفيز'!$B$5:$B$2004,B81)&gt;0,COUNT(P$4:P80)+1,""))</f>
        <v/>
      </c>
      <c r="Q81">
        <f>IF(B81="","",IF(COUNTIFS('سجل التحفيز'!$W$5:$W$2004,"&gt;0",'سجل التحفيز'!$B$5:$B$2004,B81)&gt;0,COUNT(Q$4:Q80)+1,""))</f>
        <v/>
      </c>
      <c r="R81">
        <f>IF(B81="","",IF(COUNTIFS('سجل التحفيز'!$X$5:$X$2004,"&gt;0",'سجل التحفيز'!$B$5:$B$2004,B81)&gt;0,COUNT(R$4:R80)+1,""))</f>
        <v/>
      </c>
      <c r="S81">
        <f>IF(B81="","",IF(COUNTIFS('سجل التحفيز'!$Y$5:$Y$2004,"&gt;0",'سجل التحفيز'!$B$5:$B$2004,B81)&gt;0,COUNT(S$4:S80)+1,""))</f>
        <v/>
      </c>
      <c r="T81">
        <f>IF(B81="","",IF(COUNTIFS('سجل التحفيز'!$Z$5:$Z$2004,"&gt;0",'سجل التحفيز'!$B$5:$B$2004,B81)&gt;0,COUNT(T$4:T80)+1,""))</f>
        <v/>
      </c>
      <c r="U81">
        <f>IF(B81="","",IF(COUNTIFS('سجل التحفيز'!$AA$5:$AA$2004,"&gt;0",'سجل التحفيز'!$B$5:$B$2004,B81)&gt;0,COUNT(U$4:U80)+1,""))</f>
        <v/>
      </c>
      <c r="V81">
        <f>IF(B81="","",IF(COUNTIFS('سجل التحفيز'!$AB$5:$AB$2004,"&gt;0",'سجل التحفيز'!$B$5:$B$2004,B81)&gt;0,COUNT(V$4:V80)+1,""))</f>
        <v/>
      </c>
      <c r="W81">
        <f>IF(B81="","",IF(COUNTIFS('سجل التحفيز'!$AC$5:$AC$2004,"&gt;0",'سجل التحفيز'!$B$5:$B$2004,B81)&gt;0,COUNT(W$4:W80)+1,""))</f>
        <v/>
      </c>
      <c r="X81">
        <f>IF(B81="","",IF(COUNTIFS('سجل التحفيز'!$AD$5:$AD$2004,"&gt;0",'سجل التحفيز'!$B$5:$B$2004,B81)&gt;0,COUNT(X$4:X80)+1,""))</f>
        <v/>
      </c>
      <c r="Y81">
        <f>IF(B81="","",IF(COUNTIFS('سجل التحفيز'!$AE$5:$AE$2004,"&gt;0",'سجل التحفيز'!$B$5:$B$2004,B81)&gt;0,COUNT(Y$4:Y80)+1,""))</f>
        <v/>
      </c>
    </row>
    <row r="82">
      <c r="A82" s="17" t="n"/>
      <c r="B82" s="17" t="n"/>
      <c r="C82" s="17" t="n"/>
      <c r="D82" s="17" t="n"/>
      <c r="E82" s="17" t="n"/>
      <c r="F82" s="17" t="n"/>
      <c r="G82" s="17" t="n"/>
      <c r="H82" s="20">
        <f>IF(B82="","",COUNTIFS('سجل التحفيز'!$B$5:$B$2004,B82,'سجل التحفيز'!$R$5:$R$2004,الإعدادات!$B$4))</f>
        <v/>
      </c>
      <c r="I82" s="20">
        <f>IF(B82="","",COUNTIFS('سجل التحفيز'!$B$5:$B$2004,B82,'سجل التحفيز'!$R$5:$R$2004,الإعدادات!$B$4,'سجل التحفيز'!$Q$5:$Q$2004,"الفصل الأول",'سجل التحفيز'!$D$5:$D$2004,"ذهبي"))</f>
        <v/>
      </c>
      <c r="J82" s="20">
        <f>IF(B82="","",COUNTIFS('سجل التحفيز'!$B$5:$B$2004,B82,'سجل التحفيز'!$R$5:$R$2004,الإعدادات!$B$4,'سجل التحفيز'!$Q$5:$Q$2004,"الفصل الثاني",'سجل التحفيز'!$D$5:$D$2004,"ذهبي"))</f>
        <v/>
      </c>
      <c r="K82" s="20">
        <f>IF(B82="","",COUNTIFS('سجل التحفيز'!$B$5:$B$2004,B82,'سجل التحفيز'!$R$5:$R$2004,الإعدادات!$B$4,'سجل التحفيز'!$D$5:$D$2004,"ذهبي"))</f>
        <v/>
      </c>
      <c r="L82" s="20">
        <f>IF(B82="","",IF(G82="محرومة","محرومة - مخالفة",IF(K82&gt;=5,"مستحقة ★","متبقي "&amp;(5-K82)&amp;" معايير")))</f>
        <v/>
      </c>
      <c r="N82">
        <f>IF(B82="","",IF(COUNTIFS('سجل التحفيز'!$T$5:$T$2004,"&gt;0",'سجل التحفيز'!$B$5:$B$2004,B82)&gt;0,COUNT(N$4:N81)+1,""))</f>
        <v/>
      </c>
      <c r="O82">
        <f>IF(B82="","",IF(COUNTIFS('سجل التحفيز'!$U$5:$U$2004,"&gt;0",'سجل التحفيز'!$B$5:$B$2004,B82)&gt;0,COUNT(O$4:O81)+1,""))</f>
        <v/>
      </c>
      <c r="P82">
        <f>IF(B82="","",IF(COUNTIFS('سجل التحفيز'!$V$5:$V$2004,"&gt;0",'سجل التحفيز'!$B$5:$B$2004,B82)&gt;0,COUNT(P$4:P81)+1,""))</f>
        <v/>
      </c>
      <c r="Q82">
        <f>IF(B82="","",IF(COUNTIFS('سجل التحفيز'!$W$5:$W$2004,"&gt;0",'سجل التحفيز'!$B$5:$B$2004,B82)&gt;0,COUNT(Q$4:Q81)+1,""))</f>
        <v/>
      </c>
      <c r="R82">
        <f>IF(B82="","",IF(COUNTIFS('سجل التحفيز'!$X$5:$X$2004,"&gt;0",'سجل التحفيز'!$B$5:$B$2004,B82)&gt;0,COUNT(R$4:R81)+1,""))</f>
        <v/>
      </c>
      <c r="S82">
        <f>IF(B82="","",IF(COUNTIFS('سجل التحفيز'!$Y$5:$Y$2004,"&gt;0",'سجل التحفيز'!$B$5:$B$2004,B82)&gt;0,COUNT(S$4:S81)+1,""))</f>
        <v/>
      </c>
      <c r="T82">
        <f>IF(B82="","",IF(COUNTIFS('سجل التحفيز'!$Z$5:$Z$2004,"&gt;0",'سجل التحفيز'!$B$5:$B$2004,B82)&gt;0,COUNT(T$4:T81)+1,""))</f>
        <v/>
      </c>
      <c r="U82">
        <f>IF(B82="","",IF(COUNTIFS('سجل التحفيز'!$AA$5:$AA$2004,"&gt;0",'سجل التحفيز'!$B$5:$B$2004,B82)&gt;0,COUNT(U$4:U81)+1,""))</f>
        <v/>
      </c>
      <c r="V82">
        <f>IF(B82="","",IF(COUNTIFS('سجل التحفيز'!$AB$5:$AB$2004,"&gt;0",'سجل التحفيز'!$B$5:$B$2004,B82)&gt;0,COUNT(V$4:V81)+1,""))</f>
        <v/>
      </c>
      <c r="W82">
        <f>IF(B82="","",IF(COUNTIFS('سجل التحفيز'!$AC$5:$AC$2004,"&gt;0",'سجل التحفيز'!$B$5:$B$2004,B82)&gt;0,COUNT(W$4:W81)+1,""))</f>
        <v/>
      </c>
      <c r="X82">
        <f>IF(B82="","",IF(COUNTIFS('سجل التحفيز'!$AD$5:$AD$2004,"&gt;0",'سجل التحفيز'!$B$5:$B$2004,B82)&gt;0,COUNT(X$4:X81)+1,""))</f>
        <v/>
      </c>
      <c r="Y82">
        <f>IF(B82="","",IF(COUNTIFS('سجل التحفيز'!$AE$5:$AE$2004,"&gt;0",'سجل التحفيز'!$B$5:$B$2004,B82)&gt;0,COUNT(Y$4:Y81)+1,""))</f>
        <v/>
      </c>
    </row>
    <row r="83">
      <c r="A83" s="17" t="n"/>
      <c r="B83" s="17" t="n"/>
      <c r="C83" s="17" t="n"/>
      <c r="D83" s="17" t="n"/>
      <c r="E83" s="17" t="n"/>
      <c r="F83" s="17" t="n"/>
      <c r="G83" s="17" t="n"/>
      <c r="H83" s="20">
        <f>IF(B83="","",COUNTIFS('سجل التحفيز'!$B$5:$B$2004,B83,'سجل التحفيز'!$R$5:$R$2004,الإعدادات!$B$4))</f>
        <v/>
      </c>
      <c r="I83" s="20">
        <f>IF(B83="","",COUNTIFS('سجل التحفيز'!$B$5:$B$2004,B83,'سجل التحفيز'!$R$5:$R$2004,الإعدادات!$B$4,'سجل التحفيز'!$Q$5:$Q$2004,"الفصل الأول",'سجل التحفيز'!$D$5:$D$2004,"ذهبي"))</f>
        <v/>
      </c>
      <c r="J83" s="20">
        <f>IF(B83="","",COUNTIFS('سجل التحفيز'!$B$5:$B$2004,B83,'سجل التحفيز'!$R$5:$R$2004,الإعدادات!$B$4,'سجل التحفيز'!$Q$5:$Q$2004,"الفصل الثاني",'سجل التحفيز'!$D$5:$D$2004,"ذهبي"))</f>
        <v/>
      </c>
      <c r="K83" s="20">
        <f>IF(B83="","",COUNTIFS('سجل التحفيز'!$B$5:$B$2004,B83,'سجل التحفيز'!$R$5:$R$2004,الإعدادات!$B$4,'سجل التحفيز'!$D$5:$D$2004,"ذهبي"))</f>
        <v/>
      </c>
      <c r="L83" s="20">
        <f>IF(B83="","",IF(G83="محرومة","محرومة - مخالفة",IF(K83&gt;=5,"مستحقة ★","متبقي "&amp;(5-K83)&amp;" معايير")))</f>
        <v/>
      </c>
      <c r="N83">
        <f>IF(B83="","",IF(COUNTIFS('سجل التحفيز'!$T$5:$T$2004,"&gt;0",'سجل التحفيز'!$B$5:$B$2004,B83)&gt;0,COUNT(N$4:N82)+1,""))</f>
        <v/>
      </c>
      <c r="O83">
        <f>IF(B83="","",IF(COUNTIFS('سجل التحفيز'!$U$5:$U$2004,"&gt;0",'سجل التحفيز'!$B$5:$B$2004,B83)&gt;0,COUNT(O$4:O82)+1,""))</f>
        <v/>
      </c>
      <c r="P83">
        <f>IF(B83="","",IF(COUNTIFS('سجل التحفيز'!$V$5:$V$2004,"&gt;0",'سجل التحفيز'!$B$5:$B$2004,B83)&gt;0,COUNT(P$4:P82)+1,""))</f>
        <v/>
      </c>
      <c r="Q83">
        <f>IF(B83="","",IF(COUNTIFS('سجل التحفيز'!$W$5:$W$2004,"&gt;0",'سجل التحفيز'!$B$5:$B$2004,B83)&gt;0,COUNT(Q$4:Q82)+1,""))</f>
        <v/>
      </c>
      <c r="R83">
        <f>IF(B83="","",IF(COUNTIFS('سجل التحفيز'!$X$5:$X$2004,"&gt;0",'سجل التحفيز'!$B$5:$B$2004,B83)&gt;0,COUNT(R$4:R82)+1,""))</f>
        <v/>
      </c>
      <c r="S83">
        <f>IF(B83="","",IF(COUNTIFS('سجل التحفيز'!$Y$5:$Y$2004,"&gt;0",'سجل التحفيز'!$B$5:$B$2004,B83)&gt;0,COUNT(S$4:S82)+1,""))</f>
        <v/>
      </c>
      <c r="T83">
        <f>IF(B83="","",IF(COUNTIFS('سجل التحفيز'!$Z$5:$Z$2004,"&gt;0",'سجل التحفيز'!$B$5:$B$2004,B83)&gt;0,COUNT(T$4:T82)+1,""))</f>
        <v/>
      </c>
      <c r="U83">
        <f>IF(B83="","",IF(COUNTIFS('سجل التحفيز'!$AA$5:$AA$2004,"&gt;0",'سجل التحفيز'!$B$5:$B$2004,B83)&gt;0,COUNT(U$4:U82)+1,""))</f>
        <v/>
      </c>
      <c r="V83">
        <f>IF(B83="","",IF(COUNTIFS('سجل التحفيز'!$AB$5:$AB$2004,"&gt;0",'سجل التحفيز'!$B$5:$B$2004,B83)&gt;0,COUNT(V$4:V82)+1,""))</f>
        <v/>
      </c>
      <c r="W83">
        <f>IF(B83="","",IF(COUNTIFS('سجل التحفيز'!$AC$5:$AC$2004,"&gt;0",'سجل التحفيز'!$B$5:$B$2004,B83)&gt;0,COUNT(W$4:W82)+1,""))</f>
        <v/>
      </c>
      <c r="X83">
        <f>IF(B83="","",IF(COUNTIFS('سجل التحفيز'!$AD$5:$AD$2004,"&gt;0",'سجل التحفيز'!$B$5:$B$2004,B83)&gt;0,COUNT(X$4:X82)+1,""))</f>
        <v/>
      </c>
      <c r="Y83">
        <f>IF(B83="","",IF(COUNTIFS('سجل التحفيز'!$AE$5:$AE$2004,"&gt;0",'سجل التحفيز'!$B$5:$B$2004,B83)&gt;0,COUNT(Y$4:Y82)+1,""))</f>
        <v/>
      </c>
    </row>
    <row r="84">
      <c r="A84" s="17" t="n"/>
      <c r="B84" s="17" t="n"/>
      <c r="C84" s="17" t="n"/>
      <c r="D84" s="17" t="n"/>
      <c r="E84" s="17" t="n"/>
      <c r="F84" s="17" t="n"/>
      <c r="G84" s="17" t="n"/>
      <c r="H84" s="20">
        <f>IF(B84="","",COUNTIFS('سجل التحفيز'!$B$5:$B$2004,B84,'سجل التحفيز'!$R$5:$R$2004,الإعدادات!$B$4))</f>
        <v/>
      </c>
      <c r="I84" s="20">
        <f>IF(B84="","",COUNTIFS('سجل التحفيز'!$B$5:$B$2004,B84,'سجل التحفيز'!$R$5:$R$2004,الإعدادات!$B$4,'سجل التحفيز'!$Q$5:$Q$2004,"الفصل الأول",'سجل التحفيز'!$D$5:$D$2004,"ذهبي"))</f>
        <v/>
      </c>
      <c r="J84" s="20">
        <f>IF(B84="","",COUNTIFS('سجل التحفيز'!$B$5:$B$2004,B84,'سجل التحفيز'!$R$5:$R$2004,الإعدادات!$B$4,'سجل التحفيز'!$Q$5:$Q$2004,"الفصل الثاني",'سجل التحفيز'!$D$5:$D$2004,"ذهبي"))</f>
        <v/>
      </c>
      <c r="K84" s="20">
        <f>IF(B84="","",COUNTIFS('سجل التحفيز'!$B$5:$B$2004,B84,'سجل التحفيز'!$R$5:$R$2004,الإعدادات!$B$4,'سجل التحفيز'!$D$5:$D$2004,"ذهبي"))</f>
        <v/>
      </c>
      <c r="L84" s="20">
        <f>IF(B84="","",IF(G84="محرومة","محرومة - مخالفة",IF(K84&gt;=5,"مستحقة ★","متبقي "&amp;(5-K84)&amp;" معايير")))</f>
        <v/>
      </c>
      <c r="N84">
        <f>IF(B84="","",IF(COUNTIFS('سجل التحفيز'!$T$5:$T$2004,"&gt;0",'سجل التحفيز'!$B$5:$B$2004,B84)&gt;0,COUNT(N$4:N83)+1,""))</f>
        <v/>
      </c>
      <c r="O84">
        <f>IF(B84="","",IF(COUNTIFS('سجل التحفيز'!$U$5:$U$2004,"&gt;0",'سجل التحفيز'!$B$5:$B$2004,B84)&gt;0,COUNT(O$4:O83)+1,""))</f>
        <v/>
      </c>
      <c r="P84">
        <f>IF(B84="","",IF(COUNTIFS('سجل التحفيز'!$V$5:$V$2004,"&gt;0",'سجل التحفيز'!$B$5:$B$2004,B84)&gt;0,COUNT(P$4:P83)+1,""))</f>
        <v/>
      </c>
      <c r="Q84">
        <f>IF(B84="","",IF(COUNTIFS('سجل التحفيز'!$W$5:$W$2004,"&gt;0",'سجل التحفيز'!$B$5:$B$2004,B84)&gt;0,COUNT(Q$4:Q83)+1,""))</f>
        <v/>
      </c>
      <c r="R84">
        <f>IF(B84="","",IF(COUNTIFS('سجل التحفيز'!$X$5:$X$2004,"&gt;0",'سجل التحفيز'!$B$5:$B$2004,B84)&gt;0,COUNT(R$4:R83)+1,""))</f>
        <v/>
      </c>
      <c r="S84">
        <f>IF(B84="","",IF(COUNTIFS('سجل التحفيز'!$Y$5:$Y$2004,"&gt;0",'سجل التحفيز'!$B$5:$B$2004,B84)&gt;0,COUNT(S$4:S83)+1,""))</f>
        <v/>
      </c>
      <c r="T84">
        <f>IF(B84="","",IF(COUNTIFS('سجل التحفيز'!$Z$5:$Z$2004,"&gt;0",'سجل التحفيز'!$B$5:$B$2004,B84)&gt;0,COUNT(T$4:T83)+1,""))</f>
        <v/>
      </c>
      <c r="U84">
        <f>IF(B84="","",IF(COUNTIFS('سجل التحفيز'!$AA$5:$AA$2004,"&gt;0",'سجل التحفيز'!$B$5:$B$2004,B84)&gt;0,COUNT(U$4:U83)+1,""))</f>
        <v/>
      </c>
      <c r="V84">
        <f>IF(B84="","",IF(COUNTIFS('سجل التحفيز'!$AB$5:$AB$2004,"&gt;0",'سجل التحفيز'!$B$5:$B$2004,B84)&gt;0,COUNT(V$4:V83)+1,""))</f>
        <v/>
      </c>
      <c r="W84">
        <f>IF(B84="","",IF(COUNTIFS('سجل التحفيز'!$AC$5:$AC$2004,"&gt;0",'سجل التحفيز'!$B$5:$B$2004,B84)&gt;0,COUNT(W$4:W83)+1,""))</f>
        <v/>
      </c>
      <c r="X84">
        <f>IF(B84="","",IF(COUNTIFS('سجل التحفيز'!$AD$5:$AD$2004,"&gt;0",'سجل التحفيز'!$B$5:$B$2004,B84)&gt;0,COUNT(X$4:X83)+1,""))</f>
        <v/>
      </c>
      <c r="Y84">
        <f>IF(B84="","",IF(COUNTIFS('سجل التحفيز'!$AE$5:$AE$2004,"&gt;0",'سجل التحفيز'!$B$5:$B$2004,B84)&gt;0,COUNT(Y$4:Y83)+1,""))</f>
        <v/>
      </c>
    </row>
    <row r="85">
      <c r="A85" s="17" t="n"/>
      <c r="B85" s="17" t="n"/>
      <c r="C85" s="17" t="n"/>
      <c r="D85" s="17" t="n"/>
      <c r="E85" s="17" t="n"/>
      <c r="F85" s="17" t="n"/>
      <c r="G85" s="17" t="n"/>
      <c r="H85" s="20">
        <f>IF(B85="","",COUNTIFS('سجل التحفيز'!$B$5:$B$2004,B85,'سجل التحفيز'!$R$5:$R$2004,الإعدادات!$B$4))</f>
        <v/>
      </c>
      <c r="I85" s="20">
        <f>IF(B85="","",COUNTIFS('سجل التحفيز'!$B$5:$B$2004,B85,'سجل التحفيز'!$R$5:$R$2004,الإعدادات!$B$4,'سجل التحفيز'!$Q$5:$Q$2004,"الفصل الأول",'سجل التحفيز'!$D$5:$D$2004,"ذهبي"))</f>
        <v/>
      </c>
      <c r="J85" s="20">
        <f>IF(B85="","",COUNTIFS('سجل التحفيز'!$B$5:$B$2004,B85,'سجل التحفيز'!$R$5:$R$2004,الإعدادات!$B$4,'سجل التحفيز'!$Q$5:$Q$2004,"الفصل الثاني",'سجل التحفيز'!$D$5:$D$2004,"ذهبي"))</f>
        <v/>
      </c>
      <c r="K85" s="20">
        <f>IF(B85="","",COUNTIFS('سجل التحفيز'!$B$5:$B$2004,B85,'سجل التحفيز'!$R$5:$R$2004,الإعدادات!$B$4,'سجل التحفيز'!$D$5:$D$2004,"ذهبي"))</f>
        <v/>
      </c>
      <c r="L85" s="20">
        <f>IF(B85="","",IF(G85="محرومة","محرومة - مخالفة",IF(K85&gt;=5,"مستحقة ★","متبقي "&amp;(5-K85)&amp;" معايير")))</f>
        <v/>
      </c>
      <c r="N85">
        <f>IF(B85="","",IF(COUNTIFS('سجل التحفيز'!$T$5:$T$2004,"&gt;0",'سجل التحفيز'!$B$5:$B$2004,B85)&gt;0,COUNT(N$4:N84)+1,""))</f>
        <v/>
      </c>
      <c r="O85">
        <f>IF(B85="","",IF(COUNTIFS('سجل التحفيز'!$U$5:$U$2004,"&gt;0",'سجل التحفيز'!$B$5:$B$2004,B85)&gt;0,COUNT(O$4:O84)+1,""))</f>
        <v/>
      </c>
      <c r="P85">
        <f>IF(B85="","",IF(COUNTIFS('سجل التحفيز'!$V$5:$V$2004,"&gt;0",'سجل التحفيز'!$B$5:$B$2004,B85)&gt;0,COUNT(P$4:P84)+1,""))</f>
        <v/>
      </c>
      <c r="Q85">
        <f>IF(B85="","",IF(COUNTIFS('سجل التحفيز'!$W$5:$W$2004,"&gt;0",'سجل التحفيز'!$B$5:$B$2004,B85)&gt;0,COUNT(Q$4:Q84)+1,""))</f>
        <v/>
      </c>
      <c r="R85">
        <f>IF(B85="","",IF(COUNTIFS('سجل التحفيز'!$X$5:$X$2004,"&gt;0",'سجل التحفيز'!$B$5:$B$2004,B85)&gt;0,COUNT(R$4:R84)+1,""))</f>
        <v/>
      </c>
      <c r="S85">
        <f>IF(B85="","",IF(COUNTIFS('سجل التحفيز'!$Y$5:$Y$2004,"&gt;0",'سجل التحفيز'!$B$5:$B$2004,B85)&gt;0,COUNT(S$4:S84)+1,""))</f>
        <v/>
      </c>
      <c r="T85">
        <f>IF(B85="","",IF(COUNTIFS('سجل التحفيز'!$Z$5:$Z$2004,"&gt;0",'سجل التحفيز'!$B$5:$B$2004,B85)&gt;0,COUNT(T$4:T84)+1,""))</f>
        <v/>
      </c>
      <c r="U85">
        <f>IF(B85="","",IF(COUNTIFS('سجل التحفيز'!$AA$5:$AA$2004,"&gt;0",'سجل التحفيز'!$B$5:$B$2004,B85)&gt;0,COUNT(U$4:U84)+1,""))</f>
        <v/>
      </c>
      <c r="V85">
        <f>IF(B85="","",IF(COUNTIFS('سجل التحفيز'!$AB$5:$AB$2004,"&gt;0",'سجل التحفيز'!$B$5:$B$2004,B85)&gt;0,COUNT(V$4:V84)+1,""))</f>
        <v/>
      </c>
      <c r="W85">
        <f>IF(B85="","",IF(COUNTIFS('سجل التحفيز'!$AC$5:$AC$2004,"&gt;0",'سجل التحفيز'!$B$5:$B$2004,B85)&gt;0,COUNT(W$4:W84)+1,""))</f>
        <v/>
      </c>
      <c r="X85">
        <f>IF(B85="","",IF(COUNTIFS('سجل التحفيز'!$AD$5:$AD$2004,"&gt;0",'سجل التحفيز'!$B$5:$B$2004,B85)&gt;0,COUNT(X$4:X84)+1,""))</f>
        <v/>
      </c>
      <c r="Y85">
        <f>IF(B85="","",IF(COUNTIFS('سجل التحفيز'!$AE$5:$AE$2004,"&gt;0",'سجل التحفيز'!$B$5:$B$2004,B85)&gt;0,COUNT(Y$4:Y84)+1,""))</f>
        <v/>
      </c>
    </row>
    <row r="86">
      <c r="A86" s="17" t="n"/>
      <c r="B86" s="17" t="n"/>
      <c r="C86" s="17" t="n"/>
      <c r="D86" s="17" t="n"/>
      <c r="E86" s="17" t="n"/>
      <c r="F86" s="17" t="n"/>
      <c r="G86" s="17" t="n"/>
      <c r="H86" s="20">
        <f>IF(B86="","",COUNTIFS('سجل التحفيز'!$B$5:$B$2004,B86,'سجل التحفيز'!$R$5:$R$2004,الإعدادات!$B$4))</f>
        <v/>
      </c>
      <c r="I86" s="20">
        <f>IF(B86="","",COUNTIFS('سجل التحفيز'!$B$5:$B$2004,B86,'سجل التحفيز'!$R$5:$R$2004,الإعدادات!$B$4,'سجل التحفيز'!$Q$5:$Q$2004,"الفصل الأول",'سجل التحفيز'!$D$5:$D$2004,"ذهبي"))</f>
        <v/>
      </c>
      <c r="J86" s="20">
        <f>IF(B86="","",COUNTIFS('سجل التحفيز'!$B$5:$B$2004,B86,'سجل التحفيز'!$R$5:$R$2004,الإعدادات!$B$4,'سجل التحفيز'!$Q$5:$Q$2004,"الفصل الثاني",'سجل التحفيز'!$D$5:$D$2004,"ذهبي"))</f>
        <v/>
      </c>
      <c r="K86" s="20">
        <f>IF(B86="","",COUNTIFS('سجل التحفيز'!$B$5:$B$2004,B86,'سجل التحفيز'!$R$5:$R$2004,الإعدادات!$B$4,'سجل التحفيز'!$D$5:$D$2004,"ذهبي"))</f>
        <v/>
      </c>
      <c r="L86" s="20">
        <f>IF(B86="","",IF(G86="محرومة","محرومة - مخالفة",IF(K86&gt;=5,"مستحقة ★","متبقي "&amp;(5-K86)&amp;" معايير")))</f>
        <v/>
      </c>
      <c r="N86">
        <f>IF(B86="","",IF(COUNTIFS('سجل التحفيز'!$T$5:$T$2004,"&gt;0",'سجل التحفيز'!$B$5:$B$2004,B86)&gt;0,COUNT(N$4:N85)+1,""))</f>
        <v/>
      </c>
      <c r="O86">
        <f>IF(B86="","",IF(COUNTIFS('سجل التحفيز'!$U$5:$U$2004,"&gt;0",'سجل التحفيز'!$B$5:$B$2004,B86)&gt;0,COUNT(O$4:O85)+1,""))</f>
        <v/>
      </c>
      <c r="P86">
        <f>IF(B86="","",IF(COUNTIFS('سجل التحفيز'!$V$5:$V$2004,"&gt;0",'سجل التحفيز'!$B$5:$B$2004,B86)&gt;0,COUNT(P$4:P85)+1,""))</f>
        <v/>
      </c>
      <c r="Q86">
        <f>IF(B86="","",IF(COUNTIFS('سجل التحفيز'!$W$5:$W$2004,"&gt;0",'سجل التحفيز'!$B$5:$B$2004,B86)&gt;0,COUNT(Q$4:Q85)+1,""))</f>
        <v/>
      </c>
      <c r="R86">
        <f>IF(B86="","",IF(COUNTIFS('سجل التحفيز'!$X$5:$X$2004,"&gt;0",'سجل التحفيز'!$B$5:$B$2004,B86)&gt;0,COUNT(R$4:R85)+1,""))</f>
        <v/>
      </c>
      <c r="S86">
        <f>IF(B86="","",IF(COUNTIFS('سجل التحفيز'!$Y$5:$Y$2004,"&gt;0",'سجل التحفيز'!$B$5:$B$2004,B86)&gt;0,COUNT(S$4:S85)+1,""))</f>
        <v/>
      </c>
      <c r="T86">
        <f>IF(B86="","",IF(COUNTIFS('سجل التحفيز'!$Z$5:$Z$2004,"&gt;0",'سجل التحفيز'!$B$5:$B$2004,B86)&gt;0,COUNT(T$4:T85)+1,""))</f>
        <v/>
      </c>
      <c r="U86">
        <f>IF(B86="","",IF(COUNTIFS('سجل التحفيز'!$AA$5:$AA$2004,"&gt;0",'سجل التحفيز'!$B$5:$B$2004,B86)&gt;0,COUNT(U$4:U85)+1,""))</f>
        <v/>
      </c>
      <c r="V86">
        <f>IF(B86="","",IF(COUNTIFS('سجل التحفيز'!$AB$5:$AB$2004,"&gt;0",'سجل التحفيز'!$B$5:$B$2004,B86)&gt;0,COUNT(V$4:V85)+1,""))</f>
        <v/>
      </c>
      <c r="W86">
        <f>IF(B86="","",IF(COUNTIFS('سجل التحفيز'!$AC$5:$AC$2004,"&gt;0",'سجل التحفيز'!$B$5:$B$2004,B86)&gt;0,COUNT(W$4:W85)+1,""))</f>
        <v/>
      </c>
      <c r="X86">
        <f>IF(B86="","",IF(COUNTIFS('سجل التحفيز'!$AD$5:$AD$2004,"&gt;0",'سجل التحفيز'!$B$5:$B$2004,B86)&gt;0,COUNT(X$4:X85)+1,""))</f>
        <v/>
      </c>
      <c r="Y86">
        <f>IF(B86="","",IF(COUNTIFS('سجل التحفيز'!$AE$5:$AE$2004,"&gt;0",'سجل التحفيز'!$B$5:$B$2004,B86)&gt;0,COUNT(Y$4:Y85)+1,""))</f>
        <v/>
      </c>
    </row>
    <row r="87">
      <c r="A87" s="17" t="n"/>
      <c r="B87" s="17" t="n"/>
      <c r="C87" s="17" t="n"/>
      <c r="D87" s="17" t="n"/>
      <c r="E87" s="17" t="n"/>
      <c r="F87" s="17" t="n"/>
      <c r="G87" s="17" t="n"/>
      <c r="H87" s="20">
        <f>IF(B87="","",COUNTIFS('سجل التحفيز'!$B$5:$B$2004,B87,'سجل التحفيز'!$R$5:$R$2004,الإعدادات!$B$4))</f>
        <v/>
      </c>
      <c r="I87" s="20">
        <f>IF(B87="","",COUNTIFS('سجل التحفيز'!$B$5:$B$2004,B87,'سجل التحفيز'!$R$5:$R$2004,الإعدادات!$B$4,'سجل التحفيز'!$Q$5:$Q$2004,"الفصل الأول",'سجل التحفيز'!$D$5:$D$2004,"ذهبي"))</f>
        <v/>
      </c>
      <c r="J87" s="20">
        <f>IF(B87="","",COUNTIFS('سجل التحفيز'!$B$5:$B$2004,B87,'سجل التحفيز'!$R$5:$R$2004,الإعدادات!$B$4,'سجل التحفيز'!$Q$5:$Q$2004,"الفصل الثاني",'سجل التحفيز'!$D$5:$D$2004,"ذهبي"))</f>
        <v/>
      </c>
      <c r="K87" s="20">
        <f>IF(B87="","",COUNTIFS('سجل التحفيز'!$B$5:$B$2004,B87,'سجل التحفيز'!$R$5:$R$2004,الإعدادات!$B$4,'سجل التحفيز'!$D$5:$D$2004,"ذهبي"))</f>
        <v/>
      </c>
      <c r="L87" s="20">
        <f>IF(B87="","",IF(G87="محرومة","محرومة - مخالفة",IF(K87&gt;=5,"مستحقة ★","متبقي "&amp;(5-K87)&amp;" معايير")))</f>
        <v/>
      </c>
      <c r="N87">
        <f>IF(B87="","",IF(COUNTIFS('سجل التحفيز'!$T$5:$T$2004,"&gt;0",'سجل التحفيز'!$B$5:$B$2004,B87)&gt;0,COUNT(N$4:N86)+1,""))</f>
        <v/>
      </c>
      <c r="O87">
        <f>IF(B87="","",IF(COUNTIFS('سجل التحفيز'!$U$5:$U$2004,"&gt;0",'سجل التحفيز'!$B$5:$B$2004,B87)&gt;0,COUNT(O$4:O86)+1,""))</f>
        <v/>
      </c>
      <c r="P87">
        <f>IF(B87="","",IF(COUNTIFS('سجل التحفيز'!$V$5:$V$2004,"&gt;0",'سجل التحفيز'!$B$5:$B$2004,B87)&gt;0,COUNT(P$4:P86)+1,""))</f>
        <v/>
      </c>
      <c r="Q87">
        <f>IF(B87="","",IF(COUNTIFS('سجل التحفيز'!$W$5:$W$2004,"&gt;0",'سجل التحفيز'!$B$5:$B$2004,B87)&gt;0,COUNT(Q$4:Q86)+1,""))</f>
        <v/>
      </c>
      <c r="R87">
        <f>IF(B87="","",IF(COUNTIFS('سجل التحفيز'!$X$5:$X$2004,"&gt;0",'سجل التحفيز'!$B$5:$B$2004,B87)&gt;0,COUNT(R$4:R86)+1,""))</f>
        <v/>
      </c>
      <c r="S87">
        <f>IF(B87="","",IF(COUNTIFS('سجل التحفيز'!$Y$5:$Y$2004,"&gt;0",'سجل التحفيز'!$B$5:$B$2004,B87)&gt;0,COUNT(S$4:S86)+1,""))</f>
        <v/>
      </c>
      <c r="T87">
        <f>IF(B87="","",IF(COUNTIFS('سجل التحفيز'!$Z$5:$Z$2004,"&gt;0",'سجل التحفيز'!$B$5:$B$2004,B87)&gt;0,COUNT(T$4:T86)+1,""))</f>
        <v/>
      </c>
      <c r="U87">
        <f>IF(B87="","",IF(COUNTIFS('سجل التحفيز'!$AA$5:$AA$2004,"&gt;0",'سجل التحفيز'!$B$5:$B$2004,B87)&gt;0,COUNT(U$4:U86)+1,""))</f>
        <v/>
      </c>
      <c r="V87">
        <f>IF(B87="","",IF(COUNTIFS('سجل التحفيز'!$AB$5:$AB$2004,"&gt;0",'سجل التحفيز'!$B$5:$B$2004,B87)&gt;0,COUNT(V$4:V86)+1,""))</f>
        <v/>
      </c>
      <c r="W87">
        <f>IF(B87="","",IF(COUNTIFS('سجل التحفيز'!$AC$5:$AC$2004,"&gt;0",'سجل التحفيز'!$B$5:$B$2004,B87)&gt;0,COUNT(W$4:W86)+1,""))</f>
        <v/>
      </c>
      <c r="X87">
        <f>IF(B87="","",IF(COUNTIFS('سجل التحفيز'!$AD$5:$AD$2004,"&gt;0",'سجل التحفيز'!$B$5:$B$2004,B87)&gt;0,COUNT(X$4:X86)+1,""))</f>
        <v/>
      </c>
      <c r="Y87">
        <f>IF(B87="","",IF(COUNTIFS('سجل التحفيز'!$AE$5:$AE$2004,"&gt;0",'سجل التحفيز'!$B$5:$B$2004,B87)&gt;0,COUNT(Y$4:Y86)+1,""))</f>
        <v/>
      </c>
    </row>
    <row r="88">
      <c r="A88" s="17" t="n"/>
      <c r="B88" s="17" t="n"/>
      <c r="C88" s="17" t="n"/>
      <c r="D88" s="17" t="n"/>
      <c r="E88" s="17" t="n"/>
      <c r="F88" s="17" t="n"/>
      <c r="G88" s="17" t="n"/>
      <c r="H88" s="20">
        <f>IF(B88="","",COUNTIFS('سجل التحفيز'!$B$5:$B$2004,B88,'سجل التحفيز'!$R$5:$R$2004,الإعدادات!$B$4))</f>
        <v/>
      </c>
      <c r="I88" s="20">
        <f>IF(B88="","",COUNTIFS('سجل التحفيز'!$B$5:$B$2004,B88,'سجل التحفيز'!$R$5:$R$2004,الإعدادات!$B$4,'سجل التحفيز'!$Q$5:$Q$2004,"الفصل الأول",'سجل التحفيز'!$D$5:$D$2004,"ذهبي"))</f>
        <v/>
      </c>
      <c r="J88" s="20">
        <f>IF(B88="","",COUNTIFS('سجل التحفيز'!$B$5:$B$2004,B88,'سجل التحفيز'!$R$5:$R$2004,الإعدادات!$B$4,'سجل التحفيز'!$Q$5:$Q$2004,"الفصل الثاني",'سجل التحفيز'!$D$5:$D$2004,"ذهبي"))</f>
        <v/>
      </c>
      <c r="K88" s="20">
        <f>IF(B88="","",COUNTIFS('سجل التحفيز'!$B$5:$B$2004,B88,'سجل التحفيز'!$R$5:$R$2004,الإعدادات!$B$4,'سجل التحفيز'!$D$5:$D$2004,"ذهبي"))</f>
        <v/>
      </c>
      <c r="L88" s="20">
        <f>IF(B88="","",IF(G88="محرومة","محرومة - مخالفة",IF(K88&gt;=5,"مستحقة ★","متبقي "&amp;(5-K88)&amp;" معايير")))</f>
        <v/>
      </c>
      <c r="N88">
        <f>IF(B88="","",IF(COUNTIFS('سجل التحفيز'!$T$5:$T$2004,"&gt;0",'سجل التحفيز'!$B$5:$B$2004,B88)&gt;0,COUNT(N$4:N87)+1,""))</f>
        <v/>
      </c>
      <c r="O88">
        <f>IF(B88="","",IF(COUNTIFS('سجل التحفيز'!$U$5:$U$2004,"&gt;0",'سجل التحفيز'!$B$5:$B$2004,B88)&gt;0,COUNT(O$4:O87)+1,""))</f>
        <v/>
      </c>
      <c r="P88">
        <f>IF(B88="","",IF(COUNTIFS('سجل التحفيز'!$V$5:$V$2004,"&gt;0",'سجل التحفيز'!$B$5:$B$2004,B88)&gt;0,COUNT(P$4:P87)+1,""))</f>
        <v/>
      </c>
      <c r="Q88">
        <f>IF(B88="","",IF(COUNTIFS('سجل التحفيز'!$W$5:$W$2004,"&gt;0",'سجل التحفيز'!$B$5:$B$2004,B88)&gt;0,COUNT(Q$4:Q87)+1,""))</f>
        <v/>
      </c>
      <c r="R88">
        <f>IF(B88="","",IF(COUNTIFS('سجل التحفيز'!$X$5:$X$2004,"&gt;0",'سجل التحفيز'!$B$5:$B$2004,B88)&gt;0,COUNT(R$4:R87)+1,""))</f>
        <v/>
      </c>
      <c r="S88">
        <f>IF(B88="","",IF(COUNTIFS('سجل التحفيز'!$Y$5:$Y$2004,"&gt;0",'سجل التحفيز'!$B$5:$B$2004,B88)&gt;0,COUNT(S$4:S87)+1,""))</f>
        <v/>
      </c>
      <c r="T88">
        <f>IF(B88="","",IF(COUNTIFS('سجل التحفيز'!$Z$5:$Z$2004,"&gt;0",'سجل التحفيز'!$B$5:$B$2004,B88)&gt;0,COUNT(T$4:T87)+1,""))</f>
        <v/>
      </c>
      <c r="U88">
        <f>IF(B88="","",IF(COUNTIFS('سجل التحفيز'!$AA$5:$AA$2004,"&gt;0",'سجل التحفيز'!$B$5:$B$2004,B88)&gt;0,COUNT(U$4:U87)+1,""))</f>
        <v/>
      </c>
      <c r="V88">
        <f>IF(B88="","",IF(COUNTIFS('سجل التحفيز'!$AB$5:$AB$2004,"&gt;0",'سجل التحفيز'!$B$5:$B$2004,B88)&gt;0,COUNT(V$4:V87)+1,""))</f>
        <v/>
      </c>
      <c r="W88">
        <f>IF(B88="","",IF(COUNTIFS('سجل التحفيز'!$AC$5:$AC$2004,"&gt;0",'سجل التحفيز'!$B$5:$B$2004,B88)&gt;0,COUNT(W$4:W87)+1,""))</f>
        <v/>
      </c>
      <c r="X88">
        <f>IF(B88="","",IF(COUNTIFS('سجل التحفيز'!$AD$5:$AD$2004,"&gt;0",'سجل التحفيز'!$B$5:$B$2004,B88)&gt;0,COUNT(X$4:X87)+1,""))</f>
        <v/>
      </c>
      <c r="Y88">
        <f>IF(B88="","",IF(COUNTIFS('سجل التحفيز'!$AE$5:$AE$2004,"&gt;0",'سجل التحفيز'!$B$5:$B$2004,B88)&gt;0,COUNT(Y$4:Y87)+1,""))</f>
        <v/>
      </c>
    </row>
    <row r="89">
      <c r="A89" s="17" t="n"/>
      <c r="B89" s="17" t="n"/>
      <c r="C89" s="17" t="n"/>
      <c r="D89" s="17" t="n"/>
      <c r="E89" s="17" t="n"/>
      <c r="F89" s="17" t="n"/>
      <c r="G89" s="17" t="n"/>
      <c r="H89" s="20">
        <f>IF(B89="","",COUNTIFS('سجل التحفيز'!$B$5:$B$2004,B89,'سجل التحفيز'!$R$5:$R$2004,الإعدادات!$B$4))</f>
        <v/>
      </c>
      <c r="I89" s="20">
        <f>IF(B89="","",COUNTIFS('سجل التحفيز'!$B$5:$B$2004,B89,'سجل التحفيز'!$R$5:$R$2004,الإعدادات!$B$4,'سجل التحفيز'!$Q$5:$Q$2004,"الفصل الأول",'سجل التحفيز'!$D$5:$D$2004,"ذهبي"))</f>
        <v/>
      </c>
      <c r="J89" s="20">
        <f>IF(B89="","",COUNTIFS('سجل التحفيز'!$B$5:$B$2004,B89,'سجل التحفيز'!$R$5:$R$2004,الإعدادات!$B$4,'سجل التحفيز'!$Q$5:$Q$2004,"الفصل الثاني",'سجل التحفيز'!$D$5:$D$2004,"ذهبي"))</f>
        <v/>
      </c>
      <c r="K89" s="20">
        <f>IF(B89="","",COUNTIFS('سجل التحفيز'!$B$5:$B$2004,B89,'سجل التحفيز'!$R$5:$R$2004,الإعدادات!$B$4,'سجل التحفيز'!$D$5:$D$2004,"ذهبي"))</f>
        <v/>
      </c>
      <c r="L89" s="20">
        <f>IF(B89="","",IF(G89="محرومة","محرومة - مخالفة",IF(K89&gt;=5,"مستحقة ★","متبقي "&amp;(5-K89)&amp;" معايير")))</f>
        <v/>
      </c>
      <c r="N89">
        <f>IF(B89="","",IF(COUNTIFS('سجل التحفيز'!$T$5:$T$2004,"&gt;0",'سجل التحفيز'!$B$5:$B$2004,B89)&gt;0,COUNT(N$4:N88)+1,""))</f>
        <v/>
      </c>
      <c r="O89">
        <f>IF(B89="","",IF(COUNTIFS('سجل التحفيز'!$U$5:$U$2004,"&gt;0",'سجل التحفيز'!$B$5:$B$2004,B89)&gt;0,COUNT(O$4:O88)+1,""))</f>
        <v/>
      </c>
      <c r="P89">
        <f>IF(B89="","",IF(COUNTIFS('سجل التحفيز'!$V$5:$V$2004,"&gt;0",'سجل التحفيز'!$B$5:$B$2004,B89)&gt;0,COUNT(P$4:P88)+1,""))</f>
        <v/>
      </c>
      <c r="Q89">
        <f>IF(B89="","",IF(COUNTIFS('سجل التحفيز'!$W$5:$W$2004,"&gt;0",'سجل التحفيز'!$B$5:$B$2004,B89)&gt;0,COUNT(Q$4:Q88)+1,""))</f>
        <v/>
      </c>
      <c r="R89">
        <f>IF(B89="","",IF(COUNTIFS('سجل التحفيز'!$X$5:$X$2004,"&gt;0",'سجل التحفيز'!$B$5:$B$2004,B89)&gt;0,COUNT(R$4:R88)+1,""))</f>
        <v/>
      </c>
      <c r="S89">
        <f>IF(B89="","",IF(COUNTIFS('سجل التحفيز'!$Y$5:$Y$2004,"&gt;0",'سجل التحفيز'!$B$5:$B$2004,B89)&gt;0,COUNT(S$4:S88)+1,""))</f>
        <v/>
      </c>
      <c r="T89">
        <f>IF(B89="","",IF(COUNTIFS('سجل التحفيز'!$Z$5:$Z$2004,"&gt;0",'سجل التحفيز'!$B$5:$B$2004,B89)&gt;0,COUNT(T$4:T88)+1,""))</f>
        <v/>
      </c>
      <c r="U89">
        <f>IF(B89="","",IF(COUNTIFS('سجل التحفيز'!$AA$5:$AA$2004,"&gt;0",'سجل التحفيز'!$B$5:$B$2004,B89)&gt;0,COUNT(U$4:U88)+1,""))</f>
        <v/>
      </c>
      <c r="V89">
        <f>IF(B89="","",IF(COUNTIFS('سجل التحفيز'!$AB$5:$AB$2004,"&gt;0",'سجل التحفيز'!$B$5:$B$2004,B89)&gt;0,COUNT(V$4:V88)+1,""))</f>
        <v/>
      </c>
      <c r="W89">
        <f>IF(B89="","",IF(COUNTIFS('سجل التحفيز'!$AC$5:$AC$2004,"&gt;0",'سجل التحفيز'!$B$5:$B$2004,B89)&gt;0,COUNT(W$4:W88)+1,""))</f>
        <v/>
      </c>
      <c r="X89">
        <f>IF(B89="","",IF(COUNTIFS('سجل التحفيز'!$AD$5:$AD$2004,"&gt;0",'سجل التحفيز'!$B$5:$B$2004,B89)&gt;0,COUNT(X$4:X88)+1,""))</f>
        <v/>
      </c>
      <c r="Y89">
        <f>IF(B89="","",IF(COUNTIFS('سجل التحفيز'!$AE$5:$AE$2004,"&gt;0",'سجل التحفيز'!$B$5:$B$2004,B89)&gt;0,COUNT(Y$4:Y88)+1,""))</f>
        <v/>
      </c>
    </row>
    <row r="90">
      <c r="A90" s="17" t="n"/>
      <c r="B90" s="17" t="n"/>
      <c r="C90" s="17" t="n"/>
      <c r="D90" s="17" t="n"/>
      <c r="E90" s="17" t="n"/>
      <c r="F90" s="17" t="n"/>
      <c r="G90" s="17" t="n"/>
      <c r="H90" s="20">
        <f>IF(B90="","",COUNTIFS('سجل التحفيز'!$B$5:$B$2004,B90,'سجل التحفيز'!$R$5:$R$2004,الإعدادات!$B$4))</f>
        <v/>
      </c>
      <c r="I90" s="20">
        <f>IF(B90="","",COUNTIFS('سجل التحفيز'!$B$5:$B$2004,B90,'سجل التحفيز'!$R$5:$R$2004,الإعدادات!$B$4,'سجل التحفيز'!$Q$5:$Q$2004,"الفصل الأول",'سجل التحفيز'!$D$5:$D$2004,"ذهبي"))</f>
        <v/>
      </c>
      <c r="J90" s="20">
        <f>IF(B90="","",COUNTIFS('سجل التحفيز'!$B$5:$B$2004,B90,'سجل التحفيز'!$R$5:$R$2004,الإعدادات!$B$4,'سجل التحفيز'!$Q$5:$Q$2004,"الفصل الثاني",'سجل التحفيز'!$D$5:$D$2004,"ذهبي"))</f>
        <v/>
      </c>
      <c r="K90" s="20">
        <f>IF(B90="","",COUNTIFS('سجل التحفيز'!$B$5:$B$2004,B90,'سجل التحفيز'!$R$5:$R$2004,الإعدادات!$B$4,'سجل التحفيز'!$D$5:$D$2004,"ذهبي"))</f>
        <v/>
      </c>
      <c r="L90" s="20">
        <f>IF(B90="","",IF(G90="محرومة","محرومة - مخالفة",IF(K90&gt;=5,"مستحقة ★","متبقي "&amp;(5-K90)&amp;" معايير")))</f>
        <v/>
      </c>
      <c r="N90">
        <f>IF(B90="","",IF(COUNTIFS('سجل التحفيز'!$T$5:$T$2004,"&gt;0",'سجل التحفيز'!$B$5:$B$2004,B90)&gt;0,COUNT(N$4:N89)+1,""))</f>
        <v/>
      </c>
      <c r="O90">
        <f>IF(B90="","",IF(COUNTIFS('سجل التحفيز'!$U$5:$U$2004,"&gt;0",'سجل التحفيز'!$B$5:$B$2004,B90)&gt;0,COUNT(O$4:O89)+1,""))</f>
        <v/>
      </c>
      <c r="P90">
        <f>IF(B90="","",IF(COUNTIFS('سجل التحفيز'!$V$5:$V$2004,"&gt;0",'سجل التحفيز'!$B$5:$B$2004,B90)&gt;0,COUNT(P$4:P89)+1,""))</f>
        <v/>
      </c>
      <c r="Q90">
        <f>IF(B90="","",IF(COUNTIFS('سجل التحفيز'!$W$5:$W$2004,"&gt;0",'سجل التحفيز'!$B$5:$B$2004,B90)&gt;0,COUNT(Q$4:Q89)+1,""))</f>
        <v/>
      </c>
      <c r="R90">
        <f>IF(B90="","",IF(COUNTIFS('سجل التحفيز'!$X$5:$X$2004,"&gt;0",'سجل التحفيز'!$B$5:$B$2004,B90)&gt;0,COUNT(R$4:R89)+1,""))</f>
        <v/>
      </c>
      <c r="S90">
        <f>IF(B90="","",IF(COUNTIFS('سجل التحفيز'!$Y$5:$Y$2004,"&gt;0",'سجل التحفيز'!$B$5:$B$2004,B90)&gt;0,COUNT(S$4:S89)+1,""))</f>
        <v/>
      </c>
      <c r="T90">
        <f>IF(B90="","",IF(COUNTIFS('سجل التحفيز'!$Z$5:$Z$2004,"&gt;0",'سجل التحفيز'!$B$5:$B$2004,B90)&gt;0,COUNT(T$4:T89)+1,""))</f>
        <v/>
      </c>
      <c r="U90">
        <f>IF(B90="","",IF(COUNTIFS('سجل التحفيز'!$AA$5:$AA$2004,"&gt;0",'سجل التحفيز'!$B$5:$B$2004,B90)&gt;0,COUNT(U$4:U89)+1,""))</f>
        <v/>
      </c>
      <c r="V90">
        <f>IF(B90="","",IF(COUNTIFS('سجل التحفيز'!$AB$5:$AB$2004,"&gt;0",'سجل التحفيز'!$B$5:$B$2004,B90)&gt;0,COUNT(V$4:V89)+1,""))</f>
        <v/>
      </c>
      <c r="W90">
        <f>IF(B90="","",IF(COUNTIFS('سجل التحفيز'!$AC$5:$AC$2004,"&gt;0",'سجل التحفيز'!$B$5:$B$2004,B90)&gt;0,COUNT(W$4:W89)+1,""))</f>
        <v/>
      </c>
      <c r="X90">
        <f>IF(B90="","",IF(COUNTIFS('سجل التحفيز'!$AD$5:$AD$2004,"&gt;0",'سجل التحفيز'!$B$5:$B$2004,B90)&gt;0,COUNT(X$4:X89)+1,""))</f>
        <v/>
      </c>
      <c r="Y90">
        <f>IF(B90="","",IF(COUNTIFS('سجل التحفيز'!$AE$5:$AE$2004,"&gt;0",'سجل التحفيز'!$B$5:$B$2004,B90)&gt;0,COUNT(Y$4:Y89)+1,""))</f>
        <v/>
      </c>
    </row>
    <row r="91">
      <c r="A91" s="17" t="n"/>
      <c r="B91" s="17" t="n"/>
      <c r="C91" s="17" t="n"/>
      <c r="D91" s="17" t="n"/>
      <c r="E91" s="17" t="n"/>
      <c r="F91" s="17" t="n"/>
      <c r="G91" s="17" t="n"/>
      <c r="H91" s="20">
        <f>IF(B91="","",COUNTIFS('سجل التحفيز'!$B$5:$B$2004,B91,'سجل التحفيز'!$R$5:$R$2004,الإعدادات!$B$4))</f>
        <v/>
      </c>
      <c r="I91" s="20">
        <f>IF(B91="","",COUNTIFS('سجل التحفيز'!$B$5:$B$2004,B91,'سجل التحفيز'!$R$5:$R$2004,الإعدادات!$B$4,'سجل التحفيز'!$Q$5:$Q$2004,"الفصل الأول",'سجل التحفيز'!$D$5:$D$2004,"ذهبي"))</f>
        <v/>
      </c>
      <c r="J91" s="20">
        <f>IF(B91="","",COUNTIFS('سجل التحفيز'!$B$5:$B$2004,B91,'سجل التحفيز'!$R$5:$R$2004,الإعدادات!$B$4,'سجل التحفيز'!$Q$5:$Q$2004,"الفصل الثاني",'سجل التحفيز'!$D$5:$D$2004,"ذهبي"))</f>
        <v/>
      </c>
      <c r="K91" s="20">
        <f>IF(B91="","",COUNTIFS('سجل التحفيز'!$B$5:$B$2004,B91,'سجل التحفيز'!$R$5:$R$2004,الإعدادات!$B$4,'سجل التحفيز'!$D$5:$D$2004,"ذهبي"))</f>
        <v/>
      </c>
      <c r="L91" s="20">
        <f>IF(B91="","",IF(G91="محرومة","محرومة - مخالفة",IF(K91&gt;=5,"مستحقة ★","متبقي "&amp;(5-K91)&amp;" معايير")))</f>
        <v/>
      </c>
      <c r="N91">
        <f>IF(B91="","",IF(COUNTIFS('سجل التحفيز'!$T$5:$T$2004,"&gt;0",'سجل التحفيز'!$B$5:$B$2004,B91)&gt;0,COUNT(N$4:N90)+1,""))</f>
        <v/>
      </c>
      <c r="O91">
        <f>IF(B91="","",IF(COUNTIFS('سجل التحفيز'!$U$5:$U$2004,"&gt;0",'سجل التحفيز'!$B$5:$B$2004,B91)&gt;0,COUNT(O$4:O90)+1,""))</f>
        <v/>
      </c>
      <c r="P91">
        <f>IF(B91="","",IF(COUNTIFS('سجل التحفيز'!$V$5:$V$2004,"&gt;0",'سجل التحفيز'!$B$5:$B$2004,B91)&gt;0,COUNT(P$4:P90)+1,""))</f>
        <v/>
      </c>
      <c r="Q91">
        <f>IF(B91="","",IF(COUNTIFS('سجل التحفيز'!$W$5:$W$2004,"&gt;0",'سجل التحفيز'!$B$5:$B$2004,B91)&gt;0,COUNT(Q$4:Q90)+1,""))</f>
        <v/>
      </c>
      <c r="R91">
        <f>IF(B91="","",IF(COUNTIFS('سجل التحفيز'!$X$5:$X$2004,"&gt;0",'سجل التحفيز'!$B$5:$B$2004,B91)&gt;0,COUNT(R$4:R90)+1,""))</f>
        <v/>
      </c>
      <c r="S91">
        <f>IF(B91="","",IF(COUNTIFS('سجل التحفيز'!$Y$5:$Y$2004,"&gt;0",'سجل التحفيز'!$B$5:$B$2004,B91)&gt;0,COUNT(S$4:S90)+1,""))</f>
        <v/>
      </c>
      <c r="T91">
        <f>IF(B91="","",IF(COUNTIFS('سجل التحفيز'!$Z$5:$Z$2004,"&gt;0",'سجل التحفيز'!$B$5:$B$2004,B91)&gt;0,COUNT(T$4:T90)+1,""))</f>
        <v/>
      </c>
      <c r="U91">
        <f>IF(B91="","",IF(COUNTIFS('سجل التحفيز'!$AA$5:$AA$2004,"&gt;0",'سجل التحفيز'!$B$5:$B$2004,B91)&gt;0,COUNT(U$4:U90)+1,""))</f>
        <v/>
      </c>
      <c r="V91">
        <f>IF(B91="","",IF(COUNTIFS('سجل التحفيز'!$AB$5:$AB$2004,"&gt;0",'سجل التحفيز'!$B$5:$B$2004,B91)&gt;0,COUNT(V$4:V90)+1,""))</f>
        <v/>
      </c>
      <c r="W91">
        <f>IF(B91="","",IF(COUNTIFS('سجل التحفيز'!$AC$5:$AC$2004,"&gt;0",'سجل التحفيز'!$B$5:$B$2004,B91)&gt;0,COUNT(W$4:W90)+1,""))</f>
        <v/>
      </c>
      <c r="X91">
        <f>IF(B91="","",IF(COUNTIFS('سجل التحفيز'!$AD$5:$AD$2004,"&gt;0",'سجل التحفيز'!$B$5:$B$2004,B91)&gt;0,COUNT(X$4:X90)+1,""))</f>
        <v/>
      </c>
      <c r="Y91">
        <f>IF(B91="","",IF(COUNTIFS('سجل التحفيز'!$AE$5:$AE$2004,"&gt;0",'سجل التحفيز'!$B$5:$B$2004,B91)&gt;0,COUNT(Y$4:Y90)+1,""))</f>
        <v/>
      </c>
    </row>
    <row r="92">
      <c r="A92" s="17" t="n"/>
      <c r="B92" s="17" t="n"/>
      <c r="C92" s="17" t="n"/>
      <c r="D92" s="17" t="n"/>
      <c r="E92" s="17" t="n"/>
      <c r="F92" s="17" t="n"/>
      <c r="G92" s="17" t="n"/>
      <c r="H92" s="20">
        <f>IF(B92="","",COUNTIFS('سجل التحفيز'!$B$5:$B$2004,B92,'سجل التحفيز'!$R$5:$R$2004,الإعدادات!$B$4))</f>
        <v/>
      </c>
      <c r="I92" s="20">
        <f>IF(B92="","",COUNTIFS('سجل التحفيز'!$B$5:$B$2004,B92,'سجل التحفيز'!$R$5:$R$2004,الإعدادات!$B$4,'سجل التحفيز'!$Q$5:$Q$2004,"الفصل الأول",'سجل التحفيز'!$D$5:$D$2004,"ذهبي"))</f>
        <v/>
      </c>
      <c r="J92" s="20">
        <f>IF(B92="","",COUNTIFS('سجل التحفيز'!$B$5:$B$2004,B92,'سجل التحفيز'!$R$5:$R$2004,الإعدادات!$B$4,'سجل التحفيز'!$Q$5:$Q$2004,"الفصل الثاني",'سجل التحفيز'!$D$5:$D$2004,"ذهبي"))</f>
        <v/>
      </c>
      <c r="K92" s="20">
        <f>IF(B92="","",COUNTIFS('سجل التحفيز'!$B$5:$B$2004,B92,'سجل التحفيز'!$R$5:$R$2004,الإعدادات!$B$4,'سجل التحفيز'!$D$5:$D$2004,"ذهبي"))</f>
        <v/>
      </c>
      <c r="L92" s="20">
        <f>IF(B92="","",IF(G92="محرومة","محرومة - مخالفة",IF(K92&gt;=5,"مستحقة ★","متبقي "&amp;(5-K92)&amp;" معايير")))</f>
        <v/>
      </c>
      <c r="N92">
        <f>IF(B92="","",IF(COUNTIFS('سجل التحفيز'!$T$5:$T$2004,"&gt;0",'سجل التحفيز'!$B$5:$B$2004,B92)&gt;0,COUNT(N$4:N91)+1,""))</f>
        <v/>
      </c>
      <c r="O92">
        <f>IF(B92="","",IF(COUNTIFS('سجل التحفيز'!$U$5:$U$2004,"&gt;0",'سجل التحفيز'!$B$5:$B$2004,B92)&gt;0,COUNT(O$4:O91)+1,""))</f>
        <v/>
      </c>
      <c r="P92">
        <f>IF(B92="","",IF(COUNTIFS('سجل التحفيز'!$V$5:$V$2004,"&gt;0",'سجل التحفيز'!$B$5:$B$2004,B92)&gt;0,COUNT(P$4:P91)+1,""))</f>
        <v/>
      </c>
      <c r="Q92">
        <f>IF(B92="","",IF(COUNTIFS('سجل التحفيز'!$W$5:$W$2004,"&gt;0",'سجل التحفيز'!$B$5:$B$2004,B92)&gt;0,COUNT(Q$4:Q91)+1,""))</f>
        <v/>
      </c>
      <c r="R92">
        <f>IF(B92="","",IF(COUNTIFS('سجل التحفيز'!$X$5:$X$2004,"&gt;0",'سجل التحفيز'!$B$5:$B$2004,B92)&gt;0,COUNT(R$4:R91)+1,""))</f>
        <v/>
      </c>
      <c r="S92">
        <f>IF(B92="","",IF(COUNTIFS('سجل التحفيز'!$Y$5:$Y$2004,"&gt;0",'سجل التحفيز'!$B$5:$B$2004,B92)&gt;0,COUNT(S$4:S91)+1,""))</f>
        <v/>
      </c>
      <c r="T92">
        <f>IF(B92="","",IF(COUNTIFS('سجل التحفيز'!$Z$5:$Z$2004,"&gt;0",'سجل التحفيز'!$B$5:$B$2004,B92)&gt;0,COUNT(T$4:T91)+1,""))</f>
        <v/>
      </c>
      <c r="U92">
        <f>IF(B92="","",IF(COUNTIFS('سجل التحفيز'!$AA$5:$AA$2004,"&gt;0",'سجل التحفيز'!$B$5:$B$2004,B92)&gt;0,COUNT(U$4:U91)+1,""))</f>
        <v/>
      </c>
      <c r="V92">
        <f>IF(B92="","",IF(COUNTIFS('سجل التحفيز'!$AB$5:$AB$2004,"&gt;0",'سجل التحفيز'!$B$5:$B$2004,B92)&gt;0,COUNT(V$4:V91)+1,""))</f>
        <v/>
      </c>
      <c r="W92">
        <f>IF(B92="","",IF(COUNTIFS('سجل التحفيز'!$AC$5:$AC$2004,"&gt;0",'سجل التحفيز'!$B$5:$B$2004,B92)&gt;0,COUNT(W$4:W91)+1,""))</f>
        <v/>
      </c>
      <c r="X92">
        <f>IF(B92="","",IF(COUNTIFS('سجل التحفيز'!$AD$5:$AD$2004,"&gt;0",'سجل التحفيز'!$B$5:$B$2004,B92)&gt;0,COUNT(X$4:X91)+1,""))</f>
        <v/>
      </c>
      <c r="Y92">
        <f>IF(B92="","",IF(COUNTIFS('سجل التحفيز'!$AE$5:$AE$2004,"&gt;0",'سجل التحفيز'!$B$5:$B$2004,B92)&gt;0,COUNT(Y$4:Y91)+1,""))</f>
        <v/>
      </c>
    </row>
    <row r="93">
      <c r="A93" s="17" t="n"/>
      <c r="B93" s="17" t="n"/>
      <c r="C93" s="17" t="n"/>
      <c r="D93" s="17" t="n"/>
      <c r="E93" s="17" t="n"/>
      <c r="F93" s="17" t="n"/>
      <c r="G93" s="17" t="n"/>
      <c r="H93" s="20">
        <f>IF(B93="","",COUNTIFS('سجل التحفيز'!$B$5:$B$2004,B93,'سجل التحفيز'!$R$5:$R$2004,الإعدادات!$B$4))</f>
        <v/>
      </c>
      <c r="I93" s="20">
        <f>IF(B93="","",COUNTIFS('سجل التحفيز'!$B$5:$B$2004,B93,'سجل التحفيز'!$R$5:$R$2004,الإعدادات!$B$4,'سجل التحفيز'!$Q$5:$Q$2004,"الفصل الأول",'سجل التحفيز'!$D$5:$D$2004,"ذهبي"))</f>
        <v/>
      </c>
      <c r="J93" s="20">
        <f>IF(B93="","",COUNTIFS('سجل التحفيز'!$B$5:$B$2004,B93,'سجل التحفيز'!$R$5:$R$2004,الإعدادات!$B$4,'سجل التحفيز'!$Q$5:$Q$2004,"الفصل الثاني",'سجل التحفيز'!$D$5:$D$2004,"ذهبي"))</f>
        <v/>
      </c>
      <c r="K93" s="20">
        <f>IF(B93="","",COUNTIFS('سجل التحفيز'!$B$5:$B$2004,B93,'سجل التحفيز'!$R$5:$R$2004,الإعدادات!$B$4,'سجل التحفيز'!$D$5:$D$2004,"ذهبي"))</f>
        <v/>
      </c>
      <c r="L93" s="20">
        <f>IF(B93="","",IF(G93="محرومة","محرومة - مخالفة",IF(K93&gt;=5,"مستحقة ★","متبقي "&amp;(5-K93)&amp;" معايير")))</f>
        <v/>
      </c>
      <c r="N93">
        <f>IF(B93="","",IF(COUNTIFS('سجل التحفيز'!$T$5:$T$2004,"&gt;0",'سجل التحفيز'!$B$5:$B$2004,B93)&gt;0,COUNT(N$4:N92)+1,""))</f>
        <v/>
      </c>
      <c r="O93">
        <f>IF(B93="","",IF(COUNTIFS('سجل التحفيز'!$U$5:$U$2004,"&gt;0",'سجل التحفيز'!$B$5:$B$2004,B93)&gt;0,COUNT(O$4:O92)+1,""))</f>
        <v/>
      </c>
      <c r="P93">
        <f>IF(B93="","",IF(COUNTIFS('سجل التحفيز'!$V$5:$V$2004,"&gt;0",'سجل التحفيز'!$B$5:$B$2004,B93)&gt;0,COUNT(P$4:P92)+1,""))</f>
        <v/>
      </c>
      <c r="Q93">
        <f>IF(B93="","",IF(COUNTIFS('سجل التحفيز'!$W$5:$W$2004,"&gt;0",'سجل التحفيز'!$B$5:$B$2004,B93)&gt;0,COUNT(Q$4:Q92)+1,""))</f>
        <v/>
      </c>
      <c r="R93">
        <f>IF(B93="","",IF(COUNTIFS('سجل التحفيز'!$X$5:$X$2004,"&gt;0",'سجل التحفيز'!$B$5:$B$2004,B93)&gt;0,COUNT(R$4:R92)+1,""))</f>
        <v/>
      </c>
      <c r="S93">
        <f>IF(B93="","",IF(COUNTIFS('سجل التحفيز'!$Y$5:$Y$2004,"&gt;0",'سجل التحفيز'!$B$5:$B$2004,B93)&gt;0,COUNT(S$4:S92)+1,""))</f>
        <v/>
      </c>
      <c r="T93">
        <f>IF(B93="","",IF(COUNTIFS('سجل التحفيز'!$Z$5:$Z$2004,"&gt;0",'سجل التحفيز'!$B$5:$B$2004,B93)&gt;0,COUNT(T$4:T92)+1,""))</f>
        <v/>
      </c>
      <c r="U93">
        <f>IF(B93="","",IF(COUNTIFS('سجل التحفيز'!$AA$5:$AA$2004,"&gt;0",'سجل التحفيز'!$B$5:$B$2004,B93)&gt;0,COUNT(U$4:U92)+1,""))</f>
        <v/>
      </c>
      <c r="V93">
        <f>IF(B93="","",IF(COUNTIFS('سجل التحفيز'!$AB$5:$AB$2004,"&gt;0",'سجل التحفيز'!$B$5:$B$2004,B93)&gt;0,COUNT(V$4:V92)+1,""))</f>
        <v/>
      </c>
      <c r="W93">
        <f>IF(B93="","",IF(COUNTIFS('سجل التحفيز'!$AC$5:$AC$2004,"&gt;0",'سجل التحفيز'!$B$5:$B$2004,B93)&gt;0,COUNT(W$4:W92)+1,""))</f>
        <v/>
      </c>
      <c r="X93">
        <f>IF(B93="","",IF(COUNTIFS('سجل التحفيز'!$AD$5:$AD$2004,"&gt;0",'سجل التحفيز'!$B$5:$B$2004,B93)&gt;0,COUNT(X$4:X92)+1,""))</f>
        <v/>
      </c>
      <c r="Y93">
        <f>IF(B93="","",IF(COUNTIFS('سجل التحفيز'!$AE$5:$AE$2004,"&gt;0",'سجل التحفيز'!$B$5:$B$2004,B93)&gt;0,COUNT(Y$4:Y92)+1,""))</f>
        <v/>
      </c>
    </row>
    <row r="94">
      <c r="A94" s="17" t="n"/>
      <c r="B94" s="17" t="n"/>
      <c r="C94" s="17" t="n"/>
      <c r="D94" s="17" t="n"/>
      <c r="E94" s="17" t="n"/>
      <c r="F94" s="17" t="n"/>
      <c r="G94" s="17" t="n"/>
      <c r="H94" s="20">
        <f>IF(B94="","",COUNTIFS('سجل التحفيز'!$B$5:$B$2004,B94,'سجل التحفيز'!$R$5:$R$2004,الإعدادات!$B$4))</f>
        <v/>
      </c>
      <c r="I94" s="20">
        <f>IF(B94="","",COUNTIFS('سجل التحفيز'!$B$5:$B$2004,B94,'سجل التحفيز'!$R$5:$R$2004,الإعدادات!$B$4,'سجل التحفيز'!$Q$5:$Q$2004,"الفصل الأول",'سجل التحفيز'!$D$5:$D$2004,"ذهبي"))</f>
        <v/>
      </c>
      <c r="J94" s="20">
        <f>IF(B94="","",COUNTIFS('سجل التحفيز'!$B$5:$B$2004,B94,'سجل التحفيز'!$R$5:$R$2004,الإعدادات!$B$4,'سجل التحفيز'!$Q$5:$Q$2004,"الفصل الثاني",'سجل التحفيز'!$D$5:$D$2004,"ذهبي"))</f>
        <v/>
      </c>
      <c r="K94" s="20">
        <f>IF(B94="","",COUNTIFS('سجل التحفيز'!$B$5:$B$2004,B94,'سجل التحفيز'!$R$5:$R$2004,الإعدادات!$B$4,'سجل التحفيز'!$D$5:$D$2004,"ذهبي"))</f>
        <v/>
      </c>
      <c r="L94" s="20">
        <f>IF(B94="","",IF(G94="محرومة","محرومة - مخالفة",IF(K94&gt;=5,"مستحقة ★","متبقي "&amp;(5-K94)&amp;" معايير")))</f>
        <v/>
      </c>
      <c r="N94">
        <f>IF(B94="","",IF(COUNTIFS('سجل التحفيز'!$T$5:$T$2004,"&gt;0",'سجل التحفيز'!$B$5:$B$2004,B94)&gt;0,COUNT(N$4:N93)+1,""))</f>
        <v/>
      </c>
      <c r="O94">
        <f>IF(B94="","",IF(COUNTIFS('سجل التحفيز'!$U$5:$U$2004,"&gt;0",'سجل التحفيز'!$B$5:$B$2004,B94)&gt;0,COUNT(O$4:O93)+1,""))</f>
        <v/>
      </c>
      <c r="P94">
        <f>IF(B94="","",IF(COUNTIFS('سجل التحفيز'!$V$5:$V$2004,"&gt;0",'سجل التحفيز'!$B$5:$B$2004,B94)&gt;0,COUNT(P$4:P93)+1,""))</f>
        <v/>
      </c>
      <c r="Q94">
        <f>IF(B94="","",IF(COUNTIFS('سجل التحفيز'!$W$5:$W$2004,"&gt;0",'سجل التحفيز'!$B$5:$B$2004,B94)&gt;0,COUNT(Q$4:Q93)+1,""))</f>
        <v/>
      </c>
      <c r="R94">
        <f>IF(B94="","",IF(COUNTIFS('سجل التحفيز'!$X$5:$X$2004,"&gt;0",'سجل التحفيز'!$B$5:$B$2004,B94)&gt;0,COUNT(R$4:R93)+1,""))</f>
        <v/>
      </c>
      <c r="S94">
        <f>IF(B94="","",IF(COUNTIFS('سجل التحفيز'!$Y$5:$Y$2004,"&gt;0",'سجل التحفيز'!$B$5:$B$2004,B94)&gt;0,COUNT(S$4:S93)+1,""))</f>
        <v/>
      </c>
      <c r="T94">
        <f>IF(B94="","",IF(COUNTIFS('سجل التحفيز'!$Z$5:$Z$2004,"&gt;0",'سجل التحفيز'!$B$5:$B$2004,B94)&gt;0,COUNT(T$4:T93)+1,""))</f>
        <v/>
      </c>
      <c r="U94">
        <f>IF(B94="","",IF(COUNTIFS('سجل التحفيز'!$AA$5:$AA$2004,"&gt;0",'سجل التحفيز'!$B$5:$B$2004,B94)&gt;0,COUNT(U$4:U93)+1,""))</f>
        <v/>
      </c>
      <c r="V94">
        <f>IF(B94="","",IF(COUNTIFS('سجل التحفيز'!$AB$5:$AB$2004,"&gt;0",'سجل التحفيز'!$B$5:$B$2004,B94)&gt;0,COUNT(V$4:V93)+1,""))</f>
        <v/>
      </c>
      <c r="W94">
        <f>IF(B94="","",IF(COUNTIFS('سجل التحفيز'!$AC$5:$AC$2004,"&gt;0",'سجل التحفيز'!$B$5:$B$2004,B94)&gt;0,COUNT(W$4:W93)+1,""))</f>
        <v/>
      </c>
      <c r="X94">
        <f>IF(B94="","",IF(COUNTIFS('سجل التحفيز'!$AD$5:$AD$2004,"&gt;0",'سجل التحفيز'!$B$5:$B$2004,B94)&gt;0,COUNT(X$4:X93)+1,""))</f>
        <v/>
      </c>
      <c r="Y94">
        <f>IF(B94="","",IF(COUNTIFS('سجل التحفيز'!$AE$5:$AE$2004,"&gt;0",'سجل التحفيز'!$B$5:$B$2004,B94)&gt;0,COUNT(Y$4:Y93)+1,""))</f>
        <v/>
      </c>
    </row>
    <row r="95">
      <c r="A95" s="17" t="n"/>
      <c r="B95" s="17" t="n"/>
      <c r="C95" s="17" t="n"/>
      <c r="D95" s="17" t="n"/>
      <c r="E95" s="17" t="n"/>
      <c r="F95" s="17" t="n"/>
      <c r="G95" s="17" t="n"/>
      <c r="H95" s="20">
        <f>IF(B95="","",COUNTIFS('سجل التحفيز'!$B$5:$B$2004,B95,'سجل التحفيز'!$R$5:$R$2004,الإعدادات!$B$4))</f>
        <v/>
      </c>
      <c r="I95" s="20">
        <f>IF(B95="","",COUNTIFS('سجل التحفيز'!$B$5:$B$2004,B95,'سجل التحفيز'!$R$5:$R$2004,الإعدادات!$B$4,'سجل التحفيز'!$Q$5:$Q$2004,"الفصل الأول",'سجل التحفيز'!$D$5:$D$2004,"ذهبي"))</f>
        <v/>
      </c>
      <c r="J95" s="20">
        <f>IF(B95="","",COUNTIFS('سجل التحفيز'!$B$5:$B$2004,B95,'سجل التحفيز'!$R$5:$R$2004,الإعدادات!$B$4,'سجل التحفيز'!$Q$5:$Q$2004,"الفصل الثاني",'سجل التحفيز'!$D$5:$D$2004,"ذهبي"))</f>
        <v/>
      </c>
      <c r="K95" s="20">
        <f>IF(B95="","",COUNTIFS('سجل التحفيز'!$B$5:$B$2004,B95,'سجل التحفيز'!$R$5:$R$2004,الإعدادات!$B$4,'سجل التحفيز'!$D$5:$D$2004,"ذهبي"))</f>
        <v/>
      </c>
      <c r="L95" s="20">
        <f>IF(B95="","",IF(G95="محرومة","محرومة - مخالفة",IF(K95&gt;=5,"مستحقة ★","متبقي "&amp;(5-K95)&amp;" معايير")))</f>
        <v/>
      </c>
      <c r="N95">
        <f>IF(B95="","",IF(COUNTIFS('سجل التحفيز'!$T$5:$T$2004,"&gt;0",'سجل التحفيز'!$B$5:$B$2004,B95)&gt;0,COUNT(N$4:N94)+1,""))</f>
        <v/>
      </c>
      <c r="O95">
        <f>IF(B95="","",IF(COUNTIFS('سجل التحفيز'!$U$5:$U$2004,"&gt;0",'سجل التحفيز'!$B$5:$B$2004,B95)&gt;0,COUNT(O$4:O94)+1,""))</f>
        <v/>
      </c>
      <c r="P95">
        <f>IF(B95="","",IF(COUNTIFS('سجل التحفيز'!$V$5:$V$2004,"&gt;0",'سجل التحفيز'!$B$5:$B$2004,B95)&gt;0,COUNT(P$4:P94)+1,""))</f>
        <v/>
      </c>
      <c r="Q95">
        <f>IF(B95="","",IF(COUNTIFS('سجل التحفيز'!$W$5:$W$2004,"&gt;0",'سجل التحفيز'!$B$5:$B$2004,B95)&gt;0,COUNT(Q$4:Q94)+1,""))</f>
        <v/>
      </c>
      <c r="R95">
        <f>IF(B95="","",IF(COUNTIFS('سجل التحفيز'!$X$5:$X$2004,"&gt;0",'سجل التحفيز'!$B$5:$B$2004,B95)&gt;0,COUNT(R$4:R94)+1,""))</f>
        <v/>
      </c>
      <c r="S95">
        <f>IF(B95="","",IF(COUNTIFS('سجل التحفيز'!$Y$5:$Y$2004,"&gt;0",'سجل التحفيز'!$B$5:$B$2004,B95)&gt;0,COUNT(S$4:S94)+1,""))</f>
        <v/>
      </c>
      <c r="T95">
        <f>IF(B95="","",IF(COUNTIFS('سجل التحفيز'!$Z$5:$Z$2004,"&gt;0",'سجل التحفيز'!$B$5:$B$2004,B95)&gt;0,COUNT(T$4:T94)+1,""))</f>
        <v/>
      </c>
      <c r="U95">
        <f>IF(B95="","",IF(COUNTIFS('سجل التحفيز'!$AA$5:$AA$2004,"&gt;0",'سجل التحفيز'!$B$5:$B$2004,B95)&gt;0,COUNT(U$4:U94)+1,""))</f>
        <v/>
      </c>
      <c r="V95">
        <f>IF(B95="","",IF(COUNTIFS('سجل التحفيز'!$AB$5:$AB$2004,"&gt;0",'سجل التحفيز'!$B$5:$B$2004,B95)&gt;0,COUNT(V$4:V94)+1,""))</f>
        <v/>
      </c>
      <c r="W95">
        <f>IF(B95="","",IF(COUNTIFS('سجل التحفيز'!$AC$5:$AC$2004,"&gt;0",'سجل التحفيز'!$B$5:$B$2004,B95)&gt;0,COUNT(W$4:W94)+1,""))</f>
        <v/>
      </c>
      <c r="X95">
        <f>IF(B95="","",IF(COUNTIFS('سجل التحفيز'!$AD$5:$AD$2004,"&gt;0",'سجل التحفيز'!$B$5:$B$2004,B95)&gt;0,COUNT(X$4:X94)+1,""))</f>
        <v/>
      </c>
      <c r="Y95">
        <f>IF(B95="","",IF(COUNTIFS('سجل التحفيز'!$AE$5:$AE$2004,"&gt;0",'سجل التحفيز'!$B$5:$B$2004,B95)&gt;0,COUNT(Y$4:Y94)+1,""))</f>
        <v/>
      </c>
    </row>
    <row r="96">
      <c r="A96" s="17" t="n"/>
      <c r="B96" s="17" t="n"/>
      <c r="C96" s="17" t="n"/>
      <c r="D96" s="17" t="n"/>
      <c r="E96" s="17" t="n"/>
      <c r="F96" s="17" t="n"/>
      <c r="G96" s="17" t="n"/>
      <c r="H96" s="20">
        <f>IF(B96="","",COUNTIFS('سجل التحفيز'!$B$5:$B$2004,B96,'سجل التحفيز'!$R$5:$R$2004,الإعدادات!$B$4))</f>
        <v/>
      </c>
      <c r="I96" s="20">
        <f>IF(B96="","",COUNTIFS('سجل التحفيز'!$B$5:$B$2004,B96,'سجل التحفيز'!$R$5:$R$2004,الإعدادات!$B$4,'سجل التحفيز'!$Q$5:$Q$2004,"الفصل الأول",'سجل التحفيز'!$D$5:$D$2004,"ذهبي"))</f>
        <v/>
      </c>
      <c r="J96" s="20">
        <f>IF(B96="","",COUNTIFS('سجل التحفيز'!$B$5:$B$2004,B96,'سجل التحفيز'!$R$5:$R$2004,الإعدادات!$B$4,'سجل التحفيز'!$Q$5:$Q$2004,"الفصل الثاني",'سجل التحفيز'!$D$5:$D$2004,"ذهبي"))</f>
        <v/>
      </c>
      <c r="K96" s="20">
        <f>IF(B96="","",COUNTIFS('سجل التحفيز'!$B$5:$B$2004,B96,'سجل التحفيز'!$R$5:$R$2004,الإعدادات!$B$4,'سجل التحفيز'!$D$5:$D$2004,"ذهبي"))</f>
        <v/>
      </c>
      <c r="L96" s="20">
        <f>IF(B96="","",IF(G96="محرومة","محرومة - مخالفة",IF(K96&gt;=5,"مستحقة ★","متبقي "&amp;(5-K96)&amp;" معايير")))</f>
        <v/>
      </c>
      <c r="N96">
        <f>IF(B96="","",IF(COUNTIFS('سجل التحفيز'!$T$5:$T$2004,"&gt;0",'سجل التحفيز'!$B$5:$B$2004,B96)&gt;0,COUNT(N$4:N95)+1,""))</f>
        <v/>
      </c>
      <c r="O96">
        <f>IF(B96="","",IF(COUNTIFS('سجل التحفيز'!$U$5:$U$2004,"&gt;0",'سجل التحفيز'!$B$5:$B$2004,B96)&gt;0,COUNT(O$4:O95)+1,""))</f>
        <v/>
      </c>
      <c r="P96">
        <f>IF(B96="","",IF(COUNTIFS('سجل التحفيز'!$V$5:$V$2004,"&gt;0",'سجل التحفيز'!$B$5:$B$2004,B96)&gt;0,COUNT(P$4:P95)+1,""))</f>
        <v/>
      </c>
      <c r="Q96">
        <f>IF(B96="","",IF(COUNTIFS('سجل التحفيز'!$W$5:$W$2004,"&gt;0",'سجل التحفيز'!$B$5:$B$2004,B96)&gt;0,COUNT(Q$4:Q95)+1,""))</f>
        <v/>
      </c>
      <c r="R96">
        <f>IF(B96="","",IF(COUNTIFS('سجل التحفيز'!$X$5:$X$2004,"&gt;0",'سجل التحفيز'!$B$5:$B$2004,B96)&gt;0,COUNT(R$4:R95)+1,""))</f>
        <v/>
      </c>
      <c r="S96">
        <f>IF(B96="","",IF(COUNTIFS('سجل التحفيز'!$Y$5:$Y$2004,"&gt;0",'سجل التحفيز'!$B$5:$B$2004,B96)&gt;0,COUNT(S$4:S95)+1,""))</f>
        <v/>
      </c>
      <c r="T96">
        <f>IF(B96="","",IF(COUNTIFS('سجل التحفيز'!$Z$5:$Z$2004,"&gt;0",'سجل التحفيز'!$B$5:$B$2004,B96)&gt;0,COUNT(T$4:T95)+1,""))</f>
        <v/>
      </c>
      <c r="U96">
        <f>IF(B96="","",IF(COUNTIFS('سجل التحفيز'!$AA$5:$AA$2004,"&gt;0",'سجل التحفيز'!$B$5:$B$2004,B96)&gt;0,COUNT(U$4:U95)+1,""))</f>
        <v/>
      </c>
      <c r="V96">
        <f>IF(B96="","",IF(COUNTIFS('سجل التحفيز'!$AB$5:$AB$2004,"&gt;0",'سجل التحفيز'!$B$5:$B$2004,B96)&gt;0,COUNT(V$4:V95)+1,""))</f>
        <v/>
      </c>
      <c r="W96">
        <f>IF(B96="","",IF(COUNTIFS('سجل التحفيز'!$AC$5:$AC$2004,"&gt;0",'سجل التحفيز'!$B$5:$B$2004,B96)&gt;0,COUNT(W$4:W95)+1,""))</f>
        <v/>
      </c>
      <c r="X96">
        <f>IF(B96="","",IF(COUNTIFS('سجل التحفيز'!$AD$5:$AD$2004,"&gt;0",'سجل التحفيز'!$B$5:$B$2004,B96)&gt;0,COUNT(X$4:X95)+1,""))</f>
        <v/>
      </c>
      <c r="Y96">
        <f>IF(B96="","",IF(COUNTIFS('سجل التحفيز'!$AE$5:$AE$2004,"&gt;0",'سجل التحفيز'!$B$5:$B$2004,B96)&gt;0,COUNT(Y$4:Y95)+1,""))</f>
        <v/>
      </c>
    </row>
    <row r="97">
      <c r="A97" s="17" t="n"/>
      <c r="B97" s="17" t="n"/>
      <c r="C97" s="17" t="n"/>
      <c r="D97" s="17" t="n"/>
      <c r="E97" s="17" t="n"/>
      <c r="F97" s="17" t="n"/>
      <c r="G97" s="17" t="n"/>
      <c r="H97" s="20">
        <f>IF(B97="","",COUNTIFS('سجل التحفيز'!$B$5:$B$2004,B97,'سجل التحفيز'!$R$5:$R$2004,الإعدادات!$B$4))</f>
        <v/>
      </c>
      <c r="I97" s="20">
        <f>IF(B97="","",COUNTIFS('سجل التحفيز'!$B$5:$B$2004,B97,'سجل التحفيز'!$R$5:$R$2004,الإعدادات!$B$4,'سجل التحفيز'!$Q$5:$Q$2004,"الفصل الأول",'سجل التحفيز'!$D$5:$D$2004,"ذهبي"))</f>
        <v/>
      </c>
      <c r="J97" s="20">
        <f>IF(B97="","",COUNTIFS('سجل التحفيز'!$B$5:$B$2004,B97,'سجل التحفيز'!$R$5:$R$2004,الإعدادات!$B$4,'سجل التحفيز'!$Q$5:$Q$2004,"الفصل الثاني",'سجل التحفيز'!$D$5:$D$2004,"ذهبي"))</f>
        <v/>
      </c>
      <c r="K97" s="20">
        <f>IF(B97="","",COUNTIFS('سجل التحفيز'!$B$5:$B$2004,B97,'سجل التحفيز'!$R$5:$R$2004,الإعدادات!$B$4,'سجل التحفيز'!$D$5:$D$2004,"ذهبي"))</f>
        <v/>
      </c>
      <c r="L97" s="20">
        <f>IF(B97="","",IF(G97="محرومة","محرومة - مخالفة",IF(K97&gt;=5,"مستحقة ★","متبقي "&amp;(5-K97)&amp;" معايير")))</f>
        <v/>
      </c>
      <c r="N97">
        <f>IF(B97="","",IF(COUNTIFS('سجل التحفيز'!$T$5:$T$2004,"&gt;0",'سجل التحفيز'!$B$5:$B$2004,B97)&gt;0,COUNT(N$4:N96)+1,""))</f>
        <v/>
      </c>
      <c r="O97">
        <f>IF(B97="","",IF(COUNTIFS('سجل التحفيز'!$U$5:$U$2004,"&gt;0",'سجل التحفيز'!$B$5:$B$2004,B97)&gt;0,COUNT(O$4:O96)+1,""))</f>
        <v/>
      </c>
      <c r="P97">
        <f>IF(B97="","",IF(COUNTIFS('سجل التحفيز'!$V$5:$V$2004,"&gt;0",'سجل التحفيز'!$B$5:$B$2004,B97)&gt;0,COUNT(P$4:P96)+1,""))</f>
        <v/>
      </c>
      <c r="Q97">
        <f>IF(B97="","",IF(COUNTIFS('سجل التحفيز'!$W$5:$W$2004,"&gt;0",'سجل التحفيز'!$B$5:$B$2004,B97)&gt;0,COUNT(Q$4:Q96)+1,""))</f>
        <v/>
      </c>
      <c r="R97">
        <f>IF(B97="","",IF(COUNTIFS('سجل التحفيز'!$X$5:$X$2004,"&gt;0",'سجل التحفيز'!$B$5:$B$2004,B97)&gt;0,COUNT(R$4:R96)+1,""))</f>
        <v/>
      </c>
      <c r="S97">
        <f>IF(B97="","",IF(COUNTIFS('سجل التحفيز'!$Y$5:$Y$2004,"&gt;0",'سجل التحفيز'!$B$5:$B$2004,B97)&gt;0,COUNT(S$4:S96)+1,""))</f>
        <v/>
      </c>
      <c r="T97">
        <f>IF(B97="","",IF(COUNTIFS('سجل التحفيز'!$Z$5:$Z$2004,"&gt;0",'سجل التحفيز'!$B$5:$B$2004,B97)&gt;0,COUNT(T$4:T96)+1,""))</f>
        <v/>
      </c>
      <c r="U97">
        <f>IF(B97="","",IF(COUNTIFS('سجل التحفيز'!$AA$5:$AA$2004,"&gt;0",'سجل التحفيز'!$B$5:$B$2004,B97)&gt;0,COUNT(U$4:U96)+1,""))</f>
        <v/>
      </c>
      <c r="V97">
        <f>IF(B97="","",IF(COUNTIFS('سجل التحفيز'!$AB$5:$AB$2004,"&gt;0",'سجل التحفيز'!$B$5:$B$2004,B97)&gt;0,COUNT(V$4:V96)+1,""))</f>
        <v/>
      </c>
      <c r="W97">
        <f>IF(B97="","",IF(COUNTIFS('سجل التحفيز'!$AC$5:$AC$2004,"&gt;0",'سجل التحفيز'!$B$5:$B$2004,B97)&gt;0,COUNT(W$4:W96)+1,""))</f>
        <v/>
      </c>
      <c r="X97">
        <f>IF(B97="","",IF(COUNTIFS('سجل التحفيز'!$AD$5:$AD$2004,"&gt;0",'سجل التحفيز'!$B$5:$B$2004,B97)&gt;0,COUNT(X$4:X96)+1,""))</f>
        <v/>
      </c>
      <c r="Y97">
        <f>IF(B97="","",IF(COUNTIFS('سجل التحفيز'!$AE$5:$AE$2004,"&gt;0",'سجل التحفيز'!$B$5:$B$2004,B97)&gt;0,COUNT(Y$4:Y96)+1,""))</f>
        <v/>
      </c>
    </row>
    <row r="98">
      <c r="A98" s="17" t="n"/>
      <c r="B98" s="17" t="n"/>
      <c r="C98" s="17" t="n"/>
      <c r="D98" s="17" t="n"/>
      <c r="E98" s="17" t="n"/>
      <c r="F98" s="17" t="n"/>
      <c r="G98" s="17" t="n"/>
      <c r="H98" s="20">
        <f>IF(B98="","",COUNTIFS('سجل التحفيز'!$B$5:$B$2004,B98,'سجل التحفيز'!$R$5:$R$2004,الإعدادات!$B$4))</f>
        <v/>
      </c>
      <c r="I98" s="20">
        <f>IF(B98="","",COUNTIFS('سجل التحفيز'!$B$5:$B$2004,B98,'سجل التحفيز'!$R$5:$R$2004,الإعدادات!$B$4,'سجل التحفيز'!$Q$5:$Q$2004,"الفصل الأول",'سجل التحفيز'!$D$5:$D$2004,"ذهبي"))</f>
        <v/>
      </c>
      <c r="J98" s="20">
        <f>IF(B98="","",COUNTIFS('سجل التحفيز'!$B$5:$B$2004,B98,'سجل التحفيز'!$R$5:$R$2004,الإعدادات!$B$4,'سجل التحفيز'!$Q$5:$Q$2004,"الفصل الثاني",'سجل التحفيز'!$D$5:$D$2004,"ذهبي"))</f>
        <v/>
      </c>
      <c r="K98" s="20">
        <f>IF(B98="","",COUNTIFS('سجل التحفيز'!$B$5:$B$2004,B98,'سجل التحفيز'!$R$5:$R$2004,الإعدادات!$B$4,'سجل التحفيز'!$D$5:$D$2004,"ذهبي"))</f>
        <v/>
      </c>
      <c r="L98" s="20">
        <f>IF(B98="","",IF(G98="محرومة","محرومة - مخالفة",IF(K98&gt;=5,"مستحقة ★","متبقي "&amp;(5-K98)&amp;" معايير")))</f>
        <v/>
      </c>
      <c r="N98">
        <f>IF(B98="","",IF(COUNTIFS('سجل التحفيز'!$T$5:$T$2004,"&gt;0",'سجل التحفيز'!$B$5:$B$2004,B98)&gt;0,COUNT(N$4:N97)+1,""))</f>
        <v/>
      </c>
      <c r="O98">
        <f>IF(B98="","",IF(COUNTIFS('سجل التحفيز'!$U$5:$U$2004,"&gt;0",'سجل التحفيز'!$B$5:$B$2004,B98)&gt;0,COUNT(O$4:O97)+1,""))</f>
        <v/>
      </c>
      <c r="P98">
        <f>IF(B98="","",IF(COUNTIFS('سجل التحفيز'!$V$5:$V$2004,"&gt;0",'سجل التحفيز'!$B$5:$B$2004,B98)&gt;0,COUNT(P$4:P97)+1,""))</f>
        <v/>
      </c>
      <c r="Q98">
        <f>IF(B98="","",IF(COUNTIFS('سجل التحفيز'!$W$5:$W$2004,"&gt;0",'سجل التحفيز'!$B$5:$B$2004,B98)&gt;0,COUNT(Q$4:Q97)+1,""))</f>
        <v/>
      </c>
      <c r="R98">
        <f>IF(B98="","",IF(COUNTIFS('سجل التحفيز'!$X$5:$X$2004,"&gt;0",'سجل التحفيز'!$B$5:$B$2004,B98)&gt;0,COUNT(R$4:R97)+1,""))</f>
        <v/>
      </c>
      <c r="S98">
        <f>IF(B98="","",IF(COUNTIFS('سجل التحفيز'!$Y$5:$Y$2004,"&gt;0",'سجل التحفيز'!$B$5:$B$2004,B98)&gt;0,COUNT(S$4:S97)+1,""))</f>
        <v/>
      </c>
      <c r="T98">
        <f>IF(B98="","",IF(COUNTIFS('سجل التحفيز'!$Z$5:$Z$2004,"&gt;0",'سجل التحفيز'!$B$5:$B$2004,B98)&gt;0,COUNT(T$4:T97)+1,""))</f>
        <v/>
      </c>
      <c r="U98">
        <f>IF(B98="","",IF(COUNTIFS('سجل التحفيز'!$AA$5:$AA$2004,"&gt;0",'سجل التحفيز'!$B$5:$B$2004,B98)&gt;0,COUNT(U$4:U97)+1,""))</f>
        <v/>
      </c>
      <c r="V98">
        <f>IF(B98="","",IF(COUNTIFS('سجل التحفيز'!$AB$5:$AB$2004,"&gt;0",'سجل التحفيز'!$B$5:$B$2004,B98)&gt;0,COUNT(V$4:V97)+1,""))</f>
        <v/>
      </c>
      <c r="W98">
        <f>IF(B98="","",IF(COUNTIFS('سجل التحفيز'!$AC$5:$AC$2004,"&gt;0",'سجل التحفيز'!$B$5:$B$2004,B98)&gt;0,COUNT(W$4:W97)+1,""))</f>
        <v/>
      </c>
      <c r="X98">
        <f>IF(B98="","",IF(COUNTIFS('سجل التحفيز'!$AD$5:$AD$2004,"&gt;0",'سجل التحفيز'!$B$5:$B$2004,B98)&gt;0,COUNT(X$4:X97)+1,""))</f>
        <v/>
      </c>
      <c r="Y98">
        <f>IF(B98="","",IF(COUNTIFS('سجل التحفيز'!$AE$5:$AE$2004,"&gt;0",'سجل التحفيز'!$B$5:$B$2004,B98)&gt;0,COUNT(Y$4:Y97)+1,""))</f>
        <v/>
      </c>
    </row>
    <row r="99">
      <c r="A99" s="17" t="n"/>
      <c r="B99" s="17" t="n"/>
      <c r="C99" s="17" t="n"/>
      <c r="D99" s="17" t="n"/>
      <c r="E99" s="17" t="n"/>
      <c r="F99" s="17" t="n"/>
      <c r="G99" s="17" t="n"/>
      <c r="H99" s="20">
        <f>IF(B99="","",COUNTIFS('سجل التحفيز'!$B$5:$B$2004,B99,'سجل التحفيز'!$R$5:$R$2004,الإعدادات!$B$4))</f>
        <v/>
      </c>
      <c r="I99" s="20">
        <f>IF(B99="","",COUNTIFS('سجل التحفيز'!$B$5:$B$2004,B99,'سجل التحفيز'!$R$5:$R$2004,الإعدادات!$B$4,'سجل التحفيز'!$Q$5:$Q$2004,"الفصل الأول",'سجل التحفيز'!$D$5:$D$2004,"ذهبي"))</f>
        <v/>
      </c>
      <c r="J99" s="20">
        <f>IF(B99="","",COUNTIFS('سجل التحفيز'!$B$5:$B$2004,B99,'سجل التحفيز'!$R$5:$R$2004,الإعدادات!$B$4,'سجل التحفيز'!$Q$5:$Q$2004,"الفصل الثاني",'سجل التحفيز'!$D$5:$D$2004,"ذهبي"))</f>
        <v/>
      </c>
      <c r="K99" s="20">
        <f>IF(B99="","",COUNTIFS('سجل التحفيز'!$B$5:$B$2004,B99,'سجل التحفيز'!$R$5:$R$2004,الإعدادات!$B$4,'سجل التحفيز'!$D$5:$D$2004,"ذهبي"))</f>
        <v/>
      </c>
      <c r="L99" s="20">
        <f>IF(B99="","",IF(G99="محرومة","محرومة - مخالفة",IF(K99&gt;=5,"مستحقة ★","متبقي "&amp;(5-K99)&amp;" معايير")))</f>
        <v/>
      </c>
      <c r="N99">
        <f>IF(B99="","",IF(COUNTIFS('سجل التحفيز'!$T$5:$T$2004,"&gt;0",'سجل التحفيز'!$B$5:$B$2004,B99)&gt;0,COUNT(N$4:N98)+1,""))</f>
        <v/>
      </c>
      <c r="O99">
        <f>IF(B99="","",IF(COUNTIFS('سجل التحفيز'!$U$5:$U$2004,"&gt;0",'سجل التحفيز'!$B$5:$B$2004,B99)&gt;0,COUNT(O$4:O98)+1,""))</f>
        <v/>
      </c>
      <c r="P99">
        <f>IF(B99="","",IF(COUNTIFS('سجل التحفيز'!$V$5:$V$2004,"&gt;0",'سجل التحفيز'!$B$5:$B$2004,B99)&gt;0,COUNT(P$4:P98)+1,""))</f>
        <v/>
      </c>
      <c r="Q99">
        <f>IF(B99="","",IF(COUNTIFS('سجل التحفيز'!$W$5:$W$2004,"&gt;0",'سجل التحفيز'!$B$5:$B$2004,B99)&gt;0,COUNT(Q$4:Q98)+1,""))</f>
        <v/>
      </c>
      <c r="R99">
        <f>IF(B99="","",IF(COUNTIFS('سجل التحفيز'!$X$5:$X$2004,"&gt;0",'سجل التحفيز'!$B$5:$B$2004,B99)&gt;0,COUNT(R$4:R98)+1,""))</f>
        <v/>
      </c>
      <c r="S99">
        <f>IF(B99="","",IF(COUNTIFS('سجل التحفيز'!$Y$5:$Y$2004,"&gt;0",'سجل التحفيز'!$B$5:$B$2004,B99)&gt;0,COUNT(S$4:S98)+1,""))</f>
        <v/>
      </c>
      <c r="T99">
        <f>IF(B99="","",IF(COUNTIFS('سجل التحفيز'!$Z$5:$Z$2004,"&gt;0",'سجل التحفيز'!$B$5:$B$2004,B99)&gt;0,COUNT(T$4:T98)+1,""))</f>
        <v/>
      </c>
      <c r="U99">
        <f>IF(B99="","",IF(COUNTIFS('سجل التحفيز'!$AA$5:$AA$2004,"&gt;0",'سجل التحفيز'!$B$5:$B$2004,B99)&gt;0,COUNT(U$4:U98)+1,""))</f>
        <v/>
      </c>
      <c r="V99">
        <f>IF(B99="","",IF(COUNTIFS('سجل التحفيز'!$AB$5:$AB$2004,"&gt;0",'سجل التحفيز'!$B$5:$B$2004,B99)&gt;0,COUNT(V$4:V98)+1,""))</f>
        <v/>
      </c>
      <c r="W99">
        <f>IF(B99="","",IF(COUNTIFS('سجل التحفيز'!$AC$5:$AC$2004,"&gt;0",'سجل التحفيز'!$B$5:$B$2004,B99)&gt;0,COUNT(W$4:W98)+1,""))</f>
        <v/>
      </c>
      <c r="X99">
        <f>IF(B99="","",IF(COUNTIFS('سجل التحفيز'!$AD$5:$AD$2004,"&gt;0",'سجل التحفيز'!$B$5:$B$2004,B99)&gt;0,COUNT(X$4:X98)+1,""))</f>
        <v/>
      </c>
      <c r="Y99">
        <f>IF(B99="","",IF(COUNTIFS('سجل التحفيز'!$AE$5:$AE$2004,"&gt;0",'سجل التحفيز'!$B$5:$B$2004,B99)&gt;0,COUNT(Y$4:Y98)+1,""))</f>
        <v/>
      </c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20">
        <f>IF(B100="","",COUNTIFS('سجل التحفيز'!$B$5:$B$2004,B100,'سجل التحفيز'!$R$5:$R$2004,الإعدادات!$B$4))</f>
        <v/>
      </c>
      <c r="I100" s="20">
        <f>IF(B100="","",COUNTIFS('سجل التحفيز'!$B$5:$B$2004,B100,'سجل التحفيز'!$R$5:$R$2004,الإعدادات!$B$4,'سجل التحفيز'!$Q$5:$Q$2004,"الفصل الأول",'سجل التحفيز'!$D$5:$D$2004,"ذهبي"))</f>
        <v/>
      </c>
      <c r="J100" s="20">
        <f>IF(B100="","",COUNTIFS('سجل التحفيز'!$B$5:$B$2004,B100,'سجل التحفيز'!$R$5:$R$2004,الإعدادات!$B$4,'سجل التحفيز'!$Q$5:$Q$2004,"الفصل الثاني",'سجل التحفيز'!$D$5:$D$2004,"ذهبي"))</f>
        <v/>
      </c>
      <c r="K100" s="20">
        <f>IF(B100="","",COUNTIFS('سجل التحفيز'!$B$5:$B$2004,B100,'سجل التحفيز'!$R$5:$R$2004,الإعدادات!$B$4,'سجل التحفيز'!$D$5:$D$2004,"ذهبي"))</f>
        <v/>
      </c>
      <c r="L100" s="20">
        <f>IF(B100="","",IF(G100="محرومة","محرومة - مخالفة",IF(K100&gt;=5,"مستحقة ★","متبقي "&amp;(5-K100)&amp;" معايير")))</f>
        <v/>
      </c>
      <c r="N100">
        <f>IF(B100="","",IF(COUNTIFS('سجل التحفيز'!$T$5:$T$2004,"&gt;0",'سجل التحفيز'!$B$5:$B$2004,B100)&gt;0,COUNT(N$4:N99)+1,""))</f>
        <v/>
      </c>
      <c r="O100">
        <f>IF(B100="","",IF(COUNTIFS('سجل التحفيز'!$U$5:$U$2004,"&gt;0",'سجل التحفيز'!$B$5:$B$2004,B100)&gt;0,COUNT(O$4:O99)+1,""))</f>
        <v/>
      </c>
      <c r="P100">
        <f>IF(B100="","",IF(COUNTIFS('سجل التحفيز'!$V$5:$V$2004,"&gt;0",'سجل التحفيز'!$B$5:$B$2004,B100)&gt;0,COUNT(P$4:P99)+1,""))</f>
        <v/>
      </c>
      <c r="Q100">
        <f>IF(B100="","",IF(COUNTIFS('سجل التحفيز'!$W$5:$W$2004,"&gt;0",'سجل التحفيز'!$B$5:$B$2004,B100)&gt;0,COUNT(Q$4:Q99)+1,""))</f>
        <v/>
      </c>
      <c r="R100">
        <f>IF(B100="","",IF(COUNTIFS('سجل التحفيز'!$X$5:$X$2004,"&gt;0",'سجل التحفيز'!$B$5:$B$2004,B100)&gt;0,COUNT(R$4:R99)+1,""))</f>
        <v/>
      </c>
      <c r="S100">
        <f>IF(B100="","",IF(COUNTIFS('سجل التحفيز'!$Y$5:$Y$2004,"&gt;0",'سجل التحفيز'!$B$5:$B$2004,B100)&gt;0,COUNT(S$4:S99)+1,""))</f>
        <v/>
      </c>
      <c r="T100">
        <f>IF(B100="","",IF(COUNTIFS('سجل التحفيز'!$Z$5:$Z$2004,"&gt;0",'سجل التحفيز'!$B$5:$B$2004,B100)&gt;0,COUNT(T$4:T99)+1,""))</f>
        <v/>
      </c>
      <c r="U100">
        <f>IF(B100="","",IF(COUNTIFS('سجل التحفيز'!$AA$5:$AA$2004,"&gt;0",'سجل التحفيز'!$B$5:$B$2004,B100)&gt;0,COUNT(U$4:U99)+1,""))</f>
        <v/>
      </c>
      <c r="V100">
        <f>IF(B100="","",IF(COUNTIFS('سجل التحفيز'!$AB$5:$AB$2004,"&gt;0",'سجل التحفيز'!$B$5:$B$2004,B100)&gt;0,COUNT(V$4:V99)+1,""))</f>
        <v/>
      </c>
      <c r="W100">
        <f>IF(B100="","",IF(COUNTIFS('سجل التحفيز'!$AC$5:$AC$2004,"&gt;0",'سجل التحفيز'!$B$5:$B$2004,B100)&gt;0,COUNT(W$4:W99)+1,""))</f>
        <v/>
      </c>
      <c r="X100">
        <f>IF(B100="","",IF(COUNTIFS('سجل التحفيز'!$AD$5:$AD$2004,"&gt;0",'سجل التحفيز'!$B$5:$B$2004,B100)&gt;0,COUNT(X$4:X99)+1,""))</f>
        <v/>
      </c>
      <c r="Y100">
        <f>IF(B100="","",IF(COUNTIFS('سجل التحفيز'!$AE$5:$AE$2004,"&gt;0",'سجل التحفيز'!$B$5:$B$2004,B100)&gt;0,COUNT(Y$4:Y99)+1,""))</f>
        <v/>
      </c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20">
        <f>IF(B101="","",COUNTIFS('سجل التحفيز'!$B$5:$B$2004,B101,'سجل التحفيز'!$R$5:$R$2004,الإعدادات!$B$4))</f>
        <v/>
      </c>
      <c r="I101" s="20">
        <f>IF(B101="","",COUNTIFS('سجل التحفيز'!$B$5:$B$2004,B101,'سجل التحفيز'!$R$5:$R$2004,الإعدادات!$B$4,'سجل التحفيز'!$Q$5:$Q$2004,"الفصل الأول",'سجل التحفيز'!$D$5:$D$2004,"ذهبي"))</f>
        <v/>
      </c>
      <c r="J101" s="20">
        <f>IF(B101="","",COUNTIFS('سجل التحفيز'!$B$5:$B$2004,B101,'سجل التحفيز'!$R$5:$R$2004,الإعدادات!$B$4,'سجل التحفيز'!$Q$5:$Q$2004,"الفصل الثاني",'سجل التحفيز'!$D$5:$D$2004,"ذهبي"))</f>
        <v/>
      </c>
      <c r="K101" s="20">
        <f>IF(B101="","",COUNTIFS('سجل التحفيز'!$B$5:$B$2004,B101,'سجل التحفيز'!$R$5:$R$2004,الإعدادات!$B$4,'سجل التحفيز'!$D$5:$D$2004,"ذهبي"))</f>
        <v/>
      </c>
      <c r="L101" s="20">
        <f>IF(B101="","",IF(G101="محرومة","محرومة - مخالفة",IF(K101&gt;=5,"مستحقة ★","متبقي "&amp;(5-K101)&amp;" معايير")))</f>
        <v/>
      </c>
      <c r="N101">
        <f>IF(B101="","",IF(COUNTIFS('سجل التحفيز'!$T$5:$T$2004,"&gt;0",'سجل التحفيز'!$B$5:$B$2004,B101)&gt;0,COUNT(N$4:N100)+1,""))</f>
        <v/>
      </c>
      <c r="O101">
        <f>IF(B101="","",IF(COUNTIFS('سجل التحفيز'!$U$5:$U$2004,"&gt;0",'سجل التحفيز'!$B$5:$B$2004,B101)&gt;0,COUNT(O$4:O100)+1,""))</f>
        <v/>
      </c>
      <c r="P101">
        <f>IF(B101="","",IF(COUNTIFS('سجل التحفيز'!$V$5:$V$2004,"&gt;0",'سجل التحفيز'!$B$5:$B$2004,B101)&gt;0,COUNT(P$4:P100)+1,""))</f>
        <v/>
      </c>
      <c r="Q101">
        <f>IF(B101="","",IF(COUNTIFS('سجل التحفيز'!$W$5:$W$2004,"&gt;0",'سجل التحفيز'!$B$5:$B$2004,B101)&gt;0,COUNT(Q$4:Q100)+1,""))</f>
        <v/>
      </c>
      <c r="R101">
        <f>IF(B101="","",IF(COUNTIFS('سجل التحفيز'!$X$5:$X$2004,"&gt;0",'سجل التحفيز'!$B$5:$B$2004,B101)&gt;0,COUNT(R$4:R100)+1,""))</f>
        <v/>
      </c>
      <c r="S101">
        <f>IF(B101="","",IF(COUNTIFS('سجل التحفيز'!$Y$5:$Y$2004,"&gt;0",'سجل التحفيز'!$B$5:$B$2004,B101)&gt;0,COUNT(S$4:S100)+1,""))</f>
        <v/>
      </c>
      <c r="T101">
        <f>IF(B101="","",IF(COUNTIFS('سجل التحفيز'!$Z$5:$Z$2004,"&gt;0",'سجل التحفيز'!$B$5:$B$2004,B101)&gt;0,COUNT(T$4:T100)+1,""))</f>
        <v/>
      </c>
      <c r="U101">
        <f>IF(B101="","",IF(COUNTIFS('سجل التحفيز'!$AA$5:$AA$2004,"&gt;0",'سجل التحفيز'!$B$5:$B$2004,B101)&gt;0,COUNT(U$4:U100)+1,""))</f>
        <v/>
      </c>
      <c r="V101">
        <f>IF(B101="","",IF(COUNTIFS('سجل التحفيز'!$AB$5:$AB$2004,"&gt;0",'سجل التحفيز'!$B$5:$B$2004,B101)&gt;0,COUNT(V$4:V100)+1,""))</f>
        <v/>
      </c>
      <c r="W101">
        <f>IF(B101="","",IF(COUNTIFS('سجل التحفيز'!$AC$5:$AC$2004,"&gt;0",'سجل التحفيز'!$B$5:$B$2004,B101)&gt;0,COUNT(W$4:W100)+1,""))</f>
        <v/>
      </c>
      <c r="X101">
        <f>IF(B101="","",IF(COUNTIFS('سجل التحفيز'!$AD$5:$AD$2004,"&gt;0",'سجل التحفيز'!$B$5:$B$2004,B101)&gt;0,COUNT(X$4:X100)+1,""))</f>
        <v/>
      </c>
      <c r="Y101">
        <f>IF(B101="","",IF(COUNTIFS('سجل التحفيز'!$AE$5:$AE$2004,"&gt;0",'سجل التحفيز'!$B$5:$B$2004,B101)&gt;0,COUNT(Y$4:Y100)+1,""))</f>
        <v/>
      </c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20">
        <f>IF(B102="","",COUNTIFS('سجل التحفيز'!$B$5:$B$2004,B102,'سجل التحفيز'!$R$5:$R$2004,الإعدادات!$B$4))</f>
        <v/>
      </c>
      <c r="I102" s="20">
        <f>IF(B102="","",COUNTIFS('سجل التحفيز'!$B$5:$B$2004,B102,'سجل التحفيز'!$R$5:$R$2004,الإعدادات!$B$4,'سجل التحفيز'!$Q$5:$Q$2004,"الفصل الأول",'سجل التحفيز'!$D$5:$D$2004,"ذهبي"))</f>
        <v/>
      </c>
      <c r="J102" s="20">
        <f>IF(B102="","",COUNTIFS('سجل التحفيز'!$B$5:$B$2004,B102,'سجل التحفيز'!$R$5:$R$2004,الإعدادات!$B$4,'سجل التحفيز'!$Q$5:$Q$2004,"الفصل الثاني",'سجل التحفيز'!$D$5:$D$2004,"ذهبي"))</f>
        <v/>
      </c>
      <c r="K102" s="20">
        <f>IF(B102="","",COUNTIFS('سجل التحفيز'!$B$5:$B$2004,B102,'سجل التحفيز'!$R$5:$R$2004,الإعدادات!$B$4,'سجل التحفيز'!$D$5:$D$2004,"ذهبي"))</f>
        <v/>
      </c>
      <c r="L102" s="20">
        <f>IF(B102="","",IF(G102="محرومة","محرومة - مخالفة",IF(K102&gt;=5,"مستحقة ★","متبقي "&amp;(5-K102)&amp;" معايير")))</f>
        <v/>
      </c>
      <c r="N102">
        <f>IF(B102="","",IF(COUNTIFS('سجل التحفيز'!$T$5:$T$2004,"&gt;0",'سجل التحفيز'!$B$5:$B$2004,B102)&gt;0,COUNT(N$4:N101)+1,""))</f>
        <v/>
      </c>
      <c r="O102">
        <f>IF(B102="","",IF(COUNTIFS('سجل التحفيز'!$U$5:$U$2004,"&gt;0",'سجل التحفيز'!$B$5:$B$2004,B102)&gt;0,COUNT(O$4:O101)+1,""))</f>
        <v/>
      </c>
      <c r="P102">
        <f>IF(B102="","",IF(COUNTIFS('سجل التحفيز'!$V$5:$V$2004,"&gt;0",'سجل التحفيز'!$B$5:$B$2004,B102)&gt;0,COUNT(P$4:P101)+1,""))</f>
        <v/>
      </c>
      <c r="Q102">
        <f>IF(B102="","",IF(COUNTIFS('سجل التحفيز'!$W$5:$W$2004,"&gt;0",'سجل التحفيز'!$B$5:$B$2004,B102)&gt;0,COUNT(Q$4:Q101)+1,""))</f>
        <v/>
      </c>
      <c r="R102">
        <f>IF(B102="","",IF(COUNTIFS('سجل التحفيز'!$X$5:$X$2004,"&gt;0",'سجل التحفيز'!$B$5:$B$2004,B102)&gt;0,COUNT(R$4:R101)+1,""))</f>
        <v/>
      </c>
      <c r="S102">
        <f>IF(B102="","",IF(COUNTIFS('سجل التحفيز'!$Y$5:$Y$2004,"&gt;0",'سجل التحفيز'!$B$5:$B$2004,B102)&gt;0,COUNT(S$4:S101)+1,""))</f>
        <v/>
      </c>
      <c r="T102">
        <f>IF(B102="","",IF(COUNTIFS('سجل التحفيز'!$Z$5:$Z$2004,"&gt;0",'سجل التحفيز'!$B$5:$B$2004,B102)&gt;0,COUNT(T$4:T101)+1,""))</f>
        <v/>
      </c>
      <c r="U102">
        <f>IF(B102="","",IF(COUNTIFS('سجل التحفيز'!$AA$5:$AA$2004,"&gt;0",'سجل التحفيز'!$B$5:$B$2004,B102)&gt;0,COUNT(U$4:U101)+1,""))</f>
        <v/>
      </c>
      <c r="V102">
        <f>IF(B102="","",IF(COUNTIFS('سجل التحفيز'!$AB$5:$AB$2004,"&gt;0",'سجل التحفيز'!$B$5:$B$2004,B102)&gt;0,COUNT(V$4:V101)+1,""))</f>
        <v/>
      </c>
      <c r="W102">
        <f>IF(B102="","",IF(COUNTIFS('سجل التحفيز'!$AC$5:$AC$2004,"&gt;0",'سجل التحفيز'!$B$5:$B$2004,B102)&gt;0,COUNT(W$4:W101)+1,""))</f>
        <v/>
      </c>
      <c r="X102">
        <f>IF(B102="","",IF(COUNTIFS('سجل التحفيز'!$AD$5:$AD$2004,"&gt;0",'سجل التحفيز'!$B$5:$B$2004,B102)&gt;0,COUNT(X$4:X101)+1,""))</f>
        <v/>
      </c>
      <c r="Y102">
        <f>IF(B102="","",IF(COUNTIFS('سجل التحفيز'!$AE$5:$AE$2004,"&gt;0",'سجل التحفيز'!$B$5:$B$2004,B102)&gt;0,COUNT(Y$4:Y101)+1,""))</f>
        <v/>
      </c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20">
        <f>IF(B103="","",COUNTIFS('سجل التحفيز'!$B$5:$B$2004,B103,'سجل التحفيز'!$R$5:$R$2004,الإعدادات!$B$4))</f>
        <v/>
      </c>
      <c r="I103" s="20">
        <f>IF(B103="","",COUNTIFS('سجل التحفيز'!$B$5:$B$2004,B103,'سجل التحفيز'!$R$5:$R$2004,الإعدادات!$B$4,'سجل التحفيز'!$Q$5:$Q$2004,"الفصل الأول",'سجل التحفيز'!$D$5:$D$2004,"ذهبي"))</f>
        <v/>
      </c>
      <c r="J103" s="20">
        <f>IF(B103="","",COUNTIFS('سجل التحفيز'!$B$5:$B$2004,B103,'سجل التحفيز'!$R$5:$R$2004,الإعدادات!$B$4,'سجل التحفيز'!$Q$5:$Q$2004,"الفصل الثاني",'سجل التحفيز'!$D$5:$D$2004,"ذهبي"))</f>
        <v/>
      </c>
      <c r="K103" s="20">
        <f>IF(B103="","",COUNTIFS('سجل التحفيز'!$B$5:$B$2004,B103,'سجل التحفيز'!$R$5:$R$2004,الإعدادات!$B$4,'سجل التحفيز'!$D$5:$D$2004,"ذهبي"))</f>
        <v/>
      </c>
      <c r="L103" s="20">
        <f>IF(B103="","",IF(G103="محرومة","محرومة - مخالفة",IF(K103&gt;=5,"مستحقة ★","متبقي "&amp;(5-K103)&amp;" معايير")))</f>
        <v/>
      </c>
      <c r="N103">
        <f>IF(B103="","",IF(COUNTIFS('سجل التحفيز'!$T$5:$T$2004,"&gt;0",'سجل التحفيز'!$B$5:$B$2004,B103)&gt;0,COUNT(N$4:N102)+1,""))</f>
        <v/>
      </c>
      <c r="O103">
        <f>IF(B103="","",IF(COUNTIFS('سجل التحفيز'!$U$5:$U$2004,"&gt;0",'سجل التحفيز'!$B$5:$B$2004,B103)&gt;0,COUNT(O$4:O102)+1,""))</f>
        <v/>
      </c>
      <c r="P103">
        <f>IF(B103="","",IF(COUNTIFS('سجل التحفيز'!$V$5:$V$2004,"&gt;0",'سجل التحفيز'!$B$5:$B$2004,B103)&gt;0,COUNT(P$4:P102)+1,""))</f>
        <v/>
      </c>
      <c r="Q103">
        <f>IF(B103="","",IF(COUNTIFS('سجل التحفيز'!$W$5:$W$2004,"&gt;0",'سجل التحفيز'!$B$5:$B$2004,B103)&gt;0,COUNT(Q$4:Q102)+1,""))</f>
        <v/>
      </c>
      <c r="R103">
        <f>IF(B103="","",IF(COUNTIFS('سجل التحفيز'!$X$5:$X$2004,"&gt;0",'سجل التحفيز'!$B$5:$B$2004,B103)&gt;0,COUNT(R$4:R102)+1,""))</f>
        <v/>
      </c>
      <c r="S103">
        <f>IF(B103="","",IF(COUNTIFS('سجل التحفيز'!$Y$5:$Y$2004,"&gt;0",'سجل التحفيز'!$B$5:$B$2004,B103)&gt;0,COUNT(S$4:S102)+1,""))</f>
        <v/>
      </c>
      <c r="T103">
        <f>IF(B103="","",IF(COUNTIFS('سجل التحفيز'!$Z$5:$Z$2004,"&gt;0",'سجل التحفيز'!$B$5:$B$2004,B103)&gt;0,COUNT(T$4:T102)+1,""))</f>
        <v/>
      </c>
      <c r="U103">
        <f>IF(B103="","",IF(COUNTIFS('سجل التحفيز'!$AA$5:$AA$2004,"&gt;0",'سجل التحفيز'!$B$5:$B$2004,B103)&gt;0,COUNT(U$4:U102)+1,""))</f>
        <v/>
      </c>
      <c r="V103">
        <f>IF(B103="","",IF(COUNTIFS('سجل التحفيز'!$AB$5:$AB$2004,"&gt;0",'سجل التحفيز'!$B$5:$B$2004,B103)&gt;0,COUNT(V$4:V102)+1,""))</f>
        <v/>
      </c>
      <c r="W103">
        <f>IF(B103="","",IF(COUNTIFS('سجل التحفيز'!$AC$5:$AC$2004,"&gt;0",'سجل التحفيز'!$B$5:$B$2004,B103)&gt;0,COUNT(W$4:W102)+1,""))</f>
        <v/>
      </c>
      <c r="X103">
        <f>IF(B103="","",IF(COUNTIFS('سجل التحفيز'!$AD$5:$AD$2004,"&gt;0",'سجل التحفيز'!$B$5:$B$2004,B103)&gt;0,COUNT(X$4:X102)+1,""))</f>
        <v/>
      </c>
      <c r="Y103">
        <f>IF(B103="","",IF(COUNTIFS('سجل التحفيز'!$AE$5:$AE$2004,"&gt;0",'سجل التحفيز'!$B$5:$B$2004,B103)&gt;0,COUNT(Y$4:Y102)+1,""))</f>
        <v/>
      </c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20">
        <f>IF(B104="","",COUNTIFS('سجل التحفيز'!$B$5:$B$2004,B104,'سجل التحفيز'!$R$5:$R$2004,الإعدادات!$B$4))</f>
        <v/>
      </c>
      <c r="I104" s="20">
        <f>IF(B104="","",COUNTIFS('سجل التحفيز'!$B$5:$B$2004,B104,'سجل التحفيز'!$R$5:$R$2004,الإعدادات!$B$4,'سجل التحفيز'!$Q$5:$Q$2004,"الفصل الأول",'سجل التحفيز'!$D$5:$D$2004,"ذهبي"))</f>
        <v/>
      </c>
      <c r="J104" s="20">
        <f>IF(B104="","",COUNTIFS('سجل التحفيز'!$B$5:$B$2004,B104,'سجل التحفيز'!$R$5:$R$2004,الإعدادات!$B$4,'سجل التحفيز'!$Q$5:$Q$2004,"الفصل الثاني",'سجل التحفيز'!$D$5:$D$2004,"ذهبي"))</f>
        <v/>
      </c>
      <c r="K104" s="20">
        <f>IF(B104="","",COUNTIFS('سجل التحفيز'!$B$5:$B$2004,B104,'سجل التحفيز'!$R$5:$R$2004,الإعدادات!$B$4,'سجل التحفيز'!$D$5:$D$2004,"ذهبي"))</f>
        <v/>
      </c>
      <c r="L104" s="20">
        <f>IF(B104="","",IF(G104="محرومة","محرومة - مخالفة",IF(K104&gt;=5,"مستحقة ★","متبقي "&amp;(5-K104)&amp;" معايير")))</f>
        <v/>
      </c>
      <c r="N104">
        <f>IF(B104="","",IF(COUNTIFS('سجل التحفيز'!$T$5:$T$2004,"&gt;0",'سجل التحفيز'!$B$5:$B$2004,B104)&gt;0,COUNT(N$4:N103)+1,""))</f>
        <v/>
      </c>
      <c r="O104">
        <f>IF(B104="","",IF(COUNTIFS('سجل التحفيز'!$U$5:$U$2004,"&gt;0",'سجل التحفيز'!$B$5:$B$2004,B104)&gt;0,COUNT(O$4:O103)+1,""))</f>
        <v/>
      </c>
      <c r="P104">
        <f>IF(B104="","",IF(COUNTIFS('سجل التحفيز'!$V$5:$V$2004,"&gt;0",'سجل التحفيز'!$B$5:$B$2004,B104)&gt;0,COUNT(P$4:P103)+1,""))</f>
        <v/>
      </c>
      <c r="Q104">
        <f>IF(B104="","",IF(COUNTIFS('سجل التحفيز'!$W$5:$W$2004,"&gt;0",'سجل التحفيز'!$B$5:$B$2004,B104)&gt;0,COUNT(Q$4:Q103)+1,""))</f>
        <v/>
      </c>
      <c r="R104">
        <f>IF(B104="","",IF(COUNTIFS('سجل التحفيز'!$X$5:$X$2004,"&gt;0",'سجل التحفيز'!$B$5:$B$2004,B104)&gt;0,COUNT(R$4:R103)+1,""))</f>
        <v/>
      </c>
      <c r="S104">
        <f>IF(B104="","",IF(COUNTIFS('سجل التحفيز'!$Y$5:$Y$2004,"&gt;0",'سجل التحفيز'!$B$5:$B$2004,B104)&gt;0,COUNT(S$4:S103)+1,""))</f>
        <v/>
      </c>
      <c r="T104">
        <f>IF(B104="","",IF(COUNTIFS('سجل التحفيز'!$Z$5:$Z$2004,"&gt;0",'سجل التحفيز'!$B$5:$B$2004,B104)&gt;0,COUNT(T$4:T103)+1,""))</f>
        <v/>
      </c>
      <c r="U104">
        <f>IF(B104="","",IF(COUNTIFS('سجل التحفيز'!$AA$5:$AA$2004,"&gt;0",'سجل التحفيز'!$B$5:$B$2004,B104)&gt;0,COUNT(U$4:U103)+1,""))</f>
        <v/>
      </c>
      <c r="V104">
        <f>IF(B104="","",IF(COUNTIFS('سجل التحفيز'!$AB$5:$AB$2004,"&gt;0",'سجل التحفيز'!$B$5:$B$2004,B104)&gt;0,COUNT(V$4:V103)+1,""))</f>
        <v/>
      </c>
      <c r="W104">
        <f>IF(B104="","",IF(COUNTIFS('سجل التحفيز'!$AC$5:$AC$2004,"&gt;0",'سجل التحفيز'!$B$5:$B$2004,B104)&gt;0,COUNT(W$4:W103)+1,""))</f>
        <v/>
      </c>
      <c r="X104">
        <f>IF(B104="","",IF(COUNTIFS('سجل التحفيز'!$AD$5:$AD$2004,"&gt;0",'سجل التحفيز'!$B$5:$B$2004,B104)&gt;0,COUNT(X$4:X103)+1,""))</f>
        <v/>
      </c>
      <c r="Y104">
        <f>IF(B104="","",IF(COUNTIFS('سجل التحفيز'!$AE$5:$AE$2004,"&gt;0",'سجل التحفيز'!$B$5:$B$2004,B104)&gt;0,COUNT(Y$4:Y103)+1,""))</f>
        <v/>
      </c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20">
        <f>IF(B105="","",COUNTIFS('سجل التحفيز'!$B$5:$B$2004,B105,'سجل التحفيز'!$R$5:$R$2004,الإعدادات!$B$4))</f>
        <v/>
      </c>
      <c r="I105" s="20">
        <f>IF(B105="","",COUNTIFS('سجل التحفيز'!$B$5:$B$2004,B105,'سجل التحفيز'!$R$5:$R$2004,الإعدادات!$B$4,'سجل التحفيز'!$Q$5:$Q$2004,"الفصل الأول",'سجل التحفيز'!$D$5:$D$2004,"ذهبي"))</f>
        <v/>
      </c>
      <c r="J105" s="20">
        <f>IF(B105="","",COUNTIFS('سجل التحفيز'!$B$5:$B$2004,B105,'سجل التحفيز'!$R$5:$R$2004,الإعدادات!$B$4,'سجل التحفيز'!$Q$5:$Q$2004,"الفصل الثاني",'سجل التحفيز'!$D$5:$D$2004,"ذهبي"))</f>
        <v/>
      </c>
      <c r="K105" s="20">
        <f>IF(B105="","",COUNTIFS('سجل التحفيز'!$B$5:$B$2004,B105,'سجل التحفيز'!$R$5:$R$2004,الإعدادات!$B$4,'سجل التحفيز'!$D$5:$D$2004,"ذهبي"))</f>
        <v/>
      </c>
      <c r="L105" s="20">
        <f>IF(B105="","",IF(G105="محرومة","محرومة - مخالفة",IF(K105&gt;=5,"مستحقة ★","متبقي "&amp;(5-K105)&amp;" معايير")))</f>
        <v/>
      </c>
      <c r="N105">
        <f>IF(B105="","",IF(COUNTIFS('سجل التحفيز'!$T$5:$T$2004,"&gt;0",'سجل التحفيز'!$B$5:$B$2004,B105)&gt;0,COUNT(N$4:N104)+1,""))</f>
        <v/>
      </c>
      <c r="O105">
        <f>IF(B105="","",IF(COUNTIFS('سجل التحفيز'!$U$5:$U$2004,"&gt;0",'سجل التحفيز'!$B$5:$B$2004,B105)&gt;0,COUNT(O$4:O104)+1,""))</f>
        <v/>
      </c>
      <c r="P105">
        <f>IF(B105="","",IF(COUNTIFS('سجل التحفيز'!$V$5:$V$2004,"&gt;0",'سجل التحفيز'!$B$5:$B$2004,B105)&gt;0,COUNT(P$4:P104)+1,""))</f>
        <v/>
      </c>
      <c r="Q105">
        <f>IF(B105="","",IF(COUNTIFS('سجل التحفيز'!$W$5:$W$2004,"&gt;0",'سجل التحفيز'!$B$5:$B$2004,B105)&gt;0,COUNT(Q$4:Q104)+1,""))</f>
        <v/>
      </c>
      <c r="R105">
        <f>IF(B105="","",IF(COUNTIFS('سجل التحفيز'!$X$5:$X$2004,"&gt;0",'سجل التحفيز'!$B$5:$B$2004,B105)&gt;0,COUNT(R$4:R104)+1,""))</f>
        <v/>
      </c>
      <c r="S105">
        <f>IF(B105="","",IF(COUNTIFS('سجل التحفيز'!$Y$5:$Y$2004,"&gt;0",'سجل التحفيز'!$B$5:$B$2004,B105)&gt;0,COUNT(S$4:S104)+1,""))</f>
        <v/>
      </c>
      <c r="T105">
        <f>IF(B105="","",IF(COUNTIFS('سجل التحفيز'!$Z$5:$Z$2004,"&gt;0",'سجل التحفيز'!$B$5:$B$2004,B105)&gt;0,COUNT(T$4:T104)+1,""))</f>
        <v/>
      </c>
      <c r="U105">
        <f>IF(B105="","",IF(COUNTIFS('سجل التحفيز'!$AA$5:$AA$2004,"&gt;0",'سجل التحفيز'!$B$5:$B$2004,B105)&gt;0,COUNT(U$4:U104)+1,""))</f>
        <v/>
      </c>
      <c r="V105">
        <f>IF(B105="","",IF(COUNTIFS('سجل التحفيز'!$AB$5:$AB$2004,"&gt;0",'سجل التحفيز'!$B$5:$B$2004,B105)&gt;0,COUNT(V$4:V104)+1,""))</f>
        <v/>
      </c>
      <c r="W105">
        <f>IF(B105="","",IF(COUNTIFS('سجل التحفيز'!$AC$5:$AC$2004,"&gt;0",'سجل التحفيز'!$B$5:$B$2004,B105)&gt;0,COUNT(W$4:W104)+1,""))</f>
        <v/>
      </c>
      <c r="X105">
        <f>IF(B105="","",IF(COUNTIFS('سجل التحفيز'!$AD$5:$AD$2004,"&gt;0",'سجل التحفيز'!$B$5:$B$2004,B105)&gt;0,COUNT(X$4:X104)+1,""))</f>
        <v/>
      </c>
      <c r="Y105">
        <f>IF(B105="","",IF(COUNTIFS('سجل التحفيز'!$AE$5:$AE$2004,"&gt;0",'سجل التحفيز'!$B$5:$B$2004,B105)&gt;0,COUNT(Y$4:Y104)+1,""))</f>
        <v/>
      </c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20">
        <f>IF(B106="","",COUNTIFS('سجل التحفيز'!$B$5:$B$2004,B106,'سجل التحفيز'!$R$5:$R$2004,الإعدادات!$B$4))</f>
        <v/>
      </c>
      <c r="I106" s="20">
        <f>IF(B106="","",COUNTIFS('سجل التحفيز'!$B$5:$B$2004,B106,'سجل التحفيز'!$R$5:$R$2004,الإعدادات!$B$4,'سجل التحفيز'!$Q$5:$Q$2004,"الفصل الأول",'سجل التحفيز'!$D$5:$D$2004,"ذهبي"))</f>
        <v/>
      </c>
      <c r="J106" s="20">
        <f>IF(B106="","",COUNTIFS('سجل التحفيز'!$B$5:$B$2004,B106,'سجل التحفيز'!$R$5:$R$2004,الإعدادات!$B$4,'سجل التحفيز'!$Q$5:$Q$2004,"الفصل الثاني",'سجل التحفيز'!$D$5:$D$2004,"ذهبي"))</f>
        <v/>
      </c>
      <c r="K106" s="20">
        <f>IF(B106="","",COUNTIFS('سجل التحفيز'!$B$5:$B$2004,B106,'سجل التحفيز'!$R$5:$R$2004,الإعدادات!$B$4,'سجل التحفيز'!$D$5:$D$2004,"ذهبي"))</f>
        <v/>
      </c>
      <c r="L106" s="20">
        <f>IF(B106="","",IF(G106="محرومة","محرومة - مخالفة",IF(K106&gt;=5,"مستحقة ★","متبقي "&amp;(5-K106)&amp;" معايير")))</f>
        <v/>
      </c>
      <c r="N106">
        <f>IF(B106="","",IF(COUNTIFS('سجل التحفيز'!$T$5:$T$2004,"&gt;0",'سجل التحفيز'!$B$5:$B$2004,B106)&gt;0,COUNT(N$4:N105)+1,""))</f>
        <v/>
      </c>
      <c r="O106">
        <f>IF(B106="","",IF(COUNTIFS('سجل التحفيز'!$U$5:$U$2004,"&gt;0",'سجل التحفيز'!$B$5:$B$2004,B106)&gt;0,COUNT(O$4:O105)+1,""))</f>
        <v/>
      </c>
      <c r="P106">
        <f>IF(B106="","",IF(COUNTIFS('سجل التحفيز'!$V$5:$V$2004,"&gt;0",'سجل التحفيز'!$B$5:$B$2004,B106)&gt;0,COUNT(P$4:P105)+1,""))</f>
        <v/>
      </c>
      <c r="Q106">
        <f>IF(B106="","",IF(COUNTIFS('سجل التحفيز'!$W$5:$W$2004,"&gt;0",'سجل التحفيز'!$B$5:$B$2004,B106)&gt;0,COUNT(Q$4:Q105)+1,""))</f>
        <v/>
      </c>
      <c r="R106">
        <f>IF(B106="","",IF(COUNTIFS('سجل التحفيز'!$X$5:$X$2004,"&gt;0",'سجل التحفيز'!$B$5:$B$2004,B106)&gt;0,COUNT(R$4:R105)+1,""))</f>
        <v/>
      </c>
      <c r="S106">
        <f>IF(B106="","",IF(COUNTIFS('سجل التحفيز'!$Y$5:$Y$2004,"&gt;0",'سجل التحفيز'!$B$5:$B$2004,B106)&gt;0,COUNT(S$4:S105)+1,""))</f>
        <v/>
      </c>
      <c r="T106">
        <f>IF(B106="","",IF(COUNTIFS('سجل التحفيز'!$Z$5:$Z$2004,"&gt;0",'سجل التحفيز'!$B$5:$B$2004,B106)&gt;0,COUNT(T$4:T105)+1,""))</f>
        <v/>
      </c>
      <c r="U106">
        <f>IF(B106="","",IF(COUNTIFS('سجل التحفيز'!$AA$5:$AA$2004,"&gt;0",'سجل التحفيز'!$B$5:$B$2004,B106)&gt;0,COUNT(U$4:U105)+1,""))</f>
        <v/>
      </c>
      <c r="V106">
        <f>IF(B106="","",IF(COUNTIFS('سجل التحفيز'!$AB$5:$AB$2004,"&gt;0",'سجل التحفيز'!$B$5:$B$2004,B106)&gt;0,COUNT(V$4:V105)+1,""))</f>
        <v/>
      </c>
      <c r="W106">
        <f>IF(B106="","",IF(COUNTIFS('سجل التحفيز'!$AC$5:$AC$2004,"&gt;0",'سجل التحفيز'!$B$5:$B$2004,B106)&gt;0,COUNT(W$4:W105)+1,""))</f>
        <v/>
      </c>
      <c r="X106">
        <f>IF(B106="","",IF(COUNTIFS('سجل التحفيز'!$AD$5:$AD$2004,"&gt;0",'سجل التحفيز'!$B$5:$B$2004,B106)&gt;0,COUNT(X$4:X105)+1,""))</f>
        <v/>
      </c>
      <c r="Y106">
        <f>IF(B106="","",IF(COUNTIFS('سجل التحفيز'!$AE$5:$AE$2004,"&gt;0",'سجل التحفيز'!$B$5:$B$2004,B106)&gt;0,COUNT(Y$4:Y105)+1,""))</f>
        <v/>
      </c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20">
        <f>IF(B107="","",COUNTIFS('سجل التحفيز'!$B$5:$B$2004,B107,'سجل التحفيز'!$R$5:$R$2004,الإعدادات!$B$4))</f>
        <v/>
      </c>
      <c r="I107" s="20">
        <f>IF(B107="","",COUNTIFS('سجل التحفيز'!$B$5:$B$2004,B107,'سجل التحفيز'!$R$5:$R$2004,الإعدادات!$B$4,'سجل التحفيز'!$Q$5:$Q$2004,"الفصل الأول",'سجل التحفيز'!$D$5:$D$2004,"ذهبي"))</f>
        <v/>
      </c>
      <c r="J107" s="20">
        <f>IF(B107="","",COUNTIFS('سجل التحفيز'!$B$5:$B$2004,B107,'سجل التحفيز'!$R$5:$R$2004,الإعدادات!$B$4,'سجل التحفيز'!$Q$5:$Q$2004,"الفصل الثاني",'سجل التحفيز'!$D$5:$D$2004,"ذهبي"))</f>
        <v/>
      </c>
      <c r="K107" s="20">
        <f>IF(B107="","",COUNTIFS('سجل التحفيز'!$B$5:$B$2004,B107,'سجل التحفيز'!$R$5:$R$2004,الإعدادات!$B$4,'سجل التحفيز'!$D$5:$D$2004,"ذهبي"))</f>
        <v/>
      </c>
      <c r="L107" s="20">
        <f>IF(B107="","",IF(G107="محرومة","محرومة - مخالفة",IF(K107&gt;=5,"مستحقة ★","متبقي "&amp;(5-K107)&amp;" معايير")))</f>
        <v/>
      </c>
      <c r="N107">
        <f>IF(B107="","",IF(COUNTIFS('سجل التحفيز'!$T$5:$T$2004,"&gt;0",'سجل التحفيز'!$B$5:$B$2004,B107)&gt;0,COUNT(N$4:N106)+1,""))</f>
        <v/>
      </c>
      <c r="O107">
        <f>IF(B107="","",IF(COUNTIFS('سجل التحفيز'!$U$5:$U$2004,"&gt;0",'سجل التحفيز'!$B$5:$B$2004,B107)&gt;0,COUNT(O$4:O106)+1,""))</f>
        <v/>
      </c>
      <c r="P107">
        <f>IF(B107="","",IF(COUNTIFS('سجل التحفيز'!$V$5:$V$2004,"&gt;0",'سجل التحفيز'!$B$5:$B$2004,B107)&gt;0,COUNT(P$4:P106)+1,""))</f>
        <v/>
      </c>
      <c r="Q107">
        <f>IF(B107="","",IF(COUNTIFS('سجل التحفيز'!$W$5:$W$2004,"&gt;0",'سجل التحفيز'!$B$5:$B$2004,B107)&gt;0,COUNT(Q$4:Q106)+1,""))</f>
        <v/>
      </c>
      <c r="R107">
        <f>IF(B107="","",IF(COUNTIFS('سجل التحفيز'!$X$5:$X$2004,"&gt;0",'سجل التحفيز'!$B$5:$B$2004,B107)&gt;0,COUNT(R$4:R106)+1,""))</f>
        <v/>
      </c>
      <c r="S107">
        <f>IF(B107="","",IF(COUNTIFS('سجل التحفيز'!$Y$5:$Y$2004,"&gt;0",'سجل التحفيز'!$B$5:$B$2004,B107)&gt;0,COUNT(S$4:S106)+1,""))</f>
        <v/>
      </c>
      <c r="T107">
        <f>IF(B107="","",IF(COUNTIFS('سجل التحفيز'!$Z$5:$Z$2004,"&gt;0",'سجل التحفيز'!$B$5:$B$2004,B107)&gt;0,COUNT(T$4:T106)+1,""))</f>
        <v/>
      </c>
      <c r="U107">
        <f>IF(B107="","",IF(COUNTIFS('سجل التحفيز'!$AA$5:$AA$2004,"&gt;0",'سجل التحفيز'!$B$5:$B$2004,B107)&gt;0,COUNT(U$4:U106)+1,""))</f>
        <v/>
      </c>
      <c r="V107">
        <f>IF(B107="","",IF(COUNTIFS('سجل التحفيز'!$AB$5:$AB$2004,"&gt;0",'سجل التحفيز'!$B$5:$B$2004,B107)&gt;0,COUNT(V$4:V106)+1,""))</f>
        <v/>
      </c>
      <c r="W107">
        <f>IF(B107="","",IF(COUNTIFS('سجل التحفيز'!$AC$5:$AC$2004,"&gt;0",'سجل التحفيز'!$B$5:$B$2004,B107)&gt;0,COUNT(W$4:W106)+1,""))</f>
        <v/>
      </c>
      <c r="X107">
        <f>IF(B107="","",IF(COUNTIFS('سجل التحفيز'!$AD$5:$AD$2004,"&gt;0",'سجل التحفيز'!$B$5:$B$2004,B107)&gt;0,COUNT(X$4:X106)+1,""))</f>
        <v/>
      </c>
      <c r="Y107">
        <f>IF(B107="","",IF(COUNTIFS('سجل التحفيز'!$AE$5:$AE$2004,"&gt;0",'سجل التحفيز'!$B$5:$B$2004,B107)&gt;0,COUNT(Y$4:Y106)+1,""))</f>
        <v/>
      </c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20">
        <f>IF(B108="","",COUNTIFS('سجل التحفيز'!$B$5:$B$2004,B108,'سجل التحفيز'!$R$5:$R$2004,الإعدادات!$B$4))</f>
        <v/>
      </c>
      <c r="I108" s="20">
        <f>IF(B108="","",COUNTIFS('سجل التحفيز'!$B$5:$B$2004,B108,'سجل التحفيز'!$R$5:$R$2004,الإعدادات!$B$4,'سجل التحفيز'!$Q$5:$Q$2004,"الفصل الأول",'سجل التحفيز'!$D$5:$D$2004,"ذهبي"))</f>
        <v/>
      </c>
      <c r="J108" s="20">
        <f>IF(B108="","",COUNTIFS('سجل التحفيز'!$B$5:$B$2004,B108,'سجل التحفيز'!$R$5:$R$2004,الإعدادات!$B$4,'سجل التحفيز'!$Q$5:$Q$2004,"الفصل الثاني",'سجل التحفيز'!$D$5:$D$2004,"ذهبي"))</f>
        <v/>
      </c>
      <c r="K108" s="20">
        <f>IF(B108="","",COUNTIFS('سجل التحفيز'!$B$5:$B$2004,B108,'سجل التحفيز'!$R$5:$R$2004,الإعدادات!$B$4,'سجل التحفيز'!$D$5:$D$2004,"ذهبي"))</f>
        <v/>
      </c>
      <c r="L108" s="20">
        <f>IF(B108="","",IF(G108="محرومة","محرومة - مخالفة",IF(K108&gt;=5,"مستحقة ★","متبقي "&amp;(5-K108)&amp;" معايير")))</f>
        <v/>
      </c>
      <c r="N108">
        <f>IF(B108="","",IF(COUNTIFS('سجل التحفيز'!$T$5:$T$2004,"&gt;0",'سجل التحفيز'!$B$5:$B$2004,B108)&gt;0,COUNT(N$4:N107)+1,""))</f>
        <v/>
      </c>
      <c r="O108">
        <f>IF(B108="","",IF(COUNTIFS('سجل التحفيز'!$U$5:$U$2004,"&gt;0",'سجل التحفيز'!$B$5:$B$2004,B108)&gt;0,COUNT(O$4:O107)+1,""))</f>
        <v/>
      </c>
      <c r="P108">
        <f>IF(B108="","",IF(COUNTIFS('سجل التحفيز'!$V$5:$V$2004,"&gt;0",'سجل التحفيز'!$B$5:$B$2004,B108)&gt;0,COUNT(P$4:P107)+1,""))</f>
        <v/>
      </c>
      <c r="Q108">
        <f>IF(B108="","",IF(COUNTIFS('سجل التحفيز'!$W$5:$W$2004,"&gt;0",'سجل التحفيز'!$B$5:$B$2004,B108)&gt;0,COUNT(Q$4:Q107)+1,""))</f>
        <v/>
      </c>
      <c r="R108">
        <f>IF(B108="","",IF(COUNTIFS('سجل التحفيز'!$X$5:$X$2004,"&gt;0",'سجل التحفيز'!$B$5:$B$2004,B108)&gt;0,COUNT(R$4:R107)+1,""))</f>
        <v/>
      </c>
      <c r="S108">
        <f>IF(B108="","",IF(COUNTIFS('سجل التحفيز'!$Y$5:$Y$2004,"&gt;0",'سجل التحفيز'!$B$5:$B$2004,B108)&gt;0,COUNT(S$4:S107)+1,""))</f>
        <v/>
      </c>
      <c r="T108">
        <f>IF(B108="","",IF(COUNTIFS('سجل التحفيز'!$Z$5:$Z$2004,"&gt;0",'سجل التحفيز'!$B$5:$B$2004,B108)&gt;0,COUNT(T$4:T107)+1,""))</f>
        <v/>
      </c>
      <c r="U108">
        <f>IF(B108="","",IF(COUNTIFS('سجل التحفيز'!$AA$5:$AA$2004,"&gt;0",'سجل التحفيز'!$B$5:$B$2004,B108)&gt;0,COUNT(U$4:U107)+1,""))</f>
        <v/>
      </c>
      <c r="V108">
        <f>IF(B108="","",IF(COUNTIFS('سجل التحفيز'!$AB$5:$AB$2004,"&gt;0",'سجل التحفيز'!$B$5:$B$2004,B108)&gt;0,COUNT(V$4:V107)+1,""))</f>
        <v/>
      </c>
      <c r="W108">
        <f>IF(B108="","",IF(COUNTIFS('سجل التحفيز'!$AC$5:$AC$2004,"&gt;0",'سجل التحفيز'!$B$5:$B$2004,B108)&gt;0,COUNT(W$4:W107)+1,""))</f>
        <v/>
      </c>
      <c r="X108">
        <f>IF(B108="","",IF(COUNTIFS('سجل التحفيز'!$AD$5:$AD$2004,"&gt;0",'سجل التحفيز'!$B$5:$B$2004,B108)&gt;0,COUNT(X$4:X107)+1,""))</f>
        <v/>
      </c>
      <c r="Y108">
        <f>IF(B108="","",IF(COUNTIFS('سجل التحفيز'!$AE$5:$AE$2004,"&gt;0",'سجل التحفيز'!$B$5:$B$2004,B108)&gt;0,COUNT(Y$4:Y107)+1,""))</f>
        <v/>
      </c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20">
        <f>IF(B109="","",COUNTIFS('سجل التحفيز'!$B$5:$B$2004,B109,'سجل التحفيز'!$R$5:$R$2004,الإعدادات!$B$4))</f>
        <v/>
      </c>
      <c r="I109" s="20">
        <f>IF(B109="","",COUNTIFS('سجل التحفيز'!$B$5:$B$2004,B109,'سجل التحفيز'!$R$5:$R$2004,الإعدادات!$B$4,'سجل التحفيز'!$Q$5:$Q$2004,"الفصل الأول",'سجل التحفيز'!$D$5:$D$2004,"ذهبي"))</f>
        <v/>
      </c>
      <c r="J109" s="20">
        <f>IF(B109="","",COUNTIFS('سجل التحفيز'!$B$5:$B$2004,B109,'سجل التحفيز'!$R$5:$R$2004,الإعدادات!$B$4,'سجل التحفيز'!$Q$5:$Q$2004,"الفصل الثاني",'سجل التحفيز'!$D$5:$D$2004,"ذهبي"))</f>
        <v/>
      </c>
      <c r="K109" s="20">
        <f>IF(B109="","",COUNTIFS('سجل التحفيز'!$B$5:$B$2004,B109,'سجل التحفيز'!$R$5:$R$2004,الإعدادات!$B$4,'سجل التحفيز'!$D$5:$D$2004,"ذهبي"))</f>
        <v/>
      </c>
      <c r="L109" s="20">
        <f>IF(B109="","",IF(G109="محرومة","محرومة - مخالفة",IF(K109&gt;=5,"مستحقة ★","متبقي "&amp;(5-K109)&amp;" معايير")))</f>
        <v/>
      </c>
      <c r="N109">
        <f>IF(B109="","",IF(COUNTIFS('سجل التحفيز'!$T$5:$T$2004,"&gt;0",'سجل التحفيز'!$B$5:$B$2004,B109)&gt;0,COUNT(N$4:N108)+1,""))</f>
        <v/>
      </c>
      <c r="O109">
        <f>IF(B109="","",IF(COUNTIFS('سجل التحفيز'!$U$5:$U$2004,"&gt;0",'سجل التحفيز'!$B$5:$B$2004,B109)&gt;0,COUNT(O$4:O108)+1,""))</f>
        <v/>
      </c>
      <c r="P109">
        <f>IF(B109="","",IF(COUNTIFS('سجل التحفيز'!$V$5:$V$2004,"&gt;0",'سجل التحفيز'!$B$5:$B$2004,B109)&gt;0,COUNT(P$4:P108)+1,""))</f>
        <v/>
      </c>
      <c r="Q109">
        <f>IF(B109="","",IF(COUNTIFS('سجل التحفيز'!$W$5:$W$2004,"&gt;0",'سجل التحفيز'!$B$5:$B$2004,B109)&gt;0,COUNT(Q$4:Q108)+1,""))</f>
        <v/>
      </c>
      <c r="R109">
        <f>IF(B109="","",IF(COUNTIFS('سجل التحفيز'!$X$5:$X$2004,"&gt;0",'سجل التحفيز'!$B$5:$B$2004,B109)&gt;0,COUNT(R$4:R108)+1,""))</f>
        <v/>
      </c>
      <c r="S109">
        <f>IF(B109="","",IF(COUNTIFS('سجل التحفيز'!$Y$5:$Y$2004,"&gt;0",'سجل التحفيز'!$B$5:$B$2004,B109)&gt;0,COUNT(S$4:S108)+1,""))</f>
        <v/>
      </c>
      <c r="T109">
        <f>IF(B109="","",IF(COUNTIFS('سجل التحفيز'!$Z$5:$Z$2004,"&gt;0",'سجل التحفيز'!$B$5:$B$2004,B109)&gt;0,COUNT(T$4:T108)+1,""))</f>
        <v/>
      </c>
      <c r="U109">
        <f>IF(B109="","",IF(COUNTIFS('سجل التحفيز'!$AA$5:$AA$2004,"&gt;0",'سجل التحفيز'!$B$5:$B$2004,B109)&gt;0,COUNT(U$4:U108)+1,""))</f>
        <v/>
      </c>
      <c r="V109">
        <f>IF(B109="","",IF(COUNTIFS('سجل التحفيز'!$AB$5:$AB$2004,"&gt;0",'سجل التحفيز'!$B$5:$B$2004,B109)&gt;0,COUNT(V$4:V108)+1,""))</f>
        <v/>
      </c>
      <c r="W109">
        <f>IF(B109="","",IF(COUNTIFS('سجل التحفيز'!$AC$5:$AC$2004,"&gt;0",'سجل التحفيز'!$B$5:$B$2004,B109)&gt;0,COUNT(W$4:W108)+1,""))</f>
        <v/>
      </c>
      <c r="X109">
        <f>IF(B109="","",IF(COUNTIFS('سجل التحفيز'!$AD$5:$AD$2004,"&gt;0",'سجل التحفيز'!$B$5:$B$2004,B109)&gt;0,COUNT(X$4:X108)+1,""))</f>
        <v/>
      </c>
      <c r="Y109">
        <f>IF(B109="","",IF(COUNTIFS('سجل التحفيز'!$AE$5:$AE$2004,"&gt;0",'سجل التحفيز'!$B$5:$B$2004,B109)&gt;0,COUNT(Y$4:Y108)+1,""))</f>
        <v/>
      </c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20">
        <f>IF(B110="","",COUNTIFS('سجل التحفيز'!$B$5:$B$2004,B110,'سجل التحفيز'!$R$5:$R$2004,الإعدادات!$B$4))</f>
        <v/>
      </c>
      <c r="I110" s="20">
        <f>IF(B110="","",COUNTIFS('سجل التحفيز'!$B$5:$B$2004,B110,'سجل التحفيز'!$R$5:$R$2004,الإعدادات!$B$4,'سجل التحفيز'!$Q$5:$Q$2004,"الفصل الأول",'سجل التحفيز'!$D$5:$D$2004,"ذهبي"))</f>
        <v/>
      </c>
      <c r="J110" s="20">
        <f>IF(B110="","",COUNTIFS('سجل التحفيز'!$B$5:$B$2004,B110,'سجل التحفيز'!$R$5:$R$2004,الإعدادات!$B$4,'سجل التحفيز'!$Q$5:$Q$2004,"الفصل الثاني",'سجل التحفيز'!$D$5:$D$2004,"ذهبي"))</f>
        <v/>
      </c>
      <c r="K110" s="20">
        <f>IF(B110="","",COUNTIFS('سجل التحفيز'!$B$5:$B$2004,B110,'سجل التحفيز'!$R$5:$R$2004,الإعدادات!$B$4,'سجل التحفيز'!$D$5:$D$2004,"ذهبي"))</f>
        <v/>
      </c>
      <c r="L110" s="20">
        <f>IF(B110="","",IF(G110="محرومة","محرومة - مخالفة",IF(K110&gt;=5,"مستحقة ★","متبقي "&amp;(5-K110)&amp;" معايير")))</f>
        <v/>
      </c>
      <c r="N110">
        <f>IF(B110="","",IF(COUNTIFS('سجل التحفيز'!$T$5:$T$2004,"&gt;0",'سجل التحفيز'!$B$5:$B$2004,B110)&gt;0,COUNT(N$4:N109)+1,""))</f>
        <v/>
      </c>
      <c r="O110">
        <f>IF(B110="","",IF(COUNTIFS('سجل التحفيز'!$U$5:$U$2004,"&gt;0",'سجل التحفيز'!$B$5:$B$2004,B110)&gt;0,COUNT(O$4:O109)+1,""))</f>
        <v/>
      </c>
      <c r="P110">
        <f>IF(B110="","",IF(COUNTIFS('سجل التحفيز'!$V$5:$V$2004,"&gt;0",'سجل التحفيز'!$B$5:$B$2004,B110)&gt;0,COUNT(P$4:P109)+1,""))</f>
        <v/>
      </c>
      <c r="Q110">
        <f>IF(B110="","",IF(COUNTIFS('سجل التحفيز'!$W$5:$W$2004,"&gt;0",'سجل التحفيز'!$B$5:$B$2004,B110)&gt;0,COUNT(Q$4:Q109)+1,""))</f>
        <v/>
      </c>
      <c r="R110">
        <f>IF(B110="","",IF(COUNTIFS('سجل التحفيز'!$X$5:$X$2004,"&gt;0",'سجل التحفيز'!$B$5:$B$2004,B110)&gt;0,COUNT(R$4:R109)+1,""))</f>
        <v/>
      </c>
      <c r="S110">
        <f>IF(B110="","",IF(COUNTIFS('سجل التحفيز'!$Y$5:$Y$2004,"&gt;0",'سجل التحفيز'!$B$5:$B$2004,B110)&gt;0,COUNT(S$4:S109)+1,""))</f>
        <v/>
      </c>
      <c r="T110">
        <f>IF(B110="","",IF(COUNTIFS('سجل التحفيز'!$Z$5:$Z$2004,"&gt;0",'سجل التحفيز'!$B$5:$B$2004,B110)&gt;0,COUNT(T$4:T109)+1,""))</f>
        <v/>
      </c>
      <c r="U110">
        <f>IF(B110="","",IF(COUNTIFS('سجل التحفيز'!$AA$5:$AA$2004,"&gt;0",'سجل التحفيز'!$B$5:$B$2004,B110)&gt;0,COUNT(U$4:U109)+1,""))</f>
        <v/>
      </c>
      <c r="V110">
        <f>IF(B110="","",IF(COUNTIFS('سجل التحفيز'!$AB$5:$AB$2004,"&gt;0",'سجل التحفيز'!$B$5:$B$2004,B110)&gt;0,COUNT(V$4:V109)+1,""))</f>
        <v/>
      </c>
      <c r="W110">
        <f>IF(B110="","",IF(COUNTIFS('سجل التحفيز'!$AC$5:$AC$2004,"&gt;0",'سجل التحفيز'!$B$5:$B$2004,B110)&gt;0,COUNT(W$4:W109)+1,""))</f>
        <v/>
      </c>
      <c r="X110">
        <f>IF(B110="","",IF(COUNTIFS('سجل التحفيز'!$AD$5:$AD$2004,"&gt;0",'سجل التحفيز'!$B$5:$B$2004,B110)&gt;0,COUNT(X$4:X109)+1,""))</f>
        <v/>
      </c>
      <c r="Y110">
        <f>IF(B110="","",IF(COUNTIFS('سجل التحفيز'!$AE$5:$AE$2004,"&gt;0",'سجل التحفيز'!$B$5:$B$2004,B110)&gt;0,COUNT(Y$4:Y109)+1,""))</f>
        <v/>
      </c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20">
        <f>IF(B111="","",COUNTIFS('سجل التحفيز'!$B$5:$B$2004,B111,'سجل التحفيز'!$R$5:$R$2004,الإعدادات!$B$4))</f>
        <v/>
      </c>
      <c r="I111" s="20">
        <f>IF(B111="","",COUNTIFS('سجل التحفيز'!$B$5:$B$2004,B111,'سجل التحفيز'!$R$5:$R$2004,الإعدادات!$B$4,'سجل التحفيز'!$Q$5:$Q$2004,"الفصل الأول",'سجل التحفيز'!$D$5:$D$2004,"ذهبي"))</f>
        <v/>
      </c>
      <c r="J111" s="20">
        <f>IF(B111="","",COUNTIFS('سجل التحفيز'!$B$5:$B$2004,B111,'سجل التحفيز'!$R$5:$R$2004,الإعدادات!$B$4,'سجل التحفيز'!$Q$5:$Q$2004,"الفصل الثاني",'سجل التحفيز'!$D$5:$D$2004,"ذهبي"))</f>
        <v/>
      </c>
      <c r="K111" s="20">
        <f>IF(B111="","",COUNTIFS('سجل التحفيز'!$B$5:$B$2004,B111,'سجل التحفيز'!$R$5:$R$2004,الإعدادات!$B$4,'سجل التحفيز'!$D$5:$D$2004,"ذهبي"))</f>
        <v/>
      </c>
      <c r="L111" s="20">
        <f>IF(B111="","",IF(G111="محرومة","محرومة - مخالفة",IF(K111&gt;=5,"مستحقة ★","متبقي "&amp;(5-K111)&amp;" معايير")))</f>
        <v/>
      </c>
      <c r="N111">
        <f>IF(B111="","",IF(COUNTIFS('سجل التحفيز'!$T$5:$T$2004,"&gt;0",'سجل التحفيز'!$B$5:$B$2004,B111)&gt;0,COUNT(N$4:N110)+1,""))</f>
        <v/>
      </c>
      <c r="O111">
        <f>IF(B111="","",IF(COUNTIFS('سجل التحفيز'!$U$5:$U$2004,"&gt;0",'سجل التحفيز'!$B$5:$B$2004,B111)&gt;0,COUNT(O$4:O110)+1,""))</f>
        <v/>
      </c>
      <c r="P111">
        <f>IF(B111="","",IF(COUNTIFS('سجل التحفيز'!$V$5:$V$2004,"&gt;0",'سجل التحفيز'!$B$5:$B$2004,B111)&gt;0,COUNT(P$4:P110)+1,""))</f>
        <v/>
      </c>
      <c r="Q111">
        <f>IF(B111="","",IF(COUNTIFS('سجل التحفيز'!$W$5:$W$2004,"&gt;0",'سجل التحفيز'!$B$5:$B$2004,B111)&gt;0,COUNT(Q$4:Q110)+1,""))</f>
        <v/>
      </c>
      <c r="R111">
        <f>IF(B111="","",IF(COUNTIFS('سجل التحفيز'!$X$5:$X$2004,"&gt;0",'سجل التحفيز'!$B$5:$B$2004,B111)&gt;0,COUNT(R$4:R110)+1,""))</f>
        <v/>
      </c>
      <c r="S111">
        <f>IF(B111="","",IF(COUNTIFS('سجل التحفيز'!$Y$5:$Y$2004,"&gt;0",'سجل التحفيز'!$B$5:$B$2004,B111)&gt;0,COUNT(S$4:S110)+1,""))</f>
        <v/>
      </c>
      <c r="T111">
        <f>IF(B111="","",IF(COUNTIFS('سجل التحفيز'!$Z$5:$Z$2004,"&gt;0",'سجل التحفيز'!$B$5:$B$2004,B111)&gt;0,COUNT(T$4:T110)+1,""))</f>
        <v/>
      </c>
      <c r="U111">
        <f>IF(B111="","",IF(COUNTIFS('سجل التحفيز'!$AA$5:$AA$2004,"&gt;0",'سجل التحفيز'!$B$5:$B$2004,B111)&gt;0,COUNT(U$4:U110)+1,""))</f>
        <v/>
      </c>
      <c r="V111">
        <f>IF(B111="","",IF(COUNTIFS('سجل التحفيز'!$AB$5:$AB$2004,"&gt;0",'سجل التحفيز'!$B$5:$B$2004,B111)&gt;0,COUNT(V$4:V110)+1,""))</f>
        <v/>
      </c>
      <c r="W111">
        <f>IF(B111="","",IF(COUNTIFS('سجل التحفيز'!$AC$5:$AC$2004,"&gt;0",'سجل التحفيز'!$B$5:$B$2004,B111)&gt;0,COUNT(W$4:W110)+1,""))</f>
        <v/>
      </c>
      <c r="X111">
        <f>IF(B111="","",IF(COUNTIFS('سجل التحفيز'!$AD$5:$AD$2004,"&gt;0",'سجل التحفيز'!$B$5:$B$2004,B111)&gt;0,COUNT(X$4:X110)+1,""))</f>
        <v/>
      </c>
      <c r="Y111">
        <f>IF(B111="","",IF(COUNTIFS('سجل التحفيز'!$AE$5:$AE$2004,"&gt;0",'سجل التحفيز'!$B$5:$B$2004,B111)&gt;0,COUNT(Y$4:Y110)+1,""))</f>
        <v/>
      </c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20">
        <f>IF(B112="","",COUNTIFS('سجل التحفيز'!$B$5:$B$2004,B112,'سجل التحفيز'!$R$5:$R$2004,الإعدادات!$B$4))</f>
        <v/>
      </c>
      <c r="I112" s="20">
        <f>IF(B112="","",COUNTIFS('سجل التحفيز'!$B$5:$B$2004,B112,'سجل التحفيز'!$R$5:$R$2004,الإعدادات!$B$4,'سجل التحفيز'!$Q$5:$Q$2004,"الفصل الأول",'سجل التحفيز'!$D$5:$D$2004,"ذهبي"))</f>
        <v/>
      </c>
      <c r="J112" s="20">
        <f>IF(B112="","",COUNTIFS('سجل التحفيز'!$B$5:$B$2004,B112,'سجل التحفيز'!$R$5:$R$2004,الإعدادات!$B$4,'سجل التحفيز'!$Q$5:$Q$2004,"الفصل الثاني",'سجل التحفيز'!$D$5:$D$2004,"ذهبي"))</f>
        <v/>
      </c>
      <c r="K112" s="20">
        <f>IF(B112="","",COUNTIFS('سجل التحفيز'!$B$5:$B$2004,B112,'سجل التحفيز'!$R$5:$R$2004,الإعدادات!$B$4,'سجل التحفيز'!$D$5:$D$2004,"ذهبي"))</f>
        <v/>
      </c>
      <c r="L112" s="20">
        <f>IF(B112="","",IF(G112="محرومة","محرومة - مخالفة",IF(K112&gt;=5,"مستحقة ★","متبقي "&amp;(5-K112)&amp;" معايير")))</f>
        <v/>
      </c>
      <c r="N112">
        <f>IF(B112="","",IF(COUNTIFS('سجل التحفيز'!$T$5:$T$2004,"&gt;0",'سجل التحفيز'!$B$5:$B$2004,B112)&gt;0,COUNT(N$4:N111)+1,""))</f>
        <v/>
      </c>
      <c r="O112">
        <f>IF(B112="","",IF(COUNTIFS('سجل التحفيز'!$U$5:$U$2004,"&gt;0",'سجل التحفيز'!$B$5:$B$2004,B112)&gt;0,COUNT(O$4:O111)+1,""))</f>
        <v/>
      </c>
      <c r="P112">
        <f>IF(B112="","",IF(COUNTIFS('سجل التحفيز'!$V$5:$V$2004,"&gt;0",'سجل التحفيز'!$B$5:$B$2004,B112)&gt;0,COUNT(P$4:P111)+1,""))</f>
        <v/>
      </c>
      <c r="Q112">
        <f>IF(B112="","",IF(COUNTIFS('سجل التحفيز'!$W$5:$W$2004,"&gt;0",'سجل التحفيز'!$B$5:$B$2004,B112)&gt;0,COUNT(Q$4:Q111)+1,""))</f>
        <v/>
      </c>
      <c r="R112">
        <f>IF(B112="","",IF(COUNTIFS('سجل التحفيز'!$X$5:$X$2004,"&gt;0",'سجل التحفيز'!$B$5:$B$2004,B112)&gt;0,COUNT(R$4:R111)+1,""))</f>
        <v/>
      </c>
      <c r="S112">
        <f>IF(B112="","",IF(COUNTIFS('سجل التحفيز'!$Y$5:$Y$2004,"&gt;0",'سجل التحفيز'!$B$5:$B$2004,B112)&gt;0,COUNT(S$4:S111)+1,""))</f>
        <v/>
      </c>
      <c r="T112">
        <f>IF(B112="","",IF(COUNTIFS('سجل التحفيز'!$Z$5:$Z$2004,"&gt;0",'سجل التحفيز'!$B$5:$B$2004,B112)&gt;0,COUNT(T$4:T111)+1,""))</f>
        <v/>
      </c>
      <c r="U112">
        <f>IF(B112="","",IF(COUNTIFS('سجل التحفيز'!$AA$5:$AA$2004,"&gt;0",'سجل التحفيز'!$B$5:$B$2004,B112)&gt;0,COUNT(U$4:U111)+1,""))</f>
        <v/>
      </c>
      <c r="V112">
        <f>IF(B112="","",IF(COUNTIFS('سجل التحفيز'!$AB$5:$AB$2004,"&gt;0",'سجل التحفيز'!$B$5:$B$2004,B112)&gt;0,COUNT(V$4:V111)+1,""))</f>
        <v/>
      </c>
      <c r="W112">
        <f>IF(B112="","",IF(COUNTIFS('سجل التحفيز'!$AC$5:$AC$2004,"&gt;0",'سجل التحفيز'!$B$5:$B$2004,B112)&gt;0,COUNT(W$4:W111)+1,""))</f>
        <v/>
      </c>
      <c r="X112">
        <f>IF(B112="","",IF(COUNTIFS('سجل التحفيز'!$AD$5:$AD$2004,"&gt;0",'سجل التحفيز'!$B$5:$B$2004,B112)&gt;0,COUNT(X$4:X111)+1,""))</f>
        <v/>
      </c>
      <c r="Y112">
        <f>IF(B112="","",IF(COUNTIFS('سجل التحفيز'!$AE$5:$AE$2004,"&gt;0",'سجل التحفيز'!$B$5:$B$2004,B112)&gt;0,COUNT(Y$4:Y111)+1,""))</f>
        <v/>
      </c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20">
        <f>IF(B113="","",COUNTIFS('سجل التحفيز'!$B$5:$B$2004,B113,'سجل التحفيز'!$R$5:$R$2004,الإعدادات!$B$4))</f>
        <v/>
      </c>
      <c r="I113" s="20">
        <f>IF(B113="","",COUNTIFS('سجل التحفيز'!$B$5:$B$2004,B113,'سجل التحفيز'!$R$5:$R$2004,الإعدادات!$B$4,'سجل التحفيز'!$Q$5:$Q$2004,"الفصل الأول",'سجل التحفيز'!$D$5:$D$2004,"ذهبي"))</f>
        <v/>
      </c>
      <c r="J113" s="20">
        <f>IF(B113="","",COUNTIFS('سجل التحفيز'!$B$5:$B$2004,B113,'سجل التحفيز'!$R$5:$R$2004,الإعدادات!$B$4,'سجل التحفيز'!$Q$5:$Q$2004,"الفصل الثاني",'سجل التحفيز'!$D$5:$D$2004,"ذهبي"))</f>
        <v/>
      </c>
      <c r="K113" s="20">
        <f>IF(B113="","",COUNTIFS('سجل التحفيز'!$B$5:$B$2004,B113,'سجل التحفيز'!$R$5:$R$2004,الإعدادات!$B$4,'سجل التحفيز'!$D$5:$D$2004,"ذهبي"))</f>
        <v/>
      </c>
      <c r="L113" s="20">
        <f>IF(B113="","",IF(G113="محرومة","محرومة - مخالفة",IF(K113&gt;=5,"مستحقة ★","متبقي "&amp;(5-K113)&amp;" معايير")))</f>
        <v/>
      </c>
      <c r="N113">
        <f>IF(B113="","",IF(COUNTIFS('سجل التحفيز'!$T$5:$T$2004,"&gt;0",'سجل التحفيز'!$B$5:$B$2004,B113)&gt;0,COUNT(N$4:N112)+1,""))</f>
        <v/>
      </c>
      <c r="O113">
        <f>IF(B113="","",IF(COUNTIFS('سجل التحفيز'!$U$5:$U$2004,"&gt;0",'سجل التحفيز'!$B$5:$B$2004,B113)&gt;0,COUNT(O$4:O112)+1,""))</f>
        <v/>
      </c>
      <c r="P113">
        <f>IF(B113="","",IF(COUNTIFS('سجل التحفيز'!$V$5:$V$2004,"&gt;0",'سجل التحفيز'!$B$5:$B$2004,B113)&gt;0,COUNT(P$4:P112)+1,""))</f>
        <v/>
      </c>
      <c r="Q113">
        <f>IF(B113="","",IF(COUNTIFS('سجل التحفيز'!$W$5:$W$2004,"&gt;0",'سجل التحفيز'!$B$5:$B$2004,B113)&gt;0,COUNT(Q$4:Q112)+1,""))</f>
        <v/>
      </c>
      <c r="R113">
        <f>IF(B113="","",IF(COUNTIFS('سجل التحفيز'!$X$5:$X$2004,"&gt;0",'سجل التحفيز'!$B$5:$B$2004,B113)&gt;0,COUNT(R$4:R112)+1,""))</f>
        <v/>
      </c>
      <c r="S113">
        <f>IF(B113="","",IF(COUNTIFS('سجل التحفيز'!$Y$5:$Y$2004,"&gt;0",'سجل التحفيز'!$B$5:$B$2004,B113)&gt;0,COUNT(S$4:S112)+1,""))</f>
        <v/>
      </c>
      <c r="T113">
        <f>IF(B113="","",IF(COUNTIFS('سجل التحفيز'!$Z$5:$Z$2004,"&gt;0",'سجل التحفيز'!$B$5:$B$2004,B113)&gt;0,COUNT(T$4:T112)+1,""))</f>
        <v/>
      </c>
      <c r="U113">
        <f>IF(B113="","",IF(COUNTIFS('سجل التحفيز'!$AA$5:$AA$2004,"&gt;0",'سجل التحفيز'!$B$5:$B$2004,B113)&gt;0,COUNT(U$4:U112)+1,""))</f>
        <v/>
      </c>
      <c r="V113">
        <f>IF(B113="","",IF(COUNTIFS('سجل التحفيز'!$AB$5:$AB$2004,"&gt;0",'سجل التحفيز'!$B$5:$B$2004,B113)&gt;0,COUNT(V$4:V112)+1,""))</f>
        <v/>
      </c>
      <c r="W113">
        <f>IF(B113="","",IF(COUNTIFS('سجل التحفيز'!$AC$5:$AC$2004,"&gt;0",'سجل التحفيز'!$B$5:$B$2004,B113)&gt;0,COUNT(W$4:W112)+1,""))</f>
        <v/>
      </c>
      <c r="X113">
        <f>IF(B113="","",IF(COUNTIFS('سجل التحفيز'!$AD$5:$AD$2004,"&gt;0",'سجل التحفيز'!$B$5:$B$2004,B113)&gt;0,COUNT(X$4:X112)+1,""))</f>
        <v/>
      </c>
      <c r="Y113">
        <f>IF(B113="","",IF(COUNTIFS('سجل التحفيز'!$AE$5:$AE$2004,"&gt;0",'سجل التحفيز'!$B$5:$B$2004,B113)&gt;0,COUNT(Y$4:Y112)+1,""))</f>
        <v/>
      </c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20">
        <f>IF(B114="","",COUNTIFS('سجل التحفيز'!$B$5:$B$2004,B114,'سجل التحفيز'!$R$5:$R$2004,الإعدادات!$B$4))</f>
        <v/>
      </c>
      <c r="I114" s="20">
        <f>IF(B114="","",COUNTIFS('سجل التحفيز'!$B$5:$B$2004,B114,'سجل التحفيز'!$R$5:$R$2004,الإعدادات!$B$4,'سجل التحفيز'!$Q$5:$Q$2004,"الفصل الأول",'سجل التحفيز'!$D$5:$D$2004,"ذهبي"))</f>
        <v/>
      </c>
      <c r="J114" s="20">
        <f>IF(B114="","",COUNTIFS('سجل التحفيز'!$B$5:$B$2004,B114,'سجل التحفيز'!$R$5:$R$2004,الإعدادات!$B$4,'سجل التحفيز'!$Q$5:$Q$2004,"الفصل الثاني",'سجل التحفيز'!$D$5:$D$2004,"ذهبي"))</f>
        <v/>
      </c>
      <c r="K114" s="20">
        <f>IF(B114="","",COUNTIFS('سجل التحفيز'!$B$5:$B$2004,B114,'سجل التحفيز'!$R$5:$R$2004,الإعدادات!$B$4,'سجل التحفيز'!$D$5:$D$2004,"ذهبي"))</f>
        <v/>
      </c>
      <c r="L114" s="20">
        <f>IF(B114="","",IF(G114="محرومة","محرومة - مخالفة",IF(K114&gt;=5,"مستحقة ★","متبقي "&amp;(5-K114)&amp;" معايير")))</f>
        <v/>
      </c>
      <c r="N114">
        <f>IF(B114="","",IF(COUNTIFS('سجل التحفيز'!$T$5:$T$2004,"&gt;0",'سجل التحفيز'!$B$5:$B$2004,B114)&gt;0,COUNT(N$4:N113)+1,""))</f>
        <v/>
      </c>
      <c r="O114">
        <f>IF(B114="","",IF(COUNTIFS('سجل التحفيز'!$U$5:$U$2004,"&gt;0",'سجل التحفيز'!$B$5:$B$2004,B114)&gt;0,COUNT(O$4:O113)+1,""))</f>
        <v/>
      </c>
      <c r="P114">
        <f>IF(B114="","",IF(COUNTIFS('سجل التحفيز'!$V$5:$V$2004,"&gt;0",'سجل التحفيز'!$B$5:$B$2004,B114)&gt;0,COUNT(P$4:P113)+1,""))</f>
        <v/>
      </c>
      <c r="Q114">
        <f>IF(B114="","",IF(COUNTIFS('سجل التحفيز'!$W$5:$W$2004,"&gt;0",'سجل التحفيز'!$B$5:$B$2004,B114)&gt;0,COUNT(Q$4:Q113)+1,""))</f>
        <v/>
      </c>
      <c r="R114">
        <f>IF(B114="","",IF(COUNTIFS('سجل التحفيز'!$X$5:$X$2004,"&gt;0",'سجل التحفيز'!$B$5:$B$2004,B114)&gt;0,COUNT(R$4:R113)+1,""))</f>
        <v/>
      </c>
      <c r="S114">
        <f>IF(B114="","",IF(COUNTIFS('سجل التحفيز'!$Y$5:$Y$2004,"&gt;0",'سجل التحفيز'!$B$5:$B$2004,B114)&gt;0,COUNT(S$4:S113)+1,""))</f>
        <v/>
      </c>
      <c r="T114">
        <f>IF(B114="","",IF(COUNTIFS('سجل التحفيز'!$Z$5:$Z$2004,"&gt;0",'سجل التحفيز'!$B$5:$B$2004,B114)&gt;0,COUNT(T$4:T113)+1,""))</f>
        <v/>
      </c>
      <c r="U114">
        <f>IF(B114="","",IF(COUNTIFS('سجل التحفيز'!$AA$5:$AA$2004,"&gt;0",'سجل التحفيز'!$B$5:$B$2004,B114)&gt;0,COUNT(U$4:U113)+1,""))</f>
        <v/>
      </c>
      <c r="V114">
        <f>IF(B114="","",IF(COUNTIFS('سجل التحفيز'!$AB$5:$AB$2004,"&gt;0",'سجل التحفيز'!$B$5:$B$2004,B114)&gt;0,COUNT(V$4:V113)+1,""))</f>
        <v/>
      </c>
      <c r="W114">
        <f>IF(B114="","",IF(COUNTIFS('سجل التحفيز'!$AC$5:$AC$2004,"&gt;0",'سجل التحفيز'!$B$5:$B$2004,B114)&gt;0,COUNT(W$4:W113)+1,""))</f>
        <v/>
      </c>
      <c r="X114">
        <f>IF(B114="","",IF(COUNTIFS('سجل التحفيز'!$AD$5:$AD$2004,"&gt;0",'سجل التحفيز'!$B$5:$B$2004,B114)&gt;0,COUNT(X$4:X113)+1,""))</f>
        <v/>
      </c>
      <c r="Y114">
        <f>IF(B114="","",IF(COUNTIFS('سجل التحفيز'!$AE$5:$AE$2004,"&gt;0",'سجل التحفيز'!$B$5:$B$2004,B114)&gt;0,COUNT(Y$4:Y113)+1,""))</f>
        <v/>
      </c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20">
        <f>IF(B115="","",COUNTIFS('سجل التحفيز'!$B$5:$B$2004,B115,'سجل التحفيز'!$R$5:$R$2004,الإعدادات!$B$4))</f>
        <v/>
      </c>
      <c r="I115" s="20">
        <f>IF(B115="","",COUNTIFS('سجل التحفيز'!$B$5:$B$2004,B115,'سجل التحفيز'!$R$5:$R$2004,الإعدادات!$B$4,'سجل التحفيز'!$Q$5:$Q$2004,"الفصل الأول",'سجل التحفيز'!$D$5:$D$2004,"ذهبي"))</f>
        <v/>
      </c>
      <c r="J115" s="20">
        <f>IF(B115="","",COUNTIFS('سجل التحفيز'!$B$5:$B$2004,B115,'سجل التحفيز'!$R$5:$R$2004,الإعدادات!$B$4,'سجل التحفيز'!$Q$5:$Q$2004,"الفصل الثاني",'سجل التحفيز'!$D$5:$D$2004,"ذهبي"))</f>
        <v/>
      </c>
      <c r="K115" s="20">
        <f>IF(B115="","",COUNTIFS('سجل التحفيز'!$B$5:$B$2004,B115,'سجل التحفيز'!$R$5:$R$2004,الإعدادات!$B$4,'سجل التحفيز'!$D$5:$D$2004,"ذهبي"))</f>
        <v/>
      </c>
      <c r="L115" s="20">
        <f>IF(B115="","",IF(G115="محرومة","محرومة - مخالفة",IF(K115&gt;=5,"مستحقة ★","متبقي "&amp;(5-K115)&amp;" معايير")))</f>
        <v/>
      </c>
      <c r="N115">
        <f>IF(B115="","",IF(COUNTIFS('سجل التحفيز'!$T$5:$T$2004,"&gt;0",'سجل التحفيز'!$B$5:$B$2004,B115)&gt;0,COUNT(N$4:N114)+1,""))</f>
        <v/>
      </c>
      <c r="O115">
        <f>IF(B115="","",IF(COUNTIFS('سجل التحفيز'!$U$5:$U$2004,"&gt;0",'سجل التحفيز'!$B$5:$B$2004,B115)&gt;0,COUNT(O$4:O114)+1,""))</f>
        <v/>
      </c>
      <c r="P115">
        <f>IF(B115="","",IF(COUNTIFS('سجل التحفيز'!$V$5:$V$2004,"&gt;0",'سجل التحفيز'!$B$5:$B$2004,B115)&gt;0,COUNT(P$4:P114)+1,""))</f>
        <v/>
      </c>
      <c r="Q115">
        <f>IF(B115="","",IF(COUNTIFS('سجل التحفيز'!$W$5:$W$2004,"&gt;0",'سجل التحفيز'!$B$5:$B$2004,B115)&gt;0,COUNT(Q$4:Q114)+1,""))</f>
        <v/>
      </c>
      <c r="R115">
        <f>IF(B115="","",IF(COUNTIFS('سجل التحفيز'!$X$5:$X$2004,"&gt;0",'سجل التحفيز'!$B$5:$B$2004,B115)&gt;0,COUNT(R$4:R114)+1,""))</f>
        <v/>
      </c>
      <c r="S115">
        <f>IF(B115="","",IF(COUNTIFS('سجل التحفيز'!$Y$5:$Y$2004,"&gt;0",'سجل التحفيز'!$B$5:$B$2004,B115)&gt;0,COUNT(S$4:S114)+1,""))</f>
        <v/>
      </c>
      <c r="T115">
        <f>IF(B115="","",IF(COUNTIFS('سجل التحفيز'!$Z$5:$Z$2004,"&gt;0",'سجل التحفيز'!$B$5:$B$2004,B115)&gt;0,COUNT(T$4:T114)+1,""))</f>
        <v/>
      </c>
      <c r="U115">
        <f>IF(B115="","",IF(COUNTIFS('سجل التحفيز'!$AA$5:$AA$2004,"&gt;0",'سجل التحفيز'!$B$5:$B$2004,B115)&gt;0,COUNT(U$4:U114)+1,""))</f>
        <v/>
      </c>
      <c r="V115">
        <f>IF(B115="","",IF(COUNTIFS('سجل التحفيز'!$AB$5:$AB$2004,"&gt;0",'سجل التحفيز'!$B$5:$B$2004,B115)&gt;0,COUNT(V$4:V114)+1,""))</f>
        <v/>
      </c>
      <c r="W115">
        <f>IF(B115="","",IF(COUNTIFS('سجل التحفيز'!$AC$5:$AC$2004,"&gt;0",'سجل التحفيز'!$B$5:$B$2004,B115)&gt;0,COUNT(W$4:W114)+1,""))</f>
        <v/>
      </c>
      <c r="X115">
        <f>IF(B115="","",IF(COUNTIFS('سجل التحفيز'!$AD$5:$AD$2004,"&gt;0",'سجل التحفيز'!$B$5:$B$2004,B115)&gt;0,COUNT(X$4:X114)+1,""))</f>
        <v/>
      </c>
      <c r="Y115">
        <f>IF(B115="","",IF(COUNTIFS('سجل التحفيز'!$AE$5:$AE$2004,"&gt;0",'سجل التحفيز'!$B$5:$B$2004,B115)&gt;0,COUNT(Y$4:Y114)+1,""))</f>
        <v/>
      </c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20">
        <f>IF(B116="","",COUNTIFS('سجل التحفيز'!$B$5:$B$2004,B116,'سجل التحفيز'!$R$5:$R$2004,الإعدادات!$B$4))</f>
        <v/>
      </c>
      <c r="I116" s="20">
        <f>IF(B116="","",COUNTIFS('سجل التحفيز'!$B$5:$B$2004,B116,'سجل التحفيز'!$R$5:$R$2004,الإعدادات!$B$4,'سجل التحفيز'!$Q$5:$Q$2004,"الفصل الأول",'سجل التحفيز'!$D$5:$D$2004,"ذهبي"))</f>
        <v/>
      </c>
      <c r="J116" s="20">
        <f>IF(B116="","",COUNTIFS('سجل التحفيز'!$B$5:$B$2004,B116,'سجل التحفيز'!$R$5:$R$2004,الإعدادات!$B$4,'سجل التحفيز'!$Q$5:$Q$2004,"الفصل الثاني",'سجل التحفيز'!$D$5:$D$2004,"ذهبي"))</f>
        <v/>
      </c>
      <c r="K116" s="20">
        <f>IF(B116="","",COUNTIFS('سجل التحفيز'!$B$5:$B$2004,B116,'سجل التحفيز'!$R$5:$R$2004,الإعدادات!$B$4,'سجل التحفيز'!$D$5:$D$2004,"ذهبي"))</f>
        <v/>
      </c>
      <c r="L116" s="20">
        <f>IF(B116="","",IF(G116="محرومة","محرومة - مخالفة",IF(K116&gt;=5,"مستحقة ★","متبقي "&amp;(5-K116)&amp;" معايير")))</f>
        <v/>
      </c>
      <c r="N116">
        <f>IF(B116="","",IF(COUNTIFS('سجل التحفيز'!$T$5:$T$2004,"&gt;0",'سجل التحفيز'!$B$5:$B$2004,B116)&gt;0,COUNT(N$4:N115)+1,""))</f>
        <v/>
      </c>
      <c r="O116">
        <f>IF(B116="","",IF(COUNTIFS('سجل التحفيز'!$U$5:$U$2004,"&gt;0",'سجل التحفيز'!$B$5:$B$2004,B116)&gt;0,COUNT(O$4:O115)+1,""))</f>
        <v/>
      </c>
      <c r="P116">
        <f>IF(B116="","",IF(COUNTIFS('سجل التحفيز'!$V$5:$V$2004,"&gt;0",'سجل التحفيز'!$B$5:$B$2004,B116)&gt;0,COUNT(P$4:P115)+1,""))</f>
        <v/>
      </c>
      <c r="Q116">
        <f>IF(B116="","",IF(COUNTIFS('سجل التحفيز'!$W$5:$W$2004,"&gt;0",'سجل التحفيز'!$B$5:$B$2004,B116)&gt;0,COUNT(Q$4:Q115)+1,""))</f>
        <v/>
      </c>
      <c r="R116">
        <f>IF(B116="","",IF(COUNTIFS('سجل التحفيز'!$X$5:$X$2004,"&gt;0",'سجل التحفيز'!$B$5:$B$2004,B116)&gt;0,COUNT(R$4:R115)+1,""))</f>
        <v/>
      </c>
      <c r="S116">
        <f>IF(B116="","",IF(COUNTIFS('سجل التحفيز'!$Y$5:$Y$2004,"&gt;0",'سجل التحفيز'!$B$5:$B$2004,B116)&gt;0,COUNT(S$4:S115)+1,""))</f>
        <v/>
      </c>
      <c r="T116">
        <f>IF(B116="","",IF(COUNTIFS('سجل التحفيز'!$Z$5:$Z$2004,"&gt;0",'سجل التحفيز'!$B$5:$B$2004,B116)&gt;0,COUNT(T$4:T115)+1,""))</f>
        <v/>
      </c>
      <c r="U116">
        <f>IF(B116="","",IF(COUNTIFS('سجل التحفيز'!$AA$5:$AA$2004,"&gt;0",'سجل التحفيز'!$B$5:$B$2004,B116)&gt;0,COUNT(U$4:U115)+1,""))</f>
        <v/>
      </c>
      <c r="V116">
        <f>IF(B116="","",IF(COUNTIFS('سجل التحفيز'!$AB$5:$AB$2004,"&gt;0",'سجل التحفيز'!$B$5:$B$2004,B116)&gt;0,COUNT(V$4:V115)+1,""))</f>
        <v/>
      </c>
      <c r="W116">
        <f>IF(B116="","",IF(COUNTIFS('سجل التحفيز'!$AC$5:$AC$2004,"&gt;0",'سجل التحفيز'!$B$5:$B$2004,B116)&gt;0,COUNT(W$4:W115)+1,""))</f>
        <v/>
      </c>
      <c r="X116">
        <f>IF(B116="","",IF(COUNTIFS('سجل التحفيز'!$AD$5:$AD$2004,"&gt;0",'سجل التحفيز'!$B$5:$B$2004,B116)&gt;0,COUNT(X$4:X115)+1,""))</f>
        <v/>
      </c>
      <c r="Y116">
        <f>IF(B116="","",IF(COUNTIFS('سجل التحفيز'!$AE$5:$AE$2004,"&gt;0",'سجل التحفيز'!$B$5:$B$2004,B116)&gt;0,COUNT(Y$4:Y115)+1,""))</f>
        <v/>
      </c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20">
        <f>IF(B117="","",COUNTIFS('سجل التحفيز'!$B$5:$B$2004,B117,'سجل التحفيز'!$R$5:$R$2004,الإعدادات!$B$4))</f>
        <v/>
      </c>
      <c r="I117" s="20">
        <f>IF(B117="","",COUNTIFS('سجل التحفيز'!$B$5:$B$2004,B117,'سجل التحفيز'!$R$5:$R$2004,الإعدادات!$B$4,'سجل التحفيز'!$Q$5:$Q$2004,"الفصل الأول",'سجل التحفيز'!$D$5:$D$2004,"ذهبي"))</f>
        <v/>
      </c>
      <c r="J117" s="20">
        <f>IF(B117="","",COUNTIFS('سجل التحفيز'!$B$5:$B$2004,B117,'سجل التحفيز'!$R$5:$R$2004,الإعدادات!$B$4,'سجل التحفيز'!$Q$5:$Q$2004,"الفصل الثاني",'سجل التحفيز'!$D$5:$D$2004,"ذهبي"))</f>
        <v/>
      </c>
      <c r="K117" s="20">
        <f>IF(B117="","",COUNTIFS('سجل التحفيز'!$B$5:$B$2004,B117,'سجل التحفيز'!$R$5:$R$2004,الإعدادات!$B$4,'سجل التحفيز'!$D$5:$D$2004,"ذهبي"))</f>
        <v/>
      </c>
      <c r="L117" s="20">
        <f>IF(B117="","",IF(G117="محرومة","محرومة - مخالفة",IF(K117&gt;=5,"مستحقة ★","متبقي "&amp;(5-K117)&amp;" معايير")))</f>
        <v/>
      </c>
      <c r="N117">
        <f>IF(B117="","",IF(COUNTIFS('سجل التحفيز'!$T$5:$T$2004,"&gt;0",'سجل التحفيز'!$B$5:$B$2004,B117)&gt;0,COUNT(N$4:N116)+1,""))</f>
        <v/>
      </c>
      <c r="O117">
        <f>IF(B117="","",IF(COUNTIFS('سجل التحفيز'!$U$5:$U$2004,"&gt;0",'سجل التحفيز'!$B$5:$B$2004,B117)&gt;0,COUNT(O$4:O116)+1,""))</f>
        <v/>
      </c>
      <c r="P117">
        <f>IF(B117="","",IF(COUNTIFS('سجل التحفيز'!$V$5:$V$2004,"&gt;0",'سجل التحفيز'!$B$5:$B$2004,B117)&gt;0,COUNT(P$4:P116)+1,""))</f>
        <v/>
      </c>
      <c r="Q117">
        <f>IF(B117="","",IF(COUNTIFS('سجل التحفيز'!$W$5:$W$2004,"&gt;0",'سجل التحفيز'!$B$5:$B$2004,B117)&gt;0,COUNT(Q$4:Q116)+1,""))</f>
        <v/>
      </c>
      <c r="R117">
        <f>IF(B117="","",IF(COUNTIFS('سجل التحفيز'!$X$5:$X$2004,"&gt;0",'سجل التحفيز'!$B$5:$B$2004,B117)&gt;0,COUNT(R$4:R116)+1,""))</f>
        <v/>
      </c>
      <c r="S117">
        <f>IF(B117="","",IF(COUNTIFS('سجل التحفيز'!$Y$5:$Y$2004,"&gt;0",'سجل التحفيز'!$B$5:$B$2004,B117)&gt;0,COUNT(S$4:S116)+1,""))</f>
        <v/>
      </c>
      <c r="T117">
        <f>IF(B117="","",IF(COUNTIFS('سجل التحفيز'!$Z$5:$Z$2004,"&gt;0",'سجل التحفيز'!$B$5:$B$2004,B117)&gt;0,COUNT(T$4:T116)+1,""))</f>
        <v/>
      </c>
      <c r="U117">
        <f>IF(B117="","",IF(COUNTIFS('سجل التحفيز'!$AA$5:$AA$2004,"&gt;0",'سجل التحفيز'!$B$5:$B$2004,B117)&gt;0,COUNT(U$4:U116)+1,""))</f>
        <v/>
      </c>
      <c r="V117">
        <f>IF(B117="","",IF(COUNTIFS('سجل التحفيز'!$AB$5:$AB$2004,"&gt;0",'سجل التحفيز'!$B$5:$B$2004,B117)&gt;0,COUNT(V$4:V116)+1,""))</f>
        <v/>
      </c>
      <c r="W117">
        <f>IF(B117="","",IF(COUNTIFS('سجل التحفيز'!$AC$5:$AC$2004,"&gt;0",'سجل التحفيز'!$B$5:$B$2004,B117)&gt;0,COUNT(W$4:W116)+1,""))</f>
        <v/>
      </c>
      <c r="X117">
        <f>IF(B117="","",IF(COUNTIFS('سجل التحفيز'!$AD$5:$AD$2004,"&gt;0",'سجل التحفيز'!$B$5:$B$2004,B117)&gt;0,COUNT(X$4:X116)+1,""))</f>
        <v/>
      </c>
      <c r="Y117">
        <f>IF(B117="","",IF(COUNTIFS('سجل التحفيز'!$AE$5:$AE$2004,"&gt;0",'سجل التحفيز'!$B$5:$B$2004,B117)&gt;0,COUNT(Y$4:Y116)+1,""))</f>
        <v/>
      </c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20">
        <f>IF(B118="","",COUNTIFS('سجل التحفيز'!$B$5:$B$2004,B118,'سجل التحفيز'!$R$5:$R$2004,الإعدادات!$B$4))</f>
        <v/>
      </c>
      <c r="I118" s="20">
        <f>IF(B118="","",COUNTIFS('سجل التحفيز'!$B$5:$B$2004,B118,'سجل التحفيز'!$R$5:$R$2004,الإعدادات!$B$4,'سجل التحفيز'!$Q$5:$Q$2004,"الفصل الأول",'سجل التحفيز'!$D$5:$D$2004,"ذهبي"))</f>
        <v/>
      </c>
      <c r="J118" s="20">
        <f>IF(B118="","",COUNTIFS('سجل التحفيز'!$B$5:$B$2004,B118,'سجل التحفيز'!$R$5:$R$2004,الإعدادات!$B$4,'سجل التحفيز'!$Q$5:$Q$2004,"الفصل الثاني",'سجل التحفيز'!$D$5:$D$2004,"ذهبي"))</f>
        <v/>
      </c>
      <c r="K118" s="20">
        <f>IF(B118="","",COUNTIFS('سجل التحفيز'!$B$5:$B$2004,B118,'سجل التحفيز'!$R$5:$R$2004,الإعدادات!$B$4,'سجل التحفيز'!$D$5:$D$2004,"ذهبي"))</f>
        <v/>
      </c>
      <c r="L118" s="20">
        <f>IF(B118="","",IF(G118="محرومة","محرومة - مخالفة",IF(K118&gt;=5,"مستحقة ★","متبقي "&amp;(5-K118)&amp;" معايير")))</f>
        <v/>
      </c>
      <c r="N118">
        <f>IF(B118="","",IF(COUNTIFS('سجل التحفيز'!$T$5:$T$2004,"&gt;0",'سجل التحفيز'!$B$5:$B$2004,B118)&gt;0,COUNT(N$4:N117)+1,""))</f>
        <v/>
      </c>
      <c r="O118">
        <f>IF(B118="","",IF(COUNTIFS('سجل التحفيز'!$U$5:$U$2004,"&gt;0",'سجل التحفيز'!$B$5:$B$2004,B118)&gt;0,COUNT(O$4:O117)+1,""))</f>
        <v/>
      </c>
      <c r="P118">
        <f>IF(B118="","",IF(COUNTIFS('سجل التحفيز'!$V$5:$V$2004,"&gt;0",'سجل التحفيز'!$B$5:$B$2004,B118)&gt;0,COUNT(P$4:P117)+1,""))</f>
        <v/>
      </c>
      <c r="Q118">
        <f>IF(B118="","",IF(COUNTIFS('سجل التحفيز'!$W$5:$W$2004,"&gt;0",'سجل التحفيز'!$B$5:$B$2004,B118)&gt;0,COUNT(Q$4:Q117)+1,""))</f>
        <v/>
      </c>
      <c r="R118">
        <f>IF(B118="","",IF(COUNTIFS('سجل التحفيز'!$X$5:$X$2004,"&gt;0",'سجل التحفيز'!$B$5:$B$2004,B118)&gt;0,COUNT(R$4:R117)+1,""))</f>
        <v/>
      </c>
      <c r="S118">
        <f>IF(B118="","",IF(COUNTIFS('سجل التحفيز'!$Y$5:$Y$2004,"&gt;0",'سجل التحفيز'!$B$5:$B$2004,B118)&gt;0,COUNT(S$4:S117)+1,""))</f>
        <v/>
      </c>
      <c r="T118">
        <f>IF(B118="","",IF(COUNTIFS('سجل التحفيز'!$Z$5:$Z$2004,"&gt;0",'سجل التحفيز'!$B$5:$B$2004,B118)&gt;0,COUNT(T$4:T117)+1,""))</f>
        <v/>
      </c>
      <c r="U118">
        <f>IF(B118="","",IF(COUNTIFS('سجل التحفيز'!$AA$5:$AA$2004,"&gt;0",'سجل التحفيز'!$B$5:$B$2004,B118)&gt;0,COUNT(U$4:U117)+1,""))</f>
        <v/>
      </c>
      <c r="V118">
        <f>IF(B118="","",IF(COUNTIFS('سجل التحفيز'!$AB$5:$AB$2004,"&gt;0",'سجل التحفيز'!$B$5:$B$2004,B118)&gt;0,COUNT(V$4:V117)+1,""))</f>
        <v/>
      </c>
      <c r="W118">
        <f>IF(B118="","",IF(COUNTIFS('سجل التحفيز'!$AC$5:$AC$2004,"&gt;0",'سجل التحفيز'!$B$5:$B$2004,B118)&gt;0,COUNT(W$4:W117)+1,""))</f>
        <v/>
      </c>
      <c r="X118">
        <f>IF(B118="","",IF(COUNTIFS('سجل التحفيز'!$AD$5:$AD$2004,"&gt;0",'سجل التحفيز'!$B$5:$B$2004,B118)&gt;0,COUNT(X$4:X117)+1,""))</f>
        <v/>
      </c>
      <c r="Y118">
        <f>IF(B118="","",IF(COUNTIFS('سجل التحفيز'!$AE$5:$AE$2004,"&gt;0",'سجل التحفيز'!$B$5:$B$2004,B118)&gt;0,COUNT(Y$4:Y117)+1,""))</f>
        <v/>
      </c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20">
        <f>IF(B119="","",COUNTIFS('سجل التحفيز'!$B$5:$B$2004,B119,'سجل التحفيز'!$R$5:$R$2004,الإعدادات!$B$4))</f>
        <v/>
      </c>
      <c r="I119" s="20">
        <f>IF(B119="","",COUNTIFS('سجل التحفيز'!$B$5:$B$2004,B119,'سجل التحفيز'!$R$5:$R$2004,الإعدادات!$B$4,'سجل التحفيز'!$Q$5:$Q$2004,"الفصل الأول",'سجل التحفيز'!$D$5:$D$2004,"ذهبي"))</f>
        <v/>
      </c>
      <c r="J119" s="20">
        <f>IF(B119="","",COUNTIFS('سجل التحفيز'!$B$5:$B$2004,B119,'سجل التحفيز'!$R$5:$R$2004,الإعدادات!$B$4,'سجل التحفيز'!$Q$5:$Q$2004,"الفصل الثاني",'سجل التحفيز'!$D$5:$D$2004,"ذهبي"))</f>
        <v/>
      </c>
      <c r="K119" s="20">
        <f>IF(B119="","",COUNTIFS('سجل التحفيز'!$B$5:$B$2004,B119,'سجل التحفيز'!$R$5:$R$2004,الإعدادات!$B$4,'سجل التحفيز'!$D$5:$D$2004,"ذهبي"))</f>
        <v/>
      </c>
      <c r="L119" s="20">
        <f>IF(B119="","",IF(G119="محرومة","محرومة - مخالفة",IF(K119&gt;=5,"مستحقة ★","متبقي "&amp;(5-K119)&amp;" معايير")))</f>
        <v/>
      </c>
      <c r="N119">
        <f>IF(B119="","",IF(COUNTIFS('سجل التحفيز'!$T$5:$T$2004,"&gt;0",'سجل التحفيز'!$B$5:$B$2004,B119)&gt;0,COUNT(N$4:N118)+1,""))</f>
        <v/>
      </c>
      <c r="O119">
        <f>IF(B119="","",IF(COUNTIFS('سجل التحفيز'!$U$5:$U$2004,"&gt;0",'سجل التحفيز'!$B$5:$B$2004,B119)&gt;0,COUNT(O$4:O118)+1,""))</f>
        <v/>
      </c>
      <c r="P119">
        <f>IF(B119="","",IF(COUNTIFS('سجل التحفيز'!$V$5:$V$2004,"&gt;0",'سجل التحفيز'!$B$5:$B$2004,B119)&gt;0,COUNT(P$4:P118)+1,""))</f>
        <v/>
      </c>
      <c r="Q119">
        <f>IF(B119="","",IF(COUNTIFS('سجل التحفيز'!$W$5:$W$2004,"&gt;0",'سجل التحفيز'!$B$5:$B$2004,B119)&gt;0,COUNT(Q$4:Q118)+1,""))</f>
        <v/>
      </c>
      <c r="R119">
        <f>IF(B119="","",IF(COUNTIFS('سجل التحفيز'!$X$5:$X$2004,"&gt;0",'سجل التحفيز'!$B$5:$B$2004,B119)&gt;0,COUNT(R$4:R118)+1,""))</f>
        <v/>
      </c>
      <c r="S119">
        <f>IF(B119="","",IF(COUNTIFS('سجل التحفيز'!$Y$5:$Y$2004,"&gt;0",'سجل التحفيز'!$B$5:$B$2004,B119)&gt;0,COUNT(S$4:S118)+1,""))</f>
        <v/>
      </c>
      <c r="T119">
        <f>IF(B119="","",IF(COUNTIFS('سجل التحفيز'!$Z$5:$Z$2004,"&gt;0",'سجل التحفيز'!$B$5:$B$2004,B119)&gt;0,COUNT(T$4:T118)+1,""))</f>
        <v/>
      </c>
      <c r="U119">
        <f>IF(B119="","",IF(COUNTIFS('سجل التحفيز'!$AA$5:$AA$2004,"&gt;0",'سجل التحفيز'!$B$5:$B$2004,B119)&gt;0,COUNT(U$4:U118)+1,""))</f>
        <v/>
      </c>
      <c r="V119">
        <f>IF(B119="","",IF(COUNTIFS('سجل التحفيز'!$AB$5:$AB$2004,"&gt;0",'سجل التحفيز'!$B$5:$B$2004,B119)&gt;0,COUNT(V$4:V118)+1,""))</f>
        <v/>
      </c>
      <c r="W119">
        <f>IF(B119="","",IF(COUNTIFS('سجل التحفيز'!$AC$5:$AC$2004,"&gt;0",'سجل التحفيز'!$B$5:$B$2004,B119)&gt;0,COUNT(W$4:W118)+1,""))</f>
        <v/>
      </c>
      <c r="X119">
        <f>IF(B119="","",IF(COUNTIFS('سجل التحفيز'!$AD$5:$AD$2004,"&gt;0",'سجل التحفيز'!$B$5:$B$2004,B119)&gt;0,COUNT(X$4:X118)+1,""))</f>
        <v/>
      </c>
      <c r="Y119">
        <f>IF(B119="","",IF(COUNTIFS('سجل التحفيز'!$AE$5:$AE$2004,"&gt;0",'سجل التحفيز'!$B$5:$B$2004,B119)&gt;0,COUNT(Y$4:Y118)+1,""))</f>
        <v/>
      </c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20">
        <f>IF(B120="","",COUNTIFS('سجل التحفيز'!$B$5:$B$2004,B120,'سجل التحفيز'!$R$5:$R$2004,الإعدادات!$B$4))</f>
        <v/>
      </c>
      <c r="I120" s="20">
        <f>IF(B120="","",COUNTIFS('سجل التحفيز'!$B$5:$B$2004,B120,'سجل التحفيز'!$R$5:$R$2004,الإعدادات!$B$4,'سجل التحفيز'!$Q$5:$Q$2004,"الفصل الأول",'سجل التحفيز'!$D$5:$D$2004,"ذهبي"))</f>
        <v/>
      </c>
      <c r="J120" s="20">
        <f>IF(B120="","",COUNTIFS('سجل التحفيز'!$B$5:$B$2004,B120,'سجل التحفيز'!$R$5:$R$2004,الإعدادات!$B$4,'سجل التحفيز'!$Q$5:$Q$2004,"الفصل الثاني",'سجل التحفيز'!$D$5:$D$2004,"ذهبي"))</f>
        <v/>
      </c>
      <c r="K120" s="20">
        <f>IF(B120="","",COUNTIFS('سجل التحفيز'!$B$5:$B$2004,B120,'سجل التحفيز'!$R$5:$R$2004,الإعدادات!$B$4,'سجل التحفيز'!$D$5:$D$2004,"ذهبي"))</f>
        <v/>
      </c>
      <c r="L120" s="20">
        <f>IF(B120="","",IF(G120="محرومة","محرومة - مخالفة",IF(K120&gt;=5,"مستحقة ★","متبقي "&amp;(5-K120)&amp;" معايير")))</f>
        <v/>
      </c>
      <c r="N120">
        <f>IF(B120="","",IF(COUNTIFS('سجل التحفيز'!$T$5:$T$2004,"&gt;0",'سجل التحفيز'!$B$5:$B$2004,B120)&gt;0,COUNT(N$4:N119)+1,""))</f>
        <v/>
      </c>
      <c r="O120">
        <f>IF(B120="","",IF(COUNTIFS('سجل التحفيز'!$U$5:$U$2004,"&gt;0",'سجل التحفيز'!$B$5:$B$2004,B120)&gt;0,COUNT(O$4:O119)+1,""))</f>
        <v/>
      </c>
      <c r="P120">
        <f>IF(B120="","",IF(COUNTIFS('سجل التحفيز'!$V$5:$V$2004,"&gt;0",'سجل التحفيز'!$B$5:$B$2004,B120)&gt;0,COUNT(P$4:P119)+1,""))</f>
        <v/>
      </c>
      <c r="Q120">
        <f>IF(B120="","",IF(COUNTIFS('سجل التحفيز'!$W$5:$W$2004,"&gt;0",'سجل التحفيز'!$B$5:$B$2004,B120)&gt;0,COUNT(Q$4:Q119)+1,""))</f>
        <v/>
      </c>
      <c r="R120">
        <f>IF(B120="","",IF(COUNTIFS('سجل التحفيز'!$X$5:$X$2004,"&gt;0",'سجل التحفيز'!$B$5:$B$2004,B120)&gt;0,COUNT(R$4:R119)+1,""))</f>
        <v/>
      </c>
      <c r="S120">
        <f>IF(B120="","",IF(COUNTIFS('سجل التحفيز'!$Y$5:$Y$2004,"&gt;0",'سجل التحفيز'!$B$5:$B$2004,B120)&gt;0,COUNT(S$4:S119)+1,""))</f>
        <v/>
      </c>
      <c r="T120">
        <f>IF(B120="","",IF(COUNTIFS('سجل التحفيز'!$Z$5:$Z$2004,"&gt;0",'سجل التحفيز'!$B$5:$B$2004,B120)&gt;0,COUNT(T$4:T119)+1,""))</f>
        <v/>
      </c>
      <c r="U120">
        <f>IF(B120="","",IF(COUNTIFS('سجل التحفيز'!$AA$5:$AA$2004,"&gt;0",'سجل التحفيز'!$B$5:$B$2004,B120)&gt;0,COUNT(U$4:U119)+1,""))</f>
        <v/>
      </c>
      <c r="V120">
        <f>IF(B120="","",IF(COUNTIFS('سجل التحفيز'!$AB$5:$AB$2004,"&gt;0",'سجل التحفيز'!$B$5:$B$2004,B120)&gt;0,COUNT(V$4:V119)+1,""))</f>
        <v/>
      </c>
      <c r="W120">
        <f>IF(B120="","",IF(COUNTIFS('سجل التحفيز'!$AC$5:$AC$2004,"&gt;0",'سجل التحفيز'!$B$5:$B$2004,B120)&gt;0,COUNT(W$4:W119)+1,""))</f>
        <v/>
      </c>
      <c r="X120">
        <f>IF(B120="","",IF(COUNTIFS('سجل التحفيز'!$AD$5:$AD$2004,"&gt;0",'سجل التحفيز'!$B$5:$B$2004,B120)&gt;0,COUNT(X$4:X119)+1,""))</f>
        <v/>
      </c>
      <c r="Y120">
        <f>IF(B120="","",IF(COUNTIFS('سجل التحفيز'!$AE$5:$AE$2004,"&gt;0",'سجل التحفيز'!$B$5:$B$2004,B120)&gt;0,COUNT(Y$4:Y119)+1,""))</f>
        <v/>
      </c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20">
        <f>IF(B121="","",COUNTIFS('سجل التحفيز'!$B$5:$B$2004,B121,'سجل التحفيز'!$R$5:$R$2004,الإعدادات!$B$4))</f>
        <v/>
      </c>
      <c r="I121" s="20">
        <f>IF(B121="","",COUNTIFS('سجل التحفيز'!$B$5:$B$2004,B121,'سجل التحفيز'!$R$5:$R$2004,الإعدادات!$B$4,'سجل التحفيز'!$Q$5:$Q$2004,"الفصل الأول",'سجل التحفيز'!$D$5:$D$2004,"ذهبي"))</f>
        <v/>
      </c>
      <c r="J121" s="20">
        <f>IF(B121="","",COUNTIFS('سجل التحفيز'!$B$5:$B$2004,B121,'سجل التحفيز'!$R$5:$R$2004,الإعدادات!$B$4,'سجل التحفيز'!$Q$5:$Q$2004,"الفصل الثاني",'سجل التحفيز'!$D$5:$D$2004,"ذهبي"))</f>
        <v/>
      </c>
      <c r="K121" s="20">
        <f>IF(B121="","",COUNTIFS('سجل التحفيز'!$B$5:$B$2004,B121,'سجل التحفيز'!$R$5:$R$2004,الإعدادات!$B$4,'سجل التحفيز'!$D$5:$D$2004,"ذهبي"))</f>
        <v/>
      </c>
      <c r="L121" s="20">
        <f>IF(B121="","",IF(G121="محرومة","محرومة - مخالفة",IF(K121&gt;=5,"مستحقة ★","متبقي "&amp;(5-K121)&amp;" معايير")))</f>
        <v/>
      </c>
      <c r="N121">
        <f>IF(B121="","",IF(COUNTIFS('سجل التحفيز'!$T$5:$T$2004,"&gt;0",'سجل التحفيز'!$B$5:$B$2004,B121)&gt;0,COUNT(N$4:N120)+1,""))</f>
        <v/>
      </c>
      <c r="O121">
        <f>IF(B121="","",IF(COUNTIFS('سجل التحفيز'!$U$5:$U$2004,"&gt;0",'سجل التحفيز'!$B$5:$B$2004,B121)&gt;0,COUNT(O$4:O120)+1,""))</f>
        <v/>
      </c>
      <c r="P121">
        <f>IF(B121="","",IF(COUNTIFS('سجل التحفيز'!$V$5:$V$2004,"&gt;0",'سجل التحفيز'!$B$5:$B$2004,B121)&gt;0,COUNT(P$4:P120)+1,""))</f>
        <v/>
      </c>
      <c r="Q121">
        <f>IF(B121="","",IF(COUNTIFS('سجل التحفيز'!$W$5:$W$2004,"&gt;0",'سجل التحفيز'!$B$5:$B$2004,B121)&gt;0,COUNT(Q$4:Q120)+1,""))</f>
        <v/>
      </c>
      <c r="R121">
        <f>IF(B121="","",IF(COUNTIFS('سجل التحفيز'!$X$5:$X$2004,"&gt;0",'سجل التحفيز'!$B$5:$B$2004,B121)&gt;0,COUNT(R$4:R120)+1,""))</f>
        <v/>
      </c>
      <c r="S121">
        <f>IF(B121="","",IF(COUNTIFS('سجل التحفيز'!$Y$5:$Y$2004,"&gt;0",'سجل التحفيز'!$B$5:$B$2004,B121)&gt;0,COUNT(S$4:S120)+1,""))</f>
        <v/>
      </c>
      <c r="T121">
        <f>IF(B121="","",IF(COUNTIFS('سجل التحفيز'!$Z$5:$Z$2004,"&gt;0",'سجل التحفيز'!$B$5:$B$2004,B121)&gt;0,COUNT(T$4:T120)+1,""))</f>
        <v/>
      </c>
      <c r="U121">
        <f>IF(B121="","",IF(COUNTIFS('سجل التحفيز'!$AA$5:$AA$2004,"&gt;0",'سجل التحفيز'!$B$5:$B$2004,B121)&gt;0,COUNT(U$4:U120)+1,""))</f>
        <v/>
      </c>
      <c r="V121">
        <f>IF(B121="","",IF(COUNTIFS('سجل التحفيز'!$AB$5:$AB$2004,"&gt;0",'سجل التحفيز'!$B$5:$B$2004,B121)&gt;0,COUNT(V$4:V120)+1,""))</f>
        <v/>
      </c>
      <c r="W121">
        <f>IF(B121="","",IF(COUNTIFS('سجل التحفيز'!$AC$5:$AC$2004,"&gt;0",'سجل التحفيز'!$B$5:$B$2004,B121)&gt;0,COUNT(W$4:W120)+1,""))</f>
        <v/>
      </c>
      <c r="X121">
        <f>IF(B121="","",IF(COUNTIFS('سجل التحفيز'!$AD$5:$AD$2004,"&gt;0",'سجل التحفيز'!$B$5:$B$2004,B121)&gt;0,COUNT(X$4:X120)+1,""))</f>
        <v/>
      </c>
      <c r="Y121">
        <f>IF(B121="","",IF(COUNTIFS('سجل التحفيز'!$AE$5:$AE$2004,"&gt;0",'سجل التحفيز'!$B$5:$B$2004,B121)&gt;0,COUNT(Y$4:Y120)+1,""))</f>
        <v/>
      </c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20">
        <f>IF(B122="","",COUNTIFS('سجل التحفيز'!$B$5:$B$2004,B122,'سجل التحفيز'!$R$5:$R$2004,الإعدادات!$B$4))</f>
        <v/>
      </c>
      <c r="I122" s="20">
        <f>IF(B122="","",COUNTIFS('سجل التحفيز'!$B$5:$B$2004,B122,'سجل التحفيز'!$R$5:$R$2004,الإعدادات!$B$4,'سجل التحفيز'!$Q$5:$Q$2004,"الفصل الأول",'سجل التحفيز'!$D$5:$D$2004,"ذهبي"))</f>
        <v/>
      </c>
      <c r="J122" s="20">
        <f>IF(B122="","",COUNTIFS('سجل التحفيز'!$B$5:$B$2004,B122,'سجل التحفيز'!$R$5:$R$2004,الإعدادات!$B$4,'سجل التحفيز'!$Q$5:$Q$2004,"الفصل الثاني",'سجل التحفيز'!$D$5:$D$2004,"ذهبي"))</f>
        <v/>
      </c>
      <c r="K122" s="20">
        <f>IF(B122="","",COUNTIFS('سجل التحفيز'!$B$5:$B$2004,B122,'سجل التحفيز'!$R$5:$R$2004,الإعدادات!$B$4,'سجل التحفيز'!$D$5:$D$2004,"ذهبي"))</f>
        <v/>
      </c>
      <c r="L122" s="20">
        <f>IF(B122="","",IF(G122="محرومة","محرومة - مخالفة",IF(K122&gt;=5,"مستحقة ★","متبقي "&amp;(5-K122)&amp;" معايير")))</f>
        <v/>
      </c>
      <c r="N122">
        <f>IF(B122="","",IF(COUNTIFS('سجل التحفيز'!$T$5:$T$2004,"&gt;0",'سجل التحفيز'!$B$5:$B$2004,B122)&gt;0,COUNT(N$4:N121)+1,""))</f>
        <v/>
      </c>
      <c r="O122">
        <f>IF(B122="","",IF(COUNTIFS('سجل التحفيز'!$U$5:$U$2004,"&gt;0",'سجل التحفيز'!$B$5:$B$2004,B122)&gt;0,COUNT(O$4:O121)+1,""))</f>
        <v/>
      </c>
      <c r="P122">
        <f>IF(B122="","",IF(COUNTIFS('سجل التحفيز'!$V$5:$V$2004,"&gt;0",'سجل التحفيز'!$B$5:$B$2004,B122)&gt;0,COUNT(P$4:P121)+1,""))</f>
        <v/>
      </c>
      <c r="Q122">
        <f>IF(B122="","",IF(COUNTIFS('سجل التحفيز'!$W$5:$W$2004,"&gt;0",'سجل التحفيز'!$B$5:$B$2004,B122)&gt;0,COUNT(Q$4:Q121)+1,""))</f>
        <v/>
      </c>
      <c r="R122">
        <f>IF(B122="","",IF(COUNTIFS('سجل التحفيز'!$X$5:$X$2004,"&gt;0",'سجل التحفيز'!$B$5:$B$2004,B122)&gt;0,COUNT(R$4:R121)+1,""))</f>
        <v/>
      </c>
      <c r="S122">
        <f>IF(B122="","",IF(COUNTIFS('سجل التحفيز'!$Y$5:$Y$2004,"&gt;0",'سجل التحفيز'!$B$5:$B$2004,B122)&gt;0,COUNT(S$4:S121)+1,""))</f>
        <v/>
      </c>
      <c r="T122">
        <f>IF(B122="","",IF(COUNTIFS('سجل التحفيز'!$Z$5:$Z$2004,"&gt;0",'سجل التحفيز'!$B$5:$B$2004,B122)&gt;0,COUNT(T$4:T121)+1,""))</f>
        <v/>
      </c>
      <c r="U122">
        <f>IF(B122="","",IF(COUNTIFS('سجل التحفيز'!$AA$5:$AA$2004,"&gt;0",'سجل التحفيز'!$B$5:$B$2004,B122)&gt;0,COUNT(U$4:U121)+1,""))</f>
        <v/>
      </c>
      <c r="V122">
        <f>IF(B122="","",IF(COUNTIFS('سجل التحفيز'!$AB$5:$AB$2004,"&gt;0",'سجل التحفيز'!$B$5:$B$2004,B122)&gt;0,COUNT(V$4:V121)+1,""))</f>
        <v/>
      </c>
      <c r="W122">
        <f>IF(B122="","",IF(COUNTIFS('سجل التحفيز'!$AC$5:$AC$2004,"&gt;0",'سجل التحفيز'!$B$5:$B$2004,B122)&gt;0,COUNT(W$4:W121)+1,""))</f>
        <v/>
      </c>
      <c r="X122">
        <f>IF(B122="","",IF(COUNTIFS('سجل التحفيز'!$AD$5:$AD$2004,"&gt;0",'سجل التحفيز'!$B$5:$B$2004,B122)&gt;0,COUNT(X$4:X121)+1,""))</f>
        <v/>
      </c>
      <c r="Y122">
        <f>IF(B122="","",IF(COUNTIFS('سجل التحفيز'!$AE$5:$AE$2004,"&gt;0",'سجل التحفيز'!$B$5:$B$2004,B122)&gt;0,COUNT(Y$4:Y121)+1,""))</f>
        <v/>
      </c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20">
        <f>IF(B123="","",COUNTIFS('سجل التحفيز'!$B$5:$B$2004,B123,'سجل التحفيز'!$R$5:$R$2004,الإعدادات!$B$4))</f>
        <v/>
      </c>
      <c r="I123" s="20">
        <f>IF(B123="","",COUNTIFS('سجل التحفيز'!$B$5:$B$2004,B123,'سجل التحفيز'!$R$5:$R$2004,الإعدادات!$B$4,'سجل التحفيز'!$Q$5:$Q$2004,"الفصل الأول",'سجل التحفيز'!$D$5:$D$2004,"ذهبي"))</f>
        <v/>
      </c>
      <c r="J123" s="20">
        <f>IF(B123="","",COUNTIFS('سجل التحفيز'!$B$5:$B$2004,B123,'سجل التحفيز'!$R$5:$R$2004,الإعدادات!$B$4,'سجل التحفيز'!$Q$5:$Q$2004,"الفصل الثاني",'سجل التحفيز'!$D$5:$D$2004,"ذهبي"))</f>
        <v/>
      </c>
      <c r="K123" s="20">
        <f>IF(B123="","",COUNTIFS('سجل التحفيز'!$B$5:$B$2004,B123,'سجل التحفيز'!$R$5:$R$2004,الإعدادات!$B$4,'سجل التحفيز'!$D$5:$D$2004,"ذهبي"))</f>
        <v/>
      </c>
      <c r="L123" s="20">
        <f>IF(B123="","",IF(G123="محرومة","محرومة - مخالفة",IF(K123&gt;=5,"مستحقة ★","متبقي "&amp;(5-K123)&amp;" معايير")))</f>
        <v/>
      </c>
      <c r="N123">
        <f>IF(B123="","",IF(COUNTIFS('سجل التحفيز'!$T$5:$T$2004,"&gt;0",'سجل التحفيز'!$B$5:$B$2004,B123)&gt;0,COUNT(N$4:N122)+1,""))</f>
        <v/>
      </c>
      <c r="O123">
        <f>IF(B123="","",IF(COUNTIFS('سجل التحفيز'!$U$5:$U$2004,"&gt;0",'سجل التحفيز'!$B$5:$B$2004,B123)&gt;0,COUNT(O$4:O122)+1,""))</f>
        <v/>
      </c>
      <c r="P123">
        <f>IF(B123="","",IF(COUNTIFS('سجل التحفيز'!$V$5:$V$2004,"&gt;0",'سجل التحفيز'!$B$5:$B$2004,B123)&gt;0,COUNT(P$4:P122)+1,""))</f>
        <v/>
      </c>
      <c r="Q123">
        <f>IF(B123="","",IF(COUNTIFS('سجل التحفيز'!$W$5:$W$2004,"&gt;0",'سجل التحفيز'!$B$5:$B$2004,B123)&gt;0,COUNT(Q$4:Q122)+1,""))</f>
        <v/>
      </c>
      <c r="R123">
        <f>IF(B123="","",IF(COUNTIFS('سجل التحفيز'!$X$5:$X$2004,"&gt;0",'سجل التحفيز'!$B$5:$B$2004,B123)&gt;0,COUNT(R$4:R122)+1,""))</f>
        <v/>
      </c>
      <c r="S123">
        <f>IF(B123="","",IF(COUNTIFS('سجل التحفيز'!$Y$5:$Y$2004,"&gt;0",'سجل التحفيز'!$B$5:$B$2004,B123)&gt;0,COUNT(S$4:S122)+1,""))</f>
        <v/>
      </c>
      <c r="T123">
        <f>IF(B123="","",IF(COUNTIFS('سجل التحفيز'!$Z$5:$Z$2004,"&gt;0",'سجل التحفيز'!$B$5:$B$2004,B123)&gt;0,COUNT(T$4:T122)+1,""))</f>
        <v/>
      </c>
      <c r="U123">
        <f>IF(B123="","",IF(COUNTIFS('سجل التحفيز'!$AA$5:$AA$2004,"&gt;0",'سجل التحفيز'!$B$5:$B$2004,B123)&gt;0,COUNT(U$4:U122)+1,""))</f>
        <v/>
      </c>
      <c r="V123">
        <f>IF(B123="","",IF(COUNTIFS('سجل التحفيز'!$AB$5:$AB$2004,"&gt;0",'سجل التحفيز'!$B$5:$B$2004,B123)&gt;0,COUNT(V$4:V122)+1,""))</f>
        <v/>
      </c>
      <c r="W123">
        <f>IF(B123="","",IF(COUNTIFS('سجل التحفيز'!$AC$5:$AC$2004,"&gt;0",'سجل التحفيز'!$B$5:$B$2004,B123)&gt;0,COUNT(W$4:W122)+1,""))</f>
        <v/>
      </c>
      <c r="X123">
        <f>IF(B123="","",IF(COUNTIFS('سجل التحفيز'!$AD$5:$AD$2004,"&gt;0",'سجل التحفيز'!$B$5:$B$2004,B123)&gt;0,COUNT(X$4:X122)+1,""))</f>
        <v/>
      </c>
      <c r="Y123">
        <f>IF(B123="","",IF(COUNTIFS('سجل التحفيز'!$AE$5:$AE$2004,"&gt;0",'سجل التحفيز'!$B$5:$B$2004,B123)&gt;0,COUNT(Y$4:Y122)+1,""))</f>
        <v/>
      </c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20">
        <f>IF(B124="","",COUNTIFS('سجل التحفيز'!$B$5:$B$2004,B124,'سجل التحفيز'!$R$5:$R$2004,الإعدادات!$B$4))</f>
        <v/>
      </c>
      <c r="I124" s="20">
        <f>IF(B124="","",COUNTIFS('سجل التحفيز'!$B$5:$B$2004,B124,'سجل التحفيز'!$R$5:$R$2004,الإعدادات!$B$4,'سجل التحفيز'!$Q$5:$Q$2004,"الفصل الأول",'سجل التحفيز'!$D$5:$D$2004,"ذهبي"))</f>
        <v/>
      </c>
      <c r="J124" s="20">
        <f>IF(B124="","",COUNTIFS('سجل التحفيز'!$B$5:$B$2004,B124,'سجل التحفيز'!$R$5:$R$2004,الإعدادات!$B$4,'سجل التحفيز'!$Q$5:$Q$2004,"الفصل الثاني",'سجل التحفيز'!$D$5:$D$2004,"ذهبي"))</f>
        <v/>
      </c>
      <c r="K124" s="20">
        <f>IF(B124="","",COUNTIFS('سجل التحفيز'!$B$5:$B$2004,B124,'سجل التحفيز'!$R$5:$R$2004,الإعدادات!$B$4,'سجل التحفيز'!$D$5:$D$2004,"ذهبي"))</f>
        <v/>
      </c>
      <c r="L124" s="20">
        <f>IF(B124="","",IF(G124="محرومة","محرومة - مخالفة",IF(K124&gt;=5,"مستحقة ★","متبقي "&amp;(5-K124)&amp;" معايير")))</f>
        <v/>
      </c>
      <c r="N124">
        <f>IF(B124="","",IF(COUNTIFS('سجل التحفيز'!$T$5:$T$2004,"&gt;0",'سجل التحفيز'!$B$5:$B$2004,B124)&gt;0,COUNT(N$4:N123)+1,""))</f>
        <v/>
      </c>
      <c r="O124">
        <f>IF(B124="","",IF(COUNTIFS('سجل التحفيز'!$U$5:$U$2004,"&gt;0",'سجل التحفيز'!$B$5:$B$2004,B124)&gt;0,COUNT(O$4:O123)+1,""))</f>
        <v/>
      </c>
      <c r="P124">
        <f>IF(B124="","",IF(COUNTIFS('سجل التحفيز'!$V$5:$V$2004,"&gt;0",'سجل التحفيز'!$B$5:$B$2004,B124)&gt;0,COUNT(P$4:P123)+1,""))</f>
        <v/>
      </c>
      <c r="Q124">
        <f>IF(B124="","",IF(COUNTIFS('سجل التحفيز'!$W$5:$W$2004,"&gt;0",'سجل التحفيز'!$B$5:$B$2004,B124)&gt;0,COUNT(Q$4:Q123)+1,""))</f>
        <v/>
      </c>
      <c r="R124">
        <f>IF(B124="","",IF(COUNTIFS('سجل التحفيز'!$X$5:$X$2004,"&gt;0",'سجل التحفيز'!$B$5:$B$2004,B124)&gt;0,COUNT(R$4:R123)+1,""))</f>
        <v/>
      </c>
      <c r="S124">
        <f>IF(B124="","",IF(COUNTIFS('سجل التحفيز'!$Y$5:$Y$2004,"&gt;0",'سجل التحفيز'!$B$5:$B$2004,B124)&gt;0,COUNT(S$4:S123)+1,""))</f>
        <v/>
      </c>
      <c r="T124">
        <f>IF(B124="","",IF(COUNTIFS('سجل التحفيز'!$Z$5:$Z$2004,"&gt;0",'سجل التحفيز'!$B$5:$B$2004,B124)&gt;0,COUNT(T$4:T123)+1,""))</f>
        <v/>
      </c>
      <c r="U124">
        <f>IF(B124="","",IF(COUNTIFS('سجل التحفيز'!$AA$5:$AA$2004,"&gt;0",'سجل التحفيز'!$B$5:$B$2004,B124)&gt;0,COUNT(U$4:U123)+1,""))</f>
        <v/>
      </c>
      <c r="V124">
        <f>IF(B124="","",IF(COUNTIFS('سجل التحفيز'!$AB$5:$AB$2004,"&gt;0",'سجل التحفيز'!$B$5:$B$2004,B124)&gt;0,COUNT(V$4:V123)+1,""))</f>
        <v/>
      </c>
      <c r="W124">
        <f>IF(B124="","",IF(COUNTIFS('سجل التحفيز'!$AC$5:$AC$2004,"&gt;0",'سجل التحفيز'!$B$5:$B$2004,B124)&gt;0,COUNT(W$4:W123)+1,""))</f>
        <v/>
      </c>
      <c r="X124">
        <f>IF(B124="","",IF(COUNTIFS('سجل التحفيز'!$AD$5:$AD$2004,"&gt;0",'سجل التحفيز'!$B$5:$B$2004,B124)&gt;0,COUNT(X$4:X123)+1,""))</f>
        <v/>
      </c>
      <c r="Y124">
        <f>IF(B124="","",IF(COUNTIFS('سجل التحفيز'!$AE$5:$AE$2004,"&gt;0",'سجل التحفيز'!$B$5:$B$2004,B124)&gt;0,COUNT(Y$4:Y123)+1,""))</f>
        <v/>
      </c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20">
        <f>IF(B125="","",COUNTIFS('سجل التحفيز'!$B$5:$B$2004,B125,'سجل التحفيز'!$R$5:$R$2004,الإعدادات!$B$4))</f>
        <v/>
      </c>
      <c r="I125" s="20">
        <f>IF(B125="","",COUNTIFS('سجل التحفيز'!$B$5:$B$2004,B125,'سجل التحفيز'!$R$5:$R$2004,الإعدادات!$B$4,'سجل التحفيز'!$Q$5:$Q$2004,"الفصل الأول",'سجل التحفيز'!$D$5:$D$2004,"ذهبي"))</f>
        <v/>
      </c>
      <c r="J125" s="20">
        <f>IF(B125="","",COUNTIFS('سجل التحفيز'!$B$5:$B$2004,B125,'سجل التحفيز'!$R$5:$R$2004,الإعدادات!$B$4,'سجل التحفيز'!$Q$5:$Q$2004,"الفصل الثاني",'سجل التحفيز'!$D$5:$D$2004,"ذهبي"))</f>
        <v/>
      </c>
      <c r="K125" s="20">
        <f>IF(B125="","",COUNTIFS('سجل التحفيز'!$B$5:$B$2004,B125,'سجل التحفيز'!$R$5:$R$2004,الإعدادات!$B$4,'سجل التحفيز'!$D$5:$D$2004,"ذهبي"))</f>
        <v/>
      </c>
      <c r="L125" s="20">
        <f>IF(B125="","",IF(G125="محرومة","محرومة - مخالفة",IF(K125&gt;=5,"مستحقة ★","متبقي "&amp;(5-K125)&amp;" معايير")))</f>
        <v/>
      </c>
      <c r="N125">
        <f>IF(B125="","",IF(COUNTIFS('سجل التحفيز'!$T$5:$T$2004,"&gt;0",'سجل التحفيز'!$B$5:$B$2004,B125)&gt;0,COUNT(N$4:N124)+1,""))</f>
        <v/>
      </c>
      <c r="O125">
        <f>IF(B125="","",IF(COUNTIFS('سجل التحفيز'!$U$5:$U$2004,"&gt;0",'سجل التحفيز'!$B$5:$B$2004,B125)&gt;0,COUNT(O$4:O124)+1,""))</f>
        <v/>
      </c>
      <c r="P125">
        <f>IF(B125="","",IF(COUNTIFS('سجل التحفيز'!$V$5:$V$2004,"&gt;0",'سجل التحفيز'!$B$5:$B$2004,B125)&gt;0,COUNT(P$4:P124)+1,""))</f>
        <v/>
      </c>
      <c r="Q125">
        <f>IF(B125="","",IF(COUNTIFS('سجل التحفيز'!$W$5:$W$2004,"&gt;0",'سجل التحفيز'!$B$5:$B$2004,B125)&gt;0,COUNT(Q$4:Q124)+1,""))</f>
        <v/>
      </c>
      <c r="R125">
        <f>IF(B125="","",IF(COUNTIFS('سجل التحفيز'!$X$5:$X$2004,"&gt;0",'سجل التحفيز'!$B$5:$B$2004,B125)&gt;0,COUNT(R$4:R124)+1,""))</f>
        <v/>
      </c>
      <c r="S125">
        <f>IF(B125="","",IF(COUNTIFS('سجل التحفيز'!$Y$5:$Y$2004,"&gt;0",'سجل التحفيز'!$B$5:$B$2004,B125)&gt;0,COUNT(S$4:S124)+1,""))</f>
        <v/>
      </c>
      <c r="T125">
        <f>IF(B125="","",IF(COUNTIFS('سجل التحفيز'!$Z$5:$Z$2004,"&gt;0",'سجل التحفيز'!$B$5:$B$2004,B125)&gt;0,COUNT(T$4:T124)+1,""))</f>
        <v/>
      </c>
      <c r="U125">
        <f>IF(B125="","",IF(COUNTIFS('سجل التحفيز'!$AA$5:$AA$2004,"&gt;0",'سجل التحفيز'!$B$5:$B$2004,B125)&gt;0,COUNT(U$4:U124)+1,""))</f>
        <v/>
      </c>
      <c r="V125">
        <f>IF(B125="","",IF(COUNTIFS('سجل التحفيز'!$AB$5:$AB$2004,"&gt;0",'سجل التحفيز'!$B$5:$B$2004,B125)&gt;0,COUNT(V$4:V124)+1,""))</f>
        <v/>
      </c>
      <c r="W125">
        <f>IF(B125="","",IF(COUNTIFS('سجل التحفيز'!$AC$5:$AC$2004,"&gt;0",'سجل التحفيز'!$B$5:$B$2004,B125)&gt;0,COUNT(W$4:W124)+1,""))</f>
        <v/>
      </c>
      <c r="X125">
        <f>IF(B125="","",IF(COUNTIFS('سجل التحفيز'!$AD$5:$AD$2004,"&gt;0",'سجل التحفيز'!$B$5:$B$2004,B125)&gt;0,COUNT(X$4:X124)+1,""))</f>
        <v/>
      </c>
      <c r="Y125">
        <f>IF(B125="","",IF(COUNTIFS('سجل التحفيز'!$AE$5:$AE$2004,"&gt;0",'سجل التحفيز'!$B$5:$B$2004,B125)&gt;0,COUNT(Y$4:Y124)+1,""))</f>
        <v/>
      </c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20">
        <f>IF(B126="","",COUNTIFS('سجل التحفيز'!$B$5:$B$2004,B126,'سجل التحفيز'!$R$5:$R$2004,الإعدادات!$B$4))</f>
        <v/>
      </c>
      <c r="I126" s="20">
        <f>IF(B126="","",COUNTIFS('سجل التحفيز'!$B$5:$B$2004,B126,'سجل التحفيز'!$R$5:$R$2004,الإعدادات!$B$4,'سجل التحفيز'!$Q$5:$Q$2004,"الفصل الأول",'سجل التحفيز'!$D$5:$D$2004,"ذهبي"))</f>
        <v/>
      </c>
      <c r="J126" s="20">
        <f>IF(B126="","",COUNTIFS('سجل التحفيز'!$B$5:$B$2004,B126,'سجل التحفيز'!$R$5:$R$2004,الإعدادات!$B$4,'سجل التحفيز'!$Q$5:$Q$2004,"الفصل الثاني",'سجل التحفيز'!$D$5:$D$2004,"ذهبي"))</f>
        <v/>
      </c>
      <c r="K126" s="20">
        <f>IF(B126="","",COUNTIFS('سجل التحفيز'!$B$5:$B$2004,B126,'سجل التحفيز'!$R$5:$R$2004,الإعدادات!$B$4,'سجل التحفيز'!$D$5:$D$2004,"ذهبي"))</f>
        <v/>
      </c>
      <c r="L126" s="20">
        <f>IF(B126="","",IF(G126="محرومة","محرومة - مخالفة",IF(K126&gt;=5,"مستحقة ★","متبقي "&amp;(5-K126)&amp;" معايير")))</f>
        <v/>
      </c>
      <c r="N126">
        <f>IF(B126="","",IF(COUNTIFS('سجل التحفيز'!$T$5:$T$2004,"&gt;0",'سجل التحفيز'!$B$5:$B$2004,B126)&gt;0,COUNT(N$4:N125)+1,""))</f>
        <v/>
      </c>
      <c r="O126">
        <f>IF(B126="","",IF(COUNTIFS('سجل التحفيز'!$U$5:$U$2004,"&gt;0",'سجل التحفيز'!$B$5:$B$2004,B126)&gt;0,COUNT(O$4:O125)+1,""))</f>
        <v/>
      </c>
      <c r="P126">
        <f>IF(B126="","",IF(COUNTIFS('سجل التحفيز'!$V$5:$V$2004,"&gt;0",'سجل التحفيز'!$B$5:$B$2004,B126)&gt;0,COUNT(P$4:P125)+1,""))</f>
        <v/>
      </c>
      <c r="Q126">
        <f>IF(B126="","",IF(COUNTIFS('سجل التحفيز'!$W$5:$W$2004,"&gt;0",'سجل التحفيز'!$B$5:$B$2004,B126)&gt;0,COUNT(Q$4:Q125)+1,""))</f>
        <v/>
      </c>
      <c r="R126">
        <f>IF(B126="","",IF(COUNTIFS('سجل التحفيز'!$X$5:$X$2004,"&gt;0",'سجل التحفيز'!$B$5:$B$2004,B126)&gt;0,COUNT(R$4:R125)+1,""))</f>
        <v/>
      </c>
      <c r="S126">
        <f>IF(B126="","",IF(COUNTIFS('سجل التحفيز'!$Y$5:$Y$2004,"&gt;0",'سجل التحفيز'!$B$5:$B$2004,B126)&gt;0,COUNT(S$4:S125)+1,""))</f>
        <v/>
      </c>
      <c r="T126">
        <f>IF(B126="","",IF(COUNTIFS('سجل التحفيز'!$Z$5:$Z$2004,"&gt;0",'سجل التحفيز'!$B$5:$B$2004,B126)&gt;0,COUNT(T$4:T125)+1,""))</f>
        <v/>
      </c>
      <c r="U126">
        <f>IF(B126="","",IF(COUNTIFS('سجل التحفيز'!$AA$5:$AA$2004,"&gt;0",'سجل التحفيز'!$B$5:$B$2004,B126)&gt;0,COUNT(U$4:U125)+1,""))</f>
        <v/>
      </c>
      <c r="V126">
        <f>IF(B126="","",IF(COUNTIFS('سجل التحفيز'!$AB$5:$AB$2004,"&gt;0",'سجل التحفيز'!$B$5:$B$2004,B126)&gt;0,COUNT(V$4:V125)+1,""))</f>
        <v/>
      </c>
      <c r="W126">
        <f>IF(B126="","",IF(COUNTIFS('سجل التحفيز'!$AC$5:$AC$2004,"&gt;0",'سجل التحفيز'!$B$5:$B$2004,B126)&gt;0,COUNT(W$4:W125)+1,""))</f>
        <v/>
      </c>
      <c r="X126">
        <f>IF(B126="","",IF(COUNTIFS('سجل التحفيز'!$AD$5:$AD$2004,"&gt;0",'سجل التحفيز'!$B$5:$B$2004,B126)&gt;0,COUNT(X$4:X125)+1,""))</f>
        <v/>
      </c>
      <c r="Y126">
        <f>IF(B126="","",IF(COUNTIFS('سجل التحفيز'!$AE$5:$AE$2004,"&gt;0",'سجل التحفيز'!$B$5:$B$2004,B126)&gt;0,COUNT(Y$4:Y125)+1,""))</f>
        <v/>
      </c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20">
        <f>IF(B127="","",COUNTIFS('سجل التحفيز'!$B$5:$B$2004,B127,'سجل التحفيز'!$R$5:$R$2004,الإعدادات!$B$4))</f>
        <v/>
      </c>
      <c r="I127" s="20">
        <f>IF(B127="","",COUNTIFS('سجل التحفيز'!$B$5:$B$2004,B127,'سجل التحفيز'!$R$5:$R$2004,الإعدادات!$B$4,'سجل التحفيز'!$Q$5:$Q$2004,"الفصل الأول",'سجل التحفيز'!$D$5:$D$2004,"ذهبي"))</f>
        <v/>
      </c>
      <c r="J127" s="20">
        <f>IF(B127="","",COUNTIFS('سجل التحفيز'!$B$5:$B$2004,B127,'سجل التحفيز'!$R$5:$R$2004,الإعدادات!$B$4,'سجل التحفيز'!$Q$5:$Q$2004,"الفصل الثاني",'سجل التحفيز'!$D$5:$D$2004,"ذهبي"))</f>
        <v/>
      </c>
      <c r="K127" s="20">
        <f>IF(B127="","",COUNTIFS('سجل التحفيز'!$B$5:$B$2004,B127,'سجل التحفيز'!$R$5:$R$2004,الإعدادات!$B$4,'سجل التحفيز'!$D$5:$D$2004,"ذهبي"))</f>
        <v/>
      </c>
      <c r="L127" s="20">
        <f>IF(B127="","",IF(G127="محرومة","محرومة - مخالفة",IF(K127&gt;=5,"مستحقة ★","متبقي "&amp;(5-K127)&amp;" معايير")))</f>
        <v/>
      </c>
      <c r="N127">
        <f>IF(B127="","",IF(COUNTIFS('سجل التحفيز'!$T$5:$T$2004,"&gt;0",'سجل التحفيز'!$B$5:$B$2004,B127)&gt;0,COUNT(N$4:N126)+1,""))</f>
        <v/>
      </c>
      <c r="O127">
        <f>IF(B127="","",IF(COUNTIFS('سجل التحفيز'!$U$5:$U$2004,"&gt;0",'سجل التحفيز'!$B$5:$B$2004,B127)&gt;0,COUNT(O$4:O126)+1,""))</f>
        <v/>
      </c>
      <c r="P127">
        <f>IF(B127="","",IF(COUNTIFS('سجل التحفيز'!$V$5:$V$2004,"&gt;0",'سجل التحفيز'!$B$5:$B$2004,B127)&gt;0,COUNT(P$4:P126)+1,""))</f>
        <v/>
      </c>
      <c r="Q127">
        <f>IF(B127="","",IF(COUNTIFS('سجل التحفيز'!$W$5:$W$2004,"&gt;0",'سجل التحفيز'!$B$5:$B$2004,B127)&gt;0,COUNT(Q$4:Q126)+1,""))</f>
        <v/>
      </c>
      <c r="R127">
        <f>IF(B127="","",IF(COUNTIFS('سجل التحفيز'!$X$5:$X$2004,"&gt;0",'سجل التحفيز'!$B$5:$B$2004,B127)&gt;0,COUNT(R$4:R126)+1,""))</f>
        <v/>
      </c>
      <c r="S127">
        <f>IF(B127="","",IF(COUNTIFS('سجل التحفيز'!$Y$5:$Y$2004,"&gt;0",'سجل التحفيز'!$B$5:$B$2004,B127)&gt;0,COUNT(S$4:S126)+1,""))</f>
        <v/>
      </c>
      <c r="T127">
        <f>IF(B127="","",IF(COUNTIFS('سجل التحفيز'!$Z$5:$Z$2004,"&gt;0",'سجل التحفيز'!$B$5:$B$2004,B127)&gt;0,COUNT(T$4:T126)+1,""))</f>
        <v/>
      </c>
      <c r="U127">
        <f>IF(B127="","",IF(COUNTIFS('سجل التحفيز'!$AA$5:$AA$2004,"&gt;0",'سجل التحفيز'!$B$5:$B$2004,B127)&gt;0,COUNT(U$4:U126)+1,""))</f>
        <v/>
      </c>
      <c r="V127">
        <f>IF(B127="","",IF(COUNTIFS('سجل التحفيز'!$AB$5:$AB$2004,"&gt;0",'سجل التحفيز'!$B$5:$B$2004,B127)&gt;0,COUNT(V$4:V126)+1,""))</f>
        <v/>
      </c>
      <c r="W127">
        <f>IF(B127="","",IF(COUNTIFS('سجل التحفيز'!$AC$5:$AC$2004,"&gt;0",'سجل التحفيز'!$B$5:$B$2004,B127)&gt;0,COUNT(W$4:W126)+1,""))</f>
        <v/>
      </c>
      <c r="X127">
        <f>IF(B127="","",IF(COUNTIFS('سجل التحفيز'!$AD$5:$AD$2004,"&gt;0",'سجل التحفيز'!$B$5:$B$2004,B127)&gt;0,COUNT(X$4:X126)+1,""))</f>
        <v/>
      </c>
      <c r="Y127">
        <f>IF(B127="","",IF(COUNTIFS('سجل التحفيز'!$AE$5:$AE$2004,"&gt;0",'سجل التحفيز'!$B$5:$B$2004,B127)&gt;0,COUNT(Y$4:Y126)+1,""))</f>
        <v/>
      </c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20">
        <f>IF(B128="","",COUNTIFS('سجل التحفيز'!$B$5:$B$2004,B128,'سجل التحفيز'!$R$5:$R$2004,الإعدادات!$B$4))</f>
        <v/>
      </c>
      <c r="I128" s="20">
        <f>IF(B128="","",COUNTIFS('سجل التحفيز'!$B$5:$B$2004,B128,'سجل التحفيز'!$R$5:$R$2004,الإعدادات!$B$4,'سجل التحفيز'!$Q$5:$Q$2004,"الفصل الأول",'سجل التحفيز'!$D$5:$D$2004,"ذهبي"))</f>
        <v/>
      </c>
      <c r="J128" s="20">
        <f>IF(B128="","",COUNTIFS('سجل التحفيز'!$B$5:$B$2004,B128,'سجل التحفيز'!$R$5:$R$2004,الإعدادات!$B$4,'سجل التحفيز'!$Q$5:$Q$2004,"الفصل الثاني",'سجل التحفيز'!$D$5:$D$2004,"ذهبي"))</f>
        <v/>
      </c>
      <c r="K128" s="20">
        <f>IF(B128="","",COUNTIFS('سجل التحفيز'!$B$5:$B$2004,B128,'سجل التحفيز'!$R$5:$R$2004,الإعدادات!$B$4,'سجل التحفيز'!$D$5:$D$2004,"ذهبي"))</f>
        <v/>
      </c>
      <c r="L128" s="20">
        <f>IF(B128="","",IF(G128="محرومة","محرومة - مخالفة",IF(K128&gt;=5,"مستحقة ★","متبقي "&amp;(5-K128)&amp;" معايير")))</f>
        <v/>
      </c>
      <c r="N128">
        <f>IF(B128="","",IF(COUNTIFS('سجل التحفيز'!$T$5:$T$2004,"&gt;0",'سجل التحفيز'!$B$5:$B$2004,B128)&gt;0,COUNT(N$4:N127)+1,""))</f>
        <v/>
      </c>
      <c r="O128">
        <f>IF(B128="","",IF(COUNTIFS('سجل التحفيز'!$U$5:$U$2004,"&gt;0",'سجل التحفيز'!$B$5:$B$2004,B128)&gt;0,COUNT(O$4:O127)+1,""))</f>
        <v/>
      </c>
      <c r="P128">
        <f>IF(B128="","",IF(COUNTIFS('سجل التحفيز'!$V$5:$V$2004,"&gt;0",'سجل التحفيز'!$B$5:$B$2004,B128)&gt;0,COUNT(P$4:P127)+1,""))</f>
        <v/>
      </c>
      <c r="Q128">
        <f>IF(B128="","",IF(COUNTIFS('سجل التحفيز'!$W$5:$W$2004,"&gt;0",'سجل التحفيز'!$B$5:$B$2004,B128)&gt;0,COUNT(Q$4:Q127)+1,""))</f>
        <v/>
      </c>
      <c r="R128">
        <f>IF(B128="","",IF(COUNTIFS('سجل التحفيز'!$X$5:$X$2004,"&gt;0",'سجل التحفيز'!$B$5:$B$2004,B128)&gt;0,COUNT(R$4:R127)+1,""))</f>
        <v/>
      </c>
      <c r="S128">
        <f>IF(B128="","",IF(COUNTIFS('سجل التحفيز'!$Y$5:$Y$2004,"&gt;0",'سجل التحفيز'!$B$5:$B$2004,B128)&gt;0,COUNT(S$4:S127)+1,""))</f>
        <v/>
      </c>
      <c r="T128">
        <f>IF(B128="","",IF(COUNTIFS('سجل التحفيز'!$Z$5:$Z$2004,"&gt;0",'سجل التحفيز'!$B$5:$B$2004,B128)&gt;0,COUNT(T$4:T127)+1,""))</f>
        <v/>
      </c>
      <c r="U128">
        <f>IF(B128="","",IF(COUNTIFS('سجل التحفيز'!$AA$5:$AA$2004,"&gt;0",'سجل التحفيز'!$B$5:$B$2004,B128)&gt;0,COUNT(U$4:U127)+1,""))</f>
        <v/>
      </c>
      <c r="V128">
        <f>IF(B128="","",IF(COUNTIFS('سجل التحفيز'!$AB$5:$AB$2004,"&gt;0",'سجل التحفيز'!$B$5:$B$2004,B128)&gt;0,COUNT(V$4:V127)+1,""))</f>
        <v/>
      </c>
      <c r="W128">
        <f>IF(B128="","",IF(COUNTIFS('سجل التحفيز'!$AC$5:$AC$2004,"&gt;0",'سجل التحفيز'!$B$5:$B$2004,B128)&gt;0,COUNT(W$4:W127)+1,""))</f>
        <v/>
      </c>
      <c r="X128">
        <f>IF(B128="","",IF(COUNTIFS('سجل التحفيز'!$AD$5:$AD$2004,"&gt;0",'سجل التحفيز'!$B$5:$B$2004,B128)&gt;0,COUNT(X$4:X127)+1,""))</f>
        <v/>
      </c>
      <c r="Y128">
        <f>IF(B128="","",IF(COUNTIFS('سجل التحفيز'!$AE$5:$AE$2004,"&gt;0",'سجل التحفيز'!$B$5:$B$2004,B128)&gt;0,COUNT(Y$4:Y127)+1,""))</f>
        <v/>
      </c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20">
        <f>IF(B129="","",COUNTIFS('سجل التحفيز'!$B$5:$B$2004,B129,'سجل التحفيز'!$R$5:$R$2004,الإعدادات!$B$4))</f>
        <v/>
      </c>
      <c r="I129" s="20">
        <f>IF(B129="","",COUNTIFS('سجل التحفيز'!$B$5:$B$2004,B129,'سجل التحفيز'!$R$5:$R$2004,الإعدادات!$B$4,'سجل التحفيز'!$Q$5:$Q$2004,"الفصل الأول",'سجل التحفيز'!$D$5:$D$2004,"ذهبي"))</f>
        <v/>
      </c>
      <c r="J129" s="20">
        <f>IF(B129="","",COUNTIFS('سجل التحفيز'!$B$5:$B$2004,B129,'سجل التحفيز'!$R$5:$R$2004,الإعدادات!$B$4,'سجل التحفيز'!$Q$5:$Q$2004,"الفصل الثاني",'سجل التحفيز'!$D$5:$D$2004,"ذهبي"))</f>
        <v/>
      </c>
      <c r="K129" s="20">
        <f>IF(B129="","",COUNTIFS('سجل التحفيز'!$B$5:$B$2004,B129,'سجل التحفيز'!$R$5:$R$2004,الإعدادات!$B$4,'سجل التحفيز'!$D$5:$D$2004,"ذهبي"))</f>
        <v/>
      </c>
      <c r="L129" s="20">
        <f>IF(B129="","",IF(G129="محرومة","محرومة - مخالفة",IF(K129&gt;=5,"مستحقة ★","متبقي "&amp;(5-K129)&amp;" معايير")))</f>
        <v/>
      </c>
      <c r="N129">
        <f>IF(B129="","",IF(COUNTIFS('سجل التحفيز'!$T$5:$T$2004,"&gt;0",'سجل التحفيز'!$B$5:$B$2004,B129)&gt;0,COUNT(N$4:N128)+1,""))</f>
        <v/>
      </c>
      <c r="O129">
        <f>IF(B129="","",IF(COUNTIFS('سجل التحفيز'!$U$5:$U$2004,"&gt;0",'سجل التحفيز'!$B$5:$B$2004,B129)&gt;0,COUNT(O$4:O128)+1,""))</f>
        <v/>
      </c>
      <c r="P129">
        <f>IF(B129="","",IF(COUNTIFS('سجل التحفيز'!$V$5:$V$2004,"&gt;0",'سجل التحفيز'!$B$5:$B$2004,B129)&gt;0,COUNT(P$4:P128)+1,""))</f>
        <v/>
      </c>
      <c r="Q129">
        <f>IF(B129="","",IF(COUNTIFS('سجل التحفيز'!$W$5:$W$2004,"&gt;0",'سجل التحفيز'!$B$5:$B$2004,B129)&gt;0,COUNT(Q$4:Q128)+1,""))</f>
        <v/>
      </c>
      <c r="R129">
        <f>IF(B129="","",IF(COUNTIFS('سجل التحفيز'!$X$5:$X$2004,"&gt;0",'سجل التحفيز'!$B$5:$B$2004,B129)&gt;0,COUNT(R$4:R128)+1,""))</f>
        <v/>
      </c>
      <c r="S129">
        <f>IF(B129="","",IF(COUNTIFS('سجل التحفيز'!$Y$5:$Y$2004,"&gt;0",'سجل التحفيز'!$B$5:$B$2004,B129)&gt;0,COUNT(S$4:S128)+1,""))</f>
        <v/>
      </c>
      <c r="T129">
        <f>IF(B129="","",IF(COUNTIFS('سجل التحفيز'!$Z$5:$Z$2004,"&gt;0",'سجل التحفيز'!$B$5:$B$2004,B129)&gt;0,COUNT(T$4:T128)+1,""))</f>
        <v/>
      </c>
      <c r="U129">
        <f>IF(B129="","",IF(COUNTIFS('سجل التحفيز'!$AA$5:$AA$2004,"&gt;0",'سجل التحفيز'!$B$5:$B$2004,B129)&gt;0,COUNT(U$4:U128)+1,""))</f>
        <v/>
      </c>
      <c r="V129">
        <f>IF(B129="","",IF(COUNTIFS('سجل التحفيز'!$AB$5:$AB$2004,"&gt;0",'سجل التحفيز'!$B$5:$B$2004,B129)&gt;0,COUNT(V$4:V128)+1,""))</f>
        <v/>
      </c>
      <c r="W129">
        <f>IF(B129="","",IF(COUNTIFS('سجل التحفيز'!$AC$5:$AC$2004,"&gt;0",'سجل التحفيز'!$B$5:$B$2004,B129)&gt;0,COUNT(W$4:W128)+1,""))</f>
        <v/>
      </c>
      <c r="X129">
        <f>IF(B129="","",IF(COUNTIFS('سجل التحفيز'!$AD$5:$AD$2004,"&gt;0",'سجل التحفيز'!$B$5:$B$2004,B129)&gt;0,COUNT(X$4:X128)+1,""))</f>
        <v/>
      </c>
      <c r="Y129">
        <f>IF(B129="","",IF(COUNTIFS('سجل التحفيز'!$AE$5:$AE$2004,"&gt;0",'سجل التحفيز'!$B$5:$B$2004,B129)&gt;0,COUNT(Y$4:Y128)+1,""))</f>
        <v/>
      </c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20">
        <f>IF(B130="","",COUNTIFS('سجل التحفيز'!$B$5:$B$2004,B130,'سجل التحفيز'!$R$5:$R$2004,الإعدادات!$B$4))</f>
        <v/>
      </c>
      <c r="I130" s="20">
        <f>IF(B130="","",COUNTIFS('سجل التحفيز'!$B$5:$B$2004,B130,'سجل التحفيز'!$R$5:$R$2004,الإعدادات!$B$4,'سجل التحفيز'!$Q$5:$Q$2004,"الفصل الأول",'سجل التحفيز'!$D$5:$D$2004,"ذهبي"))</f>
        <v/>
      </c>
      <c r="J130" s="20">
        <f>IF(B130="","",COUNTIFS('سجل التحفيز'!$B$5:$B$2004,B130,'سجل التحفيز'!$R$5:$R$2004,الإعدادات!$B$4,'سجل التحفيز'!$Q$5:$Q$2004,"الفصل الثاني",'سجل التحفيز'!$D$5:$D$2004,"ذهبي"))</f>
        <v/>
      </c>
      <c r="K130" s="20">
        <f>IF(B130="","",COUNTIFS('سجل التحفيز'!$B$5:$B$2004,B130,'سجل التحفيز'!$R$5:$R$2004,الإعدادات!$B$4,'سجل التحفيز'!$D$5:$D$2004,"ذهبي"))</f>
        <v/>
      </c>
      <c r="L130" s="20">
        <f>IF(B130="","",IF(G130="محرومة","محرومة - مخالفة",IF(K130&gt;=5,"مستحقة ★","متبقي "&amp;(5-K130)&amp;" معايير")))</f>
        <v/>
      </c>
      <c r="N130">
        <f>IF(B130="","",IF(COUNTIFS('سجل التحفيز'!$T$5:$T$2004,"&gt;0",'سجل التحفيز'!$B$5:$B$2004,B130)&gt;0,COUNT(N$4:N129)+1,""))</f>
        <v/>
      </c>
      <c r="O130">
        <f>IF(B130="","",IF(COUNTIFS('سجل التحفيز'!$U$5:$U$2004,"&gt;0",'سجل التحفيز'!$B$5:$B$2004,B130)&gt;0,COUNT(O$4:O129)+1,""))</f>
        <v/>
      </c>
      <c r="P130">
        <f>IF(B130="","",IF(COUNTIFS('سجل التحفيز'!$V$5:$V$2004,"&gt;0",'سجل التحفيز'!$B$5:$B$2004,B130)&gt;0,COUNT(P$4:P129)+1,""))</f>
        <v/>
      </c>
      <c r="Q130">
        <f>IF(B130="","",IF(COUNTIFS('سجل التحفيز'!$W$5:$W$2004,"&gt;0",'سجل التحفيز'!$B$5:$B$2004,B130)&gt;0,COUNT(Q$4:Q129)+1,""))</f>
        <v/>
      </c>
      <c r="R130">
        <f>IF(B130="","",IF(COUNTIFS('سجل التحفيز'!$X$5:$X$2004,"&gt;0",'سجل التحفيز'!$B$5:$B$2004,B130)&gt;0,COUNT(R$4:R129)+1,""))</f>
        <v/>
      </c>
      <c r="S130">
        <f>IF(B130="","",IF(COUNTIFS('سجل التحفيز'!$Y$5:$Y$2004,"&gt;0",'سجل التحفيز'!$B$5:$B$2004,B130)&gt;0,COUNT(S$4:S129)+1,""))</f>
        <v/>
      </c>
      <c r="T130">
        <f>IF(B130="","",IF(COUNTIFS('سجل التحفيز'!$Z$5:$Z$2004,"&gt;0",'سجل التحفيز'!$B$5:$B$2004,B130)&gt;0,COUNT(T$4:T129)+1,""))</f>
        <v/>
      </c>
      <c r="U130">
        <f>IF(B130="","",IF(COUNTIFS('سجل التحفيز'!$AA$5:$AA$2004,"&gt;0",'سجل التحفيز'!$B$5:$B$2004,B130)&gt;0,COUNT(U$4:U129)+1,""))</f>
        <v/>
      </c>
      <c r="V130">
        <f>IF(B130="","",IF(COUNTIFS('سجل التحفيز'!$AB$5:$AB$2004,"&gt;0",'سجل التحفيز'!$B$5:$B$2004,B130)&gt;0,COUNT(V$4:V129)+1,""))</f>
        <v/>
      </c>
      <c r="W130">
        <f>IF(B130="","",IF(COUNTIFS('سجل التحفيز'!$AC$5:$AC$2004,"&gt;0",'سجل التحفيز'!$B$5:$B$2004,B130)&gt;0,COUNT(W$4:W129)+1,""))</f>
        <v/>
      </c>
      <c r="X130">
        <f>IF(B130="","",IF(COUNTIFS('سجل التحفيز'!$AD$5:$AD$2004,"&gt;0",'سجل التحفيز'!$B$5:$B$2004,B130)&gt;0,COUNT(X$4:X129)+1,""))</f>
        <v/>
      </c>
      <c r="Y130">
        <f>IF(B130="","",IF(COUNTIFS('سجل التحفيز'!$AE$5:$AE$2004,"&gt;0",'سجل التحفيز'!$B$5:$B$2004,B130)&gt;0,COUNT(Y$4:Y129)+1,""))</f>
        <v/>
      </c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20">
        <f>IF(B131="","",COUNTIFS('سجل التحفيز'!$B$5:$B$2004,B131,'سجل التحفيز'!$R$5:$R$2004,الإعدادات!$B$4))</f>
        <v/>
      </c>
      <c r="I131" s="20">
        <f>IF(B131="","",COUNTIFS('سجل التحفيز'!$B$5:$B$2004,B131,'سجل التحفيز'!$R$5:$R$2004,الإعدادات!$B$4,'سجل التحفيز'!$Q$5:$Q$2004,"الفصل الأول",'سجل التحفيز'!$D$5:$D$2004,"ذهبي"))</f>
        <v/>
      </c>
      <c r="J131" s="20">
        <f>IF(B131="","",COUNTIFS('سجل التحفيز'!$B$5:$B$2004,B131,'سجل التحفيز'!$R$5:$R$2004,الإعدادات!$B$4,'سجل التحفيز'!$Q$5:$Q$2004,"الفصل الثاني",'سجل التحفيز'!$D$5:$D$2004,"ذهبي"))</f>
        <v/>
      </c>
      <c r="K131" s="20">
        <f>IF(B131="","",COUNTIFS('سجل التحفيز'!$B$5:$B$2004,B131,'سجل التحفيز'!$R$5:$R$2004,الإعدادات!$B$4,'سجل التحفيز'!$D$5:$D$2004,"ذهبي"))</f>
        <v/>
      </c>
      <c r="L131" s="20">
        <f>IF(B131="","",IF(G131="محرومة","محرومة - مخالفة",IF(K131&gt;=5,"مستحقة ★","متبقي "&amp;(5-K131)&amp;" معايير")))</f>
        <v/>
      </c>
      <c r="N131">
        <f>IF(B131="","",IF(COUNTIFS('سجل التحفيز'!$T$5:$T$2004,"&gt;0",'سجل التحفيز'!$B$5:$B$2004,B131)&gt;0,COUNT(N$4:N130)+1,""))</f>
        <v/>
      </c>
      <c r="O131">
        <f>IF(B131="","",IF(COUNTIFS('سجل التحفيز'!$U$5:$U$2004,"&gt;0",'سجل التحفيز'!$B$5:$B$2004,B131)&gt;0,COUNT(O$4:O130)+1,""))</f>
        <v/>
      </c>
      <c r="P131">
        <f>IF(B131="","",IF(COUNTIFS('سجل التحفيز'!$V$5:$V$2004,"&gt;0",'سجل التحفيز'!$B$5:$B$2004,B131)&gt;0,COUNT(P$4:P130)+1,""))</f>
        <v/>
      </c>
      <c r="Q131">
        <f>IF(B131="","",IF(COUNTIFS('سجل التحفيز'!$W$5:$W$2004,"&gt;0",'سجل التحفيز'!$B$5:$B$2004,B131)&gt;0,COUNT(Q$4:Q130)+1,""))</f>
        <v/>
      </c>
      <c r="R131">
        <f>IF(B131="","",IF(COUNTIFS('سجل التحفيز'!$X$5:$X$2004,"&gt;0",'سجل التحفيز'!$B$5:$B$2004,B131)&gt;0,COUNT(R$4:R130)+1,""))</f>
        <v/>
      </c>
      <c r="S131">
        <f>IF(B131="","",IF(COUNTIFS('سجل التحفيز'!$Y$5:$Y$2004,"&gt;0",'سجل التحفيز'!$B$5:$B$2004,B131)&gt;0,COUNT(S$4:S130)+1,""))</f>
        <v/>
      </c>
      <c r="T131">
        <f>IF(B131="","",IF(COUNTIFS('سجل التحفيز'!$Z$5:$Z$2004,"&gt;0",'سجل التحفيز'!$B$5:$B$2004,B131)&gt;0,COUNT(T$4:T130)+1,""))</f>
        <v/>
      </c>
      <c r="U131">
        <f>IF(B131="","",IF(COUNTIFS('سجل التحفيز'!$AA$5:$AA$2004,"&gt;0",'سجل التحفيز'!$B$5:$B$2004,B131)&gt;0,COUNT(U$4:U130)+1,""))</f>
        <v/>
      </c>
      <c r="V131">
        <f>IF(B131="","",IF(COUNTIFS('سجل التحفيز'!$AB$5:$AB$2004,"&gt;0",'سجل التحفيز'!$B$5:$B$2004,B131)&gt;0,COUNT(V$4:V130)+1,""))</f>
        <v/>
      </c>
      <c r="W131">
        <f>IF(B131="","",IF(COUNTIFS('سجل التحفيز'!$AC$5:$AC$2004,"&gt;0",'سجل التحفيز'!$B$5:$B$2004,B131)&gt;0,COUNT(W$4:W130)+1,""))</f>
        <v/>
      </c>
      <c r="X131">
        <f>IF(B131="","",IF(COUNTIFS('سجل التحفيز'!$AD$5:$AD$2004,"&gt;0",'سجل التحفيز'!$B$5:$B$2004,B131)&gt;0,COUNT(X$4:X130)+1,""))</f>
        <v/>
      </c>
      <c r="Y131">
        <f>IF(B131="","",IF(COUNTIFS('سجل التحفيز'!$AE$5:$AE$2004,"&gt;0",'سجل التحفيز'!$B$5:$B$2004,B131)&gt;0,COUNT(Y$4:Y130)+1,""))</f>
        <v/>
      </c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20">
        <f>IF(B132="","",COUNTIFS('سجل التحفيز'!$B$5:$B$2004,B132,'سجل التحفيز'!$R$5:$R$2004,الإعدادات!$B$4))</f>
        <v/>
      </c>
      <c r="I132" s="20">
        <f>IF(B132="","",COUNTIFS('سجل التحفيز'!$B$5:$B$2004,B132,'سجل التحفيز'!$R$5:$R$2004,الإعدادات!$B$4,'سجل التحفيز'!$Q$5:$Q$2004,"الفصل الأول",'سجل التحفيز'!$D$5:$D$2004,"ذهبي"))</f>
        <v/>
      </c>
      <c r="J132" s="20">
        <f>IF(B132="","",COUNTIFS('سجل التحفيز'!$B$5:$B$2004,B132,'سجل التحفيز'!$R$5:$R$2004,الإعدادات!$B$4,'سجل التحفيز'!$Q$5:$Q$2004,"الفصل الثاني",'سجل التحفيز'!$D$5:$D$2004,"ذهبي"))</f>
        <v/>
      </c>
      <c r="K132" s="20">
        <f>IF(B132="","",COUNTIFS('سجل التحفيز'!$B$5:$B$2004,B132,'سجل التحفيز'!$R$5:$R$2004,الإعدادات!$B$4,'سجل التحفيز'!$D$5:$D$2004,"ذهبي"))</f>
        <v/>
      </c>
      <c r="L132" s="20">
        <f>IF(B132="","",IF(G132="محرومة","محرومة - مخالفة",IF(K132&gt;=5,"مستحقة ★","متبقي "&amp;(5-K132)&amp;" معايير")))</f>
        <v/>
      </c>
      <c r="N132">
        <f>IF(B132="","",IF(COUNTIFS('سجل التحفيز'!$T$5:$T$2004,"&gt;0",'سجل التحفيز'!$B$5:$B$2004,B132)&gt;0,COUNT(N$4:N131)+1,""))</f>
        <v/>
      </c>
      <c r="O132">
        <f>IF(B132="","",IF(COUNTIFS('سجل التحفيز'!$U$5:$U$2004,"&gt;0",'سجل التحفيز'!$B$5:$B$2004,B132)&gt;0,COUNT(O$4:O131)+1,""))</f>
        <v/>
      </c>
      <c r="P132">
        <f>IF(B132="","",IF(COUNTIFS('سجل التحفيز'!$V$5:$V$2004,"&gt;0",'سجل التحفيز'!$B$5:$B$2004,B132)&gt;0,COUNT(P$4:P131)+1,""))</f>
        <v/>
      </c>
      <c r="Q132">
        <f>IF(B132="","",IF(COUNTIFS('سجل التحفيز'!$W$5:$W$2004,"&gt;0",'سجل التحفيز'!$B$5:$B$2004,B132)&gt;0,COUNT(Q$4:Q131)+1,""))</f>
        <v/>
      </c>
      <c r="R132">
        <f>IF(B132="","",IF(COUNTIFS('سجل التحفيز'!$X$5:$X$2004,"&gt;0",'سجل التحفيز'!$B$5:$B$2004,B132)&gt;0,COUNT(R$4:R131)+1,""))</f>
        <v/>
      </c>
      <c r="S132">
        <f>IF(B132="","",IF(COUNTIFS('سجل التحفيز'!$Y$5:$Y$2004,"&gt;0",'سجل التحفيز'!$B$5:$B$2004,B132)&gt;0,COUNT(S$4:S131)+1,""))</f>
        <v/>
      </c>
      <c r="T132">
        <f>IF(B132="","",IF(COUNTIFS('سجل التحفيز'!$Z$5:$Z$2004,"&gt;0",'سجل التحفيز'!$B$5:$B$2004,B132)&gt;0,COUNT(T$4:T131)+1,""))</f>
        <v/>
      </c>
      <c r="U132">
        <f>IF(B132="","",IF(COUNTIFS('سجل التحفيز'!$AA$5:$AA$2004,"&gt;0",'سجل التحفيز'!$B$5:$B$2004,B132)&gt;0,COUNT(U$4:U131)+1,""))</f>
        <v/>
      </c>
      <c r="V132">
        <f>IF(B132="","",IF(COUNTIFS('سجل التحفيز'!$AB$5:$AB$2004,"&gt;0",'سجل التحفيز'!$B$5:$B$2004,B132)&gt;0,COUNT(V$4:V131)+1,""))</f>
        <v/>
      </c>
      <c r="W132">
        <f>IF(B132="","",IF(COUNTIFS('سجل التحفيز'!$AC$5:$AC$2004,"&gt;0",'سجل التحفيز'!$B$5:$B$2004,B132)&gt;0,COUNT(W$4:W131)+1,""))</f>
        <v/>
      </c>
      <c r="X132">
        <f>IF(B132="","",IF(COUNTIFS('سجل التحفيز'!$AD$5:$AD$2004,"&gt;0",'سجل التحفيز'!$B$5:$B$2004,B132)&gt;0,COUNT(X$4:X131)+1,""))</f>
        <v/>
      </c>
      <c r="Y132">
        <f>IF(B132="","",IF(COUNTIFS('سجل التحفيز'!$AE$5:$AE$2004,"&gt;0",'سجل التحفيز'!$B$5:$B$2004,B132)&gt;0,COUNT(Y$4:Y131)+1,""))</f>
        <v/>
      </c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20">
        <f>IF(B133="","",COUNTIFS('سجل التحفيز'!$B$5:$B$2004,B133,'سجل التحفيز'!$R$5:$R$2004,الإعدادات!$B$4))</f>
        <v/>
      </c>
      <c r="I133" s="20">
        <f>IF(B133="","",COUNTIFS('سجل التحفيز'!$B$5:$B$2004,B133,'سجل التحفيز'!$R$5:$R$2004,الإعدادات!$B$4,'سجل التحفيز'!$Q$5:$Q$2004,"الفصل الأول",'سجل التحفيز'!$D$5:$D$2004,"ذهبي"))</f>
        <v/>
      </c>
      <c r="J133" s="20">
        <f>IF(B133="","",COUNTIFS('سجل التحفيز'!$B$5:$B$2004,B133,'سجل التحفيز'!$R$5:$R$2004,الإعدادات!$B$4,'سجل التحفيز'!$Q$5:$Q$2004,"الفصل الثاني",'سجل التحفيز'!$D$5:$D$2004,"ذهبي"))</f>
        <v/>
      </c>
      <c r="K133" s="20">
        <f>IF(B133="","",COUNTIFS('سجل التحفيز'!$B$5:$B$2004,B133,'سجل التحفيز'!$R$5:$R$2004,الإعدادات!$B$4,'سجل التحفيز'!$D$5:$D$2004,"ذهبي"))</f>
        <v/>
      </c>
      <c r="L133" s="20">
        <f>IF(B133="","",IF(G133="محرومة","محرومة - مخالفة",IF(K133&gt;=5,"مستحقة ★","متبقي "&amp;(5-K133)&amp;" معايير")))</f>
        <v/>
      </c>
      <c r="N133">
        <f>IF(B133="","",IF(COUNTIFS('سجل التحفيز'!$T$5:$T$2004,"&gt;0",'سجل التحفيز'!$B$5:$B$2004,B133)&gt;0,COUNT(N$4:N132)+1,""))</f>
        <v/>
      </c>
      <c r="O133">
        <f>IF(B133="","",IF(COUNTIFS('سجل التحفيز'!$U$5:$U$2004,"&gt;0",'سجل التحفيز'!$B$5:$B$2004,B133)&gt;0,COUNT(O$4:O132)+1,""))</f>
        <v/>
      </c>
      <c r="P133">
        <f>IF(B133="","",IF(COUNTIFS('سجل التحفيز'!$V$5:$V$2004,"&gt;0",'سجل التحفيز'!$B$5:$B$2004,B133)&gt;0,COUNT(P$4:P132)+1,""))</f>
        <v/>
      </c>
      <c r="Q133">
        <f>IF(B133="","",IF(COUNTIFS('سجل التحفيز'!$W$5:$W$2004,"&gt;0",'سجل التحفيز'!$B$5:$B$2004,B133)&gt;0,COUNT(Q$4:Q132)+1,""))</f>
        <v/>
      </c>
      <c r="R133">
        <f>IF(B133="","",IF(COUNTIFS('سجل التحفيز'!$X$5:$X$2004,"&gt;0",'سجل التحفيز'!$B$5:$B$2004,B133)&gt;0,COUNT(R$4:R132)+1,""))</f>
        <v/>
      </c>
      <c r="S133">
        <f>IF(B133="","",IF(COUNTIFS('سجل التحفيز'!$Y$5:$Y$2004,"&gt;0",'سجل التحفيز'!$B$5:$B$2004,B133)&gt;0,COUNT(S$4:S132)+1,""))</f>
        <v/>
      </c>
      <c r="T133">
        <f>IF(B133="","",IF(COUNTIFS('سجل التحفيز'!$Z$5:$Z$2004,"&gt;0",'سجل التحفيز'!$B$5:$B$2004,B133)&gt;0,COUNT(T$4:T132)+1,""))</f>
        <v/>
      </c>
      <c r="U133">
        <f>IF(B133="","",IF(COUNTIFS('سجل التحفيز'!$AA$5:$AA$2004,"&gt;0",'سجل التحفيز'!$B$5:$B$2004,B133)&gt;0,COUNT(U$4:U132)+1,""))</f>
        <v/>
      </c>
      <c r="V133">
        <f>IF(B133="","",IF(COUNTIFS('سجل التحفيز'!$AB$5:$AB$2004,"&gt;0",'سجل التحفيز'!$B$5:$B$2004,B133)&gt;0,COUNT(V$4:V132)+1,""))</f>
        <v/>
      </c>
      <c r="W133">
        <f>IF(B133="","",IF(COUNTIFS('سجل التحفيز'!$AC$5:$AC$2004,"&gt;0",'سجل التحفيز'!$B$5:$B$2004,B133)&gt;0,COUNT(W$4:W132)+1,""))</f>
        <v/>
      </c>
      <c r="X133">
        <f>IF(B133="","",IF(COUNTIFS('سجل التحفيز'!$AD$5:$AD$2004,"&gt;0",'سجل التحفيز'!$B$5:$B$2004,B133)&gt;0,COUNT(X$4:X132)+1,""))</f>
        <v/>
      </c>
      <c r="Y133">
        <f>IF(B133="","",IF(COUNTIFS('سجل التحفيز'!$AE$5:$AE$2004,"&gt;0",'سجل التحفيز'!$B$5:$B$2004,B133)&gt;0,COUNT(Y$4:Y132)+1,""))</f>
        <v/>
      </c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20">
        <f>IF(B134="","",COUNTIFS('سجل التحفيز'!$B$5:$B$2004,B134,'سجل التحفيز'!$R$5:$R$2004,الإعدادات!$B$4))</f>
        <v/>
      </c>
      <c r="I134" s="20">
        <f>IF(B134="","",COUNTIFS('سجل التحفيز'!$B$5:$B$2004,B134,'سجل التحفيز'!$R$5:$R$2004,الإعدادات!$B$4,'سجل التحفيز'!$Q$5:$Q$2004,"الفصل الأول",'سجل التحفيز'!$D$5:$D$2004,"ذهبي"))</f>
        <v/>
      </c>
      <c r="J134" s="20">
        <f>IF(B134="","",COUNTIFS('سجل التحفيز'!$B$5:$B$2004,B134,'سجل التحفيز'!$R$5:$R$2004,الإعدادات!$B$4,'سجل التحفيز'!$Q$5:$Q$2004,"الفصل الثاني",'سجل التحفيز'!$D$5:$D$2004,"ذهبي"))</f>
        <v/>
      </c>
      <c r="K134" s="20">
        <f>IF(B134="","",COUNTIFS('سجل التحفيز'!$B$5:$B$2004,B134,'سجل التحفيز'!$R$5:$R$2004,الإعدادات!$B$4,'سجل التحفيز'!$D$5:$D$2004,"ذهبي"))</f>
        <v/>
      </c>
      <c r="L134" s="20">
        <f>IF(B134="","",IF(G134="محرومة","محرومة - مخالفة",IF(K134&gt;=5,"مستحقة ★","متبقي "&amp;(5-K134)&amp;" معايير")))</f>
        <v/>
      </c>
      <c r="N134">
        <f>IF(B134="","",IF(COUNTIFS('سجل التحفيز'!$T$5:$T$2004,"&gt;0",'سجل التحفيز'!$B$5:$B$2004,B134)&gt;0,COUNT(N$4:N133)+1,""))</f>
        <v/>
      </c>
      <c r="O134">
        <f>IF(B134="","",IF(COUNTIFS('سجل التحفيز'!$U$5:$U$2004,"&gt;0",'سجل التحفيز'!$B$5:$B$2004,B134)&gt;0,COUNT(O$4:O133)+1,""))</f>
        <v/>
      </c>
      <c r="P134">
        <f>IF(B134="","",IF(COUNTIFS('سجل التحفيز'!$V$5:$V$2004,"&gt;0",'سجل التحفيز'!$B$5:$B$2004,B134)&gt;0,COUNT(P$4:P133)+1,""))</f>
        <v/>
      </c>
      <c r="Q134">
        <f>IF(B134="","",IF(COUNTIFS('سجل التحفيز'!$W$5:$W$2004,"&gt;0",'سجل التحفيز'!$B$5:$B$2004,B134)&gt;0,COUNT(Q$4:Q133)+1,""))</f>
        <v/>
      </c>
      <c r="R134">
        <f>IF(B134="","",IF(COUNTIFS('سجل التحفيز'!$X$5:$X$2004,"&gt;0",'سجل التحفيز'!$B$5:$B$2004,B134)&gt;0,COUNT(R$4:R133)+1,""))</f>
        <v/>
      </c>
      <c r="S134">
        <f>IF(B134="","",IF(COUNTIFS('سجل التحفيز'!$Y$5:$Y$2004,"&gt;0",'سجل التحفيز'!$B$5:$B$2004,B134)&gt;0,COUNT(S$4:S133)+1,""))</f>
        <v/>
      </c>
      <c r="T134">
        <f>IF(B134="","",IF(COUNTIFS('سجل التحفيز'!$Z$5:$Z$2004,"&gt;0",'سجل التحفيز'!$B$5:$B$2004,B134)&gt;0,COUNT(T$4:T133)+1,""))</f>
        <v/>
      </c>
      <c r="U134">
        <f>IF(B134="","",IF(COUNTIFS('سجل التحفيز'!$AA$5:$AA$2004,"&gt;0",'سجل التحفيز'!$B$5:$B$2004,B134)&gt;0,COUNT(U$4:U133)+1,""))</f>
        <v/>
      </c>
      <c r="V134">
        <f>IF(B134="","",IF(COUNTIFS('سجل التحفيز'!$AB$5:$AB$2004,"&gt;0",'سجل التحفيز'!$B$5:$B$2004,B134)&gt;0,COUNT(V$4:V133)+1,""))</f>
        <v/>
      </c>
      <c r="W134">
        <f>IF(B134="","",IF(COUNTIFS('سجل التحفيز'!$AC$5:$AC$2004,"&gt;0",'سجل التحفيز'!$B$5:$B$2004,B134)&gt;0,COUNT(W$4:W133)+1,""))</f>
        <v/>
      </c>
      <c r="X134">
        <f>IF(B134="","",IF(COUNTIFS('سجل التحفيز'!$AD$5:$AD$2004,"&gt;0",'سجل التحفيز'!$B$5:$B$2004,B134)&gt;0,COUNT(X$4:X133)+1,""))</f>
        <v/>
      </c>
      <c r="Y134">
        <f>IF(B134="","",IF(COUNTIFS('سجل التحفيز'!$AE$5:$AE$2004,"&gt;0",'سجل التحفيز'!$B$5:$B$2004,B134)&gt;0,COUNT(Y$4:Y133)+1,""))</f>
        <v/>
      </c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20">
        <f>IF(B135="","",COUNTIFS('سجل التحفيز'!$B$5:$B$2004,B135,'سجل التحفيز'!$R$5:$R$2004,الإعدادات!$B$4))</f>
        <v/>
      </c>
      <c r="I135" s="20">
        <f>IF(B135="","",COUNTIFS('سجل التحفيز'!$B$5:$B$2004,B135,'سجل التحفيز'!$R$5:$R$2004,الإعدادات!$B$4,'سجل التحفيز'!$Q$5:$Q$2004,"الفصل الأول",'سجل التحفيز'!$D$5:$D$2004,"ذهبي"))</f>
        <v/>
      </c>
      <c r="J135" s="20">
        <f>IF(B135="","",COUNTIFS('سجل التحفيز'!$B$5:$B$2004,B135,'سجل التحفيز'!$R$5:$R$2004,الإعدادات!$B$4,'سجل التحفيز'!$Q$5:$Q$2004,"الفصل الثاني",'سجل التحفيز'!$D$5:$D$2004,"ذهبي"))</f>
        <v/>
      </c>
      <c r="K135" s="20">
        <f>IF(B135="","",COUNTIFS('سجل التحفيز'!$B$5:$B$2004,B135,'سجل التحفيز'!$R$5:$R$2004,الإعدادات!$B$4,'سجل التحفيز'!$D$5:$D$2004,"ذهبي"))</f>
        <v/>
      </c>
      <c r="L135" s="20">
        <f>IF(B135="","",IF(G135="محرومة","محرومة - مخالفة",IF(K135&gt;=5,"مستحقة ★","متبقي "&amp;(5-K135)&amp;" معايير")))</f>
        <v/>
      </c>
      <c r="N135">
        <f>IF(B135="","",IF(COUNTIFS('سجل التحفيز'!$T$5:$T$2004,"&gt;0",'سجل التحفيز'!$B$5:$B$2004,B135)&gt;0,COUNT(N$4:N134)+1,""))</f>
        <v/>
      </c>
      <c r="O135">
        <f>IF(B135="","",IF(COUNTIFS('سجل التحفيز'!$U$5:$U$2004,"&gt;0",'سجل التحفيز'!$B$5:$B$2004,B135)&gt;0,COUNT(O$4:O134)+1,""))</f>
        <v/>
      </c>
      <c r="P135">
        <f>IF(B135="","",IF(COUNTIFS('سجل التحفيز'!$V$5:$V$2004,"&gt;0",'سجل التحفيز'!$B$5:$B$2004,B135)&gt;0,COUNT(P$4:P134)+1,""))</f>
        <v/>
      </c>
      <c r="Q135">
        <f>IF(B135="","",IF(COUNTIFS('سجل التحفيز'!$W$5:$W$2004,"&gt;0",'سجل التحفيز'!$B$5:$B$2004,B135)&gt;0,COUNT(Q$4:Q134)+1,""))</f>
        <v/>
      </c>
      <c r="R135">
        <f>IF(B135="","",IF(COUNTIFS('سجل التحفيز'!$X$5:$X$2004,"&gt;0",'سجل التحفيز'!$B$5:$B$2004,B135)&gt;0,COUNT(R$4:R134)+1,""))</f>
        <v/>
      </c>
      <c r="S135">
        <f>IF(B135="","",IF(COUNTIFS('سجل التحفيز'!$Y$5:$Y$2004,"&gt;0",'سجل التحفيز'!$B$5:$B$2004,B135)&gt;0,COUNT(S$4:S134)+1,""))</f>
        <v/>
      </c>
      <c r="T135">
        <f>IF(B135="","",IF(COUNTIFS('سجل التحفيز'!$Z$5:$Z$2004,"&gt;0",'سجل التحفيز'!$B$5:$B$2004,B135)&gt;0,COUNT(T$4:T134)+1,""))</f>
        <v/>
      </c>
      <c r="U135">
        <f>IF(B135="","",IF(COUNTIFS('سجل التحفيز'!$AA$5:$AA$2004,"&gt;0",'سجل التحفيز'!$B$5:$B$2004,B135)&gt;0,COUNT(U$4:U134)+1,""))</f>
        <v/>
      </c>
      <c r="V135">
        <f>IF(B135="","",IF(COUNTIFS('سجل التحفيز'!$AB$5:$AB$2004,"&gt;0",'سجل التحفيز'!$B$5:$B$2004,B135)&gt;0,COUNT(V$4:V134)+1,""))</f>
        <v/>
      </c>
      <c r="W135">
        <f>IF(B135="","",IF(COUNTIFS('سجل التحفيز'!$AC$5:$AC$2004,"&gt;0",'سجل التحفيز'!$B$5:$B$2004,B135)&gt;0,COUNT(W$4:W134)+1,""))</f>
        <v/>
      </c>
      <c r="X135">
        <f>IF(B135="","",IF(COUNTIFS('سجل التحفيز'!$AD$5:$AD$2004,"&gt;0",'سجل التحفيز'!$B$5:$B$2004,B135)&gt;0,COUNT(X$4:X134)+1,""))</f>
        <v/>
      </c>
      <c r="Y135">
        <f>IF(B135="","",IF(COUNTIFS('سجل التحفيز'!$AE$5:$AE$2004,"&gt;0",'سجل التحفيز'!$B$5:$B$2004,B135)&gt;0,COUNT(Y$4:Y134)+1,""))</f>
        <v/>
      </c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20">
        <f>IF(B136="","",COUNTIFS('سجل التحفيز'!$B$5:$B$2004,B136,'سجل التحفيز'!$R$5:$R$2004,الإعدادات!$B$4))</f>
        <v/>
      </c>
      <c r="I136" s="20">
        <f>IF(B136="","",COUNTIFS('سجل التحفيز'!$B$5:$B$2004,B136,'سجل التحفيز'!$R$5:$R$2004,الإعدادات!$B$4,'سجل التحفيز'!$Q$5:$Q$2004,"الفصل الأول",'سجل التحفيز'!$D$5:$D$2004,"ذهبي"))</f>
        <v/>
      </c>
      <c r="J136" s="20">
        <f>IF(B136="","",COUNTIFS('سجل التحفيز'!$B$5:$B$2004,B136,'سجل التحفيز'!$R$5:$R$2004,الإعدادات!$B$4,'سجل التحفيز'!$Q$5:$Q$2004,"الفصل الثاني",'سجل التحفيز'!$D$5:$D$2004,"ذهبي"))</f>
        <v/>
      </c>
      <c r="K136" s="20">
        <f>IF(B136="","",COUNTIFS('سجل التحفيز'!$B$5:$B$2004,B136,'سجل التحفيز'!$R$5:$R$2004,الإعدادات!$B$4,'سجل التحفيز'!$D$5:$D$2004,"ذهبي"))</f>
        <v/>
      </c>
      <c r="L136" s="20">
        <f>IF(B136="","",IF(G136="محرومة","محرومة - مخالفة",IF(K136&gt;=5,"مستحقة ★","متبقي "&amp;(5-K136)&amp;" معايير")))</f>
        <v/>
      </c>
      <c r="N136">
        <f>IF(B136="","",IF(COUNTIFS('سجل التحفيز'!$T$5:$T$2004,"&gt;0",'سجل التحفيز'!$B$5:$B$2004,B136)&gt;0,COUNT(N$4:N135)+1,""))</f>
        <v/>
      </c>
      <c r="O136">
        <f>IF(B136="","",IF(COUNTIFS('سجل التحفيز'!$U$5:$U$2004,"&gt;0",'سجل التحفيز'!$B$5:$B$2004,B136)&gt;0,COUNT(O$4:O135)+1,""))</f>
        <v/>
      </c>
      <c r="P136">
        <f>IF(B136="","",IF(COUNTIFS('سجل التحفيز'!$V$5:$V$2004,"&gt;0",'سجل التحفيز'!$B$5:$B$2004,B136)&gt;0,COUNT(P$4:P135)+1,""))</f>
        <v/>
      </c>
      <c r="Q136">
        <f>IF(B136="","",IF(COUNTIFS('سجل التحفيز'!$W$5:$W$2004,"&gt;0",'سجل التحفيز'!$B$5:$B$2004,B136)&gt;0,COUNT(Q$4:Q135)+1,""))</f>
        <v/>
      </c>
      <c r="R136">
        <f>IF(B136="","",IF(COUNTIFS('سجل التحفيز'!$X$5:$X$2004,"&gt;0",'سجل التحفيز'!$B$5:$B$2004,B136)&gt;0,COUNT(R$4:R135)+1,""))</f>
        <v/>
      </c>
      <c r="S136">
        <f>IF(B136="","",IF(COUNTIFS('سجل التحفيز'!$Y$5:$Y$2004,"&gt;0",'سجل التحفيز'!$B$5:$B$2004,B136)&gt;0,COUNT(S$4:S135)+1,""))</f>
        <v/>
      </c>
      <c r="T136">
        <f>IF(B136="","",IF(COUNTIFS('سجل التحفيز'!$Z$5:$Z$2004,"&gt;0",'سجل التحفيز'!$B$5:$B$2004,B136)&gt;0,COUNT(T$4:T135)+1,""))</f>
        <v/>
      </c>
      <c r="U136">
        <f>IF(B136="","",IF(COUNTIFS('سجل التحفيز'!$AA$5:$AA$2004,"&gt;0",'سجل التحفيز'!$B$5:$B$2004,B136)&gt;0,COUNT(U$4:U135)+1,""))</f>
        <v/>
      </c>
      <c r="V136">
        <f>IF(B136="","",IF(COUNTIFS('سجل التحفيز'!$AB$5:$AB$2004,"&gt;0",'سجل التحفيز'!$B$5:$B$2004,B136)&gt;0,COUNT(V$4:V135)+1,""))</f>
        <v/>
      </c>
      <c r="W136">
        <f>IF(B136="","",IF(COUNTIFS('سجل التحفيز'!$AC$5:$AC$2004,"&gt;0",'سجل التحفيز'!$B$5:$B$2004,B136)&gt;0,COUNT(W$4:W135)+1,""))</f>
        <v/>
      </c>
      <c r="X136">
        <f>IF(B136="","",IF(COUNTIFS('سجل التحفيز'!$AD$5:$AD$2004,"&gt;0",'سجل التحفيز'!$B$5:$B$2004,B136)&gt;0,COUNT(X$4:X135)+1,""))</f>
        <v/>
      </c>
      <c r="Y136">
        <f>IF(B136="","",IF(COUNTIFS('سجل التحفيز'!$AE$5:$AE$2004,"&gt;0",'سجل التحفيز'!$B$5:$B$2004,B136)&gt;0,COUNT(Y$4:Y135)+1,""))</f>
        <v/>
      </c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20">
        <f>IF(B137="","",COUNTIFS('سجل التحفيز'!$B$5:$B$2004,B137,'سجل التحفيز'!$R$5:$R$2004,الإعدادات!$B$4))</f>
        <v/>
      </c>
      <c r="I137" s="20">
        <f>IF(B137="","",COUNTIFS('سجل التحفيز'!$B$5:$B$2004,B137,'سجل التحفيز'!$R$5:$R$2004,الإعدادات!$B$4,'سجل التحفيز'!$Q$5:$Q$2004,"الفصل الأول",'سجل التحفيز'!$D$5:$D$2004,"ذهبي"))</f>
        <v/>
      </c>
      <c r="J137" s="20">
        <f>IF(B137="","",COUNTIFS('سجل التحفيز'!$B$5:$B$2004,B137,'سجل التحفيز'!$R$5:$R$2004,الإعدادات!$B$4,'سجل التحفيز'!$Q$5:$Q$2004,"الفصل الثاني",'سجل التحفيز'!$D$5:$D$2004,"ذهبي"))</f>
        <v/>
      </c>
      <c r="K137" s="20">
        <f>IF(B137="","",COUNTIFS('سجل التحفيز'!$B$5:$B$2004,B137,'سجل التحفيز'!$R$5:$R$2004,الإعدادات!$B$4,'سجل التحفيز'!$D$5:$D$2004,"ذهبي"))</f>
        <v/>
      </c>
      <c r="L137" s="20">
        <f>IF(B137="","",IF(G137="محرومة","محرومة - مخالفة",IF(K137&gt;=5,"مستحقة ★","متبقي "&amp;(5-K137)&amp;" معايير")))</f>
        <v/>
      </c>
      <c r="N137">
        <f>IF(B137="","",IF(COUNTIFS('سجل التحفيز'!$T$5:$T$2004,"&gt;0",'سجل التحفيز'!$B$5:$B$2004,B137)&gt;0,COUNT(N$4:N136)+1,""))</f>
        <v/>
      </c>
      <c r="O137">
        <f>IF(B137="","",IF(COUNTIFS('سجل التحفيز'!$U$5:$U$2004,"&gt;0",'سجل التحفيز'!$B$5:$B$2004,B137)&gt;0,COUNT(O$4:O136)+1,""))</f>
        <v/>
      </c>
      <c r="P137">
        <f>IF(B137="","",IF(COUNTIFS('سجل التحفيز'!$V$5:$V$2004,"&gt;0",'سجل التحفيز'!$B$5:$B$2004,B137)&gt;0,COUNT(P$4:P136)+1,""))</f>
        <v/>
      </c>
      <c r="Q137">
        <f>IF(B137="","",IF(COUNTIFS('سجل التحفيز'!$W$5:$W$2004,"&gt;0",'سجل التحفيز'!$B$5:$B$2004,B137)&gt;0,COUNT(Q$4:Q136)+1,""))</f>
        <v/>
      </c>
      <c r="R137">
        <f>IF(B137="","",IF(COUNTIFS('سجل التحفيز'!$X$5:$X$2004,"&gt;0",'سجل التحفيز'!$B$5:$B$2004,B137)&gt;0,COUNT(R$4:R136)+1,""))</f>
        <v/>
      </c>
      <c r="S137">
        <f>IF(B137="","",IF(COUNTIFS('سجل التحفيز'!$Y$5:$Y$2004,"&gt;0",'سجل التحفيز'!$B$5:$B$2004,B137)&gt;0,COUNT(S$4:S136)+1,""))</f>
        <v/>
      </c>
      <c r="T137">
        <f>IF(B137="","",IF(COUNTIFS('سجل التحفيز'!$Z$5:$Z$2004,"&gt;0",'سجل التحفيز'!$B$5:$B$2004,B137)&gt;0,COUNT(T$4:T136)+1,""))</f>
        <v/>
      </c>
      <c r="U137">
        <f>IF(B137="","",IF(COUNTIFS('سجل التحفيز'!$AA$5:$AA$2004,"&gt;0",'سجل التحفيز'!$B$5:$B$2004,B137)&gt;0,COUNT(U$4:U136)+1,""))</f>
        <v/>
      </c>
      <c r="V137">
        <f>IF(B137="","",IF(COUNTIFS('سجل التحفيز'!$AB$5:$AB$2004,"&gt;0",'سجل التحفيز'!$B$5:$B$2004,B137)&gt;0,COUNT(V$4:V136)+1,""))</f>
        <v/>
      </c>
      <c r="W137">
        <f>IF(B137="","",IF(COUNTIFS('سجل التحفيز'!$AC$5:$AC$2004,"&gt;0",'سجل التحفيز'!$B$5:$B$2004,B137)&gt;0,COUNT(W$4:W136)+1,""))</f>
        <v/>
      </c>
      <c r="X137">
        <f>IF(B137="","",IF(COUNTIFS('سجل التحفيز'!$AD$5:$AD$2004,"&gt;0",'سجل التحفيز'!$B$5:$B$2004,B137)&gt;0,COUNT(X$4:X136)+1,""))</f>
        <v/>
      </c>
      <c r="Y137">
        <f>IF(B137="","",IF(COUNTIFS('سجل التحفيز'!$AE$5:$AE$2004,"&gt;0",'سجل التحفيز'!$B$5:$B$2004,B137)&gt;0,COUNT(Y$4:Y136)+1,""))</f>
        <v/>
      </c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20">
        <f>IF(B138="","",COUNTIFS('سجل التحفيز'!$B$5:$B$2004,B138,'سجل التحفيز'!$R$5:$R$2004,الإعدادات!$B$4))</f>
        <v/>
      </c>
      <c r="I138" s="20">
        <f>IF(B138="","",COUNTIFS('سجل التحفيز'!$B$5:$B$2004,B138,'سجل التحفيز'!$R$5:$R$2004,الإعدادات!$B$4,'سجل التحفيز'!$Q$5:$Q$2004,"الفصل الأول",'سجل التحفيز'!$D$5:$D$2004,"ذهبي"))</f>
        <v/>
      </c>
      <c r="J138" s="20">
        <f>IF(B138="","",COUNTIFS('سجل التحفيز'!$B$5:$B$2004,B138,'سجل التحفيز'!$R$5:$R$2004,الإعدادات!$B$4,'سجل التحفيز'!$Q$5:$Q$2004,"الفصل الثاني",'سجل التحفيز'!$D$5:$D$2004,"ذهبي"))</f>
        <v/>
      </c>
      <c r="K138" s="20">
        <f>IF(B138="","",COUNTIFS('سجل التحفيز'!$B$5:$B$2004,B138,'سجل التحفيز'!$R$5:$R$2004,الإعدادات!$B$4,'سجل التحفيز'!$D$5:$D$2004,"ذهبي"))</f>
        <v/>
      </c>
      <c r="L138" s="20">
        <f>IF(B138="","",IF(G138="محرومة","محرومة - مخالفة",IF(K138&gt;=5,"مستحقة ★","متبقي "&amp;(5-K138)&amp;" معايير")))</f>
        <v/>
      </c>
      <c r="N138">
        <f>IF(B138="","",IF(COUNTIFS('سجل التحفيز'!$T$5:$T$2004,"&gt;0",'سجل التحفيز'!$B$5:$B$2004,B138)&gt;0,COUNT(N$4:N137)+1,""))</f>
        <v/>
      </c>
      <c r="O138">
        <f>IF(B138="","",IF(COUNTIFS('سجل التحفيز'!$U$5:$U$2004,"&gt;0",'سجل التحفيز'!$B$5:$B$2004,B138)&gt;0,COUNT(O$4:O137)+1,""))</f>
        <v/>
      </c>
      <c r="P138">
        <f>IF(B138="","",IF(COUNTIFS('سجل التحفيز'!$V$5:$V$2004,"&gt;0",'سجل التحفيز'!$B$5:$B$2004,B138)&gt;0,COUNT(P$4:P137)+1,""))</f>
        <v/>
      </c>
      <c r="Q138">
        <f>IF(B138="","",IF(COUNTIFS('سجل التحفيز'!$W$5:$W$2004,"&gt;0",'سجل التحفيز'!$B$5:$B$2004,B138)&gt;0,COUNT(Q$4:Q137)+1,""))</f>
        <v/>
      </c>
      <c r="R138">
        <f>IF(B138="","",IF(COUNTIFS('سجل التحفيز'!$X$5:$X$2004,"&gt;0",'سجل التحفيز'!$B$5:$B$2004,B138)&gt;0,COUNT(R$4:R137)+1,""))</f>
        <v/>
      </c>
      <c r="S138">
        <f>IF(B138="","",IF(COUNTIFS('سجل التحفيز'!$Y$5:$Y$2004,"&gt;0",'سجل التحفيز'!$B$5:$B$2004,B138)&gt;0,COUNT(S$4:S137)+1,""))</f>
        <v/>
      </c>
      <c r="T138">
        <f>IF(B138="","",IF(COUNTIFS('سجل التحفيز'!$Z$5:$Z$2004,"&gt;0",'سجل التحفيز'!$B$5:$B$2004,B138)&gt;0,COUNT(T$4:T137)+1,""))</f>
        <v/>
      </c>
      <c r="U138">
        <f>IF(B138="","",IF(COUNTIFS('سجل التحفيز'!$AA$5:$AA$2004,"&gt;0",'سجل التحفيز'!$B$5:$B$2004,B138)&gt;0,COUNT(U$4:U137)+1,""))</f>
        <v/>
      </c>
      <c r="V138">
        <f>IF(B138="","",IF(COUNTIFS('سجل التحفيز'!$AB$5:$AB$2004,"&gt;0",'سجل التحفيز'!$B$5:$B$2004,B138)&gt;0,COUNT(V$4:V137)+1,""))</f>
        <v/>
      </c>
      <c r="W138">
        <f>IF(B138="","",IF(COUNTIFS('سجل التحفيز'!$AC$5:$AC$2004,"&gt;0",'سجل التحفيز'!$B$5:$B$2004,B138)&gt;0,COUNT(W$4:W137)+1,""))</f>
        <v/>
      </c>
      <c r="X138">
        <f>IF(B138="","",IF(COUNTIFS('سجل التحفيز'!$AD$5:$AD$2004,"&gt;0",'سجل التحفيز'!$B$5:$B$2004,B138)&gt;0,COUNT(X$4:X137)+1,""))</f>
        <v/>
      </c>
      <c r="Y138">
        <f>IF(B138="","",IF(COUNTIFS('سجل التحفيز'!$AE$5:$AE$2004,"&gt;0",'سجل التحفيز'!$B$5:$B$2004,B138)&gt;0,COUNT(Y$4:Y137)+1,""))</f>
        <v/>
      </c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20">
        <f>IF(B139="","",COUNTIFS('سجل التحفيز'!$B$5:$B$2004,B139,'سجل التحفيز'!$R$5:$R$2004,الإعدادات!$B$4))</f>
        <v/>
      </c>
      <c r="I139" s="20">
        <f>IF(B139="","",COUNTIFS('سجل التحفيز'!$B$5:$B$2004,B139,'سجل التحفيز'!$R$5:$R$2004,الإعدادات!$B$4,'سجل التحفيز'!$Q$5:$Q$2004,"الفصل الأول",'سجل التحفيز'!$D$5:$D$2004,"ذهبي"))</f>
        <v/>
      </c>
      <c r="J139" s="20">
        <f>IF(B139="","",COUNTIFS('سجل التحفيز'!$B$5:$B$2004,B139,'سجل التحفيز'!$R$5:$R$2004,الإعدادات!$B$4,'سجل التحفيز'!$Q$5:$Q$2004,"الفصل الثاني",'سجل التحفيز'!$D$5:$D$2004,"ذهبي"))</f>
        <v/>
      </c>
      <c r="K139" s="20">
        <f>IF(B139="","",COUNTIFS('سجل التحفيز'!$B$5:$B$2004,B139,'سجل التحفيز'!$R$5:$R$2004,الإعدادات!$B$4,'سجل التحفيز'!$D$5:$D$2004,"ذهبي"))</f>
        <v/>
      </c>
      <c r="L139" s="20">
        <f>IF(B139="","",IF(G139="محرومة","محرومة - مخالفة",IF(K139&gt;=5,"مستحقة ★","متبقي "&amp;(5-K139)&amp;" معايير")))</f>
        <v/>
      </c>
      <c r="N139">
        <f>IF(B139="","",IF(COUNTIFS('سجل التحفيز'!$T$5:$T$2004,"&gt;0",'سجل التحفيز'!$B$5:$B$2004,B139)&gt;0,COUNT(N$4:N138)+1,""))</f>
        <v/>
      </c>
      <c r="O139">
        <f>IF(B139="","",IF(COUNTIFS('سجل التحفيز'!$U$5:$U$2004,"&gt;0",'سجل التحفيز'!$B$5:$B$2004,B139)&gt;0,COUNT(O$4:O138)+1,""))</f>
        <v/>
      </c>
      <c r="P139">
        <f>IF(B139="","",IF(COUNTIFS('سجل التحفيز'!$V$5:$V$2004,"&gt;0",'سجل التحفيز'!$B$5:$B$2004,B139)&gt;0,COUNT(P$4:P138)+1,""))</f>
        <v/>
      </c>
      <c r="Q139">
        <f>IF(B139="","",IF(COUNTIFS('سجل التحفيز'!$W$5:$W$2004,"&gt;0",'سجل التحفيز'!$B$5:$B$2004,B139)&gt;0,COUNT(Q$4:Q138)+1,""))</f>
        <v/>
      </c>
      <c r="R139">
        <f>IF(B139="","",IF(COUNTIFS('سجل التحفيز'!$X$5:$X$2004,"&gt;0",'سجل التحفيز'!$B$5:$B$2004,B139)&gt;0,COUNT(R$4:R138)+1,""))</f>
        <v/>
      </c>
      <c r="S139">
        <f>IF(B139="","",IF(COUNTIFS('سجل التحفيز'!$Y$5:$Y$2004,"&gt;0",'سجل التحفيز'!$B$5:$B$2004,B139)&gt;0,COUNT(S$4:S138)+1,""))</f>
        <v/>
      </c>
      <c r="T139">
        <f>IF(B139="","",IF(COUNTIFS('سجل التحفيز'!$Z$5:$Z$2004,"&gt;0",'سجل التحفيز'!$B$5:$B$2004,B139)&gt;0,COUNT(T$4:T138)+1,""))</f>
        <v/>
      </c>
      <c r="U139">
        <f>IF(B139="","",IF(COUNTIFS('سجل التحفيز'!$AA$5:$AA$2004,"&gt;0",'سجل التحفيز'!$B$5:$B$2004,B139)&gt;0,COUNT(U$4:U138)+1,""))</f>
        <v/>
      </c>
      <c r="V139">
        <f>IF(B139="","",IF(COUNTIFS('سجل التحفيز'!$AB$5:$AB$2004,"&gt;0",'سجل التحفيز'!$B$5:$B$2004,B139)&gt;0,COUNT(V$4:V138)+1,""))</f>
        <v/>
      </c>
      <c r="W139">
        <f>IF(B139="","",IF(COUNTIFS('سجل التحفيز'!$AC$5:$AC$2004,"&gt;0",'سجل التحفيز'!$B$5:$B$2004,B139)&gt;0,COUNT(W$4:W138)+1,""))</f>
        <v/>
      </c>
      <c r="X139">
        <f>IF(B139="","",IF(COUNTIFS('سجل التحفيز'!$AD$5:$AD$2004,"&gt;0",'سجل التحفيز'!$B$5:$B$2004,B139)&gt;0,COUNT(X$4:X138)+1,""))</f>
        <v/>
      </c>
      <c r="Y139">
        <f>IF(B139="","",IF(COUNTIFS('سجل التحفيز'!$AE$5:$AE$2004,"&gt;0",'سجل التحفيز'!$B$5:$B$2004,B139)&gt;0,COUNT(Y$4:Y138)+1,""))</f>
        <v/>
      </c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20">
        <f>IF(B140="","",COUNTIFS('سجل التحفيز'!$B$5:$B$2004,B140,'سجل التحفيز'!$R$5:$R$2004,الإعدادات!$B$4))</f>
        <v/>
      </c>
      <c r="I140" s="20">
        <f>IF(B140="","",COUNTIFS('سجل التحفيز'!$B$5:$B$2004,B140,'سجل التحفيز'!$R$5:$R$2004,الإعدادات!$B$4,'سجل التحفيز'!$Q$5:$Q$2004,"الفصل الأول",'سجل التحفيز'!$D$5:$D$2004,"ذهبي"))</f>
        <v/>
      </c>
      <c r="J140" s="20">
        <f>IF(B140="","",COUNTIFS('سجل التحفيز'!$B$5:$B$2004,B140,'سجل التحفيز'!$R$5:$R$2004,الإعدادات!$B$4,'سجل التحفيز'!$Q$5:$Q$2004,"الفصل الثاني",'سجل التحفيز'!$D$5:$D$2004,"ذهبي"))</f>
        <v/>
      </c>
      <c r="K140" s="20">
        <f>IF(B140="","",COUNTIFS('سجل التحفيز'!$B$5:$B$2004,B140,'سجل التحفيز'!$R$5:$R$2004,الإعدادات!$B$4,'سجل التحفيز'!$D$5:$D$2004,"ذهبي"))</f>
        <v/>
      </c>
      <c r="L140" s="20">
        <f>IF(B140="","",IF(G140="محرومة","محرومة - مخالفة",IF(K140&gt;=5,"مستحقة ★","متبقي "&amp;(5-K140)&amp;" معايير")))</f>
        <v/>
      </c>
      <c r="N140">
        <f>IF(B140="","",IF(COUNTIFS('سجل التحفيز'!$T$5:$T$2004,"&gt;0",'سجل التحفيز'!$B$5:$B$2004,B140)&gt;0,COUNT(N$4:N139)+1,""))</f>
        <v/>
      </c>
      <c r="O140">
        <f>IF(B140="","",IF(COUNTIFS('سجل التحفيز'!$U$5:$U$2004,"&gt;0",'سجل التحفيز'!$B$5:$B$2004,B140)&gt;0,COUNT(O$4:O139)+1,""))</f>
        <v/>
      </c>
      <c r="P140">
        <f>IF(B140="","",IF(COUNTIFS('سجل التحفيز'!$V$5:$V$2004,"&gt;0",'سجل التحفيز'!$B$5:$B$2004,B140)&gt;0,COUNT(P$4:P139)+1,""))</f>
        <v/>
      </c>
      <c r="Q140">
        <f>IF(B140="","",IF(COUNTIFS('سجل التحفيز'!$W$5:$W$2004,"&gt;0",'سجل التحفيز'!$B$5:$B$2004,B140)&gt;0,COUNT(Q$4:Q139)+1,""))</f>
        <v/>
      </c>
      <c r="R140">
        <f>IF(B140="","",IF(COUNTIFS('سجل التحفيز'!$X$5:$X$2004,"&gt;0",'سجل التحفيز'!$B$5:$B$2004,B140)&gt;0,COUNT(R$4:R139)+1,""))</f>
        <v/>
      </c>
      <c r="S140">
        <f>IF(B140="","",IF(COUNTIFS('سجل التحفيز'!$Y$5:$Y$2004,"&gt;0",'سجل التحفيز'!$B$5:$B$2004,B140)&gt;0,COUNT(S$4:S139)+1,""))</f>
        <v/>
      </c>
      <c r="T140">
        <f>IF(B140="","",IF(COUNTIFS('سجل التحفيز'!$Z$5:$Z$2004,"&gt;0",'سجل التحفيز'!$B$5:$B$2004,B140)&gt;0,COUNT(T$4:T139)+1,""))</f>
        <v/>
      </c>
      <c r="U140">
        <f>IF(B140="","",IF(COUNTIFS('سجل التحفيز'!$AA$5:$AA$2004,"&gt;0",'سجل التحفيز'!$B$5:$B$2004,B140)&gt;0,COUNT(U$4:U139)+1,""))</f>
        <v/>
      </c>
      <c r="V140">
        <f>IF(B140="","",IF(COUNTIFS('سجل التحفيز'!$AB$5:$AB$2004,"&gt;0",'سجل التحفيز'!$B$5:$B$2004,B140)&gt;0,COUNT(V$4:V139)+1,""))</f>
        <v/>
      </c>
      <c r="W140">
        <f>IF(B140="","",IF(COUNTIFS('سجل التحفيز'!$AC$5:$AC$2004,"&gt;0",'سجل التحفيز'!$B$5:$B$2004,B140)&gt;0,COUNT(W$4:W139)+1,""))</f>
        <v/>
      </c>
      <c r="X140">
        <f>IF(B140="","",IF(COUNTIFS('سجل التحفيز'!$AD$5:$AD$2004,"&gt;0",'سجل التحفيز'!$B$5:$B$2004,B140)&gt;0,COUNT(X$4:X139)+1,""))</f>
        <v/>
      </c>
      <c r="Y140">
        <f>IF(B140="","",IF(COUNTIFS('سجل التحفيز'!$AE$5:$AE$2004,"&gt;0",'سجل التحفيز'!$B$5:$B$2004,B140)&gt;0,COUNT(Y$4:Y139)+1,""))</f>
        <v/>
      </c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20">
        <f>IF(B141="","",COUNTIFS('سجل التحفيز'!$B$5:$B$2004,B141,'سجل التحفيز'!$R$5:$R$2004,الإعدادات!$B$4))</f>
        <v/>
      </c>
      <c r="I141" s="20">
        <f>IF(B141="","",COUNTIFS('سجل التحفيز'!$B$5:$B$2004,B141,'سجل التحفيز'!$R$5:$R$2004,الإعدادات!$B$4,'سجل التحفيز'!$Q$5:$Q$2004,"الفصل الأول",'سجل التحفيز'!$D$5:$D$2004,"ذهبي"))</f>
        <v/>
      </c>
      <c r="J141" s="20">
        <f>IF(B141="","",COUNTIFS('سجل التحفيز'!$B$5:$B$2004,B141,'سجل التحفيز'!$R$5:$R$2004,الإعدادات!$B$4,'سجل التحفيز'!$Q$5:$Q$2004,"الفصل الثاني",'سجل التحفيز'!$D$5:$D$2004,"ذهبي"))</f>
        <v/>
      </c>
      <c r="K141" s="20">
        <f>IF(B141="","",COUNTIFS('سجل التحفيز'!$B$5:$B$2004,B141,'سجل التحفيز'!$R$5:$R$2004,الإعدادات!$B$4,'سجل التحفيز'!$D$5:$D$2004,"ذهبي"))</f>
        <v/>
      </c>
      <c r="L141" s="20">
        <f>IF(B141="","",IF(G141="محرومة","محرومة - مخالفة",IF(K141&gt;=5,"مستحقة ★","متبقي "&amp;(5-K141)&amp;" معايير")))</f>
        <v/>
      </c>
      <c r="N141">
        <f>IF(B141="","",IF(COUNTIFS('سجل التحفيز'!$T$5:$T$2004,"&gt;0",'سجل التحفيز'!$B$5:$B$2004,B141)&gt;0,COUNT(N$4:N140)+1,""))</f>
        <v/>
      </c>
      <c r="O141">
        <f>IF(B141="","",IF(COUNTIFS('سجل التحفيز'!$U$5:$U$2004,"&gt;0",'سجل التحفيز'!$B$5:$B$2004,B141)&gt;0,COUNT(O$4:O140)+1,""))</f>
        <v/>
      </c>
      <c r="P141">
        <f>IF(B141="","",IF(COUNTIFS('سجل التحفيز'!$V$5:$V$2004,"&gt;0",'سجل التحفيز'!$B$5:$B$2004,B141)&gt;0,COUNT(P$4:P140)+1,""))</f>
        <v/>
      </c>
      <c r="Q141">
        <f>IF(B141="","",IF(COUNTIFS('سجل التحفيز'!$W$5:$W$2004,"&gt;0",'سجل التحفيز'!$B$5:$B$2004,B141)&gt;0,COUNT(Q$4:Q140)+1,""))</f>
        <v/>
      </c>
      <c r="R141">
        <f>IF(B141="","",IF(COUNTIFS('سجل التحفيز'!$X$5:$X$2004,"&gt;0",'سجل التحفيز'!$B$5:$B$2004,B141)&gt;0,COUNT(R$4:R140)+1,""))</f>
        <v/>
      </c>
      <c r="S141">
        <f>IF(B141="","",IF(COUNTIFS('سجل التحفيز'!$Y$5:$Y$2004,"&gt;0",'سجل التحفيز'!$B$5:$B$2004,B141)&gt;0,COUNT(S$4:S140)+1,""))</f>
        <v/>
      </c>
      <c r="T141">
        <f>IF(B141="","",IF(COUNTIFS('سجل التحفيز'!$Z$5:$Z$2004,"&gt;0",'سجل التحفيز'!$B$5:$B$2004,B141)&gt;0,COUNT(T$4:T140)+1,""))</f>
        <v/>
      </c>
      <c r="U141">
        <f>IF(B141="","",IF(COUNTIFS('سجل التحفيز'!$AA$5:$AA$2004,"&gt;0",'سجل التحفيز'!$B$5:$B$2004,B141)&gt;0,COUNT(U$4:U140)+1,""))</f>
        <v/>
      </c>
      <c r="V141">
        <f>IF(B141="","",IF(COUNTIFS('سجل التحفيز'!$AB$5:$AB$2004,"&gt;0",'سجل التحفيز'!$B$5:$B$2004,B141)&gt;0,COUNT(V$4:V140)+1,""))</f>
        <v/>
      </c>
      <c r="W141">
        <f>IF(B141="","",IF(COUNTIFS('سجل التحفيز'!$AC$5:$AC$2004,"&gt;0",'سجل التحفيز'!$B$5:$B$2004,B141)&gt;0,COUNT(W$4:W140)+1,""))</f>
        <v/>
      </c>
      <c r="X141">
        <f>IF(B141="","",IF(COUNTIFS('سجل التحفيز'!$AD$5:$AD$2004,"&gt;0",'سجل التحفيز'!$B$5:$B$2004,B141)&gt;0,COUNT(X$4:X140)+1,""))</f>
        <v/>
      </c>
      <c r="Y141">
        <f>IF(B141="","",IF(COUNTIFS('سجل التحفيز'!$AE$5:$AE$2004,"&gt;0",'سجل التحفيز'!$B$5:$B$2004,B141)&gt;0,COUNT(Y$4:Y140)+1,""))</f>
        <v/>
      </c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20">
        <f>IF(B142="","",COUNTIFS('سجل التحفيز'!$B$5:$B$2004,B142,'سجل التحفيز'!$R$5:$R$2004,الإعدادات!$B$4))</f>
        <v/>
      </c>
      <c r="I142" s="20">
        <f>IF(B142="","",COUNTIFS('سجل التحفيز'!$B$5:$B$2004,B142,'سجل التحفيز'!$R$5:$R$2004,الإعدادات!$B$4,'سجل التحفيز'!$Q$5:$Q$2004,"الفصل الأول",'سجل التحفيز'!$D$5:$D$2004,"ذهبي"))</f>
        <v/>
      </c>
      <c r="J142" s="20">
        <f>IF(B142="","",COUNTIFS('سجل التحفيز'!$B$5:$B$2004,B142,'سجل التحفيز'!$R$5:$R$2004,الإعدادات!$B$4,'سجل التحفيز'!$Q$5:$Q$2004,"الفصل الثاني",'سجل التحفيز'!$D$5:$D$2004,"ذهبي"))</f>
        <v/>
      </c>
      <c r="K142" s="20">
        <f>IF(B142="","",COUNTIFS('سجل التحفيز'!$B$5:$B$2004,B142,'سجل التحفيز'!$R$5:$R$2004,الإعدادات!$B$4,'سجل التحفيز'!$D$5:$D$2004,"ذهبي"))</f>
        <v/>
      </c>
      <c r="L142" s="20">
        <f>IF(B142="","",IF(G142="محرومة","محرومة - مخالفة",IF(K142&gt;=5,"مستحقة ★","متبقي "&amp;(5-K142)&amp;" معايير")))</f>
        <v/>
      </c>
      <c r="N142">
        <f>IF(B142="","",IF(COUNTIFS('سجل التحفيز'!$T$5:$T$2004,"&gt;0",'سجل التحفيز'!$B$5:$B$2004,B142)&gt;0,COUNT(N$4:N141)+1,""))</f>
        <v/>
      </c>
      <c r="O142">
        <f>IF(B142="","",IF(COUNTIFS('سجل التحفيز'!$U$5:$U$2004,"&gt;0",'سجل التحفيز'!$B$5:$B$2004,B142)&gt;0,COUNT(O$4:O141)+1,""))</f>
        <v/>
      </c>
      <c r="P142">
        <f>IF(B142="","",IF(COUNTIFS('سجل التحفيز'!$V$5:$V$2004,"&gt;0",'سجل التحفيز'!$B$5:$B$2004,B142)&gt;0,COUNT(P$4:P141)+1,""))</f>
        <v/>
      </c>
      <c r="Q142">
        <f>IF(B142="","",IF(COUNTIFS('سجل التحفيز'!$W$5:$W$2004,"&gt;0",'سجل التحفيز'!$B$5:$B$2004,B142)&gt;0,COUNT(Q$4:Q141)+1,""))</f>
        <v/>
      </c>
      <c r="R142">
        <f>IF(B142="","",IF(COUNTIFS('سجل التحفيز'!$X$5:$X$2004,"&gt;0",'سجل التحفيز'!$B$5:$B$2004,B142)&gt;0,COUNT(R$4:R141)+1,""))</f>
        <v/>
      </c>
      <c r="S142">
        <f>IF(B142="","",IF(COUNTIFS('سجل التحفيز'!$Y$5:$Y$2004,"&gt;0",'سجل التحفيز'!$B$5:$B$2004,B142)&gt;0,COUNT(S$4:S141)+1,""))</f>
        <v/>
      </c>
      <c r="T142">
        <f>IF(B142="","",IF(COUNTIFS('سجل التحفيز'!$Z$5:$Z$2004,"&gt;0",'سجل التحفيز'!$B$5:$B$2004,B142)&gt;0,COUNT(T$4:T141)+1,""))</f>
        <v/>
      </c>
      <c r="U142">
        <f>IF(B142="","",IF(COUNTIFS('سجل التحفيز'!$AA$5:$AA$2004,"&gt;0",'سجل التحفيز'!$B$5:$B$2004,B142)&gt;0,COUNT(U$4:U141)+1,""))</f>
        <v/>
      </c>
      <c r="V142">
        <f>IF(B142="","",IF(COUNTIFS('سجل التحفيز'!$AB$5:$AB$2004,"&gt;0",'سجل التحفيز'!$B$5:$B$2004,B142)&gt;0,COUNT(V$4:V141)+1,""))</f>
        <v/>
      </c>
      <c r="W142">
        <f>IF(B142="","",IF(COUNTIFS('سجل التحفيز'!$AC$5:$AC$2004,"&gt;0",'سجل التحفيز'!$B$5:$B$2004,B142)&gt;0,COUNT(W$4:W141)+1,""))</f>
        <v/>
      </c>
      <c r="X142">
        <f>IF(B142="","",IF(COUNTIFS('سجل التحفيز'!$AD$5:$AD$2004,"&gt;0",'سجل التحفيز'!$B$5:$B$2004,B142)&gt;0,COUNT(X$4:X141)+1,""))</f>
        <v/>
      </c>
      <c r="Y142">
        <f>IF(B142="","",IF(COUNTIFS('سجل التحفيز'!$AE$5:$AE$2004,"&gt;0",'سجل التحفيز'!$B$5:$B$2004,B142)&gt;0,COUNT(Y$4:Y141)+1,""))</f>
        <v/>
      </c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20">
        <f>IF(B143="","",COUNTIFS('سجل التحفيز'!$B$5:$B$2004,B143,'سجل التحفيز'!$R$5:$R$2004,الإعدادات!$B$4))</f>
        <v/>
      </c>
      <c r="I143" s="20">
        <f>IF(B143="","",COUNTIFS('سجل التحفيز'!$B$5:$B$2004,B143,'سجل التحفيز'!$R$5:$R$2004,الإعدادات!$B$4,'سجل التحفيز'!$Q$5:$Q$2004,"الفصل الأول",'سجل التحفيز'!$D$5:$D$2004,"ذهبي"))</f>
        <v/>
      </c>
      <c r="J143" s="20">
        <f>IF(B143="","",COUNTIFS('سجل التحفيز'!$B$5:$B$2004,B143,'سجل التحفيز'!$R$5:$R$2004,الإعدادات!$B$4,'سجل التحفيز'!$Q$5:$Q$2004,"الفصل الثاني",'سجل التحفيز'!$D$5:$D$2004,"ذهبي"))</f>
        <v/>
      </c>
      <c r="K143" s="20">
        <f>IF(B143="","",COUNTIFS('سجل التحفيز'!$B$5:$B$2004,B143,'سجل التحفيز'!$R$5:$R$2004,الإعدادات!$B$4,'سجل التحفيز'!$D$5:$D$2004,"ذهبي"))</f>
        <v/>
      </c>
      <c r="L143" s="20">
        <f>IF(B143="","",IF(G143="محرومة","محرومة - مخالفة",IF(K143&gt;=5,"مستحقة ★","متبقي "&amp;(5-K143)&amp;" معايير")))</f>
        <v/>
      </c>
      <c r="N143">
        <f>IF(B143="","",IF(COUNTIFS('سجل التحفيز'!$T$5:$T$2004,"&gt;0",'سجل التحفيز'!$B$5:$B$2004,B143)&gt;0,COUNT(N$4:N142)+1,""))</f>
        <v/>
      </c>
      <c r="O143">
        <f>IF(B143="","",IF(COUNTIFS('سجل التحفيز'!$U$5:$U$2004,"&gt;0",'سجل التحفيز'!$B$5:$B$2004,B143)&gt;0,COUNT(O$4:O142)+1,""))</f>
        <v/>
      </c>
      <c r="P143">
        <f>IF(B143="","",IF(COUNTIFS('سجل التحفيز'!$V$5:$V$2004,"&gt;0",'سجل التحفيز'!$B$5:$B$2004,B143)&gt;0,COUNT(P$4:P142)+1,""))</f>
        <v/>
      </c>
      <c r="Q143">
        <f>IF(B143="","",IF(COUNTIFS('سجل التحفيز'!$W$5:$W$2004,"&gt;0",'سجل التحفيز'!$B$5:$B$2004,B143)&gt;0,COUNT(Q$4:Q142)+1,""))</f>
        <v/>
      </c>
      <c r="R143">
        <f>IF(B143="","",IF(COUNTIFS('سجل التحفيز'!$X$5:$X$2004,"&gt;0",'سجل التحفيز'!$B$5:$B$2004,B143)&gt;0,COUNT(R$4:R142)+1,""))</f>
        <v/>
      </c>
      <c r="S143">
        <f>IF(B143="","",IF(COUNTIFS('سجل التحفيز'!$Y$5:$Y$2004,"&gt;0",'سجل التحفيز'!$B$5:$B$2004,B143)&gt;0,COUNT(S$4:S142)+1,""))</f>
        <v/>
      </c>
      <c r="T143">
        <f>IF(B143="","",IF(COUNTIFS('سجل التحفيز'!$Z$5:$Z$2004,"&gt;0",'سجل التحفيز'!$B$5:$B$2004,B143)&gt;0,COUNT(T$4:T142)+1,""))</f>
        <v/>
      </c>
      <c r="U143">
        <f>IF(B143="","",IF(COUNTIFS('سجل التحفيز'!$AA$5:$AA$2004,"&gt;0",'سجل التحفيز'!$B$5:$B$2004,B143)&gt;0,COUNT(U$4:U142)+1,""))</f>
        <v/>
      </c>
      <c r="V143">
        <f>IF(B143="","",IF(COUNTIFS('سجل التحفيز'!$AB$5:$AB$2004,"&gt;0",'سجل التحفيز'!$B$5:$B$2004,B143)&gt;0,COUNT(V$4:V142)+1,""))</f>
        <v/>
      </c>
      <c r="W143">
        <f>IF(B143="","",IF(COUNTIFS('سجل التحفيز'!$AC$5:$AC$2004,"&gt;0",'سجل التحفيز'!$B$5:$B$2004,B143)&gt;0,COUNT(W$4:W142)+1,""))</f>
        <v/>
      </c>
      <c r="X143">
        <f>IF(B143="","",IF(COUNTIFS('سجل التحفيز'!$AD$5:$AD$2004,"&gt;0",'سجل التحفيز'!$B$5:$B$2004,B143)&gt;0,COUNT(X$4:X142)+1,""))</f>
        <v/>
      </c>
      <c r="Y143">
        <f>IF(B143="","",IF(COUNTIFS('سجل التحفيز'!$AE$5:$AE$2004,"&gt;0",'سجل التحفيز'!$B$5:$B$2004,B143)&gt;0,COUNT(Y$4:Y142)+1,""))</f>
        <v/>
      </c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20">
        <f>IF(B144="","",COUNTIFS('سجل التحفيز'!$B$5:$B$2004,B144,'سجل التحفيز'!$R$5:$R$2004,الإعدادات!$B$4))</f>
        <v/>
      </c>
      <c r="I144" s="20">
        <f>IF(B144="","",COUNTIFS('سجل التحفيز'!$B$5:$B$2004,B144,'سجل التحفيز'!$R$5:$R$2004,الإعدادات!$B$4,'سجل التحفيز'!$Q$5:$Q$2004,"الفصل الأول",'سجل التحفيز'!$D$5:$D$2004,"ذهبي"))</f>
        <v/>
      </c>
      <c r="J144" s="20">
        <f>IF(B144="","",COUNTIFS('سجل التحفيز'!$B$5:$B$2004,B144,'سجل التحفيز'!$R$5:$R$2004,الإعدادات!$B$4,'سجل التحفيز'!$Q$5:$Q$2004,"الفصل الثاني",'سجل التحفيز'!$D$5:$D$2004,"ذهبي"))</f>
        <v/>
      </c>
      <c r="K144" s="20">
        <f>IF(B144="","",COUNTIFS('سجل التحفيز'!$B$5:$B$2004,B144,'سجل التحفيز'!$R$5:$R$2004,الإعدادات!$B$4,'سجل التحفيز'!$D$5:$D$2004,"ذهبي"))</f>
        <v/>
      </c>
      <c r="L144" s="20">
        <f>IF(B144="","",IF(G144="محرومة","محرومة - مخالفة",IF(K144&gt;=5,"مستحقة ★","متبقي "&amp;(5-K144)&amp;" معايير")))</f>
        <v/>
      </c>
      <c r="N144">
        <f>IF(B144="","",IF(COUNTIFS('سجل التحفيز'!$T$5:$T$2004,"&gt;0",'سجل التحفيز'!$B$5:$B$2004,B144)&gt;0,COUNT(N$4:N143)+1,""))</f>
        <v/>
      </c>
      <c r="O144">
        <f>IF(B144="","",IF(COUNTIFS('سجل التحفيز'!$U$5:$U$2004,"&gt;0",'سجل التحفيز'!$B$5:$B$2004,B144)&gt;0,COUNT(O$4:O143)+1,""))</f>
        <v/>
      </c>
      <c r="P144">
        <f>IF(B144="","",IF(COUNTIFS('سجل التحفيز'!$V$5:$V$2004,"&gt;0",'سجل التحفيز'!$B$5:$B$2004,B144)&gt;0,COUNT(P$4:P143)+1,""))</f>
        <v/>
      </c>
      <c r="Q144">
        <f>IF(B144="","",IF(COUNTIFS('سجل التحفيز'!$W$5:$W$2004,"&gt;0",'سجل التحفيز'!$B$5:$B$2004,B144)&gt;0,COUNT(Q$4:Q143)+1,""))</f>
        <v/>
      </c>
      <c r="R144">
        <f>IF(B144="","",IF(COUNTIFS('سجل التحفيز'!$X$5:$X$2004,"&gt;0",'سجل التحفيز'!$B$5:$B$2004,B144)&gt;0,COUNT(R$4:R143)+1,""))</f>
        <v/>
      </c>
      <c r="S144">
        <f>IF(B144="","",IF(COUNTIFS('سجل التحفيز'!$Y$5:$Y$2004,"&gt;0",'سجل التحفيز'!$B$5:$B$2004,B144)&gt;0,COUNT(S$4:S143)+1,""))</f>
        <v/>
      </c>
      <c r="T144">
        <f>IF(B144="","",IF(COUNTIFS('سجل التحفيز'!$Z$5:$Z$2004,"&gt;0",'سجل التحفيز'!$B$5:$B$2004,B144)&gt;0,COUNT(T$4:T143)+1,""))</f>
        <v/>
      </c>
      <c r="U144">
        <f>IF(B144="","",IF(COUNTIFS('سجل التحفيز'!$AA$5:$AA$2004,"&gt;0",'سجل التحفيز'!$B$5:$B$2004,B144)&gt;0,COUNT(U$4:U143)+1,""))</f>
        <v/>
      </c>
      <c r="V144">
        <f>IF(B144="","",IF(COUNTIFS('سجل التحفيز'!$AB$5:$AB$2004,"&gt;0",'سجل التحفيز'!$B$5:$B$2004,B144)&gt;0,COUNT(V$4:V143)+1,""))</f>
        <v/>
      </c>
      <c r="W144">
        <f>IF(B144="","",IF(COUNTIFS('سجل التحفيز'!$AC$5:$AC$2004,"&gt;0",'سجل التحفيز'!$B$5:$B$2004,B144)&gt;0,COUNT(W$4:W143)+1,""))</f>
        <v/>
      </c>
      <c r="X144">
        <f>IF(B144="","",IF(COUNTIFS('سجل التحفيز'!$AD$5:$AD$2004,"&gt;0",'سجل التحفيز'!$B$5:$B$2004,B144)&gt;0,COUNT(X$4:X143)+1,""))</f>
        <v/>
      </c>
      <c r="Y144">
        <f>IF(B144="","",IF(COUNTIFS('سجل التحفيز'!$AE$5:$AE$2004,"&gt;0",'سجل التحفيز'!$B$5:$B$2004,B144)&gt;0,COUNT(Y$4:Y143)+1,""))</f>
        <v/>
      </c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20">
        <f>IF(B145="","",COUNTIFS('سجل التحفيز'!$B$5:$B$2004,B145,'سجل التحفيز'!$R$5:$R$2004,الإعدادات!$B$4))</f>
        <v/>
      </c>
      <c r="I145" s="20">
        <f>IF(B145="","",COUNTIFS('سجل التحفيز'!$B$5:$B$2004,B145,'سجل التحفيز'!$R$5:$R$2004,الإعدادات!$B$4,'سجل التحفيز'!$Q$5:$Q$2004,"الفصل الأول",'سجل التحفيز'!$D$5:$D$2004,"ذهبي"))</f>
        <v/>
      </c>
      <c r="J145" s="20">
        <f>IF(B145="","",COUNTIFS('سجل التحفيز'!$B$5:$B$2004,B145,'سجل التحفيز'!$R$5:$R$2004,الإعدادات!$B$4,'سجل التحفيز'!$Q$5:$Q$2004,"الفصل الثاني",'سجل التحفيز'!$D$5:$D$2004,"ذهبي"))</f>
        <v/>
      </c>
      <c r="K145" s="20">
        <f>IF(B145="","",COUNTIFS('سجل التحفيز'!$B$5:$B$2004,B145,'سجل التحفيز'!$R$5:$R$2004,الإعدادات!$B$4,'سجل التحفيز'!$D$5:$D$2004,"ذهبي"))</f>
        <v/>
      </c>
      <c r="L145" s="20">
        <f>IF(B145="","",IF(G145="محرومة","محرومة - مخالفة",IF(K145&gt;=5,"مستحقة ★","متبقي "&amp;(5-K145)&amp;" معايير")))</f>
        <v/>
      </c>
      <c r="N145">
        <f>IF(B145="","",IF(COUNTIFS('سجل التحفيز'!$T$5:$T$2004,"&gt;0",'سجل التحفيز'!$B$5:$B$2004,B145)&gt;0,COUNT(N$4:N144)+1,""))</f>
        <v/>
      </c>
      <c r="O145">
        <f>IF(B145="","",IF(COUNTIFS('سجل التحفيز'!$U$5:$U$2004,"&gt;0",'سجل التحفيز'!$B$5:$B$2004,B145)&gt;0,COUNT(O$4:O144)+1,""))</f>
        <v/>
      </c>
      <c r="P145">
        <f>IF(B145="","",IF(COUNTIFS('سجل التحفيز'!$V$5:$V$2004,"&gt;0",'سجل التحفيز'!$B$5:$B$2004,B145)&gt;0,COUNT(P$4:P144)+1,""))</f>
        <v/>
      </c>
      <c r="Q145">
        <f>IF(B145="","",IF(COUNTIFS('سجل التحفيز'!$W$5:$W$2004,"&gt;0",'سجل التحفيز'!$B$5:$B$2004,B145)&gt;0,COUNT(Q$4:Q144)+1,""))</f>
        <v/>
      </c>
      <c r="R145">
        <f>IF(B145="","",IF(COUNTIFS('سجل التحفيز'!$X$5:$X$2004,"&gt;0",'سجل التحفيز'!$B$5:$B$2004,B145)&gt;0,COUNT(R$4:R144)+1,""))</f>
        <v/>
      </c>
      <c r="S145">
        <f>IF(B145="","",IF(COUNTIFS('سجل التحفيز'!$Y$5:$Y$2004,"&gt;0",'سجل التحفيز'!$B$5:$B$2004,B145)&gt;0,COUNT(S$4:S144)+1,""))</f>
        <v/>
      </c>
      <c r="T145">
        <f>IF(B145="","",IF(COUNTIFS('سجل التحفيز'!$Z$5:$Z$2004,"&gt;0",'سجل التحفيز'!$B$5:$B$2004,B145)&gt;0,COUNT(T$4:T144)+1,""))</f>
        <v/>
      </c>
      <c r="U145">
        <f>IF(B145="","",IF(COUNTIFS('سجل التحفيز'!$AA$5:$AA$2004,"&gt;0",'سجل التحفيز'!$B$5:$B$2004,B145)&gt;0,COUNT(U$4:U144)+1,""))</f>
        <v/>
      </c>
      <c r="V145">
        <f>IF(B145="","",IF(COUNTIFS('سجل التحفيز'!$AB$5:$AB$2004,"&gt;0",'سجل التحفيز'!$B$5:$B$2004,B145)&gt;0,COUNT(V$4:V144)+1,""))</f>
        <v/>
      </c>
      <c r="W145">
        <f>IF(B145="","",IF(COUNTIFS('سجل التحفيز'!$AC$5:$AC$2004,"&gt;0",'سجل التحفيز'!$B$5:$B$2004,B145)&gt;0,COUNT(W$4:W144)+1,""))</f>
        <v/>
      </c>
      <c r="X145">
        <f>IF(B145="","",IF(COUNTIFS('سجل التحفيز'!$AD$5:$AD$2004,"&gt;0",'سجل التحفيز'!$B$5:$B$2004,B145)&gt;0,COUNT(X$4:X144)+1,""))</f>
        <v/>
      </c>
      <c r="Y145">
        <f>IF(B145="","",IF(COUNTIFS('سجل التحفيز'!$AE$5:$AE$2004,"&gt;0",'سجل التحفيز'!$B$5:$B$2004,B145)&gt;0,COUNT(Y$4:Y144)+1,""))</f>
        <v/>
      </c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20">
        <f>IF(B146="","",COUNTIFS('سجل التحفيز'!$B$5:$B$2004,B146,'سجل التحفيز'!$R$5:$R$2004,الإعدادات!$B$4))</f>
        <v/>
      </c>
      <c r="I146" s="20">
        <f>IF(B146="","",COUNTIFS('سجل التحفيز'!$B$5:$B$2004,B146,'سجل التحفيز'!$R$5:$R$2004,الإعدادات!$B$4,'سجل التحفيز'!$Q$5:$Q$2004,"الفصل الأول",'سجل التحفيز'!$D$5:$D$2004,"ذهبي"))</f>
        <v/>
      </c>
      <c r="J146" s="20">
        <f>IF(B146="","",COUNTIFS('سجل التحفيز'!$B$5:$B$2004,B146,'سجل التحفيز'!$R$5:$R$2004,الإعدادات!$B$4,'سجل التحفيز'!$Q$5:$Q$2004,"الفصل الثاني",'سجل التحفيز'!$D$5:$D$2004,"ذهبي"))</f>
        <v/>
      </c>
      <c r="K146" s="20">
        <f>IF(B146="","",COUNTIFS('سجل التحفيز'!$B$5:$B$2004,B146,'سجل التحفيز'!$R$5:$R$2004,الإعدادات!$B$4,'سجل التحفيز'!$D$5:$D$2004,"ذهبي"))</f>
        <v/>
      </c>
      <c r="L146" s="20">
        <f>IF(B146="","",IF(G146="محرومة","محرومة - مخالفة",IF(K146&gt;=5,"مستحقة ★","متبقي "&amp;(5-K146)&amp;" معايير")))</f>
        <v/>
      </c>
      <c r="N146">
        <f>IF(B146="","",IF(COUNTIFS('سجل التحفيز'!$T$5:$T$2004,"&gt;0",'سجل التحفيز'!$B$5:$B$2004,B146)&gt;0,COUNT(N$4:N145)+1,""))</f>
        <v/>
      </c>
      <c r="O146">
        <f>IF(B146="","",IF(COUNTIFS('سجل التحفيز'!$U$5:$U$2004,"&gt;0",'سجل التحفيز'!$B$5:$B$2004,B146)&gt;0,COUNT(O$4:O145)+1,""))</f>
        <v/>
      </c>
      <c r="P146">
        <f>IF(B146="","",IF(COUNTIFS('سجل التحفيز'!$V$5:$V$2004,"&gt;0",'سجل التحفيز'!$B$5:$B$2004,B146)&gt;0,COUNT(P$4:P145)+1,""))</f>
        <v/>
      </c>
      <c r="Q146">
        <f>IF(B146="","",IF(COUNTIFS('سجل التحفيز'!$W$5:$W$2004,"&gt;0",'سجل التحفيز'!$B$5:$B$2004,B146)&gt;0,COUNT(Q$4:Q145)+1,""))</f>
        <v/>
      </c>
      <c r="R146">
        <f>IF(B146="","",IF(COUNTIFS('سجل التحفيز'!$X$5:$X$2004,"&gt;0",'سجل التحفيز'!$B$5:$B$2004,B146)&gt;0,COUNT(R$4:R145)+1,""))</f>
        <v/>
      </c>
      <c r="S146">
        <f>IF(B146="","",IF(COUNTIFS('سجل التحفيز'!$Y$5:$Y$2004,"&gt;0",'سجل التحفيز'!$B$5:$B$2004,B146)&gt;0,COUNT(S$4:S145)+1,""))</f>
        <v/>
      </c>
      <c r="T146">
        <f>IF(B146="","",IF(COUNTIFS('سجل التحفيز'!$Z$5:$Z$2004,"&gt;0",'سجل التحفيز'!$B$5:$B$2004,B146)&gt;0,COUNT(T$4:T145)+1,""))</f>
        <v/>
      </c>
      <c r="U146">
        <f>IF(B146="","",IF(COUNTIFS('سجل التحفيز'!$AA$5:$AA$2004,"&gt;0",'سجل التحفيز'!$B$5:$B$2004,B146)&gt;0,COUNT(U$4:U145)+1,""))</f>
        <v/>
      </c>
      <c r="V146">
        <f>IF(B146="","",IF(COUNTIFS('سجل التحفيز'!$AB$5:$AB$2004,"&gt;0",'سجل التحفيز'!$B$5:$B$2004,B146)&gt;0,COUNT(V$4:V145)+1,""))</f>
        <v/>
      </c>
      <c r="W146">
        <f>IF(B146="","",IF(COUNTIFS('سجل التحفيز'!$AC$5:$AC$2004,"&gt;0",'سجل التحفيز'!$B$5:$B$2004,B146)&gt;0,COUNT(W$4:W145)+1,""))</f>
        <v/>
      </c>
      <c r="X146">
        <f>IF(B146="","",IF(COUNTIFS('سجل التحفيز'!$AD$5:$AD$2004,"&gt;0",'سجل التحفيز'!$B$5:$B$2004,B146)&gt;0,COUNT(X$4:X145)+1,""))</f>
        <v/>
      </c>
      <c r="Y146">
        <f>IF(B146="","",IF(COUNTIFS('سجل التحفيز'!$AE$5:$AE$2004,"&gt;0",'سجل التحفيز'!$B$5:$B$2004,B146)&gt;0,COUNT(Y$4:Y145)+1,""))</f>
        <v/>
      </c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20">
        <f>IF(B147="","",COUNTIFS('سجل التحفيز'!$B$5:$B$2004,B147,'سجل التحفيز'!$R$5:$R$2004,الإعدادات!$B$4))</f>
        <v/>
      </c>
      <c r="I147" s="20">
        <f>IF(B147="","",COUNTIFS('سجل التحفيز'!$B$5:$B$2004,B147,'سجل التحفيز'!$R$5:$R$2004,الإعدادات!$B$4,'سجل التحفيز'!$Q$5:$Q$2004,"الفصل الأول",'سجل التحفيز'!$D$5:$D$2004,"ذهبي"))</f>
        <v/>
      </c>
      <c r="J147" s="20">
        <f>IF(B147="","",COUNTIFS('سجل التحفيز'!$B$5:$B$2004,B147,'سجل التحفيز'!$R$5:$R$2004,الإعدادات!$B$4,'سجل التحفيز'!$Q$5:$Q$2004,"الفصل الثاني",'سجل التحفيز'!$D$5:$D$2004,"ذهبي"))</f>
        <v/>
      </c>
      <c r="K147" s="20">
        <f>IF(B147="","",COUNTIFS('سجل التحفيز'!$B$5:$B$2004,B147,'سجل التحفيز'!$R$5:$R$2004,الإعدادات!$B$4,'سجل التحفيز'!$D$5:$D$2004,"ذهبي"))</f>
        <v/>
      </c>
      <c r="L147" s="20">
        <f>IF(B147="","",IF(G147="محرومة","محرومة - مخالفة",IF(K147&gt;=5,"مستحقة ★","متبقي "&amp;(5-K147)&amp;" معايير")))</f>
        <v/>
      </c>
      <c r="N147">
        <f>IF(B147="","",IF(COUNTIFS('سجل التحفيز'!$T$5:$T$2004,"&gt;0",'سجل التحفيز'!$B$5:$B$2004,B147)&gt;0,COUNT(N$4:N146)+1,""))</f>
        <v/>
      </c>
      <c r="O147">
        <f>IF(B147="","",IF(COUNTIFS('سجل التحفيز'!$U$5:$U$2004,"&gt;0",'سجل التحفيز'!$B$5:$B$2004,B147)&gt;0,COUNT(O$4:O146)+1,""))</f>
        <v/>
      </c>
      <c r="P147">
        <f>IF(B147="","",IF(COUNTIFS('سجل التحفيز'!$V$5:$V$2004,"&gt;0",'سجل التحفيز'!$B$5:$B$2004,B147)&gt;0,COUNT(P$4:P146)+1,""))</f>
        <v/>
      </c>
      <c r="Q147">
        <f>IF(B147="","",IF(COUNTIFS('سجل التحفيز'!$W$5:$W$2004,"&gt;0",'سجل التحفيز'!$B$5:$B$2004,B147)&gt;0,COUNT(Q$4:Q146)+1,""))</f>
        <v/>
      </c>
      <c r="R147">
        <f>IF(B147="","",IF(COUNTIFS('سجل التحفيز'!$X$5:$X$2004,"&gt;0",'سجل التحفيز'!$B$5:$B$2004,B147)&gt;0,COUNT(R$4:R146)+1,""))</f>
        <v/>
      </c>
      <c r="S147">
        <f>IF(B147="","",IF(COUNTIFS('سجل التحفيز'!$Y$5:$Y$2004,"&gt;0",'سجل التحفيز'!$B$5:$B$2004,B147)&gt;0,COUNT(S$4:S146)+1,""))</f>
        <v/>
      </c>
      <c r="T147">
        <f>IF(B147="","",IF(COUNTIFS('سجل التحفيز'!$Z$5:$Z$2004,"&gt;0",'سجل التحفيز'!$B$5:$B$2004,B147)&gt;0,COUNT(T$4:T146)+1,""))</f>
        <v/>
      </c>
      <c r="U147">
        <f>IF(B147="","",IF(COUNTIFS('سجل التحفيز'!$AA$5:$AA$2004,"&gt;0",'سجل التحفيز'!$B$5:$B$2004,B147)&gt;0,COUNT(U$4:U146)+1,""))</f>
        <v/>
      </c>
      <c r="V147">
        <f>IF(B147="","",IF(COUNTIFS('سجل التحفيز'!$AB$5:$AB$2004,"&gt;0",'سجل التحفيز'!$B$5:$B$2004,B147)&gt;0,COUNT(V$4:V146)+1,""))</f>
        <v/>
      </c>
      <c r="W147">
        <f>IF(B147="","",IF(COUNTIFS('سجل التحفيز'!$AC$5:$AC$2004,"&gt;0",'سجل التحفيز'!$B$5:$B$2004,B147)&gt;0,COUNT(W$4:W146)+1,""))</f>
        <v/>
      </c>
      <c r="X147">
        <f>IF(B147="","",IF(COUNTIFS('سجل التحفيز'!$AD$5:$AD$2004,"&gt;0",'سجل التحفيز'!$B$5:$B$2004,B147)&gt;0,COUNT(X$4:X146)+1,""))</f>
        <v/>
      </c>
      <c r="Y147">
        <f>IF(B147="","",IF(COUNTIFS('سجل التحفيز'!$AE$5:$AE$2004,"&gt;0",'سجل التحفيز'!$B$5:$B$2004,B147)&gt;0,COUNT(Y$4:Y146)+1,""))</f>
        <v/>
      </c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20">
        <f>IF(B148="","",COUNTIFS('سجل التحفيز'!$B$5:$B$2004,B148,'سجل التحفيز'!$R$5:$R$2004,الإعدادات!$B$4))</f>
        <v/>
      </c>
      <c r="I148" s="20">
        <f>IF(B148="","",COUNTIFS('سجل التحفيز'!$B$5:$B$2004,B148,'سجل التحفيز'!$R$5:$R$2004,الإعدادات!$B$4,'سجل التحفيز'!$Q$5:$Q$2004,"الفصل الأول",'سجل التحفيز'!$D$5:$D$2004,"ذهبي"))</f>
        <v/>
      </c>
      <c r="J148" s="20">
        <f>IF(B148="","",COUNTIFS('سجل التحفيز'!$B$5:$B$2004,B148,'سجل التحفيز'!$R$5:$R$2004,الإعدادات!$B$4,'سجل التحفيز'!$Q$5:$Q$2004,"الفصل الثاني",'سجل التحفيز'!$D$5:$D$2004,"ذهبي"))</f>
        <v/>
      </c>
      <c r="K148" s="20">
        <f>IF(B148="","",COUNTIFS('سجل التحفيز'!$B$5:$B$2004,B148,'سجل التحفيز'!$R$5:$R$2004,الإعدادات!$B$4,'سجل التحفيز'!$D$5:$D$2004,"ذهبي"))</f>
        <v/>
      </c>
      <c r="L148" s="20">
        <f>IF(B148="","",IF(G148="محرومة","محرومة - مخالفة",IF(K148&gt;=5,"مستحقة ★","متبقي "&amp;(5-K148)&amp;" معايير")))</f>
        <v/>
      </c>
      <c r="N148">
        <f>IF(B148="","",IF(COUNTIFS('سجل التحفيز'!$T$5:$T$2004,"&gt;0",'سجل التحفيز'!$B$5:$B$2004,B148)&gt;0,COUNT(N$4:N147)+1,""))</f>
        <v/>
      </c>
      <c r="O148">
        <f>IF(B148="","",IF(COUNTIFS('سجل التحفيز'!$U$5:$U$2004,"&gt;0",'سجل التحفيز'!$B$5:$B$2004,B148)&gt;0,COUNT(O$4:O147)+1,""))</f>
        <v/>
      </c>
      <c r="P148">
        <f>IF(B148="","",IF(COUNTIFS('سجل التحفيز'!$V$5:$V$2004,"&gt;0",'سجل التحفيز'!$B$5:$B$2004,B148)&gt;0,COUNT(P$4:P147)+1,""))</f>
        <v/>
      </c>
      <c r="Q148">
        <f>IF(B148="","",IF(COUNTIFS('سجل التحفيز'!$W$5:$W$2004,"&gt;0",'سجل التحفيز'!$B$5:$B$2004,B148)&gt;0,COUNT(Q$4:Q147)+1,""))</f>
        <v/>
      </c>
      <c r="R148">
        <f>IF(B148="","",IF(COUNTIFS('سجل التحفيز'!$X$5:$X$2004,"&gt;0",'سجل التحفيز'!$B$5:$B$2004,B148)&gt;0,COUNT(R$4:R147)+1,""))</f>
        <v/>
      </c>
      <c r="S148">
        <f>IF(B148="","",IF(COUNTIFS('سجل التحفيز'!$Y$5:$Y$2004,"&gt;0",'سجل التحفيز'!$B$5:$B$2004,B148)&gt;0,COUNT(S$4:S147)+1,""))</f>
        <v/>
      </c>
      <c r="T148">
        <f>IF(B148="","",IF(COUNTIFS('سجل التحفيز'!$Z$5:$Z$2004,"&gt;0",'سجل التحفيز'!$B$5:$B$2004,B148)&gt;0,COUNT(T$4:T147)+1,""))</f>
        <v/>
      </c>
      <c r="U148">
        <f>IF(B148="","",IF(COUNTIFS('سجل التحفيز'!$AA$5:$AA$2004,"&gt;0",'سجل التحفيز'!$B$5:$B$2004,B148)&gt;0,COUNT(U$4:U147)+1,""))</f>
        <v/>
      </c>
      <c r="V148">
        <f>IF(B148="","",IF(COUNTIFS('سجل التحفيز'!$AB$5:$AB$2004,"&gt;0",'سجل التحفيز'!$B$5:$B$2004,B148)&gt;0,COUNT(V$4:V147)+1,""))</f>
        <v/>
      </c>
      <c r="W148">
        <f>IF(B148="","",IF(COUNTIFS('سجل التحفيز'!$AC$5:$AC$2004,"&gt;0",'سجل التحفيز'!$B$5:$B$2004,B148)&gt;0,COUNT(W$4:W147)+1,""))</f>
        <v/>
      </c>
      <c r="X148">
        <f>IF(B148="","",IF(COUNTIFS('سجل التحفيز'!$AD$5:$AD$2004,"&gt;0",'سجل التحفيز'!$B$5:$B$2004,B148)&gt;0,COUNT(X$4:X147)+1,""))</f>
        <v/>
      </c>
      <c r="Y148">
        <f>IF(B148="","",IF(COUNTIFS('سجل التحفيز'!$AE$5:$AE$2004,"&gt;0",'سجل التحفيز'!$B$5:$B$2004,B148)&gt;0,COUNT(Y$4:Y147)+1,""))</f>
        <v/>
      </c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20">
        <f>IF(B149="","",COUNTIFS('سجل التحفيز'!$B$5:$B$2004,B149,'سجل التحفيز'!$R$5:$R$2004,الإعدادات!$B$4))</f>
        <v/>
      </c>
      <c r="I149" s="20">
        <f>IF(B149="","",COUNTIFS('سجل التحفيز'!$B$5:$B$2004,B149,'سجل التحفيز'!$R$5:$R$2004,الإعدادات!$B$4,'سجل التحفيز'!$Q$5:$Q$2004,"الفصل الأول",'سجل التحفيز'!$D$5:$D$2004,"ذهبي"))</f>
        <v/>
      </c>
      <c r="J149" s="20">
        <f>IF(B149="","",COUNTIFS('سجل التحفيز'!$B$5:$B$2004,B149,'سجل التحفيز'!$R$5:$R$2004,الإعدادات!$B$4,'سجل التحفيز'!$Q$5:$Q$2004,"الفصل الثاني",'سجل التحفيز'!$D$5:$D$2004,"ذهبي"))</f>
        <v/>
      </c>
      <c r="K149" s="20">
        <f>IF(B149="","",COUNTIFS('سجل التحفيز'!$B$5:$B$2004,B149,'سجل التحفيز'!$R$5:$R$2004,الإعدادات!$B$4,'سجل التحفيز'!$D$5:$D$2004,"ذهبي"))</f>
        <v/>
      </c>
      <c r="L149" s="20">
        <f>IF(B149="","",IF(G149="محرومة","محرومة - مخالفة",IF(K149&gt;=5,"مستحقة ★","متبقي "&amp;(5-K149)&amp;" معايير")))</f>
        <v/>
      </c>
      <c r="N149">
        <f>IF(B149="","",IF(COUNTIFS('سجل التحفيز'!$T$5:$T$2004,"&gt;0",'سجل التحفيز'!$B$5:$B$2004,B149)&gt;0,COUNT(N$4:N148)+1,""))</f>
        <v/>
      </c>
      <c r="O149">
        <f>IF(B149="","",IF(COUNTIFS('سجل التحفيز'!$U$5:$U$2004,"&gt;0",'سجل التحفيز'!$B$5:$B$2004,B149)&gt;0,COUNT(O$4:O148)+1,""))</f>
        <v/>
      </c>
      <c r="P149">
        <f>IF(B149="","",IF(COUNTIFS('سجل التحفيز'!$V$5:$V$2004,"&gt;0",'سجل التحفيز'!$B$5:$B$2004,B149)&gt;0,COUNT(P$4:P148)+1,""))</f>
        <v/>
      </c>
      <c r="Q149">
        <f>IF(B149="","",IF(COUNTIFS('سجل التحفيز'!$W$5:$W$2004,"&gt;0",'سجل التحفيز'!$B$5:$B$2004,B149)&gt;0,COUNT(Q$4:Q148)+1,""))</f>
        <v/>
      </c>
      <c r="R149">
        <f>IF(B149="","",IF(COUNTIFS('سجل التحفيز'!$X$5:$X$2004,"&gt;0",'سجل التحفيز'!$B$5:$B$2004,B149)&gt;0,COUNT(R$4:R148)+1,""))</f>
        <v/>
      </c>
      <c r="S149">
        <f>IF(B149="","",IF(COUNTIFS('سجل التحفيز'!$Y$5:$Y$2004,"&gt;0",'سجل التحفيز'!$B$5:$B$2004,B149)&gt;0,COUNT(S$4:S148)+1,""))</f>
        <v/>
      </c>
      <c r="T149">
        <f>IF(B149="","",IF(COUNTIFS('سجل التحفيز'!$Z$5:$Z$2004,"&gt;0",'سجل التحفيز'!$B$5:$B$2004,B149)&gt;0,COUNT(T$4:T148)+1,""))</f>
        <v/>
      </c>
      <c r="U149">
        <f>IF(B149="","",IF(COUNTIFS('سجل التحفيز'!$AA$5:$AA$2004,"&gt;0",'سجل التحفيز'!$B$5:$B$2004,B149)&gt;0,COUNT(U$4:U148)+1,""))</f>
        <v/>
      </c>
      <c r="V149">
        <f>IF(B149="","",IF(COUNTIFS('سجل التحفيز'!$AB$5:$AB$2004,"&gt;0",'سجل التحفيز'!$B$5:$B$2004,B149)&gt;0,COUNT(V$4:V148)+1,""))</f>
        <v/>
      </c>
      <c r="W149">
        <f>IF(B149="","",IF(COUNTIFS('سجل التحفيز'!$AC$5:$AC$2004,"&gt;0",'سجل التحفيز'!$B$5:$B$2004,B149)&gt;0,COUNT(W$4:W148)+1,""))</f>
        <v/>
      </c>
      <c r="X149">
        <f>IF(B149="","",IF(COUNTIFS('سجل التحفيز'!$AD$5:$AD$2004,"&gt;0",'سجل التحفيز'!$B$5:$B$2004,B149)&gt;0,COUNT(X$4:X148)+1,""))</f>
        <v/>
      </c>
      <c r="Y149">
        <f>IF(B149="","",IF(COUNTIFS('سجل التحفيز'!$AE$5:$AE$2004,"&gt;0",'سجل التحفيز'!$B$5:$B$2004,B149)&gt;0,COUNT(Y$4:Y148)+1,""))</f>
        <v/>
      </c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20">
        <f>IF(B150="","",COUNTIFS('سجل التحفيز'!$B$5:$B$2004,B150,'سجل التحفيز'!$R$5:$R$2004,الإعدادات!$B$4))</f>
        <v/>
      </c>
      <c r="I150" s="20">
        <f>IF(B150="","",COUNTIFS('سجل التحفيز'!$B$5:$B$2004,B150,'سجل التحفيز'!$R$5:$R$2004,الإعدادات!$B$4,'سجل التحفيز'!$Q$5:$Q$2004,"الفصل الأول",'سجل التحفيز'!$D$5:$D$2004,"ذهبي"))</f>
        <v/>
      </c>
      <c r="J150" s="20">
        <f>IF(B150="","",COUNTIFS('سجل التحفيز'!$B$5:$B$2004,B150,'سجل التحفيز'!$R$5:$R$2004,الإعدادات!$B$4,'سجل التحفيز'!$Q$5:$Q$2004,"الفصل الثاني",'سجل التحفيز'!$D$5:$D$2004,"ذهبي"))</f>
        <v/>
      </c>
      <c r="K150" s="20">
        <f>IF(B150="","",COUNTIFS('سجل التحفيز'!$B$5:$B$2004,B150,'سجل التحفيز'!$R$5:$R$2004,الإعدادات!$B$4,'سجل التحفيز'!$D$5:$D$2004,"ذهبي"))</f>
        <v/>
      </c>
      <c r="L150" s="20">
        <f>IF(B150="","",IF(G150="محرومة","محرومة - مخالفة",IF(K150&gt;=5,"مستحقة ★","متبقي "&amp;(5-K150)&amp;" معايير")))</f>
        <v/>
      </c>
      <c r="N150">
        <f>IF(B150="","",IF(COUNTIFS('سجل التحفيز'!$T$5:$T$2004,"&gt;0",'سجل التحفيز'!$B$5:$B$2004,B150)&gt;0,COUNT(N$4:N149)+1,""))</f>
        <v/>
      </c>
      <c r="O150">
        <f>IF(B150="","",IF(COUNTIFS('سجل التحفيز'!$U$5:$U$2004,"&gt;0",'سجل التحفيز'!$B$5:$B$2004,B150)&gt;0,COUNT(O$4:O149)+1,""))</f>
        <v/>
      </c>
      <c r="P150">
        <f>IF(B150="","",IF(COUNTIFS('سجل التحفيز'!$V$5:$V$2004,"&gt;0",'سجل التحفيز'!$B$5:$B$2004,B150)&gt;0,COUNT(P$4:P149)+1,""))</f>
        <v/>
      </c>
      <c r="Q150">
        <f>IF(B150="","",IF(COUNTIFS('سجل التحفيز'!$W$5:$W$2004,"&gt;0",'سجل التحفيز'!$B$5:$B$2004,B150)&gt;0,COUNT(Q$4:Q149)+1,""))</f>
        <v/>
      </c>
      <c r="R150">
        <f>IF(B150="","",IF(COUNTIFS('سجل التحفيز'!$X$5:$X$2004,"&gt;0",'سجل التحفيز'!$B$5:$B$2004,B150)&gt;0,COUNT(R$4:R149)+1,""))</f>
        <v/>
      </c>
      <c r="S150">
        <f>IF(B150="","",IF(COUNTIFS('سجل التحفيز'!$Y$5:$Y$2004,"&gt;0",'سجل التحفيز'!$B$5:$B$2004,B150)&gt;0,COUNT(S$4:S149)+1,""))</f>
        <v/>
      </c>
      <c r="T150">
        <f>IF(B150="","",IF(COUNTIFS('سجل التحفيز'!$Z$5:$Z$2004,"&gt;0",'سجل التحفيز'!$B$5:$B$2004,B150)&gt;0,COUNT(T$4:T149)+1,""))</f>
        <v/>
      </c>
      <c r="U150">
        <f>IF(B150="","",IF(COUNTIFS('سجل التحفيز'!$AA$5:$AA$2004,"&gt;0",'سجل التحفيز'!$B$5:$B$2004,B150)&gt;0,COUNT(U$4:U149)+1,""))</f>
        <v/>
      </c>
      <c r="V150">
        <f>IF(B150="","",IF(COUNTIFS('سجل التحفيز'!$AB$5:$AB$2004,"&gt;0",'سجل التحفيز'!$B$5:$B$2004,B150)&gt;0,COUNT(V$4:V149)+1,""))</f>
        <v/>
      </c>
      <c r="W150">
        <f>IF(B150="","",IF(COUNTIFS('سجل التحفيز'!$AC$5:$AC$2004,"&gt;0",'سجل التحفيز'!$B$5:$B$2004,B150)&gt;0,COUNT(W$4:W149)+1,""))</f>
        <v/>
      </c>
      <c r="X150">
        <f>IF(B150="","",IF(COUNTIFS('سجل التحفيز'!$AD$5:$AD$2004,"&gt;0",'سجل التحفيز'!$B$5:$B$2004,B150)&gt;0,COUNT(X$4:X149)+1,""))</f>
        <v/>
      </c>
      <c r="Y150">
        <f>IF(B150="","",IF(COUNTIFS('سجل التحفيز'!$AE$5:$AE$2004,"&gt;0",'سجل التحفيز'!$B$5:$B$2004,B150)&gt;0,COUNT(Y$4:Y149)+1,""))</f>
        <v/>
      </c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20">
        <f>IF(B151="","",COUNTIFS('سجل التحفيز'!$B$5:$B$2004,B151,'سجل التحفيز'!$R$5:$R$2004,الإعدادات!$B$4))</f>
        <v/>
      </c>
      <c r="I151" s="20">
        <f>IF(B151="","",COUNTIFS('سجل التحفيز'!$B$5:$B$2004,B151,'سجل التحفيز'!$R$5:$R$2004,الإعدادات!$B$4,'سجل التحفيز'!$Q$5:$Q$2004,"الفصل الأول",'سجل التحفيز'!$D$5:$D$2004,"ذهبي"))</f>
        <v/>
      </c>
      <c r="J151" s="20">
        <f>IF(B151="","",COUNTIFS('سجل التحفيز'!$B$5:$B$2004,B151,'سجل التحفيز'!$R$5:$R$2004,الإعدادات!$B$4,'سجل التحفيز'!$Q$5:$Q$2004,"الفصل الثاني",'سجل التحفيز'!$D$5:$D$2004,"ذهبي"))</f>
        <v/>
      </c>
      <c r="K151" s="20">
        <f>IF(B151="","",COUNTIFS('سجل التحفيز'!$B$5:$B$2004,B151,'سجل التحفيز'!$R$5:$R$2004,الإعدادات!$B$4,'سجل التحفيز'!$D$5:$D$2004,"ذهبي"))</f>
        <v/>
      </c>
      <c r="L151" s="20">
        <f>IF(B151="","",IF(G151="محرومة","محرومة - مخالفة",IF(K151&gt;=5,"مستحقة ★","متبقي "&amp;(5-K151)&amp;" معايير")))</f>
        <v/>
      </c>
      <c r="N151">
        <f>IF(B151="","",IF(COUNTIFS('سجل التحفيز'!$T$5:$T$2004,"&gt;0",'سجل التحفيز'!$B$5:$B$2004,B151)&gt;0,COUNT(N$4:N150)+1,""))</f>
        <v/>
      </c>
      <c r="O151">
        <f>IF(B151="","",IF(COUNTIFS('سجل التحفيز'!$U$5:$U$2004,"&gt;0",'سجل التحفيز'!$B$5:$B$2004,B151)&gt;0,COUNT(O$4:O150)+1,""))</f>
        <v/>
      </c>
      <c r="P151">
        <f>IF(B151="","",IF(COUNTIFS('سجل التحفيز'!$V$5:$V$2004,"&gt;0",'سجل التحفيز'!$B$5:$B$2004,B151)&gt;0,COUNT(P$4:P150)+1,""))</f>
        <v/>
      </c>
      <c r="Q151">
        <f>IF(B151="","",IF(COUNTIFS('سجل التحفيز'!$W$5:$W$2004,"&gt;0",'سجل التحفيز'!$B$5:$B$2004,B151)&gt;0,COUNT(Q$4:Q150)+1,""))</f>
        <v/>
      </c>
      <c r="R151">
        <f>IF(B151="","",IF(COUNTIFS('سجل التحفيز'!$X$5:$X$2004,"&gt;0",'سجل التحفيز'!$B$5:$B$2004,B151)&gt;0,COUNT(R$4:R150)+1,""))</f>
        <v/>
      </c>
      <c r="S151">
        <f>IF(B151="","",IF(COUNTIFS('سجل التحفيز'!$Y$5:$Y$2004,"&gt;0",'سجل التحفيز'!$B$5:$B$2004,B151)&gt;0,COUNT(S$4:S150)+1,""))</f>
        <v/>
      </c>
      <c r="T151">
        <f>IF(B151="","",IF(COUNTIFS('سجل التحفيز'!$Z$5:$Z$2004,"&gt;0",'سجل التحفيز'!$B$5:$B$2004,B151)&gt;0,COUNT(T$4:T150)+1,""))</f>
        <v/>
      </c>
      <c r="U151">
        <f>IF(B151="","",IF(COUNTIFS('سجل التحفيز'!$AA$5:$AA$2004,"&gt;0",'سجل التحفيز'!$B$5:$B$2004,B151)&gt;0,COUNT(U$4:U150)+1,""))</f>
        <v/>
      </c>
      <c r="V151">
        <f>IF(B151="","",IF(COUNTIFS('سجل التحفيز'!$AB$5:$AB$2004,"&gt;0",'سجل التحفيز'!$B$5:$B$2004,B151)&gt;0,COUNT(V$4:V150)+1,""))</f>
        <v/>
      </c>
      <c r="W151">
        <f>IF(B151="","",IF(COUNTIFS('سجل التحفيز'!$AC$5:$AC$2004,"&gt;0",'سجل التحفيز'!$B$5:$B$2004,B151)&gt;0,COUNT(W$4:W150)+1,""))</f>
        <v/>
      </c>
      <c r="X151">
        <f>IF(B151="","",IF(COUNTIFS('سجل التحفيز'!$AD$5:$AD$2004,"&gt;0",'سجل التحفيز'!$B$5:$B$2004,B151)&gt;0,COUNT(X$4:X150)+1,""))</f>
        <v/>
      </c>
      <c r="Y151">
        <f>IF(B151="","",IF(COUNTIFS('سجل التحفيز'!$AE$5:$AE$2004,"&gt;0",'سجل التحفيز'!$B$5:$B$2004,B151)&gt;0,COUNT(Y$4:Y150)+1,""))</f>
        <v/>
      </c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20">
        <f>IF(B152="","",COUNTIFS('سجل التحفيز'!$B$5:$B$2004,B152,'سجل التحفيز'!$R$5:$R$2004,الإعدادات!$B$4))</f>
        <v/>
      </c>
      <c r="I152" s="20">
        <f>IF(B152="","",COUNTIFS('سجل التحفيز'!$B$5:$B$2004,B152,'سجل التحفيز'!$R$5:$R$2004,الإعدادات!$B$4,'سجل التحفيز'!$Q$5:$Q$2004,"الفصل الأول",'سجل التحفيز'!$D$5:$D$2004,"ذهبي"))</f>
        <v/>
      </c>
      <c r="J152" s="20">
        <f>IF(B152="","",COUNTIFS('سجل التحفيز'!$B$5:$B$2004,B152,'سجل التحفيز'!$R$5:$R$2004,الإعدادات!$B$4,'سجل التحفيز'!$Q$5:$Q$2004,"الفصل الثاني",'سجل التحفيز'!$D$5:$D$2004,"ذهبي"))</f>
        <v/>
      </c>
      <c r="K152" s="20">
        <f>IF(B152="","",COUNTIFS('سجل التحفيز'!$B$5:$B$2004,B152,'سجل التحفيز'!$R$5:$R$2004,الإعدادات!$B$4,'سجل التحفيز'!$D$5:$D$2004,"ذهبي"))</f>
        <v/>
      </c>
      <c r="L152" s="20">
        <f>IF(B152="","",IF(G152="محرومة","محرومة - مخالفة",IF(K152&gt;=5,"مستحقة ★","متبقي "&amp;(5-K152)&amp;" معايير")))</f>
        <v/>
      </c>
      <c r="N152">
        <f>IF(B152="","",IF(COUNTIFS('سجل التحفيز'!$T$5:$T$2004,"&gt;0",'سجل التحفيز'!$B$5:$B$2004,B152)&gt;0,COUNT(N$4:N151)+1,""))</f>
        <v/>
      </c>
      <c r="O152">
        <f>IF(B152="","",IF(COUNTIFS('سجل التحفيز'!$U$5:$U$2004,"&gt;0",'سجل التحفيز'!$B$5:$B$2004,B152)&gt;0,COUNT(O$4:O151)+1,""))</f>
        <v/>
      </c>
      <c r="P152">
        <f>IF(B152="","",IF(COUNTIFS('سجل التحفيز'!$V$5:$V$2004,"&gt;0",'سجل التحفيز'!$B$5:$B$2004,B152)&gt;0,COUNT(P$4:P151)+1,""))</f>
        <v/>
      </c>
      <c r="Q152">
        <f>IF(B152="","",IF(COUNTIFS('سجل التحفيز'!$W$5:$W$2004,"&gt;0",'سجل التحفيز'!$B$5:$B$2004,B152)&gt;0,COUNT(Q$4:Q151)+1,""))</f>
        <v/>
      </c>
      <c r="R152">
        <f>IF(B152="","",IF(COUNTIFS('سجل التحفيز'!$X$5:$X$2004,"&gt;0",'سجل التحفيز'!$B$5:$B$2004,B152)&gt;0,COUNT(R$4:R151)+1,""))</f>
        <v/>
      </c>
      <c r="S152">
        <f>IF(B152="","",IF(COUNTIFS('سجل التحفيز'!$Y$5:$Y$2004,"&gt;0",'سجل التحفيز'!$B$5:$B$2004,B152)&gt;0,COUNT(S$4:S151)+1,""))</f>
        <v/>
      </c>
      <c r="T152">
        <f>IF(B152="","",IF(COUNTIFS('سجل التحفيز'!$Z$5:$Z$2004,"&gt;0",'سجل التحفيز'!$B$5:$B$2004,B152)&gt;0,COUNT(T$4:T151)+1,""))</f>
        <v/>
      </c>
      <c r="U152">
        <f>IF(B152="","",IF(COUNTIFS('سجل التحفيز'!$AA$5:$AA$2004,"&gt;0",'سجل التحفيز'!$B$5:$B$2004,B152)&gt;0,COUNT(U$4:U151)+1,""))</f>
        <v/>
      </c>
      <c r="V152">
        <f>IF(B152="","",IF(COUNTIFS('سجل التحفيز'!$AB$5:$AB$2004,"&gt;0",'سجل التحفيز'!$B$5:$B$2004,B152)&gt;0,COUNT(V$4:V151)+1,""))</f>
        <v/>
      </c>
      <c r="W152">
        <f>IF(B152="","",IF(COUNTIFS('سجل التحفيز'!$AC$5:$AC$2004,"&gt;0",'سجل التحفيز'!$B$5:$B$2004,B152)&gt;0,COUNT(W$4:W151)+1,""))</f>
        <v/>
      </c>
      <c r="X152">
        <f>IF(B152="","",IF(COUNTIFS('سجل التحفيز'!$AD$5:$AD$2004,"&gt;0",'سجل التحفيز'!$B$5:$B$2004,B152)&gt;0,COUNT(X$4:X151)+1,""))</f>
        <v/>
      </c>
      <c r="Y152">
        <f>IF(B152="","",IF(COUNTIFS('سجل التحفيز'!$AE$5:$AE$2004,"&gt;0",'سجل التحفيز'!$B$5:$B$2004,B152)&gt;0,COUNT(Y$4:Y151)+1,""))</f>
        <v/>
      </c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20">
        <f>IF(B153="","",COUNTIFS('سجل التحفيز'!$B$5:$B$2004,B153,'سجل التحفيز'!$R$5:$R$2004,الإعدادات!$B$4))</f>
        <v/>
      </c>
      <c r="I153" s="20">
        <f>IF(B153="","",COUNTIFS('سجل التحفيز'!$B$5:$B$2004,B153,'سجل التحفيز'!$R$5:$R$2004,الإعدادات!$B$4,'سجل التحفيز'!$Q$5:$Q$2004,"الفصل الأول",'سجل التحفيز'!$D$5:$D$2004,"ذهبي"))</f>
        <v/>
      </c>
      <c r="J153" s="20">
        <f>IF(B153="","",COUNTIFS('سجل التحفيز'!$B$5:$B$2004,B153,'سجل التحفيز'!$R$5:$R$2004,الإعدادات!$B$4,'سجل التحفيز'!$Q$5:$Q$2004,"الفصل الثاني",'سجل التحفيز'!$D$5:$D$2004,"ذهبي"))</f>
        <v/>
      </c>
      <c r="K153" s="20">
        <f>IF(B153="","",COUNTIFS('سجل التحفيز'!$B$5:$B$2004,B153,'سجل التحفيز'!$R$5:$R$2004,الإعدادات!$B$4,'سجل التحفيز'!$D$5:$D$2004,"ذهبي"))</f>
        <v/>
      </c>
      <c r="L153" s="20">
        <f>IF(B153="","",IF(G153="محرومة","محرومة - مخالفة",IF(K153&gt;=5,"مستحقة ★","متبقي "&amp;(5-K153)&amp;" معايير")))</f>
        <v/>
      </c>
      <c r="N153">
        <f>IF(B153="","",IF(COUNTIFS('سجل التحفيز'!$T$5:$T$2004,"&gt;0",'سجل التحفيز'!$B$5:$B$2004,B153)&gt;0,COUNT(N$4:N152)+1,""))</f>
        <v/>
      </c>
      <c r="O153">
        <f>IF(B153="","",IF(COUNTIFS('سجل التحفيز'!$U$5:$U$2004,"&gt;0",'سجل التحفيز'!$B$5:$B$2004,B153)&gt;0,COUNT(O$4:O152)+1,""))</f>
        <v/>
      </c>
      <c r="P153">
        <f>IF(B153="","",IF(COUNTIFS('سجل التحفيز'!$V$5:$V$2004,"&gt;0",'سجل التحفيز'!$B$5:$B$2004,B153)&gt;0,COUNT(P$4:P152)+1,""))</f>
        <v/>
      </c>
      <c r="Q153">
        <f>IF(B153="","",IF(COUNTIFS('سجل التحفيز'!$W$5:$W$2004,"&gt;0",'سجل التحفيز'!$B$5:$B$2004,B153)&gt;0,COUNT(Q$4:Q152)+1,""))</f>
        <v/>
      </c>
      <c r="R153">
        <f>IF(B153="","",IF(COUNTIFS('سجل التحفيز'!$X$5:$X$2004,"&gt;0",'سجل التحفيز'!$B$5:$B$2004,B153)&gt;0,COUNT(R$4:R152)+1,""))</f>
        <v/>
      </c>
      <c r="S153">
        <f>IF(B153="","",IF(COUNTIFS('سجل التحفيز'!$Y$5:$Y$2004,"&gt;0",'سجل التحفيز'!$B$5:$B$2004,B153)&gt;0,COUNT(S$4:S152)+1,""))</f>
        <v/>
      </c>
      <c r="T153">
        <f>IF(B153="","",IF(COUNTIFS('سجل التحفيز'!$Z$5:$Z$2004,"&gt;0",'سجل التحفيز'!$B$5:$B$2004,B153)&gt;0,COUNT(T$4:T152)+1,""))</f>
        <v/>
      </c>
      <c r="U153">
        <f>IF(B153="","",IF(COUNTIFS('سجل التحفيز'!$AA$5:$AA$2004,"&gt;0",'سجل التحفيز'!$B$5:$B$2004,B153)&gt;0,COUNT(U$4:U152)+1,""))</f>
        <v/>
      </c>
      <c r="V153">
        <f>IF(B153="","",IF(COUNTIFS('سجل التحفيز'!$AB$5:$AB$2004,"&gt;0",'سجل التحفيز'!$B$5:$B$2004,B153)&gt;0,COUNT(V$4:V152)+1,""))</f>
        <v/>
      </c>
      <c r="W153">
        <f>IF(B153="","",IF(COUNTIFS('سجل التحفيز'!$AC$5:$AC$2004,"&gt;0",'سجل التحفيز'!$B$5:$B$2004,B153)&gt;0,COUNT(W$4:W152)+1,""))</f>
        <v/>
      </c>
      <c r="X153">
        <f>IF(B153="","",IF(COUNTIFS('سجل التحفيز'!$AD$5:$AD$2004,"&gt;0",'سجل التحفيز'!$B$5:$B$2004,B153)&gt;0,COUNT(X$4:X152)+1,""))</f>
        <v/>
      </c>
      <c r="Y153">
        <f>IF(B153="","",IF(COUNTIFS('سجل التحفيز'!$AE$5:$AE$2004,"&gt;0",'سجل التحفيز'!$B$5:$B$2004,B153)&gt;0,COUNT(Y$4:Y152)+1,""))</f>
        <v/>
      </c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20">
        <f>IF(B154="","",COUNTIFS('سجل التحفيز'!$B$5:$B$2004,B154,'سجل التحفيز'!$R$5:$R$2004,الإعدادات!$B$4))</f>
        <v/>
      </c>
      <c r="I154" s="20">
        <f>IF(B154="","",COUNTIFS('سجل التحفيز'!$B$5:$B$2004,B154,'سجل التحفيز'!$R$5:$R$2004,الإعدادات!$B$4,'سجل التحفيز'!$Q$5:$Q$2004,"الفصل الأول",'سجل التحفيز'!$D$5:$D$2004,"ذهبي"))</f>
        <v/>
      </c>
      <c r="J154" s="20">
        <f>IF(B154="","",COUNTIFS('سجل التحفيز'!$B$5:$B$2004,B154,'سجل التحفيز'!$R$5:$R$2004,الإعدادات!$B$4,'سجل التحفيز'!$Q$5:$Q$2004,"الفصل الثاني",'سجل التحفيز'!$D$5:$D$2004,"ذهبي"))</f>
        <v/>
      </c>
      <c r="K154" s="20">
        <f>IF(B154="","",COUNTIFS('سجل التحفيز'!$B$5:$B$2004,B154,'سجل التحفيز'!$R$5:$R$2004,الإعدادات!$B$4,'سجل التحفيز'!$D$5:$D$2004,"ذهبي"))</f>
        <v/>
      </c>
      <c r="L154" s="20">
        <f>IF(B154="","",IF(G154="محرومة","محرومة - مخالفة",IF(K154&gt;=5,"مستحقة ★","متبقي "&amp;(5-K154)&amp;" معايير")))</f>
        <v/>
      </c>
      <c r="N154">
        <f>IF(B154="","",IF(COUNTIFS('سجل التحفيز'!$T$5:$T$2004,"&gt;0",'سجل التحفيز'!$B$5:$B$2004,B154)&gt;0,COUNT(N$4:N153)+1,""))</f>
        <v/>
      </c>
      <c r="O154">
        <f>IF(B154="","",IF(COUNTIFS('سجل التحفيز'!$U$5:$U$2004,"&gt;0",'سجل التحفيز'!$B$5:$B$2004,B154)&gt;0,COUNT(O$4:O153)+1,""))</f>
        <v/>
      </c>
      <c r="P154">
        <f>IF(B154="","",IF(COUNTIFS('سجل التحفيز'!$V$5:$V$2004,"&gt;0",'سجل التحفيز'!$B$5:$B$2004,B154)&gt;0,COUNT(P$4:P153)+1,""))</f>
        <v/>
      </c>
      <c r="Q154">
        <f>IF(B154="","",IF(COUNTIFS('سجل التحفيز'!$W$5:$W$2004,"&gt;0",'سجل التحفيز'!$B$5:$B$2004,B154)&gt;0,COUNT(Q$4:Q153)+1,""))</f>
        <v/>
      </c>
      <c r="R154">
        <f>IF(B154="","",IF(COUNTIFS('سجل التحفيز'!$X$5:$X$2004,"&gt;0",'سجل التحفيز'!$B$5:$B$2004,B154)&gt;0,COUNT(R$4:R153)+1,""))</f>
        <v/>
      </c>
      <c r="S154">
        <f>IF(B154="","",IF(COUNTIFS('سجل التحفيز'!$Y$5:$Y$2004,"&gt;0",'سجل التحفيز'!$B$5:$B$2004,B154)&gt;0,COUNT(S$4:S153)+1,""))</f>
        <v/>
      </c>
      <c r="T154">
        <f>IF(B154="","",IF(COUNTIFS('سجل التحفيز'!$Z$5:$Z$2004,"&gt;0",'سجل التحفيز'!$B$5:$B$2004,B154)&gt;0,COUNT(T$4:T153)+1,""))</f>
        <v/>
      </c>
      <c r="U154">
        <f>IF(B154="","",IF(COUNTIFS('سجل التحفيز'!$AA$5:$AA$2004,"&gt;0",'سجل التحفيز'!$B$5:$B$2004,B154)&gt;0,COUNT(U$4:U153)+1,""))</f>
        <v/>
      </c>
      <c r="V154">
        <f>IF(B154="","",IF(COUNTIFS('سجل التحفيز'!$AB$5:$AB$2004,"&gt;0",'سجل التحفيز'!$B$5:$B$2004,B154)&gt;0,COUNT(V$4:V153)+1,""))</f>
        <v/>
      </c>
      <c r="W154">
        <f>IF(B154="","",IF(COUNTIFS('سجل التحفيز'!$AC$5:$AC$2004,"&gt;0",'سجل التحفيز'!$B$5:$B$2004,B154)&gt;0,COUNT(W$4:W153)+1,""))</f>
        <v/>
      </c>
      <c r="X154">
        <f>IF(B154="","",IF(COUNTIFS('سجل التحفيز'!$AD$5:$AD$2004,"&gt;0",'سجل التحفيز'!$B$5:$B$2004,B154)&gt;0,COUNT(X$4:X153)+1,""))</f>
        <v/>
      </c>
      <c r="Y154">
        <f>IF(B154="","",IF(COUNTIFS('سجل التحفيز'!$AE$5:$AE$2004,"&gt;0",'سجل التحفيز'!$B$5:$B$2004,B154)&gt;0,COUNT(Y$4:Y153)+1,""))</f>
        <v/>
      </c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20">
        <f>IF(B155="","",COUNTIFS('سجل التحفيز'!$B$5:$B$2004,B155,'سجل التحفيز'!$R$5:$R$2004,الإعدادات!$B$4))</f>
        <v/>
      </c>
      <c r="I155" s="20">
        <f>IF(B155="","",COUNTIFS('سجل التحفيز'!$B$5:$B$2004,B155,'سجل التحفيز'!$R$5:$R$2004,الإعدادات!$B$4,'سجل التحفيز'!$Q$5:$Q$2004,"الفصل الأول",'سجل التحفيز'!$D$5:$D$2004,"ذهبي"))</f>
        <v/>
      </c>
      <c r="J155" s="20">
        <f>IF(B155="","",COUNTIFS('سجل التحفيز'!$B$5:$B$2004,B155,'سجل التحفيز'!$R$5:$R$2004,الإعدادات!$B$4,'سجل التحفيز'!$Q$5:$Q$2004,"الفصل الثاني",'سجل التحفيز'!$D$5:$D$2004,"ذهبي"))</f>
        <v/>
      </c>
      <c r="K155" s="20">
        <f>IF(B155="","",COUNTIFS('سجل التحفيز'!$B$5:$B$2004,B155,'سجل التحفيز'!$R$5:$R$2004,الإعدادات!$B$4,'سجل التحفيز'!$D$5:$D$2004,"ذهبي"))</f>
        <v/>
      </c>
      <c r="L155" s="20">
        <f>IF(B155="","",IF(G155="محرومة","محرومة - مخالفة",IF(K155&gt;=5,"مستحقة ★","متبقي "&amp;(5-K155)&amp;" معايير")))</f>
        <v/>
      </c>
      <c r="N155">
        <f>IF(B155="","",IF(COUNTIFS('سجل التحفيز'!$T$5:$T$2004,"&gt;0",'سجل التحفيز'!$B$5:$B$2004,B155)&gt;0,COUNT(N$4:N154)+1,""))</f>
        <v/>
      </c>
      <c r="O155">
        <f>IF(B155="","",IF(COUNTIFS('سجل التحفيز'!$U$5:$U$2004,"&gt;0",'سجل التحفيز'!$B$5:$B$2004,B155)&gt;0,COUNT(O$4:O154)+1,""))</f>
        <v/>
      </c>
      <c r="P155">
        <f>IF(B155="","",IF(COUNTIFS('سجل التحفيز'!$V$5:$V$2004,"&gt;0",'سجل التحفيز'!$B$5:$B$2004,B155)&gt;0,COUNT(P$4:P154)+1,""))</f>
        <v/>
      </c>
      <c r="Q155">
        <f>IF(B155="","",IF(COUNTIFS('سجل التحفيز'!$W$5:$W$2004,"&gt;0",'سجل التحفيز'!$B$5:$B$2004,B155)&gt;0,COUNT(Q$4:Q154)+1,""))</f>
        <v/>
      </c>
      <c r="R155">
        <f>IF(B155="","",IF(COUNTIFS('سجل التحفيز'!$X$5:$X$2004,"&gt;0",'سجل التحفيز'!$B$5:$B$2004,B155)&gt;0,COUNT(R$4:R154)+1,""))</f>
        <v/>
      </c>
      <c r="S155">
        <f>IF(B155="","",IF(COUNTIFS('سجل التحفيز'!$Y$5:$Y$2004,"&gt;0",'سجل التحفيز'!$B$5:$B$2004,B155)&gt;0,COUNT(S$4:S154)+1,""))</f>
        <v/>
      </c>
      <c r="T155">
        <f>IF(B155="","",IF(COUNTIFS('سجل التحفيز'!$Z$5:$Z$2004,"&gt;0",'سجل التحفيز'!$B$5:$B$2004,B155)&gt;0,COUNT(T$4:T154)+1,""))</f>
        <v/>
      </c>
      <c r="U155">
        <f>IF(B155="","",IF(COUNTIFS('سجل التحفيز'!$AA$5:$AA$2004,"&gt;0",'سجل التحفيز'!$B$5:$B$2004,B155)&gt;0,COUNT(U$4:U154)+1,""))</f>
        <v/>
      </c>
      <c r="V155">
        <f>IF(B155="","",IF(COUNTIFS('سجل التحفيز'!$AB$5:$AB$2004,"&gt;0",'سجل التحفيز'!$B$5:$B$2004,B155)&gt;0,COUNT(V$4:V154)+1,""))</f>
        <v/>
      </c>
      <c r="W155">
        <f>IF(B155="","",IF(COUNTIFS('سجل التحفيز'!$AC$5:$AC$2004,"&gt;0",'سجل التحفيز'!$B$5:$B$2004,B155)&gt;0,COUNT(W$4:W154)+1,""))</f>
        <v/>
      </c>
      <c r="X155">
        <f>IF(B155="","",IF(COUNTIFS('سجل التحفيز'!$AD$5:$AD$2004,"&gt;0",'سجل التحفيز'!$B$5:$B$2004,B155)&gt;0,COUNT(X$4:X154)+1,""))</f>
        <v/>
      </c>
      <c r="Y155">
        <f>IF(B155="","",IF(COUNTIFS('سجل التحفيز'!$AE$5:$AE$2004,"&gt;0",'سجل التحفيز'!$B$5:$B$2004,B155)&gt;0,COUNT(Y$4:Y154)+1,""))</f>
        <v/>
      </c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20">
        <f>IF(B156="","",COUNTIFS('سجل التحفيز'!$B$5:$B$2004,B156,'سجل التحفيز'!$R$5:$R$2004,الإعدادات!$B$4))</f>
        <v/>
      </c>
      <c r="I156" s="20">
        <f>IF(B156="","",COUNTIFS('سجل التحفيز'!$B$5:$B$2004,B156,'سجل التحفيز'!$R$5:$R$2004,الإعدادات!$B$4,'سجل التحفيز'!$Q$5:$Q$2004,"الفصل الأول",'سجل التحفيز'!$D$5:$D$2004,"ذهبي"))</f>
        <v/>
      </c>
      <c r="J156" s="20">
        <f>IF(B156="","",COUNTIFS('سجل التحفيز'!$B$5:$B$2004,B156,'سجل التحفيز'!$R$5:$R$2004,الإعدادات!$B$4,'سجل التحفيز'!$Q$5:$Q$2004,"الفصل الثاني",'سجل التحفيز'!$D$5:$D$2004,"ذهبي"))</f>
        <v/>
      </c>
      <c r="K156" s="20">
        <f>IF(B156="","",COUNTIFS('سجل التحفيز'!$B$5:$B$2004,B156,'سجل التحفيز'!$R$5:$R$2004,الإعدادات!$B$4,'سجل التحفيز'!$D$5:$D$2004,"ذهبي"))</f>
        <v/>
      </c>
      <c r="L156" s="20">
        <f>IF(B156="","",IF(G156="محرومة","محرومة - مخالفة",IF(K156&gt;=5,"مستحقة ★","متبقي "&amp;(5-K156)&amp;" معايير")))</f>
        <v/>
      </c>
      <c r="N156">
        <f>IF(B156="","",IF(COUNTIFS('سجل التحفيز'!$T$5:$T$2004,"&gt;0",'سجل التحفيز'!$B$5:$B$2004,B156)&gt;0,COUNT(N$4:N155)+1,""))</f>
        <v/>
      </c>
      <c r="O156">
        <f>IF(B156="","",IF(COUNTIFS('سجل التحفيز'!$U$5:$U$2004,"&gt;0",'سجل التحفيز'!$B$5:$B$2004,B156)&gt;0,COUNT(O$4:O155)+1,""))</f>
        <v/>
      </c>
      <c r="P156">
        <f>IF(B156="","",IF(COUNTIFS('سجل التحفيز'!$V$5:$V$2004,"&gt;0",'سجل التحفيز'!$B$5:$B$2004,B156)&gt;0,COUNT(P$4:P155)+1,""))</f>
        <v/>
      </c>
      <c r="Q156">
        <f>IF(B156="","",IF(COUNTIFS('سجل التحفيز'!$W$5:$W$2004,"&gt;0",'سجل التحفيز'!$B$5:$B$2004,B156)&gt;0,COUNT(Q$4:Q155)+1,""))</f>
        <v/>
      </c>
      <c r="R156">
        <f>IF(B156="","",IF(COUNTIFS('سجل التحفيز'!$X$5:$X$2004,"&gt;0",'سجل التحفيز'!$B$5:$B$2004,B156)&gt;0,COUNT(R$4:R155)+1,""))</f>
        <v/>
      </c>
      <c r="S156">
        <f>IF(B156="","",IF(COUNTIFS('سجل التحفيز'!$Y$5:$Y$2004,"&gt;0",'سجل التحفيز'!$B$5:$B$2004,B156)&gt;0,COUNT(S$4:S155)+1,""))</f>
        <v/>
      </c>
      <c r="T156">
        <f>IF(B156="","",IF(COUNTIFS('سجل التحفيز'!$Z$5:$Z$2004,"&gt;0",'سجل التحفيز'!$B$5:$B$2004,B156)&gt;0,COUNT(T$4:T155)+1,""))</f>
        <v/>
      </c>
      <c r="U156">
        <f>IF(B156="","",IF(COUNTIFS('سجل التحفيز'!$AA$5:$AA$2004,"&gt;0",'سجل التحفيز'!$B$5:$B$2004,B156)&gt;0,COUNT(U$4:U155)+1,""))</f>
        <v/>
      </c>
      <c r="V156">
        <f>IF(B156="","",IF(COUNTIFS('سجل التحفيز'!$AB$5:$AB$2004,"&gt;0",'سجل التحفيز'!$B$5:$B$2004,B156)&gt;0,COUNT(V$4:V155)+1,""))</f>
        <v/>
      </c>
      <c r="W156">
        <f>IF(B156="","",IF(COUNTIFS('سجل التحفيز'!$AC$5:$AC$2004,"&gt;0",'سجل التحفيز'!$B$5:$B$2004,B156)&gt;0,COUNT(W$4:W155)+1,""))</f>
        <v/>
      </c>
      <c r="X156">
        <f>IF(B156="","",IF(COUNTIFS('سجل التحفيز'!$AD$5:$AD$2004,"&gt;0",'سجل التحفيز'!$B$5:$B$2004,B156)&gt;0,COUNT(X$4:X155)+1,""))</f>
        <v/>
      </c>
      <c r="Y156">
        <f>IF(B156="","",IF(COUNTIFS('سجل التحفيز'!$AE$5:$AE$2004,"&gt;0",'سجل التحفيز'!$B$5:$B$2004,B156)&gt;0,COUNT(Y$4:Y155)+1,""))</f>
        <v/>
      </c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20">
        <f>IF(B157="","",COUNTIFS('سجل التحفيز'!$B$5:$B$2004,B157,'سجل التحفيز'!$R$5:$R$2004,الإعدادات!$B$4))</f>
        <v/>
      </c>
      <c r="I157" s="20">
        <f>IF(B157="","",COUNTIFS('سجل التحفيز'!$B$5:$B$2004,B157,'سجل التحفيز'!$R$5:$R$2004,الإعدادات!$B$4,'سجل التحفيز'!$Q$5:$Q$2004,"الفصل الأول",'سجل التحفيز'!$D$5:$D$2004,"ذهبي"))</f>
        <v/>
      </c>
      <c r="J157" s="20">
        <f>IF(B157="","",COUNTIFS('سجل التحفيز'!$B$5:$B$2004,B157,'سجل التحفيز'!$R$5:$R$2004,الإعدادات!$B$4,'سجل التحفيز'!$Q$5:$Q$2004,"الفصل الثاني",'سجل التحفيز'!$D$5:$D$2004,"ذهبي"))</f>
        <v/>
      </c>
      <c r="K157" s="20">
        <f>IF(B157="","",COUNTIFS('سجل التحفيز'!$B$5:$B$2004,B157,'سجل التحفيز'!$R$5:$R$2004,الإعدادات!$B$4,'سجل التحفيز'!$D$5:$D$2004,"ذهبي"))</f>
        <v/>
      </c>
      <c r="L157" s="20">
        <f>IF(B157="","",IF(G157="محرومة","محرومة - مخالفة",IF(K157&gt;=5,"مستحقة ★","متبقي "&amp;(5-K157)&amp;" معايير")))</f>
        <v/>
      </c>
      <c r="N157">
        <f>IF(B157="","",IF(COUNTIFS('سجل التحفيز'!$T$5:$T$2004,"&gt;0",'سجل التحفيز'!$B$5:$B$2004,B157)&gt;0,COUNT(N$4:N156)+1,""))</f>
        <v/>
      </c>
      <c r="O157">
        <f>IF(B157="","",IF(COUNTIFS('سجل التحفيز'!$U$5:$U$2004,"&gt;0",'سجل التحفيز'!$B$5:$B$2004,B157)&gt;0,COUNT(O$4:O156)+1,""))</f>
        <v/>
      </c>
      <c r="P157">
        <f>IF(B157="","",IF(COUNTIFS('سجل التحفيز'!$V$5:$V$2004,"&gt;0",'سجل التحفيز'!$B$5:$B$2004,B157)&gt;0,COUNT(P$4:P156)+1,""))</f>
        <v/>
      </c>
      <c r="Q157">
        <f>IF(B157="","",IF(COUNTIFS('سجل التحفيز'!$W$5:$W$2004,"&gt;0",'سجل التحفيز'!$B$5:$B$2004,B157)&gt;0,COUNT(Q$4:Q156)+1,""))</f>
        <v/>
      </c>
      <c r="R157">
        <f>IF(B157="","",IF(COUNTIFS('سجل التحفيز'!$X$5:$X$2004,"&gt;0",'سجل التحفيز'!$B$5:$B$2004,B157)&gt;0,COUNT(R$4:R156)+1,""))</f>
        <v/>
      </c>
      <c r="S157">
        <f>IF(B157="","",IF(COUNTIFS('سجل التحفيز'!$Y$5:$Y$2004,"&gt;0",'سجل التحفيز'!$B$5:$B$2004,B157)&gt;0,COUNT(S$4:S156)+1,""))</f>
        <v/>
      </c>
      <c r="T157">
        <f>IF(B157="","",IF(COUNTIFS('سجل التحفيز'!$Z$5:$Z$2004,"&gt;0",'سجل التحفيز'!$B$5:$B$2004,B157)&gt;0,COUNT(T$4:T156)+1,""))</f>
        <v/>
      </c>
      <c r="U157">
        <f>IF(B157="","",IF(COUNTIFS('سجل التحفيز'!$AA$5:$AA$2004,"&gt;0",'سجل التحفيز'!$B$5:$B$2004,B157)&gt;0,COUNT(U$4:U156)+1,""))</f>
        <v/>
      </c>
      <c r="V157">
        <f>IF(B157="","",IF(COUNTIFS('سجل التحفيز'!$AB$5:$AB$2004,"&gt;0",'سجل التحفيز'!$B$5:$B$2004,B157)&gt;0,COUNT(V$4:V156)+1,""))</f>
        <v/>
      </c>
      <c r="W157">
        <f>IF(B157="","",IF(COUNTIFS('سجل التحفيز'!$AC$5:$AC$2004,"&gt;0",'سجل التحفيز'!$B$5:$B$2004,B157)&gt;0,COUNT(W$4:W156)+1,""))</f>
        <v/>
      </c>
      <c r="X157">
        <f>IF(B157="","",IF(COUNTIFS('سجل التحفيز'!$AD$5:$AD$2004,"&gt;0",'سجل التحفيز'!$B$5:$B$2004,B157)&gt;0,COUNT(X$4:X156)+1,""))</f>
        <v/>
      </c>
      <c r="Y157">
        <f>IF(B157="","",IF(COUNTIFS('سجل التحفيز'!$AE$5:$AE$2004,"&gt;0",'سجل التحفيز'!$B$5:$B$2004,B157)&gt;0,COUNT(Y$4:Y156)+1,""))</f>
        <v/>
      </c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20">
        <f>IF(B158="","",COUNTIFS('سجل التحفيز'!$B$5:$B$2004,B158,'سجل التحفيز'!$R$5:$R$2004,الإعدادات!$B$4))</f>
        <v/>
      </c>
      <c r="I158" s="20">
        <f>IF(B158="","",COUNTIFS('سجل التحفيز'!$B$5:$B$2004,B158,'سجل التحفيز'!$R$5:$R$2004,الإعدادات!$B$4,'سجل التحفيز'!$Q$5:$Q$2004,"الفصل الأول",'سجل التحفيز'!$D$5:$D$2004,"ذهبي"))</f>
        <v/>
      </c>
      <c r="J158" s="20">
        <f>IF(B158="","",COUNTIFS('سجل التحفيز'!$B$5:$B$2004,B158,'سجل التحفيز'!$R$5:$R$2004,الإعدادات!$B$4,'سجل التحفيز'!$Q$5:$Q$2004,"الفصل الثاني",'سجل التحفيز'!$D$5:$D$2004,"ذهبي"))</f>
        <v/>
      </c>
      <c r="K158" s="20">
        <f>IF(B158="","",COUNTIFS('سجل التحفيز'!$B$5:$B$2004,B158,'سجل التحفيز'!$R$5:$R$2004,الإعدادات!$B$4,'سجل التحفيز'!$D$5:$D$2004,"ذهبي"))</f>
        <v/>
      </c>
      <c r="L158" s="20">
        <f>IF(B158="","",IF(G158="محرومة","محرومة - مخالفة",IF(K158&gt;=5,"مستحقة ★","متبقي "&amp;(5-K158)&amp;" معايير")))</f>
        <v/>
      </c>
      <c r="N158">
        <f>IF(B158="","",IF(COUNTIFS('سجل التحفيز'!$T$5:$T$2004,"&gt;0",'سجل التحفيز'!$B$5:$B$2004,B158)&gt;0,COUNT(N$4:N157)+1,""))</f>
        <v/>
      </c>
      <c r="O158">
        <f>IF(B158="","",IF(COUNTIFS('سجل التحفيز'!$U$5:$U$2004,"&gt;0",'سجل التحفيز'!$B$5:$B$2004,B158)&gt;0,COUNT(O$4:O157)+1,""))</f>
        <v/>
      </c>
      <c r="P158">
        <f>IF(B158="","",IF(COUNTIFS('سجل التحفيز'!$V$5:$V$2004,"&gt;0",'سجل التحفيز'!$B$5:$B$2004,B158)&gt;0,COUNT(P$4:P157)+1,""))</f>
        <v/>
      </c>
      <c r="Q158">
        <f>IF(B158="","",IF(COUNTIFS('سجل التحفيز'!$W$5:$W$2004,"&gt;0",'سجل التحفيز'!$B$5:$B$2004,B158)&gt;0,COUNT(Q$4:Q157)+1,""))</f>
        <v/>
      </c>
      <c r="R158">
        <f>IF(B158="","",IF(COUNTIFS('سجل التحفيز'!$X$5:$X$2004,"&gt;0",'سجل التحفيز'!$B$5:$B$2004,B158)&gt;0,COUNT(R$4:R157)+1,""))</f>
        <v/>
      </c>
      <c r="S158">
        <f>IF(B158="","",IF(COUNTIFS('سجل التحفيز'!$Y$5:$Y$2004,"&gt;0",'سجل التحفيز'!$B$5:$B$2004,B158)&gt;0,COUNT(S$4:S157)+1,""))</f>
        <v/>
      </c>
      <c r="T158">
        <f>IF(B158="","",IF(COUNTIFS('سجل التحفيز'!$Z$5:$Z$2004,"&gt;0",'سجل التحفيز'!$B$5:$B$2004,B158)&gt;0,COUNT(T$4:T157)+1,""))</f>
        <v/>
      </c>
      <c r="U158">
        <f>IF(B158="","",IF(COUNTIFS('سجل التحفيز'!$AA$5:$AA$2004,"&gt;0",'سجل التحفيز'!$B$5:$B$2004,B158)&gt;0,COUNT(U$4:U157)+1,""))</f>
        <v/>
      </c>
      <c r="V158">
        <f>IF(B158="","",IF(COUNTIFS('سجل التحفيز'!$AB$5:$AB$2004,"&gt;0",'سجل التحفيز'!$B$5:$B$2004,B158)&gt;0,COUNT(V$4:V157)+1,""))</f>
        <v/>
      </c>
      <c r="W158">
        <f>IF(B158="","",IF(COUNTIFS('سجل التحفيز'!$AC$5:$AC$2004,"&gt;0",'سجل التحفيز'!$B$5:$B$2004,B158)&gt;0,COUNT(W$4:W157)+1,""))</f>
        <v/>
      </c>
      <c r="X158">
        <f>IF(B158="","",IF(COUNTIFS('سجل التحفيز'!$AD$5:$AD$2004,"&gt;0",'سجل التحفيز'!$B$5:$B$2004,B158)&gt;0,COUNT(X$4:X157)+1,""))</f>
        <v/>
      </c>
      <c r="Y158">
        <f>IF(B158="","",IF(COUNTIFS('سجل التحفيز'!$AE$5:$AE$2004,"&gt;0",'سجل التحفيز'!$B$5:$B$2004,B158)&gt;0,COUNT(Y$4:Y157)+1,""))</f>
        <v/>
      </c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20">
        <f>IF(B159="","",COUNTIFS('سجل التحفيز'!$B$5:$B$2004,B159,'سجل التحفيز'!$R$5:$R$2004,الإعدادات!$B$4))</f>
        <v/>
      </c>
      <c r="I159" s="20">
        <f>IF(B159="","",COUNTIFS('سجل التحفيز'!$B$5:$B$2004,B159,'سجل التحفيز'!$R$5:$R$2004,الإعدادات!$B$4,'سجل التحفيز'!$Q$5:$Q$2004,"الفصل الأول",'سجل التحفيز'!$D$5:$D$2004,"ذهبي"))</f>
        <v/>
      </c>
      <c r="J159" s="20">
        <f>IF(B159="","",COUNTIFS('سجل التحفيز'!$B$5:$B$2004,B159,'سجل التحفيز'!$R$5:$R$2004,الإعدادات!$B$4,'سجل التحفيز'!$Q$5:$Q$2004,"الفصل الثاني",'سجل التحفيز'!$D$5:$D$2004,"ذهبي"))</f>
        <v/>
      </c>
      <c r="K159" s="20">
        <f>IF(B159="","",COUNTIFS('سجل التحفيز'!$B$5:$B$2004,B159,'سجل التحفيز'!$R$5:$R$2004,الإعدادات!$B$4,'سجل التحفيز'!$D$5:$D$2004,"ذهبي"))</f>
        <v/>
      </c>
      <c r="L159" s="20">
        <f>IF(B159="","",IF(G159="محرومة","محرومة - مخالفة",IF(K159&gt;=5,"مستحقة ★","متبقي "&amp;(5-K159)&amp;" معايير")))</f>
        <v/>
      </c>
      <c r="N159">
        <f>IF(B159="","",IF(COUNTIFS('سجل التحفيز'!$T$5:$T$2004,"&gt;0",'سجل التحفيز'!$B$5:$B$2004,B159)&gt;0,COUNT(N$4:N158)+1,""))</f>
        <v/>
      </c>
      <c r="O159">
        <f>IF(B159="","",IF(COUNTIFS('سجل التحفيز'!$U$5:$U$2004,"&gt;0",'سجل التحفيز'!$B$5:$B$2004,B159)&gt;0,COUNT(O$4:O158)+1,""))</f>
        <v/>
      </c>
      <c r="P159">
        <f>IF(B159="","",IF(COUNTIFS('سجل التحفيز'!$V$5:$V$2004,"&gt;0",'سجل التحفيز'!$B$5:$B$2004,B159)&gt;0,COUNT(P$4:P158)+1,""))</f>
        <v/>
      </c>
      <c r="Q159">
        <f>IF(B159="","",IF(COUNTIFS('سجل التحفيز'!$W$5:$W$2004,"&gt;0",'سجل التحفيز'!$B$5:$B$2004,B159)&gt;0,COUNT(Q$4:Q158)+1,""))</f>
        <v/>
      </c>
      <c r="R159">
        <f>IF(B159="","",IF(COUNTIFS('سجل التحفيز'!$X$5:$X$2004,"&gt;0",'سجل التحفيز'!$B$5:$B$2004,B159)&gt;0,COUNT(R$4:R158)+1,""))</f>
        <v/>
      </c>
      <c r="S159">
        <f>IF(B159="","",IF(COUNTIFS('سجل التحفيز'!$Y$5:$Y$2004,"&gt;0",'سجل التحفيز'!$B$5:$B$2004,B159)&gt;0,COUNT(S$4:S158)+1,""))</f>
        <v/>
      </c>
      <c r="T159">
        <f>IF(B159="","",IF(COUNTIFS('سجل التحفيز'!$Z$5:$Z$2004,"&gt;0",'سجل التحفيز'!$B$5:$B$2004,B159)&gt;0,COUNT(T$4:T158)+1,""))</f>
        <v/>
      </c>
      <c r="U159">
        <f>IF(B159="","",IF(COUNTIFS('سجل التحفيز'!$AA$5:$AA$2004,"&gt;0",'سجل التحفيز'!$B$5:$B$2004,B159)&gt;0,COUNT(U$4:U158)+1,""))</f>
        <v/>
      </c>
      <c r="V159">
        <f>IF(B159="","",IF(COUNTIFS('سجل التحفيز'!$AB$5:$AB$2004,"&gt;0",'سجل التحفيز'!$B$5:$B$2004,B159)&gt;0,COUNT(V$4:V158)+1,""))</f>
        <v/>
      </c>
      <c r="W159">
        <f>IF(B159="","",IF(COUNTIFS('سجل التحفيز'!$AC$5:$AC$2004,"&gt;0",'سجل التحفيز'!$B$5:$B$2004,B159)&gt;0,COUNT(W$4:W158)+1,""))</f>
        <v/>
      </c>
      <c r="X159">
        <f>IF(B159="","",IF(COUNTIFS('سجل التحفيز'!$AD$5:$AD$2004,"&gt;0",'سجل التحفيز'!$B$5:$B$2004,B159)&gt;0,COUNT(X$4:X158)+1,""))</f>
        <v/>
      </c>
      <c r="Y159">
        <f>IF(B159="","",IF(COUNTIFS('سجل التحفيز'!$AE$5:$AE$2004,"&gt;0",'سجل التحفيز'!$B$5:$B$2004,B159)&gt;0,COUNT(Y$4:Y158)+1,""))</f>
        <v/>
      </c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20">
        <f>IF(B160="","",COUNTIFS('سجل التحفيز'!$B$5:$B$2004,B160,'سجل التحفيز'!$R$5:$R$2004,الإعدادات!$B$4))</f>
        <v/>
      </c>
      <c r="I160" s="20">
        <f>IF(B160="","",COUNTIFS('سجل التحفيز'!$B$5:$B$2004,B160,'سجل التحفيز'!$R$5:$R$2004,الإعدادات!$B$4,'سجل التحفيز'!$Q$5:$Q$2004,"الفصل الأول",'سجل التحفيز'!$D$5:$D$2004,"ذهبي"))</f>
        <v/>
      </c>
      <c r="J160" s="20">
        <f>IF(B160="","",COUNTIFS('سجل التحفيز'!$B$5:$B$2004,B160,'سجل التحفيز'!$R$5:$R$2004,الإعدادات!$B$4,'سجل التحفيز'!$Q$5:$Q$2004,"الفصل الثاني",'سجل التحفيز'!$D$5:$D$2004,"ذهبي"))</f>
        <v/>
      </c>
      <c r="K160" s="20">
        <f>IF(B160="","",COUNTIFS('سجل التحفيز'!$B$5:$B$2004,B160,'سجل التحفيز'!$R$5:$R$2004,الإعدادات!$B$4,'سجل التحفيز'!$D$5:$D$2004,"ذهبي"))</f>
        <v/>
      </c>
      <c r="L160" s="20">
        <f>IF(B160="","",IF(G160="محرومة","محرومة - مخالفة",IF(K160&gt;=5,"مستحقة ★","متبقي "&amp;(5-K160)&amp;" معايير")))</f>
        <v/>
      </c>
      <c r="N160">
        <f>IF(B160="","",IF(COUNTIFS('سجل التحفيز'!$T$5:$T$2004,"&gt;0",'سجل التحفيز'!$B$5:$B$2004,B160)&gt;0,COUNT(N$4:N159)+1,""))</f>
        <v/>
      </c>
      <c r="O160">
        <f>IF(B160="","",IF(COUNTIFS('سجل التحفيز'!$U$5:$U$2004,"&gt;0",'سجل التحفيز'!$B$5:$B$2004,B160)&gt;0,COUNT(O$4:O159)+1,""))</f>
        <v/>
      </c>
      <c r="P160">
        <f>IF(B160="","",IF(COUNTIFS('سجل التحفيز'!$V$5:$V$2004,"&gt;0",'سجل التحفيز'!$B$5:$B$2004,B160)&gt;0,COUNT(P$4:P159)+1,""))</f>
        <v/>
      </c>
      <c r="Q160">
        <f>IF(B160="","",IF(COUNTIFS('سجل التحفيز'!$W$5:$W$2004,"&gt;0",'سجل التحفيز'!$B$5:$B$2004,B160)&gt;0,COUNT(Q$4:Q159)+1,""))</f>
        <v/>
      </c>
      <c r="R160">
        <f>IF(B160="","",IF(COUNTIFS('سجل التحفيز'!$X$5:$X$2004,"&gt;0",'سجل التحفيز'!$B$5:$B$2004,B160)&gt;0,COUNT(R$4:R159)+1,""))</f>
        <v/>
      </c>
      <c r="S160">
        <f>IF(B160="","",IF(COUNTIFS('سجل التحفيز'!$Y$5:$Y$2004,"&gt;0",'سجل التحفيز'!$B$5:$B$2004,B160)&gt;0,COUNT(S$4:S159)+1,""))</f>
        <v/>
      </c>
      <c r="T160">
        <f>IF(B160="","",IF(COUNTIFS('سجل التحفيز'!$Z$5:$Z$2004,"&gt;0",'سجل التحفيز'!$B$5:$B$2004,B160)&gt;0,COUNT(T$4:T159)+1,""))</f>
        <v/>
      </c>
      <c r="U160">
        <f>IF(B160="","",IF(COUNTIFS('سجل التحفيز'!$AA$5:$AA$2004,"&gt;0",'سجل التحفيز'!$B$5:$B$2004,B160)&gt;0,COUNT(U$4:U159)+1,""))</f>
        <v/>
      </c>
      <c r="V160">
        <f>IF(B160="","",IF(COUNTIFS('سجل التحفيز'!$AB$5:$AB$2004,"&gt;0",'سجل التحفيز'!$B$5:$B$2004,B160)&gt;0,COUNT(V$4:V159)+1,""))</f>
        <v/>
      </c>
      <c r="W160">
        <f>IF(B160="","",IF(COUNTIFS('سجل التحفيز'!$AC$5:$AC$2004,"&gt;0",'سجل التحفيز'!$B$5:$B$2004,B160)&gt;0,COUNT(W$4:W159)+1,""))</f>
        <v/>
      </c>
      <c r="X160">
        <f>IF(B160="","",IF(COUNTIFS('سجل التحفيز'!$AD$5:$AD$2004,"&gt;0",'سجل التحفيز'!$B$5:$B$2004,B160)&gt;0,COUNT(X$4:X159)+1,""))</f>
        <v/>
      </c>
      <c r="Y160">
        <f>IF(B160="","",IF(COUNTIFS('سجل التحفيز'!$AE$5:$AE$2004,"&gt;0",'سجل التحفيز'!$B$5:$B$2004,B160)&gt;0,COUNT(Y$4:Y159)+1,""))</f>
        <v/>
      </c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20">
        <f>IF(B161="","",COUNTIFS('سجل التحفيز'!$B$5:$B$2004,B161,'سجل التحفيز'!$R$5:$R$2004,الإعدادات!$B$4))</f>
        <v/>
      </c>
      <c r="I161" s="20">
        <f>IF(B161="","",COUNTIFS('سجل التحفيز'!$B$5:$B$2004,B161,'سجل التحفيز'!$R$5:$R$2004,الإعدادات!$B$4,'سجل التحفيز'!$Q$5:$Q$2004,"الفصل الأول",'سجل التحفيز'!$D$5:$D$2004,"ذهبي"))</f>
        <v/>
      </c>
      <c r="J161" s="20">
        <f>IF(B161="","",COUNTIFS('سجل التحفيز'!$B$5:$B$2004,B161,'سجل التحفيز'!$R$5:$R$2004,الإعدادات!$B$4,'سجل التحفيز'!$Q$5:$Q$2004,"الفصل الثاني",'سجل التحفيز'!$D$5:$D$2004,"ذهبي"))</f>
        <v/>
      </c>
      <c r="K161" s="20">
        <f>IF(B161="","",COUNTIFS('سجل التحفيز'!$B$5:$B$2004,B161,'سجل التحفيز'!$R$5:$R$2004,الإعدادات!$B$4,'سجل التحفيز'!$D$5:$D$2004,"ذهبي"))</f>
        <v/>
      </c>
      <c r="L161" s="20">
        <f>IF(B161="","",IF(G161="محرومة","محرومة - مخالفة",IF(K161&gt;=5,"مستحقة ★","متبقي "&amp;(5-K161)&amp;" معايير")))</f>
        <v/>
      </c>
      <c r="N161">
        <f>IF(B161="","",IF(COUNTIFS('سجل التحفيز'!$T$5:$T$2004,"&gt;0",'سجل التحفيز'!$B$5:$B$2004,B161)&gt;0,COUNT(N$4:N160)+1,""))</f>
        <v/>
      </c>
      <c r="O161">
        <f>IF(B161="","",IF(COUNTIFS('سجل التحفيز'!$U$5:$U$2004,"&gt;0",'سجل التحفيز'!$B$5:$B$2004,B161)&gt;0,COUNT(O$4:O160)+1,""))</f>
        <v/>
      </c>
      <c r="P161">
        <f>IF(B161="","",IF(COUNTIFS('سجل التحفيز'!$V$5:$V$2004,"&gt;0",'سجل التحفيز'!$B$5:$B$2004,B161)&gt;0,COUNT(P$4:P160)+1,""))</f>
        <v/>
      </c>
      <c r="Q161">
        <f>IF(B161="","",IF(COUNTIFS('سجل التحفيز'!$W$5:$W$2004,"&gt;0",'سجل التحفيز'!$B$5:$B$2004,B161)&gt;0,COUNT(Q$4:Q160)+1,""))</f>
        <v/>
      </c>
      <c r="R161">
        <f>IF(B161="","",IF(COUNTIFS('سجل التحفيز'!$X$5:$X$2004,"&gt;0",'سجل التحفيز'!$B$5:$B$2004,B161)&gt;0,COUNT(R$4:R160)+1,""))</f>
        <v/>
      </c>
      <c r="S161">
        <f>IF(B161="","",IF(COUNTIFS('سجل التحفيز'!$Y$5:$Y$2004,"&gt;0",'سجل التحفيز'!$B$5:$B$2004,B161)&gt;0,COUNT(S$4:S160)+1,""))</f>
        <v/>
      </c>
      <c r="T161">
        <f>IF(B161="","",IF(COUNTIFS('سجل التحفيز'!$Z$5:$Z$2004,"&gt;0",'سجل التحفيز'!$B$5:$B$2004,B161)&gt;0,COUNT(T$4:T160)+1,""))</f>
        <v/>
      </c>
      <c r="U161">
        <f>IF(B161="","",IF(COUNTIFS('سجل التحفيز'!$AA$5:$AA$2004,"&gt;0",'سجل التحفيز'!$B$5:$B$2004,B161)&gt;0,COUNT(U$4:U160)+1,""))</f>
        <v/>
      </c>
      <c r="V161">
        <f>IF(B161="","",IF(COUNTIFS('سجل التحفيز'!$AB$5:$AB$2004,"&gt;0",'سجل التحفيز'!$B$5:$B$2004,B161)&gt;0,COUNT(V$4:V160)+1,""))</f>
        <v/>
      </c>
      <c r="W161">
        <f>IF(B161="","",IF(COUNTIFS('سجل التحفيز'!$AC$5:$AC$2004,"&gt;0",'سجل التحفيز'!$B$5:$B$2004,B161)&gt;0,COUNT(W$4:W160)+1,""))</f>
        <v/>
      </c>
      <c r="X161">
        <f>IF(B161="","",IF(COUNTIFS('سجل التحفيز'!$AD$5:$AD$2004,"&gt;0",'سجل التحفيز'!$B$5:$B$2004,B161)&gt;0,COUNT(X$4:X160)+1,""))</f>
        <v/>
      </c>
      <c r="Y161">
        <f>IF(B161="","",IF(COUNTIFS('سجل التحفيز'!$AE$5:$AE$2004,"&gt;0",'سجل التحفيز'!$B$5:$B$2004,B161)&gt;0,COUNT(Y$4:Y160)+1,""))</f>
        <v/>
      </c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20">
        <f>IF(B162="","",COUNTIFS('سجل التحفيز'!$B$5:$B$2004,B162,'سجل التحفيز'!$R$5:$R$2004,الإعدادات!$B$4))</f>
        <v/>
      </c>
      <c r="I162" s="20">
        <f>IF(B162="","",COUNTIFS('سجل التحفيز'!$B$5:$B$2004,B162,'سجل التحفيز'!$R$5:$R$2004,الإعدادات!$B$4,'سجل التحفيز'!$Q$5:$Q$2004,"الفصل الأول",'سجل التحفيز'!$D$5:$D$2004,"ذهبي"))</f>
        <v/>
      </c>
      <c r="J162" s="20">
        <f>IF(B162="","",COUNTIFS('سجل التحفيز'!$B$5:$B$2004,B162,'سجل التحفيز'!$R$5:$R$2004,الإعدادات!$B$4,'سجل التحفيز'!$Q$5:$Q$2004,"الفصل الثاني",'سجل التحفيز'!$D$5:$D$2004,"ذهبي"))</f>
        <v/>
      </c>
      <c r="K162" s="20">
        <f>IF(B162="","",COUNTIFS('سجل التحفيز'!$B$5:$B$2004,B162,'سجل التحفيز'!$R$5:$R$2004,الإعدادات!$B$4,'سجل التحفيز'!$D$5:$D$2004,"ذهبي"))</f>
        <v/>
      </c>
      <c r="L162" s="20">
        <f>IF(B162="","",IF(G162="محرومة","محرومة - مخالفة",IF(K162&gt;=5,"مستحقة ★","متبقي "&amp;(5-K162)&amp;" معايير")))</f>
        <v/>
      </c>
      <c r="N162">
        <f>IF(B162="","",IF(COUNTIFS('سجل التحفيز'!$T$5:$T$2004,"&gt;0",'سجل التحفيز'!$B$5:$B$2004,B162)&gt;0,COUNT(N$4:N161)+1,""))</f>
        <v/>
      </c>
      <c r="O162">
        <f>IF(B162="","",IF(COUNTIFS('سجل التحفيز'!$U$5:$U$2004,"&gt;0",'سجل التحفيز'!$B$5:$B$2004,B162)&gt;0,COUNT(O$4:O161)+1,""))</f>
        <v/>
      </c>
      <c r="P162">
        <f>IF(B162="","",IF(COUNTIFS('سجل التحفيز'!$V$5:$V$2004,"&gt;0",'سجل التحفيز'!$B$5:$B$2004,B162)&gt;0,COUNT(P$4:P161)+1,""))</f>
        <v/>
      </c>
      <c r="Q162">
        <f>IF(B162="","",IF(COUNTIFS('سجل التحفيز'!$W$5:$W$2004,"&gt;0",'سجل التحفيز'!$B$5:$B$2004,B162)&gt;0,COUNT(Q$4:Q161)+1,""))</f>
        <v/>
      </c>
      <c r="R162">
        <f>IF(B162="","",IF(COUNTIFS('سجل التحفيز'!$X$5:$X$2004,"&gt;0",'سجل التحفيز'!$B$5:$B$2004,B162)&gt;0,COUNT(R$4:R161)+1,""))</f>
        <v/>
      </c>
      <c r="S162">
        <f>IF(B162="","",IF(COUNTIFS('سجل التحفيز'!$Y$5:$Y$2004,"&gt;0",'سجل التحفيز'!$B$5:$B$2004,B162)&gt;0,COUNT(S$4:S161)+1,""))</f>
        <v/>
      </c>
      <c r="T162">
        <f>IF(B162="","",IF(COUNTIFS('سجل التحفيز'!$Z$5:$Z$2004,"&gt;0",'سجل التحفيز'!$B$5:$B$2004,B162)&gt;0,COUNT(T$4:T161)+1,""))</f>
        <v/>
      </c>
      <c r="U162">
        <f>IF(B162="","",IF(COUNTIFS('سجل التحفيز'!$AA$5:$AA$2004,"&gt;0",'سجل التحفيز'!$B$5:$B$2004,B162)&gt;0,COUNT(U$4:U161)+1,""))</f>
        <v/>
      </c>
      <c r="V162">
        <f>IF(B162="","",IF(COUNTIFS('سجل التحفيز'!$AB$5:$AB$2004,"&gt;0",'سجل التحفيز'!$B$5:$B$2004,B162)&gt;0,COUNT(V$4:V161)+1,""))</f>
        <v/>
      </c>
      <c r="W162">
        <f>IF(B162="","",IF(COUNTIFS('سجل التحفيز'!$AC$5:$AC$2004,"&gt;0",'سجل التحفيز'!$B$5:$B$2004,B162)&gt;0,COUNT(W$4:W161)+1,""))</f>
        <v/>
      </c>
      <c r="X162">
        <f>IF(B162="","",IF(COUNTIFS('سجل التحفيز'!$AD$5:$AD$2004,"&gt;0",'سجل التحفيز'!$B$5:$B$2004,B162)&gt;0,COUNT(X$4:X161)+1,""))</f>
        <v/>
      </c>
      <c r="Y162">
        <f>IF(B162="","",IF(COUNTIFS('سجل التحفيز'!$AE$5:$AE$2004,"&gt;0",'سجل التحفيز'!$B$5:$B$2004,B162)&gt;0,COUNT(Y$4:Y161)+1,""))</f>
        <v/>
      </c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20">
        <f>IF(B163="","",COUNTIFS('سجل التحفيز'!$B$5:$B$2004,B163,'سجل التحفيز'!$R$5:$R$2004,الإعدادات!$B$4))</f>
        <v/>
      </c>
      <c r="I163" s="20">
        <f>IF(B163="","",COUNTIFS('سجل التحفيز'!$B$5:$B$2004,B163,'سجل التحفيز'!$R$5:$R$2004,الإعدادات!$B$4,'سجل التحفيز'!$Q$5:$Q$2004,"الفصل الأول",'سجل التحفيز'!$D$5:$D$2004,"ذهبي"))</f>
        <v/>
      </c>
      <c r="J163" s="20">
        <f>IF(B163="","",COUNTIFS('سجل التحفيز'!$B$5:$B$2004,B163,'سجل التحفيز'!$R$5:$R$2004,الإعدادات!$B$4,'سجل التحفيز'!$Q$5:$Q$2004,"الفصل الثاني",'سجل التحفيز'!$D$5:$D$2004,"ذهبي"))</f>
        <v/>
      </c>
      <c r="K163" s="20">
        <f>IF(B163="","",COUNTIFS('سجل التحفيز'!$B$5:$B$2004,B163,'سجل التحفيز'!$R$5:$R$2004,الإعدادات!$B$4,'سجل التحفيز'!$D$5:$D$2004,"ذهبي"))</f>
        <v/>
      </c>
      <c r="L163" s="20">
        <f>IF(B163="","",IF(G163="محرومة","محرومة - مخالفة",IF(K163&gt;=5,"مستحقة ★","متبقي "&amp;(5-K163)&amp;" معايير")))</f>
        <v/>
      </c>
      <c r="N163">
        <f>IF(B163="","",IF(COUNTIFS('سجل التحفيز'!$T$5:$T$2004,"&gt;0",'سجل التحفيز'!$B$5:$B$2004,B163)&gt;0,COUNT(N$4:N162)+1,""))</f>
        <v/>
      </c>
      <c r="O163">
        <f>IF(B163="","",IF(COUNTIFS('سجل التحفيز'!$U$5:$U$2004,"&gt;0",'سجل التحفيز'!$B$5:$B$2004,B163)&gt;0,COUNT(O$4:O162)+1,""))</f>
        <v/>
      </c>
      <c r="P163">
        <f>IF(B163="","",IF(COUNTIFS('سجل التحفيز'!$V$5:$V$2004,"&gt;0",'سجل التحفيز'!$B$5:$B$2004,B163)&gt;0,COUNT(P$4:P162)+1,""))</f>
        <v/>
      </c>
      <c r="Q163">
        <f>IF(B163="","",IF(COUNTIFS('سجل التحفيز'!$W$5:$W$2004,"&gt;0",'سجل التحفيز'!$B$5:$B$2004,B163)&gt;0,COUNT(Q$4:Q162)+1,""))</f>
        <v/>
      </c>
      <c r="R163">
        <f>IF(B163="","",IF(COUNTIFS('سجل التحفيز'!$X$5:$X$2004,"&gt;0",'سجل التحفيز'!$B$5:$B$2004,B163)&gt;0,COUNT(R$4:R162)+1,""))</f>
        <v/>
      </c>
      <c r="S163">
        <f>IF(B163="","",IF(COUNTIFS('سجل التحفيز'!$Y$5:$Y$2004,"&gt;0",'سجل التحفيز'!$B$5:$B$2004,B163)&gt;0,COUNT(S$4:S162)+1,""))</f>
        <v/>
      </c>
      <c r="T163">
        <f>IF(B163="","",IF(COUNTIFS('سجل التحفيز'!$Z$5:$Z$2004,"&gt;0",'سجل التحفيز'!$B$5:$B$2004,B163)&gt;0,COUNT(T$4:T162)+1,""))</f>
        <v/>
      </c>
      <c r="U163">
        <f>IF(B163="","",IF(COUNTIFS('سجل التحفيز'!$AA$5:$AA$2004,"&gt;0",'سجل التحفيز'!$B$5:$B$2004,B163)&gt;0,COUNT(U$4:U162)+1,""))</f>
        <v/>
      </c>
      <c r="V163">
        <f>IF(B163="","",IF(COUNTIFS('سجل التحفيز'!$AB$5:$AB$2004,"&gt;0",'سجل التحفيز'!$B$5:$B$2004,B163)&gt;0,COUNT(V$4:V162)+1,""))</f>
        <v/>
      </c>
      <c r="W163">
        <f>IF(B163="","",IF(COUNTIFS('سجل التحفيز'!$AC$5:$AC$2004,"&gt;0",'سجل التحفيز'!$B$5:$B$2004,B163)&gt;0,COUNT(W$4:W162)+1,""))</f>
        <v/>
      </c>
      <c r="X163">
        <f>IF(B163="","",IF(COUNTIFS('سجل التحفيز'!$AD$5:$AD$2004,"&gt;0",'سجل التحفيز'!$B$5:$B$2004,B163)&gt;0,COUNT(X$4:X162)+1,""))</f>
        <v/>
      </c>
      <c r="Y163">
        <f>IF(B163="","",IF(COUNTIFS('سجل التحفيز'!$AE$5:$AE$2004,"&gt;0",'سجل التحفيز'!$B$5:$B$2004,B163)&gt;0,COUNT(Y$4:Y162)+1,""))</f>
        <v/>
      </c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20">
        <f>IF(B164="","",COUNTIFS('سجل التحفيز'!$B$5:$B$2004,B164,'سجل التحفيز'!$R$5:$R$2004,الإعدادات!$B$4))</f>
        <v/>
      </c>
      <c r="I164" s="20">
        <f>IF(B164="","",COUNTIFS('سجل التحفيز'!$B$5:$B$2004,B164,'سجل التحفيز'!$R$5:$R$2004,الإعدادات!$B$4,'سجل التحفيز'!$Q$5:$Q$2004,"الفصل الأول",'سجل التحفيز'!$D$5:$D$2004,"ذهبي"))</f>
        <v/>
      </c>
      <c r="J164" s="20">
        <f>IF(B164="","",COUNTIFS('سجل التحفيز'!$B$5:$B$2004,B164,'سجل التحفيز'!$R$5:$R$2004,الإعدادات!$B$4,'سجل التحفيز'!$Q$5:$Q$2004,"الفصل الثاني",'سجل التحفيز'!$D$5:$D$2004,"ذهبي"))</f>
        <v/>
      </c>
      <c r="K164" s="20">
        <f>IF(B164="","",COUNTIFS('سجل التحفيز'!$B$5:$B$2004,B164,'سجل التحفيز'!$R$5:$R$2004,الإعدادات!$B$4,'سجل التحفيز'!$D$5:$D$2004,"ذهبي"))</f>
        <v/>
      </c>
      <c r="L164" s="20">
        <f>IF(B164="","",IF(G164="محرومة","محرومة - مخالفة",IF(K164&gt;=5,"مستحقة ★","متبقي "&amp;(5-K164)&amp;" معايير")))</f>
        <v/>
      </c>
      <c r="N164">
        <f>IF(B164="","",IF(COUNTIFS('سجل التحفيز'!$T$5:$T$2004,"&gt;0",'سجل التحفيز'!$B$5:$B$2004,B164)&gt;0,COUNT(N$4:N163)+1,""))</f>
        <v/>
      </c>
      <c r="O164">
        <f>IF(B164="","",IF(COUNTIFS('سجل التحفيز'!$U$5:$U$2004,"&gt;0",'سجل التحفيز'!$B$5:$B$2004,B164)&gt;0,COUNT(O$4:O163)+1,""))</f>
        <v/>
      </c>
      <c r="P164">
        <f>IF(B164="","",IF(COUNTIFS('سجل التحفيز'!$V$5:$V$2004,"&gt;0",'سجل التحفيز'!$B$5:$B$2004,B164)&gt;0,COUNT(P$4:P163)+1,""))</f>
        <v/>
      </c>
      <c r="Q164">
        <f>IF(B164="","",IF(COUNTIFS('سجل التحفيز'!$W$5:$W$2004,"&gt;0",'سجل التحفيز'!$B$5:$B$2004,B164)&gt;0,COUNT(Q$4:Q163)+1,""))</f>
        <v/>
      </c>
      <c r="R164">
        <f>IF(B164="","",IF(COUNTIFS('سجل التحفيز'!$X$5:$X$2004,"&gt;0",'سجل التحفيز'!$B$5:$B$2004,B164)&gt;0,COUNT(R$4:R163)+1,""))</f>
        <v/>
      </c>
      <c r="S164">
        <f>IF(B164="","",IF(COUNTIFS('سجل التحفيز'!$Y$5:$Y$2004,"&gt;0",'سجل التحفيز'!$B$5:$B$2004,B164)&gt;0,COUNT(S$4:S163)+1,""))</f>
        <v/>
      </c>
      <c r="T164">
        <f>IF(B164="","",IF(COUNTIFS('سجل التحفيز'!$Z$5:$Z$2004,"&gt;0",'سجل التحفيز'!$B$5:$B$2004,B164)&gt;0,COUNT(T$4:T163)+1,""))</f>
        <v/>
      </c>
      <c r="U164">
        <f>IF(B164="","",IF(COUNTIFS('سجل التحفيز'!$AA$5:$AA$2004,"&gt;0",'سجل التحفيز'!$B$5:$B$2004,B164)&gt;0,COUNT(U$4:U163)+1,""))</f>
        <v/>
      </c>
      <c r="V164">
        <f>IF(B164="","",IF(COUNTIFS('سجل التحفيز'!$AB$5:$AB$2004,"&gt;0",'سجل التحفيز'!$B$5:$B$2004,B164)&gt;0,COUNT(V$4:V163)+1,""))</f>
        <v/>
      </c>
      <c r="W164">
        <f>IF(B164="","",IF(COUNTIFS('سجل التحفيز'!$AC$5:$AC$2004,"&gt;0",'سجل التحفيز'!$B$5:$B$2004,B164)&gt;0,COUNT(W$4:W163)+1,""))</f>
        <v/>
      </c>
      <c r="X164">
        <f>IF(B164="","",IF(COUNTIFS('سجل التحفيز'!$AD$5:$AD$2004,"&gt;0",'سجل التحفيز'!$B$5:$B$2004,B164)&gt;0,COUNT(X$4:X163)+1,""))</f>
        <v/>
      </c>
      <c r="Y164">
        <f>IF(B164="","",IF(COUNTIFS('سجل التحفيز'!$AE$5:$AE$2004,"&gt;0",'سجل التحفيز'!$B$5:$B$2004,B164)&gt;0,COUNT(Y$4:Y163)+1,""))</f>
        <v/>
      </c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20">
        <f>IF(B165="","",COUNTIFS('سجل التحفيز'!$B$5:$B$2004,B165,'سجل التحفيز'!$R$5:$R$2004,الإعدادات!$B$4))</f>
        <v/>
      </c>
      <c r="I165" s="20">
        <f>IF(B165="","",COUNTIFS('سجل التحفيز'!$B$5:$B$2004,B165,'سجل التحفيز'!$R$5:$R$2004,الإعدادات!$B$4,'سجل التحفيز'!$Q$5:$Q$2004,"الفصل الأول",'سجل التحفيز'!$D$5:$D$2004,"ذهبي"))</f>
        <v/>
      </c>
      <c r="J165" s="20">
        <f>IF(B165="","",COUNTIFS('سجل التحفيز'!$B$5:$B$2004,B165,'سجل التحفيز'!$R$5:$R$2004,الإعدادات!$B$4,'سجل التحفيز'!$Q$5:$Q$2004,"الفصل الثاني",'سجل التحفيز'!$D$5:$D$2004,"ذهبي"))</f>
        <v/>
      </c>
      <c r="K165" s="20">
        <f>IF(B165="","",COUNTIFS('سجل التحفيز'!$B$5:$B$2004,B165,'سجل التحفيز'!$R$5:$R$2004,الإعدادات!$B$4,'سجل التحفيز'!$D$5:$D$2004,"ذهبي"))</f>
        <v/>
      </c>
      <c r="L165" s="20">
        <f>IF(B165="","",IF(G165="محرومة","محرومة - مخالفة",IF(K165&gt;=5,"مستحقة ★","متبقي "&amp;(5-K165)&amp;" معايير")))</f>
        <v/>
      </c>
      <c r="N165">
        <f>IF(B165="","",IF(COUNTIFS('سجل التحفيز'!$T$5:$T$2004,"&gt;0",'سجل التحفيز'!$B$5:$B$2004,B165)&gt;0,COUNT(N$4:N164)+1,""))</f>
        <v/>
      </c>
      <c r="O165">
        <f>IF(B165="","",IF(COUNTIFS('سجل التحفيز'!$U$5:$U$2004,"&gt;0",'سجل التحفيز'!$B$5:$B$2004,B165)&gt;0,COUNT(O$4:O164)+1,""))</f>
        <v/>
      </c>
      <c r="P165">
        <f>IF(B165="","",IF(COUNTIFS('سجل التحفيز'!$V$5:$V$2004,"&gt;0",'سجل التحفيز'!$B$5:$B$2004,B165)&gt;0,COUNT(P$4:P164)+1,""))</f>
        <v/>
      </c>
      <c r="Q165">
        <f>IF(B165="","",IF(COUNTIFS('سجل التحفيز'!$W$5:$W$2004,"&gt;0",'سجل التحفيز'!$B$5:$B$2004,B165)&gt;0,COUNT(Q$4:Q164)+1,""))</f>
        <v/>
      </c>
      <c r="R165">
        <f>IF(B165="","",IF(COUNTIFS('سجل التحفيز'!$X$5:$X$2004,"&gt;0",'سجل التحفيز'!$B$5:$B$2004,B165)&gt;0,COUNT(R$4:R164)+1,""))</f>
        <v/>
      </c>
      <c r="S165">
        <f>IF(B165="","",IF(COUNTIFS('سجل التحفيز'!$Y$5:$Y$2004,"&gt;0",'سجل التحفيز'!$B$5:$B$2004,B165)&gt;0,COUNT(S$4:S164)+1,""))</f>
        <v/>
      </c>
      <c r="T165">
        <f>IF(B165="","",IF(COUNTIFS('سجل التحفيز'!$Z$5:$Z$2004,"&gt;0",'سجل التحفيز'!$B$5:$B$2004,B165)&gt;0,COUNT(T$4:T164)+1,""))</f>
        <v/>
      </c>
      <c r="U165">
        <f>IF(B165="","",IF(COUNTIFS('سجل التحفيز'!$AA$5:$AA$2004,"&gt;0",'سجل التحفيز'!$B$5:$B$2004,B165)&gt;0,COUNT(U$4:U164)+1,""))</f>
        <v/>
      </c>
      <c r="V165">
        <f>IF(B165="","",IF(COUNTIFS('سجل التحفيز'!$AB$5:$AB$2004,"&gt;0",'سجل التحفيز'!$B$5:$B$2004,B165)&gt;0,COUNT(V$4:V164)+1,""))</f>
        <v/>
      </c>
      <c r="W165">
        <f>IF(B165="","",IF(COUNTIFS('سجل التحفيز'!$AC$5:$AC$2004,"&gt;0",'سجل التحفيز'!$B$5:$B$2004,B165)&gt;0,COUNT(W$4:W164)+1,""))</f>
        <v/>
      </c>
      <c r="X165">
        <f>IF(B165="","",IF(COUNTIFS('سجل التحفيز'!$AD$5:$AD$2004,"&gt;0",'سجل التحفيز'!$B$5:$B$2004,B165)&gt;0,COUNT(X$4:X164)+1,""))</f>
        <v/>
      </c>
      <c r="Y165">
        <f>IF(B165="","",IF(COUNTIFS('سجل التحفيز'!$AE$5:$AE$2004,"&gt;0",'سجل التحفيز'!$B$5:$B$2004,B165)&gt;0,COUNT(Y$4:Y164)+1,""))</f>
        <v/>
      </c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20">
        <f>IF(B166="","",COUNTIFS('سجل التحفيز'!$B$5:$B$2004,B166,'سجل التحفيز'!$R$5:$R$2004,الإعدادات!$B$4))</f>
        <v/>
      </c>
      <c r="I166" s="20">
        <f>IF(B166="","",COUNTIFS('سجل التحفيز'!$B$5:$B$2004,B166,'سجل التحفيز'!$R$5:$R$2004,الإعدادات!$B$4,'سجل التحفيز'!$Q$5:$Q$2004,"الفصل الأول",'سجل التحفيز'!$D$5:$D$2004,"ذهبي"))</f>
        <v/>
      </c>
      <c r="J166" s="20">
        <f>IF(B166="","",COUNTIFS('سجل التحفيز'!$B$5:$B$2004,B166,'سجل التحفيز'!$R$5:$R$2004,الإعدادات!$B$4,'سجل التحفيز'!$Q$5:$Q$2004,"الفصل الثاني",'سجل التحفيز'!$D$5:$D$2004,"ذهبي"))</f>
        <v/>
      </c>
      <c r="K166" s="20">
        <f>IF(B166="","",COUNTIFS('سجل التحفيز'!$B$5:$B$2004,B166,'سجل التحفيز'!$R$5:$R$2004,الإعدادات!$B$4,'سجل التحفيز'!$D$5:$D$2004,"ذهبي"))</f>
        <v/>
      </c>
      <c r="L166" s="20">
        <f>IF(B166="","",IF(G166="محرومة","محرومة - مخالفة",IF(K166&gt;=5,"مستحقة ★","متبقي "&amp;(5-K166)&amp;" معايير")))</f>
        <v/>
      </c>
      <c r="N166">
        <f>IF(B166="","",IF(COUNTIFS('سجل التحفيز'!$T$5:$T$2004,"&gt;0",'سجل التحفيز'!$B$5:$B$2004,B166)&gt;0,COUNT(N$4:N165)+1,""))</f>
        <v/>
      </c>
      <c r="O166">
        <f>IF(B166="","",IF(COUNTIFS('سجل التحفيز'!$U$5:$U$2004,"&gt;0",'سجل التحفيز'!$B$5:$B$2004,B166)&gt;0,COUNT(O$4:O165)+1,""))</f>
        <v/>
      </c>
      <c r="P166">
        <f>IF(B166="","",IF(COUNTIFS('سجل التحفيز'!$V$5:$V$2004,"&gt;0",'سجل التحفيز'!$B$5:$B$2004,B166)&gt;0,COUNT(P$4:P165)+1,""))</f>
        <v/>
      </c>
      <c r="Q166">
        <f>IF(B166="","",IF(COUNTIFS('سجل التحفيز'!$W$5:$W$2004,"&gt;0",'سجل التحفيز'!$B$5:$B$2004,B166)&gt;0,COUNT(Q$4:Q165)+1,""))</f>
        <v/>
      </c>
      <c r="R166">
        <f>IF(B166="","",IF(COUNTIFS('سجل التحفيز'!$X$5:$X$2004,"&gt;0",'سجل التحفيز'!$B$5:$B$2004,B166)&gt;0,COUNT(R$4:R165)+1,""))</f>
        <v/>
      </c>
      <c r="S166">
        <f>IF(B166="","",IF(COUNTIFS('سجل التحفيز'!$Y$5:$Y$2004,"&gt;0",'سجل التحفيز'!$B$5:$B$2004,B166)&gt;0,COUNT(S$4:S165)+1,""))</f>
        <v/>
      </c>
      <c r="T166">
        <f>IF(B166="","",IF(COUNTIFS('سجل التحفيز'!$Z$5:$Z$2004,"&gt;0",'سجل التحفيز'!$B$5:$B$2004,B166)&gt;0,COUNT(T$4:T165)+1,""))</f>
        <v/>
      </c>
      <c r="U166">
        <f>IF(B166="","",IF(COUNTIFS('سجل التحفيز'!$AA$5:$AA$2004,"&gt;0",'سجل التحفيز'!$B$5:$B$2004,B166)&gt;0,COUNT(U$4:U165)+1,""))</f>
        <v/>
      </c>
      <c r="V166">
        <f>IF(B166="","",IF(COUNTIFS('سجل التحفيز'!$AB$5:$AB$2004,"&gt;0",'سجل التحفيز'!$B$5:$B$2004,B166)&gt;0,COUNT(V$4:V165)+1,""))</f>
        <v/>
      </c>
      <c r="W166">
        <f>IF(B166="","",IF(COUNTIFS('سجل التحفيز'!$AC$5:$AC$2004,"&gt;0",'سجل التحفيز'!$B$5:$B$2004,B166)&gt;0,COUNT(W$4:W165)+1,""))</f>
        <v/>
      </c>
      <c r="X166">
        <f>IF(B166="","",IF(COUNTIFS('سجل التحفيز'!$AD$5:$AD$2004,"&gt;0",'سجل التحفيز'!$B$5:$B$2004,B166)&gt;0,COUNT(X$4:X165)+1,""))</f>
        <v/>
      </c>
      <c r="Y166">
        <f>IF(B166="","",IF(COUNTIFS('سجل التحفيز'!$AE$5:$AE$2004,"&gt;0",'سجل التحفيز'!$B$5:$B$2004,B166)&gt;0,COUNT(Y$4:Y165)+1,""))</f>
        <v/>
      </c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20">
        <f>IF(B167="","",COUNTIFS('سجل التحفيز'!$B$5:$B$2004,B167,'سجل التحفيز'!$R$5:$R$2004,الإعدادات!$B$4))</f>
        <v/>
      </c>
      <c r="I167" s="20">
        <f>IF(B167="","",COUNTIFS('سجل التحفيز'!$B$5:$B$2004,B167,'سجل التحفيز'!$R$5:$R$2004,الإعدادات!$B$4,'سجل التحفيز'!$Q$5:$Q$2004,"الفصل الأول",'سجل التحفيز'!$D$5:$D$2004,"ذهبي"))</f>
        <v/>
      </c>
      <c r="J167" s="20">
        <f>IF(B167="","",COUNTIFS('سجل التحفيز'!$B$5:$B$2004,B167,'سجل التحفيز'!$R$5:$R$2004,الإعدادات!$B$4,'سجل التحفيز'!$Q$5:$Q$2004,"الفصل الثاني",'سجل التحفيز'!$D$5:$D$2004,"ذهبي"))</f>
        <v/>
      </c>
      <c r="K167" s="20">
        <f>IF(B167="","",COUNTIFS('سجل التحفيز'!$B$5:$B$2004,B167,'سجل التحفيز'!$R$5:$R$2004,الإعدادات!$B$4,'سجل التحفيز'!$D$5:$D$2004,"ذهبي"))</f>
        <v/>
      </c>
      <c r="L167" s="20">
        <f>IF(B167="","",IF(G167="محرومة","محرومة - مخالفة",IF(K167&gt;=5,"مستحقة ★","متبقي "&amp;(5-K167)&amp;" معايير")))</f>
        <v/>
      </c>
      <c r="N167">
        <f>IF(B167="","",IF(COUNTIFS('سجل التحفيز'!$T$5:$T$2004,"&gt;0",'سجل التحفيز'!$B$5:$B$2004,B167)&gt;0,COUNT(N$4:N166)+1,""))</f>
        <v/>
      </c>
      <c r="O167">
        <f>IF(B167="","",IF(COUNTIFS('سجل التحفيز'!$U$5:$U$2004,"&gt;0",'سجل التحفيز'!$B$5:$B$2004,B167)&gt;0,COUNT(O$4:O166)+1,""))</f>
        <v/>
      </c>
      <c r="P167">
        <f>IF(B167="","",IF(COUNTIFS('سجل التحفيز'!$V$5:$V$2004,"&gt;0",'سجل التحفيز'!$B$5:$B$2004,B167)&gt;0,COUNT(P$4:P166)+1,""))</f>
        <v/>
      </c>
      <c r="Q167">
        <f>IF(B167="","",IF(COUNTIFS('سجل التحفيز'!$W$5:$W$2004,"&gt;0",'سجل التحفيز'!$B$5:$B$2004,B167)&gt;0,COUNT(Q$4:Q166)+1,""))</f>
        <v/>
      </c>
      <c r="R167">
        <f>IF(B167="","",IF(COUNTIFS('سجل التحفيز'!$X$5:$X$2004,"&gt;0",'سجل التحفيز'!$B$5:$B$2004,B167)&gt;0,COUNT(R$4:R166)+1,""))</f>
        <v/>
      </c>
      <c r="S167">
        <f>IF(B167="","",IF(COUNTIFS('سجل التحفيز'!$Y$5:$Y$2004,"&gt;0",'سجل التحفيز'!$B$5:$B$2004,B167)&gt;0,COUNT(S$4:S166)+1,""))</f>
        <v/>
      </c>
      <c r="T167">
        <f>IF(B167="","",IF(COUNTIFS('سجل التحفيز'!$Z$5:$Z$2004,"&gt;0",'سجل التحفيز'!$B$5:$B$2004,B167)&gt;0,COUNT(T$4:T166)+1,""))</f>
        <v/>
      </c>
      <c r="U167">
        <f>IF(B167="","",IF(COUNTIFS('سجل التحفيز'!$AA$5:$AA$2004,"&gt;0",'سجل التحفيز'!$B$5:$B$2004,B167)&gt;0,COUNT(U$4:U166)+1,""))</f>
        <v/>
      </c>
      <c r="V167">
        <f>IF(B167="","",IF(COUNTIFS('سجل التحفيز'!$AB$5:$AB$2004,"&gt;0",'سجل التحفيز'!$B$5:$B$2004,B167)&gt;0,COUNT(V$4:V166)+1,""))</f>
        <v/>
      </c>
      <c r="W167">
        <f>IF(B167="","",IF(COUNTIFS('سجل التحفيز'!$AC$5:$AC$2004,"&gt;0",'سجل التحفيز'!$B$5:$B$2004,B167)&gt;0,COUNT(W$4:W166)+1,""))</f>
        <v/>
      </c>
      <c r="X167">
        <f>IF(B167="","",IF(COUNTIFS('سجل التحفيز'!$AD$5:$AD$2004,"&gt;0",'سجل التحفيز'!$B$5:$B$2004,B167)&gt;0,COUNT(X$4:X166)+1,""))</f>
        <v/>
      </c>
      <c r="Y167">
        <f>IF(B167="","",IF(COUNTIFS('سجل التحفيز'!$AE$5:$AE$2004,"&gt;0",'سجل التحفيز'!$B$5:$B$2004,B167)&gt;0,COUNT(Y$4:Y166)+1,""))</f>
        <v/>
      </c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20">
        <f>IF(B168="","",COUNTIFS('سجل التحفيز'!$B$5:$B$2004,B168,'سجل التحفيز'!$R$5:$R$2004,الإعدادات!$B$4))</f>
        <v/>
      </c>
      <c r="I168" s="20">
        <f>IF(B168="","",COUNTIFS('سجل التحفيز'!$B$5:$B$2004,B168,'سجل التحفيز'!$R$5:$R$2004,الإعدادات!$B$4,'سجل التحفيز'!$Q$5:$Q$2004,"الفصل الأول",'سجل التحفيز'!$D$5:$D$2004,"ذهبي"))</f>
        <v/>
      </c>
      <c r="J168" s="20">
        <f>IF(B168="","",COUNTIFS('سجل التحفيز'!$B$5:$B$2004,B168,'سجل التحفيز'!$R$5:$R$2004,الإعدادات!$B$4,'سجل التحفيز'!$Q$5:$Q$2004,"الفصل الثاني",'سجل التحفيز'!$D$5:$D$2004,"ذهبي"))</f>
        <v/>
      </c>
      <c r="K168" s="20">
        <f>IF(B168="","",COUNTIFS('سجل التحفيز'!$B$5:$B$2004,B168,'سجل التحفيز'!$R$5:$R$2004,الإعدادات!$B$4,'سجل التحفيز'!$D$5:$D$2004,"ذهبي"))</f>
        <v/>
      </c>
      <c r="L168" s="20">
        <f>IF(B168="","",IF(G168="محرومة","محرومة - مخالفة",IF(K168&gt;=5,"مستحقة ★","متبقي "&amp;(5-K168)&amp;" معايير")))</f>
        <v/>
      </c>
      <c r="N168">
        <f>IF(B168="","",IF(COUNTIFS('سجل التحفيز'!$T$5:$T$2004,"&gt;0",'سجل التحفيز'!$B$5:$B$2004,B168)&gt;0,COUNT(N$4:N167)+1,""))</f>
        <v/>
      </c>
      <c r="O168">
        <f>IF(B168="","",IF(COUNTIFS('سجل التحفيز'!$U$5:$U$2004,"&gt;0",'سجل التحفيز'!$B$5:$B$2004,B168)&gt;0,COUNT(O$4:O167)+1,""))</f>
        <v/>
      </c>
      <c r="P168">
        <f>IF(B168="","",IF(COUNTIFS('سجل التحفيز'!$V$5:$V$2004,"&gt;0",'سجل التحفيز'!$B$5:$B$2004,B168)&gt;0,COUNT(P$4:P167)+1,""))</f>
        <v/>
      </c>
      <c r="Q168">
        <f>IF(B168="","",IF(COUNTIFS('سجل التحفيز'!$W$5:$W$2004,"&gt;0",'سجل التحفيز'!$B$5:$B$2004,B168)&gt;0,COUNT(Q$4:Q167)+1,""))</f>
        <v/>
      </c>
      <c r="R168">
        <f>IF(B168="","",IF(COUNTIFS('سجل التحفيز'!$X$5:$X$2004,"&gt;0",'سجل التحفيز'!$B$5:$B$2004,B168)&gt;0,COUNT(R$4:R167)+1,""))</f>
        <v/>
      </c>
      <c r="S168">
        <f>IF(B168="","",IF(COUNTIFS('سجل التحفيز'!$Y$5:$Y$2004,"&gt;0",'سجل التحفيز'!$B$5:$B$2004,B168)&gt;0,COUNT(S$4:S167)+1,""))</f>
        <v/>
      </c>
      <c r="T168">
        <f>IF(B168="","",IF(COUNTIFS('سجل التحفيز'!$Z$5:$Z$2004,"&gt;0",'سجل التحفيز'!$B$5:$B$2004,B168)&gt;0,COUNT(T$4:T167)+1,""))</f>
        <v/>
      </c>
      <c r="U168">
        <f>IF(B168="","",IF(COUNTIFS('سجل التحفيز'!$AA$5:$AA$2004,"&gt;0",'سجل التحفيز'!$B$5:$B$2004,B168)&gt;0,COUNT(U$4:U167)+1,""))</f>
        <v/>
      </c>
      <c r="V168">
        <f>IF(B168="","",IF(COUNTIFS('سجل التحفيز'!$AB$5:$AB$2004,"&gt;0",'سجل التحفيز'!$B$5:$B$2004,B168)&gt;0,COUNT(V$4:V167)+1,""))</f>
        <v/>
      </c>
      <c r="W168">
        <f>IF(B168="","",IF(COUNTIFS('سجل التحفيز'!$AC$5:$AC$2004,"&gt;0",'سجل التحفيز'!$B$5:$B$2004,B168)&gt;0,COUNT(W$4:W167)+1,""))</f>
        <v/>
      </c>
      <c r="X168">
        <f>IF(B168="","",IF(COUNTIFS('سجل التحفيز'!$AD$5:$AD$2004,"&gt;0",'سجل التحفيز'!$B$5:$B$2004,B168)&gt;0,COUNT(X$4:X167)+1,""))</f>
        <v/>
      </c>
      <c r="Y168">
        <f>IF(B168="","",IF(COUNTIFS('سجل التحفيز'!$AE$5:$AE$2004,"&gt;0",'سجل التحفيز'!$B$5:$B$2004,B168)&gt;0,COUNT(Y$4:Y167)+1,""))</f>
        <v/>
      </c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20">
        <f>IF(B169="","",COUNTIFS('سجل التحفيز'!$B$5:$B$2004,B169,'سجل التحفيز'!$R$5:$R$2004,الإعدادات!$B$4))</f>
        <v/>
      </c>
      <c r="I169" s="20">
        <f>IF(B169="","",COUNTIFS('سجل التحفيز'!$B$5:$B$2004,B169,'سجل التحفيز'!$R$5:$R$2004,الإعدادات!$B$4,'سجل التحفيز'!$Q$5:$Q$2004,"الفصل الأول",'سجل التحفيز'!$D$5:$D$2004,"ذهبي"))</f>
        <v/>
      </c>
      <c r="J169" s="20">
        <f>IF(B169="","",COUNTIFS('سجل التحفيز'!$B$5:$B$2004,B169,'سجل التحفيز'!$R$5:$R$2004,الإعدادات!$B$4,'سجل التحفيز'!$Q$5:$Q$2004,"الفصل الثاني",'سجل التحفيز'!$D$5:$D$2004,"ذهبي"))</f>
        <v/>
      </c>
      <c r="K169" s="20">
        <f>IF(B169="","",COUNTIFS('سجل التحفيز'!$B$5:$B$2004,B169,'سجل التحفيز'!$R$5:$R$2004,الإعدادات!$B$4,'سجل التحفيز'!$D$5:$D$2004,"ذهبي"))</f>
        <v/>
      </c>
      <c r="L169" s="20">
        <f>IF(B169="","",IF(G169="محرومة","محرومة - مخالفة",IF(K169&gt;=5,"مستحقة ★","متبقي "&amp;(5-K169)&amp;" معايير")))</f>
        <v/>
      </c>
      <c r="N169">
        <f>IF(B169="","",IF(COUNTIFS('سجل التحفيز'!$T$5:$T$2004,"&gt;0",'سجل التحفيز'!$B$5:$B$2004,B169)&gt;0,COUNT(N$4:N168)+1,""))</f>
        <v/>
      </c>
      <c r="O169">
        <f>IF(B169="","",IF(COUNTIFS('سجل التحفيز'!$U$5:$U$2004,"&gt;0",'سجل التحفيز'!$B$5:$B$2004,B169)&gt;0,COUNT(O$4:O168)+1,""))</f>
        <v/>
      </c>
      <c r="P169">
        <f>IF(B169="","",IF(COUNTIFS('سجل التحفيز'!$V$5:$V$2004,"&gt;0",'سجل التحفيز'!$B$5:$B$2004,B169)&gt;0,COUNT(P$4:P168)+1,""))</f>
        <v/>
      </c>
      <c r="Q169">
        <f>IF(B169="","",IF(COUNTIFS('سجل التحفيز'!$W$5:$W$2004,"&gt;0",'سجل التحفيز'!$B$5:$B$2004,B169)&gt;0,COUNT(Q$4:Q168)+1,""))</f>
        <v/>
      </c>
      <c r="R169">
        <f>IF(B169="","",IF(COUNTIFS('سجل التحفيز'!$X$5:$X$2004,"&gt;0",'سجل التحفيز'!$B$5:$B$2004,B169)&gt;0,COUNT(R$4:R168)+1,""))</f>
        <v/>
      </c>
      <c r="S169">
        <f>IF(B169="","",IF(COUNTIFS('سجل التحفيز'!$Y$5:$Y$2004,"&gt;0",'سجل التحفيز'!$B$5:$B$2004,B169)&gt;0,COUNT(S$4:S168)+1,""))</f>
        <v/>
      </c>
      <c r="T169">
        <f>IF(B169="","",IF(COUNTIFS('سجل التحفيز'!$Z$5:$Z$2004,"&gt;0",'سجل التحفيز'!$B$5:$B$2004,B169)&gt;0,COUNT(T$4:T168)+1,""))</f>
        <v/>
      </c>
      <c r="U169">
        <f>IF(B169="","",IF(COUNTIFS('سجل التحفيز'!$AA$5:$AA$2004,"&gt;0",'سجل التحفيز'!$B$5:$B$2004,B169)&gt;0,COUNT(U$4:U168)+1,""))</f>
        <v/>
      </c>
      <c r="V169">
        <f>IF(B169="","",IF(COUNTIFS('سجل التحفيز'!$AB$5:$AB$2004,"&gt;0",'سجل التحفيز'!$B$5:$B$2004,B169)&gt;0,COUNT(V$4:V168)+1,""))</f>
        <v/>
      </c>
      <c r="W169">
        <f>IF(B169="","",IF(COUNTIFS('سجل التحفيز'!$AC$5:$AC$2004,"&gt;0",'سجل التحفيز'!$B$5:$B$2004,B169)&gt;0,COUNT(W$4:W168)+1,""))</f>
        <v/>
      </c>
      <c r="X169">
        <f>IF(B169="","",IF(COUNTIFS('سجل التحفيز'!$AD$5:$AD$2004,"&gt;0",'سجل التحفيز'!$B$5:$B$2004,B169)&gt;0,COUNT(X$4:X168)+1,""))</f>
        <v/>
      </c>
      <c r="Y169">
        <f>IF(B169="","",IF(COUNTIFS('سجل التحفيز'!$AE$5:$AE$2004,"&gt;0",'سجل التحفيز'!$B$5:$B$2004,B169)&gt;0,COUNT(Y$4:Y168)+1,""))</f>
        <v/>
      </c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20">
        <f>IF(B170="","",COUNTIFS('سجل التحفيز'!$B$5:$B$2004,B170,'سجل التحفيز'!$R$5:$R$2004,الإعدادات!$B$4))</f>
        <v/>
      </c>
      <c r="I170" s="20">
        <f>IF(B170="","",COUNTIFS('سجل التحفيز'!$B$5:$B$2004,B170,'سجل التحفيز'!$R$5:$R$2004,الإعدادات!$B$4,'سجل التحفيز'!$Q$5:$Q$2004,"الفصل الأول",'سجل التحفيز'!$D$5:$D$2004,"ذهبي"))</f>
        <v/>
      </c>
      <c r="J170" s="20">
        <f>IF(B170="","",COUNTIFS('سجل التحفيز'!$B$5:$B$2004,B170,'سجل التحفيز'!$R$5:$R$2004,الإعدادات!$B$4,'سجل التحفيز'!$Q$5:$Q$2004,"الفصل الثاني",'سجل التحفيز'!$D$5:$D$2004,"ذهبي"))</f>
        <v/>
      </c>
      <c r="K170" s="20">
        <f>IF(B170="","",COUNTIFS('سجل التحفيز'!$B$5:$B$2004,B170,'سجل التحفيز'!$R$5:$R$2004,الإعدادات!$B$4,'سجل التحفيز'!$D$5:$D$2004,"ذهبي"))</f>
        <v/>
      </c>
      <c r="L170" s="20">
        <f>IF(B170="","",IF(G170="محرومة","محرومة - مخالفة",IF(K170&gt;=5,"مستحقة ★","متبقي "&amp;(5-K170)&amp;" معايير")))</f>
        <v/>
      </c>
      <c r="N170">
        <f>IF(B170="","",IF(COUNTIFS('سجل التحفيز'!$T$5:$T$2004,"&gt;0",'سجل التحفيز'!$B$5:$B$2004,B170)&gt;0,COUNT(N$4:N169)+1,""))</f>
        <v/>
      </c>
      <c r="O170">
        <f>IF(B170="","",IF(COUNTIFS('سجل التحفيز'!$U$5:$U$2004,"&gt;0",'سجل التحفيز'!$B$5:$B$2004,B170)&gt;0,COUNT(O$4:O169)+1,""))</f>
        <v/>
      </c>
      <c r="P170">
        <f>IF(B170="","",IF(COUNTIFS('سجل التحفيز'!$V$5:$V$2004,"&gt;0",'سجل التحفيز'!$B$5:$B$2004,B170)&gt;0,COUNT(P$4:P169)+1,""))</f>
        <v/>
      </c>
      <c r="Q170">
        <f>IF(B170="","",IF(COUNTIFS('سجل التحفيز'!$W$5:$W$2004,"&gt;0",'سجل التحفيز'!$B$5:$B$2004,B170)&gt;0,COUNT(Q$4:Q169)+1,""))</f>
        <v/>
      </c>
      <c r="R170">
        <f>IF(B170="","",IF(COUNTIFS('سجل التحفيز'!$X$5:$X$2004,"&gt;0",'سجل التحفيز'!$B$5:$B$2004,B170)&gt;0,COUNT(R$4:R169)+1,""))</f>
        <v/>
      </c>
      <c r="S170">
        <f>IF(B170="","",IF(COUNTIFS('سجل التحفيز'!$Y$5:$Y$2004,"&gt;0",'سجل التحفيز'!$B$5:$B$2004,B170)&gt;0,COUNT(S$4:S169)+1,""))</f>
        <v/>
      </c>
      <c r="T170">
        <f>IF(B170="","",IF(COUNTIFS('سجل التحفيز'!$Z$5:$Z$2004,"&gt;0",'سجل التحفيز'!$B$5:$B$2004,B170)&gt;0,COUNT(T$4:T169)+1,""))</f>
        <v/>
      </c>
      <c r="U170">
        <f>IF(B170="","",IF(COUNTIFS('سجل التحفيز'!$AA$5:$AA$2004,"&gt;0",'سجل التحفيز'!$B$5:$B$2004,B170)&gt;0,COUNT(U$4:U169)+1,""))</f>
        <v/>
      </c>
      <c r="V170">
        <f>IF(B170="","",IF(COUNTIFS('سجل التحفيز'!$AB$5:$AB$2004,"&gt;0",'سجل التحفيز'!$B$5:$B$2004,B170)&gt;0,COUNT(V$4:V169)+1,""))</f>
        <v/>
      </c>
      <c r="W170">
        <f>IF(B170="","",IF(COUNTIFS('سجل التحفيز'!$AC$5:$AC$2004,"&gt;0",'سجل التحفيز'!$B$5:$B$2004,B170)&gt;0,COUNT(W$4:W169)+1,""))</f>
        <v/>
      </c>
      <c r="X170">
        <f>IF(B170="","",IF(COUNTIFS('سجل التحفيز'!$AD$5:$AD$2004,"&gt;0",'سجل التحفيز'!$B$5:$B$2004,B170)&gt;0,COUNT(X$4:X169)+1,""))</f>
        <v/>
      </c>
      <c r="Y170">
        <f>IF(B170="","",IF(COUNTIFS('سجل التحفيز'!$AE$5:$AE$2004,"&gt;0",'سجل التحفيز'!$B$5:$B$2004,B170)&gt;0,COUNT(Y$4:Y169)+1,""))</f>
        <v/>
      </c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20">
        <f>IF(B171="","",COUNTIFS('سجل التحفيز'!$B$5:$B$2004,B171,'سجل التحفيز'!$R$5:$R$2004,الإعدادات!$B$4))</f>
        <v/>
      </c>
      <c r="I171" s="20">
        <f>IF(B171="","",COUNTIFS('سجل التحفيز'!$B$5:$B$2004,B171,'سجل التحفيز'!$R$5:$R$2004,الإعدادات!$B$4,'سجل التحفيز'!$Q$5:$Q$2004,"الفصل الأول",'سجل التحفيز'!$D$5:$D$2004,"ذهبي"))</f>
        <v/>
      </c>
      <c r="J171" s="20">
        <f>IF(B171="","",COUNTIFS('سجل التحفيز'!$B$5:$B$2004,B171,'سجل التحفيز'!$R$5:$R$2004,الإعدادات!$B$4,'سجل التحفيز'!$Q$5:$Q$2004,"الفصل الثاني",'سجل التحفيز'!$D$5:$D$2004,"ذهبي"))</f>
        <v/>
      </c>
      <c r="K171" s="20">
        <f>IF(B171="","",COUNTIFS('سجل التحفيز'!$B$5:$B$2004,B171,'سجل التحفيز'!$R$5:$R$2004,الإعدادات!$B$4,'سجل التحفيز'!$D$5:$D$2004,"ذهبي"))</f>
        <v/>
      </c>
      <c r="L171" s="20">
        <f>IF(B171="","",IF(G171="محرومة","محرومة - مخالفة",IF(K171&gt;=5,"مستحقة ★","متبقي "&amp;(5-K171)&amp;" معايير")))</f>
        <v/>
      </c>
      <c r="N171">
        <f>IF(B171="","",IF(COUNTIFS('سجل التحفيز'!$T$5:$T$2004,"&gt;0",'سجل التحفيز'!$B$5:$B$2004,B171)&gt;0,COUNT(N$4:N170)+1,""))</f>
        <v/>
      </c>
      <c r="O171">
        <f>IF(B171="","",IF(COUNTIFS('سجل التحفيز'!$U$5:$U$2004,"&gt;0",'سجل التحفيز'!$B$5:$B$2004,B171)&gt;0,COUNT(O$4:O170)+1,""))</f>
        <v/>
      </c>
      <c r="P171">
        <f>IF(B171="","",IF(COUNTIFS('سجل التحفيز'!$V$5:$V$2004,"&gt;0",'سجل التحفيز'!$B$5:$B$2004,B171)&gt;0,COUNT(P$4:P170)+1,""))</f>
        <v/>
      </c>
      <c r="Q171">
        <f>IF(B171="","",IF(COUNTIFS('سجل التحفيز'!$W$5:$W$2004,"&gt;0",'سجل التحفيز'!$B$5:$B$2004,B171)&gt;0,COUNT(Q$4:Q170)+1,""))</f>
        <v/>
      </c>
      <c r="R171">
        <f>IF(B171="","",IF(COUNTIFS('سجل التحفيز'!$X$5:$X$2004,"&gt;0",'سجل التحفيز'!$B$5:$B$2004,B171)&gt;0,COUNT(R$4:R170)+1,""))</f>
        <v/>
      </c>
      <c r="S171">
        <f>IF(B171="","",IF(COUNTIFS('سجل التحفيز'!$Y$5:$Y$2004,"&gt;0",'سجل التحفيز'!$B$5:$B$2004,B171)&gt;0,COUNT(S$4:S170)+1,""))</f>
        <v/>
      </c>
      <c r="T171">
        <f>IF(B171="","",IF(COUNTIFS('سجل التحفيز'!$Z$5:$Z$2004,"&gt;0",'سجل التحفيز'!$B$5:$B$2004,B171)&gt;0,COUNT(T$4:T170)+1,""))</f>
        <v/>
      </c>
      <c r="U171">
        <f>IF(B171="","",IF(COUNTIFS('سجل التحفيز'!$AA$5:$AA$2004,"&gt;0",'سجل التحفيز'!$B$5:$B$2004,B171)&gt;0,COUNT(U$4:U170)+1,""))</f>
        <v/>
      </c>
      <c r="V171">
        <f>IF(B171="","",IF(COUNTIFS('سجل التحفيز'!$AB$5:$AB$2004,"&gt;0",'سجل التحفيز'!$B$5:$B$2004,B171)&gt;0,COUNT(V$4:V170)+1,""))</f>
        <v/>
      </c>
      <c r="W171">
        <f>IF(B171="","",IF(COUNTIFS('سجل التحفيز'!$AC$5:$AC$2004,"&gt;0",'سجل التحفيز'!$B$5:$B$2004,B171)&gt;0,COUNT(W$4:W170)+1,""))</f>
        <v/>
      </c>
      <c r="X171">
        <f>IF(B171="","",IF(COUNTIFS('سجل التحفيز'!$AD$5:$AD$2004,"&gt;0",'سجل التحفيز'!$B$5:$B$2004,B171)&gt;0,COUNT(X$4:X170)+1,""))</f>
        <v/>
      </c>
      <c r="Y171">
        <f>IF(B171="","",IF(COUNTIFS('سجل التحفيز'!$AE$5:$AE$2004,"&gt;0",'سجل التحفيز'!$B$5:$B$2004,B171)&gt;0,COUNT(Y$4:Y170)+1,""))</f>
        <v/>
      </c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20">
        <f>IF(B172="","",COUNTIFS('سجل التحفيز'!$B$5:$B$2004,B172,'سجل التحفيز'!$R$5:$R$2004,الإعدادات!$B$4))</f>
        <v/>
      </c>
      <c r="I172" s="20">
        <f>IF(B172="","",COUNTIFS('سجل التحفيز'!$B$5:$B$2004,B172,'سجل التحفيز'!$R$5:$R$2004,الإعدادات!$B$4,'سجل التحفيز'!$Q$5:$Q$2004,"الفصل الأول",'سجل التحفيز'!$D$5:$D$2004,"ذهبي"))</f>
        <v/>
      </c>
      <c r="J172" s="20">
        <f>IF(B172="","",COUNTIFS('سجل التحفيز'!$B$5:$B$2004,B172,'سجل التحفيز'!$R$5:$R$2004,الإعدادات!$B$4,'سجل التحفيز'!$Q$5:$Q$2004,"الفصل الثاني",'سجل التحفيز'!$D$5:$D$2004,"ذهبي"))</f>
        <v/>
      </c>
      <c r="K172" s="20">
        <f>IF(B172="","",COUNTIFS('سجل التحفيز'!$B$5:$B$2004,B172,'سجل التحفيز'!$R$5:$R$2004,الإعدادات!$B$4,'سجل التحفيز'!$D$5:$D$2004,"ذهبي"))</f>
        <v/>
      </c>
      <c r="L172" s="20">
        <f>IF(B172="","",IF(G172="محرومة","محرومة - مخالفة",IF(K172&gt;=5,"مستحقة ★","متبقي "&amp;(5-K172)&amp;" معايير")))</f>
        <v/>
      </c>
      <c r="N172">
        <f>IF(B172="","",IF(COUNTIFS('سجل التحفيز'!$T$5:$T$2004,"&gt;0",'سجل التحفيز'!$B$5:$B$2004,B172)&gt;0,COUNT(N$4:N171)+1,""))</f>
        <v/>
      </c>
      <c r="O172">
        <f>IF(B172="","",IF(COUNTIFS('سجل التحفيز'!$U$5:$U$2004,"&gt;0",'سجل التحفيز'!$B$5:$B$2004,B172)&gt;0,COUNT(O$4:O171)+1,""))</f>
        <v/>
      </c>
      <c r="P172">
        <f>IF(B172="","",IF(COUNTIFS('سجل التحفيز'!$V$5:$V$2004,"&gt;0",'سجل التحفيز'!$B$5:$B$2004,B172)&gt;0,COUNT(P$4:P171)+1,""))</f>
        <v/>
      </c>
      <c r="Q172">
        <f>IF(B172="","",IF(COUNTIFS('سجل التحفيز'!$W$5:$W$2004,"&gt;0",'سجل التحفيز'!$B$5:$B$2004,B172)&gt;0,COUNT(Q$4:Q171)+1,""))</f>
        <v/>
      </c>
      <c r="R172">
        <f>IF(B172="","",IF(COUNTIFS('سجل التحفيز'!$X$5:$X$2004,"&gt;0",'سجل التحفيز'!$B$5:$B$2004,B172)&gt;0,COUNT(R$4:R171)+1,""))</f>
        <v/>
      </c>
      <c r="S172">
        <f>IF(B172="","",IF(COUNTIFS('سجل التحفيز'!$Y$5:$Y$2004,"&gt;0",'سجل التحفيز'!$B$5:$B$2004,B172)&gt;0,COUNT(S$4:S171)+1,""))</f>
        <v/>
      </c>
      <c r="T172">
        <f>IF(B172="","",IF(COUNTIFS('سجل التحفيز'!$Z$5:$Z$2004,"&gt;0",'سجل التحفيز'!$B$5:$B$2004,B172)&gt;0,COUNT(T$4:T171)+1,""))</f>
        <v/>
      </c>
      <c r="U172">
        <f>IF(B172="","",IF(COUNTIFS('سجل التحفيز'!$AA$5:$AA$2004,"&gt;0",'سجل التحفيز'!$B$5:$B$2004,B172)&gt;0,COUNT(U$4:U171)+1,""))</f>
        <v/>
      </c>
      <c r="V172">
        <f>IF(B172="","",IF(COUNTIFS('سجل التحفيز'!$AB$5:$AB$2004,"&gt;0",'سجل التحفيز'!$B$5:$B$2004,B172)&gt;0,COUNT(V$4:V171)+1,""))</f>
        <v/>
      </c>
      <c r="W172">
        <f>IF(B172="","",IF(COUNTIFS('سجل التحفيز'!$AC$5:$AC$2004,"&gt;0",'سجل التحفيز'!$B$5:$B$2004,B172)&gt;0,COUNT(W$4:W171)+1,""))</f>
        <v/>
      </c>
      <c r="X172">
        <f>IF(B172="","",IF(COUNTIFS('سجل التحفيز'!$AD$5:$AD$2004,"&gt;0",'سجل التحفيز'!$B$5:$B$2004,B172)&gt;0,COUNT(X$4:X171)+1,""))</f>
        <v/>
      </c>
      <c r="Y172">
        <f>IF(B172="","",IF(COUNTIFS('سجل التحفيز'!$AE$5:$AE$2004,"&gt;0",'سجل التحفيز'!$B$5:$B$2004,B172)&gt;0,COUNT(Y$4:Y171)+1,""))</f>
        <v/>
      </c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20">
        <f>IF(B173="","",COUNTIFS('سجل التحفيز'!$B$5:$B$2004,B173,'سجل التحفيز'!$R$5:$R$2004,الإعدادات!$B$4))</f>
        <v/>
      </c>
      <c r="I173" s="20">
        <f>IF(B173="","",COUNTIFS('سجل التحفيز'!$B$5:$B$2004,B173,'سجل التحفيز'!$R$5:$R$2004,الإعدادات!$B$4,'سجل التحفيز'!$Q$5:$Q$2004,"الفصل الأول",'سجل التحفيز'!$D$5:$D$2004,"ذهبي"))</f>
        <v/>
      </c>
      <c r="J173" s="20">
        <f>IF(B173="","",COUNTIFS('سجل التحفيز'!$B$5:$B$2004,B173,'سجل التحفيز'!$R$5:$R$2004,الإعدادات!$B$4,'سجل التحفيز'!$Q$5:$Q$2004,"الفصل الثاني",'سجل التحفيز'!$D$5:$D$2004,"ذهبي"))</f>
        <v/>
      </c>
      <c r="K173" s="20">
        <f>IF(B173="","",COUNTIFS('سجل التحفيز'!$B$5:$B$2004,B173,'سجل التحفيز'!$R$5:$R$2004,الإعدادات!$B$4,'سجل التحفيز'!$D$5:$D$2004,"ذهبي"))</f>
        <v/>
      </c>
      <c r="L173" s="20">
        <f>IF(B173="","",IF(G173="محرومة","محرومة - مخالفة",IF(K173&gt;=5,"مستحقة ★","متبقي "&amp;(5-K173)&amp;" معايير")))</f>
        <v/>
      </c>
      <c r="N173">
        <f>IF(B173="","",IF(COUNTIFS('سجل التحفيز'!$T$5:$T$2004,"&gt;0",'سجل التحفيز'!$B$5:$B$2004,B173)&gt;0,COUNT(N$4:N172)+1,""))</f>
        <v/>
      </c>
      <c r="O173">
        <f>IF(B173="","",IF(COUNTIFS('سجل التحفيز'!$U$5:$U$2004,"&gt;0",'سجل التحفيز'!$B$5:$B$2004,B173)&gt;0,COUNT(O$4:O172)+1,""))</f>
        <v/>
      </c>
      <c r="P173">
        <f>IF(B173="","",IF(COUNTIFS('سجل التحفيز'!$V$5:$V$2004,"&gt;0",'سجل التحفيز'!$B$5:$B$2004,B173)&gt;0,COUNT(P$4:P172)+1,""))</f>
        <v/>
      </c>
      <c r="Q173">
        <f>IF(B173="","",IF(COUNTIFS('سجل التحفيز'!$W$5:$W$2004,"&gt;0",'سجل التحفيز'!$B$5:$B$2004,B173)&gt;0,COUNT(Q$4:Q172)+1,""))</f>
        <v/>
      </c>
      <c r="R173">
        <f>IF(B173="","",IF(COUNTIFS('سجل التحفيز'!$X$5:$X$2004,"&gt;0",'سجل التحفيز'!$B$5:$B$2004,B173)&gt;0,COUNT(R$4:R172)+1,""))</f>
        <v/>
      </c>
      <c r="S173">
        <f>IF(B173="","",IF(COUNTIFS('سجل التحفيز'!$Y$5:$Y$2004,"&gt;0",'سجل التحفيز'!$B$5:$B$2004,B173)&gt;0,COUNT(S$4:S172)+1,""))</f>
        <v/>
      </c>
      <c r="T173">
        <f>IF(B173="","",IF(COUNTIFS('سجل التحفيز'!$Z$5:$Z$2004,"&gt;0",'سجل التحفيز'!$B$5:$B$2004,B173)&gt;0,COUNT(T$4:T172)+1,""))</f>
        <v/>
      </c>
      <c r="U173">
        <f>IF(B173="","",IF(COUNTIFS('سجل التحفيز'!$AA$5:$AA$2004,"&gt;0",'سجل التحفيز'!$B$5:$B$2004,B173)&gt;0,COUNT(U$4:U172)+1,""))</f>
        <v/>
      </c>
      <c r="V173">
        <f>IF(B173="","",IF(COUNTIFS('سجل التحفيز'!$AB$5:$AB$2004,"&gt;0",'سجل التحفيز'!$B$5:$B$2004,B173)&gt;0,COUNT(V$4:V172)+1,""))</f>
        <v/>
      </c>
      <c r="W173">
        <f>IF(B173="","",IF(COUNTIFS('سجل التحفيز'!$AC$5:$AC$2004,"&gt;0",'سجل التحفيز'!$B$5:$B$2004,B173)&gt;0,COUNT(W$4:W172)+1,""))</f>
        <v/>
      </c>
      <c r="X173">
        <f>IF(B173="","",IF(COUNTIFS('سجل التحفيز'!$AD$5:$AD$2004,"&gt;0",'سجل التحفيز'!$B$5:$B$2004,B173)&gt;0,COUNT(X$4:X172)+1,""))</f>
        <v/>
      </c>
      <c r="Y173">
        <f>IF(B173="","",IF(COUNTIFS('سجل التحفيز'!$AE$5:$AE$2004,"&gt;0",'سجل التحفيز'!$B$5:$B$2004,B173)&gt;0,COUNT(Y$4:Y172)+1,""))</f>
        <v/>
      </c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20">
        <f>IF(B174="","",COUNTIFS('سجل التحفيز'!$B$5:$B$2004,B174,'سجل التحفيز'!$R$5:$R$2004,الإعدادات!$B$4))</f>
        <v/>
      </c>
      <c r="I174" s="20">
        <f>IF(B174="","",COUNTIFS('سجل التحفيز'!$B$5:$B$2004,B174,'سجل التحفيز'!$R$5:$R$2004,الإعدادات!$B$4,'سجل التحفيز'!$Q$5:$Q$2004,"الفصل الأول",'سجل التحفيز'!$D$5:$D$2004,"ذهبي"))</f>
        <v/>
      </c>
      <c r="J174" s="20">
        <f>IF(B174="","",COUNTIFS('سجل التحفيز'!$B$5:$B$2004,B174,'سجل التحفيز'!$R$5:$R$2004,الإعدادات!$B$4,'سجل التحفيز'!$Q$5:$Q$2004,"الفصل الثاني",'سجل التحفيز'!$D$5:$D$2004,"ذهبي"))</f>
        <v/>
      </c>
      <c r="K174" s="20">
        <f>IF(B174="","",COUNTIFS('سجل التحفيز'!$B$5:$B$2004,B174,'سجل التحفيز'!$R$5:$R$2004,الإعدادات!$B$4,'سجل التحفيز'!$D$5:$D$2004,"ذهبي"))</f>
        <v/>
      </c>
      <c r="L174" s="20">
        <f>IF(B174="","",IF(G174="محرومة","محرومة - مخالفة",IF(K174&gt;=5,"مستحقة ★","متبقي "&amp;(5-K174)&amp;" معايير")))</f>
        <v/>
      </c>
      <c r="N174">
        <f>IF(B174="","",IF(COUNTIFS('سجل التحفيز'!$T$5:$T$2004,"&gt;0",'سجل التحفيز'!$B$5:$B$2004,B174)&gt;0,COUNT(N$4:N173)+1,""))</f>
        <v/>
      </c>
      <c r="O174">
        <f>IF(B174="","",IF(COUNTIFS('سجل التحفيز'!$U$5:$U$2004,"&gt;0",'سجل التحفيز'!$B$5:$B$2004,B174)&gt;0,COUNT(O$4:O173)+1,""))</f>
        <v/>
      </c>
      <c r="P174">
        <f>IF(B174="","",IF(COUNTIFS('سجل التحفيز'!$V$5:$V$2004,"&gt;0",'سجل التحفيز'!$B$5:$B$2004,B174)&gt;0,COUNT(P$4:P173)+1,""))</f>
        <v/>
      </c>
      <c r="Q174">
        <f>IF(B174="","",IF(COUNTIFS('سجل التحفيز'!$W$5:$W$2004,"&gt;0",'سجل التحفيز'!$B$5:$B$2004,B174)&gt;0,COUNT(Q$4:Q173)+1,""))</f>
        <v/>
      </c>
      <c r="R174">
        <f>IF(B174="","",IF(COUNTIFS('سجل التحفيز'!$X$5:$X$2004,"&gt;0",'سجل التحفيز'!$B$5:$B$2004,B174)&gt;0,COUNT(R$4:R173)+1,""))</f>
        <v/>
      </c>
      <c r="S174">
        <f>IF(B174="","",IF(COUNTIFS('سجل التحفيز'!$Y$5:$Y$2004,"&gt;0",'سجل التحفيز'!$B$5:$B$2004,B174)&gt;0,COUNT(S$4:S173)+1,""))</f>
        <v/>
      </c>
      <c r="T174">
        <f>IF(B174="","",IF(COUNTIFS('سجل التحفيز'!$Z$5:$Z$2004,"&gt;0",'سجل التحفيز'!$B$5:$B$2004,B174)&gt;0,COUNT(T$4:T173)+1,""))</f>
        <v/>
      </c>
      <c r="U174">
        <f>IF(B174="","",IF(COUNTIFS('سجل التحفيز'!$AA$5:$AA$2004,"&gt;0",'سجل التحفيز'!$B$5:$B$2004,B174)&gt;0,COUNT(U$4:U173)+1,""))</f>
        <v/>
      </c>
      <c r="V174">
        <f>IF(B174="","",IF(COUNTIFS('سجل التحفيز'!$AB$5:$AB$2004,"&gt;0",'سجل التحفيز'!$B$5:$B$2004,B174)&gt;0,COUNT(V$4:V173)+1,""))</f>
        <v/>
      </c>
      <c r="W174">
        <f>IF(B174="","",IF(COUNTIFS('سجل التحفيز'!$AC$5:$AC$2004,"&gt;0",'سجل التحفيز'!$B$5:$B$2004,B174)&gt;0,COUNT(W$4:W173)+1,""))</f>
        <v/>
      </c>
      <c r="X174">
        <f>IF(B174="","",IF(COUNTIFS('سجل التحفيز'!$AD$5:$AD$2004,"&gt;0",'سجل التحفيز'!$B$5:$B$2004,B174)&gt;0,COUNT(X$4:X173)+1,""))</f>
        <v/>
      </c>
      <c r="Y174">
        <f>IF(B174="","",IF(COUNTIFS('سجل التحفيز'!$AE$5:$AE$2004,"&gt;0",'سجل التحفيز'!$B$5:$B$2004,B174)&gt;0,COUNT(Y$4:Y173)+1,""))</f>
        <v/>
      </c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20">
        <f>IF(B175="","",COUNTIFS('سجل التحفيز'!$B$5:$B$2004,B175,'سجل التحفيز'!$R$5:$R$2004,الإعدادات!$B$4))</f>
        <v/>
      </c>
      <c r="I175" s="20">
        <f>IF(B175="","",COUNTIFS('سجل التحفيز'!$B$5:$B$2004,B175,'سجل التحفيز'!$R$5:$R$2004,الإعدادات!$B$4,'سجل التحفيز'!$Q$5:$Q$2004,"الفصل الأول",'سجل التحفيز'!$D$5:$D$2004,"ذهبي"))</f>
        <v/>
      </c>
      <c r="J175" s="20">
        <f>IF(B175="","",COUNTIFS('سجل التحفيز'!$B$5:$B$2004,B175,'سجل التحفيز'!$R$5:$R$2004,الإعدادات!$B$4,'سجل التحفيز'!$Q$5:$Q$2004,"الفصل الثاني",'سجل التحفيز'!$D$5:$D$2004,"ذهبي"))</f>
        <v/>
      </c>
      <c r="K175" s="20">
        <f>IF(B175="","",COUNTIFS('سجل التحفيز'!$B$5:$B$2004,B175,'سجل التحفيز'!$R$5:$R$2004,الإعدادات!$B$4,'سجل التحفيز'!$D$5:$D$2004,"ذهبي"))</f>
        <v/>
      </c>
      <c r="L175" s="20">
        <f>IF(B175="","",IF(G175="محرومة","محرومة - مخالفة",IF(K175&gt;=5,"مستحقة ★","متبقي "&amp;(5-K175)&amp;" معايير")))</f>
        <v/>
      </c>
      <c r="N175">
        <f>IF(B175="","",IF(COUNTIFS('سجل التحفيز'!$T$5:$T$2004,"&gt;0",'سجل التحفيز'!$B$5:$B$2004,B175)&gt;0,COUNT(N$4:N174)+1,""))</f>
        <v/>
      </c>
      <c r="O175">
        <f>IF(B175="","",IF(COUNTIFS('سجل التحفيز'!$U$5:$U$2004,"&gt;0",'سجل التحفيز'!$B$5:$B$2004,B175)&gt;0,COUNT(O$4:O174)+1,""))</f>
        <v/>
      </c>
      <c r="P175">
        <f>IF(B175="","",IF(COUNTIFS('سجل التحفيز'!$V$5:$V$2004,"&gt;0",'سجل التحفيز'!$B$5:$B$2004,B175)&gt;0,COUNT(P$4:P174)+1,""))</f>
        <v/>
      </c>
      <c r="Q175">
        <f>IF(B175="","",IF(COUNTIFS('سجل التحفيز'!$W$5:$W$2004,"&gt;0",'سجل التحفيز'!$B$5:$B$2004,B175)&gt;0,COUNT(Q$4:Q174)+1,""))</f>
        <v/>
      </c>
      <c r="R175">
        <f>IF(B175="","",IF(COUNTIFS('سجل التحفيز'!$X$5:$X$2004,"&gt;0",'سجل التحفيز'!$B$5:$B$2004,B175)&gt;0,COUNT(R$4:R174)+1,""))</f>
        <v/>
      </c>
      <c r="S175">
        <f>IF(B175="","",IF(COUNTIFS('سجل التحفيز'!$Y$5:$Y$2004,"&gt;0",'سجل التحفيز'!$B$5:$B$2004,B175)&gt;0,COUNT(S$4:S174)+1,""))</f>
        <v/>
      </c>
      <c r="T175">
        <f>IF(B175="","",IF(COUNTIFS('سجل التحفيز'!$Z$5:$Z$2004,"&gt;0",'سجل التحفيز'!$B$5:$B$2004,B175)&gt;0,COUNT(T$4:T174)+1,""))</f>
        <v/>
      </c>
      <c r="U175">
        <f>IF(B175="","",IF(COUNTIFS('سجل التحفيز'!$AA$5:$AA$2004,"&gt;0",'سجل التحفيز'!$B$5:$B$2004,B175)&gt;0,COUNT(U$4:U174)+1,""))</f>
        <v/>
      </c>
      <c r="V175">
        <f>IF(B175="","",IF(COUNTIFS('سجل التحفيز'!$AB$5:$AB$2004,"&gt;0",'سجل التحفيز'!$B$5:$B$2004,B175)&gt;0,COUNT(V$4:V174)+1,""))</f>
        <v/>
      </c>
      <c r="W175">
        <f>IF(B175="","",IF(COUNTIFS('سجل التحفيز'!$AC$5:$AC$2004,"&gt;0",'سجل التحفيز'!$B$5:$B$2004,B175)&gt;0,COUNT(W$4:W174)+1,""))</f>
        <v/>
      </c>
      <c r="X175">
        <f>IF(B175="","",IF(COUNTIFS('سجل التحفيز'!$AD$5:$AD$2004,"&gt;0",'سجل التحفيز'!$B$5:$B$2004,B175)&gt;0,COUNT(X$4:X174)+1,""))</f>
        <v/>
      </c>
      <c r="Y175">
        <f>IF(B175="","",IF(COUNTIFS('سجل التحفيز'!$AE$5:$AE$2004,"&gt;0",'سجل التحفيز'!$B$5:$B$2004,B175)&gt;0,COUNT(Y$4:Y174)+1,""))</f>
        <v/>
      </c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20">
        <f>IF(B176="","",COUNTIFS('سجل التحفيز'!$B$5:$B$2004,B176,'سجل التحفيز'!$R$5:$R$2004,الإعدادات!$B$4))</f>
        <v/>
      </c>
      <c r="I176" s="20">
        <f>IF(B176="","",COUNTIFS('سجل التحفيز'!$B$5:$B$2004,B176,'سجل التحفيز'!$R$5:$R$2004,الإعدادات!$B$4,'سجل التحفيز'!$Q$5:$Q$2004,"الفصل الأول",'سجل التحفيز'!$D$5:$D$2004,"ذهبي"))</f>
        <v/>
      </c>
      <c r="J176" s="20">
        <f>IF(B176="","",COUNTIFS('سجل التحفيز'!$B$5:$B$2004,B176,'سجل التحفيز'!$R$5:$R$2004,الإعدادات!$B$4,'سجل التحفيز'!$Q$5:$Q$2004,"الفصل الثاني",'سجل التحفيز'!$D$5:$D$2004,"ذهبي"))</f>
        <v/>
      </c>
      <c r="K176" s="20">
        <f>IF(B176="","",COUNTIFS('سجل التحفيز'!$B$5:$B$2004,B176,'سجل التحفيز'!$R$5:$R$2004,الإعدادات!$B$4,'سجل التحفيز'!$D$5:$D$2004,"ذهبي"))</f>
        <v/>
      </c>
      <c r="L176" s="20">
        <f>IF(B176="","",IF(G176="محرومة","محرومة - مخالفة",IF(K176&gt;=5,"مستحقة ★","متبقي "&amp;(5-K176)&amp;" معايير")))</f>
        <v/>
      </c>
      <c r="N176">
        <f>IF(B176="","",IF(COUNTIFS('سجل التحفيز'!$T$5:$T$2004,"&gt;0",'سجل التحفيز'!$B$5:$B$2004,B176)&gt;0,COUNT(N$4:N175)+1,""))</f>
        <v/>
      </c>
      <c r="O176">
        <f>IF(B176="","",IF(COUNTIFS('سجل التحفيز'!$U$5:$U$2004,"&gt;0",'سجل التحفيز'!$B$5:$B$2004,B176)&gt;0,COUNT(O$4:O175)+1,""))</f>
        <v/>
      </c>
      <c r="P176">
        <f>IF(B176="","",IF(COUNTIFS('سجل التحفيز'!$V$5:$V$2004,"&gt;0",'سجل التحفيز'!$B$5:$B$2004,B176)&gt;0,COUNT(P$4:P175)+1,""))</f>
        <v/>
      </c>
      <c r="Q176">
        <f>IF(B176="","",IF(COUNTIFS('سجل التحفيز'!$W$5:$W$2004,"&gt;0",'سجل التحفيز'!$B$5:$B$2004,B176)&gt;0,COUNT(Q$4:Q175)+1,""))</f>
        <v/>
      </c>
      <c r="R176">
        <f>IF(B176="","",IF(COUNTIFS('سجل التحفيز'!$X$5:$X$2004,"&gt;0",'سجل التحفيز'!$B$5:$B$2004,B176)&gt;0,COUNT(R$4:R175)+1,""))</f>
        <v/>
      </c>
      <c r="S176">
        <f>IF(B176="","",IF(COUNTIFS('سجل التحفيز'!$Y$5:$Y$2004,"&gt;0",'سجل التحفيز'!$B$5:$B$2004,B176)&gt;0,COUNT(S$4:S175)+1,""))</f>
        <v/>
      </c>
      <c r="T176">
        <f>IF(B176="","",IF(COUNTIFS('سجل التحفيز'!$Z$5:$Z$2004,"&gt;0",'سجل التحفيز'!$B$5:$B$2004,B176)&gt;0,COUNT(T$4:T175)+1,""))</f>
        <v/>
      </c>
      <c r="U176">
        <f>IF(B176="","",IF(COUNTIFS('سجل التحفيز'!$AA$5:$AA$2004,"&gt;0",'سجل التحفيز'!$B$5:$B$2004,B176)&gt;0,COUNT(U$4:U175)+1,""))</f>
        <v/>
      </c>
      <c r="V176">
        <f>IF(B176="","",IF(COUNTIFS('سجل التحفيز'!$AB$5:$AB$2004,"&gt;0",'سجل التحفيز'!$B$5:$B$2004,B176)&gt;0,COUNT(V$4:V175)+1,""))</f>
        <v/>
      </c>
      <c r="W176">
        <f>IF(B176="","",IF(COUNTIFS('سجل التحفيز'!$AC$5:$AC$2004,"&gt;0",'سجل التحفيز'!$B$5:$B$2004,B176)&gt;0,COUNT(W$4:W175)+1,""))</f>
        <v/>
      </c>
      <c r="X176">
        <f>IF(B176="","",IF(COUNTIFS('سجل التحفيز'!$AD$5:$AD$2004,"&gt;0",'سجل التحفيز'!$B$5:$B$2004,B176)&gt;0,COUNT(X$4:X175)+1,""))</f>
        <v/>
      </c>
      <c r="Y176">
        <f>IF(B176="","",IF(COUNTIFS('سجل التحفيز'!$AE$5:$AE$2004,"&gt;0",'سجل التحفيز'!$B$5:$B$2004,B176)&gt;0,COUNT(Y$4:Y175)+1,""))</f>
        <v/>
      </c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20">
        <f>IF(B177="","",COUNTIFS('سجل التحفيز'!$B$5:$B$2004,B177,'سجل التحفيز'!$R$5:$R$2004,الإعدادات!$B$4))</f>
        <v/>
      </c>
      <c r="I177" s="20">
        <f>IF(B177="","",COUNTIFS('سجل التحفيز'!$B$5:$B$2004,B177,'سجل التحفيز'!$R$5:$R$2004,الإعدادات!$B$4,'سجل التحفيز'!$Q$5:$Q$2004,"الفصل الأول",'سجل التحفيز'!$D$5:$D$2004,"ذهبي"))</f>
        <v/>
      </c>
      <c r="J177" s="20">
        <f>IF(B177="","",COUNTIFS('سجل التحفيز'!$B$5:$B$2004,B177,'سجل التحفيز'!$R$5:$R$2004,الإعدادات!$B$4,'سجل التحفيز'!$Q$5:$Q$2004,"الفصل الثاني",'سجل التحفيز'!$D$5:$D$2004,"ذهبي"))</f>
        <v/>
      </c>
      <c r="K177" s="20">
        <f>IF(B177="","",COUNTIFS('سجل التحفيز'!$B$5:$B$2004,B177,'سجل التحفيز'!$R$5:$R$2004,الإعدادات!$B$4,'سجل التحفيز'!$D$5:$D$2004,"ذهبي"))</f>
        <v/>
      </c>
      <c r="L177" s="20">
        <f>IF(B177="","",IF(G177="محرومة","محرومة - مخالفة",IF(K177&gt;=5,"مستحقة ★","متبقي "&amp;(5-K177)&amp;" معايير")))</f>
        <v/>
      </c>
      <c r="N177">
        <f>IF(B177="","",IF(COUNTIFS('سجل التحفيز'!$T$5:$T$2004,"&gt;0",'سجل التحفيز'!$B$5:$B$2004,B177)&gt;0,COUNT(N$4:N176)+1,""))</f>
        <v/>
      </c>
      <c r="O177">
        <f>IF(B177="","",IF(COUNTIFS('سجل التحفيز'!$U$5:$U$2004,"&gt;0",'سجل التحفيز'!$B$5:$B$2004,B177)&gt;0,COUNT(O$4:O176)+1,""))</f>
        <v/>
      </c>
      <c r="P177">
        <f>IF(B177="","",IF(COUNTIFS('سجل التحفيز'!$V$5:$V$2004,"&gt;0",'سجل التحفيز'!$B$5:$B$2004,B177)&gt;0,COUNT(P$4:P176)+1,""))</f>
        <v/>
      </c>
      <c r="Q177">
        <f>IF(B177="","",IF(COUNTIFS('سجل التحفيز'!$W$5:$W$2004,"&gt;0",'سجل التحفيز'!$B$5:$B$2004,B177)&gt;0,COUNT(Q$4:Q176)+1,""))</f>
        <v/>
      </c>
      <c r="R177">
        <f>IF(B177="","",IF(COUNTIFS('سجل التحفيز'!$X$5:$X$2004,"&gt;0",'سجل التحفيز'!$B$5:$B$2004,B177)&gt;0,COUNT(R$4:R176)+1,""))</f>
        <v/>
      </c>
      <c r="S177">
        <f>IF(B177="","",IF(COUNTIFS('سجل التحفيز'!$Y$5:$Y$2004,"&gt;0",'سجل التحفيز'!$B$5:$B$2004,B177)&gt;0,COUNT(S$4:S176)+1,""))</f>
        <v/>
      </c>
      <c r="T177">
        <f>IF(B177="","",IF(COUNTIFS('سجل التحفيز'!$Z$5:$Z$2004,"&gt;0",'سجل التحفيز'!$B$5:$B$2004,B177)&gt;0,COUNT(T$4:T176)+1,""))</f>
        <v/>
      </c>
      <c r="U177">
        <f>IF(B177="","",IF(COUNTIFS('سجل التحفيز'!$AA$5:$AA$2004,"&gt;0",'سجل التحفيز'!$B$5:$B$2004,B177)&gt;0,COUNT(U$4:U176)+1,""))</f>
        <v/>
      </c>
      <c r="V177">
        <f>IF(B177="","",IF(COUNTIFS('سجل التحفيز'!$AB$5:$AB$2004,"&gt;0",'سجل التحفيز'!$B$5:$B$2004,B177)&gt;0,COUNT(V$4:V176)+1,""))</f>
        <v/>
      </c>
      <c r="W177">
        <f>IF(B177="","",IF(COUNTIFS('سجل التحفيز'!$AC$5:$AC$2004,"&gt;0",'سجل التحفيز'!$B$5:$B$2004,B177)&gt;0,COUNT(W$4:W176)+1,""))</f>
        <v/>
      </c>
      <c r="X177">
        <f>IF(B177="","",IF(COUNTIFS('سجل التحفيز'!$AD$5:$AD$2004,"&gt;0",'سجل التحفيز'!$B$5:$B$2004,B177)&gt;0,COUNT(X$4:X176)+1,""))</f>
        <v/>
      </c>
      <c r="Y177">
        <f>IF(B177="","",IF(COUNTIFS('سجل التحفيز'!$AE$5:$AE$2004,"&gt;0",'سجل التحفيز'!$B$5:$B$2004,B177)&gt;0,COUNT(Y$4:Y176)+1,""))</f>
        <v/>
      </c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20">
        <f>IF(B178="","",COUNTIFS('سجل التحفيز'!$B$5:$B$2004,B178,'سجل التحفيز'!$R$5:$R$2004,الإعدادات!$B$4))</f>
        <v/>
      </c>
      <c r="I178" s="20">
        <f>IF(B178="","",COUNTIFS('سجل التحفيز'!$B$5:$B$2004,B178,'سجل التحفيز'!$R$5:$R$2004,الإعدادات!$B$4,'سجل التحفيز'!$Q$5:$Q$2004,"الفصل الأول",'سجل التحفيز'!$D$5:$D$2004,"ذهبي"))</f>
        <v/>
      </c>
      <c r="J178" s="20">
        <f>IF(B178="","",COUNTIFS('سجل التحفيز'!$B$5:$B$2004,B178,'سجل التحفيز'!$R$5:$R$2004,الإعدادات!$B$4,'سجل التحفيز'!$Q$5:$Q$2004,"الفصل الثاني",'سجل التحفيز'!$D$5:$D$2004,"ذهبي"))</f>
        <v/>
      </c>
      <c r="K178" s="20">
        <f>IF(B178="","",COUNTIFS('سجل التحفيز'!$B$5:$B$2004,B178,'سجل التحفيز'!$R$5:$R$2004,الإعدادات!$B$4,'سجل التحفيز'!$D$5:$D$2004,"ذهبي"))</f>
        <v/>
      </c>
      <c r="L178" s="20">
        <f>IF(B178="","",IF(G178="محرومة","محرومة - مخالفة",IF(K178&gt;=5,"مستحقة ★","متبقي "&amp;(5-K178)&amp;" معايير")))</f>
        <v/>
      </c>
      <c r="N178">
        <f>IF(B178="","",IF(COUNTIFS('سجل التحفيز'!$T$5:$T$2004,"&gt;0",'سجل التحفيز'!$B$5:$B$2004,B178)&gt;0,COUNT(N$4:N177)+1,""))</f>
        <v/>
      </c>
      <c r="O178">
        <f>IF(B178="","",IF(COUNTIFS('سجل التحفيز'!$U$5:$U$2004,"&gt;0",'سجل التحفيز'!$B$5:$B$2004,B178)&gt;0,COUNT(O$4:O177)+1,""))</f>
        <v/>
      </c>
      <c r="P178">
        <f>IF(B178="","",IF(COUNTIFS('سجل التحفيز'!$V$5:$V$2004,"&gt;0",'سجل التحفيز'!$B$5:$B$2004,B178)&gt;0,COUNT(P$4:P177)+1,""))</f>
        <v/>
      </c>
      <c r="Q178">
        <f>IF(B178="","",IF(COUNTIFS('سجل التحفيز'!$W$5:$W$2004,"&gt;0",'سجل التحفيز'!$B$5:$B$2004,B178)&gt;0,COUNT(Q$4:Q177)+1,""))</f>
        <v/>
      </c>
      <c r="R178">
        <f>IF(B178="","",IF(COUNTIFS('سجل التحفيز'!$X$5:$X$2004,"&gt;0",'سجل التحفيز'!$B$5:$B$2004,B178)&gt;0,COUNT(R$4:R177)+1,""))</f>
        <v/>
      </c>
      <c r="S178">
        <f>IF(B178="","",IF(COUNTIFS('سجل التحفيز'!$Y$5:$Y$2004,"&gt;0",'سجل التحفيز'!$B$5:$B$2004,B178)&gt;0,COUNT(S$4:S177)+1,""))</f>
        <v/>
      </c>
      <c r="T178">
        <f>IF(B178="","",IF(COUNTIFS('سجل التحفيز'!$Z$5:$Z$2004,"&gt;0",'سجل التحفيز'!$B$5:$B$2004,B178)&gt;0,COUNT(T$4:T177)+1,""))</f>
        <v/>
      </c>
      <c r="U178">
        <f>IF(B178="","",IF(COUNTIFS('سجل التحفيز'!$AA$5:$AA$2004,"&gt;0",'سجل التحفيز'!$B$5:$B$2004,B178)&gt;0,COUNT(U$4:U177)+1,""))</f>
        <v/>
      </c>
      <c r="V178">
        <f>IF(B178="","",IF(COUNTIFS('سجل التحفيز'!$AB$5:$AB$2004,"&gt;0",'سجل التحفيز'!$B$5:$B$2004,B178)&gt;0,COUNT(V$4:V177)+1,""))</f>
        <v/>
      </c>
      <c r="W178">
        <f>IF(B178="","",IF(COUNTIFS('سجل التحفيز'!$AC$5:$AC$2004,"&gt;0",'سجل التحفيز'!$B$5:$B$2004,B178)&gt;0,COUNT(W$4:W177)+1,""))</f>
        <v/>
      </c>
      <c r="X178">
        <f>IF(B178="","",IF(COUNTIFS('سجل التحفيز'!$AD$5:$AD$2004,"&gt;0",'سجل التحفيز'!$B$5:$B$2004,B178)&gt;0,COUNT(X$4:X177)+1,""))</f>
        <v/>
      </c>
      <c r="Y178">
        <f>IF(B178="","",IF(COUNTIFS('سجل التحفيز'!$AE$5:$AE$2004,"&gt;0",'سجل التحفيز'!$B$5:$B$2004,B178)&gt;0,COUNT(Y$4:Y177)+1,""))</f>
        <v/>
      </c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20">
        <f>IF(B179="","",COUNTIFS('سجل التحفيز'!$B$5:$B$2004,B179,'سجل التحفيز'!$R$5:$R$2004,الإعدادات!$B$4))</f>
        <v/>
      </c>
      <c r="I179" s="20">
        <f>IF(B179="","",COUNTIFS('سجل التحفيز'!$B$5:$B$2004,B179,'سجل التحفيز'!$R$5:$R$2004,الإعدادات!$B$4,'سجل التحفيز'!$Q$5:$Q$2004,"الفصل الأول",'سجل التحفيز'!$D$5:$D$2004,"ذهبي"))</f>
        <v/>
      </c>
      <c r="J179" s="20">
        <f>IF(B179="","",COUNTIFS('سجل التحفيز'!$B$5:$B$2004,B179,'سجل التحفيز'!$R$5:$R$2004,الإعدادات!$B$4,'سجل التحفيز'!$Q$5:$Q$2004,"الفصل الثاني",'سجل التحفيز'!$D$5:$D$2004,"ذهبي"))</f>
        <v/>
      </c>
      <c r="K179" s="20">
        <f>IF(B179="","",COUNTIFS('سجل التحفيز'!$B$5:$B$2004,B179,'سجل التحفيز'!$R$5:$R$2004,الإعدادات!$B$4,'سجل التحفيز'!$D$5:$D$2004,"ذهبي"))</f>
        <v/>
      </c>
      <c r="L179" s="20">
        <f>IF(B179="","",IF(G179="محرومة","محرومة - مخالفة",IF(K179&gt;=5,"مستحقة ★","متبقي "&amp;(5-K179)&amp;" معايير")))</f>
        <v/>
      </c>
      <c r="N179">
        <f>IF(B179="","",IF(COUNTIFS('سجل التحفيز'!$T$5:$T$2004,"&gt;0",'سجل التحفيز'!$B$5:$B$2004,B179)&gt;0,COUNT(N$4:N178)+1,""))</f>
        <v/>
      </c>
      <c r="O179">
        <f>IF(B179="","",IF(COUNTIFS('سجل التحفيز'!$U$5:$U$2004,"&gt;0",'سجل التحفيز'!$B$5:$B$2004,B179)&gt;0,COUNT(O$4:O178)+1,""))</f>
        <v/>
      </c>
      <c r="P179">
        <f>IF(B179="","",IF(COUNTIFS('سجل التحفيز'!$V$5:$V$2004,"&gt;0",'سجل التحفيز'!$B$5:$B$2004,B179)&gt;0,COUNT(P$4:P178)+1,""))</f>
        <v/>
      </c>
      <c r="Q179">
        <f>IF(B179="","",IF(COUNTIFS('سجل التحفيز'!$W$5:$W$2004,"&gt;0",'سجل التحفيز'!$B$5:$B$2004,B179)&gt;0,COUNT(Q$4:Q178)+1,""))</f>
        <v/>
      </c>
      <c r="R179">
        <f>IF(B179="","",IF(COUNTIFS('سجل التحفيز'!$X$5:$X$2004,"&gt;0",'سجل التحفيز'!$B$5:$B$2004,B179)&gt;0,COUNT(R$4:R178)+1,""))</f>
        <v/>
      </c>
      <c r="S179">
        <f>IF(B179="","",IF(COUNTIFS('سجل التحفيز'!$Y$5:$Y$2004,"&gt;0",'سجل التحفيز'!$B$5:$B$2004,B179)&gt;0,COUNT(S$4:S178)+1,""))</f>
        <v/>
      </c>
      <c r="T179">
        <f>IF(B179="","",IF(COUNTIFS('سجل التحفيز'!$Z$5:$Z$2004,"&gt;0",'سجل التحفيز'!$B$5:$B$2004,B179)&gt;0,COUNT(T$4:T178)+1,""))</f>
        <v/>
      </c>
      <c r="U179">
        <f>IF(B179="","",IF(COUNTIFS('سجل التحفيز'!$AA$5:$AA$2004,"&gt;0",'سجل التحفيز'!$B$5:$B$2004,B179)&gt;0,COUNT(U$4:U178)+1,""))</f>
        <v/>
      </c>
      <c r="V179">
        <f>IF(B179="","",IF(COUNTIFS('سجل التحفيز'!$AB$5:$AB$2004,"&gt;0",'سجل التحفيز'!$B$5:$B$2004,B179)&gt;0,COUNT(V$4:V178)+1,""))</f>
        <v/>
      </c>
      <c r="W179">
        <f>IF(B179="","",IF(COUNTIFS('سجل التحفيز'!$AC$5:$AC$2004,"&gt;0",'سجل التحفيز'!$B$5:$B$2004,B179)&gt;0,COUNT(W$4:W178)+1,""))</f>
        <v/>
      </c>
      <c r="X179">
        <f>IF(B179="","",IF(COUNTIFS('سجل التحفيز'!$AD$5:$AD$2004,"&gt;0",'سجل التحفيز'!$B$5:$B$2004,B179)&gt;0,COUNT(X$4:X178)+1,""))</f>
        <v/>
      </c>
      <c r="Y179">
        <f>IF(B179="","",IF(COUNTIFS('سجل التحفيز'!$AE$5:$AE$2004,"&gt;0",'سجل التحفيز'!$B$5:$B$2004,B179)&gt;0,COUNT(Y$4:Y178)+1,""))</f>
        <v/>
      </c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20">
        <f>IF(B180="","",COUNTIFS('سجل التحفيز'!$B$5:$B$2004,B180,'سجل التحفيز'!$R$5:$R$2004,الإعدادات!$B$4))</f>
        <v/>
      </c>
      <c r="I180" s="20">
        <f>IF(B180="","",COUNTIFS('سجل التحفيز'!$B$5:$B$2004,B180,'سجل التحفيز'!$R$5:$R$2004,الإعدادات!$B$4,'سجل التحفيز'!$Q$5:$Q$2004,"الفصل الأول",'سجل التحفيز'!$D$5:$D$2004,"ذهبي"))</f>
        <v/>
      </c>
      <c r="J180" s="20">
        <f>IF(B180="","",COUNTIFS('سجل التحفيز'!$B$5:$B$2004,B180,'سجل التحفيز'!$R$5:$R$2004,الإعدادات!$B$4,'سجل التحفيز'!$Q$5:$Q$2004,"الفصل الثاني",'سجل التحفيز'!$D$5:$D$2004,"ذهبي"))</f>
        <v/>
      </c>
      <c r="K180" s="20">
        <f>IF(B180="","",COUNTIFS('سجل التحفيز'!$B$5:$B$2004,B180,'سجل التحفيز'!$R$5:$R$2004,الإعدادات!$B$4,'سجل التحفيز'!$D$5:$D$2004,"ذهبي"))</f>
        <v/>
      </c>
      <c r="L180" s="20">
        <f>IF(B180="","",IF(G180="محرومة","محرومة - مخالفة",IF(K180&gt;=5,"مستحقة ★","متبقي "&amp;(5-K180)&amp;" معايير")))</f>
        <v/>
      </c>
      <c r="N180">
        <f>IF(B180="","",IF(COUNTIFS('سجل التحفيز'!$T$5:$T$2004,"&gt;0",'سجل التحفيز'!$B$5:$B$2004,B180)&gt;0,COUNT(N$4:N179)+1,""))</f>
        <v/>
      </c>
      <c r="O180">
        <f>IF(B180="","",IF(COUNTIFS('سجل التحفيز'!$U$5:$U$2004,"&gt;0",'سجل التحفيز'!$B$5:$B$2004,B180)&gt;0,COUNT(O$4:O179)+1,""))</f>
        <v/>
      </c>
      <c r="P180">
        <f>IF(B180="","",IF(COUNTIFS('سجل التحفيز'!$V$5:$V$2004,"&gt;0",'سجل التحفيز'!$B$5:$B$2004,B180)&gt;0,COUNT(P$4:P179)+1,""))</f>
        <v/>
      </c>
      <c r="Q180">
        <f>IF(B180="","",IF(COUNTIFS('سجل التحفيز'!$W$5:$W$2004,"&gt;0",'سجل التحفيز'!$B$5:$B$2004,B180)&gt;0,COUNT(Q$4:Q179)+1,""))</f>
        <v/>
      </c>
      <c r="R180">
        <f>IF(B180="","",IF(COUNTIFS('سجل التحفيز'!$X$5:$X$2004,"&gt;0",'سجل التحفيز'!$B$5:$B$2004,B180)&gt;0,COUNT(R$4:R179)+1,""))</f>
        <v/>
      </c>
      <c r="S180">
        <f>IF(B180="","",IF(COUNTIFS('سجل التحفيز'!$Y$5:$Y$2004,"&gt;0",'سجل التحفيز'!$B$5:$B$2004,B180)&gt;0,COUNT(S$4:S179)+1,""))</f>
        <v/>
      </c>
      <c r="T180">
        <f>IF(B180="","",IF(COUNTIFS('سجل التحفيز'!$Z$5:$Z$2004,"&gt;0",'سجل التحفيز'!$B$5:$B$2004,B180)&gt;0,COUNT(T$4:T179)+1,""))</f>
        <v/>
      </c>
      <c r="U180">
        <f>IF(B180="","",IF(COUNTIFS('سجل التحفيز'!$AA$5:$AA$2004,"&gt;0",'سجل التحفيز'!$B$5:$B$2004,B180)&gt;0,COUNT(U$4:U179)+1,""))</f>
        <v/>
      </c>
      <c r="V180">
        <f>IF(B180="","",IF(COUNTIFS('سجل التحفيز'!$AB$5:$AB$2004,"&gt;0",'سجل التحفيز'!$B$5:$B$2004,B180)&gt;0,COUNT(V$4:V179)+1,""))</f>
        <v/>
      </c>
      <c r="W180">
        <f>IF(B180="","",IF(COUNTIFS('سجل التحفيز'!$AC$5:$AC$2004,"&gt;0",'سجل التحفيز'!$B$5:$B$2004,B180)&gt;0,COUNT(W$4:W179)+1,""))</f>
        <v/>
      </c>
      <c r="X180">
        <f>IF(B180="","",IF(COUNTIFS('سجل التحفيز'!$AD$5:$AD$2004,"&gt;0",'سجل التحفيز'!$B$5:$B$2004,B180)&gt;0,COUNT(X$4:X179)+1,""))</f>
        <v/>
      </c>
      <c r="Y180">
        <f>IF(B180="","",IF(COUNTIFS('سجل التحفيز'!$AE$5:$AE$2004,"&gt;0",'سجل التحفيز'!$B$5:$B$2004,B180)&gt;0,COUNT(Y$4:Y179)+1,""))</f>
        <v/>
      </c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20">
        <f>IF(B181="","",COUNTIFS('سجل التحفيز'!$B$5:$B$2004,B181,'سجل التحفيز'!$R$5:$R$2004,الإعدادات!$B$4))</f>
        <v/>
      </c>
      <c r="I181" s="20">
        <f>IF(B181="","",COUNTIFS('سجل التحفيز'!$B$5:$B$2004,B181,'سجل التحفيز'!$R$5:$R$2004,الإعدادات!$B$4,'سجل التحفيز'!$Q$5:$Q$2004,"الفصل الأول",'سجل التحفيز'!$D$5:$D$2004,"ذهبي"))</f>
        <v/>
      </c>
      <c r="J181" s="20">
        <f>IF(B181="","",COUNTIFS('سجل التحفيز'!$B$5:$B$2004,B181,'سجل التحفيز'!$R$5:$R$2004,الإعدادات!$B$4,'سجل التحفيز'!$Q$5:$Q$2004,"الفصل الثاني",'سجل التحفيز'!$D$5:$D$2004,"ذهبي"))</f>
        <v/>
      </c>
      <c r="K181" s="20">
        <f>IF(B181="","",COUNTIFS('سجل التحفيز'!$B$5:$B$2004,B181,'سجل التحفيز'!$R$5:$R$2004,الإعدادات!$B$4,'سجل التحفيز'!$D$5:$D$2004,"ذهبي"))</f>
        <v/>
      </c>
      <c r="L181" s="20">
        <f>IF(B181="","",IF(G181="محرومة","محرومة - مخالفة",IF(K181&gt;=5,"مستحقة ★","متبقي "&amp;(5-K181)&amp;" معايير")))</f>
        <v/>
      </c>
      <c r="N181">
        <f>IF(B181="","",IF(COUNTIFS('سجل التحفيز'!$T$5:$T$2004,"&gt;0",'سجل التحفيز'!$B$5:$B$2004,B181)&gt;0,COUNT(N$4:N180)+1,""))</f>
        <v/>
      </c>
      <c r="O181">
        <f>IF(B181="","",IF(COUNTIFS('سجل التحفيز'!$U$5:$U$2004,"&gt;0",'سجل التحفيز'!$B$5:$B$2004,B181)&gt;0,COUNT(O$4:O180)+1,""))</f>
        <v/>
      </c>
      <c r="P181">
        <f>IF(B181="","",IF(COUNTIFS('سجل التحفيز'!$V$5:$V$2004,"&gt;0",'سجل التحفيز'!$B$5:$B$2004,B181)&gt;0,COUNT(P$4:P180)+1,""))</f>
        <v/>
      </c>
      <c r="Q181">
        <f>IF(B181="","",IF(COUNTIFS('سجل التحفيز'!$W$5:$W$2004,"&gt;0",'سجل التحفيز'!$B$5:$B$2004,B181)&gt;0,COUNT(Q$4:Q180)+1,""))</f>
        <v/>
      </c>
      <c r="R181">
        <f>IF(B181="","",IF(COUNTIFS('سجل التحفيز'!$X$5:$X$2004,"&gt;0",'سجل التحفيز'!$B$5:$B$2004,B181)&gt;0,COUNT(R$4:R180)+1,""))</f>
        <v/>
      </c>
      <c r="S181">
        <f>IF(B181="","",IF(COUNTIFS('سجل التحفيز'!$Y$5:$Y$2004,"&gt;0",'سجل التحفيز'!$B$5:$B$2004,B181)&gt;0,COUNT(S$4:S180)+1,""))</f>
        <v/>
      </c>
      <c r="T181">
        <f>IF(B181="","",IF(COUNTIFS('سجل التحفيز'!$Z$5:$Z$2004,"&gt;0",'سجل التحفيز'!$B$5:$B$2004,B181)&gt;0,COUNT(T$4:T180)+1,""))</f>
        <v/>
      </c>
      <c r="U181">
        <f>IF(B181="","",IF(COUNTIFS('سجل التحفيز'!$AA$5:$AA$2004,"&gt;0",'سجل التحفيز'!$B$5:$B$2004,B181)&gt;0,COUNT(U$4:U180)+1,""))</f>
        <v/>
      </c>
      <c r="V181">
        <f>IF(B181="","",IF(COUNTIFS('سجل التحفيز'!$AB$5:$AB$2004,"&gt;0",'سجل التحفيز'!$B$5:$B$2004,B181)&gt;0,COUNT(V$4:V180)+1,""))</f>
        <v/>
      </c>
      <c r="W181">
        <f>IF(B181="","",IF(COUNTIFS('سجل التحفيز'!$AC$5:$AC$2004,"&gt;0",'سجل التحفيز'!$B$5:$B$2004,B181)&gt;0,COUNT(W$4:W180)+1,""))</f>
        <v/>
      </c>
      <c r="X181">
        <f>IF(B181="","",IF(COUNTIFS('سجل التحفيز'!$AD$5:$AD$2004,"&gt;0",'سجل التحفيز'!$B$5:$B$2004,B181)&gt;0,COUNT(X$4:X180)+1,""))</f>
        <v/>
      </c>
      <c r="Y181">
        <f>IF(B181="","",IF(COUNTIFS('سجل التحفيز'!$AE$5:$AE$2004,"&gt;0",'سجل التحفيز'!$B$5:$B$2004,B181)&gt;0,COUNT(Y$4:Y180)+1,""))</f>
        <v/>
      </c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20">
        <f>IF(B182="","",COUNTIFS('سجل التحفيز'!$B$5:$B$2004,B182,'سجل التحفيز'!$R$5:$R$2004,الإعدادات!$B$4))</f>
        <v/>
      </c>
      <c r="I182" s="20">
        <f>IF(B182="","",COUNTIFS('سجل التحفيز'!$B$5:$B$2004,B182,'سجل التحفيز'!$R$5:$R$2004,الإعدادات!$B$4,'سجل التحفيز'!$Q$5:$Q$2004,"الفصل الأول",'سجل التحفيز'!$D$5:$D$2004,"ذهبي"))</f>
        <v/>
      </c>
      <c r="J182" s="20">
        <f>IF(B182="","",COUNTIFS('سجل التحفيز'!$B$5:$B$2004,B182,'سجل التحفيز'!$R$5:$R$2004,الإعدادات!$B$4,'سجل التحفيز'!$Q$5:$Q$2004,"الفصل الثاني",'سجل التحفيز'!$D$5:$D$2004,"ذهبي"))</f>
        <v/>
      </c>
      <c r="K182" s="20">
        <f>IF(B182="","",COUNTIFS('سجل التحفيز'!$B$5:$B$2004,B182,'سجل التحفيز'!$R$5:$R$2004,الإعدادات!$B$4,'سجل التحفيز'!$D$5:$D$2004,"ذهبي"))</f>
        <v/>
      </c>
      <c r="L182" s="20">
        <f>IF(B182="","",IF(G182="محرومة","محرومة - مخالفة",IF(K182&gt;=5,"مستحقة ★","متبقي "&amp;(5-K182)&amp;" معايير")))</f>
        <v/>
      </c>
      <c r="N182">
        <f>IF(B182="","",IF(COUNTIFS('سجل التحفيز'!$T$5:$T$2004,"&gt;0",'سجل التحفيز'!$B$5:$B$2004,B182)&gt;0,COUNT(N$4:N181)+1,""))</f>
        <v/>
      </c>
      <c r="O182">
        <f>IF(B182="","",IF(COUNTIFS('سجل التحفيز'!$U$5:$U$2004,"&gt;0",'سجل التحفيز'!$B$5:$B$2004,B182)&gt;0,COUNT(O$4:O181)+1,""))</f>
        <v/>
      </c>
      <c r="P182">
        <f>IF(B182="","",IF(COUNTIFS('سجل التحفيز'!$V$5:$V$2004,"&gt;0",'سجل التحفيز'!$B$5:$B$2004,B182)&gt;0,COUNT(P$4:P181)+1,""))</f>
        <v/>
      </c>
      <c r="Q182">
        <f>IF(B182="","",IF(COUNTIFS('سجل التحفيز'!$W$5:$W$2004,"&gt;0",'سجل التحفيز'!$B$5:$B$2004,B182)&gt;0,COUNT(Q$4:Q181)+1,""))</f>
        <v/>
      </c>
      <c r="R182">
        <f>IF(B182="","",IF(COUNTIFS('سجل التحفيز'!$X$5:$X$2004,"&gt;0",'سجل التحفيز'!$B$5:$B$2004,B182)&gt;0,COUNT(R$4:R181)+1,""))</f>
        <v/>
      </c>
      <c r="S182">
        <f>IF(B182="","",IF(COUNTIFS('سجل التحفيز'!$Y$5:$Y$2004,"&gt;0",'سجل التحفيز'!$B$5:$B$2004,B182)&gt;0,COUNT(S$4:S181)+1,""))</f>
        <v/>
      </c>
      <c r="T182">
        <f>IF(B182="","",IF(COUNTIFS('سجل التحفيز'!$Z$5:$Z$2004,"&gt;0",'سجل التحفيز'!$B$5:$B$2004,B182)&gt;0,COUNT(T$4:T181)+1,""))</f>
        <v/>
      </c>
      <c r="U182">
        <f>IF(B182="","",IF(COUNTIFS('سجل التحفيز'!$AA$5:$AA$2004,"&gt;0",'سجل التحفيز'!$B$5:$B$2004,B182)&gt;0,COUNT(U$4:U181)+1,""))</f>
        <v/>
      </c>
      <c r="V182">
        <f>IF(B182="","",IF(COUNTIFS('سجل التحفيز'!$AB$5:$AB$2004,"&gt;0",'سجل التحفيز'!$B$5:$B$2004,B182)&gt;0,COUNT(V$4:V181)+1,""))</f>
        <v/>
      </c>
      <c r="W182">
        <f>IF(B182="","",IF(COUNTIFS('سجل التحفيز'!$AC$5:$AC$2004,"&gt;0",'سجل التحفيز'!$B$5:$B$2004,B182)&gt;0,COUNT(W$4:W181)+1,""))</f>
        <v/>
      </c>
      <c r="X182">
        <f>IF(B182="","",IF(COUNTIFS('سجل التحفيز'!$AD$5:$AD$2004,"&gt;0",'سجل التحفيز'!$B$5:$B$2004,B182)&gt;0,COUNT(X$4:X181)+1,""))</f>
        <v/>
      </c>
      <c r="Y182">
        <f>IF(B182="","",IF(COUNTIFS('سجل التحفيز'!$AE$5:$AE$2004,"&gt;0",'سجل التحفيز'!$B$5:$B$2004,B182)&gt;0,COUNT(Y$4:Y181)+1,""))</f>
        <v/>
      </c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20">
        <f>IF(B183="","",COUNTIFS('سجل التحفيز'!$B$5:$B$2004,B183,'سجل التحفيز'!$R$5:$R$2004,الإعدادات!$B$4))</f>
        <v/>
      </c>
      <c r="I183" s="20">
        <f>IF(B183="","",COUNTIFS('سجل التحفيز'!$B$5:$B$2004,B183,'سجل التحفيز'!$R$5:$R$2004,الإعدادات!$B$4,'سجل التحفيز'!$Q$5:$Q$2004,"الفصل الأول",'سجل التحفيز'!$D$5:$D$2004,"ذهبي"))</f>
        <v/>
      </c>
      <c r="J183" s="20">
        <f>IF(B183="","",COUNTIFS('سجل التحفيز'!$B$5:$B$2004,B183,'سجل التحفيز'!$R$5:$R$2004,الإعدادات!$B$4,'سجل التحفيز'!$Q$5:$Q$2004,"الفصل الثاني",'سجل التحفيز'!$D$5:$D$2004,"ذهبي"))</f>
        <v/>
      </c>
      <c r="K183" s="20">
        <f>IF(B183="","",COUNTIFS('سجل التحفيز'!$B$5:$B$2004,B183,'سجل التحفيز'!$R$5:$R$2004,الإعدادات!$B$4,'سجل التحفيز'!$D$5:$D$2004,"ذهبي"))</f>
        <v/>
      </c>
      <c r="L183" s="20">
        <f>IF(B183="","",IF(G183="محرومة","محرومة - مخالفة",IF(K183&gt;=5,"مستحقة ★","متبقي "&amp;(5-K183)&amp;" معايير")))</f>
        <v/>
      </c>
      <c r="N183">
        <f>IF(B183="","",IF(COUNTIFS('سجل التحفيز'!$T$5:$T$2004,"&gt;0",'سجل التحفيز'!$B$5:$B$2004,B183)&gt;0,COUNT(N$4:N182)+1,""))</f>
        <v/>
      </c>
      <c r="O183">
        <f>IF(B183="","",IF(COUNTIFS('سجل التحفيز'!$U$5:$U$2004,"&gt;0",'سجل التحفيز'!$B$5:$B$2004,B183)&gt;0,COUNT(O$4:O182)+1,""))</f>
        <v/>
      </c>
      <c r="P183">
        <f>IF(B183="","",IF(COUNTIFS('سجل التحفيز'!$V$5:$V$2004,"&gt;0",'سجل التحفيز'!$B$5:$B$2004,B183)&gt;0,COUNT(P$4:P182)+1,""))</f>
        <v/>
      </c>
      <c r="Q183">
        <f>IF(B183="","",IF(COUNTIFS('سجل التحفيز'!$W$5:$W$2004,"&gt;0",'سجل التحفيز'!$B$5:$B$2004,B183)&gt;0,COUNT(Q$4:Q182)+1,""))</f>
        <v/>
      </c>
      <c r="R183">
        <f>IF(B183="","",IF(COUNTIFS('سجل التحفيز'!$X$5:$X$2004,"&gt;0",'سجل التحفيز'!$B$5:$B$2004,B183)&gt;0,COUNT(R$4:R182)+1,""))</f>
        <v/>
      </c>
      <c r="S183">
        <f>IF(B183="","",IF(COUNTIFS('سجل التحفيز'!$Y$5:$Y$2004,"&gt;0",'سجل التحفيز'!$B$5:$B$2004,B183)&gt;0,COUNT(S$4:S182)+1,""))</f>
        <v/>
      </c>
      <c r="T183">
        <f>IF(B183="","",IF(COUNTIFS('سجل التحفيز'!$Z$5:$Z$2004,"&gt;0",'سجل التحفيز'!$B$5:$B$2004,B183)&gt;0,COUNT(T$4:T182)+1,""))</f>
        <v/>
      </c>
      <c r="U183">
        <f>IF(B183="","",IF(COUNTIFS('سجل التحفيز'!$AA$5:$AA$2004,"&gt;0",'سجل التحفيز'!$B$5:$B$2004,B183)&gt;0,COUNT(U$4:U182)+1,""))</f>
        <v/>
      </c>
      <c r="V183">
        <f>IF(B183="","",IF(COUNTIFS('سجل التحفيز'!$AB$5:$AB$2004,"&gt;0",'سجل التحفيز'!$B$5:$B$2004,B183)&gt;0,COUNT(V$4:V182)+1,""))</f>
        <v/>
      </c>
      <c r="W183">
        <f>IF(B183="","",IF(COUNTIFS('سجل التحفيز'!$AC$5:$AC$2004,"&gt;0",'سجل التحفيز'!$B$5:$B$2004,B183)&gt;0,COUNT(W$4:W182)+1,""))</f>
        <v/>
      </c>
      <c r="X183">
        <f>IF(B183="","",IF(COUNTIFS('سجل التحفيز'!$AD$5:$AD$2004,"&gt;0",'سجل التحفيز'!$B$5:$B$2004,B183)&gt;0,COUNT(X$4:X182)+1,""))</f>
        <v/>
      </c>
      <c r="Y183">
        <f>IF(B183="","",IF(COUNTIFS('سجل التحفيز'!$AE$5:$AE$2004,"&gt;0",'سجل التحفيز'!$B$5:$B$2004,B183)&gt;0,COUNT(Y$4:Y182)+1,""))</f>
        <v/>
      </c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20">
        <f>IF(B184="","",COUNTIFS('سجل التحفيز'!$B$5:$B$2004,B184,'سجل التحفيز'!$R$5:$R$2004,الإعدادات!$B$4))</f>
        <v/>
      </c>
      <c r="I184" s="20">
        <f>IF(B184="","",COUNTIFS('سجل التحفيز'!$B$5:$B$2004,B184,'سجل التحفيز'!$R$5:$R$2004,الإعدادات!$B$4,'سجل التحفيز'!$Q$5:$Q$2004,"الفصل الأول",'سجل التحفيز'!$D$5:$D$2004,"ذهبي"))</f>
        <v/>
      </c>
      <c r="J184" s="20">
        <f>IF(B184="","",COUNTIFS('سجل التحفيز'!$B$5:$B$2004,B184,'سجل التحفيز'!$R$5:$R$2004,الإعدادات!$B$4,'سجل التحفيز'!$Q$5:$Q$2004,"الفصل الثاني",'سجل التحفيز'!$D$5:$D$2004,"ذهبي"))</f>
        <v/>
      </c>
      <c r="K184" s="20">
        <f>IF(B184="","",COUNTIFS('سجل التحفيز'!$B$5:$B$2004,B184,'سجل التحفيز'!$R$5:$R$2004,الإعدادات!$B$4,'سجل التحفيز'!$D$5:$D$2004,"ذهبي"))</f>
        <v/>
      </c>
      <c r="L184" s="20">
        <f>IF(B184="","",IF(G184="محرومة","محرومة - مخالفة",IF(K184&gt;=5,"مستحقة ★","متبقي "&amp;(5-K184)&amp;" معايير")))</f>
        <v/>
      </c>
      <c r="N184">
        <f>IF(B184="","",IF(COUNTIFS('سجل التحفيز'!$T$5:$T$2004,"&gt;0",'سجل التحفيز'!$B$5:$B$2004,B184)&gt;0,COUNT(N$4:N183)+1,""))</f>
        <v/>
      </c>
      <c r="O184">
        <f>IF(B184="","",IF(COUNTIFS('سجل التحفيز'!$U$5:$U$2004,"&gt;0",'سجل التحفيز'!$B$5:$B$2004,B184)&gt;0,COUNT(O$4:O183)+1,""))</f>
        <v/>
      </c>
      <c r="P184">
        <f>IF(B184="","",IF(COUNTIFS('سجل التحفيز'!$V$5:$V$2004,"&gt;0",'سجل التحفيز'!$B$5:$B$2004,B184)&gt;0,COUNT(P$4:P183)+1,""))</f>
        <v/>
      </c>
      <c r="Q184">
        <f>IF(B184="","",IF(COUNTIFS('سجل التحفيز'!$W$5:$W$2004,"&gt;0",'سجل التحفيز'!$B$5:$B$2004,B184)&gt;0,COUNT(Q$4:Q183)+1,""))</f>
        <v/>
      </c>
      <c r="R184">
        <f>IF(B184="","",IF(COUNTIFS('سجل التحفيز'!$X$5:$X$2004,"&gt;0",'سجل التحفيز'!$B$5:$B$2004,B184)&gt;0,COUNT(R$4:R183)+1,""))</f>
        <v/>
      </c>
      <c r="S184">
        <f>IF(B184="","",IF(COUNTIFS('سجل التحفيز'!$Y$5:$Y$2004,"&gt;0",'سجل التحفيز'!$B$5:$B$2004,B184)&gt;0,COUNT(S$4:S183)+1,""))</f>
        <v/>
      </c>
      <c r="T184">
        <f>IF(B184="","",IF(COUNTIFS('سجل التحفيز'!$Z$5:$Z$2004,"&gt;0",'سجل التحفيز'!$B$5:$B$2004,B184)&gt;0,COUNT(T$4:T183)+1,""))</f>
        <v/>
      </c>
      <c r="U184">
        <f>IF(B184="","",IF(COUNTIFS('سجل التحفيز'!$AA$5:$AA$2004,"&gt;0",'سجل التحفيز'!$B$5:$B$2004,B184)&gt;0,COUNT(U$4:U183)+1,""))</f>
        <v/>
      </c>
      <c r="V184">
        <f>IF(B184="","",IF(COUNTIFS('سجل التحفيز'!$AB$5:$AB$2004,"&gt;0",'سجل التحفيز'!$B$5:$B$2004,B184)&gt;0,COUNT(V$4:V183)+1,""))</f>
        <v/>
      </c>
      <c r="W184">
        <f>IF(B184="","",IF(COUNTIFS('سجل التحفيز'!$AC$5:$AC$2004,"&gt;0",'سجل التحفيز'!$B$5:$B$2004,B184)&gt;0,COUNT(W$4:W183)+1,""))</f>
        <v/>
      </c>
      <c r="X184">
        <f>IF(B184="","",IF(COUNTIFS('سجل التحفيز'!$AD$5:$AD$2004,"&gt;0",'سجل التحفيز'!$B$5:$B$2004,B184)&gt;0,COUNT(X$4:X183)+1,""))</f>
        <v/>
      </c>
      <c r="Y184">
        <f>IF(B184="","",IF(COUNTIFS('سجل التحفيز'!$AE$5:$AE$2004,"&gt;0",'سجل التحفيز'!$B$5:$B$2004,B184)&gt;0,COUNT(Y$4:Y183)+1,""))</f>
        <v/>
      </c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20">
        <f>IF(B185="","",COUNTIFS('سجل التحفيز'!$B$5:$B$2004,B185,'سجل التحفيز'!$R$5:$R$2004,الإعدادات!$B$4))</f>
        <v/>
      </c>
      <c r="I185" s="20">
        <f>IF(B185="","",COUNTIFS('سجل التحفيز'!$B$5:$B$2004,B185,'سجل التحفيز'!$R$5:$R$2004,الإعدادات!$B$4,'سجل التحفيز'!$Q$5:$Q$2004,"الفصل الأول",'سجل التحفيز'!$D$5:$D$2004,"ذهبي"))</f>
        <v/>
      </c>
      <c r="J185" s="20">
        <f>IF(B185="","",COUNTIFS('سجل التحفيز'!$B$5:$B$2004,B185,'سجل التحفيز'!$R$5:$R$2004,الإعدادات!$B$4,'سجل التحفيز'!$Q$5:$Q$2004,"الفصل الثاني",'سجل التحفيز'!$D$5:$D$2004,"ذهبي"))</f>
        <v/>
      </c>
      <c r="K185" s="20">
        <f>IF(B185="","",COUNTIFS('سجل التحفيز'!$B$5:$B$2004,B185,'سجل التحفيز'!$R$5:$R$2004,الإعدادات!$B$4,'سجل التحفيز'!$D$5:$D$2004,"ذهبي"))</f>
        <v/>
      </c>
      <c r="L185" s="20">
        <f>IF(B185="","",IF(G185="محرومة","محرومة - مخالفة",IF(K185&gt;=5,"مستحقة ★","متبقي "&amp;(5-K185)&amp;" معايير")))</f>
        <v/>
      </c>
      <c r="N185">
        <f>IF(B185="","",IF(COUNTIFS('سجل التحفيز'!$T$5:$T$2004,"&gt;0",'سجل التحفيز'!$B$5:$B$2004,B185)&gt;0,COUNT(N$4:N184)+1,""))</f>
        <v/>
      </c>
      <c r="O185">
        <f>IF(B185="","",IF(COUNTIFS('سجل التحفيز'!$U$5:$U$2004,"&gt;0",'سجل التحفيز'!$B$5:$B$2004,B185)&gt;0,COUNT(O$4:O184)+1,""))</f>
        <v/>
      </c>
      <c r="P185">
        <f>IF(B185="","",IF(COUNTIFS('سجل التحفيز'!$V$5:$V$2004,"&gt;0",'سجل التحفيز'!$B$5:$B$2004,B185)&gt;0,COUNT(P$4:P184)+1,""))</f>
        <v/>
      </c>
      <c r="Q185">
        <f>IF(B185="","",IF(COUNTIFS('سجل التحفيز'!$W$5:$W$2004,"&gt;0",'سجل التحفيز'!$B$5:$B$2004,B185)&gt;0,COUNT(Q$4:Q184)+1,""))</f>
        <v/>
      </c>
      <c r="R185">
        <f>IF(B185="","",IF(COUNTIFS('سجل التحفيز'!$X$5:$X$2004,"&gt;0",'سجل التحفيز'!$B$5:$B$2004,B185)&gt;0,COUNT(R$4:R184)+1,""))</f>
        <v/>
      </c>
      <c r="S185">
        <f>IF(B185="","",IF(COUNTIFS('سجل التحفيز'!$Y$5:$Y$2004,"&gt;0",'سجل التحفيز'!$B$5:$B$2004,B185)&gt;0,COUNT(S$4:S184)+1,""))</f>
        <v/>
      </c>
      <c r="T185">
        <f>IF(B185="","",IF(COUNTIFS('سجل التحفيز'!$Z$5:$Z$2004,"&gt;0",'سجل التحفيز'!$B$5:$B$2004,B185)&gt;0,COUNT(T$4:T184)+1,""))</f>
        <v/>
      </c>
      <c r="U185">
        <f>IF(B185="","",IF(COUNTIFS('سجل التحفيز'!$AA$5:$AA$2004,"&gt;0",'سجل التحفيز'!$B$5:$B$2004,B185)&gt;0,COUNT(U$4:U184)+1,""))</f>
        <v/>
      </c>
      <c r="V185">
        <f>IF(B185="","",IF(COUNTIFS('سجل التحفيز'!$AB$5:$AB$2004,"&gt;0",'سجل التحفيز'!$B$5:$B$2004,B185)&gt;0,COUNT(V$4:V184)+1,""))</f>
        <v/>
      </c>
      <c r="W185">
        <f>IF(B185="","",IF(COUNTIFS('سجل التحفيز'!$AC$5:$AC$2004,"&gt;0",'سجل التحفيز'!$B$5:$B$2004,B185)&gt;0,COUNT(W$4:W184)+1,""))</f>
        <v/>
      </c>
      <c r="X185">
        <f>IF(B185="","",IF(COUNTIFS('سجل التحفيز'!$AD$5:$AD$2004,"&gt;0",'سجل التحفيز'!$B$5:$B$2004,B185)&gt;0,COUNT(X$4:X184)+1,""))</f>
        <v/>
      </c>
      <c r="Y185">
        <f>IF(B185="","",IF(COUNTIFS('سجل التحفيز'!$AE$5:$AE$2004,"&gt;0",'سجل التحفيز'!$B$5:$B$2004,B185)&gt;0,COUNT(Y$4:Y184)+1,""))</f>
        <v/>
      </c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20">
        <f>IF(B186="","",COUNTIFS('سجل التحفيز'!$B$5:$B$2004,B186,'سجل التحفيز'!$R$5:$R$2004,الإعدادات!$B$4))</f>
        <v/>
      </c>
      <c r="I186" s="20">
        <f>IF(B186="","",COUNTIFS('سجل التحفيز'!$B$5:$B$2004,B186,'سجل التحفيز'!$R$5:$R$2004,الإعدادات!$B$4,'سجل التحفيز'!$Q$5:$Q$2004,"الفصل الأول",'سجل التحفيز'!$D$5:$D$2004,"ذهبي"))</f>
        <v/>
      </c>
      <c r="J186" s="20">
        <f>IF(B186="","",COUNTIFS('سجل التحفيز'!$B$5:$B$2004,B186,'سجل التحفيز'!$R$5:$R$2004,الإعدادات!$B$4,'سجل التحفيز'!$Q$5:$Q$2004,"الفصل الثاني",'سجل التحفيز'!$D$5:$D$2004,"ذهبي"))</f>
        <v/>
      </c>
      <c r="K186" s="20">
        <f>IF(B186="","",COUNTIFS('سجل التحفيز'!$B$5:$B$2004,B186,'سجل التحفيز'!$R$5:$R$2004,الإعدادات!$B$4,'سجل التحفيز'!$D$5:$D$2004,"ذهبي"))</f>
        <v/>
      </c>
      <c r="L186" s="20">
        <f>IF(B186="","",IF(G186="محرومة","محرومة - مخالفة",IF(K186&gt;=5,"مستحقة ★","متبقي "&amp;(5-K186)&amp;" معايير")))</f>
        <v/>
      </c>
      <c r="N186">
        <f>IF(B186="","",IF(COUNTIFS('سجل التحفيز'!$T$5:$T$2004,"&gt;0",'سجل التحفيز'!$B$5:$B$2004,B186)&gt;0,COUNT(N$4:N185)+1,""))</f>
        <v/>
      </c>
      <c r="O186">
        <f>IF(B186="","",IF(COUNTIFS('سجل التحفيز'!$U$5:$U$2004,"&gt;0",'سجل التحفيز'!$B$5:$B$2004,B186)&gt;0,COUNT(O$4:O185)+1,""))</f>
        <v/>
      </c>
      <c r="P186">
        <f>IF(B186="","",IF(COUNTIFS('سجل التحفيز'!$V$5:$V$2004,"&gt;0",'سجل التحفيز'!$B$5:$B$2004,B186)&gt;0,COUNT(P$4:P185)+1,""))</f>
        <v/>
      </c>
      <c r="Q186">
        <f>IF(B186="","",IF(COUNTIFS('سجل التحفيز'!$W$5:$W$2004,"&gt;0",'سجل التحفيز'!$B$5:$B$2004,B186)&gt;0,COUNT(Q$4:Q185)+1,""))</f>
        <v/>
      </c>
      <c r="R186">
        <f>IF(B186="","",IF(COUNTIFS('سجل التحفيز'!$X$5:$X$2004,"&gt;0",'سجل التحفيز'!$B$5:$B$2004,B186)&gt;0,COUNT(R$4:R185)+1,""))</f>
        <v/>
      </c>
      <c r="S186">
        <f>IF(B186="","",IF(COUNTIFS('سجل التحفيز'!$Y$5:$Y$2004,"&gt;0",'سجل التحفيز'!$B$5:$B$2004,B186)&gt;0,COUNT(S$4:S185)+1,""))</f>
        <v/>
      </c>
      <c r="T186">
        <f>IF(B186="","",IF(COUNTIFS('سجل التحفيز'!$Z$5:$Z$2004,"&gt;0",'سجل التحفيز'!$B$5:$B$2004,B186)&gt;0,COUNT(T$4:T185)+1,""))</f>
        <v/>
      </c>
      <c r="U186">
        <f>IF(B186="","",IF(COUNTIFS('سجل التحفيز'!$AA$5:$AA$2004,"&gt;0",'سجل التحفيز'!$B$5:$B$2004,B186)&gt;0,COUNT(U$4:U185)+1,""))</f>
        <v/>
      </c>
      <c r="V186">
        <f>IF(B186="","",IF(COUNTIFS('سجل التحفيز'!$AB$5:$AB$2004,"&gt;0",'سجل التحفيز'!$B$5:$B$2004,B186)&gt;0,COUNT(V$4:V185)+1,""))</f>
        <v/>
      </c>
      <c r="W186">
        <f>IF(B186="","",IF(COUNTIFS('سجل التحفيز'!$AC$5:$AC$2004,"&gt;0",'سجل التحفيز'!$B$5:$B$2004,B186)&gt;0,COUNT(W$4:W185)+1,""))</f>
        <v/>
      </c>
      <c r="X186">
        <f>IF(B186="","",IF(COUNTIFS('سجل التحفيز'!$AD$5:$AD$2004,"&gt;0",'سجل التحفيز'!$B$5:$B$2004,B186)&gt;0,COUNT(X$4:X185)+1,""))</f>
        <v/>
      </c>
      <c r="Y186">
        <f>IF(B186="","",IF(COUNTIFS('سجل التحفيز'!$AE$5:$AE$2004,"&gt;0",'سجل التحفيز'!$B$5:$B$2004,B186)&gt;0,COUNT(Y$4:Y185)+1,""))</f>
        <v/>
      </c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20">
        <f>IF(B187="","",COUNTIFS('سجل التحفيز'!$B$5:$B$2004,B187,'سجل التحفيز'!$R$5:$R$2004,الإعدادات!$B$4))</f>
        <v/>
      </c>
      <c r="I187" s="20">
        <f>IF(B187="","",COUNTIFS('سجل التحفيز'!$B$5:$B$2004,B187,'سجل التحفيز'!$R$5:$R$2004,الإعدادات!$B$4,'سجل التحفيز'!$Q$5:$Q$2004,"الفصل الأول",'سجل التحفيز'!$D$5:$D$2004,"ذهبي"))</f>
        <v/>
      </c>
      <c r="J187" s="20">
        <f>IF(B187="","",COUNTIFS('سجل التحفيز'!$B$5:$B$2004,B187,'سجل التحفيز'!$R$5:$R$2004,الإعدادات!$B$4,'سجل التحفيز'!$Q$5:$Q$2004,"الفصل الثاني",'سجل التحفيز'!$D$5:$D$2004,"ذهبي"))</f>
        <v/>
      </c>
      <c r="K187" s="20">
        <f>IF(B187="","",COUNTIFS('سجل التحفيز'!$B$5:$B$2004,B187,'سجل التحفيز'!$R$5:$R$2004,الإعدادات!$B$4,'سجل التحفيز'!$D$5:$D$2004,"ذهبي"))</f>
        <v/>
      </c>
      <c r="L187" s="20">
        <f>IF(B187="","",IF(G187="محرومة","محرومة - مخالفة",IF(K187&gt;=5,"مستحقة ★","متبقي "&amp;(5-K187)&amp;" معايير")))</f>
        <v/>
      </c>
      <c r="N187">
        <f>IF(B187="","",IF(COUNTIFS('سجل التحفيز'!$T$5:$T$2004,"&gt;0",'سجل التحفيز'!$B$5:$B$2004,B187)&gt;0,COUNT(N$4:N186)+1,""))</f>
        <v/>
      </c>
      <c r="O187">
        <f>IF(B187="","",IF(COUNTIFS('سجل التحفيز'!$U$5:$U$2004,"&gt;0",'سجل التحفيز'!$B$5:$B$2004,B187)&gt;0,COUNT(O$4:O186)+1,""))</f>
        <v/>
      </c>
      <c r="P187">
        <f>IF(B187="","",IF(COUNTIFS('سجل التحفيز'!$V$5:$V$2004,"&gt;0",'سجل التحفيز'!$B$5:$B$2004,B187)&gt;0,COUNT(P$4:P186)+1,""))</f>
        <v/>
      </c>
      <c r="Q187">
        <f>IF(B187="","",IF(COUNTIFS('سجل التحفيز'!$W$5:$W$2004,"&gt;0",'سجل التحفيز'!$B$5:$B$2004,B187)&gt;0,COUNT(Q$4:Q186)+1,""))</f>
        <v/>
      </c>
      <c r="R187">
        <f>IF(B187="","",IF(COUNTIFS('سجل التحفيز'!$X$5:$X$2004,"&gt;0",'سجل التحفيز'!$B$5:$B$2004,B187)&gt;0,COUNT(R$4:R186)+1,""))</f>
        <v/>
      </c>
      <c r="S187">
        <f>IF(B187="","",IF(COUNTIFS('سجل التحفيز'!$Y$5:$Y$2004,"&gt;0",'سجل التحفيز'!$B$5:$B$2004,B187)&gt;0,COUNT(S$4:S186)+1,""))</f>
        <v/>
      </c>
      <c r="T187">
        <f>IF(B187="","",IF(COUNTIFS('سجل التحفيز'!$Z$5:$Z$2004,"&gt;0",'سجل التحفيز'!$B$5:$B$2004,B187)&gt;0,COUNT(T$4:T186)+1,""))</f>
        <v/>
      </c>
      <c r="U187">
        <f>IF(B187="","",IF(COUNTIFS('سجل التحفيز'!$AA$5:$AA$2004,"&gt;0",'سجل التحفيز'!$B$5:$B$2004,B187)&gt;0,COUNT(U$4:U186)+1,""))</f>
        <v/>
      </c>
      <c r="V187">
        <f>IF(B187="","",IF(COUNTIFS('سجل التحفيز'!$AB$5:$AB$2004,"&gt;0",'سجل التحفيز'!$B$5:$B$2004,B187)&gt;0,COUNT(V$4:V186)+1,""))</f>
        <v/>
      </c>
      <c r="W187">
        <f>IF(B187="","",IF(COUNTIFS('سجل التحفيز'!$AC$5:$AC$2004,"&gt;0",'سجل التحفيز'!$B$5:$B$2004,B187)&gt;0,COUNT(W$4:W186)+1,""))</f>
        <v/>
      </c>
      <c r="X187">
        <f>IF(B187="","",IF(COUNTIFS('سجل التحفيز'!$AD$5:$AD$2004,"&gt;0",'سجل التحفيز'!$B$5:$B$2004,B187)&gt;0,COUNT(X$4:X186)+1,""))</f>
        <v/>
      </c>
      <c r="Y187">
        <f>IF(B187="","",IF(COUNTIFS('سجل التحفيز'!$AE$5:$AE$2004,"&gt;0",'سجل التحفيز'!$B$5:$B$2004,B187)&gt;0,COUNT(Y$4:Y186)+1,""))</f>
        <v/>
      </c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20">
        <f>IF(B188="","",COUNTIFS('سجل التحفيز'!$B$5:$B$2004,B188,'سجل التحفيز'!$R$5:$R$2004,الإعدادات!$B$4))</f>
        <v/>
      </c>
      <c r="I188" s="20">
        <f>IF(B188="","",COUNTIFS('سجل التحفيز'!$B$5:$B$2004,B188,'سجل التحفيز'!$R$5:$R$2004,الإعدادات!$B$4,'سجل التحفيز'!$Q$5:$Q$2004,"الفصل الأول",'سجل التحفيز'!$D$5:$D$2004,"ذهبي"))</f>
        <v/>
      </c>
      <c r="J188" s="20">
        <f>IF(B188="","",COUNTIFS('سجل التحفيز'!$B$5:$B$2004,B188,'سجل التحفيز'!$R$5:$R$2004,الإعدادات!$B$4,'سجل التحفيز'!$Q$5:$Q$2004,"الفصل الثاني",'سجل التحفيز'!$D$5:$D$2004,"ذهبي"))</f>
        <v/>
      </c>
      <c r="K188" s="20">
        <f>IF(B188="","",COUNTIFS('سجل التحفيز'!$B$5:$B$2004,B188,'سجل التحفيز'!$R$5:$R$2004,الإعدادات!$B$4,'سجل التحفيز'!$D$5:$D$2004,"ذهبي"))</f>
        <v/>
      </c>
      <c r="L188" s="20">
        <f>IF(B188="","",IF(G188="محرومة","محرومة - مخالفة",IF(K188&gt;=5,"مستحقة ★","متبقي "&amp;(5-K188)&amp;" معايير")))</f>
        <v/>
      </c>
      <c r="N188">
        <f>IF(B188="","",IF(COUNTIFS('سجل التحفيز'!$T$5:$T$2004,"&gt;0",'سجل التحفيز'!$B$5:$B$2004,B188)&gt;0,COUNT(N$4:N187)+1,""))</f>
        <v/>
      </c>
      <c r="O188">
        <f>IF(B188="","",IF(COUNTIFS('سجل التحفيز'!$U$5:$U$2004,"&gt;0",'سجل التحفيز'!$B$5:$B$2004,B188)&gt;0,COUNT(O$4:O187)+1,""))</f>
        <v/>
      </c>
      <c r="P188">
        <f>IF(B188="","",IF(COUNTIFS('سجل التحفيز'!$V$5:$V$2004,"&gt;0",'سجل التحفيز'!$B$5:$B$2004,B188)&gt;0,COUNT(P$4:P187)+1,""))</f>
        <v/>
      </c>
      <c r="Q188">
        <f>IF(B188="","",IF(COUNTIFS('سجل التحفيز'!$W$5:$W$2004,"&gt;0",'سجل التحفيز'!$B$5:$B$2004,B188)&gt;0,COUNT(Q$4:Q187)+1,""))</f>
        <v/>
      </c>
      <c r="R188">
        <f>IF(B188="","",IF(COUNTIFS('سجل التحفيز'!$X$5:$X$2004,"&gt;0",'سجل التحفيز'!$B$5:$B$2004,B188)&gt;0,COUNT(R$4:R187)+1,""))</f>
        <v/>
      </c>
      <c r="S188">
        <f>IF(B188="","",IF(COUNTIFS('سجل التحفيز'!$Y$5:$Y$2004,"&gt;0",'سجل التحفيز'!$B$5:$B$2004,B188)&gt;0,COUNT(S$4:S187)+1,""))</f>
        <v/>
      </c>
      <c r="T188">
        <f>IF(B188="","",IF(COUNTIFS('سجل التحفيز'!$Z$5:$Z$2004,"&gt;0",'سجل التحفيز'!$B$5:$B$2004,B188)&gt;0,COUNT(T$4:T187)+1,""))</f>
        <v/>
      </c>
      <c r="U188">
        <f>IF(B188="","",IF(COUNTIFS('سجل التحفيز'!$AA$5:$AA$2004,"&gt;0",'سجل التحفيز'!$B$5:$B$2004,B188)&gt;0,COUNT(U$4:U187)+1,""))</f>
        <v/>
      </c>
      <c r="V188">
        <f>IF(B188="","",IF(COUNTIFS('سجل التحفيز'!$AB$5:$AB$2004,"&gt;0",'سجل التحفيز'!$B$5:$B$2004,B188)&gt;0,COUNT(V$4:V187)+1,""))</f>
        <v/>
      </c>
      <c r="W188">
        <f>IF(B188="","",IF(COUNTIFS('سجل التحفيز'!$AC$5:$AC$2004,"&gt;0",'سجل التحفيز'!$B$5:$B$2004,B188)&gt;0,COUNT(W$4:W187)+1,""))</f>
        <v/>
      </c>
      <c r="X188">
        <f>IF(B188="","",IF(COUNTIFS('سجل التحفيز'!$AD$5:$AD$2004,"&gt;0",'سجل التحفيز'!$B$5:$B$2004,B188)&gt;0,COUNT(X$4:X187)+1,""))</f>
        <v/>
      </c>
      <c r="Y188">
        <f>IF(B188="","",IF(COUNTIFS('سجل التحفيز'!$AE$5:$AE$2004,"&gt;0",'سجل التحفيز'!$B$5:$B$2004,B188)&gt;0,COUNT(Y$4:Y187)+1,""))</f>
        <v/>
      </c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20">
        <f>IF(B189="","",COUNTIFS('سجل التحفيز'!$B$5:$B$2004,B189,'سجل التحفيز'!$R$5:$R$2004,الإعدادات!$B$4))</f>
        <v/>
      </c>
      <c r="I189" s="20">
        <f>IF(B189="","",COUNTIFS('سجل التحفيز'!$B$5:$B$2004,B189,'سجل التحفيز'!$R$5:$R$2004,الإعدادات!$B$4,'سجل التحفيز'!$Q$5:$Q$2004,"الفصل الأول",'سجل التحفيز'!$D$5:$D$2004,"ذهبي"))</f>
        <v/>
      </c>
      <c r="J189" s="20">
        <f>IF(B189="","",COUNTIFS('سجل التحفيز'!$B$5:$B$2004,B189,'سجل التحفيز'!$R$5:$R$2004,الإعدادات!$B$4,'سجل التحفيز'!$Q$5:$Q$2004,"الفصل الثاني",'سجل التحفيز'!$D$5:$D$2004,"ذهبي"))</f>
        <v/>
      </c>
      <c r="K189" s="20">
        <f>IF(B189="","",COUNTIFS('سجل التحفيز'!$B$5:$B$2004,B189,'سجل التحفيز'!$R$5:$R$2004,الإعدادات!$B$4,'سجل التحفيز'!$D$5:$D$2004,"ذهبي"))</f>
        <v/>
      </c>
      <c r="L189" s="20">
        <f>IF(B189="","",IF(G189="محرومة","محرومة - مخالفة",IF(K189&gt;=5,"مستحقة ★","متبقي "&amp;(5-K189)&amp;" معايير")))</f>
        <v/>
      </c>
      <c r="N189">
        <f>IF(B189="","",IF(COUNTIFS('سجل التحفيز'!$T$5:$T$2004,"&gt;0",'سجل التحفيز'!$B$5:$B$2004,B189)&gt;0,COUNT(N$4:N188)+1,""))</f>
        <v/>
      </c>
      <c r="O189">
        <f>IF(B189="","",IF(COUNTIFS('سجل التحفيز'!$U$5:$U$2004,"&gt;0",'سجل التحفيز'!$B$5:$B$2004,B189)&gt;0,COUNT(O$4:O188)+1,""))</f>
        <v/>
      </c>
      <c r="P189">
        <f>IF(B189="","",IF(COUNTIFS('سجل التحفيز'!$V$5:$V$2004,"&gt;0",'سجل التحفيز'!$B$5:$B$2004,B189)&gt;0,COUNT(P$4:P188)+1,""))</f>
        <v/>
      </c>
      <c r="Q189">
        <f>IF(B189="","",IF(COUNTIFS('سجل التحفيز'!$W$5:$W$2004,"&gt;0",'سجل التحفيز'!$B$5:$B$2004,B189)&gt;0,COUNT(Q$4:Q188)+1,""))</f>
        <v/>
      </c>
      <c r="R189">
        <f>IF(B189="","",IF(COUNTIFS('سجل التحفيز'!$X$5:$X$2004,"&gt;0",'سجل التحفيز'!$B$5:$B$2004,B189)&gt;0,COUNT(R$4:R188)+1,""))</f>
        <v/>
      </c>
      <c r="S189">
        <f>IF(B189="","",IF(COUNTIFS('سجل التحفيز'!$Y$5:$Y$2004,"&gt;0",'سجل التحفيز'!$B$5:$B$2004,B189)&gt;0,COUNT(S$4:S188)+1,""))</f>
        <v/>
      </c>
      <c r="T189">
        <f>IF(B189="","",IF(COUNTIFS('سجل التحفيز'!$Z$5:$Z$2004,"&gt;0",'سجل التحفيز'!$B$5:$B$2004,B189)&gt;0,COUNT(T$4:T188)+1,""))</f>
        <v/>
      </c>
      <c r="U189">
        <f>IF(B189="","",IF(COUNTIFS('سجل التحفيز'!$AA$5:$AA$2004,"&gt;0",'سجل التحفيز'!$B$5:$B$2004,B189)&gt;0,COUNT(U$4:U188)+1,""))</f>
        <v/>
      </c>
      <c r="V189">
        <f>IF(B189="","",IF(COUNTIFS('سجل التحفيز'!$AB$5:$AB$2004,"&gt;0",'سجل التحفيز'!$B$5:$B$2004,B189)&gt;0,COUNT(V$4:V188)+1,""))</f>
        <v/>
      </c>
      <c r="W189">
        <f>IF(B189="","",IF(COUNTIFS('سجل التحفيز'!$AC$5:$AC$2004,"&gt;0",'سجل التحفيز'!$B$5:$B$2004,B189)&gt;0,COUNT(W$4:W188)+1,""))</f>
        <v/>
      </c>
      <c r="X189">
        <f>IF(B189="","",IF(COUNTIFS('سجل التحفيز'!$AD$5:$AD$2004,"&gt;0",'سجل التحفيز'!$B$5:$B$2004,B189)&gt;0,COUNT(X$4:X188)+1,""))</f>
        <v/>
      </c>
      <c r="Y189">
        <f>IF(B189="","",IF(COUNTIFS('سجل التحفيز'!$AE$5:$AE$2004,"&gt;0",'سجل التحفيز'!$B$5:$B$2004,B189)&gt;0,COUNT(Y$4:Y188)+1,""))</f>
        <v/>
      </c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20">
        <f>IF(B190="","",COUNTIFS('سجل التحفيز'!$B$5:$B$2004,B190,'سجل التحفيز'!$R$5:$R$2004,الإعدادات!$B$4))</f>
        <v/>
      </c>
      <c r="I190" s="20">
        <f>IF(B190="","",COUNTIFS('سجل التحفيز'!$B$5:$B$2004,B190,'سجل التحفيز'!$R$5:$R$2004,الإعدادات!$B$4,'سجل التحفيز'!$Q$5:$Q$2004,"الفصل الأول",'سجل التحفيز'!$D$5:$D$2004,"ذهبي"))</f>
        <v/>
      </c>
      <c r="J190" s="20">
        <f>IF(B190="","",COUNTIFS('سجل التحفيز'!$B$5:$B$2004,B190,'سجل التحفيز'!$R$5:$R$2004,الإعدادات!$B$4,'سجل التحفيز'!$Q$5:$Q$2004,"الفصل الثاني",'سجل التحفيز'!$D$5:$D$2004,"ذهبي"))</f>
        <v/>
      </c>
      <c r="K190" s="20">
        <f>IF(B190="","",COUNTIFS('سجل التحفيز'!$B$5:$B$2004,B190,'سجل التحفيز'!$R$5:$R$2004,الإعدادات!$B$4,'سجل التحفيز'!$D$5:$D$2004,"ذهبي"))</f>
        <v/>
      </c>
      <c r="L190" s="20">
        <f>IF(B190="","",IF(G190="محرومة","محرومة - مخالفة",IF(K190&gt;=5,"مستحقة ★","متبقي "&amp;(5-K190)&amp;" معايير")))</f>
        <v/>
      </c>
      <c r="N190">
        <f>IF(B190="","",IF(COUNTIFS('سجل التحفيز'!$T$5:$T$2004,"&gt;0",'سجل التحفيز'!$B$5:$B$2004,B190)&gt;0,COUNT(N$4:N189)+1,""))</f>
        <v/>
      </c>
      <c r="O190">
        <f>IF(B190="","",IF(COUNTIFS('سجل التحفيز'!$U$5:$U$2004,"&gt;0",'سجل التحفيز'!$B$5:$B$2004,B190)&gt;0,COUNT(O$4:O189)+1,""))</f>
        <v/>
      </c>
      <c r="P190">
        <f>IF(B190="","",IF(COUNTIFS('سجل التحفيز'!$V$5:$V$2004,"&gt;0",'سجل التحفيز'!$B$5:$B$2004,B190)&gt;0,COUNT(P$4:P189)+1,""))</f>
        <v/>
      </c>
      <c r="Q190">
        <f>IF(B190="","",IF(COUNTIFS('سجل التحفيز'!$W$5:$W$2004,"&gt;0",'سجل التحفيز'!$B$5:$B$2004,B190)&gt;0,COUNT(Q$4:Q189)+1,""))</f>
        <v/>
      </c>
      <c r="R190">
        <f>IF(B190="","",IF(COUNTIFS('سجل التحفيز'!$X$5:$X$2004,"&gt;0",'سجل التحفيز'!$B$5:$B$2004,B190)&gt;0,COUNT(R$4:R189)+1,""))</f>
        <v/>
      </c>
      <c r="S190">
        <f>IF(B190="","",IF(COUNTIFS('سجل التحفيز'!$Y$5:$Y$2004,"&gt;0",'سجل التحفيز'!$B$5:$B$2004,B190)&gt;0,COUNT(S$4:S189)+1,""))</f>
        <v/>
      </c>
      <c r="T190">
        <f>IF(B190="","",IF(COUNTIFS('سجل التحفيز'!$Z$5:$Z$2004,"&gt;0",'سجل التحفيز'!$B$5:$B$2004,B190)&gt;0,COUNT(T$4:T189)+1,""))</f>
        <v/>
      </c>
      <c r="U190">
        <f>IF(B190="","",IF(COUNTIFS('سجل التحفيز'!$AA$5:$AA$2004,"&gt;0",'سجل التحفيز'!$B$5:$B$2004,B190)&gt;0,COUNT(U$4:U189)+1,""))</f>
        <v/>
      </c>
      <c r="V190">
        <f>IF(B190="","",IF(COUNTIFS('سجل التحفيز'!$AB$5:$AB$2004,"&gt;0",'سجل التحفيز'!$B$5:$B$2004,B190)&gt;0,COUNT(V$4:V189)+1,""))</f>
        <v/>
      </c>
      <c r="W190">
        <f>IF(B190="","",IF(COUNTIFS('سجل التحفيز'!$AC$5:$AC$2004,"&gt;0",'سجل التحفيز'!$B$5:$B$2004,B190)&gt;0,COUNT(W$4:W189)+1,""))</f>
        <v/>
      </c>
      <c r="X190">
        <f>IF(B190="","",IF(COUNTIFS('سجل التحفيز'!$AD$5:$AD$2004,"&gt;0",'سجل التحفيز'!$B$5:$B$2004,B190)&gt;0,COUNT(X$4:X189)+1,""))</f>
        <v/>
      </c>
      <c r="Y190">
        <f>IF(B190="","",IF(COUNTIFS('سجل التحفيز'!$AE$5:$AE$2004,"&gt;0",'سجل التحفيز'!$B$5:$B$2004,B190)&gt;0,COUNT(Y$4:Y189)+1,""))</f>
        <v/>
      </c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20">
        <f>IF(B191="","",COUNTIFS('سجل التحفيز'!$B$5:$B$2004,B191,'سجل التحفيز'!$R$5:$R$2004,الإعدادات!$B$4))</f>
        <v/>
      </c>
      <c r="I191" s="20">
        <f>IF(B191="","",COUNTIFS('سجل التحفيز'!$B$5:$B$2004,B191,'سجل التحفيز'!$R$5:$R$2004,الإعدادات!$B$4,'سجل التحفيز'!$Q$5:$Q$2004,"الفصل الأول",'سجل التحفيز'!$D$5:$D$2004,"ذهبي"))</f>
        <v/>
      </c>
      <c r="J191" s="20">
        <f>IF(B191="","",COUNTIFS('سجل التحفيز'!$B$5:$B$2004,B191,'سجل التحفيز'!$R$5:$R$2004,الإعدادات!$B$4,'سجل التحفيز'!$Q$5:$Q$2004,"الفصل الثاني",'سجل التحفيز'!$D$5:$D$2004,"ذهبي"))</f>
        <v/>
      </c>
      <c r="K191" s="20">
        <f>IF(B191="","",COUNTIFS('سجل التحفيز'!$B$5:$B$2004,B191,'سجل التحفيز'!$R$5:$R$2004,الإعدادات!$B$4,'سجل التحفيز'!$D$5:$D$2004,"ذهبي"))</f>
        <v/>
      </c>
      <c r="L191" s="20">
        <f>IF(B191="","",IF(G191="محرومة","محرومة - مخالفة",IF(K191&gt;=5,"مستحقة ★","متبقي "&amp;(5-K191)&amp;" معايير")))</f>
        <v/>
      </c>
      <c r="N191">
        <f>IF(B191="","",IF(COUNTIFS('سجل التحفيز'!$T$5:$T$2004,"&gt;0",'سجل التحفيز'!$B$5:$B$2004,B191)&gt;0,COUNT(N$4:N190)+1,""))</f>
        <v/>
      </c>
      <c r="O191">
        <f>IF(B191="","",IF(COUNTIFS('سجل التحفيز'!$U$5:$U$2004,"&gt;0",'سجل التحفيز'!$B$5:$B$2004,B191)&gt;0,COUNT(O$4:O190)+1,""))</f>
        <v/>
      </c>
      <c r="P191">
        <f>IF(B191="","",IF(COUNTIFS('سجل التحفيز'!$V$5:$V$2004,"&gt;0",'سجل التحفيز'!$B$5:$B$2004,B191)&gt;0,COUNT(P$4:P190)+1,""))</f>
        <v/>
      </c>
      <c r="Q191">
        <f>IF(B191="","",IF(COUNTIFS('سجل التحفيز'!$W$5:$W$2004,"&gt;0",'سجل التحفيز'!$B$5:$B$2004,B191)&gt;0,COUNT(Q$4:Q190)+1,""))</f>
        <v/>
      </c>
      <c r="R191">
        <f>IF(B191="","",IF(COUNTIFS('سجل التحفيز'!$X$5:$X$2004,"&gt;0",'سجل التحفيز'!$B$5:$B$2004,B191)&gt;0,COUNT(R$4:R190)+1,""))</f>
        <v/>
      </c>
      <c r="S191">
        <f>IF(B191="","",IF(COUNTIFS('سجل التحفيز'!$Y$5:$Y$2004,"&gt;0",'سجل التحفيز'!$B$5:$B$2004,B191)&gt;0,COUNT(S$4:S190)+1,""))</f>
        <v/>
      </c>
      <c r="T191">
        <f>IF(B191="","",IF(COUNTIFS('سجل التحفيز'!$Z$5:$Z$2004,"&gt;0",'سجل التحفيز'!$B$5:$B$2004,B191)&gt;0,COUNT(T$4:T190)+1,""))</f>
        <v/>
      </c>
      <c r="U191">
        <f>IF(B191="","",IF(COUNTIFS('سجل التحفيز'!$AA$5:$AA$2004,"&gt;0",'سجل التحفيز'!$B$5:$B$2004,B191)&gt;0,COUNT(U$4:U190)+1,""))</f>
        <v/>
      </c>
      <c r="V191">
        <f>IF(B191="","",IF(COUNTIFS('سجل التحفيز'!$AB$5:$AB$2004,"&gt;0",'سجل التحفيز'!$B$5:$B$2004,B191)&gt;0,COUNT(V$4:V190)+1,""))</f>
        <v/>
      </c>
      <c r="W191">
        <f>IF(B191="","",IF(COUNTIFS('سجل التحفيز'!$AC$5:$AC$2004,"&gt;0",'سجل التحفيز'!$B$5:$B$2004,B191)&gt;0,COUNT(W$4:W190)+1,""))</f>
        <v/>
      </c>
      <c r="X191">
        <f>IF(B191="","",IF(COUNTIFS('سجل التحفيز'!$AD$5:$AD$2004,"&gt;0",'سجل التحفيز'!$B$5:$B$2004,B191)&gt;0,COUNT(X$4:X190)+1,""))</f>
        <v/>
      </c>
      <c r="Y191">
        <f>IF(B191="","",IF(COUNTIFS('سجل التحفيز'!$AE$5:$AE$2004,"&gt;0",'سجل التحفيز'!$B$5:$B$2004,B191)&gt;0,COUNT(Y$4:Y190)+1,""))</f>
        <v/>
      </c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20">
        <f>IF(B192="","",COUNTIFS('سجل التحفيز'!$B$5:$B$2004,B192,'سجل التحفيز'!$R$5:$R$2004,الإعدادات!$B$4))</f>
        <v/>
      </c>
      <c r="I192" s="20">
        <f>IF(B192="","",COUNTIFS('سجل التحفيز'!$B$5:$B$2004,B192,'سجل التحفيز'!$R$5:$R$2004,الإعدادات!$B$4,'سجل التحفيز'!$Q$5:$Q$2004,"الفصل الأول",'سجل التحفيز'!$D$5:$D$2004,"ذهبي"))</f>
        <v/>
      </c>
      <c r="J192" s="20">
        <f>IF(B192="","",COUNTIFS('سجل التحفيز'!$B$5:$B$2004,B192,'سجل التحفيز'!$R$5:$R$2004,الإعدادات!$B$4,'سجل التحفيز'!$Q$5:$Q$2004,"الفصل الثاني",'سجل التحفيز'!$D$5:$D$2004,"ذهبي"))</f>
        <v/>
      </c>
      <c r="K192" s="20">
        <f>IF(B192="","",COUNTIFS('سجل التحفيز'!$B$5:$B$2004,B192,'سجل التحفيز'!$R$5:$R$2004,الإعدادات!$B$4,'سجل التحفيز'!$D$5:$D$2004,"ذهبي"))</f>
        <v/>
      </c>
      <c r="L192" s="20">
        <f>IF(B192="","",IF(G192="محرومة","محرومة - مخالفة",IF(K192&gt;=5,"مستحقة ★","متبقي "&amp;(5-K192)&amp;" معايير")))</f>
        <v/>
      </c>
      <c r="N192">
        <f>IF(B192="","",IF(COUNTIFS('سجل التحفيز'!$T$5:$T$2004,"&gt;0",'سجل التحفيز'!$B$5:$B$2004,B192)&gt;0,COUNT(N$4:N191)+1,""))</f>
        <v/>
      </c>
      <c r="O192">
        <f>IF(B192="","",IF(COUNTIFS('سجل التحفيز'!$U$5:$U$2004,"&gt;0",'سجل التحفيز'!$B$5:$B$2004,B192)&gt;0,COUNT(O$4:O191)+1,""))</f>
        <v/>
      </c>
      <c r="P192">
        <f>IF(B192="","",IF(COUNTIFS('سجل التحفيز'!$V$5:$V$2004,"&gt;0",'سجل التحفيز'!$B$5:$B$2004,B192)&gt;0,COUNT(P$4:P191)+1,""))</f>
        <v/>
      </c>
      <c r="Q192">
        <f>IF(B192="","",IF(COUNTIFS('سجل التحفيز'!$W$5:$W$2004,"&gt;0",'سجل التحفيز'!$B$5:$B$2004,B192)&gt;0,COUNT(Q$4:Q191)+1,""))</f>
        <v/>
      </c>
      <c r="R192">
        <f>IF(B192="","",IF(COUNTIFS('سجل التحفيز'!$X$5:$X$2004,"&gt;0",'سجل التحفيز'!$B$5:$B$2004,B192)&gt;0,COUNT(R$4:R191)+1,""))</f>
        <v/>
      </c>
      <c r="S192">
        <f>IF(B192="","",IF(COUNTIFS('سجل التحفيز'!$Y$5:$Y$2004,"&gt;0",'سجل التحفيز'!$B$5:$B$2004,B192)&gt;0,COUNT(S$4:S191)+1,""))</f>
        <v/>
      </c>
      <c r="T192">
        <f>IF(B192="","",IF(COUNTIFS('سجل التحفيز'!$Z$5:$Z$2004,"&gt;0",'سجل التحفيز'!$B$5:$B$2004,B192)&gt;0,COUNT(T$4:T191)+1,""))</f>
        <v/>
      </c>
      <c r="U192">
        <f>IF(B192="","",IF(COUNTIFS('سجل التحفيز'!$AA$5:$AA$2004,"&gt;0",'سجل التحفيز'!$B$5:$B$2004,B192)&gt;0,COUNT(U$4:U191)+1,""))</f>
        <v/>
      </c>
      <c r="V192">
        <f>IF(B192="","",IF(COUNTIFS('سجل التحفيز'!$AB$5:$AB$2004,"&gt;0",'سجل التحفيز'!$B$5:$B$2004,B192)&gt;0,COUNT(V$4:V191)+1,""))</f>
        <v/>
      </c>
      <c r="W192">
        <f>IF(B192="","",IF(COUNTIFS('سجل التحفيز'!$AC$5:$AC$2004,"&gt;0",'سجل التحفيز'!$B$5:$B$2004,B192)&gt;0,COUNT(W$4:W191)+1,""))</f>
        <v/>
      </c>
      <c r="X192">
        <f>IF(B192="","",IF(COUNTIFS('سجل التحفيز'!$AD$5:$AD$2004,"&gt;0",'سجل التحفيز'!$B$5:$B$2004,B192)&gt;0,COUNT(X$4:X191)+1,""))</f>
        <v/>
      </c>
      <c r="Y192">
        <f>IF(B192="","",IF(COUNTIFS('سجل التحفيز'!$AE$5:$AE$2004,"&gt;0",'سجل التحفيز'!$B$5:$B$2004,B192)&gt;0,COUNT(Y$4:Y191)+1,""))</f>
        <v/>
      </c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20">
        <f>IF(B193="","",COUNTIFS('سجل التحفيز'!$B$5:$B$2004,B193,'سجل التحفيز'!$R$5:$R$2004,الإعدادات!$B$4))</f>
        <v/>
      </c>
      <c r="I193" s="20">
        <f>IF(B193="","",COUNTIFS('سجل التحفيز'!$B$5:$B$2004,B193,'سجل التحفيز'!$R$5:$R$2004,الإعدادات!$B$4,'سجل التحفيز'!$Q$5:$Q$2004,"الفصل الأول",'سجل التحفيز'!$D$5:$D$2004,"ذهبي"))</f>
        <v/>
      </c>
      <c r="J193" s="20">
        <f>IF(B193="","",COUNTIFS('سجل التحفيز'!$B$5:$B$2004,B193,'سجل التحفيز'!$R$5:$R$2004,الإعدادات!$B$4,'سجل التحفيز'!$Q$5:$Q$2004,"الفصل الثاني",'سجل التحفيز'!$D$5:$D$2004,"ذهبي"))</f>
        <v/>
      </c>
      <c r="K193" s="20">
        <f>IF(B193="","",COUNTIFS('سجل التحفيز'!$B$5:$B$2004,B193,'سجل التحفيز'!$R$5:$R$2004,الإعدادات!$B$4,'سجل التحفيز'!$D$5:$D$2004,"ذهبي"))</f>
        <v/>
      </c>
      <c r="L193" s="20">
        <f>IF(B193="","",IF(G193="محرومة","محرومة - مخالفة",IF(K193&gt;=5,"مستحقة ★","متبقي "&amp;(5-K193)&amp;" معايير")))</f>
        <v/>
      </c>
      <c r="N193">
        <f>IF(B193="","",IF(COUNTIFS('سجل التحفيز'!$T$5:$T$2004,"&gt;0",'سجل التحفيز'!$B$5:$B$2004,B193)&gt;0,COUNT(N$4:N192)+1,""))</f>
        <v/>
      </c>
      <c r="O193">
        <f>IF(B193="","",IF(COUNTIFS('سجل التحفيز'!$U$5:$U$2004,"&gt;0",'سجل التحفيز'!$B$5:$B$2004,B193)&gt;0,COUNT(O$4:O192)+1,""))</f>
        <v/>
      </c>
      <c r="P193">
        <f>IF(B193="","",IF(COUNTIFS('سجل التحفيز'!$V$5:$V$2004,"&gt;0",'سجل التحفيز'!$B$5:$B$2004,B193)&gt;0,COUNT(P$4:P192)+1,""))</f>
        <v/>
      </c>
      <c r="Q193">
        <f>IF(B193="","",IF(COUNTIFS('سجل التحفيز'!$W$5:$W$2004,"&gt;0",'سجل التحفيز'!$B$5:$B$2004,B193)&gt;0,COUNT(Q$4:Q192)+1,""))</f>
        <v/>
      </c>
      <c r="R193">
        <f>IF(B193="","",IF(COUNTIFS('سجل التحفيز'!$X$5:$X$2004,"&gt;0",'سجل التحفيز'!$B$5:$B$2004,B193)&gt;0,COUNT(R$4:R192)+1,""))</f>
        <v/>
      </c>
      <c r="S193">
        <f>IF(B193="","",IF(COUNTIFS('سجل التحفيز'!$Y$5:$Y$2004,"&gt;0",'سجل التحفيز'!$B$5:$B$2004,B193)&gt;0,COUNT(S$4:S192)+1,""))</f>
        <v/>
      </c>
      <c r="T193">
        <f>IF(B193="","",IF(COUNTIFS('سجل التحفيز'!$Z$5:$Z$2004,"&gt;0",'سجل التحفيز'!$B$5:$B$2004,B193)&gt;0,COUNT(T$4:T192)+1,""))</f>
        <v/>
      </c>
      <c r="U193">
        <f>IF(B193="","",IF(COUNTIFS('سجل التحفيز'!$AA$5:$AA$2004,"&gt;0",'سجل التحفيز'!$B$5:$B$2004,B193)&gt;0,COUNT(U$4:U192)+1,""))</f>
        <v/>
      </c>
      <c r="V193">
        <f>IF(B193="","",IF(COUNTIFS('سجل التحفيز'!$AB$5:$AB$2004,"&gt;0",'سجل التحفيز'!$B$5:$B$2004,B193)&gt;0,COUNT(V$4:V192)+1,""))</f>
        <v/>
      </c>
      <c r="W193">
        <f>IF(B193="","",IF(COUNTIFS('سجل التحفيز'!$AC$5:$AC$2004,"&gt;0",'سجل التحفيز'!$B$5:$B$2004,B193)&gt;0,COUNT(W$4:W192)+1,""))</f>
        <v/>
      </c>
      <c r="X193">
        <f>IF(B193="","",IF(COUNTIFS('سجل التحفيز'!$AD$5:$AD$2004,"&gt;0",'سجل التحفيز'!$B$5:$B$2004,B193)&gt;0,COUNT(X$4:X192)+1,""))</f>
        <v/>
      </c>
      <c r="Y193">
        <f>IF(B193="","",IF(COUNTIFS('سجل التحفيز'!$AE$5:$AE$2004,"&gt;0",'سجل التحفيز'!$B$5:$B$2004,B193)&gt;0,COUNT(Y$4:Y192)+1,""))</f>
        <v/>
      </c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20">
        <f>IF(B194="","",COUNTIFS('سجل التحفيز'!$B$5:$B$2004,B194,'سجل التحفيز'!$R$5:$R$2004,الإعدادات!$B$4))</f>
        <v/>
      </c>
      <c r="I194" s="20">
        <f>IF(B194="","",COUNTIFS('سجل التحفيز'!$B$5:$B$2004,B194,'سجل التحفيز'!$R$5:$R$2004,الإعدادات!$B$4,'سجل التحفيز'!$Q$5:$Q$2004,"الفصل الأول",'سجل التحفيز'!$D$5:$D$2004,"ذهبي"))</f>
        <v/>
      </c>
      <c r="J194" s="20">
        <f>IF(B194="","",COUNTIFS('سجل التحفيز'!$B$5:$B$2004,B194,'سجل التحفيز'!$R$5:$R$2004,الإعدادات!$B$4,'سجل التحفيز'!$Q$5:$Q$2004,"الفصل الثاني",'سجل التحفيز'!$D$5:$D$2004,"ذهبي"))</f>
        <v/>
      </c>
      <c r="K194" s="20">
        <f>IF(B194="","",COUNTIFS('سجل التحفيز'!$B$5:$B$2004,B194,'سجل التحفيز'!$R$5:$R$2004,الإعدادات!$B$4,'سجل التحفيز'!$D$5:$D$2004,"ذهبي"))</f>
        <v/>
      </c>
      <c r="L194" s="20">
        <f>IF(B194="","",IF(G194="محرومة","محرومة - مخالفة",IF(K194&gt;=5,"مستحقة ★","متبقي "&amp;(5-K194)&amp;" معايير")))</f>
        <v/>
      </c>
      <c r="N194">
        <f>IF(B194="","",IF(COUNTIFS('سجل التحفيز'!$T$5:$T$2004,"&gt;0",'سجل التحفيز'!$B$5:$B$2004,B194)&gt;0,COUNT(N$4:N193)+1,""))</f>
        <v/>
      </c>
      <c r="O194">
        <f>IF(B194="","",IF(COUNTIFS('سجل التحفيز'!$U$5:$U$2004,"&gt;0",'سجل التحفيز'!$B$5:$B$2004,B194)&gt;0,COUNT(O$4:O193)+1,""))</f>
        <v/>
      </c>
      <c r="P194">
        <f>IF(B194="","",IF(COUNTIFS('سجل التحفيز'!$V$5:$V$2004,"&gt;0",'سجل التحفيز'!$B$5:$B$2004,B194)&gt;0,COUNT(P$4:P193)+1,""))</f>
        <v/>
      </c>
      <c r="Q194">
        <f>IF(B194="","",IF(COUNTIFS('سجل التحفيز'!$W$5:$W$2004,"&gt;0",'سجل التحفيز'!$B$5:$B$2004,B194)&gt;0,COUNT(Q$4:Q193)+1,""))</f>
        <v/>
      </c>
      <c r="R194">
        <f>IF(B194="","",IF(COUNTIFS('سجل التحفيز'!$X$5:$X$2004,"&gt;0",'سجل التحفيز'!$B$5:$B$2004,B194)&gt;0,COUNT(R$4:R193)+1,""))</f>
        <v/>
      </c>
      <c r="S194">
        <f>IF(B194="","",IF(COUNTIFS('سجل التحفيز'!$Y$5:$Y$2004,"&gt;0",'سجل التحفيز'!$B$5:$B$2004,B194)&gt;0,COUNT(S$4:S193)+1,""))</f>
        <v/>
      </c>
      <c r="T194">
        <f>IF(B194="","",IF(COUNTIFS('سجل التحفيز'!$Z$5:$Z$2004,"&gt;0",'سجل التحفيز'!$B$5:$B$2004,B194)&gt;0,COUNT(T$4:T193)+1,""))</f>
        <v/>
      </c>
      <c r="U194">
        <f>IF(B194="","",IF(COUNTIFS('سجل التحفيز'!$AA$5:$AA$2004,"&gt;0",'سجل التحفيز'!$B$5:$B$2004,B194)&gt;0,COUNT(U$4:U193)+1,""))</f>
        <v/>
      </c>
      <c r="V194">
        <f>IF(B194="","",IF(COUNTIFS('سجل التحفيز'!$AB$5:$AB$2004,"&gt;0",'سجل التحفيز'!$B$5:$B$2004,B194)&gt;0,COUNT(V$4:V193)+1,""))</f>
        <v/>
      </c>
      <c r="W194">
        <f>IF(B194="","",IF(COUNTIFS('سجل التحفيز'!$AC$5:$AC$2004,"&gt;0",'سجل التحفيز'!$B$5:$B$2004,B194)&gt;0,COUNT(W$4:W193)+1,""))</f>
        <v/>
      </c>
      <c r="X194">
        <f>IF(B194="","",IF(COUNTIFS('سجل التحفيز'!$AD$5:$AD$2004,"&gt;0",'سجل التحفيز'!$B$5:$B$2004,B194)&gt;0,COUNT(X$4:X193)+1,""))</f>
        <v/>
      </c>
      <c r="Y194">
        <f>IF(B194="","",IF(COUNTIFS('سجل التحفيز'!$AE$5:$AE$2004,"&gt;0",'سجل التحفيز'!$B$5:$B$2004,B194)&gt;0,COUNT(Y$4:Y193)+1,""))</f>
        <v/>
      </c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20">
        <f>IF(B195="","",COUNTIFS('سجل التحفيز'!$B$5:$B$2004,B195,'سجل التحفيز'!$R$5:$R$2004,الإعدادات!$B$4))</f>
        <v/>
      </c>
      <c r="I195" s="20">
        <f>IF(B195="","",COUNTIFS('سجل التحفيز'!$B$5:$B$2004,B195,'سجل التحفيز'!$R$5:$R$2004,الإعدادات!$B$4,'سجل التحفيز'!$Q$5:$Q$2004,"الفصل الأول",'سجل التحفيز'!$D$5:$D$2004,"ذهبي"))</f>
        <v/>
      </c>
      <c r="J195" s="20">
        <f>IF(B195="","",COUNTIFS('سجل التحفيز'!$B$5:$B$2004,B195,'سجل التحفيز'!$R$5:$R$2004,الإعدادات!$B$4,'سجل التحفيز'!$Q$5:$Q$2004,"الفصل الثاني",'سجل التحفيز'!$D$5:$D$2004,"ذهبي"))</f>
        <v/>
      </c>
      <c r="K195" s="20">
        <f>IF(B195="","",COUNTIFS('سجل التحفيز'!$B$5:$B$2004,B195,'سجل التحفيز'!$R$5:$R$2004,الإعدادات!$B$4,'سجل التحفيز'!$D$5:$D$2004,"ذهبي"))</f>
        <v/>
      </c>
      <c r="L195" s="20">
        <f>IF(B195="","",IF(G195="محرومة","محرومة - مخالفة",IF(K195&gt;=5,"مستحقة ★","متبقي "&amp;(5-K195)&amp;" معايير")))</f>
        <v/>
      </c>
      <c r="N195">
        <f>IF(B195="","",IF(COUNTIFS('سجل التحفيز'!$T$5:$T$2004,"&gt;0",'سجل التحفيز'!$B$5:$B$2004,B195)&gt;0,COUNT(N$4:N194)+1,""))</f>
        <v/>
      </c>
      <c r="O195">
        <f>IF(B195="","",IF(COUNTIFS('سجل التحفيز'!$U$5:$U$2004,"&gt;0",'سجل التحفيز'!$B$5:$B$2004,B195)&gt;0,COUNT(O$4:O194)+1,""))</f>
        <v/>
      </c>
      <c r="P195">
        <f>IF(B195="","",IF(COUNTIFS('سجل التحفيز'!$V$5:$V$2004,"&gt;0",'سجل التحفيز'!$B$5:$B$2004,B195)&gt;0,COUNT(P$4:P194)+1,""))</f>
        <v/>
      </c>
      <c r="Q195">
        <f>IF(B195="","",IF(COUNTIFS('سجل التحفيز'!$W$5:$W$2004,"&gt;0",'سجل التحفيز'!$B$5:$B$2004,B195)&gt;0,COUNT(Q$4:Q194)+1,""))</f>
        <v/>
      </c>
      <c r="R195">
        <f>IF(B195="","",IF(COUNTIFS('سجل التحفيز'!$X$5:$X$2004,"&gt;0",'سجل التحفيز'!$B$5:$B$2004,B195)&gt;0,COUNT(R$4:R194)+1,""))</f>
        <v/>
      </c>
      <c r="S195">
        <f>IF(B195="","",IF(COUNTIFS('سجل التحفيز'!$Y$5:$Y$2004,"&gt;0",'سجل التحفيز'!$B$5:$B$2004,B195)&gt;0,COUNT(S$4:S194)+1,""))</f>
        <v/>
      </c>
      <c r="T195">
        <f>IF(B195="","",IF(COUNTIFS('سجل التحفيز'!$Z$5:$Z$2004,"&gt;0",'سجل التحفيز'!$B$5:$B$2004,B195)&gt;0,COUNT(T$4:T194)+1,""))</f>
        <v/>
      </c>
      <c r="U195">
        <f>IF(B195="","",IF(COUNTIFS('سجل التحفيز'!$AA$5:$AA$2004,"&gt;0",'سجل التحفيز'!$B$5:$B$2004,B195)&gt;0,COUNT(U$4:U194)+1,""))</f>
        <v/>
      </c>
      <c r="V195">
        <f>IF(B195="","",IF(COUNTIFS('سجل التحفيز'!$AB$5:$AB$2004,"&gt;0",'سجل التحفيز'!$B$5:$B$2004,B195)&gt;0,COUNT(V$4:V194)+1,""))</f>
        <v/>
      </c>
      <c r="W195">
        <f>IF(B195="","",IF(COUNTIFS('سجل التحفيز'!$AC$5:$AC$2004,"&gt;0",'سجل التحفيز'!$B$5:$B$2004,B195)&gt;0,COUNT(W$4:W194)+1,""))</f>
        <v/>
      </c>
      <c r="X195">
        <f>IF(B195="","",IF(COUNTIFS('سجل التحفيز'!$AD$5:$AD$2004,"&gt;0",'سجل التحفيز'!$B$5:$B$2004,B195)&gt;0,COUNT(X$4:X194)+1,""))</f>
        <v/>
      </c>
      <c r="Y195">
        <f>IF(B195="","",IF(COUNTIFS('سجل التحفيز'!$AE$5:$AE$2004,"&gt;0",'سجل التحفيز'!$B$5:$B$2004,B195)&gt;0,COUNT(Y$4:Y194)+1,""))</f>
        <v/>
      </c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20">
        <f>IF(B196="","",COUNTIFS('سجل التحفيز'!$B$5:$B$2004,B196,'سجل التحفيز'!$R$5:$R$2004,الإعدادات!$B$4))</f>
        <v/>
      </c>
      <c r="I196" s="20">
        <f>IF(B196="","",COUNTIFS('سجل التحفيز'!$B$5:$B$2004,B196,'سجل التحفيز'!$R$5:$R$2004,الإعدادات!$B$4,'سجل التحفيز'!$Q$5:$Q$2004,"الفصل الأول",'سجل التحفيز'!$D$5:$D$2004,"ذهبي"))</f>
        <v/>
      </c>
      <c r="J196" s="20">
        <f>IF(B196="","",COUNTIFS('سجل التحفيز'!$B$5:$B$2004,B196,'سجل التحفيز'!$R$5:$R$2004,الإعدادات!$B$4,'سجل التحفيز'!$Q$5:$Q$2004,"الفصل الثاني",'سجل التحفيز'!$D$5:$D$2004,"ذهبي"))</f>
        <v/>
      </c>
      <c r="K196" s="20">
        <f>IF(B196="","",COUNTIFS('سجل التحفيز'!$B$5:$B$2004,B196,'سجل التحفيز'!$R$5:$R$2004,الإعدادات!$B$4,'سجل التحفيز'!$D$5:$D$2004,"ذهبي"))</f>
        <v/>
      </c>
      <c r="L196" s="20">
        <f>IF(B196="","",IF(G196="محرومة","محرومة - مخالفة",IF(K196&gt;=5,"مستحقة ★","متبقي "&amp;(5-K196)&amp;" معايير")))</f>
        <v/>
      </c>
      <c r="N196">
        <f>IF(B196="","",IF(COUNTIFS('سجل التحفيز'!$T$5:$T$2004,"&gt;0",'سجل التحفيز'!$B$5:$B$2004,B196)&gt;0,COUNT(N$4:N195)+1,""))</f>
        <v/>
      </c>
      <c r="O196">
        <f>IF(B196="","",IF(COUNTIFS('سجل التحفيز'!$U$5:$U$2004,"&gt;0",'سجل التحفيز'!$B$5:$B$2004,B196)&gt;0,COUNT(O$4:O195)+1,""))</f>
        <v/>
      </c>
      <c r="P196">
        <f>IF(B196="","",IF(COUNTIFS('سجل التحفيز'!$V$5:$V$2004,"&gt;0",'سجل التحفيز'!$B$5:$B$2004,B196)&gt;0,COUNT(P$4:P195)+1,""))</f>
        <v/>
      </c>
      <c r="Q196">
        <f>IF(B196="","",IF(COUNTIFS('سجل التحفيز'!$W$5:$W$2004,"&gt;0",'سجل التحفيز'!$B$5:$B$2004,B196)&gt;0,COUNT(Q$4:Q195)+1,""))</f>
        <v/>
      </c>
      <c r="R196">
        <f>IF(B196="","",IF(COUNTIFS('سجل التحفيز'!$X$5:$X$2004,"&gt;0",'سجل التحفيز'!$B$5:$B$2004,B196)&gt;0,COUNT(R$4:R195)+1,""))</f>
        <v/>
      </c>
      <c r="S196">
        <f>IF(B196="","",IF(COUNTIFS('سجل التحفيز'!$Y$5:$Y$2004,"&gt;0",'سجل التحفيز'!$B$5:$B$2004,B196)&gt;0,COUNT(S$4:S195)+1,""))</f>
        <v/>
      </c>
      <c r="T196">
        <f>IF(B196="","",IF(COUNTIFS('سجل التحفيز'!$Z$5:$Z$2004,"&gt;0",'سجل التحفيز'!$B$5:$B$2004,B196)&gt;0,COUNT(T$4:T195)+1,""))</f>
        <v/>
      </c>
      <c r="U196">
        <f>IF(B196="","",IF(COUNTIFS('سجل التحفيز'!$AA$5:$AA$2004,"&gt;0",'سجل التحفيز'!$B$5:$B$2004,B196)&gt;0,COUNT(U$4:U195)+1,""))</f>
        <v/>
      </c>
      <c r="V196">
        <f>IF(B196="","",IF(COUNTIFS('سجل التحفيز'!$AB$5:$AB$2004,"&gt;0",'سجل التحفيز'!$B$5:$B$2004,B196)&gt;0,COUNT(V$4:V195)+1,""))</f>
        <v/>
      </c>
      <c r="W196">
        <f>IF(B196="","",IF(COUNTIFS('سجل التحفيز'!$AC$5:$AC$2004,"&gt;0",'سجل التحفيز'!$B$5:$B$2004,B196)&gt;0,COUNT(W$4:W195)+1,""))</f>
        <v/>
      </c>
      <c r="X196">
        <f>IF(B196="","",IF(COUNTIFS('سجل التحفيز'!$AD$5:$AD$2004,"&gt;0",'سجل التحفيز'!$B$5:$B$2004,B196)&gt;0,COUNT(X$4:X195)+1,""))</f>
        <v/>
      </c>
      <c r="Y196">
        <f>IF(B196="","",IF(COUNTIFS('سجل التحفيز'!$AE$5:$AE$2004,"&gt;0",'سجل التحفيز'!$B$5:$B$2004,B196)&gt;0,COUNT(Y$4:Y195)+1,""))</f>
        <v/>
      </c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20">
        <f>IF(B197="","",COUNTIFS('سجل التحفيز'!$B$5:$B$2004,B197,'سجل التحفيز'!$R$5:$R$2004,الإعدادات!$B$4))</f>
        <v/>
      </c>
      <c r="I197" s="20">
        <f>IF(B197="","",COUNTIFS('سجل التحفيز'!$B$5:$B$2004,B197,'سجل التحفيز'!$R$5:$R$2004,الإعدادات!$B$4,'سجل التحفيز'!$Q$5:$Q$2004,"الفصل الأول",'سجل التحفيز'!$D$5:$D$2004,"ذهبي"))</f>
        <v/>
      </c>
      <c r="J197" s="20">
        <f>IF(B197="","",COUNTIFS('سجل التحفيز'!$B$5:$B$2004,B197,'سجل التحفيز'!$R$5:$R$2004,الإعدادات!$B$4,'سجل التحفيز'!$Q$5:$Q$2004,"الفصل الثاني",'سجل التحفيز'!$D$5:$D$2004,"ذهبي"))</f>
        <v/>
      </c>
      <c r="K197" s="20">
        <f>IF(B197="","",COUNTIFS('سجل التحفيز'!$B$5:$B$2004,B197,'سجل التحفيز'!$R$5:$R$2004,الإعدادات!$B$4,'سجل التحفيز'!$D$5:$D$2004,"ذهبي"))</f>
        <v/>
      </c>
      <c r="L197" s="20">
        <f>IF(B197="","",IF(G197="محرومة","محرومة - مخالفة",IF(K197&gt;=5,"مستحقة ★","متبقي "&amp;(5-K197)&amp;" معايير")))</f>
        <v/>
      </c>
      <c r="N197">
        <f>IF(B197="","",IF(COUNTIFS('سجل التحفيز'!$T$5:$T$2004,"&gt;0",'سجل التحفيز'!$B$5:$B$2004,B197)&gt;0,COUNT(N$4:N196)+1,""))</f>
        <v/>
      </c>
      <c r="O197">
        <f>IF(B197="","",IF(COUNTIFS('سجل التحفيز'!$U$5:$U$2004,"&gt;0",'سجل التحفيز'!$B$5:$B$2004,B197)&gt;0,COUNT(O$4:O196)+1,""))</f>
        <v/>
      </c>
      <c r="P197">
        <f>IF(B197="","",IF(COUNTIFS('سجل التحفيز'!$V$5:$V$2004,"&gt;0",'سجل التحفيز'!$B$5:$B$2004,B197)&gt;0,COUNT(P$4:P196)+1,""))</f>
        <v/>
      </c>
      <c r="Q197">
        <f>IF(B197="","",IF(COUNTIFS('سجل التحفيز'!$W$5:$W$2004,"&gt;0",'سجل التحفيز'!$B$5:$B$2004,B197)&gt;0,COUNT(Q$4:Q196)+1,""))</f>
        <v/>
      </c>
      <c r="R197">
        <f>IF(B197="","",IF(COUNTIFS('سجل التحفيز'!$X$5:$X$2004,"&gt;0",'سجل التحفيز'!$B$5:$B$2004,B197)&gt;0,COUNT(R$4:R196)+1,""))</f>
        <v/>
      </c>
      <c r="S197">
        <f>IF(B197="","",IF(COUNTIFS('سجل التحفيز'!$Y$5:$Y$2004,"&gt;0",'سجل التحفيز'!$B$5:$B$2004,B197)&gt;0,COUNT(S$4:S196)+1,""))</f>
        <v/>
      </c>
      <c r="T197">
        <f>IF(B197="","",IF(COUNTIFS('سجل التحفيز'!$Z$5:$Z$2004,"&gt;0",'سجل التحفيز'!$B$5:$B$2004,B197)&gt;0,COUNT(T$4:T196)+1,""))</f>
        <v/>
      </c>
      <c r="U197">
        <f>IF(B197="","",IF(COUNTIFS('سجل التحفيز'!$AA$5:$AA$2004,"&gt;0",'سجل التحفيز'!$B$5:$B$2004,B197)&gt;0,COUNT(U$4:U196)+1,""))</f>
        <v/>
      </c>
      <c r="V197">
        <f>IF(B197="","",IF(COUNTIFS('سجل التحفيز'!$AB$5:$AB$2004,"&gt;0",'سجل التحفيز'!$B$5:$B$2004,B197)&gt;0,COUNT(V$4:V196)+1,""))</f>
        <v/>
      </c>
      <c r="W197">
        <f>IF(B197="","",IF(COUNTIFS('سجل التحفيز'!$AC$5:$AC$2004,"&gt;0",'سجل التحفيز'!$B$5:$B$2004,B197)&gt;0,COUNT(W$4:W196)+1,""))</f>
        <v/>
      </c>
      <c r="X197">
        <f>IF(B197="","",IF(COUNTIFS('سجل التحفيز'!$AD$5:$AD$2004,"&gt;0",'سجل التحفيز'!$B$5:$B$2004,B197)&gt;0,COUNT(X$4:X196)+1,""))</f>
        <v/>
      </c>
      <c r="Y197">
        <f>IF(B197="","",IF(COUNTIFS('سجل التحفيز'!$AE$5:$AE$2004,"&gt;0",'سجل التحفيز'!$B$5:$B$2004,B197)&gt;0,COUNT(Y$4:Y196)+1,""))</f>
        <v/>
      </c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20">
        <f>IF(B198="","",COUNTIFS('سجل التحفيز'!$B$5:$B$2004,B198,'سجل التحفيز'!$R$5:$R$2004,الإعدادات!$B$4))</f>
        <v/>
      </c>
      <c r="I198" s="20">
        <f>IF(B198="","",COUNTIFS('سجل التحفيز'!$B$5:$B$2004,B198,'سجل التحفيز'!$R$5:$R$2004,الإعدادات!$B$4,'سجل التحفيز'!$Q$5:$Q$2004,"الفصل الأول",'سجل التحفيز'!$D$5:$D$2004,"ذهبي"))</f>
        <v/>
      </c>
      <c r="J198" s="20">
        <f>IF(B198="","",COUNTIFS('سجل التحفيز'!$B$5:$B$2004,B198,'سجل التحفيز'!$R$5:$R$2004,الإعدادات!$B$4,'سجل التحفيز'!$Q$5:$Q$2004,"الفصل الثاني",'سجل التحفيز'!$D$5:$D$2004,"ذهبي"))</f>
        <v/>
      </c>
      <c r="K198" s="20">
        <f>IF(B198="","",COUNTIFS('سجل التحفيز'!$B$5:$B$2004,B198,'سجل التحفيز'!$R$5:$R$2004,الإعدادات!$B$4,'سجل التحفيز'!$D$5:$D$2004,"ذهبي"))</f>
        <v/>
      </c>
      <c r="L198" s="20">
        <f>IF(B198="","",IF(G198="محرومة","محرومة - مخالفة",IF(K198&gt;=5,"مستحقة ★","متبقي "&amp;(5-K198)&amp;" معايير")))</f>
        <v/>
      </c>
      <c r="N198">
        <f>IF(B198="","",IF(COUNTIFS('سجل التحفيز'!$T$5:$T$2004,"&gt;0",'سجل التحفيز'!$B$5:$B$2004,B198)&gt;0,COUNT(N$4:N197)+1,""))</f>
        <v/>
      </c>
      <c r="O198">
        <f>IF(B198="","",IF(COUNTIFS('سجل التحفيز'!$U$5:$U$2004,"&gt;0",'سجل التحفيز'!$B$5:$B$2004,B198)&gt;0,COUNT(O$4:O197)+1,""))</f>
        <v/>
      </c>
      <c r="P198">
        <f>IF(B198="","",IF(COUNTIFS('سجل التحفيز'!$V$5:$V$2004,"&gt;0",'سجل التحفيز'!$B$5:$B$2004,B198)&gt;0,COUNT(P$4:P197)+1,""))</f>
        <v/>
      </c>
      <c r="Q198">
        <f>IF(B198="","",IF(COUNTIFS('سجل التحفيز'!$W$5:$W$2004,"&gt;0",'سجل التحفيز'!$B$5:$B$2004,B198)&gt;0,COUNT(Q$4:Q197)+1,""))</f>
        <v/>
      </c>
      <c r="R198">
        <f>IF(B198="","",IF(COUNTIFS('سجل التحفيز'!$X$5:$X$2004,"&gt;0",'سجل التحفيز'!$B$5:$B$2004,B198)&gt;0,COUNT(R$4:R197)+1,""))</f>
        <v/>
      </c>
      <c r="S198">
        <f>IF(B198="","",IF(COUNTIFS('سجل التحفيز'!$Y$5:$Y$2004,"&gt;0",'سجل التحفيز'!$B$5:$B$2004,B198)&gt;0,COUNT(S$4:S197)+1,""))</f>
        <v/>
      </c>
      <c r="T198">
        <f>IF(B198="","",IF(COUNTIFS('سجل التحفيز'!$Z$5:$Z$2004,"&gt;0",'سجل التحفيز'!$B$5:$B$2004,B198)&gt;0,COUNT(T$4:T197)+1,""))</f>
        <v/>
      </c>
      <c r="U198">
        <f>IF(B198="","",IF(COUNTIFS('سجل التحفيز'!$AA$5:$AA$2004,"&gt;0",'سجل التحفيز'!$B$5:$B$2004,B198)&gt;0,COUNT(U$4:U197)+1,""))</f>
        <v/>
      </c>
      <c r="V198">
        <f>IF(B198="","",IF(COUNTIFS('سجل التحفيز'!$AB$5:$AB$2004,"&gt;0",'سجل التحفيز'!$B$5:$B$2004,B198)&gt;0,COUNT(V$4:V197)+1,""))</f>
        <v/>
      </c>
      <c r="W198">
        <f>IF(B198="","",IF(COUNTIFS('سجل التحفيز'!$AC$5:$AC$2004,"&gt;0",'سجل التحفيز'!$B$5:$B$2004,B198)&gt;0,COUNT(W$4:W197)+1,""))</f>
        <v/>
      </c>
      <c r="X198">
        <f>IF(B198="","",IF(COUNTIFS('سجل التحفيز'!$AD$5:$AD$2004,"&gt;0",'سجل التحفيز'!$B$5:$B$2004,B198)&gt;0,COUNT(X$4:X197)+1,""))</f>
        <v/>
      </c>
      <c r="Y198">
        <f>IF(B198="","",IF(COUNTIFS('سجل التحفيز'!$AE$5:$AE$2004,"&gt;0",'سجل التحفيز'!$B$5:$B$2004,B198)&gt;0,COUNT(Y$4:Y197)+1,""))</f>
        <v/>
      </c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20">
        <f>IF(B199="","",COUNTIFS('سجل التحفيز'!$B$5:$B$2004,B199,'سجل التحفيز'!$R$5:$R$2004,الإعدادات!$B$4))</f>
        <v/>
      </c>
      <c r="I199" s="20">
        <f>IF(B199="","",COUNTIFS('سجل التحفيز'!$B$5:$B$2004,B199,'سجل التحفيز'!$R$5:$R$2004,الإعدادات!$B$4,'سجل التحفيز'!$Q$5:$Q$2004,"الفصل الأول",'سجل التحفيز'!$D$5:$D$2004,"ذهبي"))</f>
        <v/>
      </c>
      <c r="J199" s="20">
        <f>IF(B199="","",COUNTIFS('سجل التحفيز'!$B$5:$B$2004,B199,'سجل التحفيز'!$R$5:$R$2004,الإعدادات!$B$4,'سجل التحفيز'!$Q$5:$Q$2004,"الفصل الثاني",'سجل التحفيز'!$D$5:$D$2004,"ذهبي"))</f>
        <v/>
      </c>
      <c r="K199" s="20">
        <f>IF(B199="","",COUNTIFS('سجل التحفيز'!$B$5:$B$2004,B199,'سجل التحفيز'!$R$5:$R$2004,الإعدادات!$B$4,'سجل التحفيز'!$D$5:$D$2004,"ذهبي"))</f>
        <v/>
      </c>
      <c r="L199" s="20">
        <f>IF(B199="","",IF(G199="محرومة","محرومة - مخالفة",IF(K199&gt;=5,"مستحقة ★","متبقي "&amp;(5-K199)&amp;" معايير")))</f>
        <v/>
      </c>
      <c r="N199">
        <f>IF(B199="","",IF(COUNTIFS('سجل التحفيز'!$T$5:$T$2004,"&gt;0",'سجل التحفيز'!$B$5:$B$2004,B199)&gt;0,COUNT(N$4:N198)+1,""))</f>
        <v/>
      </c>
      <c r="O199">
        <f>IF(B199="","",IF(COUNTIFS('سجل التحفيز'!$U$5:$U$2004,"&gt;0",'سجل التحفيز'!$B$5:$B$2004,B199)&gt;0,COUNT(O$4:O198)+1,""))</f>
        <v/>
      </c>
      <c r="P199">
        <f>IF(B199="","",IF(COUNTIFS('سجل التحفيز'!$V$5:$V$2004,"&gt;0",'سجل التحفيز'!$B$5:$B$2004,B199)&gt;0,COUNT(P$4:P198)+1,""))</f>
        <v/>
      </c>
      <c r="Q199">
        <f>IF(B199="","",IF(COUNTIFS('سجل التحفيز'!$W$5:$W$2004,"&gt;0",'سجل التحفيز'!$B$5:$B$2004,B199)&gt;0,COUNT(Q$4:Q198)+1,""))</f>
        <v/>
      </c>
      <c r="R199">
        <f>IF(B199="","",IF(COUNTIFS('سجل التحفيز'!$X$5:$X$2004,"&gt;0",'سجل التحفيز'!$B$5:$B$2004,B199)&gt;0,COUNT(R$4:R198)+1,""))</f>
        <v/>
      </c>
      <c r="S199">
        <f>IF(B199="","",IF(COUNTIFS('سجل التحفيز'!$Y$5:$Y$2004,"&gt;0",'سجل التحفيز'!$B$5:$B$2004,B199)&gt;0,COUNT(S$4:S198)+1,""))</f>
        <v/>
      </c>
      <c r="T199">
        <f>IF(B199="","",IF(COUNTIFS('سجل التحفيز'!$Z$5:$Z$2004,"&gt;0",'سجل التحفيز'!$B$5:$B$2004,B199)&gt;0,COUNT(T$4:T198)+1,""))</f>
        <v/>
      </c>
      <c r="U199">
        <f>IF(B199="","",IF(COUNTIFS('سجل التحفيز'!$AA$5:$AA$2004,"&gt;0",'سجل التحفيز'!$B$5:$B$2004,B199)&gt;0,COUNT(U$4:U198)+1,""))</f>
        <v/>
      </c>
      <c r="V199">
        <f>IF(B199="","",IF(COUNTIFS('سجل التحفيز'!$AB$5:$AB$2004,"&gt;0",'سجل التحفيز'!$B$5:$B$2004,B199)&gt;0,COUNT(V$4:V198)+1,""))</f>
        <v/>
      </c>
      <c r="W199">
        <f>IF(B199="","",IF(COUNTIFS('سجل التحفيز'!$AC$5:$AC$2004,"&gt;0",'سجل التحفيز'!$B$5:$B$2004,B199)&gt;0,COUNT(W$4:W198)+1,""))</f>
        <v/>
      </c>
      <c r="X199">
        <f>IF(B199="","",IF(COUNTIFS('سجل التحفيز'!$AD$5:$AD$2004,"&gt;0",'سجل التحفيز'!$B$5:$B$2004,B199)&gt;0,COUNT(X$4:X198)+1,""))</f>
        <v/>
      </c>
      <c r="Y199">
        <f>IF(B199="","",IF(COUNTIFS('سجل التحفيز'!$AE$5:$AE$2004,"&gt;0",'سجل التحفيز'!$B$5:$B$2004,B199)&gt;0,COUNT(Y$4:Y198)+1,""))</f>
        <v/>
      </c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20">
        <f>IF(B200="","",COUNTIFS('سجل التحفيز'!$B$5:$B$2004,B200,'سجل التحفيز'!$R$5:$R$2004,الإعدادات!$B$4))</f>
        <v/>
      </c>
      <c r="I200" s="20">
        <f>IF(B200="","",COUNTIFS('سجل التحفيز'!$B$5:$B$2004,B200,'سجل التحفيز'!$R$5:$R$2004,الإعدادات!$B$4,'سجل التحفيز'!$Q$5:$Q$2004,"الفصل الأول",'سجل التحفيز'!$D$5:$D$2004,"ذهبي"))</f>
        <v/>
      </c>
      <c r="J200" s="20">
        <f>IF(B200="","",COUNTIFS('سجل التحفيز'!$B$5:$B$2004,B200,'سجل التحفيز'!$R$5:$R$2004,الإعدادات!$B$4,'سجل التحفيز'!$Q$5:$Q$2004,"الفصل الثاني",'سجل التحفيز'!$D$5:$D$2004,"ذهبي"))</f>
        <v/>
      </c>
      <c r="K200" s="20">
        <f>IF(B200="","",COUNTIFS('سجل التحفيز'!$B$5:$B$2004,B200,'سجل التحفيز'!$R$5:$R$2004,الإعدادات!$B$4,'سجل التحفيز'!$D$5:$D$2004,"ذهبي"))</f>
        <v/>
      </c>
      <c r="L200" s="20">
        <f>IF(B200="","",IF(G200="محرومة","محرومة - مخالفة",IF(K200&gt;=5,"مستحقة ★","متبقي "&amp;(5-K200)&amp;" معايير")))</f>
        <v/>
      </c>
      <c r="N200">
        <f>IF(B200="","",IF(COUNTIFS('سجل التحفيز'!$T$5:$T$2004,"&gt;0",'سجل التحفيز'!$B$5:$B$2004,B200)&gt;0,COUNT(N$4:N199)+1,""))</f>
        <v/>
      </c>
      <c r="O200">
        <f>IF(B200="","",IF(COUNTIFS('سجل التحفيز'!$U$5:$U$2004,"&gt;0",'سجل التحفيز'!$B$5:$B$2004,B200)&gt;0,COUNT(O$4:O199)+1,""))</f>
        <v/>
      </c>
      <c r="P200">
        <f>IF(B200="","",IF(COUNTIFS('سجل التحفيز'!$V$5:$V$2004,"&gt;0",'سجل التحفيز'!$B$5:$B$2004,B200)&gt;0,COUNT(P$4:P199)+1,""))</f>
        <v/>
      </c>
      <c r="Q200">
        <f>IF(B200="","",IF(COUNTIFS('سجل التحفيز'!$W$5:$W$2004,"&gt;0",'سجل التحفيز'!$B$5:$B$2004,B200)&gt;0,COUNT(Q$4:Q199)+1,""))</f>
        <v/>
      </c>
      <c r="R200">
        <f>IF(B200="","",IF(COUNTIFS('سجل التحفيز'!$X$5:$X$2004,"&gt;0",'سجل التحفيز'!$B$5:$B$2004,B200)&gt;0,COUNT(R$4:R199)+1,""))</f>
        <v/>
      </c>
      <c r="S200">
        <f>IF(B200="","",IF(COUNTIFS('سجل التحفيز'!$Y$5:$Y$2004,"&gt;0",'سجل التحفيز'!$B$5:$B$2004,B200)&gt;0,COUNT(S$4:S199)+1,""))</f>
        <v/>
      </c>
      <c r="T200">
        <f>IF(B200="","",IF(COUNTIFS('سجل التحفيز'!$Z$5:$Z$2004,"&gt;0",'سجل التحفيز'!$B$5:$B$2004,B200)&gt;0,COUNT(T$4:T199)+1,""))</f>
        <v/>
      </c>
      <c r="U200">
        <f>IF(B200="","",IF(COUNTIFS('سجل التحفيز'!$AA$5:$AA$2004,"&gt;0",'سجل التحفيز'!$B$5:$B$2004,B200)&gt;0,COUNT(U$4:U199)+1,""))</f>
        <v/>
      </c>
      <c r="V200">
        <f>IF(B200="","",IF(COUNTIFS('سجل التحفيز'!$AB$5:$AB$2004,"&gt;0",'سجل التحفيز'!$B$5:$B$2004,B200)&gt;0,COUNT(V$4:V199)+1,""))</f>
        <v/>
      </c>
      <c r="W200">
        <f>IF(B200="","",IF(COUNTIFS('سجل التحفيز'!$AC$5:$AC$2004,"&gt;0",'سجل التحفيز'!$B$5:$B$2004,B200)&gt;0,COUNT(W$4:W199)+1,""))</f>
        <v/>
      </c>
      <c r="X200">
        <f>IF(B200="","",IF(COUNTIFS('سجل التحفيز'!$AD$5:$AD$2004,"&gt;0",'سجل التحفيز'!$B$5:$B$2004,B200)&gt;0,COUNT(X$4:X199)+1,""))</f>
        <v/>
      </c>
      <c r="Y200">
        <f>IF(B200="","",IF(COUNTIFS('سجل التحفيز'!$AE$5:$AE$2004,"&gt;0",'سجل التحفيز'!$B$5:$B$2004,B200)&gt;0,COUNT(Y$4:Y199)+1,""))</f>
        <v/>
      </c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20">
        <f>IF(B201="","",COUNTIFS('سجل التحفيز'!$B$5:$B$2004,B201,'سجل التحفيز'!$R$5:$R$2004,الإعدادات!$B$4))</f>
        <v/>
      </c>
      <c r="I201" s="20">
        <f>IF(B201="","",COUNTIFS('سجل التحفيز'!$B$5:$B$2004,B201,'سجل التحفيز'!$R$5:$R$2004,الإعدادات!$B$4,'سجل التحفيز'!$Q$5:$Q$2004,"الفصل الأول",'سجل التحفيز'!$D$5:$D$2004,"ذهبي"))</f>
        <v/>
      </c>
      <c r="J201" s="20">
        <f>IF(B201="","",COUNTIFS('سجل التحفيز'!$B$5:$B$2004,B201,'سجل التحفيز'!$R$5:$R$2004,الإعدادات!$B$4,'سجل التحفيز'!$Q$5:$Q$2004,"الفصل الثاني",'سجل التحفيز'!$D$5:$D$2004,"ذهبي"))</f>
        <v/>
      </c>
      <c r="K201" s="20">
        <f>IF(B201="","",COUNTIFS('سجل التحفيز'!$B$5:$B$2004,B201,'سجل التحفيز'!$R$5:$R$2004,الإعدادات!$B$4,'سجل التحفيز'!$D$5:$D$2004,"ذهبي"))</f>
        <v/>
      </c>
      <c r="L201" s="20">
        <f>IF(B201="","",IF(G201="محرومة","محرومة - مخالفة",IF(K201&gt;=5,"مستحقة ★","متبقي "&amp;(5-K201)&amp;" معايير")))</f>
        <v/>
      </c>
      <c r="N201">
        <f>IF(B201="","",IF(COUNTIFS('سجل التحفيز'!$T$5:$T$2004,"&gt;0",'سجل التحفيز'!$B$5:$B$2004,B201)&gt;0,COUNT(N$4:N200)+1,""))</f>
        <v/>
      </c>
      <c r="O201">
        <f>IF(B201="","",IF(COUNTIFS('سجل التحفيز'!$U$5:$U$2004,"&gt;0",'سجل التحفيز'!$B$5:$B$2004,B201)&gt;0,COUNT(O$4:O200)+1,""))</f>
        <v/>
      </c>
      <c r="P201">
        <f>IF(B201="","",IF(COUNTIFS('سجل التحفيز'!$V$5:$V$2004,"&gt;0",'سجل التحفيز'!$B$5:$B$2004,B201)&gt;0,COUNT(P$4:P200)+1,""))</f>
        <v/>
      </c>
      <c r="Q201">
        <f>IF(B201="","",IF(COUNTIFS('سجل التحفيز'!$W$5:$W$2004,"&gt;0",'سجل التحفيز'!$B$5:$B$2004,B201)&gt;0,COUNT(Q$4:Q200)+1,""))</f>
        <v/>
      </c>
      <c r="R201">
        <f>IF(B201="","",IF(COUNTIFS('سجل التحفيز'!$X$5:$X$2004,"&gt;0",'سجل التحفيز'!$B$5:$B$2004,B201)&gt;0,COUNT(R$4:R200)+1,""))</f>
        <v/>
      </c>
      <c r="S201">
        <f>IF(B201="","",IF(COUNTIFS('سجل التحفيز'!$Y$5:$Y$2004,"&gt;0",'سجل التحفيز'!$B$5:$B$2004,B201)&gt;0,COUNT(S$4:S200)+1,""))</f>
        <v/>
      </c>
      <c r="T201">
        <f>IF(B201="","",IF(COUNTIFS('سجل التحفيز'!$Z$5:$Z$2004,"&gt;0",'سجل التحفيز'!$B$5:$B$2004,B201)&gt;0,COUNT(T$4:T200)+1,""))</f>
        <v/>
      </c>
      <c r="U201">
        <f>IF(B201="","",IF(COUNTIFS('سجل التحفيز'!$AA$5:$AA$2004,"&gt;0",'سجل التحفيز'!$B$5:$B$2004,B201)&gt;0,COUNT(U$4:U200)+1,""))</f>
        <v/>
      </c>
      <c r="V201">
        <f>IF(B201="","",IF(COUNTIFS('سجل التحفيز'!$AB$5:$AB$2004,"&gt;0",'سجل التحفيز'!$B$5:$B$2004,B201)&gt;0,COUNT(V$4:V200)+1,""))</f>
        <v/>
      </c>
      <c r="W201">
        <f>IF(B201="","",IF(COUNTIFS('سجل التحفيز'!$AC$5:$AC$2004,"&gt;0",'سجل التحفيز'!$B$5:$B$2004,B201)&gt;0,COUNT(W$4:W200)+1,""))</f>
        <v/>
      </c>
      <c r="X201">
        <f>IF(B201="","",IF(COUNTIFS('سجل التحفيز'!$AD$5:$AD$2004,"&gt;0",'سجل التحفيز'!$B$5:$B$2004,B201)&gt;0,COUNT(X$4:X200)+1,""))</f>
        <v/>
      </c>
      <c r="Y201">
        <f>IF(B201="","",IF(COUNTIFS('سجل التحفيز'!$AE$5:$AE$2004,"&gt;0",'سجل التحفيز'!$B$5:$B$2004,B201)&gt;0,COUNT(Y$4:Y200)+1,""))</f>
        <v/>
      </c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20">
        <f>IF(B202="","",COUNTIFS('سجل التحفيز'!$B$5:$B$2004,B202,'سجل التحفيز'!$R$5:$R$2004,الإعدادات!$B$4))</f>
        <v/>
      </c>
      <c r="I202" s="20">
        <f>IF(B202="","",COUNTIFS('سجل التحفيز'!$B$5:$B$2004,B202,'سجل التحفيز'!$R$5:$R$2004,الإعدادات!$B$4,'سجل التحفيز'!$Q$5:$Q$2004,"الفصل الأول",'سجل التحفيز'!$D$5:$D$2004,"ذهبي"))</f>
        <v/>
      </c>
      <c r="J202" s="20">
        <f>IF(B202="","",COUNTIFS('سجل التحفيز'!$B$5:$B$2004,B202,'سجل التحفيز'!$R$5:$R$2004,الإعدادات!$B$4,'سجل التحفيز'!$Q$5:$Q$2004,"الفصل الثاني",'سجل التحفيز'!$D$5:$D$2004,"ذهبي"))</f>
        <v/>
      </c>
      <c r="K202" s="20">
        <f>IF(B202="","",COUNTIFS('سجل التحفيز'!$B$5:$B$2004,B202,'سجل التحفيز'!$R$5:$R$2004,الإعدادات!$B$4,'سجل التحفيز'!$D$5:$D$2004,"ذهبي"))</f>
        <v/>
      </c>
      <c r="L202" s="20">
        <f>IF(B202="","",IF(G202="محرومة","محرومة - مخالفة",IF(K202&gt;=5,"مستحقة ★","متبقي "&amp;(5-K202)&amp;" معايير")))</f>
        <v/>
      </c>
      <c r="N202">
        <f>IF(B202="","",IF(COUNTIFS('سجل التحفيز'!$T$5:$T$2004,"&gt;0",'سجل التحفيز'!$B$5:$B$2004,B202)&gt;0,COUNT(N$4:N201)+1,""))</f>
        <v/>
      </c>
      <c r="O202">
        <f>IF(B202="","",IF(COUNTIFS('سجل التحفيز'!$U$5:$U$2004,"&gt;0",'سجل التحفيز'!$B$5:$B$2004,B202)&gt;0,COUNT(O$4:O201)+1,""))</f>
        <v/>
      </c>
      <c r="P202">
        <f>IF(B202="","",IF(COUNTIFS('سجل التحفيز'!$V$5:$V$2004,"&gt;0",'سجل التحفيز'!$B$5:$B$2004,B202)&gt;0,COUNT(P$4:P201)+1,""))</f>
        <v/>
      </c>
      <c r="Q202">
        <f>IF(B202="","",IF(COUNTIFS('سجل التحفيز'!$W$5:$W$2004,"&gt;0",'سجل التحفيز'!$B$5:$B$2004,B202)&gt;0,COUNT(Q$4:Q201)+1,""))</f>
        <v/>
      </c>
      <c r="R202">
        <f>IF(B202="","",IF(COUNTIFS('سجل التحفيز'!$X$5:$X$2004,"&gt;0",'سجل التحفيز'!$B$5:$B$2004,B202)&gt;0,COUNT(R$4:R201)+1,""))</f>
        <v/>
      </c>
      <c r="S202">
        <f>IF(B202="","",IF(COUNTIFS('سجل التحفيز'!$Y$5:$Y$2004,"&gt;0",'سجل التحفيز'!$B$5:$B$2004,B202)&gt;0,COUNT(S$4:S201)+1,""))</f>
        <v/>
      </c>
      <c r="T202">
        <f>IF(B202="","",IF(COUNTIFS('سجل التحفيز'!$Z$5:$Z$2004,"&gt;0",'سجل التحفيز'!$B$5:$B$2004,B202)&gt;0,COUNT(T$4:T201)+1,""))</f>
        <v/>
      </c>
      <c r="U202">
        <f>IF(B202="","",IF(COUNTIFS('سجل التحفيز'!$AA$5:$AA$2004,"&gt;0",'سجل التحفيز'!$B$5:$B$2004,B202)&gt;0,COUNT(U$4:U201)+1,""))</f>
        <v/>
      </c>
      <c r="V202">
        <f>IF(B202="","",IF(COUNTIFS('سجل التحفيز'!$AB$5:$AB$2004,"&gt;0",'سجل التحفيز'!$B$5:$B$2004,B202)&gt;0,COUNT(V$4:V201)+1,""))</f>
        <v/>
      </c>
      <c r="W202">
        <f>IF(B202="","",IF(COUNTIFS('سجل التحفيز'!$AC$5:$AC$2004,"&gt;0",'سجل التحفيز'!$B$5:$B$2004,B202)&gt;0,COUNT(W$4:W201)+1,""))</f>
        <v/>
      </c>
      <c r="X202">
        <f>IF(B202="","",IF(COUNTIFS('سجل التحفيز'!$AD$5:$AD$2004,"&gt;0",'سجل التحفيز'!$B$5:$B$2004,B202)&gt;0,COUNT(X$4:X201)+1,""))</f>
        <v/>
      </c>
      <c r="Y202">
        <f>IF(B202="","",IF(COUNTIFS('سجل التحفيز'!$AE$5:$AE$2004,"&gt;0",'سجل التحفيز'!$B$5:$B$2004,B202)&gt;0,COUNT(Y$4:Y201)+1,""))</f>
        <v/>
      </c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20">
        <f>IF(B203="","",COUNTIFS('سجل التحفيز'!$B$5:$B$2004,B203,'سجل التحفيز'!$R$5:$R$2004,الإعدادات!$B$4))</f>
        <v/>
      </c>
      <c r="I203" s="20">
        <f>IF(B203="","",COUNTIFS('سجل التحفيز'!$B$5:$B$2004,B203,'سجل التحفيز'!$R$5:$R$2004,الإعدادات!$B$4,'سجل التحفيز'!$Q$5:$Q$2004,"الفصل الأول",'سجل التحفيز'!$D$5:$D$2004,"ذهبي"))</f>
        <v/>
      </c>
      <c r="J203" s="20">
        <f>IF(B203="","",COUNTIFS('سجل التحفيز'!$B$5:$B$2004,B203,'سجل التحفيز'!$R$5:$R$2004,الإعدادات!$B$4,'سجل التحفيز'!$Q$5:$Q$2004,"الفصل الثاني",'سجل التحفيز'!$D$5:$D$2004,"ذهبي"))</f>
        <v/>
      </c>
      <c r="K203" s="20">
        <f>IF(B203="","",COUNTIFS('سجل التحفيز'!$B$5:$B$2004,B203,'سجل التحفيز'!$R$5:$R$2004,الإعدادات!$B$4,'سجل التحفيز'!$D$5:$D$2004,"ذهبي"))</f>
        <v/>
      </c>
      <c r="L203" s="20">
        <f>IF(B203="","",IF(G203="محرومة","محرومة - مخالفة",IF(K203&gt;=5,"مستحقة ★","متبقي "&amp;(5-K203)&amp;" معايير")))</f>
        <v/>
      </c>
      <c r="N203">
        <f>IF(B203="","",IF(COUNTIFS('سجل التحفيز'!$T$5:$T$2004,"&gt;0",'سجل التحفيز'!$B$5:$B$2004,B203)&gt;0,COUNT(N$4:N202)+1,""))</f>
        <v/>
      </c>
      <c r="O203">
        <f>IF(B203="","",IF(COUNTIFS('سجل التحفيز'!$U$5:$U$2004,"&gt;0",'سجل التحفيز'!$B$5:$B$2004,B203)&gt;0,COUNT(O$4:O202)+1,""))</f>
        <v/>
      </c>
      <c r="P203">
        <f>IF(B203="","",IF(COUNTIFS('سجل التحفيز'!$V$5:$V$2004,"&gt;0",'سجل التحفيز'!$B$5:$B$2004,B203)&gt;0,COUNT(P$4:P202)+1,""))</f>
        <v/>
      </c>
      <c r="Q203">
        <f>IF(B203="","",IF(COUNTIFS('سجل التحفيز'!$W$5:$W$2004,"&gt;0",'سجل التحفيز'!$B$5:$B$2004,B203)&gt;0,COUNT(Q$4:Q202)+1,""))</f>
        <v/>
      </c>
      <c r="R203">
        <f>IF(B203="","",IF(COUNTIFS('سجل التحفيز'!$X$5:$X$2004,"&gt;0",'سجل التحفيز'!$B$5:$B$2004,B203)&gt;0,COUNT(R$4:R202)+1,""))</f>
        <v/>
      </c>
      <c r="S203">
        <f>IF(B203="","",IF(COUNTIFS('سجل التحفيز'!$Y$5:$Y$2004,"&gt;0",'سجل التحفيز'!$B$5:$B$2004,B203)&gt;0,COUNT(S$4:S202)+1,""))</f>
        <v/>
      </c>
      <c r="T203">
        <f>IF(B203="","",IF(COUNTIFS('سجل التحفيز'!$Z$5:$Z$2004,"&gt;0",'سجل التحفيز'!$B$5:$B$2004,B203)&gt;0,COUNT(T$4:T202)+1,""))</f>
        <v/>
      </c>
      <c r="U203">
        <f>IF(B203="","",IF(COUNTIFS('سجل التحفيز'!$AA$5:$AA$2004,"&gt;0",'سجل التحفيز'!$B$5:$B$2004,B203)&gt;0,COUNT(U$4:U202)+1,""))</f>
        <v/>
      </c>
      <c r="V203">
        <f>IF(B203="","",IF(COUNTIFS('سجل التحفيز'!$AB$5:$AB$2004,"&gt;0",'سجل التحفيز'!$B$5:$B$2004,B203)&gt;0,COUNT(V$4:V202)+1,""))</f>
        <v/>
      </c>
      <c r="W203">
        <f>IF(B203="","",IF(COUNTIFS('سجل التحفيز'!$AC$5:$AC$2004,"&gt;0",'سجل التحفيز'!$B$5:$B$2004,B203)&gt;0,COUNT(W$4:W202)+1,""))</f>
        <v/>
      </c>
      <c r="X203">
        <f>IF(B203="","",IF(COUNTIFS('سجل التحفيز'!$AD$5:$AD$2004,"&gt;0",'سجل التحفيز'!$B$5:$B$2004,B203)&gt;0,COUNT(X$4:X202)+1,""))</f>
        <v/>
      </c>
      <c r="Y203">
        <f>IF(B203="","",IF(COUNTIFS('سجل التحفيز'!$AE$5:$AE$2004,"&gt;0",'سجل التحفيز'!$B$5:$B$2004,B203)&gt;0,COUNT(Y$4:Y202)+1,""))</f>
        <v/>
      </c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20">
        <f>IF(B204="","",COUNTIFS('سجل التحفيز'!$B$5:$B$2004,B204,'سجل التحفيز'!$R$5:$R$2004,الإعدادات!$B$4))</f>
        <v/>
      </c>
      <c r="I204" s="20">
        <f>IF(B204="","",COUNTIFS('سجل التحفيز'!$B$5:$B$2004,B204,'سجل التحفيز'!$R$5:$R$2004,الإعدادات!$B$4,'سجل التحفيز'!$Q$5:$Q$2004,"الفصل الأول",'سجل التحفيز'!$D$5:$D$2004,"ذهبي"))</f>
        <v/>
      </c>
      <c r="J204" s="20">
        <f>IF(B204="","",COUNTIFS('سجل التحفيز'!$B$5:$B$2004,B204,'سجل التحفيز'!$R$5:$R$2004,الإعدادات!$B$4,'سجل التحفيز'!$Q$5:$Q$2004,"الفصل الثاني",'سجل التحفيز'!$D$5:$D$2004,"ذهبي"))</f>
        <v/>
      </c>
      <c r="K204" s="20">
        <f>IF(B204="","",COUNTIFS('سجل التحفيز'!$B$5:$B$2004,B204,'سجل التحفيز'!$R$5:$R$2004,الإعدادات!$B$4,'سجل التحفيز'!$D$5:$D$2004,"ذهبي"))</f>
        <v/>
      </c>
      <c r="L204" s="20">
        <f>IF(B204="","",IF(G204="محرومة","محرومة - مخالفة",IF(K204&gt;=5,"مستحقة ★","متبقي "&amp;(5-K204)&amp;" معايير")))</f>
        <v/>
      </c>
      <c r="N204">
        <f>IF(B204="","",IF(COUNTIFS('سجل التحفيز'!$T$5:$T$2004,"&gt;0",'سجل التحفيز'!$B$5:$B$2004,B204)&gt;0,COUNT(N$4:N203)+1,""))</f>
        <v/>
      </c>
      <c r="O204">
        <f>IF(B204="","",IF(COUNTIFS('سجل التحفيز'!$U$5:$U$2004,"&gt;0",'سجل التحفيز'!$B$5:$B$2004,B204)&gt;0,COUNT(O$4:O203)+1,""))</f>
        <v/>
      </c>
      <c r="P204">
        <f>IF(B204="","",IF(COUNTIFS('سجل التحفيز'!$V$5:$V$2004,"&gt;0",'سجل التحفيز'!$B$5:$B$2004,B204)&gt;0,COUNT(P$4:P203)+1,""))</f>
        <v/>
      </c>
      <c r="Q204">
        <f>IF(B204="","",IF(COUNTIFS('سجل التحفيز'!$W$5:$W$2004,"&gt;0",'سجل التحفيز'!$B$5:$B$2004,B204)&gt;0,COUNT(Q$4:Q203)+1,""))</f>
        <v/>
      </c>
      <c r="R204">
        <f>IF(B204="","",IF(COUNTIFS('سجل التحفيز'!$X$5:$X$2004,"&gt;0",'سجل التحفيز'!$B$5:$B$2004,B204)&gt;0,COUNT(R$4:R203)+1,""))</f>
        <v/>
      </c>
      <c r="S204">
        <f>IF(B204="","",IF(COUNTIFS('سجل التحفيز'!$Y$5:$Y$2004,"&gt;0",'سجل التحفيز'!$B$5:$B$2004,B204)&gt;0,COUNT(S$4:S203)+1,""))</f>
        <v/>
      </c>
      <c r="T204">
        <f>IF(B204="","",IF(COUNTIFS('سجل التحفيز'!$Z$5:$Z$2004,"&gt;0",'سجل التحفيز'!$B$5:$B$2004,B204)&gt;0,COUNT(T$4:T203)+1,""))</f>
        <v/>
      </c>
      <c r="U204">
        <f>IF(B204="","",IF(COUNTIFS('سجل التحفيز'!$AA$5:$AA$2004,"&gt;0",'سجل التحفيز'!$B$5:$B$2004,B204)&gt;0,COUNT(U$4:U203)+1,""))</f>
        <v/>
      </c>
      <c r="V204">
        <f>IF(B204="","",IF(COUNTIFS('سجل التحفيز'!$AB$5:$AB$2004,"&gt;0",'سجل التحفيز'!$B$5:$B$2004,B204)&gt;0,COUNT(V$4:V203)+1,""))</f>
        <v/>
      </c>
      <c r="W204">
        <f>IF(B204="","",IF(COUNTIFS('سجل التحفيز'!$AC$5:$AC$2004,"&gt;0",'سجل التحفيز'!$B$5:$B$2004,B204)&gt;0,COUNT(W$4:W203)+1,""))</f>
        <v/>
      </c>
      <c r="X204">
        <f>IF(B204="","",IF(COUNTIFS('سجل التحفيز'!$AD$5:$AD$2004,"&gt;0",'سجل التحفيز'!$B$5:$B$2004,B204)&gt;0,COUNT(X$4:X203)+1,""))</f>
        <v/>
      </c>
      <c r="Y204">
        <f>IF(B204="","",IF(COUNTIFS('سجل التحفيز'!$AE$5:$AE$2004,"&gt;0",'سجل التحفيز'!$B$5:$B$2004,B204)&gt;0,COUNT(Y$4:Y203)+1,""))</f>
        <v/>
      </c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20">
        <f>IF(B205="","",COUNTIFS('سجل التحفيز'!$B$5:$B$2004,B205,'سجل التحفيز'!$R$5:$R$2004,الإعدادات!$B$4))</f>
        <v/>
      </c>
      <c r="I205" s="20">
        <f>IF(B205="","",COUNTIFS('سجل التحفيز'!$B$5:$B$2004,B205,'سجل التحفيز'!$R$5:$R$2004,الإعدادات!$B$4,'سجل التحفيز'!$Q$5:$Q$2004,"الفصل الأول",'سجل التحفيز'!$D$5:$D$2004,"ذهبي"))</f>
        <v/>
      </c>
      <c r="J205" s="20">
        <f>IF(B205="","",COUNTIFS('سجل التحفيز'!$B$5:$B$2004,B205,'سجل التحفيز'!$R$5:$R$2004,الإعدادات!$B$4,'سجل التحفيز'!$Q$5:$Q$2004,"الفصل الثاني",'سجل التحفيز'!$D$5:$D$2004,"ذهبي"))</f>
        <v/>
      </c>
      <c r="K205" s="20">
        <f>IF(B205="","",COUNTIFS('سجل التحفيز'!$B$5:$B$2004,B205,'سجل التحفيز'!$R$5:$R$2004,الإعدادات!$B$4,'سجل التحفيز'!$D$5:$D$2004,"ذهبي"))</f>
        <v/>
      </c>
      <c r="L205" s="20">
        <f>IF(B205="","",IF(G205="محرومة","محرومة - مخالفة",IF(K205&gt;=5,"مستحقة ★","متبقي "&amp;(5-K205)&amp;" معايير")))</f>
        <v/>
      </c>
      <c r="N205">
        <f>IF(B205="","",IF(COUNTIFS('سجل التحفيز'!$T$5:$T$2004,"&gt;0",'سجل التحفيز'!$B$5:$B$2004,B205)&gt;0,COUNT(N$4:N204)+1,""))</f>
        <v/>
      </c>
      <c r="O205">
        <f>IF(B205="","",IF(COUNTIFS('سجل التحفيز'!$U$5:$U$2004,"&gt;0",'سجل التحفيز'!$B$5:$B$2004,B205)&gt;0,COUNT(O$4:O204)+1,""))</f>
        <v/>
      </c>
      <c r="P205">
        <f>IF(B205="","",IF(COUNTIFS('سجل التحفيز'!$V$5:$V$2004,"&gt;0",'سجل التحفيز'!$B$5:$B$2004,B205)&gt;0,COUNT(P$4:P204)+1,""))</f>
        <v/>
      </c>
      <c r="Q205">
        <f>IF(B205="","",IF(COUNTIFS('سجل التحفيز'!$W$5:$W$2004,"&gt;0",'سجل التحفيز'!$B$5:$B$2004,B205)&gt;0,COUNT(Q$4:Q204)+1,""))</f>
        <v/>
      </c>
      <c r="R205">
        <f>IF(B205="","",IF(COUNTIFS('سجل التحفيز'!$X$5:$X$2004,"&gt;0",'سجل التحفيز'!$B$5:$B$2004,B205)&gt;0,COUNT(R$4:R204)+1,""))</f>
        <v/>
      </c>
      <c r="S205">
        <f>IF(B205="","",IF(COUNTIFS('سجل التحفيز'!$Y$5:$Y$2004,"&gt;0",'سجل التحفيز'!$B$5:$B$2004,B205)&gt;0,COUNT(S$4:S204)+1,""))</f>
        <v/>
      </c>
      <c r="T205">
        <f>IF(B205="","",IF(COUNTIFS('سجل التحفيز'!$Z$5:$Z$2004,"&gt;0",'سجل التحفيز'!$B$5:$B$2004,B205)&gt;0,COUNT(T$4:T204)+1,""))</f>
        <v/>
      </c>
      <c r="U205">
        <f>IF(B205="","",IF(COUNTIFS('سجل التحفيز'!$AA$5:$AA$2004,"&gt;0",'سجل التحفيز'!$B$5:$B$2004,B205)&gt;0,COUNT(U$4:U204)+1,""))</f>
        <v/>
      </c>
      <c r="V205">
        <f>IF(B205="","",IF(COUNTIFS('سجل التحفيز'!$AB$5:$AB$2004,"&gt;0",'سجل التحفيز'!$B$5:$B$2004,B205)&gt;0,COUNT(V$4:V204)+1,""))</f>
        <v/>
      </c>
      <c r="W205">
        <f>IF(B205="","",IF(COUNTIFS('سجل التحفيز'!$AC$5:$AC$2004,"&gt;0",'سجل التحفيز'!$B$5:$B$2004,B205)&gt;0,COUNT(W$4:W204)+1,""))</f>
        <v/>
      </c>
      <c r="X205">
        <f>IF(B205="","",IF(COUNTIFS('سجل التحفيز'!$AD$5:$AD$2004,"&gt;0",'سجل التحفيز'!$B$5:$B$2004,B205)&gt;0,COUNT(X$4:X204)+1,""))</f>
        <v/>
      </c>
      <c r="Y205">
        <f>IF(B205="","",IF(COUNTIFS('سجل التحفيز'!$AE$5:$AE$2004,"&gt;0",'سجل التحفيز'!$B$5:$B$2004,B205)&gt;0,COUNT(Y$4:Y204)+1,""))</f>
        <v/>
      </c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20">
        <f>IF(B206="","",COUNTIFS('سجل التحفيز'!$B$5:$B$2004,B206,'سجل التحفيز'!$R$5:$R$2004,الإعدادات!$B$4))</f>
        <v/>
      </c>
      <c r="I206" s="20">
        <f>IF(B206="","",COUNTIFS('سجل التحفيز'!$B$5:$B$2004,B206,'سجل التحفيز'!$R$5:$R$2004,الإعدادات!$B$4,'سجل التحفيز'!$Q$5:$Q$2004,"الفصل الأول",'سجل التحفيز'!$D$5:$D$2004,"ذهبي"))</f>
        <v/>
      </c>
      <c r="J206" s="20">
        <f>IF(B206="","",COUNTIFS('سجل التحفيز'!$B$5:$B$2004,B206,'سجل التحفيز'!$R$5:$R$2004,الإعدادات!$B$4,'سجل التحفيز'!$Q$5:$Q$2004,"الفصل الثاني",'سجل التحفيز'!$D$5:$D$2004,"ذهبي"))</f>
        <v/>
      </c>
      <c r="K206" s="20">
        <f>IF(B206="","",COUNTIFS('سجل التحفيز'!$B$5:$B$2004,B206,'سجل التحفيز'!$R$5:$R$2004,الإعدادات!$B$4,'سجل التحفيز'!$D$5:$D$2004,"ذهبي"))</f>
        <v/>
      </c>
      <c r="L206" s="20">
        <f>IF(B206="","",IF(G206="محرومة","محرومة - مخالفة",IF(K206&gt;=5,"مستحقة ★","متبقي "&amp;(5-K206)&amp;" معايير")))</f>
        <v/>
      </c>
      <c r="N206">
        <f>IF(B206="","",IF(COUNTIFS('سجل التحفيز'!$T$5:$T$2004,"&gt;0",'سجل التحفيز'!$B$5:$B$2004,B206)&gt;0,COUNT(N$4:N205)+1,""))</f>
        <v/>
      </c>
      <c r="O206">
        <f>IF(B206="","",IF(COUNTIFS('سجل التحفيز'!$U$5:$U$2004,"&gt;0",'سجل التحفيز'!$B$5:$B$2004,B206)&gt;0,COUNT(O$4:O205)+1,""))</f>
        <v/>
      </c>
      <c r="P206">
        <f>IF(B206="","",IF(COUNTIFS('سجل التحفيز'!$V$5:$V$2004,"&gt;0",'سجل التحفيز'!$B$5:$B$2004,B206)&gt;0,COUNT(P$4:P205)+1,""))</f>
        <v/>
      </c>
      <c r="Q206">
        <f>IF(B206="","",IF(COUNTIFS('سجل التحفيز'!$W$5:$W$2004,"&gt;0",'سجل التحفيز'!$B$5:$B$2004,B206)&gt;0,COUNT(Q$4:Q205)+1,""))</f>
        <v/>
      </c>
      <c r="R206">
        <f>IF(B206="","",IF(COUNTIFS('سجل التحفيز'!$X$5:$X$2004,"&gt;0",'سجل التحفيز'!$B$5:$B$2004,B206)&gt;0,COUNT(R$4:R205)+1,""))</f>
        <v/>
      </c>
      <c r="S206">
        <f>IF(B206="","",IF(COUNTIFS('سجل التحفيز'!$Y$5:$Y$2004,"&gt;0",'سجل التحفيز'!$B$5:$B$2004,B206)&gt;0,COUNT(S$4:S205)+1,""))</f>
        <v/>
      </c>
      <c r="T206">
        <f>IF(B206="","",IF(COUNTIFS('سجل التحفيز'!$Z$5:$Z$2004,"&gt;0",'سجل التحفيز'!$B$5:$B$2004,B206)&gt;0,COUNT(T$4:T205)+1,""))</f>
        <v/>
      </c>
      <c r="U206">
        <f>IF(B206="","",IF(COUNTIFS('سجل التحفيز'!$AA$5:$AA$2004,"&gt;0",'سجل التحفيز'!$B$5:$B$2004,B206)&gt;0,COUNT(U$4:U205)+1,""))</f>
        <v/>
      </c>
      <c r="V206">
        <f>IF(B206="","",IF(COUNTIFS('سجل التحفيز'!$AB$5:$AB$2004,"&gt;0",'سجل التحفيز'!$B$5:$B$2004,B206)&gt;0,COUNT(V$4:V205)+1,""))</f>
        <v/>
      </c>
      <c r="W206">
        <f>IF(B206="","",IF(COUNTIFS('سجل التحفيز'!$AC$5:$AC$2004,"&gt;0",'سجل التحفيز'!$B$5:$B$2004,B206)&gt;0,COUNT(W$4:W205)+1,""))</f>
        <v/>
      </c>
      <c r="X206">
        <f>IF(B206="","",IF(COUNTIFS('سجل التحفيز'!$AD$5:$AD$2004,"&gt;0",'سجل التحفيز'!$B$5:$B$2004,B206)&gt;0,COUNT(X$4:X205)+1,""))</f>
        <v/>
      </c>
      <c r="Y206">
        <f>IF(B206="","",IF(COUNTIFS('سجل التحفيز'!$AE$5:$AE$2004,"&gt;0",'سجل التحفيز'!$B$5:$B$2004,B206)&gt;0,COUNT(Y$4:Y205)+1,""))</f>
        <v/>
      </c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20">
        <f>IF(B207="","",COUNTIFS('سجل التحفيز'!$B$5:$B$2004,B207,'سجل التحفيز'!$R$5:$R$2004,الإعدادات!$B$4))</f>
        <v/>
      </c>
      <c r="I207" s="20">
        <f>IF(B207="","",COUNTIFS('سجل التحفيز'!$B$5:$B$2004,B207,'سجل التحفيز'!$R$5:$R$2004,الإعدادات!$B$4,'سجل التحفيز'!$Q$5:$Q$2004,"الفصل الأول",'سجل التحفيز'!$D$5:$D$2004,"ذهبي"))</f>
        <v/>
      </c>
      <c r="J207" s="20">
        <f>IF(B207="","",COUNTIFS('سجل التحفيز'!$B$5:$B$2004,B207,'سجل التحفيز'!$R$5:$R$2004,الإعدادات!$B$4,'سجل التحفيز'!$Q$5:$Q$2004,"الفصل الثاني",'سجل التحفيز'!$D$5:$D$2004,"ذهبي"))</f>
        <v/>
      </c>
      <c r="K207" s="20">
        <f>IF(B207="","",COUNTIFS('سجل التحفيز'!$B$5:$B$2004,B207,'سجل التحفيز'!$R$5:$R$2004,الإعدادات!$B$4,'سجل التحفيز'!$D$5:$D$2004,"ذهبي"))</f>
        <v/>
      </c>
      <c r="L207" s="20">
        <f>IF(B207="","",IF(G207="محرومة","محرومة - مخالفة",IF(K207&gt;=5,"مستحقة ★","متبقي "&amp;(5-K207)&amp;" معايير")))</f>
        <v/>
      </c>
      <c r="N207">
        <f>IF(B207="","",IF(COUNTIFS('سجل التحفيز'!$T$5:$T$2004,"&gt;0",'سجل التحفيز'!$B$5:$B$2004,B207)&gt;0,COUNT(N$4:N206)+1,""))</f>
        <v/>
      </c>
      <c r="O207">
        <f>IF(B207="","",IF(COUNTIFS('سجل التحفيز'!$U$5:$U$2004,"&gt;0",'سجل التحفيز'!$B$5:$B$2004,B207)&gt;0,COUNT(O$4:O206)+1,""))</f>
        <v/>
      </c>
      <c r="P207">
        <f>IF(B207="","",IF(COUNTIFS('سجل التحفيز'!$V$5:$V$2004,"&gt;0",'سجل التحفيز'!$B$5:$B$2004,B207)&gt;0,COUNT(P$4:P206)+1,""))</f>
        <v/>
      </c>
      <c r="Q207">
        <f>IF(B207="","",IF(COUNTIFS('سجل التحفيز'!$W$5:$W$2004,"&gt;0",'سجل التحفيز'!$B$5:$B$2004,B207)&gt;0,COUNT(Q$4:Q206)+1,""))</f>
        <v/>
      </c>
      <c r="R207">
        <f>IF(B207="","",IF(COUNTIFS('سجل التحفيز'!$X$5:$X$2004,"&gt;0",'سجل التحفيز'!$B$5:$B$2004,B207)&gt;0,COUNT(R$4:R206)+1,""))</f>
        <v/>
      </c>
      <c r="S207">
        <f>IF(B207="","",IF(COUNTIFS('سجل التحفيز'!$Y$5:$Y$2004,"&gt;0",'سجل التحفيز'!$B$5:$B$2004,B207)&gt;0,COUNT(S$4:S206)+1,""))</f>
        <v/>
      </c>
      <c r="T207">
        <f>IF(B207="","",IF(COUNTIFS('سجل التحفيز'!$Z$5:$Z$2004,"&gt;0",'سجل التحفيز'!$B$5:$B$2004,B207)&gt;0,COUNT(T$4:T206)+1,""))</f>
        <v/>
      </c>
      <c r="U207">
        <f>IF(B207="","",IF(COUNTIFS('سجل التحفيز'!$AA$5:$AA$2004,"&gt;0",'سجل التحفيز'!$B$5:$B$2004,B207)&gt;0,COUNT(U$4:U206)+1,""))</f>
        <v/>
      </c>
      <c r="V207">
        <f>IF(B207="","",IF(COUNTIFS('سجل التحفيز'!$AB$5:$AB$2004,"&gt;0",'سجل التحفيز'!$B$5:$B$2004,B207)&gt;0,COUNT(V$4:V206)+1,""))</f>
        <v/>
      </c>
      <c r="W207">
        <f>IF(B207="","",IF(COUNTIFS('سجل التحفيز'!$AC$5:$AC$2004,"&gt;0",'سجل التحفيز'!$B$5:$B$2004,B207)&gt;0,COUNT(W$4:W206)+1,""))</f>
        <v/>
      </c>
      <c r="X207">
        <f>IF(B207="","",IF(COUNTIFS('سجل التحفيز'!$AD$5:$AD$2004,"&gt;0",'سجل التحفيز'!$B$5:$B$2004,B207)&gt;0,COUNT(X$4:X206)+1,""))</f>
        <v/>
      </c>
      <c r="Y207">
        <f>IF(B207="","",IF(COUNTIFS('سجل التحفيز'!$AE$5:$AE$2004,"&gt;0",'سجل التحفيز'!$B$5:$B$2004,B207)&gt;0,COUNT(Y$4:Y206)+1,""))</f>
        <v/>
      </c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20">
        <f>IF(B208="","",COUNTIFS('سجل التحفيز'!$B$5:$B$2004,B208,'سجل التحفيز'!$R$5:$R$2004,الإعدادات!$B$4))</f>
        <v/>
      </c>
      <c r="I208" s="20">
        <f>IF(B208="","",COUNTIFS('سجل التحفيز'!$B$5:$B$2004,B208,'سجل التحفيز'!$R$5:$R$2004,الإعدادات!$B$4,'سجل التحفيز'!$Q$5:$Q$2004,"الفصل الأول",'سجل التحفيز'!$D$5:$D$2004,"ذهبي"))</f>
        <v/>
      </c>
      <c r="J208" s="20">
        <f>IF(B208="","",COUNTIFS('سجل التحفيز'!$B$5:$B$2004,B208,'سجل التحفيز'!$R$5:$R$2004,الإعدادات!$B$4,'سجل التحفيز'!$Q$5:$Q$2004,"الفصل الثاني",'سجل التحفيز'!$D$5:$D$2004,"ذهبي"))</f>
        <v/>
      </c>
      <c r="K208" s="20">
        <f>IF(B208="","",COUNTIFS('سجل التحفيز'!$B$5:$B$2004,B208,'سجل التحفيز'!$R$5:$R$2004,الإعدادات!$B$4,'سجل التحفيز'!$D$5:$D$2004,"ذهبي"))</f>
        <v/>
      </c>
      <c r="L208" s="20">
        <f>IF(B208="","",IF(G208="محرومة","محرومة - مخالفة",IF(K208&gt;=5,"مستحقة ★","متبقي "&amp;(5-K208)&amp;" معايير")))</f>
        <v/>
      </c>
      <c r="N208">
        <f>IF(B208="","",IF(COUNTIFS('سجل التحفيز'!$T$5:$T$2004,"&gt;0",'سجل التحفيز'!$B$5:$B$2004,B208)&gt;0,COUNT(N$4:N207)+1,""))</f>
        <v/>
      </c>
      <c r="O208">
        <f>IF(B208="","",IF(COUNTIFS('سجل التحفيز'!$U$5:$U$2004,"&gt;0",'سجل التحفيز'!$B$5:$B$2004,B208)&gt;0,COUNT(O$4:O207)+1,""))</f>
        <v/>
      </c>
      <c r="P208">
        <f>IF(B208="","",IF(COUNTIFS('سجل التحفيز'!$V$5:$V$2004,"&gt;0",'سجل التحفيز'!$B$5:$B$2004,B208)&gt;0,COUNT(P$4:P207)+1,""))</f>
        <v/>
      </c>
      <c r="Q208">
        <f>IF(B208="","",IF(COUNTIFS('سجل التحفيز'!$W$5:$W$2004,"&gt;0",'سجل التحفيز'!$B$5:$B$2004,B208)&gt;0,COUNT(Q$4:Q207)+1,""))</f>
        <v/>
      </c>
      <c r="R208">
        <f>IF(B208="","",IF(COUNTIFS('سجل التحفيز'!$X$5:$X$2004,"&gt;0",'سجل التحفيز'!$B$5:$B$2004,B208)&gt;0,COUNT(R$4:R207)+1,""))</f>
        <v/>
      </c>
      <c r="S208">
        <f>IF(B208="","",IF(COUNTIFS('سجل التحفيز'!$Y$5:$Y$2004,"&gt;0",'سجل التحفيز'!$B$5:$B$2004,B208)&gt;0,COUNT(S$4:S207)+1,""))</f>
        <v/>
      </c>
      <c r="T208">
        <f>IF(B208="","",IF(COUNTIFS('سجل التحفيز'!$Z$5:$Z$2004,"&gt;0",'سجل التحفيز'!$B$5:$B$2004,B208)&gt;0,COUNT(T$4:T207)+1,""))</f>
        <v/>
      </c>
      <c r="U208">
        <f>IF(B208="","",IF(COUNTIFS('سجل التحفيز'!$AA$5:$AA$2004,"&gt;0",'سجل التحفيز'!$B$5:$B$2004,B208)&gt;0,COUNT(U$4:U207)+1,""))</f>
        <v/>
      </c>
      <c r="V208">
        <f>IF(B208="","",IF(COUNTIFS('سجل التحفيز'!$AB$5:$AB$2004,"&gt;0",'سجل التحفيز'!$B$5:$B$2004,B208)&gt;0,COUNT(V$4:V207)+1,""))</f>
        <v/>
      </c>
      <c r="W208">
        <f>IF(B208="","",IF(COUNTIFS('سجل التحفيز'!$AC$5:$AC$2004,"&gt;0",'سجل التحفيز'!$B$5:$B$2004,B208)&gt;0,COUNT(W$4:W207)+1,""))</f>
        <v/>
      </c>
      <c r="X208">
        <f>IF(B208="","",IF(COUNTIFS('سجل التحفيز'!$AD$5:$AD$2004,"&gt;0",'سجل التحفيز'!$B$5:$B$2004,B208)&gt;0,COUNT(X$4:X207)+1,""))</f>
        <v/>
      </c>
      <c r="Y208">
        <f>IF(B208="","",IF(COUNTIFS('سجل التحفيز'!$AE$5:$AE$2004,"&gt;0",'سجل التحفيز'!$B$5:$B$2004,B208)&gt;0,COUNT(Y$4:Y207)+1,""))</f>
        <v/>
      </c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20">
        <f>IF(B209="","",COUNTIFS('سجل التحفيز'!$B$5:$B$2004,B209,'سجل التحفيز'!$R$5:$R$2004,الإعدادات!$B$4))</f>
        <v/>
      </c>
      <c r="I209" s="20">
        <f>IF(B209="","",COUNTIFS('سجل التحفيز'!$B$5:$B$2004,B209,'سجل التحفيز'!$R$5:$R$2004,الإعدادات!$B$4,'سجل التحفيز'!$Q$5:$Q$2004,"الفصل الأول",'سجل التحفيز'!$D$5:$D$2004,"ذهبي"))</f>
        <v/>
      </c>
      <c r="J209" s="20">
        <f>IF(B209="","",COUNTIFS('سجل التحفيز'!$B$5:$B$2004,B209,'سجل التحفيز'!$R$5:$R$2004,الإعدادات!$B$4,'سجل التحفيز'!$Q$5:$Q$2004,"الفصل الثاني",'سجل التحفيز'!$D$5:$D$2004,"ذهبي"))</f>
        <v/>
      </c>
      <c r="K209" s="20">
        <f>IF(B209="","",COUNTIFS('سجل التحفيز'!$B$5:$B$2004,B209,'سجل التحفيز'!$R$5:$R$2004,الإعدادات!$B$4,'سجل التحفيز'!$D$5:$D$2004,"ذهبي"))</f>
        <v/>
      </c>
      <c r="L209" s="20">
        <f>IF(B209="","",IF(G209="محرومة","محرومة - مخالفة",IF(K209&gt;=5,"مستحقة ★","متبقي "&amp;(5-K209)&amp;" معايير")))</f>
        <v/>
      </c>
      <c r="N209">
        <f>IF(B209="","",IF(COUNTIFS('سجل التحفيز'!$T$5:$T$2004,"&gt;0",'سجل التحفيز'!$B$5:$B$2004,B209)&gt;0,COUNT(N$4:N208)+1,""))</f>
        <v/>
      </c>
      <c r="O209">
        <f>IF(B209="","",IF(COUNTIFS('سجل التحفيز'!$U$5:$U$2004,"&gt;0",'سجل التحفيز'!$B$5:$B$2004,B209)&gt;0,COUNT(O$4:O208)+1,""))</f>
        <v/>
      </c>
      <c r="P209">
        <f>IF(B209="","",IF(COUNTIFS('سجل التحفيز'!$V$5:$V$2004,"&gt;0",'سجل التحفيز'!$B$5:$B$2004,B209)&gt;0,COUNT(P$4:P208)+1,""))</f>
        <v/>
      </c>
      <c r="Q209">
        <f>IF(B209="","",IF(COUNTIFS('سجل التحفيز'!$W$5:$W$2004,"&gt;0",'سجل التحفيز'!$B$5:$B$2004,B209)&gt;0,COUNT(Q$4:Q208)+1,""))</f>
        <v/>
      </c>
      <c r="R209">
        <f>IF(B209="","",IF(COUNTIFS('سجل التحفيز'!$X$5:$X$2004,"&gt;0",'سجل التحفيز'!$B$5:$B$2004,B209)&gt;0,COUNT(R$4:R208)+1,""))</f>
        <v/>
      </c>
      <c r="S209">
        <f>IF(B209="","",IF(COUNTIFS('سجل التحفيز'!$Y$5:$Y$2004,"&gt;0",'سجل التحفيز'!$B$5:$B$2004,B209)&gt;0,COUNT(S$4:S208)+1,""))</f>
        <v/>
      </c>
      <c r="T209">
        <f>IF(B209="","",IF(COUNTIFS('سجل التحفيز'!$Z$5:$Z$2004,"&gt;0",'سجل التحفيز'!$B$5:$B$2004,B209)&gt;0,COUNT(T$4:T208)+1,""))</f>
        <v/>
      </c>
      <c r="U209">
        <f>IF(B209="","",IF(COUNTIFS('سجل التحفيز'!$AA$5:$AA$2004,"&gt;0",'سجل التحفيز'!$B$5:$B$2004,B209)&gt;0,COUNT(U$4:U208)+1,""))</f>
        <v/>
      </c>
      <c r="V209">
        <f>IF(B209="","",IF(COUNTIFS('سجل التحفيز'!$AB$5:$AB$2004,"&gt;0",'سجل التحفيز'!$B$5:$B$2004,B209)&gt;0,COUNT(V$4:V208)+1,""))</f>
        <v/>
      </c>
      <c r="W209">
        <f>IF(B209="","",IF(COUNTIFS('سجل التحفيز'!$AC$5:$AC$2004,"&gt;0",'سجل التحفيز'!$B$5:$B$2004,B209)&gt;0,COUNT(W$4:W208)+1,""))</f>
        <v/>
      </c>
      <c r="X209">
        <f>IF(B209="","",IF(COUNTIFS('سجل التحفيز'!$AD$5:$AD$2004,"&gt;0",'سجل التحفيز'!$B$5:$B$2004,B209)&gt;0,COUNT(X$4:X208)+1,""))</f>
        <v/>
      </c>
      <c r="Y209">
        <f>IF(B209="","",IF(COUNTIFS('سجل التحفيز'!$AE$5:$AE$2004,"&gt;0",'سجل التحفيز'!$B$5:$B$2004,B209)&gt;0,COUNT(Y$4:Y208)+1,""))</f>
        <v/>
      </c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20">
        <f>IF(B210="","",COUNTIFS('سجل التحفيز'!$B$5:$B$2004,B210,'سجل التحفيز'!$R$5:$R$2004,الإعدادات!$B$4))</f>
        <v/>
      </c>
      <c r="I210" s="20">
        <f>IF(B210="","",COUNTIFS('سجل التحفيز'!$B$5:$B$2004,B210,'سجل التحفيز'!$R$5:$R$2004,الإعدادات!$B$4,'سجل التحفيز'!$Q$5:$Q$2004,"الفصل الأول",'سجل التحفيز'!$D$5:$D$2004,"ذهبي"))</f>
        <v/>
      </c>
      <c r="J210" s="20">
        <f>IF(B210="","",COUNTIFS('سجل التحفيز'!$B$5:$B$2004,B210,'سجل التحفيز'!$R$5:$R$2004,الإعدادات!$B$4,'سجل التحفيز'!$Q$5:$Q$2004,"الفصل الثاني",'سجل التحفيز'!$D$5:$D$2004,"ذهبي"))</f>
        <v/>
      </c>
      <c r="K210" s="20">
        <f>IF(B210="","",COUNTIFS('سجل التحفيز'!$B$5:$B$2004,B210,'سجل التحفيز'!$R$5:$R$2004,الإعدادات!$B$4,'سجل التحفيز'!$D$5:$D$2004,"ذهبي"))</f>
        <v/>
      </c>
      <c r="L210" s="20">
        <f>IF(B210="","",IF(G210="محرومة","محرومة - مخالفة",IF(K210&gt;=5,"مستحقة ★","متبقي "&amp;(5-K210)&amp;" معايير")))</f>
        <v/>
      </c>
      <c r="N210">
        <f>IF(B210="","",IF(COUNTIFS('سجل التحفيز'!$T$5:$T$2004,"&gt;0",'سجل التحفيز'!$B$5:$B$2004,B210)&gt;0,COUNT(N$4:N209)+1,""))</f>
        <v/>
      </c>
      <c r="O210">
        <f>IF(B210="","",IF(COUNTIFS('سجل التحفيز'!$U$5:$U$2004,"&gt;0",'سجل التحفيز'!$B$5:$B$2004,B210)&gt;0,COUNT(O$4:O209)+1,""))</f>
        <v/>
      </c>
      <c r="P210">
        <f>IF(B210="","",IF(COUNTIFS('سجل التحفيز'!$V$5:$V$2004,"&gt;0",'سجل التحفيز'!$B$5:$B$2004,B210)&gt;0,COUNT(P$4:P209)+1,""))</f>
        <v/>
      </c>
      <c r="Q210">
        <f>IF(B210="","",IF(COUNTIFS('سجل التحفيز'!$W$5:$W$2004,"&gt;0",'سجل التحفيز'!$B$5:$B$2004,B210)&gt;0,COUNT(Q$4:Q209)+1,""))</f>
        <v/>
      </c>
      <c r="R210">
        <f>IF(B210="","",IF(COUNTIFS('سجل التحفيز'!$X$5:$X$2004,"&gt;0",'سجل التحفيز'!$B$5:$B$2004,B210)&gt;0,COUNT(R$4:R209)+1,""))</f>
        <v/>
      </c>
      <c r="S210">
        <f>IF(B210="","",IF(COUNTIFS('سجل التحفيز'!$Y$5:$Y$2004,"&gt;0",'سجل التحفيز'!$B$5:$B$2004,B210)&gt;0,COUNT(S$4:S209)+1,""))</f>
        <v/>
      </c>
      <c r="T210">
        <f>IF(B210="","",IF(COUNTIFS('سجل التحفيز'!$Z$5:$Z$2004,"&gt;0",'سجل التحفيز'!$B$5:$B$2004,B210)&gt;0,COUNT(T$4:T209)+1,""))</f>
        <v/>
      </c>
      <c r="U210">
        <f>IF(B210="","",IF(COUNTIFS('سجل التحفيز'!$AA$5:$AA$2004,"&gt;0",'سجل التحفيز'!$B$5:$B$2004,B210)&gt;0,COUNT(U$4:U209)+1,""))</f>
        <v/>
      </c>
      <c r="V210">
        <f>IF(B210="","",IF(COUNTIFS('سجل التحفيز'!$AB$5:$AB$2004,"&gt;0",'سجل التحفيز'!$B$5:$B$2004,B210)&gt;0,COUNT(V$4:V209)+1,""))</f>
        <v/>
      </c>
      <c r="W210">
        <f>IF(B210="","",IF(COUNTIFS('سجل التحفيز'!$AC$5:$AC$2004,"&gt;0",'سجل التحفيز'!$B$5:$B$2004,B210)&gt;0,COUNT(W$4:W209)+1,""))</f>
        <v/>
      </c>
      <c r="X210">
        <f>IF(B210="","",IF(COUNTIFS('سجل التحفيز'!$AD$5:$AD$2004,"&gt;0",'سجل التحفيز'!$B$5:$B$2004,B210)&gt;0,COUNT(X$4:X209)+1,""))</f>
        <v/>
      </c>
      <c r="Y210">
        <f>IF(B210="","",IF(COUNTIFS('سجل التحفيز'!$AE$5:$AE$2004,"&gt;0",'سجل التحفيز'!$B$5:$B$2004,B210)&gt;0,COUNT(Y$4:Y209)+1,""))</f>
        <v/>
      </c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20">
        <f>IF(B211="","",COUNTIFS('سجل التحفيز'!$B$5:$B$2004,B211,'سجل التحفيز'!$R$5:$R$2004,الإعدادات!$B$4))</f>
        <v/>
      </c>
      <c r="I211" s="20">
        <f>IF(B211="","",COUNTIFS('سجل التحفيز'!$B$5:$B$2004,B211,'سجل التحفيز'!$R$5:$R$2004,الإعدادات!$B$4,'سجل التحفيز'!$Q$5:$Q$2004,"الفصل الأول",'سجل التحفيز'!$D$5:$D$2004,"ذهبي"))</f>
        <v/>
      </c>
      <c r="J211" s="20">
        <f>IF(B211="","",COUNTIFS('سجل التحفيز'!$B$5:$B$2004,B211,'سجل التحفيز'!$R$5:$R$2004,الإعدادات!$B$4,'سجل التحفيز'!$Q$5:$Q$2004,"الفصل الثاني",'سجل التحفيز'!$D$5:$D$2004,"ذهبي"))</f>
        <v/>
      </c>
      <c r="K211" s="20">
        <f>IF(B211="","",COUNTIFS('سجل التحفيز'!$B$5:$B$2004,B211,'سجل التحفيز'!$R$5:$R$2004,الإعدادات!$B$4,'سجل التحفيز'!$D$5:$D$2004,"ذهبي"))</f>
        <v/>
      </c>
      <c r="L211" s="20">
        <f>IF(B211="","",IF(G211="محرومة","محرومة - مخالفة",IF(K211&gt;=5,"مستحقة ★","متبقي "&amp;(5-K211)&amp;" معايير")))</f>
        <v/>
      </c>
      <c r="N211">
        <f>IF(B211="","",IF(COUNTIFS('سجل التحفيز'!$T$5:$T$2004,"&gt;0",'سجل التحفيز'!$B$5:$B$2004,B211)&gt;0,COUNT(N$4:N210)+1,""))</f>
        <v/>
      </c>
      <c r="O211">
        <f>IF(B211="","",IF(COUNTIFS('سجل التحفيز'!$U$5:$U$2004,"&gt;0",'سجل التحفيز'!$B$5:$B$2004,B211)&gt;0,COUNT(O$4:O210)+1,""))</f>
        <v/>
      </c>
      <c r="P211">
        <f>IF(B211="","",IF(COUNTIFS('سجل التحفيز'!$V$5:$V$2004,"&gt;0",'سجل التحفيز'!$B$5:$B$2004,B211)&gt;0,COUNT(P$4:P210)+1,""))</f>
        <v/>
      </c>
      <c r="Q211">
        <f>IF(B211="","",IF(COUNTIFS('سجل التحفيز'!$W$5:$W$2004,"&gt;0",'سجل التحفيز'!$B$5:$B$2004,B211)&gt;0,COUNT(Q$4:Q210)+1,""))</f>
        <v/>
      </c>
      <c r="R211">
        <f>IF(B211="","",IF(COUNTIFS('سجل التحفيز'!$X$5:$X$2004,"&gt;0",'سجل التحفيز'!$B$5:$B$2004,B211)&gt;0,COUNT(R$4:R210)+1,""))</f>
        <v/>
      </c>
      <c r="S211">
        <f>IF(B211="","",IF(COUNTIFS('سجل التحفيز'!$Y$5:$Y$2004,"&gt;0",'سجل التحفيز'!$B$5:$B$2004,B211)&gt;0,COUNT(S$4:S210)+1,""))</f>
        <v/>
      </c>
      <c r="T211">
        <f>IF(B211="","",IF(COUNTIFS('سجل التحفيز'!$Z$5:$Z$2004,"&gt;0",'سجل التحفيز'!$B$5:$B$2004,B211)&gt;0,COUNT(T$4:T210)+1,""))</f>
        <v/>
      </c>
      <c r="U211">
        <f>IF(B211="","",IF(COUNTIFS('سجل التحفيز'!$AA$5:$AA$2004,"&gt;0",'سجل التحفيز'!$B$5:$B$2004,B211)&gt;0,COUNT(U$4:U210)+1,""))</f>
        <v/>
      </c>
      <c r="V211">
        <f>IF(B211="","",IF(COUNTIFS('سجل التحفيز'!$AB$5:$AB$2004,"&gt;0",'سجل التحفيز'!$B$5:$B$2004,B211)&gt;0,COUNT(V$4:V210)+1,""))</f>
        <v/>
      </c>
      <c r="W211">
        <f>IF(B211="","",IF(COUNTIFS('سجل التحفيز'!$AC$5:$AC$2004,"&gt;0",'سجل التحفيز'!$B$5:$B$2004,B211)&gt;0,COUNT(W$4:W210)+1,""))</f>
        <v/>
      </c>
      <c r="X211">
        <f>IF(B211="","",IF(COUNTIFS('سجل التحفيز'!$AD$5:$AD$2004,"&gt;0",'سجل التحفيز'!$B$5:$B$2004,B211)&gt;0,COUNT(X$4:X210)+1,""))</f>
        <v/>
      </c>
      <c r="Y211">
        <f>IF(B211="","",IF(COUNTIFS('سجل التحفيز'!$AE$5:$AE$2004,"&gt;0",'سجل التحفيز'!$B$5:$B$2004,B211)&gt;0,COUNT(Y$4:Y210)+1,""))</f>
        <v/>
      </c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20">
        <f>IF(B212="","",COUNTIFS('سجل التحفيز'!$B$5:$B$2004,B212,'سجل التحفيز'!$R$5:$R$2004,الإعدادات!$B$4))</f>
        <v/>
      </c>
      <c r="I212" s="20">
        <f>IF(B212="","",COUNTIFS('سجل التحفيز'!$B$5:$B$2004,B212,'سجل التحفيز'!$R$5:$R$2004,الإعدادات!$B$4,'سجل التحفيز'!$Q$5:$Q$2004,"الفصل الأول",'سجل التحفيز'!$D$5:$D$2004,"ذهبي"))</f>
        <v/>
      </c>
      <c r="J212" s="20">
        <f>IF(B212="","",COUNTIFS('سجل التحفيز'!$B$5:$B$2004,B212,'سجل التحفيز'!$R$5:$R$2004,الإعدادات!$B$4,'سجل التحفيز'!$Q$5:$Q$2004,"الفصل الثاني",'سجل التحفيز'!$D$5:$D$2004,"ذهبي"))</f>
        <v/>
      </c>
      <c r="K212" s="20">
        <f>IF(B212="","",COUNTIFS('سجل التحفيز'!$B$5:$B$2004,B212,'سجل التحفيز'!$R$5:$R$2004,الإعدادات!$B$4,'سجل التحفيز'!$D$5:$D$2004,"ذهبي"))</f>
        <v/>
      </c>
      <c r="L212" s="20">
        <f>IF(B212="","",IF(G212="محرومة","محرومة - مخالفة",IF(K212&gt;=5,"مستحقة ★","متبقي "&amp;(5-K212)&amp;" معايير")))</f>
        <v/>
      </c>
      <c r="N212">
        <f>IF(B212="","",IF(COUNTIFS('سجل التحفيز'!$T$5:$T$2004,"&gt;0",'سجل التحفيز'!$B$5:$B$2004,B212)&gt;0,COUNT(N$4:N211)+1,""))</f>
        <v/>
      </c>
      <c r="O212">
        <f>IF(B212="","",IF(COUNTIFS('سجل التحفيز'!$U$5:$U$2004,"&gt;0",'سجل التحفيز'!$B$5:$B$2004,B212)&gt;0,COUNT(O$4:O211)+1,""))</f>
        <v/>
      </c>
      <c r="P212">
        <f>IF(B212="","",IF(COUNTIFS('سجل التحفيز'!$V$5:$V$2004,"&gt;0",'سجل التحفيز'!$B$5:$B$2004,B212)&gt;0,COUNT(P$4:P211)+1,""))</f>
        <v/>
      </c>
      <c r="Q212">
        <f>IF(B212="","",IF(COUNTIFS('سجل التحفيز'!$W$5:$W$2004,"&gt;0",'سجل التحفيز'!$B$5:$B$2004,B212)&gt;0,COUNT(Q$4:Q211)+1,""))</f>
        <v/>
      </c>
      <c r="R212">
        <f>IF(B212="","",IF(COUNTIFS('سجل التحفيز'!$X$5:$X$2004,"&gt;0",'سجل التحفيز'!$B$5:$B$2004,B212)&gt;0,COUNT(R$4:R211)+1,""))</f>
        <v/>
      </c>
      <c r="S212">
        <f>IF(B212="","",IF(COUNTIFS('سجل التحفيز'!$Y$5:$Y$2004,"&gt;0",'سجل التحفيز'!$B$5:$B$2004,B212)&gt;0,COUNT(S$4:S211)+1,""))</f>
        <v/>
      </c>
      <c r="T212">
        <f>IF(B212="","",IF(COUNTIFS('سجل التحفيز'!$Z$5:$Z$2004,"&gt;0",'سجل التحفيز'!$B$5:$B$2004,B212)&gt;0,COUNT(T$4:T211)+1,""))</f>
        <v/>
      </c>
      <c r="U212">
        <f>IF(B212="","",IF(COUNTIFS('سجل التحفيز'!$AA$5:$AA$2004,"&gt;0",'سجل التحفيز'!$B$5:$B$2004,B212)&gt;0,COUNT(U$4:U211)+1,""))</f>
        <v/>
      </c>
      <c r="V212">
        <f>IF(B212="","",IF(COUNTIFS('سجل التحفيز'!$AB$5:$AB$2004,"&gt;0",'سجل التحفيز'!$B$5:$B$2004,B212)&gt;0,COUNT(V$4:V211)+1,""))</f>
        <v/>
      </c>
      <c r="W212">
        <f>IF(B212="","",IF(COUNTIFS('سجل التحفيز'!$AC$5:$AC$2004,"&gt;0",'سجل التحفيز'!$B$5:$B$2004,B212)&gt;0,COUNT(W$4:W211)+1,""))</f>
        <v/>
      </c>
      <c r="X212">
        <f>IF(B212="","",IF(COUNTIFS('سجل التحفيز'!$AD$5:$AD$2004,"&gt;0",'سجل التحفيز'!$B$5:$B$2004,B212)&gt;0,COUNT(X$4:X211)+1,""))</f>
        <v/>
      </c>
      <c r="Y212">
        <f>IF(B212="","",IF(COUNTIFS('سجل التحفيز'!$AE$5:$AE$2004,"&gt;0",'سجل التحفيز'!$B$5:$B$2004,B212)&gt;0,COUNT(Y$4:Y211)+1,""))</f>
        <v/>
      </c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20">
        <f>IF(B213="","",COUNTIFS('سجل التحفيز'!$B$5:$B$2004,B213,'سجل التحفيز'!$R$5:$R$2004,الإعدادات!$B$4))</f>
        <v/>
      </c>
      <c r="I213" s="20">
        <f>IF(B213="","",COUNTIFS('سجل التحفيز'!$B$5:$B$2004,B213,'سجل التحفيز'!$R$5:$R$2004,الإعدادات!$B$4,'سجل التحفيز'!$Q$5:$Q$2004,"الفصل الأول",'سجل التحفيز'!$D$5:$D$2004,"ذهبي"))</f>
        <v/>
      </c>
      <c r="J213" s="20">
        <f>IF(B213="","",COUNTIFS('سجل التحفيز'!$B$5:$B$2004,B213,'سجل التحفيز'!$R$5:$R$2004,الإعدادات!$B$4,'سجل التحفيز'!$Q$5:$Q$2004,"الفصل الثاني",'سجل التحفيز'!$D$5:$D$2004,"ذهبي"))</f>
        <v/>
      </c>
      <c r="K213" s="20">
        <f>IF(B213="","",COUNTIFS('سجل التحفيز'!$B$5:$B$2004,B213,'سجل التحفيز'!$R$5:$R$2004,الإعدادات!$B$4,'سجل التحفيز'!$D$5:$D$2004,"ذهبي"))</f>
        <v/>
      </c>
      <c r="L213" s="20">
        <f>IF(B213="","",IF(G213="محرومة","محرومة - مخالفة",IF(K213&gt;=5,"مستحقة ★","متبقي "&amp;(5-K213)&amp;" معايير")))</f>
        <v/>
      </c>
      <c r="N213">
        <f>IF(B213="","",IF(COUNTIFS('سجل التحفيز'!$T$5:$T$2004,"&gt;0",'سجل التحفيز'!$B$5:$B$2004,B213)&gt;0,COUNT(N$4:N212)+1,""))</f>
        <v/>
      </c>
      <c r="O213">
        <f>IF(B213="","",IF(COUNTIFS('سجل التحفيز'!$U$5:$U$2004,"&gt;0",'سجل التحفيز'!$B$5:$B$2004,B213)&gt;0,COUNT(O$4:O212)+1,""))</f>
        <v/>
      </c>
      <c r="P213">
        <f>IF(B213="","",IF(COUNTIFS('سجل التحفيز'!$V$5:$V$2004,"&gt;0",'سجل التحفيز'!$B$5:$B$2004,B213)&gt;0,COUNT(P$4:P212)+1,""))</f>
        <v/>
      </c>
      <c r="Q213">
        <f>IF(B213="","",IF(COUNTIFS('سجل التحفيز'!$W$5:$W$2004,"&gt;0",'سجل التحفيز'!$B$5:$B$2004,B213)&gt;0,COUNT(Q$4:Q212)+1,""))</f>
        <v/>
      </c>
      <c r="R213">
        <f>IF(B213="","",IF(COUNTIFS('سجل التحفيز'!$X$5:$X$2004,"&gt;0",'سجل التحفيز'!$B$5:$B$2004,B213)&gt;0,COUNT(R$4:R212)+1,""))</f>
        <v/>
      </c>
      <c r="S213">
        <f>IF(B213="","",IF(COUNTIFS('سجل التحفيز'!$Y$5:$Y$2004,"&gt;0",'سجل التحفيز'!$B$5:$B$2004,B213)&gt;0,COUNT(S$4:S212)+1,""))</f>
        <v/>
      </c>
      <c r="T213">
        <f>IF(B213="","",IF(COUNTIFS('سجل التحفيز'!$Z$5:$Z$2004,"&gt;0",'سجل التحفيز'!$B$5:$B$2004,B213)&gt;0,COUNT(T$4:T212)+1,""))</f>
        <v/>
      </c>
      <c r="U213">
        <f>IF(B213="","",IF(COUNTIFS('سجل التحفيز'!$AA$5:$AA$2004,"&gt;0",'سجل التحفيز'!$B$5:$B$2004,B213)&gt;0,COUNT(U$4:U212)+1,""))</f>
        <v/>
      </c>
      <c r="V213">
        <f>IF(B213="","",IF(COUNTIFS('سجل التحفيز'!$AB$5:$AB$2004,"&gt;0",'سجل التحفيز'!$B$5:$B$2004,B213)&gt;0,COUNT(V$4:V212)+1,""))</f>
        <v/>
      </c>
      <c r="W213">
        <f>IF(B213="","",IF(COUNTIFS('سجل التحفيز'!$AC$5:$AC$2004,"&gt;0",'سجل التحفيز'!$B$5:$B$2004,B213)&gt;0,COUNT(W$4:W212)+1,""))</f>
        <v/>
      </c>
      <c r="X213">
        <f>IF(B213="","",IF(COUNTIFS('سجل التحفيز'!$AD$5:$AD$2004,"&gt;0",'سجل التحفيز'!$B$5:$B$2004,B213)&gt;0,COUNT(X$4:X212)+1,""))</f>
        <v/>
      </c>
      <c r="Y213">
        <f>IF(B213="","",IF(COUNTIFS('سجل التحفيز'!$AE$5:$AE$2004,"&gt;0",'سجل التحفيز'!$B$5:$B$2004,B213)&gt;0,COUNT(Y$4:Y212)+1,""))</f>
        <v/>
      </c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20">
        <f>IF(B214="","",COUNTIFS('سجل التحفيز'!$B$5:$B$2004,B214,'سجل التحفيز'!$R$5:$R$2004,الإعدادات!$B$4))</f>
        <v/>
      </c>
      <c r="I214" s="20">
        <f>IF(B214="","",COUNTIFS('سجل التحفيز'!$B$5:$B$2004,B214,'سجل التحفيز'!$R$5:$R$2004,الإعدادات!$B$4,'سجل التحفيز'!$Q$5:$Q$2004,"الفصل الأول",'سجل التحفيز'!$D$5:$D$2004,"ذهبي"))</f>
        <v/>
      </c>
      <c r="J214" s="20">
        <f>IF(B214="","",COUNTIFS('سجل التحفيز'!$B$5:$B$2004,B214,'سجل التحفيز'!$R$5:$R$2004,الإعدادات!$B$4,'سجل التحفيز'!$Q$5:$Q$2004,"الفصل الثاني",'سجل التحفيز'!$D$5:$D$2004,"ذهبي"))</f>
        <v/>
      </c>
      <c r="K214" s="20">
        <f>IF(B214="","",COUNTIFS('سجل التحفيز'!$B$5:$B$2004,B214,'سجل التحفيز'!$R$5:$R$2004,الإعدادات!$B$4,'سجل التحفيز'!$D$5:$D$2004,"ذهبي"))</f>
        <v/>
      </c>
      <c r="L214" s="20">
        <f>IF(B214="","",IF(G214="محرومة","محرومة - مخالفة",IF(K214&gt;=5,"مستحقة ★","متبقي "&amp;(5-K214)&amp;" معايير")))</f>
        <v/>
      </c>
      <c r="N214">
        <f>IF(B214="","",IF(COUNTIFS('سجل التحفيز'!$T$5:$T$2004,"&gt;0",'سجل التحفيز'!$B$5:$B$2004,B214)&gt;0,COUNT(N$4:N213)+1,""))</f>
        <v/>
      </c>
      <c r="O214">
        <f>IF(B214="","",IF(COUNTIFS('سجل التحفيز'!$U$5:$U$2004,"&gt;0",'سجل التحفيز'!$B$5:$B$2004,B214)&gt;0,COUNT(O$4:O213)+1,""))</f>
        <v/>
      </c>
      <c r="P214">
        <f>IF(B214="","",IF(COUNTIFS('سجل التحفيز'!$V$5:$V$2004,"&gt;0",'سجل التحفيز'!$B$5:$B$2004,B214)&gt;0,COUNT(P$4:P213)+1,""))</f>
        <v/>
      </c>
      <c r="Q214">
        <f>IF(B214="","",IF(COUNTIFS('سجل التحفيز'!$W$5:$W$2004,"&gt;0",'سجل التحفيز'!$B$5:$B$2004,B214)&gt;0,COUNT(Q$4:Q213)+1,""))</f>
        <v/>
      </c>
      <c r="R214">
        <f>IF(B214="","",IF(COUNTIFS('سجل التحفيز'!$X$5:$X$2004,"&gt;0",'سجل التحفيز'!$B$5:$B$2004,B214)&gt;0,COUNT(R$4:R213)+1,""))</f>
        <v/>
      </c>
      <c r="S214">
        <f>IF(B214="","",IF(COUNTIFS('سجل التحفيز'!$Y$5:$Y$2004,"&gt;0",'سجل التحفيز'!$B$5:$B$2004,B214)&gt;0,COUNT(S$4:S213)+1,""))</f>
        <v/>
      </c>
      <c r="T214">
        <f>IF(B214="","",IF(COUNTIFS('سجل التحفيز'!$Z$5:$Z$2004,"&gt;0",'سجل التحفيز'!$B$5:$B$2004,B214)&gt;0,COUNT(T$4:T213)+1,""))</f>
        <v/>
      </c>
      <c r="U214">
        <f>IF(B214="","",IF(COUNTIFS('سجل التحفيز'!$AA$5:$AA$2004,"&gt;0",'سجل التحفيز'!$B$5:$B$2004,B214)&gt;0,COUNT(U$4:U213)+1,""))</f>
        <v/>
      </c>
      <c r="V214">
        <f>IF(B214="","",IF(COUNTIFS('سجل التحفيز'!$AB$5:$AB$2004,"&gt;0",'سجل التحفيز'!$B$5:$B$2004,B214)&gt;0,COUNT(V$4:V213)+1,""))</f>
        <v/>
      </c>
      <c r="W214">
        <f>IF(B214="","",IF(COUNTIFS('سجل التحفيز'!$AC$5:$AC$2004,"&gt;0",'سجل التحفيز'!$B$5:$B$2004,B214)&gt;0,COUNT(W$4:W213)+1,""))</f>
        <v/>
      </c>
      <c r="X214">
        <f>IF(B214="","",IF(COUNTIFS('سجل التحفيز'!$AD$5:$AD$2004,"&gt;0",'سجل التحفيز'!$B$5:$B$2004,B214)&gt;0,COUNT(X$4:X213)+1,""))</f>
        <v/>
      </c>
      <c r="Y214">
        <f>IF(B214="","",IF(COUNTIFS('سجل التحفيز'!$AE$5:$AE$2004,"&gt;0",'سجل التحفيز'!$B$5:$B$2004,B214)&gt;0,COUNT(Y$4:Y213)+1,""))</f>
        <v/>
      </c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20">
        <f>IF(B215="","",COUNTIFS('سجل التحفيز'!$B$5:$B$2004,B215,'سجل التحفيز'!$R$5:$R$2004,الإعدادات!$B$4))</f>
        <v/>
      </c>
      <c r="I215" s="20">
        <f>IF(B215="","",COUNTIFS('سجل التحفيز'!$B$5:$B$2004,B215,'سجل التحفيز'!$R$5:$R$2004,الإعدادات!$B$4,'سجل التحفيز'!$Q$5:$Q$2004,"الفصل الأول",'سجل التحفيز'!$D$5:$D$2004,"ذهبي"))</f>
        <v/>
      </c>
      <c r="J215" s="20">
        <f>IF(B215="","",COUNTIFS('سجل التحفيز'!$B$5:$B$2004,B215,'سجل التحفيز'!$R$5:$R$2004,الإعدادات!$B$4,'سجل التحفيز'!$Q$5:$Q$2004,"الفصل الثاني",'سجل التحفيز'!$D$5:$D$2004,"ذهبي"))</f>
        <v/>
      </c>
      <c r="K215" s="20">
        <f>IF(B215="","",COUNTIFS('سجل التحفيز'!$B$5:$B$2004,B215,'سجل التحفيز'!$R$5:$R$2004,الإعدادات!$B$4,'سجل التحفيز'!$D$5:$D$2004,"ذهبي"))</f>
        <v/>
      </c>
      <c r="L215" s="20">
        <f>IF(B215="","",IF(G215="محرومة","محرومة - مخالفة",IF(K215&gt;=5,"مستحقة ★","متبقي "&amp;(5-K215)&amp;" معايير")))</f>
        <v/>
      </c>
      <c r="N215">
        <f>IF(B215="","",IF(COUNTIFS('سجل التحفيز'!$T$5:$T$2004,"&gt;0",'سجل التحفيز'!$B$5:$B$2004,B215)&gt;0,COUNT(N$4:N214)+1,""))</f>
        <v/>
      </c>
      <c r="O215">
        <f>IF(B215="","",IF(COUNTIFS('سجل التحفيز'!$U$5:$U$2004,"&gt;0",'سجل التحفيز'!$B$5:$B$2004,B215)&gt;0,COUNT(O$4:O214)+1,""))</f>
        <v/>
      </c>
      <c r="P215">
        <f>IF(B215="","",IF(COUNTIFS('سجل التحفيز'!$V$5:$V$2004,"&gt;0",'سجل التحفيز'!$B$5:$B$2004,B215)&gt;0,COUNT(P$4:P214)+1,""))</f>
        <v/>
      </c>
      <c r="Q215">
        <f>IF(B215="","",IF(COUNTIFS('سجل التحفيز'!$W$5:$W$2004,"&gt;0",'سجل التحفيز'!$B$5:$B$2004,B215)&gt;0,COUNT(Q$4:Q214)+1,""))</f>
        <v/>
      </c>
      <c r="R215">
        <f>IF(B215="","",IF(COUNTIFS('سجل التحفيز'!$X$5:$X$2004,"&gt;0",'سجل التحفيز'!$B$5:$B$2004,B215)&gt;0,COUNT(R$4:R214)+1,""))</f>
        <v/>
      </c>
      <c r="S215">
        <f>IF(B215="","",IF(COUNTIFS('سجل التحفيز'!$Y$5:$Y$2004,"&gt;0",'سجل التحفيز'!$B$5:$B$2004,B215)&gt;0,COUNT(S$4:S214)+1,""))</f>
        <v/>
      </c>
      <c r="T215">
        <f>IF(B215="","",IF(COUNTIFS('سجل التحفيز'!$Z$5:$Z$2004,"&gt;0",'سجل التحفيز'!$B$5:$B$2004,B215)&gt;0,COUNT(T$4:T214)+1,""))</f>
        <v/>
      </c>
      <c r="U215">
        <f>IF(B215="","",IF(COUNTIFS('سجل التحفيز'!$AA$5:$AA$2004,"&gt;0",'سجل التحفيز'!$B$5:$B$2004,B215)&gt;0,COUNT(U$4:U214)+1,""))</f>
        <v/>
      </c>
      <c r="V215">
        <f>IF(B215="","",IF(COUNTIFS('سجل التحفيز'!$AB$5:$AB$2004,"&gt;0",'سجل التحفيز'!$B$5:$B$2004,B215)&gt;0,COUNT(V$4:V214)+1,""))</f>
        <v/>
      </c>
      <c r="W215">
        <f>IF(B215="","",IF(COUNTIFS('سجل التحفيز'!$AC$5:$AC$2004,"&gt;0",'سجل التحفيز'!$B$5:$B$2004,B215)&gt;0,COUNT(W$4:W214)+1,""))</f>
        <v/>
      </c>
      <c r="X215">
        <f>IF(B215="","",IF(COUNTIFS('سجل التحفيز'!$AD$5:$AD$2004,"&gt;0",'سجل التحفيز'!$B$5:$B$2004,B215)&gt;0,COUNT(X$4:X214)+1,""))</f>
        <v/>
      </c>
      <c r="Y215">
        <f>IF(B215="","",IF(COUNTIFS('سجل التحفيز'!$AE$5:$AE$2004,"&gt;0",'سجل التحفيز'!$B$5:$B$2004,B215)&gt;0,COUNT(Y$4:Y214)+1,""))</f>
        <v/>
      </c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20">
        <f>IF(B216="","",COUNTIFS('سجل التحفيز'!$B$5:$B$2004,B216,'سجل التحفيز'!$R$5:$R$2004,الإعدادات!$B$4))</f>
        <v/>
      </c>
      <c r="I216" s="20">
        <f>IF(B216="","",COUNTIFS('سجل التحفيز'!$B$5:$B$2004,B216,'سجل التحفيز'!$R$5:$R$2004,الإعدادات!$B$4,'سجل التحفيز'!$Q$5:$Q$2004,"الفصل الأول",'سجل التحفيز'!$D$5:$D$2004,"ذهبي"))</f>
        <v/>
      </c>
      <c r="J216" s="20">
        <f>IF(B216="","",COUNTIFS('سجل التحفيز'!$B$5:$B$2004,B216,'سجل التحفيز'!$R$5:$R$2004,الإعدادات!$B$4,'سجل التحفيز'!$Q$5:$Q$2004,"الفصل الثاني",'سجل التحفيز'!$D$5:$D$2004,"ذهبي"))</f>
        <v/>
      </c>
      <c r="K216" s="20">
        <f>IF(B216="","",COUNTIFS('سجل التحفيز'!$B$5:$B$2004,B216,'سجل التحفيز'!$R$5:$R$2004,الإعدادات!$B$4,'سجل التحفيز'!$D$5:$D$2004,"ذهبي"))</f>
        <v/>
      </c>
      <c r="L216" s="20">
        <f>IF(B216="","",IF(G216="محرومة","محرومة - مخالفة",IF(K216&gt;=5,"مستحقة ★","متبقي "&amp;(5-K216)&amp;" معايير")))</f>
        <v/>
      </c>
      <c r="N216">
        <f>IF(B216="","",IF(COUNTIFS('سجل التحفيز'!$T$5:$T$2004,"&gt;0",'سجل التحفيز'!$B$5:$B$2004,B216)&gt;0,COUNT(N$4:N215)+1,""))</f>
        <v/>
      </c>
      <c r="O216">
        <f>IF(B216="","",IF(COUNTIFS('سجل التحفيز'!$U$5:$U$2004,"&gt;0",'سجل التحفيز'!$B$5:$B$2004,B216)&gt;0,COUNT(O$4:O215)+1,""))</f>
        <v/>
      </c>
      <c r="P216">
        <f>IF(B216="","",IF(COUNTIFS('سجل التحفيز'!$V$5:$V$2004,"&gt;0",'سجل التحفيز'!$B$5:$B$2004,B216)&gt;0,COUNT(P$4:P215)+1,""))</f>
        <v/>
      </c>
      <c r="Q216">
        <f>IF(B216="","",IF(COUNTIFS('سجل التحفيز'!$W$5:$W$2004,"&gt;0",'سجل التحفيز'!$B$5:$B$2004,B216)&gt;0,COUNT(Q$4:Q215)+1,""))</f>
        <v/>
      </c>
      <c r="R216">
        <f>IF(B216="","",IF(COUNTIFS('سجل التحفيز'!$X$5:$X$2004,"&gt;0",'سجل التحفيز'!$B$5:$B$2004,B216)&gt;0,COUNT(R$4:R215)+1,""))</f>
        <v/>
      </c>
      <c r="S216">
        <f>IF(B216="","",IF(COUNTIFS('سجل التحفيز'!$Y$5:$Y$2004,"&gt;0",'سجل التحفيز'!$B$5:$B$2004,B216)&gt;0,COUNT(S$4:S215)+1,""))</f>
        <v/>
      </c>
      <c r="T216">
        <f>IF(B216="","",IF(COUNTIFS('سجل التحفيز'!$Z$5:$Z$2004,"&gt;0",'سجل التحفيز'!$B$5:$B$2004,B216)&gt;0,COUNT(T$4:T215)+1,""))</f>
        <v/>
      </c>
      <c r="U216">
        <f>IF(B216="","",IF(COUNTIFS('سجل التحفيز'!$AA$5:$AA$2004,"&gt;0",'سجل التحفيز'!$B$5:$B$2004,B216)&gt;0,COUNT(U$4:U215)+1,""))</f>
        <v/>
      </c>
      <c r="V216">
        <f>IF(B216="","",IF(COUNTIFS('سجل التحفيز'!$AB$5:$AB$2004,"&gt;0",'سجل التحفيز'!$B$5:$B$2004,B216)&gt;0,COUNT(V$4:V215)+1,""))</f>
        <v/>
      </c>
      <c r="W216">
        <f>IF(B216="","",IF(COUNTIFS('سجل التحفيز'!$AC$5:$AC$2004,"&gt;0",'سجل التحفيز'!$B$5:$B$2004,B216)&gt;0,COUNT(W$4:W215)+1,""))</f>
        <v/>
      </c>
      <c r="X216">
        <f>IF(B216="","",IF(COUNTIFS('سجل التحفيز'!$AD$5:$AD$2004,"&gt;0",'سجل التحفيز'!$B$5:$B$2004,B216)&gt;0,COUNT(X$4:X215)+1,""))</f>
        <v/>
      </c>
      <c r="Y216">
        <f>IF(B216="","",IF(COUNTIFS('سجل التحفيز'!$AE$5:$AE$2004,"&gt;0",'سجل التحفيز'!$B$5:$B$2004,B216)&gt;0,COUNT(Y$4:Y215)+1,""))</f>
        <v/>
      </c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20">
        <f>IF(B217="","",COUNTIFS('سجل التحفيز'!$B$5:$B$2004,B217,'سجل التحفيز'!$R$5:$R$2004,الإعدادات!$B$4))</f>
        <v/>
      </c>
      <c r="I217" s="20">
        <f>IF(B217="","",COUNTIFS('سجل التحفيز'!$B$5:$B$2004,B217,'سجل التحفيز'!$R$5:$R$2004,الإعدادات!$B$4,'سجل التحفيز'!$Q$5:$Q$2004,"الفصل الأول",'سجل التحفيز'!$D$5:$D$2004,"ذهبي"))</f>
        <v/>
      </c>
      <c r="J217" s="20">
        <f>IF(B217="","",COUNTIFS('سجل التحفيز'!$B$5:$B$2004,B217,'سجل التحفيز'!$R$5:$R$2004,الإعدادات!$B$4,'سجل التحفيز'!$Q$5:$Q$2004,"الفصل الثاني",'سجل التحفيز'!$D$5:$D$2004,"ذهبي"))</f>
        <v/>
      </c>
      <c r="K217" s="20">
        <f>IF(B217="","",COUNTIFS('سجل التحفيز'!$B$5:$B$2004,B217,'سجل التحفيز'!$R$5:$R$2004,الإعدادات!$B$4,'سجل التحفيز'!$D$5:$D$2004,"ذهبي"))</f>
        <v/>
      </c>
      <c r="L217" s="20">
        <f>IF(B217="","",IF(G217="محرومة","محرومة - مخالفة",IF(K217&gt;=5,"مستحقة ★","متبقي "&amp;(5-K217)&amp;" معايير")))</f>
        <v/>
      </c>
      <c r="N217">
        <f>IF(B217="","",IF(COUNTIFS('سجل التحفيز'!$T$5:$T$2004,"&gt;0",'سجل التحفيز'!$B$5:$B$2004,B217)&gt;0,COUNT(N$4:N216)+1,""))</f>
        <v/>
      </c>
      <c r="O217">
        <f>IF(B217="","",IF(COUNTIFS('سجل التحفيز'!$U$5:$U$2004,"&gt;0",'سجل التحفيز'!$B$5:$B$2004,B217)&gt;0,COUNT(O$4:O216)+1,""))</f>
        <v/>
      </c>
      <c r="P217">
        <f>IF(B217="","",IF(COUNTIFS('سجل التحفيز'!$V$5:$V$2004,"&gt;0",'سجل التحفيز'!$B$5:$B$2004,B217)&gt;0,COUNT(P$4:P216)+1,""))</f>
        <v/>
      </c>
      <c r="Q217">
        <f>IF(B217="","",IF(COUNTIFS('سجل التحفيز'!$W$5:$W$2004,"&gt;0",'سجل التحفيز'!$B$5:$B$2004,B217)&gt;0,COUNT(Q$4:Q216)+1,""))</f>
        <v/>
      </c>
      <c r="R217">
        <f>IF(B217="","",IF(COUNTIFS('سجل التحفيز'!$X$5:$X$2004,"&gt;0",'سجل التحفيز'!$B$5:$B$2004,B217)&gt;0,COUNT(R$4:R216)+1,""))</f>
        <v/>
      </c>
      <c r="S217">
        <f>IF(B217="","",IF(COUNTIFS('سجل التحفيز'!$Y$5:$Y$2004,"&gt;0",'سجل التحفيز'!$B$5:$B$2004,B217)&gt;0,COUNT(S$4:S216)+1,""))</f>
        <v/>
      </c>
      <c r="T217">
        <f>IF(B217="","",IF(COUNTIFS('سجل التحفيز'!$Z$5:$Z$2004,"&gt;0",'سجل التحفيز'!$B$5:$B$2004,B217)&gt;0,COUNT(T$4:T216)+1,""))</f>
        <v/>
      </c>
      <c r="U217">
        <f>IF(B217="","",IF(COUNTIFS('سجل التحفيز'!$AA$5:$AA$2004,"&gt;0",'سجل التحفيز'!$B$5:$B$2004,B217)&gt;0,COUNT(U$4:U216)+1,""))</f>
        <v/>
      </c>
      <c r="V217">
        <f>IF(B217="","",IF(COUNTIFS('سجل التحفيز'!$AB$5:$AB$2004,"&gt;0",'سجل التحفيز'!$B$5:$B$2004,B217)&gt;0,COUNT(V$4:V216)+1,""))</f>
        <v/>
      </c>
      <c r="W217">
        <f>IF(B217="","",IF(COUNTIFS('سجل التحفيز'!$AC$5:$AC$2004,"&gt;0",'سجل التحفيز'!$B$5:$B$2004,B217)&gt;0,COUNT(W$4:W216)+1,""))</f>
        <v/>
      </c>
      <c r="X217">
        <f>IF(B217="","",IF(COUNTIFS('سجل التحفيز'!$AD$5:$AD$2004,"&gt;0",'سجل التحفيز'!$B$5:$B$2004,B217)&gt;0,COUNT(X$4:X216)+1,""))</f>
        <v/>
      </c>
      <c r="Y217">
        <f>IF(B217="","",IF(COUNTIFS('سجل التحفيز'!$AE$5:$AE$2004,"&gt;0",'سجل التحفيز'!$B$5:$B$2004,B217)&gt;0,COUNT(Y$4:Y216)+1,""))</f>
        <v/>
      </c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20">
        <f>IF(B218="","",COUNTIFS('سجل التحفيز'!$B$5:$B$2004,B218,'سجل التحفيز'!$R$5:$R$2004,الإعدادات!$B$4))</f>
        <v/>
      </c>
      <c r="I218" s="20">
        <f>IF(B218="","",COUNTIFS('سجل التحفيز'!$B$5:$B$2004,B218,'سجل التحفيز'!$R$5:$R$2004,الإعدادات!$B$4,'سجل التحفيز'!$Q$5:$Q$2004,"الفصل الأول",'سجل التحفيز'!$D$5:$D$2004,"ذهبي"))</f>
        <v/>
      </c>
      <c r="J218" s="20">
        <f>IF(B218="","",COUNTIFS('سجل التحفيز'!$B$5:$B$2004,B218,'سجل التحفيز'!$R$5:$R$2004,الإعدادات!$B$4,'سجل التحفيز'!$Q$5:$Q$2004,"الفصل الثاني",'سجل التحفيز'!$D$5:$D$2004,"ذهبي"))</f>
        <v/>
      </c>
      <c r="K218" s="20">
        <f>IF(B218="","",COUNTIFS('سجل التحفيز'!$B$5:$B$2004,B218,'سجل التحفيز'!$R$5:$R$2004,الإعدادات!$B$4,'سجل التحفيز'!$D$5:$D$2004,"ذهبي"))</f>
        <v/>
      </c>
      <c r="L218" s="20">
        <f>IF(B218="","",IF(G218="محرومة","محرومة - مخالفة",IF(K218&gt;=5,"مستحقة ★","متبقي "&amp;(5-K218)&amp;" معايير")))</f>
        <v/>
      </c>
      <c r="N218">
        <f>IF(B218="","",IF(COUNTIFS('سجل التحفيز'!$T$5:$T$2004,"&gt;0",'سجل التحفيز'!$B$5:$B$2004,B218)&gt;0,COUNT(N$4:N217)+1,""))</f>
        <v/>
      </c>
      <c r="O218">
        <f>IF(B218="","",IF(COUNTIFS('سجل التحفيز'!$U$5:$U$2004,"&gt;0",'سجل التحفيز'!$B$5:$B$2004,B218)&gt;0,COUNT(O$4:O217)+1,""))</f>
        <v/>
      </c>
      <c r="P218">
        <f>IF(B218="","",IF(COUNTIFS('سجل التحفيز'!$V$5:$V$2004,"&gt;0",'سجل التحفيز'!$B$5:$B$2004,B218)&gt;0,COUNT(P$4:P217)+1,""))</f>
        <v/>
      </c>
      <c r="Q218">
        <f>IF(B218="","",IF(COUNTIFS('سجل التحفيز'!$W$5:$W$2004,"&gt;0",'سجل التحفيز'!$B$5:$B$2004,B218)&gt;0,COUNT(Q$4:Q217)+1,""))</f>
        <v/>
      </c>
      <c r="R218">
        <f>IF(B218="","",IF(COUNTIFS('سجل التحفيز'!$X$5:$X$2004,"&gt;0",'سجل التحفيز'!$B$5:$B$2004,B218)&gt;0,COUNT(R$4:R217)+1,""))</f>
        <v/>
      </c>
      <c r="S218">
        <f>IF(B218="","",IF(COUNTIFS('سجل التحفيز'!$Y$5:$Y$2004,"&gt;0",'سجل التحفيز'!$B$5:$B$2004,B218)&gt;0,COUNT(S$4:S217)+1,""))</f>
        <v/>
      </c>
      <c r="T218">
        <f>IF(B218="","",IF(COUNTIFS('سجل التحفيز'!$Z$5:$Z$2004,"&gt;0",'سجل التحفيز'!$B$5:$B$2004,B218)&gt;0,COUNT(T$4:T217)+1,""))</f>
        <v/>
      </c>
      <c r="U218">
        <f>IF(B218="","",IF(COUNTIFS('سجل التحفيز'!$AA$5:$AA$2004,"&gt;0",'سجل التحفيز'!$B$5:$B$2004,B218)&gt;0,COUNT(U$4:U217)+1,""))</f>
        <v/>
      </c>
      <c r="V218">
        <f>IF(B218="","",IF(COUNTIFS('سجل التحفيز'!$AB$5:$AB$2004,"&gt;0",'سجل التحفيز'!$B$5:$B$2004,B218)&gt;0,COUNT(V$4:V217)+1,""))</f>
        <v/>
      </c>
      <c r="W218">
        <f>IF(B218="","",IF(COUNTIFS('سجل التحفيز'!$AC$5:$AC$2004,"&gt;0",'سجل التحفيز'!$B$5:$B$2004,B218)&gt;0,COUNT(W$4:W217)+1,""))</f>
        <v/>
      </c>
      <c r="X218">
        <f>IF(B218="","",IF(COUNTIFS('سجل التحفيز'!$AD$5:$AD$2004,"&gt;0",'سجل التحفيز'!$B$5:$B$2004,B218)&gt;0,COUNT(X$4:X217)+1,""))</f>
        <v/>
      </c>
      <c r="Y218">
        <f>IF(B218="","",IF(COUNTIFS('سجل التحفيز'!$AE$5:$AE$2004,"&gt;0",'سجل التحفيز'!$B$5:$B$2004,B218)&gt;0,COUNT(Y$4:Y217)+1,""))</f>
        <v/>
      </c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20">
        <f>IF(B219="","",COUNTIFS('سجل التحفيز'!$B$5:$B$2004,B219,'سجل التحفيز'!$R$5:$R$2004,الإعدادات!$B$4))</f>
        <v/>
      </c>
      <c r="I219" s="20">
        <f>IF(B219="","",COUNTIFS('سجل التحفيز'!$B$5:$B$2004,B219,'سجل التحفيز'!$R$5:$R$2004,الإعدادات!$B$4,'سجل التحفيز'!$Q$5:$Q$2004,"الفصل الأول",'سجل التحفيز'!$D$5:$D$2004,"ذهبي"))</f>
        <v/>
      </c>
      <c r="J219" s="20">
        <f>IF(B219="","",COUNTIFS('سجل التحفيز'!$B$5:$B$2004,B219,'سجل التحفيز'!$R$5:$R$2004,الإعدادات!$B$4,'سجل التحفيز'!$Q$5:$Q$2004,"الفصل الثاني",'سجل التحفيز'!$D$5:$D$2004,"ذهبي"))</f>
        <v/>
      </c>
      <c r="K219" s="20">
        <f>IF(B219="","",COUNTIFS('سجل التحفيز'!$B$5:$B$2004,B219,'سجل التحفيز'!$R$5:$R$2004,الإعدادات!$B$4,'سجل التحفيز'!$D$5:$D$2004,"ذهبي"))</f>
        <v/>
      </c>
      <c r="L219" s="20">
        <f>IF(B219="","",IF(G219="محرومة","محرومة - مخالفة",IF(K219&gt;=5,"مستحقة ★","متبقي "&amp;(5-K219)&amp;" معايير")))</f>
        <v/>
      </c>
      <c r="N219">
        <f>IF(B219="","",IF(COUNTIFS('سجل التحفيز'!$T$5:$T$2004,"&gt;0",'سجل التحفيز'!$B$5:$B$2004,B219)&gt;0,COUNT(N$4:N218)+1,""))</f>
        <v/>
      </c>
      <c r="O219">
        <f>IF(B219="","",IF(COUNTIFS('سجل التحفيز'!$U$5:$U$2004,"&gt;0",'سجل التحفيز'!$B$5:$B$2004,B219)&gt;0,COUNT(O$4:O218)+1,""))</f>
        <v/>
      </c>
      <c r="P219">
        <f>IF(B219="","",IF(COUNTIFS('سجل التحفيز'!$V$5:$V$2004,"&gt;0",'سجل التحفيز'!$B$5:$B$2004,B219)&gt;0,COUNT(P$4:P218)+1,""))</f>
        <v/>
      </c>
      <c r="Q219">
        <f>IF(B219="","",IF(COUNTIFS('سجل التحفيز'!$W$5:$W$2004,"&gt;0",'سجل التحفيز'!$B$5:$B$2004,B219)&gt;0,COUNT(Q$4:Q218)+1,""))</f>
        <v/>
      </c>
      <c r="R219">
        <f>IF(B219="","",IF(COUNTIFS('سجل التحفيز'!$X$5:$X$2004,"&gt;0",'سجل التحفيز'!$B$5:$B$2004,B219)&gt;0,COUNT(R$4:R218)+1,""))</f>
        <v/>
      </c>
      <c r="S219">
        <f>IF(B219="","",IF(COUNTIFS('سجل التحفيز'!$Y$5:$Y$2004,"&gt;0",'سجل التحفيز'!$B$5:$B$2004,B219)&gt;0,COUNT(S$4:S218)+1,""))</f>
        <v/>
      </c>
      <c r="T219">
        <f>IF(B219="","",IF(COUNTIFS('سجل التحفيز'!$Z$5:$Z$2004,"&gt;0",'سجل التحفيز'!$B$5:$B$2004,B219)&gt;0,COUNT(T$4:T218)+1,""))</f>
        <v/>
      </c>
      <c r="U219">
        <f>IF(B219="","",IF(COUNTIFS('سجل التحفيز'!$AA$5:$AA$2004,"&gt;0",'سجل التحفيز'!$B$5:$B$2004,B219)&gt;0,COUNT(U$4:U218)+1,""))</f>
        <v/>
      </c>
      <c r="V219">
        <f>IF(B219="","",IF(COUNTIFS('سجل التحفيز'!$AB$5:$AB$2004,"&gt;0",'سجل التحفيز'!$B$5:$B$2004,B219)&gt;0,COUNT(V$4:V218)+1,""))</f>
        <v/>
      </c>
      <c r="W219">
        <f>IF(B219="","",IF(COUNTIFS('سجل التحفيز'!$AC$5:$AC$2004,"&gt;0",'سجل التحفيز'!$B$5:$B$2004,B219)&gt;0,COUNT(W$4:W218)+1,""))</f>
        <v/>
      </c>
      <c r="X219">
        <f>IF(B219="","",IF(COUNTIFS('سجل التحفيز'!$AD$5:$AD$2004,"&gt;0",'سجل التحفيز'!$B$5:$B$2004,B219)&gt;0,COUNT(X$4:X218)+1,""))</f>
        <v/>
      </c>
      <c r="Y219">
        <f>IF(B219="","",IF(COUNTIFS('سجل التحفيز'!$AE$5:$AE$2004,"&gt;0",'سجل التحفيز'!$B$5:$B$2004,B219)&gt;0,COUNT(Y$4:Y218)+1,""))</f>
        <v/>
      </c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20">
        <f>IF(B220="","",COUNTIFS('سجل التحفيز'!$B$5:$B$2004,B220,'سجل التحفيز'!$R$5:$R$2004,الإعدادات!$B$4))</f>
        <v/>
      </c>
      <c r="I220" s="20">
        <f>IF(B220="","",COUNTIFS('سجل التحفيز'!$B$5:$B$2004,B220,'سجل التحفيز'!$R$5:$R$2004,الإعدادات!$B$4,'سجل التحفيز'!$Q$5:$Q$2004,"الفصل الأول",'سجل التحفيز'!$D$5:$D$2004,"ذهبي"))</f>
        <v/>
      </c>
      <c r="J220" s="20">
        <f>IF(B220="","",COUNTIFS('سجل التحفيز'!$B$5:$B$2004,B220,'سجل التحفيز'!$R$5:$R$2004,الإعدادات!$B$4,'سجل التحفيز'!$Q$5:$Q$2004,"الفصل الثاني",'سجل التحفيز'!$D$5:$D$2004,"ذهبي"))</f>
        <v/>
      </c>
      <c r="K220" s="20">
        <f>IF(B220="","",COUNTIFS('سجل التحفيز'!$B$5:$B$2004,B220,'سجل التحفيز'!$R$5:$R$2004,الإعدادات!$B$4,'سجل التحفيز'!$D$5:$D$2004,"ذهبي"))</f>
        <v/>
      </c>
      <c r="L220" s="20">
        <f>IF(B220="","",IF(G220="محرومة","محرومة - مخالفة",IF(K220&gt;=5,"مستحقة ★","متبقي "&amp;(5-K220)&amp;" معايير")))</f>
        <v/>
      </c>
      <c r="N220">
        <f>IF(B220="","",IF(COUNTIFS('سجل التحفيز'!$T$5:$T$2004,"&gt;0",'سجل التحفيز'!$B$5:$B$2004,B220)&gt;0,COUNT(N$4:N219)+1,""))</f>
        <v/>
      </c>
      <c r="O220">
        <f>IF(B220="","",IF(COUNTIFS('سجل التحفيز'!$U$5:$U$2004,"&gt;0",'سجل التحفيز'!$B$5:$B$2004,B220)&gt;0,COUNT(O$4:O219)+1,""))</f>
        <v/>
      </c>
      <c r="P220">
        <f>IF(B220="","",IF(COUNTIFS('سجل التحفيز'!$V$5:$V$2004,"&gt;0",'سجل التحفيز'!$B$5:$B$2004,B220)&gt;0,COUNT(P$4:P219)+1,""))</f>
        <v/>
      </c>
      <c r="Q220">
        <f>IF(B220="","",IF(COUNTIFS('سجل التحفيز'!$W$5:$W$2004,"&gt;0",'سجل التحفيز'!$B$5:$B$2004,B220)&gt;0,COUNT(Q$4:Q219)+1,""))</f>
        <v/>
      </c>
      <c r="R220">
        <f>IF(B220="","",IF(COUNTIFS('سجل التحفيز'!$X$5:$X$2004,"&gt;0",'سجل التحفيز'!$B$5:$B$2004,B220)&gt;0,COUNT(R$4:R219)+1,""))</f>
        <v/>
      </c>
      <c r="S220">
        <f>IF(B220="","",IF(COUNTIFS('سجل التحفيز'!$Y$5:$Y$2004,"&gt;0",'سجل التحفيز'!$B$5:$B$2004,B220)&gt;0,COUNT(S$4:S219)+1,""))</f>
        <v/>
      </c>
      <c r="T220">
        <f>IF(B220="","",IF(COUNTIFS('سجل التحفيز'!$Z$5:$Z$2004,"&gt;0",'سجل التحفيز'!$B$5:$B$2004,B220)&gt;0,COUNT(T$4:T219)+1,""))</f>
        <v/>
      </c>
      <c r="U220">
        <f>IF(B220="","",IF(COUNTIFS('سجل التحفيز'!$AA$5:$AA$2004,"&gt;0",'سجل التحفيز'!$B$5:$B$2004,B220)&gt;0,COUNT(U$4:U219)+1,""))</f>
        <v/>
      </c>
      <c r="V220">
        <f>IF(B220="","",IF(COUNTIFS('سجل التحفيز'!$AB$5:$AB$2004,"&gt;0",'سجل التحفيز'!$B$5:$B$2004,B220)&gt;0,COUNT(V$4:V219)+1,""))</f>
        <v/>
      </c>
      <c r="W220">
        <f>IF(B220="","",IF(COUNTIFS('سجل التحفيز'!$AC$5:$AC$2004,"&gt;0",'سجل التحفيز'!$B$5:$B$2004,B220)&gt;0,COUNT(W$4:W219)+1,""))</f>
        <v/>
      </c>
      <c r="X220">
        <f>IF(B220="","",IF(COUNTIFS('سجل التحفيز'!$AD$5:$AD$2004,"&gt;0",'سجل التحفيز'!$B$5:$B$2004,B220)&gt;0,COUNT(X$4:X219)+1,""))</f>
        <v/>
      </c>
      <c r="Y220">
        <f>IF(B220="","",IF(COUNTIFS('سجل التحفيز'!$AE$5:$AE$2004,"&gt;0",'سجل التحفيز'!$B$5:$B$2004,B220)&gt;0,COUNT(Y$4:Y219)+1,""))</f>
        <v/>
      </c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20">
        <f>IF(B221="","",COUNTIFS('سجل التحفيز'!$B$5:$B$2004,B221,'سجل التحفيز'!$R$5:$R$2004,الإعدادات!$B$4))</f>
        <v/>
      </c>
      <c r="I221" s="20">
        <f>IF(B221="","",COUNTIFS('سجل التحفيز'!$B$5:$B$2004,B221,'سجل التحفيز'!$R$5:$R$2004,الإعدادات!$B$4,'سجل التحفيز'!$Q$5:$Q$2004,"الفصل الأول",'سجل التحفيز'!$D$5:$D$2004,"ذهبي"))</f>
        <v/>
      </c>
      <c r="J221" s="20">
        <f>IF(B221="","",COUNTIFS('سجل التحفيز'!$B$5:$B$2004,B221,'سجل التحفيز'!$R$5:$R$2004,الإعدادات!$B$4,'سجل التحفيز'!$Q$5:$Q$2004,"الفصل الثاني",'سجل التحفيز'!$D$5:$D$2004,"ذهبي"))</f>
        <v/>
      </c>
      <c r="K221" s="20">
        <f>IF(B221="","",COUNTIFS('سجل التحفيز'!$B$5:$B$2004,B221,'سجل التحفيز'!$R$5:$R$2004,الإعدادات!$B$4,'سجل التحفيز'!$D$5:$D$2004,"ذهبي"))</f>
        <v/>
      </c>
      <c r="L221" s="20">
        <f>IF(B221="","",IF(G221="محرومة","محرومة - مخالفة",IF(K221&gt;=5,"مستحقة ★","متبقي "&amp;(5-K221)&amp;" معايير")))</f>
        <v/>
      </c>
      <c r="N221">
        <f>IF(B221="","",IF(COUNTIFS('سجل التحفيز'!$T$5:$T$2004,"&gt;0",'سجل التحفيز'!$B$5:$B$2004,B221)&gt;0,COUNT(N$4:N220)+1,""))</f>
        <v/>
      </c>
      <c r="O221">
        <f>IF(B221="","",IF(COUNTIFS('سجل التحفيز'!$U$5:$U$2004,"&gt;0",'سجل التحفيز'!$B$5:$B$2004,B221)&gt;0,COUNT(O$4:O220)+1,""))</f>
        <v/>
      </c>
      <c r="P221">
        <f>IF(B221="","",IF(COUNTIFS('سجل التحفيز'!$V$5:$V$2004,"&gt;0",'سجل التحفيز'!$B$5:$B$2004,B221)&gt;0,COUNT(P$4:P220)+1,""))</f>
        <v/>
      </c>
      <c r="Q221">
        <f>IF(B221="","",IF(COUNTIFS('سجل التحفيز'!$W$5:$W$2004,"&gt;0",'سجل التحفيز'!$B$5:$B$2004,B221)&gt;0,COUNT(Q$4:Q220)+1,""))</f>
        <v/>
      </c>
      <c r="R221">
        <f>IF(B221="","",IF(COUNTIFS('سجل التحفيز'!$X$5:$X$2004,"&gt;0",'سجل التحفيز'!$B$5:$B$2004,B221)&gt;0,COUNT(R$4:R220)+1,""))</f>
        <v/>
      </c>
      <c r="S221">
        <f>IF(B221="","",IF(COUNTIFS('سجل التحفيز'!$Y$5:$Y$2004,"&gt;0",'سجل التحفيز'!$B$5:$B$2004,B221)&gt;0,COUNT(S$4:S220)+1,""))</f>
        <v/>
      </c>
      <c r="T221">
        <f>IF(B221="","",IF(COUNTIFS('سجل التحفيز'!$Z$5:$Z$2004,"&gt;0",'سجل التحفيز'!$B$5:$B$2004,B221)&gt;0,COUNT(T$4:T220)+1,""))</f>
        <v/>
      </c>
      <c r="U221">
        <f>IF(B221="","",IF(COUNTIFS('سجل التحفيز'!$AA$5:$AA$2004,"&gt;0",'سجل التحفيز'!$B$5:$B$2004,B221)&gt;0,COUNT(U$4:U220)+1,""))</f>
        <v/>
      </c>
      <c r="V221">
        <f>IF(B221="","",IF(COUNTIFS('سجل التحفيز'!$AB$5:$AB$2004,"&gt;0",'سجل التحفيز'!$B$5:$B$2004,B221)&gt;0,COUNT(V$4:V220)+1,""))</f>
        <v/>
      </c>
      <c r="W221">
        <f>IF(B221="","",IF(COUNTIFS('سجل التحفيز'!$AC$5:$AC$2004,"&gt;0",'سجل التحفيز'!$B$5:$B$2004,B221)&gt;0,COUNT(W$4:W220)+1,""))</f>
        <v/>
      </c>
      <c r="X221">
        <f>IF(B221="","",IF(COUNTIFS('سجل التحفيز'!$AD$5:$AD$2004,"&gt;0",'سجل التحفيز'!$B$5:$B$2004,B221)&gt;0,COUNT(X$4:X220)+1,""))</f>
        <v/>
      </c>
      <c r="Y221">
        <f>IF(B221="","",IF(COUNTIFS('سجل التحفيز'!$AE$5:$AE$2004,"&gt;0",'سجل التحفيز'!$B$5:$B$2004,B221)&gt;0,COUNT(Y$4:Y220)+1,""))</f>
        <v/>
      </c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20">
        <f>IF(B222="","",COUNTIFS('سجل التحفيز'!$B$5:$B$2004,B222,'سجل التحفيز'!$R$5:$R$2004,الإعدادات!$B$4))</f>
        <v/>
      </c>
      <c r="I222" s="20">
        <f>IF(B222="","",COUNTIFS('سجل التحفيز'!$B$5:$B$2004,B222,'سجل التحفيز'!$R$5:$R$2004,الإعدادات!$B$4,'سجل التحفيز'!$Q$5:$Q$2004,"الفصل الأول",'سجل التحفيز'!$D$5:$D$2004,"ذهبي"))</f>
        <v/>
      </c>
      <c r="J222" s="20">
        <f>IF(B222="","",COUNTIFS('سجل التحفيز'!$B$5:$B$2004,B222,'سجل التحفيز'!$R$5:$R$2004,الإعدادات!$B$4,'سجل التحفيز'!$Q$5:$Q$2004,"الفصل الثاني",'سجل التحفيز'!$D$5:$D$2004,"ذهبي"))</f>
        <v/>
      </c>
      <c r="K222" s="20">
        <f>IF(B222="","",COUNTIFS('سجل التحفيز'!$B$5:$B$2004,B222,'سجل التحفيز'!$R$5:$R$2004,الإعدادات!$B$4,'سجل التحفيز'!$D$5:$D$2004,"ذهبي"))</f>
        <v/>
      </c>
      <c r="L222" s="20">
        <f>IF(B222="","",IF(G222="محرومة","محرومة - مخالفة",IF(K222&gt;=5,"مستحقة ★","متبقي "&amp;(5-K222)&amp;" معايير")))</f>
        <v/>
      </c>
      <c r="N222">
        <f>IF(B222="","",IF(COUNTIFS('سجل التحفيز'!$T$5:$T$2004,"&gt;0",'سجل التحفيز'!$B$5:$B$2004,B222)&gt;0,COUNT(N$4:N221)+1,""))</f>
        <v/>
      </c>
      <c r="O222">
        <f>IF(B222="","",IF(COUNTIFS('سجل التحفيز'!$U$5:$U$2004,"&gt;0",'سجل التحفيز'!$B$5:$B$2004,B222)&gt;0,COUNT(O$4:O221)+1,""))</f>
        <v/>
      </c>
      <c r="P222">
        <f>IF(B222="","",IF(COUNTIFS('سجل التحفيز'!$V$5:$V$2004,"&gt;0",'سجل التحفيز'!$B$5:$B$2004,B222)&gt;0,COUNT(P$4:P221)+1,""))</f>
        <v/>
      </c>
      <c r="Q222">
        <f>IF(B222="","",IF(COUNTIFS('سجل التحفيز'!$W$5:$W$2004,"&gt;0",'سجل التحفيز'!$B$5:$B$2004,B222)&gt;0,COUNT(Q$4:Q221)+1,""))</f>
        <v/>
      </c>
      <c r="R222">
        <f>IF(B222="","",IF(COUNTIFS('سجل التحفيز'!$X$5:$X$2004,"&gt;0",'سجل التحفيز'!$B$5:$B$2004,B222)&gt;0,COUNT(R$4:R221)+1,""))</f>
        <v/>
      </c>
      <c r="S222">
        <f>IF(B222="","",IF(COUNTIFS('سجل التحفيز'!$Y$5:$Y$2004,"&gt;0",'سجل التحفيز'!$B$5:$B$2004,B222)&gt;0,COUNT(S$4:S221)+1,""))</f>
        <v/>
      </c>
      <c r="T222">
        <f>IF(B222="","",IF(COUNTIFS('سجل التحفيز'!$Z$5:$Z$2004,"&gt;0",'سجل التحفيز'!$B$5:$B$2004,B222)&gt;0,COUNT(T$4:T221)+1,""))</f>
        <v/>
      </c>
      <c r="U222">
        <f>IF(B222="","",IF(COUNTIFS('سجل التحفيز'!$AA$5:$AA$2004,"&gt;0",'سجل التحفيز'!$B$5:$B$2004,B222)&gt;0,COUNT(U$4:U221)+1,""))</f>
        <v/>
      </c>
      <c r="V222">
        <f>IF(B222="","",IF(COUNTIFS('سجل التحفيز'!$AB$5:$AB$2004,"&gt;0",'سجل التحفيز'!$B$5:$B$2004,B222)&gt;0,COUNT(V$4:V221)+1,""))</f>
        <v/>
      </c>
      <c r="W222">
        <f>IF(B222="","",IF(COUNTIFS('سجل التحفيز'!$AC$5:$AC$2004,"&gt;0",'سجل التحفيز'!$B$5:$B$2004,B222)&gt;0,COUNT(W$4:W221)+1,""))</f>
        <v/>
      </c>
      <c r="X222">
        <f>IF(B222="","",IF(COUNTIFS('سجل التحفيز'!$AD$5:$AD$2004,"&gt;0",'سجل التحفيز'!$B$5:$B$2004,B222)&gt;0,COUNT(X$4:X221)+1,""))</f>
        <v/>
      </c>
      <c r="Y222">
        <f>IF(B222="","",IF(COUNTIFS('سجل التحفيز'!$AE$5:$AE$2004,"&gt;0",'سجل التحفيز'!$B$5:$B$2004,B222)&gt;0,COUNT(Y$4:Y221)+1,""))</f>
        <v/>
      </c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20">
        <f>IF(B223="","",COUNTIFS('سجل التحفيز'!$B$5:$B$2004,B223,'سجل التحفيز'!$R$5:$R$2004,الإعدادات!$B$4))</f>
        <v/>
      </c>
      <c r="I223" s="20">
        <f>IF(B223="","",COUNTIFS('سجل التحفيز'!$B$5:$B$2004,B223,'سجل التحفيز'!$R$5:$R$2004,الإعدادات!$B$4,'سجل التحفيز'!$Q$5:$Q$2004,"الفصل الأول",'سجل التحفيز'!$D$5:$D$2004,"ذهبي"))</f>
        <v/>
      </c>
      <c r="J223" s="20">
        <f>IF(B223="","",COUNTIFS('سجل التحفيز'!$B$5:$B$2004,B223,'سجل التحفيز'!$R$5:$R$2004,الإعدادات!$B$4,'سجل التحفيز'!$Q$5:$Q$2004,"الفصل الثاني",'سجل التحفيز'!$D$5:$D$2004,"ذهبي"))</f>
        <v/>
      </c>
      <c r="K223" s="20">
        <f>IF(B223="","",COUNTIFS('سجل التحفيز'!$B$5:$B$2004,B223,'سجل التحفيز'!$R$5:$R$2004,الإعدادات!$B$4,'سجل التحفيز'!$D$5:$D$2004,"ذهبي"))</f>
        <v/>
      </c>
      <c r="L223" s="20">
        <f>IF(B223="","",IF(G223="محرومة","محرومة - مخالفة",IF(K223&gt;=5,"مستحقة ★","متبقي "&amp;(5-K223)&amp;" معايير")))</f>
        <v/>
      </c>
      <c r="N223">
        <f>IF(B223="","",IF(COUNTIFS('سجل التحفيز'!$T$5:$T$2004,"&gt;0",'سجل التحفيز'!$B$5:$B$2004,B223)&gt;0,COUNT(N$4:N222)+1,""))</f>
        <v/>
      </c>
      <c r="O223">
        <f>IF(B223="","",IF(COUNTIFS('سجل التحفيز'!$U$5:$U$2004,"&gt;0",'سجل التحفيز'!$B$5:$B$2004,B223)&gt;0,COUNT(O$4:O222)+1,""))</f>
        <v/>
      </c>
      <c r="P223">
        <f>IF(B223="","",IF(COUNTIFS('سجل التحفيز'!$V$5:$V$2004,"&gt;0",'سجل التحفيز'!$B$5:$B$2004,B223)&gt;0,COUNT(P$4:P222)+1,""))</f>
        <v/>
      </c>
      <c r="Q223">
        <f>IF(B223="","",IF(COUNTIFS('سجل التحفيز'!$W$5:$W$2004,"&gt;0",'سجل التحفيز'!$B$5:$B$2004,B223)&gt;0,COUNT(Q$4:Q222)+1,""))</f>
        <v/>
      </c>
      <c r="R223">
        <f>IF(B223="","",IF(COUNTIFS('سجل التحفيز'!$X$5:$X$2004,"&gt;0",'سجل التحفيز'!$B$5:$B$2004,B223)&gt;0,COUNT(R$4:R222)+1,""))</f>
        <v/>
      </c>
      <c r="S223">
        <f>IF(B223="","",IF(COUNTIFS('سجل التحفيز'!$Y$5:$Y$2004,"&gt;0",'سجل التحفيز'!$B$5:$B$2004,B223)&gt;0,COUNT(S$4:S222)+1,""))</f>
        <v/>
      </c>
      <c r="T223">
        <f>IF(B223="","",IF(COUNTIFS('سجل التحفيز'!$Z$5:$Z$2004,"&gt;0",'سجل التحفيز'!$B$5:$B$2004,B223)&gt;0,COUNT(T$4:T222)+1,""))</f>
        <v/>
      </c>
      <c r="U223">
        <f>IF(B223="","",IF(COUNTIFS('سجل التحفيز'!$AA$5:$AA$2004,"&gt;0",'سجل التحفيز'!$B$5:$B$2004,B223)&gt;0,COUNT(U$4:U222)+1,""))</f>
        <v/>
      </c>
      <c r="V223">
        <f>IF(B223="","",IF(COUNTIFS('سجل التحفيز'!$AB$5:$AB$2004,"&gt;0",'سجل التحفيز'!$B$5:$B$2004,B223)&gt;0,COUNT(V$4:V222)+1,""))</f>
        <v/>
      </c>
      <c r="W223">
        <f>IF(B223="","",IF(COUNTIFS('سجل التحفيز'!$AC$5:$AC$2004,"&gt;0",'سجل التحفيز'!$B$5:$B$2004,B223)&gt;0,COUNT(W$4:W222)+1,""))</f>
        <v/>
      </c>
      <c r="X223">
        <f>IF(B223="","",IF(COUNTIFS('سجل التحفيز'!$AD$5:$AD$2004,"&gt;0",'سجل التحفيز'!$B$5:$B$2004,B223)&gt;0,COUNT(X$4:X222)+1,""))</f>
        <v/>
      </c>
      <c r="Y223">
        <f>IF(B223="","",IF(COUNTIFS('سجل التحفيز'!$AE$5:$AE$2004,"&gt;0",'سجل التحفيز'!$B$5:$B$2004,B223)&gt;0,COUNT(Y$4:Y222)+1,""))</f>
        <v/>
      </c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20">
        <f>IF(B224="","",COUNTIFS('سجل التحفيز'!$B$5:$B$2004,B224,'سجل التحفيز'!$R$5:$R$2004,الإعدادات!$B$4))</f>
        <v/>
      </c>
      <c r="I224" s="20">
        <f>IF(B224="","",COUNTIFS('سجل التحفيز'!$B$5:$B$2004,B224,'سجل التحفيز'!$R$5:$R$2004,الإعدادات!$B$4,'سجل التحفيز'!$Q$5:$Q$2004,"الفصل الأول",'سجل التحفيز'!$D$5:$D$2004,"ذهبي"))</f>
        <v/>
      </c>
      <c r="J224" s="20">
        <f>IF(B224="","",COUNTIFS('سجل التحفيز'!$B$5:$B$2004,B224,'سجل التحفيز'!$R$5:$R$2004,الإعدادات!$B$4,'سجل التحفيز'!$Q$5:$Q$2004,"الفصل الثاني",'سجل التحفيز'!$D$5:$D$2004,"ذهبي"))</f>
        <v/>
      </c>
      <c r="K224" s="20">
        <f>IF(B224="","",COUNTIFS('سجل التحفيز'!$B$5:$B$2004,B224,'سجل التحفيز'!$R$5:$R$2004,الإعدادات!$B$4,'سجل التحفيز'!$D$5:$D$2004,"ذهبي"))</f>
        <v/>
      </c>
      <c r="L224" s="20">
        <f>IF(B224="","",IF(G224="محرومة","محرومة - مخالفة",IF(K224&gt;=5,"مستحقة ★","متبقي "&amp;(5-K224)&amp;" معايير")))</f>
        <v/>
      </c>
      <c r="N224">
        <f>IF(B224="","",IF(COUNTIFS('سجل التحفيز'!$T$5:$T$2004,"&gt;0",'سجل التحفيز'!$B$5:$B$2004,B224)&gt;0,COUNT(N$4:N223)+1,""))</f>
        <v/>
      </c>
      <c r="O224">
        <f>IF(B224="","",IF(COUNTIFS('سجل التحفيز'!$U$5:$U$2004,"&gt;0",'سجل التحفيز'!$B$5:$B$2004,B224)&gt;0,COUNT(O$4:O223)+1,""))</f>
        <v/>
      </c>
      <c r="P224">
        <f>IF(B224="","",IF(COUNTIFS('سجل التحفيز'!$V$5:$V$2004,"&gt;0",'سجل التحفيز'!$B$5:$B$2004,B224)&gt;0,COUNT(P$4:P223)+1,""))</f>
        <v/>
      </c>
      <c r="Q224">
        <f>IF(B224="","",IF(COUNTIFS('سجل التحفيز'!$W$5:$W$2004,"&gt;0",'سجل التحفيز'!$B$5:$B$2004,B224)&gt;0,COUNT(Q$4:Q223)+1,""))</f>
        <v/>
      </c>
      <c r="R224">
        <f>IF(B224="","",IF(COUNTIFS('سجل التحفيز'!$X$5:$X$2004,"&gt;0",'سجل التحفيز'!$B$5:$B$2004,B224)&gt;0,COUNT(R$4:R223)+1,""))</f>
        <v/>
      </c>
      <c r="S224">
        <f>IF(B224="","",IF(COUNTIFS('سجل التحفيز'!$Y$5:$Y$2004,"&gt;0",'سجل التحفيز'!$B$5:$B$2004,B224)&gt;0,COUNT(S$4:S223)+1,""))</f>
        <v/>
      </c>
      <c r="T224">
        <f>IF(B224="","",IF(COUNTIFS('سجل التحفيز'!$Z$5:$Z$2004,"&gt;0",'سجل التحفيز'!$B$5:$B$2004,B224)&gt;0,COUNT(T$4:T223)+1,""))</f>
        <v/>
      </c>
      <c r="U224">
        <f>IF(B224="","",IF(COUNTIFS('سجل التحفيز'!$AA$5:$AA$2004,"&gt;0",'سجل التحفيز'!$B$5:$B$2004,B224)&gt;0,COUNT(U$4:U223)+1,""))</f>
        <v/>
      </c>
      <c r="V224">
        <f>IF(B224="","",IF(COUNTIFS('سجل التحفيز'!$AB$5:$AB$2004,"&gt;0",'سجل التحفيز'!$B$5:$B$2004,B224)&gt;0,COUNT(V$4:V223)+1,""))</f>
        <v/>
      </c>
      <c r="W224">
        <f>IF(B224="","",IF(COUNTIFS('سجل التحفيز'!$AC$5:$AC$2004,"&gt;0",'سجل التحفيز'!$B$5:$B$2004,B224)&gt;0,COUNT(W$4:W223)+1,""))</f>
        <v/>
      </c>
      <c r="X224">
        <f>IF(B224="","",IF(COUNTIFS('سجل التحفيز'!$AD$5:$AD$2004,"&gt;0",'سجل التحفيز'!$B$5:$B$2004,B224)&gt;0,COUNT(X$4:X223)+1,""))</f>
        <v/>
      </c>
      <c r="Y224">
        <f>IF(B224="","",IF(COUNTIFS('سجل التحفيز'!$AE$5:$AE$2004,"&gt;0",'سجل التحفيز'!$B$5:$B$2004,B224)&gt;0,COUNT(Y$4:Y223)+1,""))</f>
        <v/>
      </c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20">
        <f>IF(B225="","",COUNTIFS('سجل التحفيز'!$B$5:$B$2004,B225,'سجل التحفيز'!$R$5:$R$2004,الإعدادات!$B$4))</f>
        <v/>
      </c>
      <c r="I225" s="20">
        <f>IF(B225="","",COUNTIFS('سجل التحفيز'!$B$5:$B$2004,B225,'سجل التحفيز'!$R$5:$R$2004,الإعدادات!$B$4,'سجل التحفيز'!$Q$5:$Q$2004,"الفصل الأول",'سجل التحفيز'!$D$5:$D$2004,"ذهبي"))</f>
        <v/>
      </c>
      <c r="J225" s="20">
        <f>IF(B225="","",COUNTIFS('سجل التحفيز'!$B$5:$B$2004,B225,'سجل التحفيز'!$R$5:$R$2004,الإعدادات!$B$4,'سجل التحفيز'!$Q$5:$Q$2004,"الفصل الثاني",'سجل التحفيز'!$D$5:$D$2004,"ذهبي"))</f>
        <v/>
      </c>
      <c r="K225" s="20">
        <f>IF(B225="","",COUNTIFS('سجل التحفيز'!$B$5:$B$2004,B225,'سجل التحفيز'!$R$5:$R$2004,الإعدادات!$B$4,'سجل التحفيز'!$D$5:$D$2004,"ذهبي"))</f>
        <v/>
      </c>
      <c r="L225" s="20">
        <f>IF(B225="","",IF(G225="محرومة","محرومة - مخالفة",IF(K225&gt;=5,"مستحقة ★","متبقي "&amp;(5-K225)&amp;" معايير")))</f>
        <v/>
      </c>
      <c r="N225">
        <f>IF(B225="","",IF(COUNTIFS('سجل التحفيز'!$T$5:$T$2004,"&gt;0",'سجل التحفيز'!$B$5:$B$2004,B225)&gt;0,COUNT(N$4:N224)+1,""))</f>
        <v/>
      </c>
      <c r="O225">
        <f>IF(B225="","",IF(COUNTIFS('سجل التحفيز'!$U$5:$U$2004,"&gt;0",'سجل التحفيز'!$B$5:$B$2004,B225)&gt;0,COUNT(O$4:O224)+1,""))</f>
        <v/>
      </c>
      <c r="P225">
        <f>IF(B225="","",IF(COUNTIFS('سجل التحفيز'!$V$5:$V$2004,"&gt;0",'سجل التحفيز'!$B$5:$B$2004,B225)&gt;0,COUNT(P$4:P224)+1,""))</f>
        <v/>
      </c>
      <c r="Q225">
        <f>IF(B225="","",IF(COUNTIFS('سجل التحفيز'!$W$5:$W$2004,"&gt;0",'سجل التحفيز'!$B$5:$B$2004,B225)&gt;0,COUNT(Q$4:Q224)+1,""))</f>
        <v/>
      </c>
      <c r="R225">
        <f>IF(B225="","",IF(COUNTIFS('سجل التحفيز'!$X$5:$X$2004,"&gt;0",'سجل التحفيز'!$B$5:$B$2004,B225)&gt;0,COUNT(R$4:R224)+1,""))</f>
        <v/>
      </c>
      <c r="S225">
        <f>IF(B225="","",IF(COUNTIFS('سجل التحفيز'!$Y$5:$Y$2004,"&gt;0",'سجل التحفيز'!$B$5:$B$2004,B225)&gt;0,COUNT(S$4:S224)+1,""))</f>
        <v/>
      </c>
      <c r="T225">
        <f>IF(B225="","",IF(COUNTIFS('سجل التحفيز'!$Z$5:$Z$2004,"&gt;0",'سجل التحفيز'!$B$5:$B$2004,B225)&gt;0,COUNT(T$4:T224)+1,""))</f>
        <v/>
      </c>
      <c r="U225">
        <f>IF(B225="","",IF(COUNTIFS('سجل التحفيز'!$AA$5:$AA$2004,"&gt;0",'سجل التحفيز'!$B$5:$B$2004,B225)&gt;0,COUNT(U$4:U224)+1,""))</f>
        <v/>
      </c>
      <c r="V225">
        <f>IF(B225="","",IF(COUNTIFS('سجل التحفيز'!$AB$5:$AB$2004,"&gt;0",'سجل التحفيز'!$B$5:$B$2004,B225)&gt;0,COUNT(V$4:V224)+1,""))</f>
        <v/>
      </c>
      <c r="W225">
        <f>IF(B225="","",IF(COUNTIFS('سجل التحفيز'!$AC$5:$AC$2004,"&gt;0",'سجل التحفيز'!$B$5:$B$2004,B225)&gt;0,COUNT(W$4:W224)+1,""))</f>
        <v/>
      </c>
      <c r="X225">
        <f>IF(B225="","",IF(COUNTIFS('سجل التحفيز'!$AD$5:$AD$2004,"&gt;0",'سجل التحفيز'!$B$5:$B$2004,B225)&gt;0,COUNT(X$4:X224)+1,""))</f>
        <v/>
      </c>
      <c r="Y225">
        <f>IF(B225="","",IF(COUNTIFS('سجل التحفيز'!$AE$5:$AE$2004,"&gt;0",'سجل التحفيز'!$B$5:$B$2004,B225)&gt;0,COUNT(Y$4:Y224)+1,""))</f>
        <v/>
      </c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20">
        <f>IF(B226="","",COUNTIFS('سجل التحفيز'!$B$5:$B$2004,B226,'سجل التحفيز'!$R$5:$R$2004,الإعدادات!$B$4))</f>
        <v/>
      </c>
      <c r="I226" s="20">
        <f>IF(B226="","",COUNTIFS('سجل التحفيز'!$B$5:$B$2004,B226,'سجل التحفيز'!$R$5:$R$2004,الإعدادات!$B$4,'سجل التحفيز'!$Q$5:$Q$2004,"الفصل الأول",'سجل التحفيز'!$D$5:$D$2004,"ذهبي"))</f>
        <v/>
      </c>
      <c r="J226" s="20">
        <f>IF(B226="","",COUNTIFS('سجل التحفيز'!$B$5:$B$2004,B226,'سجل التحفيز'!$R$5:$R$2004,الإعدادات!$B$4,'سجل التحفيز'!$Q$5:$Q$2004,"الفصل الثاني",'سجل التحفيز'!$D$5:$D$2004,"ذهبي"))</f>
        <v/>
      </c>
      <c r="K226" s="20">
        <f>IF(B226="","",COUNTIFS('سجل التحفيز'!$B$5:$B$2004,B226,'سجل التحفيز'!$R$5:$R$2004,الإعدادات!$B$4,'سجل التحفيز'!$D$5:$D$2004,"ذهبي"))</f>
        <v/>
      </c>
      <c r="L226" s="20">
        <f>IF(B226="","",IF(G226="محرومة","محرومة - مخالفة",IF(K226&gt;=5,"مستحقة ★","متبقي "&amp;(5-K226)&amp;" معايير")))</f>
        <v/>
      </c>
      <c r="N226">
        <f>IF(B226="","",IF(COUNTIFS('سجل التحفيز'!$T$5:$T$2004,"&gt;0",'سجل التحفيز'!$B$5:$B$2004,B226)&gt;0,COUNT(N$4:N225)+1,""))</f>
        <v/>
      </c>
      <c r="O226">
        <f>IF(B226="","",IF(COUNTIFS('سجل التحفيز'!$U$5:$U$2004,"&gt;0",'سجل التحفيز'!$B$5:$B$2004,B226)&gt;0,COUNT(O$4:O225)+1,""))</f>
        <v/>
      </c>
      <c r="P226">
        <f>IF(B226="","",IF(COUNTIFS('سجل التحفيز'!$V$5:$V$2004,"&gt;0",'سجل التحفيز'!$B$5:$B$2004,B226)&gt;0,COUNT(P$4:P225)+1,""))</f>
        <v/>
      </c>
      <c r="Q226">
        <f>IF(B226="","",IF(COUNTIFS('سجل التحفيز'!$W$5:$W$2004,"&gt;0",'سجل التحفيز'!$B$5:$B$2004,B226)&gt;0,COUNT(Q$4:Q225)+1,""))</f>
        <v/>
      </c>
      <c r="R226">
        <f>IF(B226="","",IF(COUNTIFS('سجل التحفيز'!$X$5:$X$2004,"&gt;0",'سجل التحفيز'!$B$5:$B$2004,B226)&gt;0,COUNT(R$4:R225)+1,""))</f>
        <v/>
      </c>
      <c r="S226">
        <f>IF(B226="","",IF(COUNTIFS('سجل التحفيز'!$Y$5:$Y$2004,"&gt;0",'سجل التحفيز'!$B$5:$B$2004,B226)&gt;0,COUNT(S$4:S225)+1,""))</f>
        <v/>
      </c>
      <c r="T226">
        <f>IF(B226="","",IF(COUNTIFS('سجل التحفيز'!$Z$5:$Z$2004,"&gt;0",'سجل التحفيز'!$B$5:$B$2004,B226)&gt;0,COUNT(T$4:T225)+1,""))</f>
        <v/>
      </c>
      <c r="U226">
        <f>IF(B226="","",IF(COUNTIFS('سجل التحفيز'!$AA$5:$AA$2004,"&gt;0",'سجل التحفيز'!$B$5:$B$2004,B226)&gt;0,COUNT(U$4:U225)+1,""))</f>
        <v/>
      </c>
      <c r="V226">
        <f>IF(B226="","",IF(COUNTIFS('سجل التحفيز'!$AB$5:$AB$2004,"&gt;0",'سجل التحفيز'!$B$5:$B$2004,B226)&gt;0,COUNT(V$4:V225)+1,""))</f>
        <v/>
      </c>
      <c r="W226">
        <f>IF(B226="","",IF(COUNTIFS('سجل التحفيز'!$AC$5:$AC$2004,"&gt;0",'سجل التحفيز'!$B$5:$B$2004,B226)&gt;0,COUNT(W$4:W225)+1,""))</f>
        <v/>
      </c>
      <c r="X226">
        <f>IF(B226="","",IF(COUNTIFS('سجل التحفيز'!$AD$5:$AD$2004,"&gt;0",'سجل التحفيز'!$B$5:$B$2004,B226)&gt;0,COUNT(X$4:X225)+1,""))</f>
        <v/>
      </c>
      <c r="Y226">
        <f>IF(B226="","",IF(COUNTIFS('سجل التحفيز'!$AE$5:$AE$2004,"&gt;0",'سجل التحفيز'!$B$5:$B$2004,B226)&gt;0,COUNT(Y$4:Y225)+1,""))</f>
        <v/>
      </c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20">
        <f>IF(B227="","",COUNTIFS('سجل التحفيز'!$B$5:$B$2004,B227,'سجل التحفيز'!$R$5:$R$2004,الإعدادات!$B$4))</f>
        <v/>
      </c>
      <c r="I227" s="20">
        <f>IF(B227="","",COUNTIFS('سجل التحفيز'!$B$5:$B$2004,B227,'سجل التحفيز'!$R$5:$R$2004,الإعدادات!$B$4,'سجل التحفيز'!$Q$5:$Q$2004,"الفصل الأول",'سجل التحفيز'!$D$5:$D$2004,"ذهبي"))</f>
        <v/>
      </c>
      <c r="J227" s="20">
        <f>IF(B227="","",COUNTIFS('سجل التحفيز'!$B$5:$B$2004,B227,'سجل التحفيز'!$R$5:$R$2004,الإعدادات!$B$4,'سجل التحفيز'!$Q$5:$Q$2004,"الفصل الثاني",'سجل التحفيز'!$D$5:$D$2004,"ذهبي"))</f>
        <v/>
      </c>
      <c r="K227" s="20">
        <f>IF(B227="","",COUNTIFS('سجل التحفيز'!$B$5:$B$2004,B227,'سجل التحفيز'!$R$5:$R$2004,الإعدادات!$B$4,'سجل التحفيز'!$D$5:$D$2004,"ذهبي"))</f>
        <v/>
      </c>
      <c r="L227" s="20">
        <f>IF(B227="","",IF(G227="محرومة","محرومة - مخالفة",IF(K227&gt;=5,"مستحقة ★","متبقي "&amp;(5-K227)&amp;" معايير")))</f>
        <v/>
      </c>
      <c r="N227">
        <f>IF(B227="","",IF(COUNTIFS('سجل التحفيز'!$T$5:$T$2004,"&gt;0",'سجل التحفيز'!$B$5:$B$2004,B227)&gt;0,COUNT(N$4:N226)+1,""))</f>
        <v/>
      </c>
      <c r="O227">
        <f>IF(B227="","",IF(COUNTIFS('سجل التحفيز'!$U$5:$U$2004,"&gt;0",'سجل التحفيز'!$B$5:$B$2004,B227)&gt;0,COUNT(O$4:O226)+1,""))</f>
        <v/>
      </c>
      <c r="P227">
        <f>IF(B227="","",IF(COUNTIFS('سجل التحفيز'!$V$5:$V$2004,"&gt;0",'سجل التحفيز'!$B$5:$B$2004,B227)&gt;0,COUNT(P$4:P226)+1,""))</f>
        <v/>
      </c>
      <c r="Q227">
        <f>IF(B227="","",IF(COUNTIFS('سجل التحفيز'!$W$5:$W$2004,"&gt;0",'سجل التحفيز'!$B$5:$B$2004,B227)&gt;0,COUNT(Q$4:Q226)+1,""))</f>
        <v/>
      </c>
      <c r="R227">
        <f>IF(B227="","",IF(COUNTIFS('سجل التحفيز'!$X$5:$X$2004,"&gt;0",'سجل التحفيز'!$B$5:$B$2004,B227)&gt;0,COUNT(R$4:R226)+1,""))</f>
        <v/>
      </c>
      <c r="S227">
        <f>IF(B227="","",IF(COUNTIFS('سجل التحفيز'!$Y$5:$Y$2004,"&gt;0",'سجل التحفيز'!$B$5:$B$2004,B227)&gt;0,COUNT(S$4:S226)+1,""))</f>
        <v/>
      </c>
      <c r="T227">
        <f>IF(B227="","",IF(COUNTIFS('سجل التحفيز'!$Z$5:$Z$2004,"&gt;0",'سجل التحفيز'!$B$5:$B$2004,B227)&gt;0,COUNT(T$4:T226)+1,""))</f>
        <v/>
      </c>
      <c r="U227">
        <f>IF(B227="","",IF(COUNTIFS('سجل التحفيز'!$AA$5:$AA$2004,"&gt;0",'سجل التحفيز'!$B$5:$B$2004,B227)&gt;0,COUNT(U$4:U226)+1,""))</f>
        <v/>
      </c>
      <c r="V227">
        <f>IF(B227="","",IF(COUNTIFS('سجل التحفيز'!$AB$5:$AB$2004,"&gt;0",'سجل التحفيز'!$B$5:$B$2004,B227)&gt;0,COUNT(V$4:V226)+1,""))</f>
        <v/>
      </c>
      <c r="W227">
        <f>IF(B227="","",IF(COUNTIFS('سجل التحفيز'!$AC$5:$AC$2004,"&gt;0",'سجل التحفيز'!$B$5:$B$2004,B227)&gt;0,COUNT(W$4:W226)+1,""))</f>
        <v/>
      </c>
      <c r="X227">
        <f>IF(B227="","",IF(COUNTIFS('سجل التحفيز'!$AD$5:$AD$2004,"&gt;0",'سجل التحفيز'!$B$5:$B$2004,B227)&gt;0,COUNT(X$4:X226)+1,""))</f>
        <v/>
      </c>
      <c r="Y227">
        <f>IF(B227="","",IF(COUNTIFS('سجل التحفيز'!$AE$5:$AE$2004,"&gt;0",'سجل التحفيز'!$B$5:$B$2004,B227)&gt;0,COUNT(Y$4:Y226)+1,""))</f>
        <v/>
      </c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20">
        <f>IF(B228="","",COUNTIFS('سجل التحفيز'!$B$5:$B$2004,B228,'سجل التحفيز'!$R$5:$R$2004,الإعدادات!$B$4))</f>
        <v/>
      </c>
      <c r="I228" s="20">
        <f>IF(B228="","",COUNTIFS('سجل التحفيز'!$B$5:$B$2004,B228,'سجل التحفيز'!$R$5:$R$2004,الإعدادات!$B$4,'سجل التحفيز'!$Q$5:$Q$2004,"الفصل الأول",'سجل التحفيز'!$D$5:$D$2004,"ذهبي"))</f>
        <v/>
      </c>
      <c r="J228" s="20">
        <f>IF(B228="","",COUNTIFS('سجل التحفيز'!$B$5:$B$2004,B228,'سجل التحفيز'!$R$5:$R$2004,الإعدادات!$B$4,'سجل التحفيز'!$Q$5:$Q$2004,"الفصل الثاني",'سجل التحفيز'!$D$5:$D$2004,"ذهبي"))</f>
        <v/>
      </c>
      <c r="K228" s="20">
        <f>IF(B228="","",COUNTIFS('سجل التحفيز'!$B$5:$B$2004,B228,'سجل التحفيز'!$R$5:$R$2004,الإعدادات!$B$4,'سجل التحفيز'!$D$5:$D$2004,"ذهبي"))</f>
        <v/>
      </c>
      <c r="L228" s="20">
        <f>IF(B228="","",IF(G228="محرومة","محرومة - مخالفة",IF(K228&gt;=5,"مستحقة ★","متبقي "&amp;(5-K228)&amp;" معايير")))</f>
        <v/>
      </c>
      <c r="N228">
        <f>IF(B228="","",IF(COUNTIFS('سجل التحفيز'!$T$5:$T$2004,"&gt;0",'سجل التحفيز'!$B$5:$B$2004,B228)&gt;0,COUNT(N$4:N227)+1,""))</f>
        <v/>
      </c>
      <c r="O228">
        <f>IF(B228="","",IF(COUNTIFS('سجل التحفيز'!$U$5:$U$2004,"&gt;0",'سجل التحفيز'!$B$5:$B$2004,B228)&gt;0,COUNT(O$4:O227)+1,""))</f>
        <v/>
      </c>
      <c r="P228">
        <f>IF(B228="","",IF(COUNTIFS('سجل التحفيز'!$V$5:$V$2004,"&gt;0",'سجل التحفيز'!$B$5:$B$2004,B228)&gt;0,COUNT(P$4:P227)+1,""))</f>
        <v/>
      </c>
      <c r="Q228">
        <f>IF(B228="","",IF(COUNTIFS('سجل التحفيز'!$W$5:$W$2004,"&gt;0",'سجل التحفيز'!$B$5:$B$2004,B228)&gt;0,COUNT(Q$4:Q227)+1,""))</f>
        <v/>
      </c>
      <c r="R228">
        <f>IF(B228="","",IF(COUNTIFS('سجل التحفيز'!$X$5:$X$2004,"&gt;0",'سجل التحفيز'!$B$5:$B$2004,B228)&gt;0,COUNT(R$4:R227)+1,""))</f>
        <v/>
      </c>
      <c r="S228">
        <f>IF(B228="","",IF(COUNTIFS('سجل التحفيز'!$Y$5:$Y$2004,"&gt;0",'سجل التحفيز'!$B$5:$B$2004,B228)&gt;0,COUNT(S$4:S227)+1,""))</f>
        <v/>
      </c>
      <c r="T228">
        <f>IF(B228="","",IF(COUNTIFS('سجل التحفيز'!$Z$5:$Z$2004,"&gt;0",'سجل التحفيز'!$B$5:$B$2004,B228)&gt;0,COUNT(T$4:T227)+1,""))</f>
        <v/>
      </c>
      <c r="U228">
        <f>IF(B228="","",IF(COUNTIFS('سجل التحفيز'!$AA$5:$AA$2004,"&gt;0",'سجل التحفيز'!$B$5:$B$2004,B228)&gt;0,COUNT(U$4:U227)+1,""))</f>
        <v/>
      </c>
      <c r="V228">
        <f>IF(B228="","",IF(COUNTIFS('سجل التحفيز'!$AB$5:$AB$2004,"&gt;0",'سجل التحفيز'!$B$5:$B$2004,B228)&gt;0,COUNT(V$4:V227)+1,""))</f>
        <v/>
      </c>
      <c r="W228">
        <f>IF(B228="","",IF(COUNTIFS('سجل التحفيز'!$AC$5:$AC$2004,"&gt;0",'سجل التحفيز'!$B$5:$B$2004,B228)&gt;0,COUNT(W$4:W227)+1,""))</f>
        <v/>
      </c>
      <c r="X228">
        <f>IF(B228="","",IF(COUNTIFS('سجل التحفيز'!$AD$5:$AD$2004,"&gt;0",'سجل التحفيز'!$B$5:$B$2004,B228)&gt;0,COUNT(X$4:X227)+1,""))</f>
        <v/>
      </c>
      <c r="Y228">
        <f>IF(B228="","",IF(COUNTIFS('سجل التحفيز'!$AE$5:$AE$2004,"&gt;0",'سجل التحفيز'!$B$5:$B$2004,B228)&gt;0,COUNT(Y$4:Y227)+1,""))</f>
        <v/>
      </c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20">
        <f>IF(B229="","",COUNTIFS('سجل التحفيز'!$B$5:$B$2004,B229,'سجل التحفيز'!$R$5:$R$2004,الإعدادات!$B$4))</f>
        <v/>
      </c>
      <c r="I229" s="20">
        <f>IF(B229="","",COUNTIFS('سجل التحفيز'!$B$5:$B$2004,B229,'سجل التحفيز'!$R$5:$R$2004,الإعدادات!$B$4,'سجل التحفيز'!$Q$5:$Q$2004,"الفصل الأول",'سجل التحفيز'!$D$5:$D$2004,"ذهبي"))</f>
        <v/>
      </c>
      <c r="J229" s="20">
        <f>IF(B229="","",COUNTIFS('سجل التحفيز'!$B$5:$B$2004,B229,'سجل التحفيز'!$R$5:$R$2004,الإعدادات!$B$4,'سجل التحفيز'!$Q$5:$Q$2004,"الفصل الثاني",'سجل التحفيز'!$D$5:$D$2004,"ذهبي"))</f>
        <v/>
      </c>
      <c r="K229" s="20">
        <f>IF(B229="","",COUNTIFS('سجل التحفيز'!$B$5:$B$2004,B229,'سجل التحفيز'!$R$5:$R$2004,الإعدادات!$B$4,'سجل التحفيز'!$D$5:$D$2004,"ذهبي"))</f>
        <v/>
      </c>
      <c r="L229" s="20">
        <f>IF(B229="","",IF(G229="محرومة","محرومة - مخالفة",IF(K229&gt;=5,"مستحقة ★","متبقي "&amp;(5-K229)&amp;" معايير")))</f>
        <v/>
      </c>
      <c r="N229">
        <f>IF(B229="","",IF(COUNTIFS('سجل التحفيز'!$T$5:$T$2004,"&gt;0",'سجل التحفيز'!$B$5:$B$2004,B229)&gt;0,COUNT(N$4:N228)+1,""))</f>
        <v/>
      </c>
      <c r="O229">
        <f>IF(B229="","",IF(COUNTIFS('سجل التحفيز'!$U$5:$U$2004,"&gt;0",'سجل التحفيز'!$B$5:$B$2004,B229)&gt;0,COUNT(O$4:O228)+1,""))</f>
        <v/>
      </c>
      <c r="P229">
        <f>IF(B229="","",IF(COUNTIFS('سجل التحفيز'!$V$5:$V$2004,"&gt;0",'سجل التحفيز'!$B$5:$B$2004,B229)&gt;0,COUNT(P$4:P228)+1,""))</f>
        <v/>
      </c>
      <c r="Q229">
        <f>IF(B229="","",IF(COUNTIFS('سجل التحفيز'!$W$5:$W$2004,"&gt;0",'سجل التحفيز'!$B$5:$B$2004,B229)&gt;0,COUNT(Q$4:Q228)+1,""))</f>
        <v/>
      </c>
      <c r="R229">
        <f>IF(B229="","",IF(COUNTIFS('سجل التحفيز'!$X$5:$X$2004,"&gt;0",'سجل التحفيز'!$B$5:$B$2004,B229)&gt;0,COUNT(R$4:R228)+1,""))</f>
        <v/>
      </c>
      <c r="S229">
        <f>IF(B229="","",IF(COUNTIFS('سجل التحفيز'!$Y$5:$Y$2004,"&gt;0",'سجل التحفيز'!$B$5:$B$2004,B229)&gt;0,COUNT(S$4:S228)+1,""))</f>
        <v/>
      </c>
      <c r="T229">
        <f>IF(B229="","",IF(COUNTIFS('سجل التحفيز'!$Z$5:$Z$2004,"&gt;0",'سجل التحفيز'!$B$5:$B$2004,B229)&gt;0,COUNT(T$4:T228)+1,""))</f>
        <v/>
      </c>
      <c r="U229">
        <f>IF(B229="","",IF(COUNTIFS('سجل التحفيز'!$AA$5:$AA$2004,"&gt;0",'سجل التحفيز'!$B$5:$B$2004,B229)&gt;0,COUNT(U$4:U228)+1,""))</f>
        <v/>
      </c>
      <c r="V229">
        <f>IF(B229="","",IF(COUNTIFS('سجل التحفيز'!$AB$5:$AB$2004,"&gt;0",'سجل التحفيز'!$B$5:$B$2004,B229)&gt;0,COUNT(V$4:V228)+1,""))</f>
        <v/>
      </c>
      <c r="W229">
        <f>IF(B229="","",IF(COUNTIFS('سجل التحفيز'!$AC$5:$AC$2004,"&gt;0",'سجل التحفيز'!$B$5:$B$2004,B229)&gt;0,COUNT(W$4:W228)+1,""))</f>
        <v/>
      </c>
      <c r="X229">
        <f>IF(B229="","",IF(COUNTIFS('سجل التحفيز'!$AD$5:$AD$2004,"&gt;0",'سجل التحفيز'!$B$5:$B$2004,B229)&gt;0,COUNT(X$4:X228)+1,""))</f>
        <v/>
      </c>
      <c r="Y229">
        <f>IF(B229="","",IF(COUNTIFS('سجل التحفيز'!$AE$5:$AE$2004,"&gt;0",'سجل التحفيز'!$B$5:$B$2004,B229)&gt;0,COUNT(Y$4:Y228)+1,""))</f>
        <v/>
      </c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20">
        <f>IF(B230="","",COUNTIFS('سجل التحفيز'!$B$5:$B$2004,B230,'سجل التحفيز'!$R$5:$R$2004,الإعدادات!$B$4))</f>
        <v/>
      </c>
      <c r="I230" s="20">
        <f>IF(B230="","",COUNTIFS('سجل التحفيز'!$B$5:$B$2004,B230,'سجل التحفيز'!$R$5:$R$2004,الإعدادات!$B$4,'سجل التحفيز'!$Q$5:$Q$2004,"الفصل الأول",'سجل التحفيز'!$D$5:$D$2004,"ذهبي"))</f>
        <v/>
      </c>
      <c r="J230" s="20">
        <f>IF(B230="","",COUNTIFS('سجل التحفيز'!$B$5:$B$2004,B230,'سجل التحفيز'!$R$5:$R$2004,الإعدادات!$B$4,'سجل التحفيز'!$Q$5:$Q$2004,"الفصل الثاني",'سجل التحفيز'!$D$5:$D$2004,"ذهبي"))</f>
        <v/>
      </c>
      <c r="K230" s="20">
        <f>IF(B230="","",COUNTIFS('سجل التحفيز'!$B$5:$B$2004,B230,'سجل التحفيز'!$R$5:$R$2004,الإعدادات!$B$4,'سجل التحفيز'!$D$5:$D$2004,"ذهبي"))</f>
        <v/>
      </c>
      <c r="L230" s="20">
        <f>IF(B230="","",IF(G230="محرومة","محرومة - مخالفة",IF(K230&gt;=5,"مستحقة ★","متبقي "&amp;(5-K230)&amp;" معايير")))</f>
        <v/>
      </c>
      <c r="N230">
        <f>IF(B230="","",IF(COUNTIFS('سجل التحفيز'!$T$5:$T$2004,"&gt;0",'سجل التحفيز'!$B$5:$B$2004,B230)&gt;0,COUNT(N$4:N229)+1,""))</f>
        <v/>
      </c>
      <c r="O230">
        <f>IF(B230="","",IF(COUNTIFS('سجل التحفيز'!$U$5:$U$2004,"&gt;0",'سجل التحفيز'!$B$5:$B$2004,B230)&gt;0,COUNT(O$4:O229)+1,""))</f>
        <v/>
      </c>
      <c r="P230">
        <f>IF(B230="","",IF(COUNTIFS('سجل التحفيز'!$V$5:$V$2004,"&gt;0",'سجل التحفيز'!$B$5:$B$2004,B230)&gt;0,COUNT(P$4:P229)+1,""))</f>
        <v/>
      </c>
      <c r="Q230">
        <f>IF(B230="","",IF(COUNTIFS('سجل التحفيز'!$W$5:$W$2004,"&gt;0",'سجل التحفيز'!$B$5:$B$2004,B230)&gt;0,COUNT(Q$4:Q229)+1,""))</f>
        <v/>
      </c>
      <c r="R230">
        <f>IF(B230="","",IF(COUNTIFS('سجل التحفيز'!$X$5:$X$2004,"&gt;0",'سجل التحفيز'!$B$5:$B$2004,B230)&gt;0,COUNT(R$4:R229)+1,""))</f>
        <v/>
      </c>
      <c r="S230">
        <f>IF(B230="","",IF(COUNTIFS('سجل التحفيز'!$Y$5:$Y$2004,"&gt;0",'سجل التحفيز'!$B$5:$B$2004,B230)&gt;0,COUNT(S$4:S229)+1,""))</f>
        <v/>
      </c>
      <c r="T230">
        <f>IF(B230="","",IF(COUNTIFS('سجل التحفيز'!$Z$5:$Z$2004,"&gt;0",'سجل التحفيز'!$B$5:$B$2004,B230)&gt;0,COUNT(T$4:T229)+1,""))</f>
        <v/>
      </c>
      <c r="U230">
        <f>IF(B230="","",IF(COUNTIFS('سجل التحفيز'!$AA$5:$AA$2004,"&gt;0",'سجل التحفيز'!$B$5:$B$2004,B230)&gt;0,COUNT(U$4:U229)+1,""))</f>
        <v/>
      </c>
      <c r="V230">
        <f>IF(B230="","",IF(COUNTIFS('سجل التحفيز'!$AB$5:$AB$2004,"&gt;0",'سجل التحفيز'!$B$5:$B$2004,B230)&gt;0,COUNT(V$4:V229)+1,""))</f>
        <v/>
      </c>
      <c r="W230">
        <f>IF(B230="","",IF(COUNTIFS('سجل التحفيز'!$AC$5:$AC$2004,"&gt;0",'سجل التحفيز'!$B$5:$B$2004,B230)&gt;0,COUNT(W$4:W229)+1,""))</f>
        <v/>
      </c>
      <c r="X230">
        <f>IF(B230="","",IF(COUNTIFS('سجل التحفيز'!$AD$5:$AD$2004,"&gt;0",'سجل التحفيز'!$B$5:$B$2004,B230)&gt;0,COUNT(X$4:X229)+1,""))</f>
        <v/>
      </c>
      <c r="Y230">
        <f>IF(B230="","",IF(COUNTIFS('سجل التحفيز'!$AE$5:$AE$2004,"&gt;0",'سجل التحفيز'!$B$5:$B$2004,B230)&gt;0,COUNT(Y$4:Y229)+1,""))</f>
        <v/>
      </c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20">
        <f>IF(B231="","",COUNTIFS('سجل التحفيز'!$B$5:$B$2004,B231,'سجل التحفيز'!$R$5:$R$2004,الإعدادات!$B$4))</f>
        <v/>
      </c>
      <c r="I231" s="20">
        <f>IF(B231="","",COUNTIFS('سجل التحفيز'!$B$5:$B$2004,B231,'سجل التحفيز'!$R$5:$R$2004,الإعدادات!$B$4,'سجل التحفيز'!$Q$5:$Q$2004,"الفصل الأول",'سجل التحفيز'!$D$5:$D$2004,"ذهبي"))</f>
        <v/>
      </c>
      <c r="J231" s="20">
        <f>IF(B231="","",COUNTIFS('سجل التحفيز'!$B$5:$B$2004,B231,'سجل التحفيز'!$R$5:$R$2004,الإعدادات!$B$4,'سجل التحفيز'!$Q$5:$Q$2004,"الفصل الثاني",'سجل التحفيز'!$D$5:$D$2004,"ذهبي"))</f>
        <v/>
      </c>
      <c r="K231" s="20">
        <f>IF(B231="","",COUNTIFS('سجل التحفيز'!$B$5:$B$2004,B231,'سجل التحفيز'!$R$5:$R$2004,الإعدادات!$B$4,'سجل التحفيز'!$D$5:$D$2004,"ذهبي"))</f>
        <v/>
      </c>
      <c r="L231" s="20">
        <f>IF(B231="","",IF(G231="محرومة","محرومة - مخالفة",IF(K231&gt;=5,"مستحقة ★","متبقي "&amp;(5-K231)&amp;" معايير")))</f>
        <v/>
      </c>
      <c r="N231">
        <f>IF(B231="","",IF(COUNTIFS('سجل التحفيز'!$T$5:$T$2004,"&gt;0",'سجل التحفيز'!$B$5:$B$2004,B231)&gt;0,COUNT(N$4:N230)+1,""))</f>
        <v/>
      </c>
      <c r="O231">
        <f>IF(B231="","",IF(COUNTIFS('سجل التحفيز'!$U$5:$U$2004,"&gt;0",'سجل التحفيز'!$B$5:$B$2004,B231)&gt;0,COUNT(O$4:O230)+1,""))</f>
        <v/>
      </c>
      <c r="P231">
        <f>IF(B231="","",IF(COUNTIFS('سجل التحفيز'!$V$5:$V$2004,"&gt;0",'سجل التحفيز'!$B$5:$B$2004,B231)&gt;0,COUNT(P$4:P230)+1,""))</f>
        <v/>
      </c>
      <c r="Q231">
        <f>IF(B231="","",IF(COUNTIFS('سجل التحفيز'!$W$5:$W$2004,"&gt;0",'سجل التحفيز'!$B$5:$B$2004,B231)&gt;0,COUNT(Q$4:Q230)+1,""))</f>
        <v/>
      </c>
      <c r="R231">
        <f>IF(B231="","",IF(COUNTIFS('سجل التحفيز'!$X$5:$X$2004,"&gt;0",'سجل التحفيز'!$B$5:$B$2004,B231)&gt;0,COUNT(R$4:R230)+1,""))</f>
        <v/>
      </c>
      <c r="S231">
        <f>IF(B231="","",IF(COUNTIFS('سجل التحفيز'!$Y$5:$Y$2004,"&gt;0",'سجل التحفيز'!$B$5:$B$2004,B231)&gt;0,COUNT(S$4:S230)+1,""))</f>
        <v/>
      </c>
      <c r="T231">
        <f>IF(B231="","",IF(COUNTIFS('سجل التحفيز'!$Z$5:$Z$2004,"&gt;0",'سجل التحفيز'!$B$5:$B$2004,B231)&gt;0,COUNT(T$4:T230)+1,""))</f>
        <v/>
      </c>
      <c r="U231">
        <f>IF(B231="","",IF(COUNTIFS('سجل التحفيز'!$AA$5:$AA$2004,"&gt;0",'سجل التحفيز'!$B$5:$B$2004,B231)&gt;0,COUNT(U$4:U230)+1,""))</f>
        <v/>
      </c>
      <c r="V231">
        <f>IF(B231="","",IF(COUNTIFS('سجل التحفيز'!$AB$5:$AB$2004,"&gt;0",'سجل التحفيز'!$B$5:$B$2004,B231)&gt;0,COUNT(V$4:V230)+1,""))</f>
        <v/>
      </c>
      <c r="W231">
        <f>IF(B231="","",IF(COUNTIFS('سجل التحفيز'!$AC$5:$AC$2004,"&gt;0",'سجل التحفيز'!$B$5:$B$2004,B231)&gt;0,COUNT(W$4:W230)+1,""))</f>
        <v/>
      </c>
      <c r="X231">
        <f>IF(B231="","",IF(COUNTIFS('سجل التحفيز'!$AD$5:$AD$2004,"&gt;0",'سجل التحفيز'!$B$5:$B$2004,B231)&gt;0,COUNT(X$4:X230)+1,""))</f>
        <v/>
      </c>
      <c r="Y231">
        <f>IF(B231="","",IF(COUNTIFS('سجل التحفيز'!$AE$5:$AE$2004,"&gt;0",'سجل التحفيز'!$B$5:$B$2004,B231)&gt;0,COUNT(Y$4:Y230)+1,""))</f>
        <v/>
      </c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20">
        <f>IF(B232="","",COUNTIFS('سجل التحفيز'!$B$5:$B$2004,B232,'سجل التحفيز'!$R$5:$R$2004,الإعدادات!$B$4))</f>
        <v/>
      </c>
      <c r="I232" s="20">
        <f>IF(B232="","",COUNTIFS('سجل التحفيز'!$B$5:$B$2004,B232,'سجل التحفيز'!$R$5:$R$2004,الإعدادات!$B$4,'سجل التحفيز'!$Q$5:$Q$2004,"الفصل الأول",'سجل التحفيز'!$D$5:$D$2004,"ذهبي"))</f>
        <v/>
      </c>
      <c r="J232" s="20">
        <f>IF(B232="","",COUNTIFS('سجل التحفيز'!$B$5:$B$2004,B232,'سجل التحفيز'!$R$5:$R$2004,الإعدادات!$B$4,'سجل التحفيز'!$Q$5:$Q$2004,"الفصل الثاني",'سجل التحفيز'!$D$5:$D$2004,"ذهبي"))</f>
        <v/>
      </c>
      <c r="K232" s="20">
        <f>IF(B232="","",COUNTIFS('سجل التحفيز'!$B$5:$B$2004,B232,'سجل التحفيز'!$R$5:$R$2004,الإعدادات!$B$4,'سجل التحفيز'!$D$5:$D$2004,"ذهبي"))</f>
        <v/>
      </c>
      <c r="L232" s="20">
        <f>IF(B232="","",IF(G232="محرومة","محرومة - مخالفة",IF(K232&gt;=5,"مستحقة ★","متبقي "&amp;(5-K232)&amp;" معايير")))</f>
        <v/>
      </c>
      <c r="N232">
        <f>IF(B232="","",IF(COUNTIFS('سجل التحفيز'!$T$5:$T$2004,"&gt;0",'سجل التحفيز'!$B$5:$B$2004,B232)&gt;0,COUNT(N$4:N231)+1,""))</f>
        <v/>
      </c>
      <c r="O232">
        <f>IF(B232="","",IF(COUNTIFS('سجل التحفيز'!$U$5:$U$2004,"&gt;0",'سجل التحفيز'!$B$5:$B$2004,B232)&gt;0,COUNT(O$4:O231)+1,""))</f>
        <v/>
      </c>
      <c r="P232">
        <f>IF(B232="","",IF(COUNTIFS('سجل التحفيز'!$V$5:$V$2004,"&gt;0",'سجل التحفيز'!$B$5:$B$2004,B232)&gt;0,COUNT(P$4:P231)+1,""))</f>
        <v/>
      </c>
      <c r="Q232">
        <f>IF(B232="","",IF(COUNTIFS('سجل التحفيز'!$W$5:$W$2004,"&gt;0",'سجل التحفيز'!$B$5:$B$2004,B232)&gt;0,COUNT(Q$4:Q231)+1,""))</f>
        <v/>
      </c>
      <c r="R232">
        <f>IF(B232="","",IF(COUNTIFS('سجل التحفيز'!$X$5:$X$2004,"&gt;0",'سجل التحفيز'!$B$5:$B$2004,B232)&gt;0,COUNT(R$4:R231)+1,""))</f>
        <v/>
      </c>
      <c r="S232">
        <f>IF(B232="","",IF(COUNTIFS('سجل التحفيز'!$Y$5:$Y$2004,"&gt;0",'سجل التحفيز'!$B$5:$B$2004,B232)&gt;0,COUNT(S$4:S231)+1,""))</f>
        <v/>
      </c>
      <c r="T232">
        <f>IF(B232="","",IF(COUNTIFS('سجل التحفيز'!$Z$5:$Z$2004,"&gt;0",'سجل التحفيز'!$B$5:$B$2004,B232)&gt;0,COUNT(T$4:T231)+1,""))</f>
        <v/>
      </c>
      <c r="U232">
        <f>IF(B232="","",IF(COUNTIFS('سجل التحفيز'!$AA$5:$AA$2004,"&gt;0",'سجل التحفيز'!$B$5:$B$2004,B232)&gt;0,COUNT(U$4:U231)+1,""))</f>
        <v/>
      </c>
      <c r="V232">
        <f>IF(B232="","",IF(COUNTIFS('سجل التحفيز'!$AB$5:$AB$2004,"&gt;0",'سجل التحفيز'!$B$5:$B$2004,B232)&gt;0,COUNT(V$4:V231)+1,""))</f>
        <v/>
      </c>
      <c r="W232">
        <f>IF(B232="","",IF(COUNTIFS('سجل التحفيز'!$AC$5:$AC$2004,"&gt;0",'سجل التحفيز'!$B$5:$B$2004,B232)&gt;0,COUNT(W$4:W231)+1,""))</f>
        <v/>
      </c>
      <c r="X232">
        <f>IF(B232="","",IF(COUNTIFS('سجل التحفيز'!$AD$5:$AD$2004,"&gt;0",'سجل التحفيز'!$B$5:$B$2004,B232)&gt;0,COUNT(X$4:X231)+1,""))</f>
        <v/>
      </c>
      <c r="Y232">
        <f>IF(B232="","",IF(COUNTIFS('سجل التحفيز'!$AE$5:$AE$2004,"&gt;0",'سجل التحفيز'!$B$5:$B$2004,B232)&gt;0,COUNT(Y$4:Y231)+1,""))</f>
        <v/>
      </c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20">
        <f>IF(B233="","",COUNTIFS('سجل التحفيز'!$B$5:$B$2004,B233,'سجل التحفيز'!$R$5:$R$2004,الإعدادات!$B$4))</f>
        <v/>
      </c>
      <c r="I233" s="20">
        <f>IF(B233="","",COUNTIFS('سجل التحفيز'!$B$5:$B$2004,B233,'سجل التحفيز'!$R$5:$R$2004,الإعدادات!$B$4,'سجل التحفيز'!$Q$5:$Q$2004,"الفصل الأول",'سجل التحفيز'!$D$5:$D$2004,"ذهبي"))</f>
        <v/>
      </c>
      <c r="J233" s="20">
        <f>IF(B233="","",COUNTIFS('سجل التحفيز'!$B$5:$B$2004,B233,'سجل التحفيز'!$R$5:$R$2004,الإعدادات!$B$4,'سجل التحفيز'!$Q$5:$Q$2004,"الفصل الثاني",'سجل التحفيز'!$D$5:$D$2004,"ذهبي"))</f>
        <v/>
      </c>
      <c r="K233" s="20">
        <f>IF(B233="","",COUNTIFS('سجل التحفيز'!$B$5:$B$2004,B233,'سجل التحفيز'!$R$5:$R$2004,الإعدادات!$B$4,'سجل التحفيز'!$D$5:$D$2004,"ذهبي"))</f>
        <v/>
      </c>
      <c r="L233" s="20">
        <f>IF(B233="","",IF(G233="محرومة","محرومة - مخالفة",IF(K233&gt;=5,"مستحقة ★","متبقي "&amp;(5-K233)&amp;" معايير")))</f>
        <v/>
      </c>
      <c r="N233">
        <f>IF(B233="","",IF(COUNTIFS('سجل التحفيز'!$T$5:$T$2004,"&gt;0",'سجل التحفيز'!$B$5:$B$2004,B233)&gt;0,COUNT(N$4:N232)+1,""))</f>
        <v/>
      </c>
      <c r="O233">
        <f>IF(B233="","",IF(COUNTIFS('سجل التحفيز'!$U$5:$U$2004,"&gt;0",'سجل التحفيز'!$B$5:$B$2004,B233)&gt;0,COUNT(O$4:O232)+1,""))</f>
        <v/>
      </c>
      <c r="P233">
        <f>IF(B233="","",IF(COUNTIFS('سجل التحفيز'!$V$5:$V$2004,"&gt;0",'سجل التحفيز'!$B$5:$B$2004,B233)&gt;0,COUNT(P$4:P232)+1,""))</f>
        <v/>
      </c>
      <c r="Q233">
        <f>IF(B233="","",IF(COUNTIFS('سجل التحفيز'!$W$5:$W$2004,"&gt;0",'سجل التحفيز'!$B$5:$B$2004,B233)&gt;0,COUNT(Q$4:Q232)+1,""))</f>
        <v/>
      </c>
      <c r="R233">
        <f>IF(B233="","",IF(COUNTIFS('سجل التحفيز'!$X$5:$X$2004,"&gt;0",'سجل التحفيز'!$B$5:$B$2004,B233)&gt;0,COUNT(R$4:R232)+1,""))</f>
        <v/>
      </c>
      <c r="S233">
        <f>IF(B233="","",IF(COUNTIFS('سجل التحفيز'!$Y$5:$Y$2004,"&gt;0",'سجل التحفيز'!$B$5:$B$2004,B233)&gt;0,COUNT(S$4:S232)+1,""))</f>
        <v/>
      </c>
      <c r="T233">
        <f>IF(B233="","",IF(COUNTIFS('سجل التحفيز'!$Z$5:$Z$2004,"&gt;0",'سجل التحفيز'!$B$5:$B$2004,B233)&gt;0,COUNT(T$4:T232)+1,""))</f>
        <v/>
      </c>
      <c r="U233">
        <f>IF(B233="","",IF(COUNTIFS('سجل التحفيز'!$AA$5:$AA$2004,"&gt;0",'سجل التحفيز'!$B$5:$B$2004,B233)&gt;0,COUNT(U$4:U232)+1,""))</f>
        <v/>
      </c>
      <c r="V233">
        <f>IF(B233="","",IF(COUNTIFS('سجل التحفيز'!$AB$5:$AB$2004,"&gt;0",'سجل التحفيز'!$B$5:$B$2004,B233)&gt;0,COUNT(V$4:V232)+1,""))</f>
        <v/>
      </c>
      <c r="W233">
        <f>IF(B233="","",IF(COUNTIFS('سجل التحفيز'!$AC$5:$AC$2004,"&gt;0",'سجل التحفيز'!$B$5:$B$2004,B233)&gt;0,COUNT(W$4:W232)+1,""))</f>
        <v/>
      </c>
      <c r="X233">
        <f>IF(B233="","",IF(COUNTIFS('سجل التحفيز'!$AD$5:$AD$2004,"&gt;0",'سجل التحفيز'!$B$5:$B$2004,B233)&gt;0,COUNT(X$4:X232)+1,""))</f>
        <v/>
      </c>
      <c r="Y233">
        <f>IF(B233="","",IF(COUNTIFS('سجل التحفيز'!$AE$5:$AE$2004,"&gt;0",'سجل التحفيز'!$B$5:$B$2004,B233)&gt;0,COUNT(Y$4:Y232)+1,""))</f>
        <v/>
      </c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20">
        <f>IF(B234="","",COUNTIFS('سجل التحفيز'!$B$5:$B$2004,B234,'سجل التحفيز'!$R$5:$R$2004,الإعدادات!$B$4))</f>
        <v/>
      </c>
      <c r="I234" s="20">
        <f>IF(B234="","",COUNTIFS('سجل التحفيز'!$B$5:$B$2004,B234,'سجل التحفيز'!$R$5:$R$2004,الإعدادات!$B$4,'سجل التحفيز'!$Q$5:$Q$2004,"الفصل الأول",'سجل التحفيز'!$D$5:$D$2004,"ذهبي"))</f>
        <v/>
      </c>
      <c r="J234" s="20">
        <f>IF(B234="","",COUNTIFS('سجل التحفيز'!$B$5:$B$2004,B234,'سجل التحفيز'!$R$5:$R$2004,الإعدادات!$B$4,'سجل التحفيز'!$Q$5:$Q$2004,"الفصل الثاني",'سجل التحفيز'!$D$5:$D$2004,"ذهبي"))</f>
        <v/>
      </c>
      <c r="K234" s="20">
        <f>IF(B234="","",COUNTIFS('سجل التحفيز'!$B$5:$B$2004,B234,'سجل التحفيز'!$R$5:$R$2004,الإعدادات!$B$4,'سجل التحفيز'!$D$5:$D$2004,"ذهبي"))</f>
        <v/>
      </c>
      <c r="L234" s="20">
        <f>IF(B234="","",IF(G234="محرومة","محرومة - مخالفة",IF(K234&gt;=5,"مستحقة ★","متبقي "&amp;(5-K234)&amp;" معايير")))</f>
        <v/>
      </c>
      <c r="N234">
        <f>IF(B234="","",IF(COUNTIFS('سجل التحفيز'!$T$5:$T$2004,"&gt;0",'سجل التحفيز'!$B$5:$B$2004,B234)&gt;0,COUNT(N$4:N233)+1,""))</f>
        <v/>
      </c>
      <c r="O234">
        <f>IF(B234="","",IF(COUNTIFS('سجل التحفيز'!$U$5:$U$2004,"&gt;0",'سجل التحفيز'!$B$5:$B$2004,B234)&gt;0,COUNT(O$4:O233)+1,""))</f>
        <v/>
      </c>
      <c r="P234">
        <f>IF(B234="","",IF(COUNTIFS('سجل التحفيز'!$V$5:$V$2004,"&gt;0",'سجل التحفيز'!$B$5:$B$2004,B234)&gt;0,COUNT(P$4:P233)+1,""))</f>
        <v/>
      </c>
      <c r="Q234">
        <f>IF(B234="","",IF(COUNTIFS('سجل التحفيز'!$W$5:$W$2004,"&gt;0",'سجل التحفيز'!$B$5:$B$2004,B234)&gt;0,COUNT(Q$4:Q233)+1,""))</f>
        <v/>
      </c>
      <c r="R234">
        <f>IF(B234="","",IF(COUNTIFS('سجل التحفيز'!$X$5:$X$2004,"&gt;0",'سجل التحفيز'!$B$5:$B$2004,B234)&gt;0,COUNT(R$4:R233)+1,""))</f>
        <v/>
      </c>
      <c r="S234">
        <f>IF(B234="","",IF(COUNTIFS('سجل التحفيز'!$Y$5:$Y$2004,"&gt;0",'سجل التحفيز'!$B$5:$B$2004,B234)&gt;0,COUNT(S$4:S233)+1,""))</f>
        <v/>
      </c>
      <c r="T234">
        <f>IF(B234="","",IF(COUNTIFS('سجل التحفيز'!$Z$5:$Z$2004,"&gt;0",'سجل التحفيز'!$B$5:$B$2004,B234)&gt;0,COUNT(T$4:T233)+1,""))</f>
        <v/>
      </c>
      <c r="U234">
        <f>IF(B234="","",IF(COUNTIFS('سجل التحفيز'!$AA$5:$AA$2004,"&gt;0",'سجل التحفيز'!$B$5:$B$2004,B234)&gt;0,COUNT(U$4:U233)+1,""))</f>
        <v/>
      </c>
      <c r="V234">
        <f>IF(B234="","",IF(COUNTIFS('سجل التحفيز'!$AB$5:$AB$2004,"&gt;0",'سجل التحفيز'!$B$5:$B$2004,B234)&gt;0,COUNT(V$4:V233)+1,""))</f>
        <v/>
      </c>
      <c r="W234">
        <f>IF(B234="","",IF(COUNTIFS('سجل التحفيز'!$AC$5:$AC$2004,"&gt;0",'سجل التحفيز'!$B$5:$B$2004,B234)&gt;0,COUNT(W$4:W233)+1,""))</f>
        <v/>
      </c>
      <c r="X234">
        <f>IF(B234="","",IF(COUNTIFS('سجل التحفيز'!$AD$5:$AD$2004,"&gt;0",'سجل التحفيز'!$B$5:$B$2004,B234)&gt;0,COUNT(X$4:X233)+1,""))</f>
        <v/>
      </c>
      <c r="Y234">
        <f>IF(B234="","",IF(COUNTIFS('سجل التحفيز'!$AE$5:$AE$2004,"&gt;0",'سجل التحفيز'!$B$5:$B$2004,B234)&gt;0,COUNT(Y$4:Y233)+1,""))</f>
        <v/>
      </c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20">
        <f>IF(B235="","",COUNTIFS('سجل التحفيز'!$B$5:$B$2004,B235,'سجل التحفيز'!$R$5:$R$2004,الإعدادات!$B$4))</f>
        <v/>
      </c>
      <c r="I235" s="20">
        <f>IF(B235="","",COUNTIFS('سجل التحفيز'!$B$5:$B$2004,B235,'سجل التحفيز'!$R$5:$R$2004,الإعدادات!$B$4,'سجل التحفيز'!$Q$5:$Q$2004,"الفصل الأول",'سجل التحفيز'!$D$5:$D$2004,"ذهبي"))</f>
        <v/>
      </c>
      <c r="J235" s="20">
        <f>IF(B235="","",COUNTIFS('سجل التحفيز'!$B$5:$B$2004,B235,'سجل التحفيز'!$R$5:$R$2004,الإعدادات!$B$4,'سجل التحفيز'!$Q$5:$Q$2004,"الفصل الثاني",'سجل التحفيز'!$D$5:$D$2004,"ذهبي"))</f>
        <v/>
      </c>
      <c r="K235" s="20">
        <f>IF(B235="","",COUNTIFS('سجل التحفيز'!$B$5:$B$2004,B235,'سجل التحفيز'!$R$5:$R$2004,الإعدادات!$B$4,'سجل التحفيز'!$D$5:$D$2004,"ذهبي"))</f>
        <v/>
      </c>
      <c r="L235" s="20">
        <f>IF(B235="","",IF(G235="محرومة","محرومة - مخالفة",IF(K235&gt;=5,"مستحقة ★","متبقي "&amp;(5-K235)&amp;" معايير")))</f>
        <v/>
      </c>
      <c r="N235">
        <f>IF(B235="","",IF(COUNTIFS('سجل التحفيز'!$T$5:$T$2004,"&gt;0",'سجل التحفيز'!$B$5:$B$2004,B235)&gt;0,COUNT(N$4:N234)+1,""))</f>
        <v/>
      </c>
      <c r="O235">
        <f>IF(B235="","",IF(COUNTIFS('سجل التحفيز'!$U$5:$U$2004,"&gt;0",'سجل التحفيز'!$B$5:$B$2004,B235)&gt;0,COUNT(O$4:O234)+1,""))</f>
        <v/>
      </c>
      <c r="P235">
        <f>IF(B235="","",IF(COUNTIFS('سجل التحفيز'!$V$5:$V$2004,"&gt;0",'سجل التحفيز'!$B$5:$B$2004,B235)&gt;0,COUNT(P$4:P234)+1,""))</f>
        <v/>
      </c>
      <c r="Q235">
        <f>IF(B235="","",IF(COUNTIFS('سجل التحفيز'!$W$5:$W$2004,"&gt;0",'سجل التحفيز'!$B$5:$B$2004,B235)&gt;0,COUNT(Q$4:Q234)+1,""))</f>
        <v/>
      </c>
      <c r="R235">
        <f>IF(B235="","",IF(COUNTIFS('سجل التحفيز'!$X$5:$X$2004,"&gt;0",'سجل التحفيز'!$B$5:$B$2004,B235)&gt;0,COUNT(R$4:R234)+1,""))</f>
        <v/>
      </c>
      <c r="S235">
        <f>IF(B235="","",IF(COUNTIFS('سجل التحفيز'!$Y$5:$Y$2004,"&gt;0",'سجل التحفيز'!$B$5:$B$2004,B235)&gt;0,COUNT(S$4:S234)+1,""))</f>
        <v/>
      </c>
      <c r="T235">
        <f>IF(B235="","",IF(COUNTIFS('سجل التحفيز'!$Z$5:$Z$2004,"&gt;0",'سجل التحفيز'!$B$5:$B$2004,B235)&gt;0,COUNT(T$4:T234)+1,""))</f>
        <v/>
      </c>
      <c r="U235">
        <f>IF(B235="","",IF(COUNTIFS('سجل التحفيز'!$AA$5:$AA$2004,"&gt;0",'سجل التحفيز'!$B$5:$B$2004,B235)&gt;0,COUNT(U$4:U234)+1,""))</f>
        <v/>
      </c>
      <c r="V235">
        <f>IF(B235="","",IF(COUNTIFS('سجل التحفيز'!$AB$5:$AB$2004,"&gt;0",'سجل التحفيز'!$B$5:$B$2004,B235)&gt;0,COUNT(V$4:V234)+1,""))</f>
        <v/>
      </c>
      <c r="W235">
        <f>IF(B235="","",IF(COUNTIFS('سجل التحفيز'!$AC$5:$AC$2004,"&gt;0",'سجل التحفيز'!$B$5:$B$2004,B235)&gt;0,COUNT(W$4:W234)+1,""))</f>
        <v/>
      </c>
      <c r="X235">
        <f>IF(B235="","",IF(COUNTIFS('سجل التحفيز'!$AD$5:$AD$2004,"&gt;0",'سجل التحفيز'!$B$5:$B$2004,B235)&gt;0,COUNT(X$4:X234)+1,""))</f>
        <v/>
      </c>
      <c r="Y235">
        <f>IF(B235="","",IF(COUNTIFS('سجل التحفيز'!$AE$5:$AE$2004,"&gt;0",'سجل التحفيز'!$B$5:$B$2004,B235)&gt;0,COUNT(Y$4:Y234)+1,""))</f>
        <v/>
      </c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20">
        <f>IF(B236="","",COUNTIFS('سجل التحفيز'!$B$5:$B$2004,B236,'سجل التحفيز'!$R$5:$R$2004,الإعدادات!$B$4))</f>
        <v/>
      </c>
      <c r="I236" s="20">
        <f>IF(B236="","",COUNTIFS('سجل التحفيز'!$B$5:$B$2004,B236,'سجل التحفيز'!$R$5:$R$2004,الإعدادات!$B$4,'سجل التحفيز'!$Q$5:$Q$2004,"الفصل الأول",'سجل التحفيز'!$D$5:$D$2004,"ذهبي"))</f>
        <v/>
      </c>
      <c r="J236" s="20">
        <f>IF(B236="","",COUNTIFS('سجل التحفيز'!$B$5:$B$2004,B236,'سجل التحفيز'!$R$5:$R$2004,الإعدادات!$B$4,'سجل التحفيز'!$Q$5:$Q$2004,"الفصل الثاني",'سجل التحفيز'!$D$5:$D$2004,"ذهبي"))</f>
        <v/>
      </c>
      <c r="K236" s="20">
        <f>IF(B236="","",COUNTIFS('سجل التحفيز'!$B$5:$B$2004,B236,'سجل التحفيز'!$R$5:$R$2004,الإعدادات!$B$4,'سجل التحفيز'!$D$5:$D$2004,"ذهبي"))</f>
        <v/>
      </c>
      <c r="L236" s="20">
        <f>IF(B236="","",IF(G236="محرومة","محرومة - مخالفة",IF(K236&gt;=5,"مستحقة ★","متبقي "&amp;(5-K236)&amp;" معايير")))</f>
        <v/>
      </c>
      <c r="N236">
        <f>IF(B236="","",IF(COUNTIFS('سجل التحفيز'!$T$5:$T$2004,"&gt;0",'سجل التحفيز'!$B$5:$B$2004,B236)&gt;0,COUNT(N$4:N235)+1,""))</f>
        <v/>
      </c>
      <c r="O236">
        <f>IF(B236="","",IF(COUNTIFS('سجل التحفيز'!$U$5:$U$2004,"&gt;0",'سجل التحفيز'!$B$5:$B$2004,B236)&gt;0,COUNT(O$4:O235)+1,""))</f>
        <v/>
      </c>
      <c r="P236">
        <f>IF(B236="","",IF(COUNTIFS('سجل التحفيز'!$V$5:$V$2004,"&gt;0",'سجل التحفيز'!$B$5:$B$2004,B236)&gt;0,COUNT(P$4:P235)+1,""))</f>
        <v/>
      </c>
      <c r="Q236">
        <f>IF(B236="","",IF(COUNTIFS('سجل التحفيز'!$W$5:$W$2004,"&gt;0",'سجل التحفيز'!$B$5:$B$2004,B236)&gt;0,COUNT(Q$4:Q235)+1,""))</f>
        <v/>
      </c>
      <c r="R236">
        <f>IF(B236="","",IF(COUNTIFS('سجل التحفيز'!$X$5:$X$2004,"&gt;0",'سجل التحفيز'!$B$5:$B$2004,B236)&gt;0,COUNT(R$4:R235)+1,""))</f>
        <v/>
      </c>
      <c r="S236">
        <f>IF(B236="","",IF(COUNTIFS('سجل التحفيز'!$Y$5:$Y$2004,"&gt;0",'سجل التحفيز'!$B$5:$B$2004,B236)&gt;0,COUNT(S$4:S235)+1,""))</f>
        <v/>
      </c>
      <c r="T236">
        <f>IF(B236="","",IF(COUNTIFS('سجل التحفيز'!$Z$5:$Z$2004,"&gt;0",'سجل التحفيز'!$B$5:$B$2004,B236)&gt;0,COUNT(T$4:T235)+1,""))</f>
        <v/>
      </c>
      <c r="U236">
        <f>IF(B236="","",IF(COUNTIFS('سجل التحفيز'!$AA$5:$AA$2004,"&gt;0",'سجل التحفيز'!$B$5:$B$2004,B236)&gt;0,COUNT(U$4:U235)+1,""))</f>
        <v/>
      </c>
      <c r="V236">
        <f>IF(B236="","",IF(COUNTIFS('سجل التحفيز'!$AB$5:$AB$2004,"&gt;0",'سجل التحفيز'!$B$5:$B$2004,B236)&gt;0,COUNT(V$4:V235)+1,""))</f>
        <v/>
      </c>
      <c r="W236">
        <f>IF(B236="","",IF(COUNTIFS('سجل التحفيز'!$AC$5:$AC$2004,"&gt;0",'سجل التحفيز'!$B$5:$B$2004,B236)&gt;0,COUNT(W$4:W235)+1,""))</f>
        <v/>
      </c>
      <c r="X236">
        <f>IF(B236="","",IF(COUNTIFS('سجل التحفيز'!$AD$5:$AD$2004,"&gt;0",'سجل التحفيز'!$B$5:$B$2004,B236)&gt;0,COUNT(X$4:X235)+1,""))</f>
        <v/>
      </c>
      <c r="Y236">
        <f>IF(B236="","",IF(COUNTIFS('سجل التحفيز'!$AE$5:$AE$2004,"&gt;0",'سجل التحفيز'!$B$5:$B$2004,B236)&gt;0,COUNT(Y$4:Y235)+1,""))</f>
        <v/>
      </c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20">
        <f>IF(B237="","",COUNTIFS('سجل التحفيز'!$B$5:$B$2004,B237,'سجل التحفيز'!$R$5:$R$2004,الإعدادات!$B$4))</f>
        <v/>
      </c>
      <c r="I237" s="20">
        <f>IF(B237="","",COUNTIFS('سجل التحفيز'!$B$5:$B$2004,B237,'سجل التحفيز'!$R$5:$R$2004,الإعدادات!$B$4,'سجل التحفيز'!$Q$5:$Q$2004,"الفصل الأول",'سجل التحفيز'!$D$5:$D$2004,"ذهبي"))</f>
        <v/>
      </c>
      <c r="J237" s="20">
        <f>IF(B237="","",COUNTIFS('سجل التحفيز'!$B$5:$B$2004,B237,'سجل التحفيز'!$R$5:$R$2004,الإعدادات!$B$4,'سجل التحفيز'!$Q$5:$Q$2004,"الفصل الثاني",'سجل التحفيز'!$D$5:$D$2004,"ذهبي"))</f>
        <v/>
      </c>
      <c r="K237" s="20">
        <f>IF(B237="","",COUNTIFS('سجل التحفيز'!$B$5:$B$2004,B237,'سجل التحفيز'!$R$5:$R$2004,الإعدادات!$B$4,'سجل التحفيز'!$D$5:$D$2004,"ذهبي"))</f>
        <v/>
      </c>
      <c r="L237" s="20">
        <f>IF(B237="","",IF(G237="محرومة","محرومة - مخالفة",IF(K237&gt;=5,"مستحقة ★","متبقي "&amp;(5-K237)&amp;" معايير")))</f>
        <v/>
      </c>
      <c r="N237">
        <f>IF(B237="","",IF(COUNTIFS('سجل التحفيز'!$T$5:$T$2004,"&gt;0",'سجل التحفيز'!$B$5:$B$2004,B237)&gt;0,COUNT(N$4:N236)+1,""))</f>
        <v/>
      </c>
      <c r="O237">
        <f>IF(B237="","",IF(COUNTIFS('سجل التحفيز'!$U$5:$U$2004,"&gt;0",'سجل التحفيز'!$B$5:$B$2004,B237)&gt;0,COUNT(O$4:O236)+1,""))</f>
        <v/>
      </c>
      <c r="P237">
        <f>IF(B237="","",IF(COUNTIFS('سجل التحفيز'!$V$5:$V$2004,"&gt;0",'سجل التحفيز'!$B$5:$B$2004,B237)&gt;0,COUNT(P$4:P236)+1,""))</f>
        <v/>
      </c>
      <c r="Q237">
        <f>IF(B237="","",IF(COUNTIFS('سجل التحفيز'!$W$5:$W$2004,"&gt;0",'سجل التحفيز'!$B$5:$B$2004,B237)&gt;0,COUNT(Q$4:Q236)+1,""))</f>
        <v/>
      </c>
      <c r="R237">
        <f>IF(B237="","",IF(COUNTIFS('سجل التحفيز'!$X$5:$X$2004,"&gt;0",'سجل التحفيز'!$B$5:$B$2004,B237)&gt;0,COUNT(R$4:R236)+1,""))</f>
        <v/>
      </c>
      <c r="S237">
        <f>IF(B237="","",IF(COUNTIFS('سجل التحفيز'!$Y$5:$Y$2004,"&gt;0",'سجل التحفيز'!$B$5:$B$2004,B237)&gt;0,COUNT(S$4:S236)+1,""))</f>
        <v/>
      </c>
      <c r="T237">
        <f>IF(B237="","",IF(COUNTIFS('سجل التحفيز'!$Z$5:$Z$2004,"&gt;0",'سجل التحفيز'!$B$5:$B$2004,B237)&gt;0,COUNT(T$4:T236)+1,""))</f>
        <v/>
      </c>
      <c r="U237">
        <f>IF(B237="","",IF(COUNTIFS('سجل التحفيز'!$AA$5:$AA$2004,"&gt;0",'سجل التحفيز'!$B$5:$B$2004,B237)&gt;0,COUNT(U$4:U236)+1,""))</f>
        <v/>
      </c>
      <c r="V237">
        <f>IF(B237="","",IF(COUNTIFS('سجل التحفيز'!$AB$5:$AB$2004,"&gt;0",'سجل التحفيز'!$B$5:$B$2004,B237)&gt;0,COUNT(V$4:V236)+1,""))</f>
        <v/>
      </c>
      <c r="W237">
        <f>IF(B237="","",IF(COUNTIFS('سجل التحفيز'!$AC$5:$AC$2004,"&gt;0",'سجل التحفيز'!$B$5:$B$2004,B237)&gt;0,COUNT(W$4:W236)+1,""))</f>
        <v/>
      </c>
      <c r="X237">
        <f>IF(B237="","",IF(COUNTIFS('سجل التحفيز'!$AD$5:$AD$2004,"&gt;0",'سجل التحفيز'!$B$5:$B$2004,B237)&gt;0,COUNT(X$4:X236)+1,""))</f>
        <v/>
      </c>
      <c r="Y237">
        <f>IF(B237="","",IF(COUNTIFS('سجل التحفيز'!$AE$5:$AE$2004,"&gt;0",'سجل التحفيز'!$B$5:$B$2004,B237)&gt;0,COUNT(Y$4:Y236)+1,""))</f>
        <v/>
      </c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20">
        <f>IF(B238="","",COUNTIFS('سجل التحفيز'!$B$5:$B$2004,B238,'سجل التحفيز'!$R$5:$R$2004,الإعدادات!$B$4))</f>
        <v/>
      </c>
      <c r="I238" s="20">
        <f>IF(B238="","",COUNTIFS('سجل التحفيز'!$B$5:$B$2004,B238,'سجل التحفيز'!$R$5:$R$2004,الإعدادات!$B$4,'سجل التحفيز'!$Q$5:$Q$2004,"الفصل الأول",'سجل التحفيز'!$D$5:$D$2004,"ذهبي"))</f>
        <v/>
      </c>
      <c r="J238" s="20">
        <f>IF(B238="","",COUNTIFS('سجل التحفيز'!$B$5:$B$2004,B238,'سجل التحفيز'!$R$5:$R$2004,الإعدادات!$B$4,'سجل التحفيز'!$Q$5:$Q$2004,"الفصل الثاني",'سجل التحفيز'!$D$5:$D$2004,"ذهبي"))</f>
        <v/>
      </c>
      <c r="K238" s="20">
        <f>IF(B238="","",COUNTIFS('سجل التحفيز'!$B$5:$B$2004,B238,'سجل التحفيز'!$R$5:$R$2004,الإعدادات!$B$4,'سجل التحفيز'!$D$5:$D$2004,"ذهبي"))</f>
        <v/>
      </c>
      <c r="L238" s="20">
        <f>IF(B238="","",IF(G238="محرومة","محرومة - مخالفة",IF(K238&gt;=5,"مستحقة ★","متبقي "&amp;(5-K238)&amp;" معايير")))</f>
        <v/>
      </c>
      <c r="N238">
        <f>IF(B238="","",IF(COUNTIFS('سجل التحفيز'!$T$5:$T$2004,"&gt;0",'سجل التحفيز'!$B$5:$B$2004,B238)&gt;0,COUNT(N$4:N237)+1,""))</f>
        <v/>
      </c>
      <c r="O238">
        <f>IF(B238="","",IF(COUNTIFS('سجل التحفيز'!$U$5:$U$2004,"&gt;0",'سجل التحفيز'!$B$5:$B$2004,B238)&gt;0,COUNT(O$4:O237)+1,""))</f>
        <v/>
      </c>
      <c r="P238">
        <f>IF(B238="","",IF(COUNTIFS('سجل التحفيز'!$V$5:$V$2004,"&gt;0",'سجل التحفيز'!$B$5:$B$2004,B238)&gt;0,COUNT(P$4:P237)+1,""))</f>
        <v/>
      </c>
      <c r="Q238">
        <f>IF(B238="","",IF(COUNTIFS('سجل التحفيز'!$W$5:$W$2004,"&gt;0",'سجل التحفيز'!$B$5:$B$2004,B238)&gt;0,COUNT(Q$4:Q237)+1,""))</f>
        <v/>
      </c>
      <c r="R238">
        <f>IF(B238="","",IF(COUNTIFS('سجل التحفيز'!$X$5:$X$2004,"&gt;0",'سجل التحفيز'!$B$5:$B$2004,B238)&gt;0,COUNT(R$4:R237)+1,""))</f>
        <v/>
      </c>
      <c r="S238">
        <f>IF(B238="","",IF(COUNTIFS('سجل التحفيز'!$Y$5:$Y$2004,"&gt;0",'سجل التحفيز'!$B$5:$B$2004,B238)&gt;0,COUNT(S$4:S237)+1,""))</f>
        <v/>
      </c>
      <c r="T238">
        <f>IF(B238="","",IF(COUNTIFS('سجل التحفيز'!$Z$5:$Z$2004,"&gt;0",'سجل التحفيز'!$B$5:$B$2004,B238)&gt;0,COUNT(T$4:T237)+1,""))</f>
        <v/>
      </c>
      <c r="U238">
        <f>IF(B238="","",IF(COUNTIFS('سجل التحفيز'!$AA$5:$AA$2004,"&gt;0",'سجل التحفيز'!$B$5:$B$2004,B238)&gt;0,COUNT(U$4:U237)+1,""))</f>
        <v/>
      </c>
      <c r="V238">
        <f>IF(B238="","",IF(COUNTIFS('سجل التحفيز'!$AB$5:$AB$2004,"&gt;0",'سجل التحفيز'!$B$5:$B$2004,B238)&gt;0,COUNT(V$4:V237)+1,""))</f>
        <v/>
      </c>
      <c r="W238">
        <f>IF(B238="","",IF(COUNTIFS('سجل التحفيز'!$AC$5:$AC$2004,"&gt;0",'سجل التحفيز'!$B$5:$B$2004,B238)&gt;0,COUNT(W$4:W237)+1,""))</f>
        <v/>
      </c>
      <c r="X238">
        <f>IF(B238="","",IF(COUNTIFS('سجل التحفيز'!$AD$5:$AD$2004,"&gt;0",'سجل التحفيز'!$B$5:$B$2004,B238)&gt;0,COUNT(X$4:X237)+1,""))</f>
        <v/>
      </c>
      <c r="Y238">
        <f>IF(B238="","",IF(COUNTIFS('سجل التحفيز'!$AE$5:$AE$2004,"&gt;0",'سجل التحفيز'!$B$5:$B$2004,B238)&gt;0,COUNT(Y$4:Y237)+1,""))</f>
        <v/>
      </c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20">
        <f>IF(B239="","",COUNTIFS('سجل التحفيز'!$B$5:$B$2004,B239,'سجل التحفيز'!$R$5:$R$2004,الإعدادات!$B$4))</f>
        <v/>
      </c>
      <c r="I239" s="20">
        <f>IF(B239="","",COUNTIFS('سجل التحفيز'!$B$5:$B$2004,B239,'سجل التحفيز'!$R$5:$R$2004,الإعدادات!$B$4,'سجل التحفيز'!$Q$5:$Q$2004,"الفصل الأول",'سجل التحفيز'!$D$5:$D$2004,"ذهبي"))</f>
        <v/>
      </c>
      <c r="J239" s="20">
        <f>IF(B239="","",COUNTIFS('سجل التحفيز'!$B$5:$B$2004,B239,'سجل التحفيز'!$R$5:$R$2004,الإعدادات!$B$4,'سجل التحفيز'!$Q$5:$Q$2004,"الفصل الثاني",'سجل التحفيز'!$D$5:$D$2004,"ذهبي"))</f>
        <v/>
      </c>
      <c r="K239" s="20">
        <f>IF(B239="","",COUNTIFS('سجل التحفيز'!$B$5:$B$2004,B239,'سجل التحفيز'!$R$5:$R$2004,الإعدادات!$B$4,'سجل التحفيز'!$D$5:$D$2004,"ذهبي"))</f>
        <v/>
      </c>
      <c r="L239" s="20">
        <f>IF(B239="","",IF(G239="محرومة","محرومة - مخالفة",IF(K239&gt;=5,"مستحقة ★","متبقي "&amp;(5-K239)&amp;" معايير")))</f>
        <v/>
      </c>
      <c r="N239">
        <f>IF(B239="","",IF(COUNTIFS('سجل التحفيز'!$T$5:$T$2004,"&gt;0",'سجل التحفيز'!$B$5:$B$2004,B239)&gt;0,COUNT(N$4:N238)+1,""))</f>
        <v/>
      </c>
      <c r="O239">
        <f>IF(B239="","",IF(COUNTIFS('سجل التحفيز'!$U$5:$U$2004,"&gt;0",'سجل التحفيز'!$B$5:$B$2004,B239)&gt;0,COUNT(O$4:O238)+1,""))</f>
        <v/>
      </c>
      <c r="P239">
        <f>IF(B239="","",IF(COUNTIFS('سجل التحفيز'!$V$5:$V$2004,"&gt;0",'سجل التحفيز'!$B$5:$B$2004,B239)&gt;0,COUNT(P$4:P238)+1,""))</f>
        <v/>
      </c>
      <c r="Q239">
        <f>IF(B239="","",IF(COUNTIFS('سجل التحفيز'!$W$5:$W$2004,"&gt;0",'سجل التحفيز'!$B$5:$B$2004,B239)&gt;0,COUNT(Q$4:Q238)+1,""))</f>
        <v/>
      </c>
      <c r="R239">
        <f>IF(B239="","",IF(COUNTIFS('سجل التحفيز'!$X$5:$X$2004,"&gt;0",'سجل التحفيز'!$B$5:$B$2004,B239)&gt;0,COUNT(R$4:R238)+1,""))</f>
        <v/>
      </c>
      <c r="S239">
        <f>IF(B239="","",IF(COUNTIFS('سجل التحفيز'!$Y$5:$Y$2004,"&gt;0",'سجل التحفيز'!$B$5:$B$2004,B239)&gt;0,COUNT(S$4:S238)+1,""))</f>
        <v/>
      </c>
      <c r="T239">
        <f>IF(B239="","",IF(COUNTIFS('سجل التحفيز'!$Z$5:$Z$2004,"&gt;0",'سجل التحفيز'!$B$5:$B$2004,B239)&gt;0,COUNT(T$4:T238)+1,""))</f>
        <v/>
      </c>
      <c r="U239">
        <f>IF(B239="","",IF(COUNTIFS('سجل التحفيز'!$AA$5:$AA$2004,"&gt;0",'سجل التحفيز'!$B$5:$B$2004,B239)&gt;0,COUNT(U$4:U238)+1,""))</f>
        <v/>
      </c>
      <c r="V239">
        <f>IF(B239="","",IF(COUNTIFS('سجل التحفيز'!$AB$5:$AB$2004,"&gt;0",'سجل التحفيز'!$B$5:$B$2004,B239)&gt;0,COUNT(V$4:V238)+1,""))</f>
        <v/>
      </c>
      <c r="W239">
        <f>IF(B239="","",IF(COUNTIFS('سجل التحفيز'!$AC$5:$AC$2004,"&gt;0",'سجل التحفيز'!$B$5:$B$2004,B239)&gt;0,COUNT(W$4:W238)+1,""))</f>
        <v/>
      </c>
      <c r="X239">
        <f>IF(B239="","",IF(COUNTIFS('سجل التحفيز'!$AD$5:$AD$2004,"&gt;0",'سجل التحفيز'!$B$5:$B$2004,B239)&gt;0,COUNT(X$4:X238)+1,""))</f>
        <v/>
      </c>
      <c r="Y239">
        <f>IF(B239="","",IF(COUNTIFS('سجل التحفيز'!$AE$5:$AE$2004,"&gt;0",'سجل التحفيز'!$B$5:$B$2004,B239)&gt;0,COUNT(Y$4:Y238)+1,""))</f>
        <v/>
      </c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20">
        <f>IF(B240="","",COUNTIFS('سجل التحفيز'!$B$5:$B$2004,B240,'سجل التحفيز'!$R$5:$R$2004,الإعدادات!$B$4))</f>
        <v/>
      </c>
      <c r="I240" s="20">
        <f>IF(B240="","",COUNTIFS('سجل التحفيز'!$B$5:$B$2004,B240,'سجل التحفيز'!$R$5:$R$2004,الإعدادات!$B$4,'سجل التحفيز'!$Q$5:$Q$2004,"الفصل الأول",'سجل التحفيز'!$D$5:$D$2004,"ذهبي"))</f>
        <v/>
      </c>
      <c r="J240" s="20">
        <f>IF(B240="","",COUNTIFS('سجل التحفيز'!$B$5:$B$2004,B240,'سجل التحفيز'!$R$5:$R$2004,الإعدادات!$B$4,'سجل التحفيز'!$Q$5:$Q$2004,"الفصل الثاني",'سجل التحفيز'!$D$5:$D$2004,"ذهبي"))</f>
        <v/>
      </c>
      <c r="K240" s="20">
        <f>IF(B240="","",COUNTIFS('سجل التحفيز'!$B$5:$B$2004,B240,'سجل التحفيز'!$R$5:$R$2004,الإعدادات!$B$4,'سجل التحفيز'!$D$5:$D$2004,"ذهبي"))</f>
        <v/>
      </c>
      <c r="L240" s="20">
        <f>IF(B240="","",IF(G240="محرومة","محرومة - مخالفة",IF(K240&gt;=5,"مستحقة ★","متبقي "&amp;(5-K240)&amp;" معايير")))</f>
        <v/>
      </c>
      <c r="N240">
        <f>IF(B240="","",IF(COUNTIFS('سجل التحفيز'!$T$5:$T$2004,"&gt;0",'سجل التحفيز'!$B$5:$B$2004,B240)&gt;0,COUNT(N$4:N239)+1,""))</f>
        <v/>
      </c>
      <c r="O240">
        <f>IF(B240="","",IF(COUNTIFS('سجل التحفيز'!$U$5:$U$2004,"&gt;0",'سجل التحفيز'!$B$5:$B$2004,B240)&gt;0,COUNT(O$4:O239)+1,""))</f>
        <v/>
      </c>
      <c r="P240">
        <f>IF(B240="","",IF(COUNTIFS('سجل التحفيز'!$V$5:$V$2004,"&gt;0",'سجل التحفيز'!$B$5:$B$2004,B240)&gt;0,COUNT(P$4:P239)+1,""))</f>
        <v/>
      </c>
      <c r="Q240">
        <f>IF(B240="","",IF(COUNTIFS('سجل التحفيز'!$W$5:$W$2004,"&gt;0",'سجل التحفيز'!$B$5:$B$2004,B240)&gt;0,COUNT(Q$4:Q239)+1,""))</f>
        <v/>
      </c>
      <c r="R240">
        <f>IF(B240="","",IF(COUNTIFS('سجل التحفيز'!$X$5:$X$2004,"&gt;0",'سجل التحفيز'!$B$5:$B$2004,B240)&gt;0,COUNT(R$4:R239)+1,""))</f>
        <v/>
      </c>
      <c r="S240">
        <f>IF(B240="","",IF(COUNTIFS('سجل التحفيز'!$Y$5:$Y$2004,"&gt;0",'سجل التحفيز'!$B$5:$B$2004,B240)&gt;0,COUNT(S$4:S239)+1,""))</f>
        <v/>
      </c>
      <c r="T240">
        <f>IF(B240="","",IF(COUNTIFS('سجل التحفيز'!$Z$5:$Z$2004,"&gt;0",'سجل التحفيز'!$B$5:$B$2004,B240)&gt;0,COUNT(T$4:T239)+1,""))</f>
        <v/>
      </c>
      <c r="U240">
        <f>IF(B240="","",IF(COUNTIFS('سجل التحفيز'!$AA$5:$AA$2004,"&gt;0",'سجل التحفيز'!$B$5:$B$2004,B240)&gt;0,COUNT(U$4:U239)+1,""))</f>
        <v/>
      </c>
      <c r="V240">
        <f>IF(B240="","",IF(COUNTIFS('سجل التحفيز'!$AB$5:$AB$2004,"&gt;0",'سجل التحفيز'!$B$5:$B$2004,B240)&gt;0,COUNT(V$4:V239)+1,""))</f>
        <v/>
      </c>
      <c r="W240">
        <f>IF(B240="","",IF(COUNTIFS('سجل التحفيز'!$AC$5:$AC$2004,"&gt;0",'سجل التحفيز'!$B$5:$B$2004,B240)&gt;0,COUNT(W$4:W239)+1,""))</f>
        <v/>
      </c>
      <c r="X240">
        <f>IF(B240="","",IF(COUNTIFS('سجل التحفيز'!$AD$5:$AD$2004,"&gt;0",'سجل التحفيز'!$B$5:$B$2004,B240)&gt;0,COUNT(X$4:X239)+1,""))</f>
        <v/>
      </c>
      <c r="Y240">
        <f>IF(B240="","",IF(COUNTIFS('سجل التحفيز'!$AE$5:$AE$2004,"&gt;0",'سجل التحفيز'!$B$5:$B$2004,B240)&gt;0,COUNT(Y$4:Y239)+1,""))</f>
        <v/>
      </c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20">
        <f>IF(B241="","",COUNTIFS('سجل التحفيز'!$B$5:$B$2004,B241,'سجل التحفيز'!$R$5:$R$2004,الإعدادات!$B$4))</f>
        <v/>
      </c>
      <c r="I241" s="20">
        <f>IF(B241="","",COUNTIFS('سجل التحفيز'!$B$5:$B$2004,B241,'سجل التحفيز'!$R$5:$R$2004,الإعدادات!$B$4,'سجل التحفيز'!$Q$5:$Q$2004,"الفصل الأول",'سجل التحفيز'!$D$5:$D$2004,"ذهبي"))</f>
        <v/>
      </c>
      <c r="J241" s="20">
        <f>IF(B241="","",COUNTIFS('سجل التحفيز'!$B$5:$B$2004,B241,'سجل التحفيز'!$R$5:$R$2004,الإعدادات!$B$4,'سجل التحفيز'!$Q$5:$Q$2004,"الفصل الثاني",'سجل التحفيز'!$D$5:$D$2004,"ذهبي"))</f>
        <v/>
      </c>
      <c r="K241" s="20">
        <f>IF(B241="","",COUNTIFS('سجل التحفيز'!$B$5:$B$2004,B241,'سجل التحفيز'!$R$5:$R$2004,الإعدادات!$B$4,'سجل التحفيز'!$D$5:$D$2004,"ذهبي"))</f>
        <v/>
      </c>
      <c r="L241" s="20">
        <f>IF(B241="","",IF(G241="محرومة","محرومة - مخالفة",IF(K241&gt;=5,"مستحقة ★","متبقي "&amp;(5-K241)&amp;" معايير")))</f>
        <v/>
      </c>
      <c r="N241">
        <f>IF(B241="","",IF(COUNTIFS('سجل التحفيز'!$T$5:$T$2004,"&gt;0",'سجل التحفيز'!$B$5:$B$2004,B241)&gt;0,COUNT(N$4:N240)+1,""))</f>
        <v/>
      </c>
      <c r="O241">
        <f>IF(B241="","",IF(COUNTIFS('سجل التحفيز'!$U$5:$U$2004,"&gt;0",'سجل التحفيز'!$B$5:$B$2004,B241)&gt;0,COUNT(O$4:O240)+1,""))</f>
        <v/>
      </c>
      <c r="P241">
        <f>IF(B241="","",IF(COUNTIFS('سجل التحفيز'!$V$5:$V$2004,"&gt;0",'سجل التحفيز'!$B$5:$B$2004,B241)&gt;0,COUNT(P$4:P240)+1,""))</f>
        <v/>
      </c>
      <c r="Q241">
        <f>IF(B241="","",IF(COUNTIFS('سجل التحفيز'!$W$5:$W$2004,"&gt;0",'سجل التحفيز'!$B$5:$B$2004,B241)&gt;0,COUNT(Q$4:Q240)+1,""))</f>
        <v/>
      </c>
      <c r="R241">
        <f>IF(B241="","",IF(COUNTIFS('سجل التحفيز'!$X$5:$X$2004,"&gt;0",'سجل التحفيز'!$B$5:$B$2004,B241)&gt;0,COUNT(R$4:R240)+1,""))</f>
        <v/>
      </c>
      <c r="S241">
        <f>IF(B241="","",IF(COUNTIFS('سجل التحفيز'!$Y$5:$Y$2004,"&gt;0",'سجل التحفيز'!$B$5:$B$2004,B241)&gt;0,COUNT(S$4:S240)+1,""))</f>
        <v/>
      </c>
      <c r="T241">
        <f>IF(B241="","",IF(COUNTIFS('سجل التحفيز'!$Z$5:$Z$2004,"&gt;0",'سجل التحفيز'!$B$5:$B$2004,B241)&gt;0,COUNT(T$4:T240)+1,""))</f>
        <v/>
      </c>
      <c r="U241">
        <f>IF(B241="","",IF(COUNTIFS('سجل التحفيز'!$AA$5:$AA$2004,"&gt;0",'سجل التحفيز'!$B$5:$B$2004,B241)&gt;0,COUNT(U$4:U240)+1,""))</f>
        <v/>
      </c>
      <c r="V241">
        <f>IF(B241="","",IF(COUNTIFS('سجل التحفيز'!$AB$5:$AB$2004,"&gt;0",'سجل التحفيز'!$B$5:$B$2004,B241)&gt;0,COUNT(V$4:V240)+1,""))</f>
        <v/>
      </c>
      <c r="W241">
        <f>IF(B241="","",IF(COUNTIFS('سجل التحفيز'!$AC$5:$AC$2004,"&gt;0",'سجل التحفيز'!$B$5:$B$2004,B241)&gt;0,COUNT(W$4:W240)+1,""))</f>
        <v/>
      </c>
      <c r="X241">
        <f>IF(B241="","",IF(COUNTIFS('سجل التحفيز'!$AD$5:$AD$2004,"&gt;0",'سجل التحفيز'!$B$5:$B$2004,B241)&gt;0,COUNT(X$4:X240)+1,""))</f>
        <v/>
      </c>
      <c r="Y241">
        <f>IF(B241="","",IF(COUNTIFS('سجل التحفيز'!$AE$5:$AE$2004,"&gt;0",'سجل التحفيز'!$B$5:$B$2004,B241)&gt;0,COUNT(Y$4:Y240)+1,""))</f>
        <v/>
      </c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20">
        <f>IF(B242="","",COUNTIFS('سجل التحفيز'!$B$5:$B$2004,B242,'سجل التحفيز'!$R$5:$R$2004,الإعدادات!$B$4))</f>
        <v/>
      </c>
      <c r="I242" s="20">
        <f>IF(B242="","",COUNTIFS('سجل التحفيز'!$B$5:$B$2004,B242,'سجل التحفيز'!$R$5:$R$2004,الإعدادات!$B$4,'سجل التحفيز'!$Q$5:$Q$2004,"الفصل الأول",'سجل التحفيز'!$D$5:$D$2004,"ذهبي"))</f>
        <v/>
      </c>
      <c r="J242" s="20">
        <f>IF(B242="","",COUNTIFS('سجل التحفيز'!$B$5:$B$2004,B242,'سجل التحفيز'!$R$5:$R$2004,الإعدادات!$B$4,'سجل التحفيز'!$Q$5:$Q$2004,"الفصل الثاني",'سجل التحفيز'!$D$5:$D$2004,"ذهبي"))</f>
        <v/>
      </c>
      <c r="K242" s="20">
        <f>IF(B242="","",COUNTIFS('سجل التحفيز'!$B$5:$B$2004,B242,'سجل التحفيز'!$R$5:$R$2004,الإعدادات!$B$4,'سجل التحفيز'!$D$5:$D$2004,"ذهبي"))</f>
        <v/>
      </c>
      <c r="L242" s="20">
        <f>IF(B242="","",IF(G242="محرومة","محرومة - مخالفة",IF(K242&gt;=5,"مستحقة ★","متبقي "&amp;(5-K242)&amp;" معايير")))</f>
        <v/>
      </c>
      <c r="N242">
        <f>IF(B242="","",IF(COUNTIFS('سجل التحفيز'!$T$5:$T$2004,"&gt;0",'سجل التحفيز'!$B$5:$B$2004,B242)&gt;0,COUNT(N$4:N241)+1,""))</f>
        <v/>
      </c>
      <c r="O242">
        <f>IF(B242="","",IF(COUNTIFS('سجل التحفيز'!$U$5:$U$2004,"&gt;0",'سجل التحفيز'!$B$5:$B$2004,B242)&gt;0,COUNT(O$4:O241)+1,""))</f>
        <v/>
      </c>
      <c r="P242">
        <f>IF(B242="","",IF(COUNTIFS('سجل التحفيز'!$V$5:$V$2004,"&gt;0",'سجل التحفيز'!$B$5:$B$2004,B242)&gt;0,COUNT(P$4:P241)+1,""))</f>
        <v/>
      </c>
      <c r="Q242">
        <f>IF(B242="","",IF(COUNTIFS('سجل التحفيز'!$W$5:$W$2004,"&gt;0",'سجل التحفيز'!$B$5:$B$2004,B242)&gt;0,COUNT(Q$4:Q241)+1,""))</f>
        <v/>
      </c>
      <c r="R242">
        <f>IF(B242="","",IF(COUNTIFS('سجل التحفيز'!$X$5:$X$2004,"&gt;0",'سجل التحفيز'!$B$5:$B$2004,B242)&gt;0,COUNT(R$4:R241)+1,""))</f>
        <v/>
      </c>
      <c r="S242">
        <f>IF(B242="","",IF(COUNTIFS('سجل التحفيز'!$Y$5:$Y$2004,"&gt;0",'سجل التحفيز'!$B$5:$B$2004,B242)&gt;0,COUNT(S$4:S241)+1,""))</f>
        <v/>
      </c>
      <c r="T242">
        <f>IF(B242="","",IF(COUNTIFS('سجل التحفيز'!$Z$5:$Z$2004,"&gt;0",'سجل التحفيز'!$B$5:$B$2004,B242)&gt;0,COUNT(T$4:T241)+1,""))</f>
        <v/>
      </c>
      <c r="U242">
        <f>IF(B242="","",IF(COUNTIFS('سجل التحفيز'!$AA$5:$AA$2004,"&gt;0",'سجل التحفيز'!$B$5:$B$2004,B242)&gt;0,COUNT(U$4:U241)+1,""))</f>
        <v/>
      </c>
      <c r="V242">
        <f>IF(B242="","",IF(COUNTIFS('سجل التحفيز'!$AB$5:$AB$2004,"&gt;0",'سجل التحفيز'!$B$5:$B$2004,B242)&gt;0,COUNT(V$4:V241)+1,""))</f>
        <v/>
      </c>
      <c r="W242">
        <f>IF(B242="","",IF(COUNTIFS('سجل التحفيز'!$AC$5:$AC$2004,"&gt;0",'سجل التحفيز'!$B$5:$B$2004,B242)&gt;0,COUNT(W$4:W241)+1,""))</f>
        <v/>
      </c>
      <c r="X242">
        <f>IF(B242="","",IF(COUNTIFS('سجل التحفيز'!$AD$5:$AD$2004,"&gt;0",'سجل التحفيز'!$B$5:$B$2004,B242)&gt;0,COUNT(X$4:X241)+1,""))</f>
        <v/>
      </c>
      <c r="Y242">
        <f>IF(B242="","",IF(COUNTIFS('سجل التحفيز'!$AE$5:$AE$2004,"&gt;0",'سجل التحفيز'!$B$5:$B$2004,B242)&gt;0,COUNT(Y$4:Y241)+1,""))</f>
        <v/>
      </c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20">
        <f>IF(B243="","",COUNTIFS('سجل التحفيز'!$B$5:$B$2004,B243,'سجل التحفيز'!$R$5:$R$2004,الإعدادات!$B$4))</f>
        <v/>
      </c>
      <c r="I243" s="20">
        <f>IF(B243="","",COUNTIFS('سجل التحفيز'!$B$5:$B$2004,B243,'سجل التحفيز'!$R$5:$R$2004,الإعدادات!$B$4,'سجل التحفيز'!$Q$5:$Q$2004,"الفصل الأول",'سجل التحفيز'!$D$5:$D$2004,"ذهبي"))</f>
        <v/>
      </c>
      <c r="J243" s="20">
        <f>IF(B243="","",COUNTIFS('سجل التحفيز'!$B$5:$B$2004,B243,'سجل التحفيز'!$R$5:$R$2004,الإعدادات!$B$4,'سجل التحفيز'!$Q$5:$Q$2004,"الفصل الثاني",'سجل التحفيز'!$D$5:$D$2004,"ذهبي"))</f>
        <v/>
      </c>
      <c r="K243" s="20">
        <f>IF(B243="","",COUNTIFS('سجل التحفيز'!$B$5:$B$2004,B243,'سجل التحفيز'!$R$5:$R$2004,الإعدادات!$B$4,'سجل التحفيز'!$D$5:$D$2004,"ذهبي"))</f>
        <v/>
      </c>
      <c r="L243" s="20">
        <f>IF(B243="","",IF(G243="محرومة","محرومة - مخالفة",IF(K243&gt;=5,"مستحقة ★","متبقي "&amp;(5-K243)&amp;" معايير")))</f>
        <v/>
      </c>
      <c r="N243">
        <f>IF(B243="","",IF(COUNTIFS('سجل التحفيز'!$T$5:$T$2004,"&gt;0",'سجل التحفيز'!$B$5:$B$2004,B243)&gt;0,COUNT(N$4:N242)+1,""))</f>
        <v/>
      </c>
      <c r="O243">
        <f>IF(B243="","",IF(COUNTIFS('سجل التحفيز'!$U$5:$U$2004,"&gt;0",'سجل التحفيز'!$B$5:$B$2004,B243)&gt;0,COUNT(O$4:O242)+1,""))</f>
        <v/>
      </c>
      <c r="P243">
        <f>IF(B243="","",IF(COUNTIFS('سجل التحفيز'!$V$5:$V$2004,"&gt;0",'سجل التحفيز'!$B$5:$B$2004,B243)&gt;0,COUNT(P$4:P242)+1,""))</f>
        <v/>
      </c>
      <c r="Q243">
        <f>IF(B243="","",IF(COUNTIFS('سجل التحفيز'!$W$5:$W$2004,"&gt;0",'سجل التحفيز'!$B$5:$B$2004,B243)&gt;0,COUNT(Q$4:Q242)+1,""))</f>
        <v/>
      </c>
      <c r="R243">
        <f>IF(B243="","",IF(COUNTIFS('سجل التحفيز'!$X$5:$X$2004,"&gt;0",'سجل التحفيز'!$B$5:$B$2004,B243)&gt;0,COUNT(R$4:R242)+1,""))</f>
        <v/>
      </c>
      <c r="S243">
        <f>IF(B243="","",IF(COUNTIFS('سجل التحفيز'!$Y$5:$Y$2004,"&gt;0",'سجل التحفيز'!$B$5:$B$2004,B243)&gt;0,COUNT(S$4:S242)+1,""))</f>
        <v/>
      </c>
      <c r="T243">
        <f>IF(B243="","",IF(COUNTIFS('سجل التحفيز'!$Z$5:$Z$2004,"&gt;0",'سجل التحفيز'!$B$5:$B$2004,B243)&gt;0,COUNT(T$4:T242)+1,""))</f>
        <v/>
      </c>
      <c r="U243">
        <f>IF(B243="","",IF(COUNTIFS('سجل التحفيز'!$AA$5:$AA$2004,"&gt;0",'سجل التحفيز'!$B$5:$B$2004,B243)&gt;0,COUNT(U$4:U242)+1,""))</f>
        <v/>
      </c>
      <c r="V243">
        <f>IF(B243="","",IF(COUNTIFS('سجل التحفيز'!$AB$5:$AB$2004,"&gt;0",'سجل التحفيز'!$B$5:$B$2004,B243)&gt;0,COUNT(V$4:V242)+1,""))</f>
        <v/>
      </c>
      <c r="W243">
        <f>IF(B243="","",IF(COUNTIFS('سجل التحفيز'!$AC$5:$AC$2004,"&gt;0",'سجل التحفيز'!$B$5:$B$2004,B243)&gt;0,COUNT(W$4:W242)+1,""))</f>
        <v/>
      </c>
      <c r="X243">
        <f>IF(B243="","",IF(COUNTIFS('سجل التحفيز'!$AD$5:$AD$2004,"&gt;0",'سجل التحفيز'!$B$5:$B$2004,B243)&gt;0,COUNT(X$4:X242)+1,""))</f>
        <v/>
      </c>
      <c r="Y243">
        <f>IF(B243="","",IF(COUNTIFS('سجل التحفيز'!$AE$5:$AE$2004,"&gt;0",'سجل التحفيز'!$B$5:$B$2004,B243)&gt;0,COUNT(Y$4:Y242)+1,""))</f>
        <v/>
      </c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20">
        <f>IF(B244="","",COUNTIFS('سجل التحفيز'!$B$5:$B$2004,B244,'سجل التحفيز'!$R$5:$R$2004,الإعدادات!$B$4))</f>
        <v/>
      </c>
      <c r="I244" s="20">
        <f>IF(B244="","",COUNTIFS('سجل التحفيز'!$B$5:$B$2004,B244,'سجل التحفيز'!$R$5:$R$2004,الإعدادات!$B$4,'سجل التحفيز'!$Q$5:$Q$2004,"الفصل الأول",'سجل التحفيز'!$D$5:$D$2004,"ذهبي"))</f>
        <v/>
      </c>
      <c r="J244" s="20">
        <f>IF(B244="","",COUNTIFS('سجل التحفيز'!$B$5:$B$2004,B244,'سجل التحفيز'!$R$5:$R$2004,الإعدادات!$B$4,'سجل التحفيز'!$Q$5:$Q$2004,"الفصل الثاني",'سجل التحفيز'!$D$5:$D$2004,"ذهبي"))</f>
        <v/>
      </c>
      <c r="K244" s="20">
        <f>IF(B244="","",COUNTIFS('سجل التحفيز'!$B$5:$B$2004,B244,'سجل التحفيز'!$R$5:$R$2004,الإعدادات!$B$4,'سجل التحفيز'!$D$5:$D$2004,"ذهبي"))</f>
        <v/>
      </c>
      <c r="L244" s="20">
        <f>IF(B244="","",IF(G244="محرومة","محرومة - مخالفة",IF(K244&gt;=5,"مستحقة ★","متبقي "&amp;(5-K244)&amp;" معايير")))</f>
        <v/>
      </c>
      <c r="N244">
        <f>IF(B244="","",IF(COUNTIFS('سجل التحفيز'!$T$5:$T$2004,"&gt;0",'سجل التحفيز'!$B$5:$B$2004,B244)&gt;0,COUNT(N$4:N243)+1,""))</f>
        <v/>
      </c>
      <c r="O244">
        <f>IF(B244="","",IF(COUNTIFS('سجل التحفيز'!$U$5:$U$2004,"&gt;0",'سجل التحفيز'!$B$5:$B$2004,B244)&gt;0,COUNT(O$4:O243)+1,""))</f>
        <v/>
      </c>
      <c r="P244">
        <f>IF(B244="","",IF(COUNTIFS('سجل التحفيز'!$V$5:$V$2004,"&gt;0",'سجل التحفيز'!$B$5:$B$2004,B244)&gt;0,COUNT(P$4:P243)+1,""))</f>
        <v/>
      </c>
      <c r="Q244">
        <f>IF(B244="","",IF(COUNTIFS('سجل التحفيز'!$W$5:$W$2004,"&gt;0",'سجل التحفيز'!$B$5:$B$2004,B244)&gt;0,COUNT(Q$4:Q243)+1,""))</f>
        <v/>
      </c>
      <c r="R244">
        <f>IF(B244="","",IF(COUNTIFS('سجل التحفيز'!$X$5:$X$2004,"&gt;0",'سجل التحفيز'!$B$5:$B$2004,B244)&gt;0,COUNT(R$4:R243)+1,""))</f>
        <v/>
      </c>
      <c r="S244">
        <f>IF(B244="","",IF(COUNTIFS('سجل التحفيز'!$Y$5:$Y$2004,"&gt;0",'سجل التحفيز'!$B$5:$B$2004,B244)&gt;0,COUNT(S$4:S243)+1,""))</f>
        <v/>
      </c>
      <c r="T244">
        <f>IF(B244="","",IF(COUNTIFS('سجل التحفيز'!$Z$5:$Z$2004,"&gt;0",'سجل التحفيز'!$B$5:$B$2004,B244)&gt;0,COUNT(T$4:T243)+1,""))</f>
        <v/>
      </c>
      <c r="U244">
        <f>IF(B244="","",IF(COUNTIFS('سجل التحفيز'!$AA$5:$AA$2004,"&gt;0",'سجل التحفيز'!$B$5:$B$2004,B244)&gt;0,COUNT(U$4:U243)+1,""))</f>
        <v/>
      </c>
      <c r="V244">
        <f>IF(B244="","",IF(COUNTIFS('سجل التحفيز'!$AB$5:$AB$2004,"&gt;0",'سجل التحفيز'!$B$5:$B$2004,B244)&gt;0,COUNT(V$4:V243)+1,""))</f>
        <v/>
      </c>
      <c r="W244">
        <f>IF(B244="","",IF(COUNTIFS('سجل التحفيز'!$AC$5:$AC$2004,"&gt;0",'سجل التحفيز'!$B$5:$B$2004,B244)&gt;0,COUNT(W$4:W243)+1,""))</f>
        <v/>
      </c>
      <c r="X244">
        <f>IF(B244="","",IF(COUNTIFS('سجل التحفيز'!$AD$5:$AD$2004,"&gt;0",'سجل التحفيز'!$B$5:$B$2004,B244)&gt;0,COUNT(X$4:X243)+1,""))</f>
        <v/>
      </c>
      <c r="Y244">
        <f>IF(B244="","",IF(COUNTIFS('سجل التحفيز'!$AE$5:$AE$2004,"&gt;0",'سجل التحفيز'!$B$5:$B$2004,B244)&gt;0,COUNT(Y$4:Y243)+1,""))</f>
        <v/>
      </c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20">
        <f>IF(B245="","",COUNTIFS('سجل التحفيز'!$B$5:$B$2004,B245,'سجل التحفيز'!$R$5:$R$2004,الإعدادات!$B$4))</f>
        <v/>
      </c>
      <c r="I245" s="20">
        <f>IF(B245="","",COUNTIFS('سجل التحفيز'!$B$5:$B$2004,B245,'سجل التحفيز'!$R$5:$R$2004,الإعدادات!$B$4,'سجل التحفيز'!$Q$5:$Q$2004,"الفصل الأول",'سجل التحفيز'!$D$5:$D$2004,"ذهبي"))</f>
        <v/>
      </c>
      <c r="J245" s="20">
        <f>IF(B245="","",COUNTIFS('سجل التحفيز'!$B$5:$B$2004,B245,'سجل التحفيز'!$R$5:$R$2004,الإعدادات!$B$4,'سجل التحفيز'!$Q$5:$Q$2004,"الفصل الثاني",'سجل التحفيز'!$D$5:$D$2004,"ذهبي"))</f>
        <v/>
      </c>
      <c r="K245" s="20">
        <f>IF(B245="","",COUNTIFS('سجل التحفيز'!$B$5:$B$2004,B245,'سجل التحفيز'!$R$5:$R$2004,الإعدادات!$B$4,'سجل التحفيز'!$D$5:$D$2004,"ذهبي"))</f>
        <v/>
      </c>
      <c r="L245" s="20">
        <f>IF(B245="","",IF(G245="محرومة","محرومة - مخالفة",IF(K245&gt;=5,"مستحقة ★","متبقي "&amp;(5-K245)&amp;" معايير")))</f>
        <v/>
      </c>
      <c r="N245">
        <f>IF(B245="","",IF(COUNTIFS('سجل التحفيز'!$T$5:$T$2004,"&gt;0",'سجل التحفيز'!$B$5:$B$2004,B245)&gt;0,COUNT(N$4:N244)+1,""))</f>
        <v/>
      </c>
      <c r="O245">
        <f>IF(B245="","",IF(COUNTIFS('سجل التحفيز'!$U$5:$U$2004,"&gt;0",'سجل التحفيز'!$B$5:$B$2004,B245)&gt;0,COUNT(O$4:O244)+1,""))</f>
        <v/>
      </c>
      <c r="P245">
        <f>IF(B245="","",IF(COUNTIFS('سجل التحفيز'!$V$5:$V$2004,"&gt;0",'سجل التحفيز'!$B$5:$B$2004,B245)&gt;0,COUNT(P$4:P244)+1,""))</f>
        <v/>
      </c>
      <c r="Q245">
        <f>IF(B245="","",IF(COUNTIFS('سجل التحفيز'!$W$5:$W$2004,"&gt;0",'سجل التحفيز'!$B$5:$B$2004,B245)&gt;0,COUNT(Q$4:Q244)+1,""))</f>
        <v/>
      </c>
      <c r="R245">
        <f>IF(B245="","",IF(COUNTIFS('سجل التحفيز'!$X$5:$X$2004,"&gt;0",'سجل التحفيز'!$B$5:$B$2004,B245)&gt;0,COUNT(R$4:R244)+1,""))</f>
        <v/>
      </c>
      <c r="S245">
        <f>IF(B245="","",IF(COUNTIFS('سجل التحفيز'!$Y$5:$Y$2004,"&gt;0",'سجل التحفيز'!$B$5:$B$2004,B245)&gt;0,COUNT(S$4:S244)+1,""))</f>
        <v/>
      </c>
      <c r="T245">
        <f>IF(B245="","",IF(COUNTIFS('سجل التحفيز'!$Z$5:$Z$2004,"&gt;0",'سجل التحفيز'!$B$5:$B$2004,B245)&gt;0,COUNT(T$4:T244)+1,""))</f>
        <v/>
      </c>
      <c r="U245">
        <f>IF(B245="","",IF(COUNTIFS('سجل التحفيز'!$AA$5:$AA$2004,"&gt;0",'سجل التحفيز'!$B$5:$B$2004,B245)&gt;0,COUNT(U$4:U244)+1,""))</f>
        <v/>
      </c>
      <c r="V245">
        <f>IF(B245="","",IF(COUNTIFS('سجل التحفيز'!$AB$5:$AB$2004,"&gt;0",'سجل التحفيز'!$B$5:$B$2004,B245)&gt;0,COUNT(V$4:V244)+1,""))</f>
        <v/>
      </c>
      <c r="W245">
        <f>IF(B245="","",IF(COUNTIFS('سجل التحفيز'!$AC$5:$AC$2004,"&gt;0",'سجل التحفيز'!$B$5:$B$2004,B245)&gt;0,COUNT(W$4:W244)+1,""))</f>
        <v/>
      </c>
      <c r="X245">
        <f>IF(B245="","",IF(COUNTIFS('سجل التحفيز'!$AD$5:$AD$2004,"&gt;0",'سجل التحفيز'!$B$5:$B$2004,B245)&gt;0,COUNT(X$4:X244)+1,""))</f>
        <v/>
      </c>
      <c r="Y245">
        <f>IF(B245="","",IF(COUNTIFS('سجل التحفيز'!$AE$5:$AE$2004,"&gt;0",'سجل التحفيز'!$B$5:$B$2004,B245)&gt;0,COUNT(Y$4:Y244)+1,""))</f>
        <v/>
      </c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20">
        <f>IF(B246="","",COUNTIFS('سجل التحفيز'!$B$5:$B$2004,B246,'سجل التحفيز'!$R$5:$R$2004,الإعدادات!$B$4))</f>
        <v/>
      </c>
      <c r="I246" s="20">
        <f>IF(B246="","",COUNTIFS('سجل التحفيز'!$B$5:$B$2004,B246,'سجل التحفيز'!$R$5:$R$2004,الإعدادات!$B$4,'سجل التحفيز'!$Q$5:$Q$2004,"الفصل الأول",'سجل التحفيز'!$D$5:$D$2004,"ذهبي"))</f>
        <v/>
      </c>
      <c r="J246" s="20">
        <f>IF(B246="","",COUNTIFS('سجل التحفيز'!$B$5:$B$2004,B246,'سجل التحفيز'!$R$5:$R$2004,الإعدادات!$B$4,'سجل التحفيز'!$Q$5:$Q$2004,"الفصل الثاني",'سجل التحفيز'!$D$5:$D$2004,"ذهبي"))</f>
        <v/>
      </c>
      <c r="K246" s="20">
        <f>IF(B246="","",COUNTIFS('سجل التحفيز'!$B$5:$B$2004,B246,'سجل التحفيز'!$R$5:$R$2004,الإعدادات!$B$4,'سجل التحفيز'!$D$5:$D$2004,"ذهبي"))</f>
        <v/>
      </c>
      <c r="L246" s="20">
        <f>IF(B246="","",IF(G246="محرومة","محرومة - مخالفة",IF(K246&gt;=5,"مستحقة ★","متبقي "&amp;(5-K246)&amp;" معايير")))</f>
        <v/>
      </c>
      <c r="N246">
        <f>IF(B246="","",IF(COUNTIFS('سجل التحفيز'!$T$5:$T$2004,"&gt;0",'سجل التحفيز'!$B$5:$B$2004,B246)&gt;0,COUNT(N$4:N245)+1,""))</f>
        <v/>
      </c>
      <c r="O246">
        <f>IF(B246="","",IF(COUNTIFS('سجل التحفيز'!$U$5:$U$2004,"&gt;0",'سجل التحفيز'!$B$5:$B$2004,B246)&gt;0,COUNT(O$4:O245)+1,""))</f>
        <v/>
      </c>
      <c r="P246">
        <f>IF(B246="","",IF(COUNTIFS('سجل التحفيز'!$V$5:$V$2004,"&gt;0",'سجل التحفيز'!$B$5:$B$2004,B246)&gt;0,COUNT(P$4:P245)+1,""))</f>
        <v/>
      </c>
      <c r="Q246">
        <f>IF(B246="","",IF(COUNTIFS('سجل التحفيز'!$W$5:$W$2004,"&gt;0",'سجل التحفيز'!$B$5:$B$2004,B246)&gt;0,COUNT(Q$4:Q245)+1,""))</f>
        <v/>
      </c>
      <c r="R246">
        <f>IF(B246="","",IF(COUNTIFS('سجل التحفيز'!$X$5:$X$2004,"&gt;0",'سجل التحفيز'!$B$5:$B$2004,B246)&gt;0,COUNT(R$4:R245)+1,""))</f>
        <v/>
      </c>
      <c r="S246">
        <f>IF(B246="","",IF(COUNTIFS('سجل التحفيز'!$Y$5:$Y$2004,"&gt;0",'سجل التحفيز'!$B$5:$B$2004,B246)&gt;0,COUNT(S$4:S245)+1,""))</f>
        <v/>
      </c>
      <c r="T246">
        <f>IF(B246="","",IF(COUNTIFS('سجل التحفيز'!$Z$5:$Z$2004,"&gt;0",'سجل التحفيز'!$B$5:$B$2004,B246)&gt;0,COUNT(T$4:T245)+1,""))</f>
        <v/>
      </c>
      <c r="U246">
        <f>IF(B246="","",IF(COUNTIFS('سجل التحفيز'!$AA$5:$AA$2004,"&gt;0",'سجل التحفيز'!$B$5:$B$2004,B246)&gt;0,COUNT(U$4:U245)+1,""))</f>
        <v/>
      </c>
      <c r="V246">
        <f>IF(B246="","",IF(COUNTIFS('سجل التحفيز'!$AB$5:$AB$2004,"&gt;0",'سجل التحفيز'!$B$5:$B$2004,B246)&gt;0,COUNT(V$4:V245)+1,""))</f>
        <v/>
      </c>
      <c r="W246">
        <f>IF(B246="","",IF(COUNTIFS('سجل التحفيز'!$AC$5:$AC$2004,"&gt;0",'سجل التحفيز'!$B$5:$B$2004,B246)&gt;0,COUNT(W$4:W245)+1,""))</f>
        <v/>
      </c>
      <c r="X246">
        <f>IF(B246="","",IF(COUNTIFS('سجل التحفيز'!$AD$5:$AD$2004,"&gt;0",'سجل التحفيز'!$B$5:$B$2004,B246)&gt;0,COUNT(X$4:X245)+1,""))</f>
        <v/>
      </c>
      <c r="Y246">
        <f>IF(B246="","",IF(COUNTIFS('سجل التحفيز'!$AE$5:$AE$2004,"&gt;0",'سجل التحفيز'!$B$5:$B$2004,B246)&gt;0,COUNT(Y$4:Y245)+1,""))</f>
        <v/>
      </c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20">
        <f>IF(B247="","",COUNTIFS('سجل التحفيز'!$B$5:$B$2004,B247,'سجل التحفيز'!$R$5:$R$2004,الإعدادات!$B$4))</f>
        <v/>
      </c>
      <c r="I247" s="20">
        <f>IF(B247="","",COUNTIFS('سجل التحفيز'!$B$5:$B$2004,B247,'سجل التحفيز'!$R$5:$R$2004,الإعدادات!$B$4,'سجل التحفيز'!$Q$5:$Q$2004,"الفصل الأول",'سجل التحفيز'!$D$5:$D$2004,"ذهبي"))</f>
        <v/>
      </c>
      <c r="J247" s="20">
        <f>IF(B247="","",COUNTIFS('سجل التحفيز'!$B$5:$B$2004,B247,'سجل التحفيز'!$R$5:$R$2004,الإعدادات!$B$4,'سجل التحفيز'!$Q$5:$Q$2004,"الفصل الثاني",'سجل التحفيز'!$D$5:$D$2004,"ذهبي"))</f>
        <v/>
      </c>
      <c r="K247" s="20">
        <f>IF(B247="","",COUNTIFS('سجل التحفيز'!$B$5:$B$2004,B247,'سجل التحفيز'!$R$5:$R$2004,الإعدادات!$B$4,'سجل التحفيز'!$D$5:$D$2004,"ذهبي"))</f>
        <v/>
      </c>
      <c r="L247" s="20">
        <f>IF(B247="","",IF(G247="محرومة","محرومة - مخالفة",IF(K247&gt;=5,"مستحقة ★","متبقي "&amp;(5-K247)&amp;" معايير")))</f>
        <v/>
      </c>
      <c r="N247">
        <f>IF(B247="","",IF(COUNTIFS('سجل التحفيز'!$T$5:$T$2004,"&gt;0",'سجل التحفيز'!$B$5:$B$2004,B247)&gt;0,COUNT(N$4:N246)+1,""))</f>
        <v/>
      </c>
      <c r="O247">
        <f>IF(B247="","",IF(COUNTIFS('سجل التحفيز'!$U$5:$U$2004,"&gt;0",'سجل التحفيز'!$B$5:$B$2004,B247)&gt;0,COUNT(O$4:O246)+1,""))</f>
        <v/>
      </c>
      <c r="P247">
        <f>IF(B247="","",IF(COUNTIFS('سجل التحفيز'!$V$5:$V$2004,"&gt;0",'سجل التحفيز'!$B$5:$B$2004,B247)&gt;0,COUNT(P$4:P246)+1,""))</f>
        <v/>
      </c>
      <c r="Q247">
        <f>IF(B247="","",IF(COUNTIFS('سجل التحفيز'!$W$5:$W$2004,"&gt;0",'سجل التحفيز'!$B$5:$B$2004,B247)&gt;0,COUNT(Q$4:Q246)+1,""))</f>
        <v/>
      </c>
      <c r="R247">
        <f>IF(B247="","",IF(COUNTIFS('سجل التحفيز'!$X$5:$X$2004,"&gt;0",'سجل التحفيز'!$B$5:$B$2004,B247)&gt;0,COUNT(R$4:R246)+1,""))</f>
        <v/>
      </c>
      <c r="S247">
        <f>IF(B247="","",IF(COUNTIFS('سجل التحفيز'!$Y$5:$Y$2004,"&gt;0",'سجل التحفيز'!$B$5:$B$2004,B247)&gt;0,COUNT(S$4:S246)+1,""))</f>
        <v/>
      </c>
      <c r="T247">
        <f>IF(B247="","",IF(COUNTIFS('سجل التحفيز'!$Z$5:$Z$2004,"&gt;0",'سجل التحفيز'!$B$5:$B$2004,B247)&gt;0,COUNT(T$4:T246)+1,""))</f>
        <v/>
      </c>
      <c r="U247">
        <f>IF(B247="","",IF(COUNTIFS('سجل التحفيز'!$AA$5:$AA$2004,"&gt;0",'سجل التحفيز'!$B$5:$B$2004,B247)&gt;0,COUNT(U$4:U246)+1,""))</f>
        <v/>
      </c>
      <c r="V247">
        <f>IF(B247="","",IF(COUNTIFS('سجل التحفيز'!$AB$5:$AB$2004,"&gt;0",'سجل التحفيز'!$B$5:$B$2004,B247)&gt;0,COUNT(V$4:V246)+1,""))</f>
        <v/>
      </c>
      <c r="W247">
        <f>IF(B247="","",IF(COUNTIFS('سجل التحفيز'!$AC$5:$AC$2004,"&gt;0",'سجل التحفيز'!$B$5:$B$2004,B247)&gt;0,COUNT(W$4:W246)+1,""))</f>
        <v/>
      </c>
      <c r="X247">
        <f>IF(B247="","",IF(COUNTIFS('سجل التحفيز'!$AD$5:$AD$2004,"&gt;0",'سجل التحفيز'!$B$5:$B$2004,B247)&gt;0,COUNT(X$4:X246)+1,""))</f>
        <v/>
      </c>
      <c r="Y247">
        <f>IF(B247="","",IF(COUNTIFS('سجل التحفيز'!$AE$5:$AE$2004,"&gt;0",'سجل التحفيز'!$B$5:$B$2004,B247)&gt;0,COUNT(Y$4:Y246)+1,""))</f>
        <v/>
      </c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20">
        <f>IF(B248="","",COUNTIFS('سجل التحفيز'!$B$5:$B$2004,B248,'سجل التحفيز'!$R$5:$R$2004,الإعدادات!$B$4))</f>
        <v/>
      </c>
      <c r="I248" s="20">
        <f>IF(B248="","",COUNTIFS('سجل التحفيز'!$B$5:$B$2004,B248,'سجل التحفيز'!$R$5:$R$2004,الإعدادات!$B$4,'سجل التحفيز'!$Q$5:$Q$2004,"الفصل الأول",'سجل التحفيز'!$D$5:$D$2004,"ذهبي"))</f>
        <v/>
      </c>
      <c r="J248" s="20">
        <f>IF(B248="","",COUNTIFS('سجل التحفيز'!$B$5:$B$2004,B248,'سجل التحفيز'!$R$5:$R$2004,الإعدادات!$B$4,'سجل التحفيز'!$Q$5:$Q$2004,"الفصل الثاني",'سجل التحفيز'!$D$5:$D$2004,"ذهبي"))</f>
        <v/>
      </c>
      <c r="K248" s="20">
        <f>IF(B248="","",COUNTIFS('سجل التحفيز'!$B$5:$B$2004,B248,'سجل التحفيز'!$R$5:$R$2004,الإعدادات!$B$4,'سجل التحفيز'!$D$5:$D$2004,"ذهبي"))</f>
        <v/>
      </c>
      <c r="L248" s="20">
        <f>IF(B248="","",IF(G248="محرومة","محرومة - مخالفة",IF(K248&gt;=5,"مستحقة ★","متبقي "&amp;(5-K248)&amp;" معايير")))</f>
        <v/>
      </c>
      <c r="N248">
        <f>IF(B248="","",IF(COUNTIFS('سجل التحفيز'!$T$5:$T$2004,"&gt;0",'سجل التحفيز'!$B$5:$B$2004,B248)&gt;0,COUNT(N$4:N247)+1,""))</f>
        <v/>
      </c>
      <c r="O248">
        <f>IF(B248="","",IF(COUNTIFS('سجل التحفيز'!$U$5:$U$2004,"&gt;0",'سجل التحفيز'!$B$5:$B$2004,B248)&gt;0,COUNT(O$4:O247)+1,""))</f>
        <v/>
      </c>
      <c r="P248">
        <f>IF(B248="","",IF(COUNTIFS('سجل التحفيز'!$V$5:$V$2004,"&gt;0",'سجل التحفيز'!$B$5:$B$2004,B248)&gt;0,COUNT(P$4:P247)+1,""))</f>
        <v/>
      </c>
      <c r="Q248">
        <f>IF(B248="","",IF(COUNTIFS('سجل التحفيز'!$W$5:$W$2004,"&gt;0",'سجل التحفيز'!$B$5:$B$2004,B248)&gt;0,COUNT(Q$4:Q247)+1,""))</f>
        <v/>
      </c>
      <c r="R248">
        <f>IF(B248="","",IF(COUNTIFS('سجل التحفيز'!$X$5:$X$2004,"&gt;0",'سجل التحفيز'!$B$5:$B$2004,B248)&gt;0,COUNT(R$4:R247)+1,""))</f>
        <v/>
      </c>
      <c r="S248">
        <f>IF(B248="","",IF(COUNTIFS('سجل التحفيز'!$Y$5:$Y$2004,"&gt;0",'سجل التحفيز'!$B$5:$B$2004,B248)&gt;0,COUNT(S$4:S247)+1,""))</f>
        <v/>
      </c>
      <c r="T248">
        <f>IF(B248="","",IF(COUNTIFS('سجل التحفيز'!$Z$5:$Z$2004,"&gt;0",'سجل التحفيز'!$B$5:$B$2004,B248)&gt;0,COUNT(T$4:T247)+1,""))</f>
        <v/>
      </c>
      <c r="U248">
        <f>IF(B248="","",IF(COUNTIFS('سجل التحفيز'!$AA$5:$AA$2004,"&gt;0",'سجل التحفيز'!$B$5:$B$2004,B248)&gt;0,COUNT(U$4:U247)+1,""))</f>
        <v/>
      </c>
      <c r="V248">
        <f>IF(B248="","",IF(COUNTIFS('سجل التحفيز'!$AB$5:$AB$2004,"&gt;0",'سجل التحفيز'!$B$5:$B$2004,B248)&gt;0,COUNT(V$4:V247)+1,""))</f>
        <v/>
      </c>
      <c r="W248">
        <f>IF(B248="","",IF(COUNTIFS('سجل التحفيز'!$AC$5:$AC$2004,"&gt;0",'سجل التحفيز'!$B$5:$B$2004,B248)&gt;0,COUNT(W$4:W247)+1,""))</f>
        <v/>
      </c>
      <c r="X248">
        <f>IF(B248="","",IF(COUNTIFS('سجل التحفيز'!$AD$5:$AD$2004,"&gt;0",'سجل التحفيز'!$B$5:$B$2004,B248)&gt;0,COUNT(X$4:X247)+1,""))</f>
        <v/>
      </c>
      <c r="Y248">
        <f>IF(B248="","",IF(COUNTIFS('سجل التحفيز'!$AE$5:$AE$2004,"&gt;0",'سجل التحفيز'!$B$5:$B$2004,B248)&gt;0,COUNT(Y$4:Y247)+1,""))</f>
        <v/>
      </c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20">
        <f>IF(B249="","",COUNTIFS('سجل التحفيز'!$B$5:$B$2004,B249,'سجل التحفيز'!$R$5:$R$2004,الإعدادات!$B$4))</f>
        <v/>
      </c>
      <c r="I249" s="20">
        <f>IF(B249="","",COUNTIFS('سجل التحفيز'!$B$5:$B$2004,B249,'سجل التحفيز'!$R$5:$R$2004,الإعدادات!$B$4,'سجل التحفيز'!$Q$5:$Q$2004,"الفصل الأول",'سجل التحفيز'!$D$5:$D$2004,"ذهبي"))</f>
        <v/>
      </c>
      <c r="J249" s="20">
        <f>IF(B249="","",COUNTIFS('سجل التحفيز'!$B$5:$B$2004,B249,'سجل التحفيز'!$R$5:$R$2004,الإعدادات!$B$4,'سجل التحفيز'!$Q$5:$Q$2004,"الفصل الثاني",'سجل التحفيز'!$D$5:$D$2004,"ذهبي"))</f>
        <v/>
      </c>
      <c r="K249" s="20">
        <f>IF(B249="","",COUNTIFS('سجل التحفيز'!$B$5:$B$2004,B249,'سجل التحفيز'!$R$5:$R$2004,الإعدادات!$B$4,'سجل التحفيز'!$D$5:$D$2004,"ذهبي"))</f>
        <v/>
      </c>
      <c r="L249" s="20">
        <f>IF(B249="","",IF(G249="محرومة","محرومة - مخالفة",IF(K249&gt;=5,"مستحقة ★","متبقي "&amp;(5-K249)&amp;" معايير")))</f>
        <v/>
      </c>
      <c r="N249">
        <f>IF(B249="","",IF(COUNTIFS('سجل التحفيز'!$T$5:$T$2004,"&gt;0",'سجل التحفيز'!$B$5:$B$2004,B249)&gt;0,COUNT(N$4:N248)+1,""))</f>
        <v/>
      </c>
      <c r="O249">
        <f>IF(B249="","",IF(COUNTIFS('سجل التحفيز'!$U$5:$U$2004,"&gt;0",'سجل التحفيز'!$B$5:$B$2004,B249)&gt;0,COUNT(O$4:O248)+1,""))</f>
        <v/>
      </c>
      <c r="P249">
        <f>IF(B249="","",IF(COUNTIFS('سجل التحفيز'!$V$5:$V$2004,"&gt;0",'سجل التحفيز'!$B$5:$B$2004,B249)&gt;0,COUNT(P$4:P248)+1,""))</f>
        <v/>
      </c>
      <c r="Q249">
        <f>IF(B249="","",IF(COUNTIFS('سجل التحفيز'!$W$5:$W$2004,"&gt;0",'سجل التحفيز'!$B$5:$B$2004,B249)&gt;0,COUNT(Q$4:Q248)+1,""))</f>
        <v/>
      </c>
      <c r="R249">
        <f>IF(B249="","",IF(COUNTIFS('سجل التحفيز'!$X$5:$X$2004,"&gt;0",'سجل التحفيز'!$B$5:$B$2004,B249)&gt;0,COUNT(R$4:R248)+1,""))</f>
        <v/>
      </c>
      <c r="S249">
        <f>IF(B249="","",IF(COUNTIFS('سجل التحفيز'!$Y$5:$Y$2004,"&gt;0",'سجل التحفيز'!$B$5:$B$2004,B249)&gt;0,COUNT(S$4:S248)+1,""))</f>
        <v/>
      </c>
      <c r="T249">
        <f>IF(B249="","",IF(COUNTIFS('سجل التحفيز'!$Z$5:$Z$2004,"&gt;0",'سجل التحفيز'!$B$5:$B$2004,B249)&gt;0,COUNT(T$4:T248)+1,""))</f>
        <v/>
      </c>
      <c r="U249">
        <f>IF(B249="","",IF(COUNTIFS('سجل التحفيز'!$AA$5:$AA$2004,"&gt;0",'سجل التحفيز'!$B$5:$B$2004,B249)&gt;0,COUNT(U$4:U248)+1,""))</f>
        <v/>
      </c>
      <c r="V249">
        <f>IF(B249="","",IF(COUNTIFS('سجل التحفيز'!$AB$5:$AB$2004,"&gt;0",'سجل التحفيز'!$B$5:$B$2004,B249)&gt;0,COUNT(V$4:V248)+1,""))</f>
        <v/>
      </c>
      <c r="W249">
        <f>IF(B249="","",IF(COUNTIFS('سجل التحفيز'!$AC$5:$AC$2004,"&gt;0",'سجل التحفيز'!$B$5:$B$2004,B249)&gt;0,COUNT(W$4:W248)+1,""))</f>
        <v/>
      </c>
      <c r="X249">
        <f>IF(B249="","",IF(COUNTIFS('سجل التحفيز'!$AD$5:$AD$2004,"&gt;0",'سجل التحفيز'!$B$5:$B$2004,B249)&gt;0,COUNT(X$4:X248)+1,""))</f>
        <v/>
      </c>
      <c r="Y249">
        <f>IF(B249="","",IF(COUNTIFS('سجل التحفيز'!$AE$5:$AE$2004,"&gt;0",'سجل التحفيز'!$B$5:$B$2004,B249)&gt;0,COUNT(Y$4:Y248)+1,""))</f>
        <v/>
      </c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20">
        <f>IF(B250="","",COUNTIFS('سجل التحفيز'!$B$5:$B$2004,B250,'سجل التحفيز'!$R$5:$R$2004,الإعدادات!$B$4))</f>
        <v/>
      </c>
      <c r="I250" s="20">
        <f>IF(B250="","",COUNTIFS('سجل التحفيز'!$B$5:$B$2004,B250,'سجل التحفيز'!$R$5:$R$2004,الإعدادات!$B$4,'سجل التحفيز'!$Q$5:$Q$2004,"الفصل الأول",'سجل التحفيز'!$D$5:$D$2004,"ذهبي"))</f>
        <v/>
      </c>
      <c r="J250" s="20">
        <f>IF(B250="","",COUNTIFS('سجل التحفيز'!$B$5:$B$2004,B250,'سجل التحفيز'!$R$5:$R$2004,الإعدادات!$B$4,'سجل التحفيز'!$Q$5:$Q$2004,"الفصل الثاني",'سجل التحفيز'!$D$5:$D$2004,"ذهبي"))</f>
        <v/>
      </c>
      <c r="K250" s="20">
        <f>IF(B250="","",COUNTIFS('سجل التحفيز'!$B$5:$B$2004,B250,'سجل التحفيز'!$R$5:$R$2004,الإعدادات!$B$4,'سجل التحفيز'!$D$5:$D$2004,"ذهبي"))</f>
        <v/>
      </c>
      <c r="L250" s="20">
        <f>IF(B250="","",IF(G250="محرومة","محرومة - مخالفة",IF(K250&gt;=5,"مستحقة ★","متبقي "&amp;(5-K250)&amp;" معايير")))</f>
        <v/>
      </c>
      <c r="N250">
        <f>IF(B250="","",IF(COUNTIFS('سجل التحفيز'!$T$5:$T$2004,"&gt;0",'سجل التحفيز'!$B$5:$B$2004,B250)&gt;0,COUNT(N$4:N249)+1,""))</f>
        <v/>
      </c>
      <c r="O250">
        <f>IF(B250="","",IF(COUNTIFS('سجل التحفيز'!$U$5:$U$2004,"&gt;0",'سجل التحفيز'!$B$5:$B$2004,B250)&gt;0,COUNT(O$4:O249)+1,""))</f>
        <v/>
      </c>
      <c r="P250">
        <f>IF(B250="","",IF(COUNTIFS('سجل التحفيز'!$V$5:$V$2004,"&gt;0",'سجل التحفيز'!$B$5:$B$2004,B250)&gt;0,COUNT(P$4:P249)+1,""))</f>
        <v/>
      </c>
      <c r="Q250">
        <f>IF(B250="","",IF(COUNTIFS('سجل التحفيز'!$W$5:$W$2004,"&gt;0",'سجل التحفيز'!$B$5:$B$2004,B250)&gt;0,COUNT(Q$4:Q249)+1,""))</f>
        <v/>
      </c>
      <c r="R250">
        <f>IF(B250="","",IF(COUNTIFS('سجل التحفيز'!$X$5:$X$2004,"&gt;0",'سجل التحفيز'!$B$5:$B$2004,B250)&gt;0,COUNT(R$4:R249)+1,""))</f>
        <v/>
      </c>
      <c r="S250">
        <f>IF(B250="","",IF(COUNTIFS('سجل التحفيز'!$Y$5:$Y$2004,"&gt;0",'سجل التحفيز'!$B$5:$B$2004,B250)&gt;0,COUNT(S$4:S249)+1,""))</f>
        <v/>
      </c>
      <c r="T250">
        <f>IF(B250="","",IF(COUNTIFS('سجل التحفيز'!$Z$5:$Z$2004,"&gt;0",'سجل التحفيز'!$B$5:$B$2004,B250)&gt;0,COUNT(T$4:T249)+1,""))</f>
        <v/>
      </c>
      <c r="U250">
        <f>IF(B250="","",IF(COUNTIFS('سجل التحفيز'!$AA$5:$AA$2004,"&gt;0",'سجل التحفيز'!$B$5:$B$2004,B250)&gt;0,COUNT(U$4:U249)+1,""))</f>
        <v/>
      </c>
      <c r="V250">
        <f>IF(B250="","",IF(COUNTIFS('سجل التحفيز'!$AB$5:$AB$2004,"&gt;0",'سجل التحفيز'!$B$5:$B$2004,B250)&gt;0,COUNT(V$4:V249)+1,""))</f>
        <v/>
      </c>
      <c r="W250">
        <f>IF(B250="","",IF(COUNTIFS('سجل التحفيز'!$AC$5:$AC$2004,"&gt;0",'سجل التحفيز'!$B$5:$B$2004,B250)&gt;0,COUNT(W$4:W249)+1,""))</f>
        <v/>
      </c>
      <c r="X250">
        <f>IF(B250="","",IF(COUNTIFS('سجل التحفيز'!$AD$5:$AD$2004,"&gt;0",'سجل التحفيز'!$B$5:$B$2004,B250)&gt;0,COUNT(X$4:X249)+1,""))</f>
        <v/>
      </c>
      <c r="Y250">
        <f>IF(B250="","",IF(COUNTIFS('سجل التحفيز'!$AE$5:$AE$2004,"&gt;0",'سجل التحفيز'!$B$5:$B$2004,B250)&gt;0,COUNT(Y$4:Y249)+1,""))</f>
        <v/>
      </c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20">
        <f>IF(B251="","",COUNTIFS('سجل التحفيز'!$B$5:$B$2004,B251,'سجل التحفيز'!$R$5:$R$2004,الإعدادات!$B$4))</f>
        <v/>
      </c>
      <c r="I251" s="20">
        <f>IF(B251="","",COUNTIFS('سجل التحفيز'!$B$5:$B$2004,B251,'سجل التحفيز'!$R$5:$R$2004,الإعدادات!$B$4,'سجل التحفيز'!$Q$5:$Q$2004,"الفصل الأول",'سجل التحفيز'!$D$5:$D$2004,"ذهبي"))</f>
        <v/>
      </c>
      <c r="J251" s="20">
        <f>IF(B251="","",COUNTIFS('سجل التحفيز'!$B$5:$B$2004,B251,'سجل التحفيز'!$R$5:$R$2004,الإعدادات!$B$4,'سجل التحفيز'!$Q$5:$Q$2004,"الفصل الثاني",'سجل التحفيز'!$D$5:$D$2004,"ذهبي"))</f>
        <v/>
      </c>
      <c r="K251" s="20">
        <f>IF(B251="","",COUNTIFS('سجل التحفيز'!$B$5:$B$2004,B251,'سجل التحفيز'!$R$5:$R$2004,الإعدادات!$B$4,'سجل التحفيز'!$D$5:$D$2004,"ذهبي"))</f>
        <v/>
      </c>
      <c r="L251" s="20">
        <f>IF(B251="","",IF(G251="محرومة","محرومة - مخالفة",IF(K251&gt;=5,"مستحقة ★","متبقي "&amp;(5-K251)&amp;" معايير")))</f>
        <v/>
      </c>
      <c r="N251">
        <f>IF(B251="","",IF(COUNTIFS('سجل التحفيز'!$T$5:$T$2004,"&gt;0",'سجل التحفيز'!$B$5:$B$2004,B251)&gt;0,COUNT(N$4:N250)+1,""))</f>
        <v/>
      </c>
      <c r="O251">
        <f>IF(B251="","",IF(COUNTIFS('سجل التحفيز'!$U$5:$U$2004,"&gt;0",'سجل التحفيز'!$B$5:$B$2004,B251)&gt;0,COUNT(O$4:O250)+1,""))</f>
        <v/>
      </c>
      <c r="P251">
        <f>IF(B251="","",IF(COUNTIFS('سجل التحفيز'!$V$5:$V$2004,"&gt;0",'سجل التحفيز'!$B$5:$B$2004,B251)&gt;0,COUNT(P$4:P250)+1,""))</f>
        <v/>
      </c>
      <c r="Q251">
        <f>IF(B251="","",IF(COUNTIFS('سجل التحفيز'!$W$5:$W$2004,"&gt;0",'سجل التحفيز'!$B$5:$B$2004,B251)&gt;0,COUNT(Q$4:Q250)+1,""))</f>
        <v/>
      </c>
      <c r="R251">
        <f>IF(B251="","",IF(COUNTIFS('سجل التحفيز'!$X$5:$X$2004,"&gt;0",'سجل التحفيز'!$B$5:$B$2004,B251)&gt;0,COUNT(R$4:R250)+1,""))</f>
        <v/>
      </c>
      <c r="S251">
        <f>IF(B251="","",IF(COUNTIFS('سجل التحفيز'!$Y$5:$Y$2004,"&gt;0",'سجل التحفيز'!$B$5:$B$2004,B251)&gt;0,COUNT(S$4:S250)+1,""))</f>
        <v/>
      </c>
      <c r="T251">
        <f>IF(B251="","",IF(COUNTIFS('سجل التحفيز'!$Z$5:$Z$2004,"&gt;0",'سجل التحفيز'!$B$5:$B$2004,B251)&gt;0,COUNT(T$4:T250)+1,""))</f>
        <v/>
      </c>
      <c r="U251">
        <f>IF(B251="","",IF(COUNTIFS('سجل التحفيز'!$AA$5:$AA$2004,"&gt;0",'سجل التحفيز'!$B$5:$B$2004,B251)&gt;0,COUNT(U$4:U250)+1,""))</f>
        <v/>
      </c>
      <c r="V251">
        <f>IF(B251="","",IF(COUNTIFS('سجل التحفيز'!$AB$5:$AB$2004,"&gt;0",'سجل التحفيز'!$B$5:$B$2004,B251)&gt;0,COUNT(V$4:V250)+1,""))</f>
        <v/>
      </c>
      <c r="W251">
        <f>IF(B251="","",IF(COUNTIFS('سجل التحفيز'!$AC$5:$AC$2004,"&gt;0",'سجل التحفيز'!$B$5:$B$2004,B251)&gt;0,COUNT(W$4:W250)+1,""))</f>
        <v/>
      </c>
      <c r="X251">
        <f>IF(B251="","",IF(COUNTIFS('سجل التحفيز'!$AD$5:$AD$2004,"&gt;0",'سجل التحفيز'!$B$5:$B$2004,B251)&gt;0,COUNT(X$4:X250)+1,""))</f>
        <v/>
      </c>
      <c r="Y251">
        <f>IF(B251="","",IF(COUNTIFS('سجل التحفيز'!$AE$5:$AE$2004,"&gt;0",'سجل التحفيز'!$B$5:$B$2004,B251)&gt;0,COUNT(Y$4:Y250)+1,""))</f>
        <v/>
      </c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20">
        <f>IF(B252="","",COUNTIFS('سجل التحفيز'!$B$5:$B$2004,B252,'سجل التحفيز'!$R$5:$R$2004,الإعدادات!$B$4))</f>
        <v/>
      </c>
      <c r="I252" s="20">
        <f>IF(B252="","",COUNTIFS('سجل التحفيز'!$B$5:$B$2004,B252,'سجل التحفيز'!$R$5:$R$2004,الإعدادات!$B$4,'سجل التحفيز'!$Q$5:$Q$2004,"الفصل الأول",'سجل التحفيز'!$D$5:$D$2004,"ذهبي"))</f>
        <v/>
      </c>
      <c r="J252" s="20">
        <f>IF(B252="","",COUNTIFS('سجل التحفيز'!$B$5:$B$2004,B252,'سجل التحفيز'!$R$5:$R$2004,الإعدادات!$B$4,'سجل التحفيز'!$Q$5:$Q$2004,"الفصل الثاني",'سجل التحفيز'!$D$5:$D$2004,"ذهبي"))</f>
        <v/>
      </c>
      <c r="K252" s="20">
        <f>IF(B252="","",COUNTIFS('سجل التحفيز'!$B$5:$B$2004,B252,'سجل التحفيز'!$R$5:$R$2004,الإعدادات!$B$4,'سجل التحفيز'!$D$5:$D$2004,"ذهبي"))</f>
        <v/>
      </c>
      <c r="L252" s="20">
        <f>IF(B252="","",IF(G252="محرومة","محرومة - مخالفة",IF(K252&gt;=5,"مستحقة ★","متبقي "&amp;(5-K252)&amp;" معايير")))</f>
        <v/>
      </c>
      <c r="N252">
        <f>IF(B252="","",IF(COUNTIFS('سجل التحفيز'!$T$5:$T$2004,"&gt;0",'سجل التحفيز'!$B$5:$B$2004,B252)&gt;0,COUNT(N$4:N251)+1,""))</f>
        <v/>
      </c>
      <c r="O252">
        <f>IF(B252="","",IF(COUNTIFS('سجل التحفيز'!$U$5:$U$2004,"&gt;0",'سجل التحفيز'!$B$5:$B$2004,B252)&gt;0,COUNT(O$4:O251)+1,""))</f>
        <v/>
      </c>
      <c r="P252">
        <f>IF(B252="","",IF(COUNTIFS('سجل التحفيز'!$V$5:$V$2004,"&gt;0",'سجل التحفيز'!$B$5:$B$2004,B252)&gt;0,COUNT(P$4:P251)+1,""))</f>
        <v/>
      </c>
      <c r="Q252">
        <f>IF(B252="","",IF(COUNTIFS('سجل التحفيز'!$W$5:$W$2004,"&gt;0",'سجل التحفيز'!$B$5:$B$2004,B252)&gt;0,COUNT(Q$4:Q251)+1,""))</f>
        <v/>
      </c>
      <c r="R252">
        <f>IF(B252="","",IF(COUNTIFS('سجل التحفيز'!$X$5:$X$2004,"&gt;0",'سجل التحفيز'!$B$5:$B$2004,B252)&gt;0,COUNT(R$4:R251)+1,""))</f>
        <v/>
      </c>
      <c r="S252">
        <f>IF(B252="","",IF(COUNTIFS('سجل التحفيز'!$Y$5:$Y$2004,"&gt;0",'سجل التحفيز'!$B$5:$B$2004,B252)&gt;0,COUNT(S$4:S251)+1,""))</f>
        <v/>
      </c>
      <c r="T252">
        <f>IF(B252="","",IF(COUNTIFS('سجل التحفيز'!$Z$5:$Z$2004,"&gt;0",'سجل التحفيز'!$B$5:$B$2004,B252)&gt;0,COUNT(T$4:T251)+1,""))</f>
        <v/>
      </c>
      <c r="U252">
        <f>IF(B252="","",IF(COUNTIFS('سجل التحفيز'!$AA$5:$AA$2004,"&gt;0",'سجل التحفيز'!$B$5:$B$2004,B252)&gt;0,COUNT(U$4:U251)+1,""))</f>
        <v/>
      </c>
      <c r="V252">
        <f>IF(B252="","",IF(COUNTIFS('سجل التحفيز'!$AB$5:$AB$2004,"&gt;0",'سجل التحفيز'!$B$5:$B$2004,B252)&gt;0,COUNT(V$4:V251)+1,""))</f>
        <v/>
      </c>
      <c r="W252">
        <f>IF(B252="","",IF(COUNTIFS('سجل التحفيز'!$AC$5:$AC$2004,"&gt;0",'سجل التحفيز'!$B$5:$B$2004,B252)&gt;0,COUNT(W$4:W251)+1,""))</f>
        <v/>
      </c>
      <c r="X252">
        <f>IF(B252="","",IF(COUNTIFS('سجل التحفيز'!$AD$5:$AD$2004,"&gt;0",'سجل التحفيز'!$B$5:$B$2004,B252)&gt;0,COUNT(X$4:X251)+1,""))</f>
        <v/>
      </c>
      <c r="Y252">
        <f>IF(B252="","",IF(COUNTIFS('سجل التحفيز'!$AE$5:$AE$2004,"&gt;0",'سجل التحفيز'!$B$5:$B$2004,B252)&gt;0,COUNT(Y$4:Y251)+1,""))</f>
        <v/>
      </c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20">
        <f>IF(B253="","",COUNTIFS('سجل التحفيز'!$B$5:$B$2004,B253,'سجل التحفيز'!$R$5:$R$2004,الإعدادات!$B$4))</f>
        <v/>
      </c>
      <c r="I253" s="20">
        <f>IF(B253="","",COUNTIFS('سجل التحفيز'!$B$5:$B$2004,B253,'سجل التحفيز'!$R$5:$R$2004,الإعدادات!$B$4,'سجل التحفيز'!$Q$5:$Q$2004,"الفصل الأول",'سجل التحفيز'!$D$5:$D$2004,"ذهبي"))</f>
        <v/>
      </c>
      <c r="J253" s="20">
        <f>IF(B253="","",COUNTIFS('سجل التحفيز'!$B$5:$B$2004,B253,'سجل التحفيز'!$R$5:$R$2004,الإعدادات!$B$4,'سجل التحفيز'!$Q$5:$Q$2004,"الفصل الثاني",'سجل التحفيز'!$D$5:$D$2004,"ذهبي"))</f>
        <v/>
      </c>
      <c r="K253" s="20">
        <f>IF(B253="","",COUNTIFS('سجل التحفيز'!$B$5:$B$2004,B253,'سجل التحفيز'!$R$5:$R$2004,الإعدادات!$B$4,'سجل التحفيز'!$D$5:$D$2004,"ذهبي"))</f>
        <v/>
      </c>
      <c r="L253" s="20">
        <f>IF(B253="","",IF(G253="محرومة","محرومة - مخالفة",IF(K253&gt;=5,"مستحقة ★","متبقي "&amp;(5-K253)&amp;" معايير")))</f>
        <v/>
      </c>
      <c r="N253">
        <f>IF(B253="","",IF(COUNTIFS('سجل التحفيز'!$T$5:$T$2004,"&gt;0",'سجل التحفيز'!$B$5:$B$2004,B253)&gt;0,COUNT(N$4:N252)+1,""))</f>
        <v/>
      </c>
      <c r="O253">
        <f>IF(B253="","",IF(COUNTIFS('سجل التحفيز'!$U$5:$U$2004,"&gt;0",'سجل التحفيز'!$B$5:$B$2004,B253)&gt;0,COUNT(O$4:O252)+1,""))</f>
        <v/>
      </c>
      <c r="P253">
        <f>IF(B253="","",IF(COUNTIFS('سجل التحفيز'!$V$5:$V$2004,"&gt;0",'سجل التحفيز'!$B$5:$B$2004,B253)&gt;0,COUNT(P$4:P252)+1,""))</f>
        <v/>
      </c>
      <c r="Q253">
        <f>IF(B253="","",IF(COUNTIFS('سجل التحفيز'!$W$5:$W$2004,"&gt;0",'سجل التحفيز'!$B$5:$B$2004,B253)&gt;0,COUNT(Q$4:Q252)+1,""))</f>
        <v/>
      </c>
      <c r="R253">
        <f>IF(B253="","",IF(COUNTIFS('سجل التحفيز'!$X$5:$X$2004,"&gt;0",'سجل التحفيز'!$B$5:$B$2004,B253)&gt;0,COUNT(R$4:R252)+1,""))</f>
        <v/>
      </c>
      <c r="S253">
        <f>IF(B253="","",IF(COUNTIFS('سجل التحفيز'!$Y$5:$Y$2004,"&gt;0",'سجل التحفيز'!$B$5:$B$2004,B253)&gt;0,COUNT(S$4:S252)+1,""))</f>
        <v/>
      </c>
      <c r="T253">
        <f>IF(B253="","",IF(COUNTIFS('سجل التحفيز'!$Z$5:$Z$2004,"&gt;0",'سجل التحفيز'!$B$5:$B$2004,B253)&gt;0,COUNT(T$4:T252)+1,""))</f>
        <v/>
      </c>
      <c r="U253">
        <f>IF(B253="","",IF(COUNTIFS('سجل التحفيز'!$AA$5:$AA$2004,"&gt;0",'سجل التحفيز'!$B$5:$B$2004,B253)&gt;0,COUNT(U$4:U252)+1,""))</f>
        <v/>
      </c>
      <c r="V253">
        <f>IF(B253="","",IF(COUNTIFS('سجل التحفيز'!$AB$5:$AB$2004,"&gt;0",'سجل التحفيز'!$B$5:$B$2004,B253)&gt;0,COUNT(V$4:V252)+1,""))</f>
        <v/>
      </c>
      <c r="W253">
        <f>IF(B253="","",IF(COUNTIFS('سجل التحفيز'!$AC$5:$AC$2004,"&gt;0",'سجل التحفيز'!$B$5:$B$2004,B253)&gt;0,COUNT(W$4:W252)+1,""))</f>
        <v/>
      </c>
      <c r="X253">
        <f>IF(B253="","",IF(COUNTIFS('سجل التحفيز'!$AD$5:$AD$2004,"&gt;0",'سجل التحفيز'!$B$5:$B$2004,B253)&gt;0,COUNT(X$4:X252)+1,""))</f>
        <v/>
      </c>
      <c r="Y253">
        <f>IF(B253="","",IF(COUNTIFS('سجل التحفيز'!$AE$5:$AE$2004,"&gt;0",'سجل التحفيز'!$B$5:$B$2004,B253)&gt;0,COUNT(Y$4:Y252)+1,""))</f>
        <v/>
      </c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20">
        <f>IF(B254="","",COUNTIFS('سجل التحفيز'!$B$5:$B$2004,B254,'سجل التحفيز'!$R$5:$R$2004,الإعدادات!$B$4))</f>
        <v/>
      </c>
      <c r="I254" s="20">
        <f>IF(B254="","",COUNTIFS('سجل التحفيز'!$B$5:$B$2004,B254,'سجل التحفيز'!$R$5:$R$2004,الإعدادات!$B$4,'سجل التحفيز'!$Q$5:$Q$2004,"الفصل الأول",'سجل التحفيز'!$D$5:$D$2004,"ذهبي"))</f>
        <v/>
      </c>
      <c r="J254" s="20">
        <f>IF(B254="","",COUNTIFS('سجل التحفيز'!$B$5:$B$2004,B254,'سجل التحفيز'!$R$5:$R$2004,الإعدادات!$B$4,'سجل التحفيز'!$Q$5:$Q$2004,"الفصل الثاني",'سجل التحفيز'!$D$5:$D$2004,"ذهبي"))</f>
        <v/>
      </c>
      <c r="K254" s="20">
        <f>IF(B254="","",COUNTIFS('سجل التحفيز'!$B$5:$B$2004,B254,'سجل التحفيز'!$R$5:$R$2004,الإعدادات!$B$4,'سجل التحفيز'!$D$5:$D$2004,"ذهبي"))</f>
        <v/>
      </c>
      <c r="L254" s="20">
        <f>IF(B254="","",IF(G254="محرومة","محرومة - مخالفة",IF(K254&gt;=5,"مستحقة ★","متبقي "&amp;(5-K254)&amp;" معايير")))</f>
        <v/>
      </c>
      <c r="N254">
        <f>IF(B254="","",IF(COUNTIFS('سجل التحفيز'!$T$5:$T$2004,"&gt;0",'سجل التحفيز'!$B$5:$B$2004,B254)&gt;0,COUNT(N$4:N253)+1,""))</f>
        <v/>
      </c>
      <c r="O254">
        <f>IF(B254="","",IF(COUNTIFS('سجل التحفيز'!$U$5:$U$2004,"&gt;0",'سجل التحفيز'!$B$5:$B$2004,B254)&gt;0,COUNT(O$4:O253)+1,""))</f>
        <v/>
      </c>
      <c r="P254">
        <f>IF(B254="","",IF(COUNTIFS('سجل التحفيز'!$V$5:$V$2004,"&gt;0",'سجل التحفيز'!$B$5:$B$2004,B254)&gt;0,COUNT(P$4:P253)+1,""))</f>
        <v/>
      </c>
      <c r="Q254">
        <f>IF(B254="","",IF(COUNTIFS('سجل التحفيز'!$W$5:$W$2004,"&gt;0",'سجل التحفيز'!$B$5:$B$2004,B254)&gt;0,COUNT(Q$4:Q253)+1,""))</f>
        <v/>
      </c>
      <c r="R254">
        <f>IF(B254="","",IF(COUNTIFS('سجل التحفيز'!$X$5:$X$2004,"&gt;0",'سجل التحفيز'!$B$5:$B$2004,B254)&gt;0,COUNT(R$4:R253)+1,""))</f>
        <v/>
      </c>
      <c r="S254">
        <f>IF(B254="","",IF(COUNTIFS('سجل التحفيز'!$Y$5:$Y$2004,"&gt;0",'سجل التحفيز'!$B$5:$B$2004,B254)&gt;0,COUNT(S$4:S253)+1,""))</f>
        <v/>
      </c>
      <c r="T254">
        <f>IF(B254="","",IF(COUNTIFS('سجل التحفيز'!$Z$5:$Z$2004,"&gt;0",'سجل التحفيز'!$B$5:$B$2004,B254)&gt;0,COUNT(T$4:T253)+1,""))</f>
        <v/>
      </c>
      <c r="U254">
        <f>IF(B254="","",IF(COUNTIFS('سجل التحفيز'!$AA$5:$AA$2004,"&gt;0",'سجل التحفيز'!$B$5:$B$2004,B254)&gt;0,COUNT(U$4:U253)+1,""))</f>
        <v/>
      </c>
      <c r="V254">
        <f>IF(B254="","",IF(COUNTIFS('سجل التحفيز'!$AB$5:$AB$2004,"&gt;0",'سجل التحفيز'!$B$5:$B$2004,B254)&gt;0,COUNT(V$4:V253)+1,""))</f>
        <v/>
      </c>
      <c r="W254">
        <f>IF(B254="","",IF(COUNTIFS('سجل التحفيز'!$AC$5:$AC$2004,"&gt;0",'سجل التحفيز'!$B$5:$B$2004,B254)&gt;0,COUNT(W$4:W253)+1,""))</f>
        <v/>
      </c>
      <c r="X254">
        <f>IF(B254="","",IF(COUNTIFS('سجل التحفيز'!$AD$5:$AD$2004,"&gt;0",'سجل التحفيز'!$B$5:$B$2004,B254)&gt;0,COUNT(X$4:X253)+1,""))</f>
        <v/>
      </c>
      <c r="Y254">
        <f>IF(B254="","",IF(COUNTIFS('سجل التحفيز'!$AE$5:$AE$2004,"&gt;0",'سجل التحفيز'!$B$5:$B$2004,B254)&gt;0,COUNT(Y$4:Y253)+1,""))</f>
        <v/>
      </c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20">
        <f>IF(B255="","",COUNTIFS('سجل التحفيز'!$B$5:$B$2004,B255,'سجل التحفيز'!$R$5:$R$2004,الإعدادات!$B$4))</f>
        <v/>
      </c>
      <c r="I255" s="20">
        <f>IF(B255="","",COUNTIFS('سجل التحفيز'!$B$5:$B$2004,B255,'سجل التحفيز'!$R$5:$R$2004,الإعدادات!$B$4,'سجل التحفيز'!$Q$5:$Q$2004,"الفصل الأول",'سجل التحفيز'!$D$5:$D$2004,"ذهبي"))</f>
        <v/>
      </c>
      <c r="J255" s="20">
        <f>IF(B255="","",COUNTIFS('سجل التحفيز'!$B$5:$B$2004,B255,'سجل التحفيز'!$R$5:$R$2004,الإعدادات!$B$4,'سجل التحفيز'!$Q$5:$Q$2004,"الفصل الثاني",'سجل التحفيز'!$D$5:$D$2004,"ذهبي"))</f>
        <v/>
      </c>
      <c r="K255" s="20">
        <f>IF(B255="","",COUNTIFS('سجل التحفيز'!$B$5:$B$2004,B255,'سجل التحفيز'!$R$5:$R$2004,الإعدادات!$B$4,'سجل التحفيز'!$D$5:$D$2004,"ذهبي"))</f>
        <v/>
      </c>
      <c r="L255" s="20">
        <f>IF(B255="","",IF(G255="محرومة","محرومة - مخالفة",IF(K255&gt;=5,"مستحقة ★","متبقي "&amp;(5-K255)&amp;" معايير")))</f>
        <v/>
      </c>
      <c r="N255">
        <f>IF(B255="","",IF(COUNTIFS('سجل التحفيز'!$T$5:$T$2004,"&gt;0",'سجل التحفيز'!$B$5:$B$2004,B255)&gt;0,COUNT(N$4:N254)+1,""))</f>
        <v/>
      </c>
      <c r="O255">
        <f>IF(B255="","",IF(COUNTIFS('سجل التحفيز'!$U$5:$U$2004,"&gt;0",'سجل التحفيز'!$B$5:$B$2004,B255)&gt;0,COUNT(O$4:O254)+1,""))</f>
        <v/>
      </c>
      <c r="P255">
        <f>IF(B255="","",IF(COUNTIFS('سجل التحفيز'!$V$5:$V$2004,"&gt;0",'سجل التحفيز'!$B$5:$B$2004,B255)&gt;0,COUNT(P$4:P254)+1,""))</f>
        <v/>
      </c>
      <c r="Q255">
        <f>IF(B255="","",IF(COUNTIFS('سجل التحفيز'!$W$5:$W$2004,"&gt;0",'سجل التحفيز'!$B$5:$B$2004,B255)&gt;0,COUNT(Q$4:Q254)+1,""))</f>
        <v/>
      </c>
      <c r="R255">
        <f>IF(B255="","",IF(COUNTIFS('سجل التحفيز'!$X$5:$X$2004,"&gt;0",'سجل التحفيز'!$B$5:$B$2004,B255)&gt;0,COUNT(R$4:R254)+1,""))</f>
        <v/>
      </c>
      <c r="S255">
        <f>IF(B255="","",IF(COUNTIFS('سجل التحفيز'!$Y$5:$Y$2004,"&gt;0",'سجل التحفيز'!$B$5:$B$2004,B255)&gt;0,COUNT(S$4:S254)+1,""))</f>
        <v/>
      </c>
      <c r="T255">
        <f>IF(B255="","",IF(COUNTIFS('سجل التحفيز'!$Z$5:$Z$2004,"&gt;0",'سجل التحفيز'!$B$5:$B$2004,B255)&gt;0,COUNT(T$4:T254)+1,""))</f>
        <v/>
      </c>
      <c r="U255">
        <f>IF(B255="","",IF(COUNTIFS('سجل التحفيز'!$AA$5:$AA$2004,"&gt;0",'سجل التحفيز'!$B$5:$B$2004,B255)&gt;0,COUNT(U$4:U254)+1,""))</f>
        <v/>
      </c>
      <c r="V255">
        <f>IF(B255="","",IF(COUNTIFS('سجل التحفيز'!$AB$5:$AB$2004,"&gt;0",'سجل التحفيز'!$B$5:$B$2004,B255)&gt;0,COUNT(V$4:V254)+1,""))</f>
        <v/>
      </c>
      <c r="W255">
        <f>IF(B255="","",IF(COUNTIFS('سجل التحفيز'!$AC$5:$AC$2004,"&gt;0",'سجل التحفيز'!$B$5:$B$2004,B255)&gt;0,COUNT(W$4:W254)+1,""))</f>
        <v/>
      </c>
      <c r="X255">
        <f>IF(B255="","",IF(COUNTIFS('سجل التحفيز'!$AD$5:$AD$2004,"&gt;0",'سجل التحفيز'!$B$5:$B$2004,B255)&gt;0,COUNT(X$4:X254)+1,""))</f>
        <v/>
      </c>
      <c r="Y255">
        <f>IF(B255="","",IF(COUNTIFS('سجل التحفيز'!$AE$5:$AE$2004,"&gt;0",'سجل التحفيز'!$B$5:$B$2004,B255)&gt;0,COUNT(Y$4:Y254)+1,""))</f>
        <v/>
      </c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20">
        <f>IF(B256="","",COUNTIFS('سجل التحفيز'!$B$5:$B$2004,B256,'سجل التحفيز'!$R$5:$R$2004,الإعدادات!$B$4))</f>
        <v/>
      </c>
      <c r="I256" s="20">
        <f>IF(B256="","",COUNTIFS('سجل التحفيز'!$B$5:$B$2004,B256,'سجل التحفيز'!$R$5:$R$2004,الإعدادات!$B$4,'سجل التحفيز'!$Q$5:$Q$2004,"الفصل الأول",'سجل التحفيز'!$D$5:$D$2004,"ذهبي"))</f>
        <v/>
      </c>
      <c r="J256" s="20">
        <f>IF(B256="","",COUNTIFS('سجل التحفيز'!$B$5:$B$2004,B256,'سجل التحفيز'!$R$5:$R$2004,الإعدادات!$B$4,'سجل التحفيز'!$Q$5:$Q$2004,"الفصل الثاني",'سجل التحفيز'!$D$5:$D$2004,"ذهبي"))</f>
        <v/>
      </c>
      <c r="K256" s="20">
        <f>IF(B256="","",COUNTIFS('سجل التحفيز'!$B$5:$B$2004,B256,'سجل التحفيز'!$R$5:$R$2004,الإعدادات!$B$4,'سجل التحفيز'!$D$5:$D$2004,"ذهبي"))</f>
        <v/>
      </c>
      <c r="L256" s="20">
        <f>IF(B256="","",IF(G256="محرومة","محرومة - مخالفة",IF(K256&gt;=5,"مستحقة ★","متبقي "&amp;(5-K256)&amp;" معايير")))</f>
        <v/>
      </c>
      <c r="N256">
        <f>IF(B256="","",IF(COUNTIFS('سجل التحفيز'!$T$5:$T$2004,"&gt;0",'سجل التحفيز'!$B$5:$B$2004,B256)&gt;0,COUNT(N$4:N255)+1,""))</f>
        <v/>
      </c>
      <c r="O256">
        <f>IF(B256="","",IF(COUNTIFS('سجل التحفيز'!$U$5:$U$2004,"&gt;0",'سجل التحفيز'!$B$5:$B$2004,B256)&gt;0,COUNT(O$4:O255)+1,""))</f>
        <v/>
      </c>
      <c r="P256">
        <f>IF(B256="","",IF(COUNTIFS('سجل التحفيز'!$V$5:$V$2004,"&gt;0",'سجل التحفيز'!$B$5:$B$2004,B256)&gt;0,COUNT(P$4:P255)+1,""))</f>
        <v/>
      </c>
      <c r="Q256">
        <f>IF(B256="","",IF(COUNTIFS('سجل التحفيز'!$W$5:$W$2004,"&gt;0",'سجل التحفيز'!$B$5:$B$2004,B256)&gt;0,COUNT(Q$4:Q255)+1,""))</f>
        <v/>
      </c>
      <c r="R256">
        <f>IF(B256="","",IF(COUNTIFS('سجل التحفيز'!$X$5:$X$2004,"&gt;0",'سجل التحفيز'!$B$5:$B$2004,B256)&gt;0,COUNT(R$4:R255)+1,""))</f>
        <v/>
      </c>
      <c r="S256">
        <f>IF(B256="","",IF(COUNTIFS('سجل التحفيز'!$Y$5:$Y$2004,"&gt;0",'سجل التحفيز'!$B$5:$B$2004,B256)&gt;0,COUNT(S$4:S255)+1,""))</f>
        <v/>
      </c>
      <c r="T256">
        <f>IF(B256="","",IF(COUNTIFS('سجل التحفيز'!$Z$5:$Z$2004,"&gt;0",'سجل التحفيز'!$B$5:$B$2004,B256)&gt;0,COUNT(T$4:T255)+1,""))</f>
        <v/>
      </c>
      <c r="U256">
        <f>IF(B256="","",IF(COUNTIFS('سجل التحفيز'!$AA$5:$AA$2004,"&gt;0",'سجل التحفيز'!$B$5:$B$2004,B256)&gt;0,COUNT(U$4:U255)+1,""))</f>
        <v/>
      </c>
      <c r="V256">
        <f>IF(B256="","",IF(COUNTIFS('سجل التحفيز'!$AB$5:$AB$2004,"&gt;0",'سجل التحفيز'!$B$5:$B$2004,B256)&gt;0,COUNT(V$4:V255)+1,""))</f>
        <v/>
      </c>
      <c r="W256">
        <f>IF(B256="","",IF(COUNTIFS('سجل التحفيز'!$AC$5:$AC$2004,"&gt;0",'سجل التحفيز'!$B$5:$B$2004,B256)&gt;0,COUNT(W$4:W255)+1,""))</f>
        <v/>
      </c>
      <c r="X256">
        <f>IF(B256="","",IF(COUNTIFS('سجل التحفيز'!$AD$5:$AD$2004,"&gt;0",'سجل التحفيز'!$B$5:$B$2004,B256)&gt;0,COUNT(X$4:X255)+1,""))</f>
        <v/>
      </c>
      <c r="Y256">
        <f>IF(B256="","",IF(COUNTIFS('سجل التحفيز'!$AE$5:$AE$2004,"&gt;0",'سجل التحفيز'!$B$5:$B$2004,B256)&gt;0,COUNT(Y$4:Y255)+1,""))</f>
        <v/>
      </c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20">
        <f>IF(B257="","",COUNTIFS('سجل التحفيز'!$B$5:$B$2004,B257,'سجل التحفيز'!$R$5:$R$2004,الإعدادات!$B$4))</f>
        <v/>
      </c>
      <c r="I257" s="20">
        <f>IF(B257="","",COUNTIFS('سجل التحفيز'!$B$5:$B$2004,B257,'سجل التحفيز'!$R$5:$R$2004,الإعدادات!$B$4,'سجل التحفيز'!$Q$5:$Q$2004,"الفصل الأول",'سجل التحفيز'!$D$5:$D$2004,"ذهبي"))</f>
        <v/>
      </c>
      <c r="J257" s="20">
        <f>IF(B257="","",COUNTIFS('سجل التحفيز'!$B$5:$B$2004,B257,'سجل التحفيز'!$R$5:$R$2004,الإعدادات!$B$4,'سجل التحفيز'!$Q$5:$Q$2004,"الفصل الثاني",'سجل التحفيز'!$D$5:$D$2004,"ذهبي"))</f>
        <v/>
      </c>
      <c r="K257" s="20">
        <f>IF(B257="","",COUNTIFS('سجل التحفيز'!$B$5:$B$2004,B257,'سجل التحفيز'!$R$5:$R$2004,الإعدادات!$B$4,'سجل التحفيز'!$D$5:$D$2004,"ذهبي"))</f>
        <v/>
      </c>
      <c r="L257" s="20">
        <f>IF(B257="","",IF(G257="محرومة","محرومة - مخالفة",IF(K257&gt;=5,"مستحقة ★","متبقي "&amp;(5-K257)&amp;" معايير")))</f>
        <v/>
      </c>
      <c r="N257">
        <f>IF(B257="","",IF(COUNTIFS('سجل التحفيز'!$T$5:$T$2004,"&gt;0",'سجل التحفيز'!$B$5:$B$2004,B257)&gt;0,COUNT(N$4:N256)+1,""))</f>
        <v/>
      </c>
      <c r="O257">
        <f>IF(B257="","",IF(COUNTIFS('سجل التحفيز'!$U$5:$U$2004,"&gt;0",'سجل التحفيز'!$B$5:$B$2004,B257)&gt;0,COUNT(O$4:O256)+1,""))</f>
        <v/>
      </c>
      <c r="P257">
        <f>IF(B257="","",IF(COUNTIFS('سجل التحفيز'!$V$5:$V$2004,"&gt;0",'سجل التحفيز'!$B$5:$B$2004,B257)&gt;0,COUNT(P$4:P256)+1,""))</f>
        <v/>
      </c>
      <c r="Q257">
        <f>IF(B257="","",IF(COUNTIFS('سجل التحفيز'!$W$5:$W$2004,"&gt;0",'سجل التحفيز'!$B$5:$B$2004,B257)&gt;0,COUNT(Q$4:Q256)+1,""))</f>
        <v/>
      </c>
      <c r="R257">
        <f>IF(B257="","",IF(COUNTIFS('سجل التحفيز'!$X$5:$X$2004,"&gt;0",'سجل التحفيز'!$B$5:$B$2004,B257)&gt;0,COUNT(R$4:R256)+1,""))</f>
        <v/>
      </c>
      <c r="S257">
        <f>IF(B257="","",IF(COUNTIFS('سجل التحفيز'!$Y$5:$Y$2004,"&gt;0",'سجل التحفيز'!$B$5:$B$2004,B257)&gt;0,COUNT(S$4:S256)+1,""))</f>
        <v/>
      </c>
      <c r="T257">
        <f>IF(B257="","",IF(COUNTIFS('سجل التحفيز'!$Z$5:$Z$2004,"&gt;0",'سجل التحفيز'!$B$5:$B$2004,B257)&gt;0,COUNT(T$4:T256)+1,""))</f>
        <v/>
      </c>
      <c r="U257">
        <f>IF(B257="","",IF(COUNTIFS('سجل التحفيز'!$AA$5:$AA$2004,"&gt;0",'سجل التحفيز'!$B$5:$B$2004,B257)&gt;0,COUNT(U$4:U256)+1,""))</f>
        <v/>
      </c>
      <c r="V257">
        <f>IF(B257="","",IF(COUNTIFS('سجل التحفيز'!$AB$5:$AB$2004,"&gt;0",'سجل التحفيز'!$B$5:$B$2004,B257)&gt;0,COUNT(V$4:V256)+1,""))</f>
        <v/>
      </c>
      <c r="W257">
        <f>IF(B257="","",IF(COUNTIFS('سجل التحفيز'!$AC$5:$AC$2004,"&gt;0",'سجل التحفيز'!$B$5:$B$2004,B257)&gt;0,COUNT(W$4:W256)+1,""))</f>
        <v/>
      </c>
      <c r="X257">
        <f>IF(B257="","",IF(COUNTIFS('سجل التحفيز'!$AD$5:$AD$2004,"&gt;0",'سجل التحفيز'!$B$5:$B$2004,B257)&gt;0,COUNT(X$4:X256)+1,""))</f>
        <v/>
      </c>
      <c r="Y257">
        <f>IF(B257="","",IF(COUNTIFS('سجل التحفيز'!$AE$5:$AE$2004,"&gt;0",'سجل التحفيز'!$B$5:$B$2004,B257)&gt;0,COUNT(Y$4:Y256)+1,""))</f>
        <v/>
      </c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20">
        <f>IF(B258="","",COUNTIFS('سجل التحفيز'!$B$5:$B$2004,B258,'سجل التحفيز'!$R$5:$R$2004,الإعدادات!$B$4))</f>
        <v/>
      </c>
      <c r="I258" s="20">
        <f>IF(B258="","",COUNTIFS('سجل التحفيز'!$B$5:$B$2004,B258,'سجل التحفيز'!$R$5:$R$2004,الإعدادات!$B$4,'سجل التحفيز'!$Q$5:$Q$2004,"الفصل الأول",'سجل التحفيز'!$D$5:$D$2004,"ذهبي"))</f>
        <v/>
      </c>
      <c r="J258" s="20">
        <f>IF(B258="","",COUNTIFS('سجل التحفيز'!$B$5:$B$2004,B258,'سجل التحفيز'!$R$5:$R$2004,الإعدادات!$B$4,'سجل التحفيز'!$Q$5:$Q$2004,"الفصل الثاني",'سجل التحفيز'!$D$5:$D$2004,"ذهبي"))</f>
        <v/>
      </c>
      <c r="K258" s="20">
        <f>IF(B258="","",COUNTIFS('سجل التحفيز'!$B$5:$B$2004,B258,'سجل التحفيز'!$R$5:$R$2004,الإعدادات!$B$4,'سجل التحفيز'!$D$5:$D$2004,"ذهبي"))</f>
        <v/>
      </c>
      <c r="L258" s="20">
        <f>IF(B258="","",IF(G258="محرومة","محرومة - مخالفة",IF(K258&gt;=5,"مستحقة ★","متبقي "&amp;(5-K258)&amp;" معايير")))</f>
        <v/>
      </c>
      <c r="N258">
        <f>IF(B258="","",IF(COUNTIFS('سجل التحفيز'!$T$5:$T$2004,"&gt;0",'سجل التحفيز'!$B$5:$B$2004,B258)&gt;0,COUNT(N$4:N257)+1,""))</f>
        <v/>
      </c>
      <c r="O258">
        <f>IF(B258="","",IF(COUNTIFS('سجل التحفيز'!$U$5:$U$2004,"&gt;0",'سجل التحفيز'!$B$5:$B$2004,B258)&gt;0,COUNT(O$4:O257)+1,""))</f>
        <v/>
      </c>
      <c r="P258">
        <f>IF(B258="","",IF(COUNTIFS('سجل التحفيز'!$V$5:$V$2004,"&gt;0",'سجل التحفيز'!$B$5:$B$2004,B258)&gt;0,COUNT(P$4:P257)+1,""))</f>
        <v/>
      </c>
      <c r="Q258">
        <f>IF(B258="","",IF(COUNTIFS('سجل التحفيز'!$W$5:$W$2004,"&gt;0",'سجل التحفيز'!$B$5:$B$2004,B258)&gt;0,COUNT(Q$4:Q257)+1,""))</f>
        <v/>
      </c>
      <c r="R258">
        <f>IF(B258="","",IF(COUNTIFS('سجل التحفيز'!$X$5:$X$2004,"&gt;0",'سجل التحفيز'!$B$5:$B$2004,B258)&gt;0,COUNT(R$4:R257)+1,""))</f>
        <v/>
      </c>
      <c r="S258">
        <f>IF(B258="","",IF(COUNTIFS('سجل التحفيز'!$Y$5:$Y$2004,"&gt;0",'سجل التحفيز'!$B$5:$B$2004,B258)&gt;0,COUNT(S$4:S257)+1,""))</f>
        <v/>
      </c>
      <c r="T258">
        <f>IF(B258="","",IF(COUNTIFS('سجل التحفيز'!$Z$5:$Z$2004,"&gt;0",'سجل التحفيز'!$B$5:$B$2004,B258)&gt;0,COUNT(T$4:T257)+1,""))</f>
        <v/>
      </c>
      <c r="U258">
        <f>IF(B258="","",IF(COUNTIFS('سجل التحفيز'!$AA$5:$AA$2004,"&gt;0",'سجل التحفيز'!$B$5:$B$2004,B258)&gt;0,COUNT(U$4:U257)+1,""))</f>
        <v/>
      </c>
      <c r="V258">
        <f>IF(B258="","",IF(COUNTIFS('سجل التحفيز'!$AB$5:$AB$2004,"&gt;0",'سجل التحفيز'!$B$5:$B$2004,B258)&gt;0,COUNT(V$4:V257)+1,""))</f>
        <v/>
      </c>
      <c r="W258">
        <f>IF(B258="","",IF(COUNTIFS('سجل التحفيز'!$AC$5:$AC$2004,"&gt;0",'سجل التحفيز'!$B$5:$B$2004,B258)&gt;0,COUNT(W$4:W257)+1,""))</f>
        <v/>
      </c>
      <c r="X258">
        <f>IF(B258="","",IF(COUNTIFS('سجل التحفيز'!$AD$5:$AD$2004,"&gt;0",'سجل التحفيز'!$B$5:$B$2004,B258)&gt;0,COUNT(X$4:X257)+1,""))</f>
        <v/>
      </c>
      <c r="Y258">
        <f>IF(B258="","",IF(COUNTIFS('سجل التحفيز'!$AE$5:$AE$2004,"&gt;0",'سجل التحفيز'!$B$5:$B$2004,B258)&gt;0,COUNT(Y$4:Y257)+1,""))</f>
        <v/>
      </c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20">
        <f>IF(B259="","",COUNTIFS('سجل التحفيز'!$B$5:$B$2004,B259,'سجل التحفيز'!$R$5:$R$2004,الإعدادات!$B$4))</f>
        <v/>
      </c>
      <c r="I259" s="20">
        <f>IF(B259="","",COUNTIFS('سجل التحفيز'!$B$5:$B$2004,B259,'سجل التحفيز'!$R$5:$R$2004,الإعدادات!$B$4,'سجل التحفيز'!$Q$5:$Q$2004,"الفصل الأول",'سجل التحفيز'!$D$5:$D$2004,"ذهبي"))</f>
        <v/>
      </c>
      <c r="J259" s="20">
        <f>IF(B259="","",COUNTIFS('سجل التحفيز'!$B$5:$B$2004,B259,'سجل التحفيز'!$R$5:$R$2004,الإعدادات!$B$4,'سجل التحفيز'!$Q$5:$Q$2004,"الفصل الثاني",'سجل التحفيز'!$D$5:$D$2004,"ذهبي"))</f>
        <v/>
      </c>
      <c r="K259" s="20">
        <f>IF(B259="","",COUNTIFS('سجل التحفيز'!$B$5:$B$2004,B259,'سجل التحفيز'!$R$5:$R$2004,الإعدادات!$B$4,'سجل التحفيز'!$D$5:$D$2004,"ذهبي"))</f>
        <v/>
      </c>
      <c r="L259" s="20">
        <f>IF(B259="","",IF(G259="محرومة","محرومة - مخالفة",IF(K259&gt;=5,"مستحقة ★","متبقي "&amp;(5-K259)&amp;" معايير")))</f>
        <v/>
      </c>
      <c r="N259">
        <f>IF(B259="","",IF(COUNTIFS('سجل التحفيز'!$T$5:$T$2004,"&gt;0",'سجل التحفيز'!$B$5:$B$2004,B259)&gt;0,COUNT(N$4:N258)+1,""))</f>
        <v/>
      </c>
      <c r="O259">
        <f>IF(B259="","",IF(COUNTIFS('سجل التحفيز'!$U$5:$U$2004,"&gt;0",'سجل التحفيز'!$B$5:$B$2004,B259)&gt;0,COUNT(O$4:O258)+1,""))</f>
        <v/>
      </c>
      <c r="P259">
        <f>IF(B259="","",IF(COUNTIFS('سجل التحفيز'!$V$5:$V$2004,"&gt;0",'سجل التحفيز'!$B$5:$B$2004,B259)&gt;0,COUNT(P$4:P258)+1,""))</f>
        <v/>
      </c>
      <c r="Q259">
        <f>IF(B259="","",IF(COUNTIFS('سجل التحفيز'!$W$5:$W$2004,"&gt;0",'سجل التحفيز'!$B$5:$B$2004,B259)&gt;0,COUNT(Q$4:Q258)+1,""))</f>
        <v/>
      </c>
      <c r="R259">
        <f>IF(B259="","",IF(COUNTIFS('سجل التحفيز'!$X$5:$X$2004,"&gt;0",'سجل التحفيز'!$B$5:$B$2004,B259)&gt;0,COUNT(R$4:R258)+1,""))</f>
        <v/>
      </c>
      <c r="S259">
        <f>IF(B259="","",IF(COUNTIFS('سجل التحفيز'!$Y$5:$Y$2004,"&gt;0",'سجل التحفيز'!$B$5:$B$2004,B259)&gt;0,COUNT(S$4:S258)+1,""))</f>
        <v/>
      </c>
      <c r="T259">
        <f>IF(B259="","",IF(COUNTIFS('سجل التحفيز'!$Z$5:$Z$2004,"&gt;0",'سجل التحفيز'!$B$5:$B$2004,B259)&gt;0,COUNT(T$4:T258)+1,""))</f>
        <v/>
      </c>
      <c r="U259">
        <f>IF(B259="","",IF(COUNTIFS('سجل التحفيز'!$AA$5:$AA$2004,"&gt;0",'سجل التحفيز'!$B$5:$B$2004,B259)&gt;0,COUNT(U$4:U258)+1,""))</f>
        <v/>
      </c>
      <c r="V259">
        <f>IF(B259="","",IF(COUNTIFS('سجل التحفيز'!$AB$5:$AB$2004,"&gt;0",'سجل التحفيز'!$B$5:$B$2004,B259)&gt;0,COUNT(V$4:V258)+1,""))</f>
        <v/>
      </c>
      <c r="W259">
        <f>IF(B259="","",IF(COUNTIFS('سجل التحفيز'!$AC$5:$AC$2004,"&gt;0",'سجل التحفيز'!$B$5:$B$2004,B259)&gt;0,COUNT(W$4:W258)+1,""))</f>
        <v/>
      </c>
      <c r="X259">
        <f>IF(B259="","",IF(COUNTIFS('سجل التحفيز'!$AD$5:$AD$2004,"&gt;0",'سجل التحفيز'!$B$5:$B$2004,B259)&gt;0,COUNT(X$4:X258)+1,""))</f>
        <v/>
      </c>
      <c r="Y259">
        <f>IF(B259="","",IF(COUNTIFS('سجل التحفيز'!$AE$5:$AE$2004,"&gt;0",'سجل التحفيز'!$B$5:$B$2004,B259)&gt;0,COUNT(Y$4:Y258)+1,""))</f>
        <v/>
      </c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20">
        <f>IF(B260="","",COUNTIFS('سجل التحفيز'!$B$5:$B$2004,B260,'سجل التحفيز'!$R$5:$R$2004,الإعدادات!$B$4))</f>
        <v/>
      </c>
      <c r="I260" s="20">
        <f>IF(B260="","",COUNTIFS('سجل التحفيز'!$B$5:$B$2004,B260,'سجل التحفيز'!$R$5:$R$2004,الإعدادات!$B$4,'سجل التحفيز'!$Q$5:$Q$2004,"الفصل الأول",'سجل التحفيز'!$D$5:$D$2004,"ذهبي"))</f>
        <v/>
      </c>
      <c r="J260" s="20">
        <f>IF(B260="","",COUNTIFS('سجل التحفيز'!$B$5:$B$2004,B260,'سجل التحفيز'!$R$5:$R$2004,الإعدادات!$B$4,'سجل التحفيز'!$Q$5:$Q$2004,"الفصل الثاني",'سجل التحفيز'!$D$5:$D$2004,"ذهبي"))</f>
        <v/>
      </c>
      <c r="K260" s="20">
        <f>IF(B260="","",COUNTIFS('سجل التحفيز'!$B$5:$B$2004,B260,'سجل التحفيز'!$R$5:$R$2004,الإعدادات!$B$4,'سجل التحفيز'!$D$5:$D$2004,"ذهبي"))</f>
        <v/>
      </c>
      <c r="L260" s="20">
        <f>IF(B260="","",IF(G260="محرومة","محرومة - مخالفة",IF(K260&gt;=5,"مستحقة ★","متبقي "&amp;(5-K260)&amp;" معايير")))</f>
        <v/>
      </c>
      <c r="N260">
        <f>IF(B260="","",IF(COUNTIFS('سجل التحفيز'!$T$5:$T$2004,"&gt;0",'سجل التحفيز'!$B$5:$B$2004,B260)&gt;0,COUNT(N$4:N259)+1,""))</f>
        <v/>
      </c>
      <c r="O260">
        <f>IF(B260="","",IF(COUNTIFS('سجل التحفيز'!$U$5:$U$2004,"&gt;0",'سجل التحفيز'!$B$5:$B$2004,B260)&gt;0,COUNT(O$4:O259)+1,""))</f>
        <v/>
      </c>
      <c r="P260">
        <f>IF(B260="","",IF(COUNTIFS('سجل التحفيز'!$V$5:$V$2004,"&gt;0",'سجل التحفيز'!$B$5:$B$2004,B260)&gt;0,COUNT(P$4:P259)+1,""))</f>
        <v/>
      </c>
      <c r="Q260">
        <f>IF(B260="","",IF(COUNTIFS('سجل التحفيز'!$W$5:$W$2004,"&gt;0",'سجل التحفيز'!$B$5:$B$2004,B260)&gt;0,COUNT(Q$4:Q259)+1,""))</f>
        <v/>
      </c>
      <c r="R260">
        <f>IF(B260="","",IF(COUNTIFS('سجل التحفيز'!$X$5:$X$2004,"&gt;0",'سجل التحفيز'!$B$5:$B$2004,B260)&gt;0,COUNT(R$4:R259)+1,""))</f>
        <v/>
      </c>
      <c r="S260">
        <f>IF(B260="","",IF(COUNTIFS('سجل التحفيز'!$Y$5:$Y$2004,"&gt;0",'سجل التحفيز'!$B$5:$B$2004,B260)&gt;0,COUNT(S$4:S259)+1,""))</f>
        <v/>
      </c>
      <c r="T260">
        <f>IF(B260="","",IF(COUNTIFS('سجل التحفيز'!$Z$5:$Z$2004,"&gt;0",'سجل التحفيز'!$B$5:$B$2004,B260)&gt;0,COUNT(T$4:T259)+1,""))</f>
        <v/>
      </c>
      <c r="U260">
        <f>IF(B260="","",IF(COUNTIFS('سجل التحفيز'!$AA$5:$AA$2004,"&gt;0",'سجل التحفيز'!$B$5:$B$2004,B260)&gt;0,COUNT(U$4:U259)+1,""))</f>
        <v/>
      </c>
      <c r="V260">
        <f>IF(B260="","",IF(COUNTIFS('سجل التحفيز'!$AB$5:$AB$2004,"&gt;0",'سجل التحفيز'!$B$5:$B$2004,B260)&gt;0,COUNT(V$4:V259)+1,""))</f>
        <v/>
      </c>
      <c r="W260">
        <f>IF(B260="","",IF(COUNTIFS('سجل التحفيز'!$AC$5:$AC$2004,"&gt;0",'سجل التحفيز'!$B$5:$B$2004,B260)&gt;0,COUNT(W$4:W259)+1,""))</f>
        <v/>
      </c>
      <c r="X260">
        <f>IF(B260="","",IF(COUNTIFS('سجل التحفيز'!$AD$5:$AD$2004,"&gt;0",'سجل التحفيز'!$B$5:$B$2004,B260)&gt;0,COUNT(X$4:X259)+1,""))</f>
        <v/>
      </c>
      <c r="Y260">
        <f>IF(B260="","",IF(COUNTIFS('سجل التحفيز'!$AE$5:$AE$2004,"&gt;0",'سجل التحفيز'!$B$5:$B$2004,B260)&gt;0,COUNT(Y$4:Y259)+1,""))</f>
        <v/>
      </c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20">
        <f>IF(B261="","",COUNTIFS('سجل التحفيز'!$B$5:$B$2004,B261,'سجل التحفيز'!$R$5:$R$2004,الإعدادات!$B$4))</f>
        <v/>
      </c>
      <c r="I261" s="20">
        <f>IF(B261="","",COUNTIFS('سجل التحفيز'!$B$5:$B$2004,B261,'سجل التحفيز'!$R$5:$R$2004,الإعدادات!$B$4,'سجل التحفيز'!$Q$5:$Q$2004,"الفصل الأول",'سجل التحفيز'!$D$5:$D$2004,"ذهبي"))</f>
        <v/>
      </c>
      <c r="J261" s="20">
        <f>IF(B261="","",COUNTIFS('سجل التحفيز'!$B$5:$B$2004,B261,'سجل التحفيز'!$R$5:$R$2004,الإعدادات!$B$4,'سجل التحفيز'!$Q$5:$Q$2004,"الفصل الثاني",'سجل التحفيز'!$D$5:$D$2004,"ذهبي"))</f>
        <v/>
      </c>
      <c r="K261" s="20">
        <f>IF(B261="","",COUNTIFS('سجل التحفيز'!$B$5:$B$2004,B261,'سجل التحفيز'!$R$5:$R$2004,الإعدادات!$B$4,'سجل التحفيز'!$D$5:$D$2004,"ذهبي"))</f>
        <v/>
      </c>
      <c r="L261" s="20">
        <f>IF(B261="","",IF(G261="محرومة","محرومة - مخالفة",IF(K261&gt;=5,"مستحقة ★","متبقي "&amp;(5-K261)&amp;" معايير")))</f>
        <v/>
      </c>
      <c r="N261">
        <f>IF(B261="","",IF(COUNTIFS('سجل التحفيز'!$T$5:$T$2004,"&gt;0",'سجل التحفيز'!$B$5:$B$2004,B261)&gt;0,COUNT(N$4:N260)+1,""))</f>
        <v/>
      </c>
      <c r="O261">
        <f>IF(B261="","",IF(COUNTIFS('سجل التحفيز'!$U$5:$U$2004,"&gt;0",'سجل التحفيز'!$B$5:$B$2004,B261)&gt;0,COUNT(O$4:O260)+1,""))</f>
        <v/>
      </c>
      <c r="P261">
        <f>IF(B261="","",IF(COUNTIFS('سجل التحفيز'!$V$5:$V$2004,"&gt;0",'سجل التحفيز'!$B$5:$B$2004,B261)&gt;0,COUNT(P$4:P260)+1,""))</f>
        <v/>
      </c>
      <c r="Q261">
        <f>IF(B261="","",IF(COUNTIFS('سجل التحفيز'!$W$5:$W$2004,"&gt;0",'سجل التحفيز'!$B$5:$B$2004,B261)&gt;0,COUNT(Q$4:Q260)+1,""))</f>
        <v/>
      </c>
      <c r="R261">
        <f>IF(B261="","",IF(COUNTIFS('سجل التحفيز'!$X$5:$X$2004,"&gt;0",'سجل التحفيز'!$B$5:$B$2004,B261)&gt;0,COUNT(R$4:R260)+1,""))</f>
        <v/>
      </c>
      <c r="S261">
        <f>IF(B261="","",IF(COUNTIFS('سجل التحفيز'!$Y$5:$Y$2004,"&gt;0",'سجل التحفيز'!$B$5:$B$2004,B261)&gt;0,COUNT(S$4:S260)+1,""))</f>
        <v/>
      </c>
      <c r="T261">
        <f>IF(B261="","",IF(COUNTIFS('سجل التحفيز'!$Z$5:$Z$2004,"&gt;0",'سجل التحفيز'!$B$5:$B$2004,B261)&gt;0,COUNT(T$4:T260)+1,""))</f>
        <v/>
      </c>
      <c r="U261">
        <f>IF(B261="","",IF(COUNTIFS('سجل التحفيز'!$AA$5:$AA$2004,"&gt;0",'سجل التحفيز'!$B$5:$B$2004,B261)&gt;0,COUNT(U$4:U260)+1,""))</f>
        <v/>
      </c>
      <c r="V261">
        <f>IF(B261="","",IF(COUNTIFS('سجل التحفيز'!$AB$5:$AB$2004,"&gt;0",'سجل التحفيز'!$B$5:$B$2004,B261)&gt;0,COUNT(V$4:V260)+1,""))</f>
        <v/>
      </c>
      <c r="W261">
        <f>IF(B261="","",IF(COUNTIFS('سجل التحفيز'!$AC$5:$AC$2004,"&gt;0",'سجل التحفيز'!$B$5:$B$2004,B261)&gt;0,COUNT(W$4:W260)+1,""))</f>
        <v/>
      </c>
      <c r="X261">
        <f>IF(B261="","",IF(COUNTIFS('سجل التحفيز'!$AD$5:$AD$2004,"&gt;0",'سجل التحفيز'!$B$5:$B$2004,B261)&gt;0,COUNT(X$4:X260)+1,""))</f>
        <v/>
      </c>
      <c r="Y261">
        <f>IF(B261="","",IF(COUNTIFS('سجل التحفيز'!$AE$5:$AE$2004,"&gt;0",'سجل التحفيز'!$B$5:$B$2004,B261)&gt;0,COUNT(Y$4:Y260)+1,""))</f>
        <v/>
      </c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20">
        <f>IF(B262="","",COUNTIFS('سجل التحفيز'!$B$5:$B$2004,B262,'سجل التحفيز'!$R$5:$R$2004,الإعدادات!$B$4))</f>
        <v/>
      </c>
      <c r="I262" s="20">
        <f>IF(B262="","",COUNTIFS('سجل التحفيز'!$B$5:$B$2004,B262,'سجل التحفيز'!$R$5:$R$2004,الإعدادات!$B$4,'سجل التحفيز'!$Q$5:$Q$2004,"الفصل الأول",'سجل التحفيز'!$D$5:$D$2004,"ذهبي"))</f>
        <v/>
      </c>
      <c r="J262" s="20">
        <f>IF(B262="","",COUNTIFS('سجل التحفيز'!$B$5:$B$2004,B262,'سجل التحفيز'!$R$5:$R$2004,الإعدادات!$B$4,'سجل التحفيز'!$Q$5:$Q$2004,"الفصل الثاني",'سجل التحفيز'!$D$5:$D$2004,"ذهبي"))</f>
        <v/>
      </c>
      <c r="K262" s="20">
        <f>IF(B262="","",COUNTIFS('سجل التحفيز'!$B$5:$B$2004,B262,'سجل التحفيز'!$R$5:$R$2004,الإعدادات!$B$4,'سجل التحفيز'!$D$5:$D$2004,"ذهبي"))</f>
        <v/>
      </c>
      <c r="L262" s="20">
        <f>IF(B262="","",IF(G262="محرومة","محرومة - مخالفة",IF(K262&gt;=5,"مستحقة ★","متبقي "&amp;(5-K262)&amp;" معايير")))</f>
        <v/>
      </c>
      <c r="N262">
        <f>IF(B262="","",IF(COUNTIFS('سجل التحفيز'!$T$5:$T$2004,"&gt;0",'سجل التحفيز'!$B$5:$B$2004,B262)&gt;0,COUNT(N$4:N261)+1,""))</f>
        <v/>
      </c>
      <c r="O262">
        <f>IF(B262="","",IF(COUNTIFS('سجل التحفيز'!$U$5:$U$2004,"&gt;0",'سجل التحفيز'!$B$5:$B$2004,B262)&gt;0,COUNT(O$4:O261)+1,""))</f>
        <v/>
      </c>
      <c r="P262">
        <f>IF(B262="","",IF(COUNTIFS('سجل التحفيز'!$V$5:$V$2004,"&gt;0",'سجل التحفيز'!$B$5:$B$2004,B262)&gt;0,COUNT(P$4:P261)+1,""))</f>
        <v/>
      </c>
      <c r="Q262">
        <f>IF(B262="","",IF(COUNTIFS('سجل التحفيز'!$W$5:$W$2004,"&gt;0",'سجل التحفيز'!$B$5:$B$2004,B262)&gt;0,COUNT(Q$4:Q261)+1,""))</f>
        <v/>
      </c>
      <c r="R262">
        <f>IF(B262="","",IF(COUNTIFS('سجل التحفيز'!$X$5:$X$2004,"&gt;0",'سجل التحفيز'!$B$5:$B$2004,B262)&gt;0,COUNT(R$4:R261)+1,""))</f>
        <v/>
      </c>
      <c r="S262">
        <f>IF(B262="","",IF(COUNTIFS('سجل التحفيز'!$Y$5:$Y$2004,"&gt;0",'سجل التحفيز'!$B$5:$B$2004,B262)&gt;0,COUNT(S$4:S261)+1,""))</f>
        <v/>
      </c>
      <c r="T262">
        <f>IF(B262="","",IF(COUNTIFS('سجل التحفيز'!$Z$5:$Z$2004,"&gt;0",'سجل التحفيز'!$B$5:$B$2004,B262)&gt;0,COUNT(T$4:T261)+1,""))</f>
        <v/>
      </c>
      <c r="U262">
        <f>IF(B262="","",IF(COUNTIFS('سجل التحفيز'!$AA$5:$AA$2004,"&gt;0",'سجل التحفيز'!$B$5:$B$2004,B262)&gt;0,COUNT(U$4:U261)+1,""))</f>
        <v/>
      </c>
      <c r="V262">
        <f>IF(B262="","",IF(COUNTIFS('سجل التحفيز'!$AB$5:$AB$2004,"&gt;0",'سجل التحفيز'!$B$5:$B$2004,B262)&gt;0,COUNT(V$4:V261)+1,""))</f>
        <v/>
      </c>
      <c r="W262">
        <f>IF(B262="","",IF(COUNTIFS('سجل التحفيز'!$AC$5:$AC$2004,"&gt;0",'سجل التحفيز'!$B$5:$B$2004,B262)&gt;0,COUNT(W$4:W261)+1,""))</f>
        <v/>
      </c>
      <c r="X262">
        <f>IF(B262="","",IF(COUNTIFS('سجل التحفيز'!$AD$5:$AD$2004,"&gt;0",'سجل التحفيز'!$B$5:$B$2004,B262)&gt;0,COUNT(X$4:X261)+1,""))</f>
        <v/>
      </c>
      <c r="Y262">
        <f>IF(B262="","",IF(COUNTIFS('سجل التحفيز'!$AE$5:$AE$2004,"&gt;0",'سجل التحفيز'!$B$5:$B$2004,B262)&gt;0,COUNT(Y$4:Y261)+1,""))</f>
        <v/>
      </c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20">
        <f>IF(B263="","",COUNTIFS('سجل التحفيز'!$B$5:$B$2004,B263,'سجل التحفيز'!$R$5:$R$2004,الإعدادات!$B$4))</f>
        <v/>
      </c>
      <c r="I263" s="20">
        <f>IF(B263="","",COUNTIFS('سجل التحفيز'!$B$5:$B$2004,B263,'سجل التحفيز'!$R$5:$R$2004,الإعدادات!$B$4,'سجل التحفيز'!$Q$5:$Q$2004,"الفصل الأول",'سجل التحفيز'!$D$5:$D$2004,"ذهبي"))</f>
        <v/>
      </c>
      <c r="J263" s="20">
        <f>IF(B263="","",COUNTIFS('سجل التحفيز'!$B$5:$B$2004,B263,'سجل التحفيز'!$R$5:$R$2004,الإعدادات!$B$4,'سجل التحفيز'!$Q$5:$Q$2004,"الفصل الثاني",'سجل التحفيز'!$D$5:$D$2004,"ذهبي"))</f>
        <v/>
      </c>
      <c r="K263" s="20">
        <f>IF(B263="","",COUNTIFS('سجل التحفيز'!$B$5:$B$2004,B263,'سجل التحفيز'!$R$5:$R$2004,الإعدادات!$B$4,'سجل التحفيز'!$D$5:$D$2004,"ذهبي"))</f>
        <v/>
      </c>
      <c r="L263" s="20">
        <f>IF(B263="","",IF(G263="محرومة","محرومة - مخالفة",IF(K263&gt;=5,"مستحقة ★","متبقي "&amp;(5-K263)&amp;" معايير")))</f>
        <v/>
      </c>
      <c r="N263">
        <f>IF(B263="","",IF(COUNTIFS('سجل التحفيز'!$T$5:$T$2004,"&gt;0",'سجل التحفيز'!$B$5:$B$2004,B263)&gt;0,COUNT(N$4:N262)+1,""))</f>
        <v/>
      </c>
      <c r="O263">
        <f>IF(B263="","",IF(COUNTIFS('سجل التحفيز'!$U$5:$U$2004,"&gt;0",'سجل التحفيز'!$B$5:$B$2004,B263)&gt;0,COUNT(O$4:O262)+1,""))</f>
        <v/>
      </c>
      <c r="P263">
        <f>IF(B263="","",IF(COUNTIFS('سجل التحفيز'!$V$5:$V$2004,"&gt;0",'سجل التحفيز'!$B$5:$B$2004,B263)&gt;0,COUNT(P$4:P262)+1,""))</f>
        <v/>
      </c>
      <c r="Q263">
        <f>IF(B263="","",IF(COUNTIFS('سجل التحفيز'!$W$5:$W$2004,"&gt;0",'سجل التحفيز'!$B$5:$B$2004,B263)&gt;0,COUNT(Q$4:Q262)+1,""))</f>
        <v/>
      </c>
      <c r="R263">
        <f>IF(B263="","",IF(COUNTIFS('سجل التحفيز'!$X$5:$X$2004,"&gt;0",'سجل التحفيز'!$B$5:$B$2004,B263)&gt;0,COUNT(R$4:R262)+1,""))</f>
        <v/>
      </c>
      <c r="S263">
        <f>IF(B263="","",IF(COUNTIFS('سجل التحفيز'!$Y$5:$Y$2004,"&gt;0",'سجل التحفيز'!$B$5:$B$2004,B263)&gt;0,COUNT(S$4:S262)+1,""))</f>
        <v/>
      </c>
      <c r="T263">
        <f>IF(B263="","",IF(COUNTIFS('سجل التحفيز'!$Z$5:$Z$2004,"&gt;0",'سجل التحفيز'!$B$5:$B$2004,B263)&gt;0,COUNT(T$4:T262)+1,""))</f>
        <v/>
      </c>
      <c r="U263">
        <f>IF(B263="","",IF(COUNTIFS('سجل التحفيز'!$AA$5:$AA$2004,"&gt;0",'سجل التحفيز'!$B$5:$B$2004,B263)&gt;0,COUNT(U$4:U262)+1,""))</f>
        <v/>
      </c>
      <c r="V263">
        <f>IF(B263="","",IF(COUNTIFS('سجل التحفيز'!$AB$5:$AB$2004,"&gt;0",'سجل التحفيز'!$B$5:$B$2004,B263)&gt;0,COUNT(V$4:V262)+1,""))</f>
        <v/>
      </c>
      <c r="W263">
        <f>IF(B263="","",IF(COUNTIFS('سجل التحفيز'!$AC$5:$AC$2004,"&gt;0",'سجل التحفيز'!$B$5:$B$2004,B263)&gt;0,COUNT(W$4:W262)+1,""))</f>
        <v/>
      </c>
      <c r="X263">
        <f>IF(B263="","",IF(COUNTIFS('سجل التحفيز'!$AD$5:$AD$2004,"&gt;0",'سجل التحفيز'!$B$5:$B$2004,B263)&gt;0,COUNT(X$4:X262)+1,""))</f>
        <v/>
      </c>
      <c r="Y263">
        <f>IF(B263="","",IF(COUNTIFS('سجل التحفيز'!$AE$5:$AE$2004,"&gt;0",'سجل التحفيز'!$B$5:$B$2004,B263)&gt;0,COUNT(Y$4:Y262)+1,""))</f>
        <v/>
      </c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20">
        <f>IF(B264="","",COUNTIFS('سجل التحفيز'!$B$5:$B$2004,B264,'سجل التحفيز'!$R$5:$R$2004,الإعدادات!$B$4))</f>
        <v/>
      </c>
      <c r="I264" s="20">
        <f>IF(B264="","",COUNTIFS('سجل التحفيز'!$B$5:$B$2004,B264,'سجل التحفيز'!$R$5:$R$2004,الإعدادات!$B$4,'سجل التحفيز'!$Q$5:$Q$2004,"الفصل الأول",'سجل التحفيز'!$D$5:$D$2004,"ذهبي"))</f>
        <v/>
      </c>
      <c r="J264" s="20">
        <f>IF(B264="","",COUNTIFS('سجل التحفيز'!$B$5:$B$2004,B264,'سجل التحفيز'!$R$5:$R$2004,الإعدادات!$B$4,'سجل التحفيز'!$Q$5:$Q$2004,"الفصل الثاني",'سجل التحفيز'!$D$5:$D$2004,"ذهبي"))</f>
        <v/>
      </c>
      <c r="K264" s="20">
        <f>IF(B264="","",COUNTIFS('سجل التحفيز'!$B$5:$B$2004,B264,'سجل التحفيز'!$R$5:$R$2004,الإعدادات!$B$4,'سجل التحفيز'!$D$5:$D$2004,"ذهبي"))</f>
        <v/>
      </c>
      <c r="L264" s="20">
        <f>IF(B264="","",IF(G264="محرومة","محرومة - مخالفة",IF(K264&gt;=5,"مستحقة ★","متبقي "&amp;(5-K264)&amp;" معايير")))</f>
        <v/>
      </c>
      <c r="N264">
        <f>IF(B264="","",IF(COUNTIFS('سجل التحفيز'!$T$5:$T$2004,"&gt;0",'سجل التحفيز'!$B$5:$B$2004,B264)&gt;0,COUNT(N$4:N263)+1,""))</f>
        <v/>
      </c>
      <c r="O264">
        <f>IF(B264="","",IF(COUNTIFS('سجل التحفيز'!$U$5:$U$2004,"&gt;0",'سجل التحفيز'!$B$5:$B$2004,B264)&gt;0,COUNT(O$4:O263)+1,""))</f>
        <v/>
      </c>
      <c r="P264">
        <f>IF(B264="","",IF(COUNTIFS('سجل التحفيز'!$V$5:$V$2004,"&gt;0",'سجل التحفيز'!$B$5:$B$2004,B264)&gt;0,COUNT(P$4:P263)+1,""))</f>
        <v/>
      </c>
      <c r="Q264">
        <f>IF(B264="","",IF(COUNTIFS('سجل التحفيز'!$W$5:$W$2004,"&gt;0",'سجل التحفيز'!$B$5:$B$2004,B264)&gt;0,COUNT(Q$4:Q263)+1,""))</f>
        <v/>
      </c>
      <c r="R264">
        <f>IF(B264="","",IF(COUNTIFS('سجل التحفيز'!$X$5:$X$2004,"&gt;0",'سجل التحفيز'!$B$5:$B$2004,B264)&gt;0,COUNT(R$4:R263)+1,""))</f>
        <v/>
      </c>
      <c r="S264">
        <f>IF(B264="","",IF(COUNTIFS('سجل التحفيز'!$Y$5:$Y$2004,"&gt;0",'سجل التحفيز'!$B$5:$B$2004,B264)&gt;0,COUNT(S$4:S263)+1,""))</f>
        <v/>
      </c>
      <c r="T264">
        <f>IF(B264="","",IF(COUNTIFS('سجل التحفيز'!$Z$5:$Z$2004,"&gt;0",'سجل التحفيز'!$B$5:$B$2004,B264)&gt;0,COUNT(T$4:T263)+1,""))</f>
        <v/>
      </c>
      <c r="U264">
        <f>IF(B264="","",IF(COUNTIFS('سجل التحفيز'!$AA$5:$AA$2004,"&gt;0",'سجل التحفيز'!$B$5:$B$2004,B264)&gt;0,COUNT(U$4:U263)+1,""))</f>
        <v/>
      </c>
      <c r="V264">
        <f>IF(B264="","",IF(COUNTIFS('سجل التحفيز'!$AB$5:$AB$2004,"&gt;0",'سجل التحفيز'!$B$5:$B$2004,B264)&gt;0,COUNT(V$4:V263)+1,""))</f>
        <v/>
      </c>
      <c r="W264">
        <f>IF(B264="","",IF(COUNTIFS('سجل التحفيز'!$AC$5:$AC$2004,"&gt;0",'سجل التحفيز'!$B$5:$B$2004,B264)&gt;0,COUNT(W$4:W263)+1,""))</f>
        <v/>
      </c>
      <c r="X264">
        <f>IF(B264="","",IF(COUNTIFS('سجل التحفيز'!$AD$5:$AD$2004,"&gt;0",'سجل التحفيز'!$B$5:$B$2004,B264)&gt;0,COUNT(X$4:X263)+1,""))</f>
        <v/>
      </c>
      <c r="Y264">
        <f>IF(B264="","",IF(COUNTIFS('سجل التحفيز'!$AE$5:$AE$2004,"&gt;0",'سجل التحفيز'!$B$5:$B$2004,B264)&gt;0,COUNT(Y$4:Y263)+1,""))</f>
        <v/>
      </c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20">
        <f>IF(B265="","",COUNTIFS('سجل التحفيز'!$B$5:$B$2004,B265,'سجل التحفيز'!$R$5:$R$2004,الإعدادات!$B$4))</f>
        <v/>
      </c>
      <c r="I265" s="20">
        <f>IF(B265="","",COUNTIFS('سجل التحفيز'!$B$5:$B$2004,B265,'سجل التحفيز'!$R$5:$R$2004,الإعدادات!$B$4,'سجل التحفيز'!$Q$5:$Q$2004,"الفصل الأول",'سجل التحفيز'!$D$5:$D$2004,"ذهبي"))</f>
        <v/>
      </c>
      <c r="J265" s="20">
        <f>IF(B265="","",COUNTIFS('سجل التحفيز'!$B$5:$B$2004,B265,'سجل التحفيز'!$R$5:$R$2004,الإعدادات!$B$4,'سجل التحفيز'!$Q$5:$Q$2004,"الفصل الثاني",'سجل التحفيز'!$D$5:$D$2004,"ذهبي"))</f>
        <v/>
      </c>
      <c r="K265" s="20">
        <f>IF(B265="","",COUNTIFS('سجل التحفيز'!$B$5:$B$2004,B265,'سجل التحفيز'!$R$5:$R$2004,الإعدادات!$B$4,'سجل التحفيز'!$D$5:$D$2004,"ذهبي"))</f>
        <v/>
      </c>
      <c r="L265" s="20">
        <f>IF(B265="","",IF(G265="محرومة","محرومة - مخالفة",IF(K265&gt;=5,"مستحقة ★","متبقي "&amp;(5-K265)&amp;" معايير")))</f>
        <v/>
      </c>
      <c r="N265">
        <f>IF(B265="","",IF(COUNTIFS('سجل التحفيز'!$T$5:$T$2004,"&gt;0",'سجل التحفيز'!$B$5:$B$2004,B265)&gt;0,COUNT(N$4:N264)+1,""))</f>
        <v/>
      </c>
      <c r="O265">
        <f>IF(B265="","",IF(COUNTIFS('سجل التحفيز'!$U$5:$U$2004,"&gt;0",'سجل التحفيز'!$B$5:$B$2004,B265)&gt;0,COUNT(O$4:O264)+1,""))</f>
        <v/>
      </c>
      <c r="P265">
        <f>IF(B265="","",IF(COUNTIFS('سجل التحفيز'!$V$5:$V$2004,"&gt;0",'سجل التحفيز'!$B$5:$B$2004,B265)&gt;0,COUNT(P$4:P264)+1,""))</f>
        <v/>
      </c>
      <c r="Q265">
        <f>IF(B265="","",IF(COUNTIFS('سجل التحفيز'!$W$5:$W$2004,"&gt;0",'سجل التحفيز'!$B$5:$B$2004,B265)&gt;0,COUNT(Q$4:Q264)+1,""))</f>
        <v/>
      </c>
      <c r="R265">
        <f>IF(B265="","",IF(COUNTIFS('سجل التحفيز'!$X$5:$X$2004,"&gt;0",'سجل التحفيز'!$B$5:$B$2004,B265)&gt;0,COUNT(R$4:R264)+1,""))</f>
        <v/>
      </c>
      <c r="S265">
        <f>IF(B265="","",IF(COUNTIFS('سجل التحفيز'!$Y$5:$Y$2004,"&gt;0",'سجل التحفيز'!$B$5:$B$2004,B265)&gt;0,COUNT(S$4:S264)+1,""))</f>
        <v/>
      </c>
      <c r="T265">
        <f>IF(B265="","",IF(COUNTIFS('سجل التحفيز'!$Z$5:$Z$2004,"&gt;0",'سجل التحفيز'!$B$5:$B$2004,B265)&gt;0,COUNT(T$4:T264)+1,""))</f>
        <v/>
      </c>
      <c r="U265">
        <f>IF(B265="","",IF(COUNTIFS('سجل التحفيز'!$AA$5:$AA$2004,"&gt;0",'سجل التحفيز'!$B$5:$B$2004,B265)&gt;0,COUNT(U$4:U264)+1,""))</f>
        <v/>
      </c>
      <c r="V265">
        <f>IF(B265="","",IF(COUNTIFS('سجل التحفيز'!$AB$5:$AB$2004,"&gt;0",'سجل التحفيز'!$B$5:$B$2004,B265)&gt;0,COUNT(V$4:V264)+1,""))</f>
        <v/>
      </c>
      <c r="W265">
        <f>IF(B265="","",IF(COUNTIFS('سجل التحفيز'!$AC$5:$AC$2004,"&gt;0",'سجل التحفيز'!$B$5:$B$2004,B265)&gt;0,COUNT(W$4:W264)+1,""))</f>
        <v/>
      </c>
      <c r="X265">
        <f>IF(B265="","",IF(COUNTIFS('سجل التحفيز'!$AD$5:$AD$2004,"&gt;0",'سجل التحفيز'!$B$5:$B$2004,B265)&gt;0,COUNT(X$4:X264)+1,""))</f>
        <v/>
      </c>
      <c r="Y265">
        <f>IF(B265="","",IF(COUNTIFS('سجل التحفيز'!$AE$5:$AE$2004,"&gt;0",'سجل التحفيز'!$B$5:$B$2004,B265)&gt;0,COUNT(Y$4:Y264)+1,""))</f>
        <v/>
      </c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20">
        <f>IF(B266="","",COUNTIFS('سجل التحفيز'!$B$5:$B$2004,B266,'سجل التحفيز'!$R$5:$R$2004,الإعدادات!$B$4))</f>
        <v/>
      </c>
      <c r="I266" s="20">
        <f>IF(B266="","",COUNTIFS('سجل التحفيز'!$B$5:$B$2004,B266,'سجل التحفيز'!$R$5:$R$2004,الإعدادات!$B$4,'سجل التحفيز'!$Q$5:$Q$2004,"الفصل الأول",'سجل التحفيز'!$D$5:$D$2004,"ذهبي"))</f>
        <v/>
      </c>
      <c r="J266" s="20">
        <f>IF(B266="","",COUNTIFS('سجل التحفيز'!$B$5:$B$2004,B266,'سجل التحفيز'!$R$5:$R$2004,الإعدادات!$B$4,'سجل التحفيز'!$Q$5:$Q$2004,"الفصل الثاني",'سجل التحفيز'!$D$5:$D$2004,"ذهبي"))</f>
        <v/>
      </c>
      <c r="K266" s="20">
        <f>IF(B266="","",COUNTIFS('سجل التحفيز'!$B$5:$B$2004,B266,'سجل التحفيز'!$R$5:$R$2004,الإعدادات!$B$4,'سجل التحفيز'!$D$5:$D$2004,"ذهبي"))</f>
        <v/>
      </c>
      <c r="L266" s="20">
        <f>IF(B266="","",IF(G266="محرومة","محرومة - مخالفة",IF(K266&gt;=5,"مستحقة ★","متبقي "&amp;(5-K266)&amp;" معايير")))</f>
        <v/>
      </c>
      <c r="N266">
        <f>IF(B266="","",IF(COUNTIFS('سجل التحفيز'!$T$5:$T$2004,"&gt;0",'سجل التحفيز'!$B$5:$B$2004,B266)&gt;0,COUNT(N$4:N265)+1,""))</f>
        <v/>
      </c>
      <c r="O266">
        <f>IF(B266="","",IF(COUNTIFS('سجل التحفيز'!$U$5:$U$2004,"&gt;0",'سجل التحفيز'!$B$5:$B$2004,B266)&gt;0,COUNT(O$4:O265)+1,""))</f>
        <v/>
      </c>
      <c r="P266">
        <f>IF(B266="","",IF(COUNTIFS('سجل التحفيز'!$V$5:$V$2004,"&gt;0",'سجل التحفيز'!$B$5:$B$2004,B266)&gt;0,COUNT(P$4:P265)+1,""))</f>
        <v/>
      </c>
      <c r="Q266">
        <f>IF(B266="","",IF(COUNTIFS('سجل التحفيز'!$W$5:$W$2004,"&gt;0",'سجل التحفيز'!$B$5:$B$2004,B266)&gt;0,COUNT(Q$4:Q265)+1,""))</f>
        <v/>
      </c>
      <c r="R266">
        <f>IF(B266="","",IF(COUNTIFS('سجل التحفيز'!$X$5:$X$2004,"&gt;0",'سجل التحفيز'!$B$5:$B$2004,B266)&gt;0,COUNT(R$4:R265)+1,""))</f>
        <v/>
      </c>
      <c r="S266">
        <f>IF(B266="","",IF(COUNTIFS('سجل التحفيز'!$Y$5:$Y$2004,"&gt;0",'سجل التحفيز'!$B$5:$B$2004,B266)&gt;0,COUNT(S$4:S265)+1,""))</f>
        <v/>
      </c>
      <c r="T266">
        <f>IF(B266="","",IF(COUNTIFS('سجل التحفيز'!$Z$5:$Z$2004,"&gt;0",'سجل التحفيز'!$B$5:$B$2004,B266)&gt;0,COUNT(T$4:T265)+1,""))</f>
        <v/>
      </c>
      <c r="U266">
        <f>IF(B266="","",IF(COUNTIFS('سجل التحفيز'!$AA$5:$AA$2004,"&gt;0",'سجل التحفيز'!$B$5:$B$2004,B266)&gt;0,COUNT(U$4:U265)+1,""))</f>
        <v/>
      </c>
      <c r="V266">
        <f>IF(B266="","",IF(COUNTIFS('سجل التحفيز'!$AB$5:$AB$2004,"&gt;0",'سجل التحفيز'!$B$5:$B$2004,B266)&gt;0,COUNT(V$4:V265)+1,""))</f>
        <v/>
      </c>
      <c r="W266">
        <f>IF(B266="","",IF(COUNTIFS('سجل التحفيز'!$AC$5:$AC$2004,"&gt;0",'سجل التحفيز'!$B$5:$B$2004,B266)&gt;0,COUNT(W$4:W265)+1,""))</f>
        <v/>
      </c>
      <c r="X266">
        <f>IF(B266="","",IF(COUNTIFS('سجل التحفيز'!$AD$5:$AD$2004,"&gt;0",'سجل التحفيز'!$B$5:$B$2004,B266)&gt;0,COUNT(X$4:X265)+1,""))</f>
        <v/>
      </c>
      <c r="Y266">
        <f>IF(B266="","",IF(COUNTIFS('سجل التحفيز'!$AE$5:$AE$2004,"&gt;0",'سجل التحفيز'!$B$5:$B$2004,B266)&gt;0,COUNT(Y$4:Y265)+1,""))</f>
        <v/>
      </c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20">
        <f>IF(B267="","",COUNTIFS('سجل التحفيز'!$B$5:$B$2004,B267,'سجل التحفيز'!$R$5:$R$2004,الإعدادات!$B$4))</f>
        <v/>
      </c>
      <c r="I267" s="20">
        <f>IF(B267="","",COUNTIFS('سجل التحفيز'!$B$5:$B$2004,B267,'سجل التحفيز'!$R$5:$R$2004,الإعدادات!$B$4,'سجل التحفيز'!$Q$5:$Q$2004,"الفصل الأول",'سجل التحفيز'!$D$5:$D$2004,"ذهبي"))</f>
        <v/>
      </c>
      <c r="J267" s="20">
        <f>IF(B267="","",COUNTIFS('سجل التحفيز'!$B$5:$B$2004,B267,'سجل التحفيز'!$R$5:$R$2004,الإعدادات!$B$4,'سجل التحفيز'!$Q$5:$Q$2004,"الفصل الثاني",'سجل التحفيز'!$D$5:$D$2004,"ذهبي"))</f>
        <v/>
      </c>
      <c r="K267" s="20">
        <f>IF(B267="","",COUNTIFS('سجل التحفيز'!$B$5:$B$2004,B267,'سجل التحفيز'!$R$5:$R$2004,الإعدادات!$B$4,'سجل التحفيز'!$D$5:$D$2004,"ذهبي"))</f>
        <v/>
      </c>
      <c r="L267" s="20">
        <f>IF(B267="","",IF(G267="محرومة","محرومة - مخالفة",IF(K267&gt;=5,"مستحقة ★","متبقي "&amp;(5-K267)&amp;" معايير")))</f>
        <v/>
      </c>
      <c r="N267">
        <f>IF(B267="","",IF(COUNTIFS('سجل التحفيز'!$T$5:$T$2004,"&gt;0",'سجل التحفيز'!$B$5:$B$2004,B267)&gt;0,COUNT(N$4:N266)+1,""))</f>
        <v/>
      </c>
      <c r="O267">
        <f>IF(B267="","",IF(COUNTIFS('سجل التحفيز'!$U$5:$U$2004,"&gt;0",'سجل التحفيز'!$B$5:$B$2004,B267)&gt;0,COUNT(O$4:O266)+1,""))</f>
        <v/>
      </c>
      <c r="P267">
        <f>IF(B267="","",IF(COUNTIFS('سجل التحفيز'!$V$5:$V$2004,"&gt;0",'سجل التحفيز'!$B$5:$B$2004,B267)&gt;0,COUNT(P$4:P266)+1,""))</f>
        <v/>
      </c>
      <c r="Q267">
        <f>IF(B267="","",IF(COUNTIFS('سجل التحفيز'!$W$5:$W$2004,"&gt;0",'سجل التحفيز'!$B$5:$B$2004,B267)&gt;0,COUNT(Q$4:Q266)+1,""))</f>
        <v/>
      </c>
      <c r="R267">
        <f>IF(B267="","",IF(COUNTIFS('سجل التحفيز'!$X$5:$X$2004,"&gt;0",'سجل التحفيز'!$B$5:$B$2004,B267)&gt;0,COUNT(R$4:R266)+1,""))</f>
        <v/>
      </c>
      <c r="S267">
        <f>IF(B267="","",IF(COUNTIFS('سجل التحفيز'!$Y$5:$Y$2004,"&gt;0",'سجل التحفيز'!$B$5:$B$2004,B267)&gt;0,COUNT(S$4:S266)+1,""))</f>
        <v/>
      </c>
      <c r="T267">
        <f>IF(B267="","",IF(COUNTIFS('سجل التحفيز'!$Z$5:$Z$2004,"&gt;0",'سجل التحفيز'!$B$5:$B$2004,B267)&gt;0,COUNT(T$4:T266)+1,""))</f>
        <v/>
      </c>
      <c r="U267">
        <f>IF(B267="","",IF(COUNTIFS('سجل التحفيز'!$AA$5:$AA$2004,"&gt;0",'سجل التحفيز'!$B$5:$B$2004,B267)&gt;0,COUNT(U$4:U266)+1,""))</f>
        <v/>
      </c>
      <c r="V267">
        <f>IF(B267="","",IF(COUNTIFS('سجل التحفيز'!$AB$5:$AB$2004,"&gt;0",'سجل التحفيز'!$B$5:$B$2004,B267)&gt;0,COUNT(V$4:V266)+1,""))</f>
        <v/>
      </c>
      <c r="W267">
        <f>IF(B267="","",IF(COUNTIFS('سجل التحفيز'!$AC$5:$AC$2004,"&gt;0",'سجل التحفيز'!$B$5:$B$2004,B267)&gt;0,COUNT(W$4:W266)+1,""))</f>
        <v/>
      </c>
      <c r="X267">
        <f>IF(B267="","",IF(COUNTIFS('سجل التحفيز'!$AD$5:$AD$2004,"&gt;0",'سجل التحفيز'!$B$5:$B$2004,B267)&gt;0,COUNT(X$4:X266)+1,""))</f>
        <v/>
      </c>
      <c r="Y267">
        <f>IF(B267="","",IF(COUNTIFS('سجل التحفيز'!$AE$5:$AE$2004,"&gt;0",'سجل التحفيز'!$B$5:$B$2004,B267)&gt;0,COUNT(Y$4:Y266)+1,""))</f>
        <v/>
      </c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20">
        <f>IF(B268="","",COUNTIFS('سجل التحفيز'!$B$5:$B$2004,B268,'سجل التحفيز'!$R$5:$R$2004,الإعدادات!$B$4))</f>
        <v/>
      </c>
      <c r="I268" s="20">
        <f>IF(B268="","",COUNTIFS('سجل التحفيز'!$B$5:$B$2004,B268,'سجل التحفيز'!$R$5:$R$2004,الإعدادات!$B$4,'سجل التحفيز'!$Q$5:$Q$2004,"الفصل الأول",'سجل التحفيز'!$D$5:$D$2004,"ذهبي"))</f>
        <v/>
      </c>
      <c r="J268" s="20">
        <f>IF(B268="","",COUNTIFS('سجل التحفيز'!$B$5:$B$2004,B268,'سجل التحفيز'!$R$5:$R$2004,الإعدادات!$B$4,'سجل التحفيز'!$Q$5:$Q$2004,"الفصل الثاني",'سجل التحفيز'!$D$5:$D$2004,"ذهبي"))</f>
        <v/>
      </c>
      <c r="K268" s="20">
        <f>IF(B268="","",COUNTIFS('سجل التحفيز'!$B$5:$B$2004,B268,'سجل التحفيز'!$R$5:$R$2004,الإعدادات!$B$4,'سجل التحفيز'!$D$5:$D$2004,"ذهبي"))</f>
        <v/>
      </c>
      <c r="L268" s="20">
        <f>IF(B268="","",IF(G268="محرومة","محرومة - مخالفة",IF(K268&gt;=5,"مستحقة ★","متبقي "&amp;(5-K268)&amp;" معايير")))</f>
        <v/>
      </c>
      <c r="N268">
        <f>IF(B268="","",IF(COUNTIFS('سجل التحفيز'!$T$5:$T$2004,"&gt;0",'سجل التحفيز'!$B$5:$B$2004,B268)&gt;0,COUNT(N$4:N267)+1,""))</f>
        <v/>
      </c>
      <c r="O268">
        <f>IF(B268="","",IF(COUNTIFS('سجل التحفيز'!$U$5:$U$2004,"&gt;0",'سجل التحفيز'!$B$5:$B$2004,B268)&gt;0,COUNT(O$4:O267)+1,""))</f>
        <v/>
      </c>
      <c r="P268">
        <f>IF(B268="","",IF(COUNTIFS('سجل التحفيز'!$V$5:$V$2004,"&gt;0",'سجل التحفيز'!$B$5:$B$2004,B268)&gt;0,COUNT(P$4:P267)+1,""))</f>
        <v/>
      </c>
      <c r="Q268">
        <f>IF(B268="","",IF(COUNTIFS('سجل التحفيز'!$W$5:$W$2004,"&gt;0",'سجل التحفيز'!$B$5:$B$2004,B268)&gt;0,COUNT(Q$4:Q267)+1,""))</f>
        <v/>
      </c>
      <c r="R268">
        <f>IF(B268="","",IF(COUNTIFS('سجل التحفيز'!$X$5:$X$2004,"&gt;0",'سجل التحفيز'!$B$5:$B$2004,B268)&gt;0,COUNT(R$4:R267)+1,""))</f>
        <v/>
      </c>
      <c r="S268">
        <f>IF(B268="","",IF(COUNTIFS('سجل التحفيز'!$Y$5:$Y$2004,"&gt;0",'سجل التحفيز'!$B$5:$B$2004,B268)&gt;0,COUNT(S$4:S267)+1,""))</f>
        <v/>
      </c>
      <c r="T268">
        <f>IF(B268="","",IF(COUNTIFS('سجل التحفيز'!$Z$5:$Z$2004,"&gt;0",'سجل التحفيز'!$B$5:$B$2004,B268)&gt;0,COUNT(T$4:T267)+1,""))</f>
        <v/>
      </c>
      <c r="U268">
        <f>IF(B268="","",IF(COUNTIFS('سجل التحفيز'!$AA$5:$AA$2004,"&gt;0",'سجل التحفيز'!$B$5:$B$2004,B268)&gt;0,COUNT(U$4:U267)+1,""))</f>
        <v/>
      </c>
      <c r="V268">
        <f>IF(B268="","",IF(COUNTIFS('سجل التحفيز'!$AB$5:$AB$2004,"&gt;0",'سجل التحفيز'!$B$5:$B$2004,B268)&gt;0,COUNT(V$4:V267)+1,""))</f>
        <v/>
      </c>
      <c r="W268">
        <f>IF(B268="","",IF(COUNTIFS('سجل التحفيز'!$AC$5:$AC$2004,"&gt;0",'سجل التحفيز'!$B$5:$B$2004,B268)&gt;0,COUNT(W$4:W267)+1,""))</f>
        <v/>
      </c>
      <c r="X268">
        <f>IF(B268="","",IF(COUNTIFS('سجل التحفيز'!$AD$5:$AD$2004,"&gt;0",'سجل التحفيز'!$B$5:$B$2004,B268)&gt;0,COUNT(X$4:X267)+1,""))</f>
        <v/>
      </c>
      <c r="Y268">
        <f>IF(B268="","",IF(COUNTIFS('سجل التحفيز'!$AE$5:$AE$2004,"&gt;0",'سجل التحفيز'!$B$5:$B$2004,B268)&gt;0,COUNT(Y$4:Y267)+1,""))</f>
        <v/>
      </c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20">
        <f>IF(B269="","",COUNTIFS('سجل التحفيز'!$B$5:$B$2004,B269,'سجل التحفيز'!$R$5:$R$2004,الإعدادات!$B$4))</f>
        <v/>
      </c>
      <c r="I269" s="20">
        <f>IF(B269="","",COUNTIFS('سجل التحفيز'!$B$5:$B$2004,B269,'سجل التحفيز'!$R$5:$R$2004,الإعدادات!$B$4,'سجل التحفيز'!$Q$5:$Q$2004,"الفصل الأول",'سجل التحفيز'!$D$5:$D$2004,"ذهبي"))</f>
        <v/>
      </c>
      <c r="J269" s="20">
        <f>IF(B269="","",COUNTIFS('سجل التحفيز'!$B$5:$B$2004,B269,'سجل التحفيز'!$R$5:$R$2004,الإعدادات!$B$4,'سجل التحفيز'!$Q$5:$Q$2004,"الفصل الثاني",'سجل التحفيز'!$D$5:$D$2004,"ذهبي"))</f>
        <v/>
      </c>
      <c r="K269" s="20">
        <f>IF(B269="","",COUNTIFS('سجل التحفيز'!$B$5:$B$2004,B269,'سجل التحفيز'!$R$5:$R$2004,الإعدادات!$B$4,'سجل التحفيز'!$D$5:$D$2004,"ذهبي"))</f>
        <v/>
      </c>
      <c r="L269" s="20">
        <f>IF(B269="","",IF(G269="محرومة","محرومة - مخالفة",IF(K269&gt;=5,"مستحقة ★","متبقي "&amp;(5-K269)&amp;" معايير")))</f>
        <v/>
      </c>
      <c r="N269">
        <f>IF(B269="","",IF(COUNTIFS('سجل التحفيز'!$T$5:$T$2004,"&gt;0",'سجل التحفيز'!$B$5:$B$2004,B269)&gt;0,COUNT(N$4:N268)+1,""))</f>
        <v/>
      </c>
      <c r="O269">
        <f>IF(B269="","",IF(COUNTIFS('سجل التحفيز'!$U$5:$U$2004,"&gt;0",'سجل التحفيز'!$B$5:$B$2004,B269)&gt;0,COUNT(O$4:O268)+1,""))</f>
        <v/>
      </c>
      <c r="P269">
        <f>IF(B269="","",IF(COUNTIFS('سجل التحفيز'!$V$5:$V$2004,"&gt;0",'سجل التحفيز'!$B$5:$B$2004,B269)&gt;0,COUNT(P$4:P268)+1,""))</f>
        <v/>
      </c>
      <c r="Q269">
        <f>IF(B269="","",IF(COUNTIFS('سجل التحفيز'!$W$5:$W$2004,"&gt;0",'سجل التحفيز'!$B$5:$B$2004,B269)&gt;0,COUNT(Q$4:Q268)+1,""))</f>
        <v/>
      </c>
      <c r="R269">
        <f>IF(B269="","",IF(COUNTIFS('سجل التحفيز'!$X$5:$X$2004,"&gt;0",'سجل التحفيز'!$B$5:$B$2004,B269)&gt;0,COUNT(R$4:R268)+1,""))</f>
        <v/>
      </c>
      <c r="S269">
        <f>IF(B269="","",IF(COUNTIFS('سجل التحفيز'!$Y$5:$Y$2004,"&gt;0",'سجل التحفيز'!$B$5:$B$2004,B269)&gt;0,COUNT(S$4:S268)+1,""))</f>
        <v/>
      </c>
      <c r="T269">
        <f>IF(B269="","",IF(COUNTIFS('سجل التحفيز'!$Z$5:$Z$2004,"&gt;0",'سجل التحفيز'!$B$5:$B$2004,B269)&gt;0,COUNT(T$4:T268)+1,""))</f>
        <v/>
      </c>
      <c r="U269">
        <f>IF(B269="","",IF(COUNTIFS('سجل التحفيز'!$AA$5:$AA$2004,"&gt;0",'سجل التحفيز'!$B$5:$B$2004,B269)&gt;0,COUNT(U$4:U268)+1,""))</f>
        <v/>
      </c>
      <c r="V269">
        <f>IF(B269="","",IF(COUNTIFS('سجل التحفيز'!$AB$5:$AB$2004,"&gt;0",'سجل التحفيز'!$B$5:$B$2004,B269)&gt;0,COUNT(V$4:V268)+1,""))</f>
        <v/>
      </c>
      <c r="W269">
        <f>IF(B269="","",IF(COUNTIFS('سجل التحفيز'!$AC$5:$AC$2004,"&gt;0",'سجل التحفيز'!$B$5:$B$2004,B269)&gt;0,COUNT(W$4:W268)+1,""))</f>
        <v/>
      </c>
      <c r="X269">
        <f>IF(B269="","",IF(COUNTIFS('سجل التحفيز'!$AD$5:$AD$2004,"&gt;0",'سجل التحفيز'!$B$5:$B$2004,B269)&gt;0,COUNT(X$4:X268)+1,""))</f>
        <v/>
      </c>
      <c r="Y269">
        <f>IF(B269="","",IF(COUNTIFS('سجل التحفيز'!$AE$5:$AE$2004,"&gt;0",'سجل التحفيز'!$B$5:$B$2004,B269)&gt;0,COUNT(Y$4:Y268)+1,""))</f>
        <v/>
      </c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20">
        <f>IF(B270="","",COUNTIFS('سجل التحفيز'!$B$5:$B$2004,B270,'سجل التحفيز'!$R$5:$R$2004,الإعدادات!$B$4))</f>
        <v/>
      </c>
      <c r="I270" s="20">
        <f>IF(B270="","",COUNTIFS('سجل التحفيز'!$B$5:$B$2004,B270,'سجل التحفيز'!$R$5:$R$2004,الإعدادات!$B$4,'سجل التحفيز'!$Q$5:$Q$2004,"الفصل الأول",'سجل التحفيز'!$D$5:$D$2004,"ذهبي"))</f>
        <v/>
      </c>
      <c r="J270" s="20">
        <f>IF(B270="","",COUNTIFS('سجل التحفيز'!$B$5:$B$2004,B270,'سجل التحفيز'!$R$5:$R$2004,الإعدادات!$B$4,'سجل التحفيز'!$Q$5:$Q$2004,"الفصل الثاني",'سجل التحفيز'!$D$5:$D$2004,"ذهبي"))</f>
        <v/>
      </c>
      <c r="K270" s="20">
        <f>IF(B270="","",COUNTIFS('سجل التحفيز'!$B$5:$B$2004,B270,'سجل التحفيز'!$R$5:$R$2004,الإعدادات!$B$4,'سجل التحفيز'!$D$5:$D$2004,"ذهبي"))</f>
        <v/>
      </c>
      <c r="L270" s="20">
        <f>IF(B270="","",IF(G270="محرومة","محرومة - مخالفة",IF(K270&gt;=5,"مستحقة ★","متبقي "&amp;(5-K270)&amp;" معايير")))</f>
        <v/>
      </c>
      <c r="N270">
        <f>IF(B270="","",IF(COUNTIFS('سجل التحفيز'!$T$5:$T$2004,"&gt;0",'سجل التحفيز'!$B$5:$B$2004,B270)&gt;0,COUNT(N$4:N269)+1,""))</f>
        <v/>
      </c>
      <c r="O270">
        <f>IF(B270="","",IF(COUNTIFS('سجل التحفيز'!$U$5:$U$2004,"&gt;0",'سجل التحفيز'!$B$5:$B$2004,B270)&gt;0,COUNT(O$4:O269)+1,""))</f>
        <v/>
      </c>
      <c r="P270">
        <f>IF(B270="","",IF(COUNTIFS('سجل التحفيز'!$V$5:$V$2004,"&gt;0",'سجل التحفيز'!$B$5:$B$2004,B270)&gt;0,COUNT(P$4:P269)+1,""))</f>
        <v/>
      </c>
      <c r="Q270">
        <f>IF(B270="","",IF(COUNTIFS('سجل التحفيز'!$W$5:$W$2004,"&gt;0",'سجل التحفيز'!$B$5:$B$2004,B270)&gt;0,COUNT(Q$4:Q269)+1,""))</f>
        <v/>
      </c>
      <c r="R270">
        <f>IF(B270="","",IF(COUNTIFS('سجل التحفيز'!$X$5:$X$2004,"&gt;0",'سجل التحفيز'!$B$5:$B$2004,B270)&gt;0,COUNT(R$4:R269)+1,""))</f>
        <v/>
      </c>
      <c r="S270">
        <f>IF(B270="","",IF(COUNTIFS('سجل التحفيز'!$Y$5:$Y$2004,"&gt;0",'سجل التحفيز'!$B$5:$B$2004,B270)&gt;0,COUNT(S$4:S269)+1,""))</f>
        <v/>
      </c>
      <c r="T270">
        <f>IF(B270="","",IF(COUNTIFS('سجل التحفيز'!$Z$5:$Z$2004,"&gt;0",'سجل التحفيز'!$B$5:$B$2004,B270)&gt;0,COUNT(T$4:T269)+1,""))</f>
        <v/>
      </c>
      <c r="U270">
        <f>IF(B270="","",IF(COUNTIFS('سجل التحفيز'!$AA$5:$AA$2004,"&gt;0",'سجل التحفيز'!$B$5:$B$2004,B270)&gt;0,COUNT(U$4:U269)+1,""))</f>
        <v/>
      </c>
      <c r="V270">
        <f>IF(B270="","",IF(COUNTIFS('سجل التحفيز'!$AB$5:$AB$2004,"&gt;0",'سجل التحفيز'!$B$5:$B$2004,B270)&gt;0,COUNT(V$4:V269)+1,""))</f>
        <v/>
      </c>
      <c r="W270">
        <f>IF(B270="","",IF(COUNTIFS('سجل التحفيز'!$AC$5:$AC$2004,"&gt;0",'سجل التحفيز'!$B$5:$B$2004,B270)&gt;0,COUNT(W$4:W269)+1,""))</f>
        <v/>
      </c>
      <c r="X270">
        <f>IF(B270="","",IF(COUNTIFS('سجل التحفيز'!$AD$5:$AD$2004,"&gt;0",'سجل التحفيز'!$B$5:$B$2004,B270)&gt;0,COUNT(X$4:X269)+1,""))</f>
        <v/>
      </c>
      <c r="Y270">
        <f>IF(B270="","",IF(COUNTIFS('سجل التحفيز'!$AE$5:$AE$2004,"&gt;0",'سجل التحفيز'!$B$5:$B$2004,B270)&gt;0,COUNT(Y$4:Y269)+1,""))</f>
        <v/>
      </c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20">
        <f>IF(B271="","",COUNTIFS('سجل التحفيز'!$B$5:$B$2004,B271,'سجل التحفيز'!$R$5:$R$2004,الإعدادات!$B$4))</f>
        <v/>
      </c>
      <c r="I271" s="20">
        <f>IF(B271="","",COUNTIFS('سجل التحفيز'!$B$5:$B$2004,B271,'سجل التحفيز'!$R$5:$R$2004,الإعدادات!$B$4,'سجل التحفيز'!$Q$5:$Q$2004,"الفصل الأول",'سجل التحفيز'!$D$5:$D$2004,"ذهبي"))</f>
        <v/>
      </c>
      <c r="J271" s="20">
        <f>IF(B271="","",COUNTIFS('سجل التحفيز'!$B$5:$B$2004,B271,'سجل التحفيز'!$R$5:$R$2004,الإعدادات!$B$4,'سجل التحفيز'!$Q$5:$Q$2004,"الفصل الثاني",'سجل التحفيز'!$D$5:$D$2004,"ذهبي"))</f>
        <v/>
      </c>
      <c r="K271" s="20">
        <f>IF(B271="","",COUNTIFS('سجل التحفيز'!$B$5:$B$2004,B271,'سجل التحفيز'!$R$5:$R$2004,الإعدادات!$B$4,'سجل التحفيز'!$D$5:$D$2004,"ذهبي"))</f>
        <v/>
      </c>
      <c r="L271" s="20">
        <f>IF(B271="","",IF(G271="محرومة","محرومة - مخالفة",IF(K271&gt;=5,"مستحقة ★","متبقي "&amp;(5-K271)&amp;" معايير")))</f>
        <v/>
      </c>
      <c r="N271">
        <f>IF(B271="","",IF(COUNTIFS('سجل التحفيز'!$T$5:$T$2004,"&gt;0",'سجل التحفيز'!$B$5:$B$2004,B271)&gt;0,COUNT(N$4:N270)+1,""))</f>
        <v/>
      </c>
      <c r="O271">
        <f>IF(B271="","",IF(COUNTIFS('سجل التحفيز'!$U$5:$U$2004,"&gt;0",'سجل التحفيز'!$B$5:$B$2004,B271)&gt;0,COUNT(O$4:O270)+1,""))</f>
        <v/>
      </c>
      <c r="P271">
        <f>IF(B271="","",IF(COUNTIFS('سجل التحفيز'!$V$5:$V$2004,"&gt;0",'سجل التحفيز'!$B$5:$B$2004,B271)&gt;0,COUNT(P$4:P270)+1,""))</f>
        <v/>
      </c>
      <c r="Q271">
        <f>IF(B271="","",IF(COUNTIFS('سجل التحفيز'!$W$5:$W$2004,"&gt;0",'سجل التحفيز'!$B$5:$B$2004,B271)&gt;0,COUNT(Q$4:Q270)+1,""))</f>
        <v/>
      </c>
      <c r="R271">
        <f>IF(B271="","",IF(COUNTIFS('سجل التحفيز'!$X$5:$X$2004,"&gt;0",'سجل التحفيز'!$B$5:$B$2004,B271)&gt;0,COUNT(R$4:R270)+1,""))</f>
        <v/>
      </c>
      <c r="S271">
        <f>IF(B271="","",IF(COUNTIFS('سجل التحفيز'!$Y$5:$Y$2004,"&gt;0",'سجل التحفيز'!$B$5:$B$2004,B271)&gt;0,COUNT(S$4:S270)+1,""))</f>
        <v/>
      </c>
      <c r="T271">
        <f>IF(B271="","",IF(COUNTIFS('سجل التحفيز'!$Z$5:$Z$2004,"&gt;0",'سجل التحفيز'!$B$5:$B$2004,B271)&gt;0,COUNT(T$4:T270)+1,""))</f>
        <v/>
      </c>
      <c r="U271">
        <f>IF(B271="","",IF(COUNTIFS('سجل التحفيز'!$AA$5:$AA$2004,"&gt;0",'سجل التحفيز'!$B$5:$B$2004,B271)&gt;0,COUNT(U$4:U270)+1,""))</f>
        <v/>
      </c>
      <c r="V271">
        <f>IF(B271="","",IF(COUNTIFS('سجل التحفيز'!$AB$5:$AB$2004,"&gt;0",'سجل التحفيز'!$B$5:$B$2004,B271)&gt;0,COUNT(V$4:V270)+1,""))</f>
        <v/>
      </c>
      <c r="W271">
        <f>IF(B271="","",IF(COUNTIFS('سجل التحفيز'!$AC$5:$AC$2004,"&gt;0",'سجل التحفيز'!$B$5:$B$2004,B271)&gt;0,COUNT(W$4:W270)+1,""))</f>
        <v/>
      </c>
      <c r="X271">
        <f>IF(B271="","",IF(COUNTIFS('سجل التحفيز'!$AD$5:$AD$2004,"&gt;0",'سجل التحفيز'!$B$5:$B$2004,B271)&gt;0,COUNT(X$4:X270)+1,""))</f>
        <v/>
      </c>
      <c r="Y271">
        <f>IF(B271="","",IF(COUNTIFS('سجل التحفيز'!$AE$5:$AE$2004,"&gt;0",'سجل التحفيز'!$B$5:$B$2004,B271)&gt;0,COUNT(Y$4:Y270)+1,""))</f>
        <v/>
      </c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20">
        <f>IF(B272="","",COUNTIFS('سجل التحفيز'!$B$5:$B$2004,B272,'سجل التحفيز'!$R$5:$R$2004,الإعدادات!$B$4))</f>
        <v/>
      </c>
      <c r="I272" s="20">
        <f>IF(B272="","",COUNTIFS('سجل التحفيز'!$B$5:$B$2004,B272,'سجل التحفيز'!$R$5:$R$2004,الإعدادات!$B$4,'سجل التحفيز'!$Q$5:$Q$2004,"الفصل الأول",'سجل التحفيز'!$D$5:$D$2004,"ذهبي"))</f>
        <v/>
      </c>
      <c r="J272" s="20">
        <f>IF(B272="","",COUNTIFS('سجل التحفيز'!$B$5:$B$2004,B272,'سجل التحفيز'!$R$5:$R$2004,الإعدادات!$B$4,'سجل التحفيز'!$Q$5:$Q$2004,"الفصل الثاني",'سجل التحفيز'!$D$5:$D$2004,"ذهبي"))</f>
        <v/>
      </c>
      <c r="K272" s="20">
        <f>IF(B272="","",COUNTIFS('سجل التحفيز'!$B$5:$B$2004,B272,'سجل التحفيز'!$R$5:$R$2004,الإعدادات!$B$4,'سجل التحفيز'!$D$5:$D$2004,"ذهبي"))</f>
        <v/>
      </c>
      <c r="L272" s="20">
        <f>IF(B272="","",IF(G272="محرومة","محرومة - مخالفة",IF(K272&gt;=5,"مستحقة ★","متبقي "&amp;(5-K272)&amp;" معايير")))</f>
        <v/>
      </c>
      <c r="N272">
        <f>IF(B272="","",IF(COUNTIFS('سجل التحفيز'!$T$5:$T$2004,"&gt;0",'سجل التحفيز'!$B$5:$B$2004,B272)&gt;0,COUNT(N$4:N271)+1,""))</f>
        <v/>
      </c>
      <c r="O272">
        <f>IF(B272="","",IF(COUNTIFS('سجل التحفيز'!$U$5:$U$2004,"&gt;0",'سجل التحفيز'!$B$5:$B$2004,B272)&gt;0,COUNT(O$4:O271)+1,""))</f>
        <v/>
      </c>
      <c r="P272">
        <f>IF(B272="","",IF(COUNTIFS('سجل التحفيز'!$V$5:$V$2004,"&gt;0",'سجل التحفيز'!$B$5:$B$2004,B272)&gt;0,COUNT(P$4:P271)+1,""))</f>
        <v/>
      </c>
      <c r="Q272">
        <f>IF(B272="","",IF(COUNTIFS('سجل التحفيز'!$W$5:$W$2004,"&gt;0",'سجل التحفيز'!$B$5:$B$2004,B272)&gt;0,COUNT(Q$4:Q271)+1,""))</f>
        <v/>
      </c>
      <c r="R272">
        <f>IF(B272="","",IF(COUNTIFS('سجل التحفيز'!$X$5:$X$2004,"&gt;0",'سجل التحفيز'!$B$5:$B$2004,B272)&gt;0,COUNT(R$4:R271)+1,""))</f>
        <v/>
      </c>
      <c r="S272">
        <f>IF(B272="","",IF(COUNTIFS('سجل التحفيز'!$Y$5:$Y$2004,"&gt;0",'سجل التحفيز'!$B$5:$B$2004,B272)&gt;0,COUNT(S$4:S271)+1,""))</f>
        <v/>
      </c>
      <c r="T272">
        <f>IF(B272="","",IF(COUNTIFS('سجل التحفيز'!$Z$5:$Z$2004,"&gt;0",'سجل التحفيز'!$B$5:$B$2004,B272)&gt;0,COUNT(T$4:T271)+1,""))</f>
        <v/>
      </c>
      <c r="U272">
        <f>IF(B272="","",IF(COUNTIFS('سجل التحفيز'!$AA$5:$AA$2004,"&gt;0",'سجل التحفيز'!$B$5:$B$2004,B272)&gt;0,COUNT(U$4:U271)+1,""))</f>
        <v/>
      </c>
      <c r="V272">
        <f>IF(B272="","",IF(COUNTIFS('سجل التحفيز'!$AB$5:$AB$2004,"&gt;0",'سجل التحفيز'!$B$5:$B$2004,B272)&gt;0,COUNT(V$4:V271)+1,""))</f>
        <v/>
      </c>
      <c r="W272">
        <f>IF(B272="","",IF(COUNTIFS('سجل التحفيز'!$AC$5:$AC$2004,"&gt;0",'سجل التحفيز'!$B$5:$B$2004,B272)&gt;0,COUNT(W$4:W271)+1,""))</f>
        <v/>
      </c>
      <c r="X272">
        <f>IF(B272="","",IF(COUNTIFS('سجل التحفيز'!$AD$5:$AD$2004,"&gt;0",'سجل التحفيز'!$B$5:$B$2004,B272)&gt;0,COUNT(X$4:X271)+1,""))</f>
        <v/>
      </c>
      <c r="Y272">
        <f>IF(B272="","",IF(COUNTIFS('سجل التحفيز'!$AE$5:$AE$2004,"&gt;0",'سجل التحفيز'!$B$5:$B$2004,B272)&gt;0,COUNT(Y$4:Y271)+1,""))</f>
        <v/>
      </c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20">
        <f>IF(B273="","",COUNTIFS('سجل التحفيز'!$B$5:$B$2004,B273,'سجل التحفيز'!$R$5:$R$2004,الإعدادات!$B$4))</f>
        <v/>
      </c>
      <c r="I273" s="20">
        <f>IF(B273="","",COUNTIFS('سجل التحفيز'!$B$5:$B$2004,B273,'سجل التحفيز'!$R$5:$R$2004,الإعدادات!$B$4,'سجل التحفيز'!$Q$5:$Q$2004,"الفصل الأول",'سجل التحفيز'!$D$5:$D$2004,"ذهبي"))</f>
        <v/>
      </c>
      <c r="J273" s="20">
        <f>IF(B273="","",COUNTIFS('سجل التحفيز'!$B$5:$B$2004,B273,'سجل التحفيز'!$R$5:$R$2004,الإعدادات!$B$4,'سجل التحفيز'!$Q$5:$Q$2004,"الفصل الثاني",'سجل التحفيز'!$D$5:$D$2004,"ذهبي"))</f>
        <v/>
      </c>
      <c r="K273" s="20">
        <f>IF(B273="","",COUNTIFS('سجل التحفيز'!$B$5:$B$2004,B273,'سجل التحفيز'!$R$5:$R$2004,الإعدادات!$B$4,'سجل التحفيز'!$D$5:$D$2004,"ذهبي"))</f>
        <v/>
      </c>
      <c r="L273" s="20">
        <f>IF(B273="","",IF(G273="محرومة","محرومة - مخالفة",IF(K273&gt;=5,"مستحقة ★","متبقي "&amp;(5-K273)&amp;" معايير")))</f>
        <v/>
      </c>
      <c r="N273">
        <f>IF(B273="","",IF(COUNTIFS('سجل التحفيز'!$T$5:$T$2004,"&gt;0",'سجل التحفيز'!$B$5:$B$2004,B273)&gt;0,COUNT(N$4:N272)+1,""))</f>
        <v/>
      </c>
      <c r="O273">
        <f>IF(B273="","",IF(COUNTIFS('سجل التحفيز'!$U$5:$U$2004,"&gt;0",'سجل التحفيز'!$B$5:$B$2004,B273)&gt;0,COUNT(O$4:O272)+1,""))</f>
        <v/>
      </c>
      <c r="P273">
        <f>IF(B273="","",IF(COUNTIFS('سجل التحفيز'!$V$5:$V$2004,"&gt;0",'سجل التحفيز'!$B$5:$B$2004,B273)&gt;0,COUNT(P$4:P272)+1,""))</f>
        <v/>
      </c>
      <c r="Q273">
        <f>IF(B273="","",IF(COUNTIFS('سجل التحفيز'!$W$5:$W$2004,"&gt;0",'سجل التحفيز'!$B$5:$B$2004,B273)&gt;0,COUNT(Q$4:Q272)+1,""))</f>
        <v/>
      </c>
      <c r="R273">
        <f>IF(B273="","",IF(COUNTIFS('سجل التحفيز'!$X$5:$X$2004,"&gt;0",'سجل التحفيز'!$B$5:$B$2004,B273)&gt;0,COUNT(R$4:R272)+1,""))</f>
        <v/>
      </c>
      <c r="S273">
        <f>IF(B273="","",IF(COUNTIFS('سجل التحفيز'!$Y$5:$Y$2004,"&gt;0",'سجل التحفيز'!$B$5:$B$2004,B273)&gt;0,COUNT(S$4:S272)+1,""))</f>
        <v/>
      </c>
      <c r="T273">
        <f>IF(B273="","",IF(COUNTIFS('سجل التحفيز'!$Z$5:$Z$2004,"&gt;0",'سجل التحفيز'!$B$5:$B$2004,B273)&gt;0,COUNT(T$4:T272)+1,""))</f>
        <v/>
      </c>
      <c r="U273">
        <f>IF(B273="","",IF(COUNTIFS('سجل التحفيز'!$AA$5:$AA$2004,"&gt;0",'سجل التحفيز'!$B$5:$B$2004,B273)&gt;0,COUNT(U$4:U272)+1,""))</f>
        <v/>
      </c>
      <c r="V273">
        <f>IF(B273="","",IF(COUNTIFS('سجل التحفيز'!$AB$5:$AB$2004,"&gt;0",'سجل التحفيز'!$B$5:$B$2004,B273)&gt;0,COUNT(V$4:V272)+1,""))</f>
        <v/>
      </c>
      <c r="W273">
        <f>IF(B273="","",IF(COUNTIFS('سجل التحفيز'!$AC$5:$AC$2004,"&gt;0",'سجل التحفيز'!$B$5:$B$2004,B273)&gt;0,COUNT(W$4:W272)+1,""))</f>
        <v/>
      </c>
      <c r="X273">
        <f>IF(B273="","",IF(COUNTIFS('سجل التحفيز'!$AD$5:$AD$2004,"&gt;0",'سجل التحفيز'!$B$5:$B$2004,B273)&gt;0,COUNT(X$4:X272)+1,""))</f>
        <v/>
      </c>
      <c r="Y273">
        <f>IF(B273="","",IF(COUNTIFS('سجل التحفيز'!$AE$5:$AE$2004,"&gt;0",'سجل التحفيز'!$B$5:$B$2004,B273)&gt;0,COUNT(Y$4:Y272)+1,""))</f>
        <v/>
      </c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20">
        <f>IF(B274="","",COUNTIFS('سجل التحفيز'!$B$5:$B$2004,B274,'سجل التحفيز'!$R$5:$R$2004,الإعدادات!$B$4))</f>
        <v/>
      </c>
      <c r="I274" s="20">
        <f>IF(B274="","",COUNTIFS('سجل التحفيز'!$B$5:$B$2004,B274,'سجل التحفيز'!$R$5:$R$2004,الإعدادات!$B$4,'سجل التحفيز'!$Q$5:$Q$2004,"الفصل الأول",'سجل التحفيز'!$D$5:$D$2004,"ذهبي"))</f>
        <v/>
      </c>
      <c r="J274" s="20">
        <f>IF(B274="","",COUNTIFS('سجل التحفيز'!$B$5:$B$2004,B274,'سجل التحفيز'!$R$5:$R$2004,الإعدادات!$B$4,'سجل التحفيز'!$Q$5:$Q$2004,"الفصل الثاني",'سجل التحفيز'!$D$5:$D$2004,"ذهبي"))</f>
        <v/>
      </c>
      <c r="K274" s="20">
        <f>IF(B274="","",COUNTIFS('سجل التحفيز'!$B$5:$B$2004,B274,'سجل التحفيز'!$R$5:$R$2004,الإعدادات!$B$4,'سجل التحفيز'!$D$5:$D$2004,"ذهبي"))</f>
        <v/>
      </c>
      <c r="L274" s="20">
        <f>IF(B274="","",IF(G274="محرومة","محرومة - مخالفة",IF(K274&gt;=5,"مستحقة ★","متبقي "&amp;(5-K274)&amp;" معايير")))</f>
        <v/>
      </c>
      <c r="N274">
        <f>IF(B274="","",IF(COUNTIFS('سجل التحفيز'!$T$5:$T$2004,"&gt;0",'سجل التحفيز'!$B$5:$B$2004,B274)&gt;0,COUNT(N$4:N273)+1,""))</f>
        <v/>
      </c>
      <c r="O274">
        <f>IF(B274="","",IF(COUNTIFS('سجل التحفيز'!$U$5:$U$2004,"&gt;0",'سجل التحفيز'!$B$5:$B$2004,B274)&gt;0,COUNT(O$4:O273)+1,""))</f>
        <v/>
      </c>
      <c r="P274">
        <f>IF(B274="","",IF(COUNTIFS('سجل التحفيز'!$V$5:$V$2004,"&gt;0",'سجل التحفيز'!$B$5:$B$2004,B274)&gt;0,COUNT(P$4:P273)+1,""))</f>
        <v/>
      </c>
      <c r="Q274">
        <f>IF(B274="","",IF(COUNTIFS('سجل التحفيز'!$W$5:$W$2004,"&gt;0",'سجل التحفيز'!$B$5:$B$2004,B274)&gt;0,COUNT(Q$4:Q273)+1,""))</f>
        <v/>
      </c>
      <c r="R274">
        <f>IF(B274="","",IF(COUNTIFS('سجل التحفيز'!$X$5:$X$2004,"&gt;0",'سجل التحفيز'!$B$5:$B$2004,B274)&gt;0,COUNT(R$4:R273)+1,""))</f>
        <v/>
      </c>
      <c r="S274">
        <f>IF(B274="","",IF(COUNTIFS('سجل التحفيز'!$Y$5:$Y$2004,"&gt;0",'سجل التحفيز'!$B$5:$B$2004,B274)&gt;0,COUNT(S$4:S273)+1,""))</f>
        <v/>
      </c>
      <c r="T274">
        <f>IF(B274="","",IF(COUNTIFS('سجل التحفيز'!$Z$5:$Z$2004,"&gt;0",'سجل التحفيز'!$B$5:$B$2004,B274)&gt;0,COUNT(T$4:T273)+1,""))</f>
        <v/>
      </c>
      <c r="U274">
        <f>IF(B274="","",IF(COUNTIFS('سجل التحفيز'!$AA$5:$AA$2004,"&gt;0",'سجل التحفيز'!$B$5:$B$2004,B274)&gt;0,COUNT(U$4:U273)+1,""))</f>
        <v/>
      </c>
      <c r="V274">
        <f>IF(B274="","",IF(COUNTIFS('سجل التحفيز'!$AB$5:$AB$2004,"&gt;0",'سجل التحفيز'!$B$5:$B$2004,B274)&gt;0,COUNT(V$4:V273)+1,""))</f>
        <v/>
      </c>
      <c r="W274">
        <f>IF(B274="","",IF(COUNTIFS('سجل التحفيز'!$AC$5:$AC$2004,"&gt;0",'سجل التحفيز'!$B$5:$B$2004,B274)&gt;0,COUNT(W$4:W273)+1,""))</f>
        <v/>
      </c>
      <c r="X274">
        <f>IF(B274="","",IF(COUNTIFS('سجل التحفيز'!$AD$5:$AD$2004,"&gt;0",'سجل التحفيز'!$B$5:$B$2004,B274)&gt;0,COUNT(X$4:X273)+1,""))</f>
        <v/>
      </c>
      <c r="Y274">
        <f>IF(B274="","",IF(COUNTIFS('سجل التحفيز'!$AE$5:$AE$2004,"&gt;0",'سجل التحفيز'!$B$5:$B$2004,B274)&gt;0,COUNT(Y$4:Y273)+1,""))</f>
        <v/>
      </c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20">
        <f>IF(B275="","",COUNTIFS('سجل التحفيز'!$B$5:$B$2004,B275,'سجل التحفيز'!$R$5:$R$2004,الإعدادات!$B$4))</f>
        <v/>
      </c>
      <c r="I275" s="20">
        <f>IF(B275="","",COUNTIFS('سجل التحفيز'!$B$5:$B$2004,B275,'سجل التحفيز'!$R$5:$R$2004,الإعدادات!$B$4,'سجل التحفيز'!$Q$5:$Q$2004,"الفصل الأول",'سجل التحفيز'!$D$5:$D$2004,"ذهبي"))</f>
        <v/>
      </c>
      <c r="J275" s="20">
        <f>IF(B275="","",COUNTIFS('سجل التحفيز'!$B$5:$B$2004,B275,'سجل التحفيز'!$R$5:$R$2004,الإعدادات!$B$4,'سجل التحفيز'!$Q$5:$Q$2004,"الفصل الثاني",'سجل التحفيز'!$D$5:$D$2004,"ذهبي"))</f>
        <v/>
      </c>
      <c r="K275" s="20">
        <f>IF(B275="","",COUNTIFS('سجل التحفيز'!$B$5:$B$2004,B275,'سجل التحفيز'!$R$5:$R$2004,الإعدادات!$B$4,'سجل التحفيز'!$D$5:$D$2004,"ذهبي"))</f>
        <v/>
      </c>
      <c r="L275" s="20">
        <f>IF(B275="","",IF(G275="محرومة","محرومة - مخالفة",IF(K275&gt;=5,"مستحقة ★","متبقي "&amp;(5-K275)&amp;" معايير")))</f>
        <v/>
      </c>
      <c r="N275">
        <f>IF(B275="","",IF(COUNTIFS('سجل التحفيز'!$T$5:$T$2004,"&gt;0",'سجل التحفيز'!$B$5:$B$2004,B275)&gt;0,COUNT(N$4:N274)+1,""))</f>
        <v/>
      </c>
      <c r="O275">
        <f>IF(B275="","",IF(COUNTIFS('سجل التحفيز'!$U$5:$U$2004,"&gt;0",'سجل التحفيز'!$B$5:$B$2004,B275)&gt;0,COUNT(O$4:O274)+1,""))</f>
        <v/>
      </c>
      <c r="P275">
        <f>IF(B275="","",IF(COUNTIFS('سجل التحفيز'!$V$5:$V$2004,"&gt;0",'سجل التحفيز'!$B$5:$B$2004,B275)&gt;0,COUNT(P$4:P274)+1,""))</f>
        <v/>
      </c>
      <c r="Q275">
        <f>IF(B275="","",IF(COUNTIFS('سجل التحفيز'!$W$5:$W$2004,"&gt;0",'سجل التحفيز'!$B$5:$B$2004,B275)&gt;0,COUNT(Q$4:Q274)+1,""))</f>
        <v/>
      </c>
      <c r="R275">
        <f>IF(B275="","",IF(COUNTIFS('سجل التحفيز'!$X$5:$X$2004,"&gt;0",'سجل التحفيز'!$B$5:$B$2004,B275)&gt;0,COUNT(R$4:R274)+1,""))</f>
        <v/>
      </c>
      <c r="S275">
        <f>IF(B275="","",IF(COUNTIFS('سجل التحفيز'!$Y$5:$Y$2004,"&gt;0",'سجل التحفيز'!$B$5:$B$2004,B275)&gt;0,COUNT(S$4:S274)+1,""))</f>
        <v/>
      </c>
      <c r="T275">
        <f>IF(B275="","",IF(COUNTIFS('سجل التحفيز'!$Z$5:$Z$2004,"&gt;0",'سجل التحفيز'!$B$5:$B$2004,B275)&gt;0,COUNT(T$4:T274)+1,""))</f>
        <v/>
      </c>
      <c r="U275">
        <f>IF(B275="","",IF(COUNTIFS('سجل التحفيز'!$AA$5:$AA$2004,"&gt;0",'سجل التحفيز'!$B$5:$B$2004,B275)&gt;0,COUNT(U$4:U274)+1,""))</f>
        <v/>
      </c>
      <c r="V275">
        <f>IF(B275="","",IF(COUNTIFS('سجل التحفيز'!$AB$5:$AB$2004,"&gt;0",'سجل التحفيز'!$B$5:$B$2004,B275)&gt;0,COUNT(V$4:V274)+1,""))</f>
        <v/>
      </c>
      <c r="W275">
        <f>IF(B275="","",IF(COUNTIFS('سجل التحفيز'!$AC$5:$AC$2004,"&gt;0",'سجل التحفيز'!$B$5:$B$2004,B275)&gt;0,COUNT(W$4:W274)+1,""))</f>
        <v/>
      </c>
      <c r="X275">
        <f>IF(B275="","",IF(COUNTIFS('سجل التحفيز'!$AD$5:$AD$2004,"&gt;0",'سجل التحفيز'!$B$5:$B$2004,B275)&gt;0,COUNT(X$4:X274)+1,""))</f>
        <v/>
      </c>
      <c r="Y275">
        <f>IF(B275="","",IF(COUNTIFS('سجل التحفيز'!$AE$5:$AE$2004,"&gt;0",'سجل التحفيز'!$B$5:$B$2004,B275)&gt;0,COUNT(Y$4:Y274)+1,""))</f>
        <v/>
      </c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20">
        <f>IF(B276="","",COUNTIFS('سجل التحفيز'!$B$5:$B$2004,B276,'سجل التحفيز'!$R$5:$R$2004,الإعدادات!$B$4))</f>
        <v/>
      </c>
      <c r="I276" s="20">
        <f>IF(B276="","",COUNTIFS('سجل التحفيز'!$B$5:$B$2004,B276,'سجل التحفيز'!$R$5:$R$2004,الإعدادات!$B$4,'سجل التحفيز'!$Q$5:$Q$2004,"الفصل الأول",'سجل التحفيز'!$D$5:$D$2004,"ذهبي"))</f>
        <v/>
      </c>
      <c r="J276" s="20">
        <f>IF(B276="","",COUNTIFS('سجل التحفيز'!$B$5:$B$2004,B276,'سجل التحفيز'!$R$5:$R$2004,الإعدادات!$B$4,'سجل التحفيز'!$Q$5:$Q$2004,"الفصل الثاني",'سجل التحفيز'!$D$5:$D$2004,"ذهبي"))</f>
        <v/>
      </c>
      <c r="K276" s="20">
        <f>IF(B276="","",COUNTIFS('سجل التحفيز'!$B$5:$B$2004,B276,'سجل التحفيز'!$R$5:$R$2004,الإعدادات!$B$4,'سجل التحفيز'!$D$5:$D$2004,"ذهبي"))</f>
        <v/>
      </c>
      <c r="L276" s="20">
        <f>IF(B276="","",IF(G276="محرومة","محرومة - مخالفة",IF(K276&gt;=5,"مستحقة ★","متبقي "&amp;(5-K276)&amp;" معايير")))</f>
        <v/>
      </c>
      <c r="N276">
        <f>IF(B276="","",IF(COUNTIFS('سجل التحفيز'!$T$5:$T$2004,"&gt;0",'سجل التحفيز'!$B$5:$B$2004,B276)&gt;0,COUNT(N$4:N275)+1,""))</f>
        <v/>
      </c>
      <c r="O276">
        <f>IF(B276="","",IF(COUNTIFS('سجل التحفيز'!$U$5:$U$2004,"&gt;0",'سجل التحفيز'!$B$5:$B$2004,B276)&gt;0,COUNT(O$4:O275)+1,""))</f>
        <v/>
      </c>
      <c r="P276">
        <f>IF(B276="","",IF(COUNTIFS('سجل التحفيز'!$V$5:$V$2004,"&gt;0",'سجل التحفيز'!$B$5:$B$2004,B276)&gt;0,COUNT(P$4:P275)+1,""))</f>
        <v/>
      </c>
      <c r="Q276">
        <f>IF(B276="","",IF(COUNTIFS('سجل التحفيز'!$W$5:$W$2004,"&gt;0",'سجل التحفيز'!$B$5:$B$2004,B276)&gt;0,COUNT(Q$4:Q275)+1,""))</f>
        <v/>
      </c>
      <c r="R276">
        <f>IF(B276="","",IF(COUNTIFS('سجل التحفيز'!$X$5:$X$2004,"&gt;0",'سجل التحفيز'!$B$5:$B$2004,B276)&gt;0,COUNT(R$4:R275)+1,""))</f>
        <v/>
      </c>
      <c r="S276">
        <f>IF(B276="","",IF(COUNTIFS('سجل التحفيز'!$Y$5:$Y$2004,"&gt;0",'سجل التحفيز'!$B$5:$B$2004,B276)&gt;0,COUNT(S$4:S275)+1,""))</f>
        <v/>
      </c>
      <c r="T276">
        <f>IF(B276="","",IF(COUNTIFS('سجل التحفيز'!$Z$5:$Z$2004,"&gt;0",'سجل التحفيز'!$B$5:$B$2004,B276)&gt;0,COUNT(T$4:T275)+1,""))</f>
        <v/>
      </c>
      <c r="U276">
        <f>IF(B276="","",IF(COUNTIFS('سجل التحفيز'!$AA$5:$AA$2004,"&gt;0",'سجل التحفيز'!$B$5:$B$2004,B276)&gt;0,COUNT(U$4:U275)+1,""))</f>
        <v/>
      </c>
      <c r="V276">
        <f>IF(B276="","",IF(COUNTIFS('سجل التحفيز'!$AB$5:$AB$2004,"&gt;0",'سجل التحفيز'!$B$5:$B$2004,B276)&gt;0,COUNT(V$4:V275)+1,""))</f>
        <v/>
      </c>
      <c r="W276">
        <f>IF(B276="","",IF(COUNTIFS('سجل التحفيز'!$AC$5:$AC$2004,"&gt;0",'سجل التحفيز'!$B$5:$B$2004,B276)&gt;0,COUNT(W$4:W275)+1,""))</f>
        <v/>
      </c>
      <c r="X276">
        <f>IF(B276="","",IF(COUNTIFS('سجل التحفيز'!$AD$5:$AD$2004,"&gt;0",'سجل التحفيز'!$B$5:$B$2004,B276)&gt;0,COUNT(X$4:X275)+1,""))</f>
        <v/>
      </c>
      <c r="Y276">
        <f>IF(B276="","",IF(COUNTIFS('سجل التحفيز'!$AE$5:$AE$2004,"&gt;0",'سجل التحفيز'!$B$5:$B$2004,B276)&gt;0,COUNT(Y$4:Y275)+1,""))</f>
        <v/>
      </c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20">
        <f>IF(B277="","",COUNTIFS('سجل التحفيز'!$B$5:$B$2004,B277,'سجل التحفيز'!$R$5:$R$2004,الإعدادات!$B$4))</f>
        <v/>
      </c>
      <c r="I277" s="20">
        <f>IF(B277="","",COUNTIFS('سجل التحفيز'!$B$5:$B$2004,B277,'سجل التحفيز'!$R$5:$R$2004,الإعدادات!$B$4,'سجل التحفيز'!$Q$5:$Q$2004,"الفصل الأول",'سجل التحفيز'!$D$5:$D$2004,"ذهبي"))</f>
        <v/>
      </c>
      <c r="J277" s="20">
        <f>IF(B277="","",COUNTIFS('سجل التحفيز'!$B$5:$B$2004,B277,'سجل التحفيز'!$R$5:$R$2004,الإعدادات!$B$4,'سجل التحفيز'!$Q$5:$Q$2004,"الفصل الثاني",'سجل التحفيز'!$D$5:$D$2004,"ذهبي"))</f>
        <v/>
      </c>
      <c r="K277" s="20">
        <f>IF(B277="","",COUNTIFS('سجل التحفيز'!$B$5:$B$2004,B277,'سجل التحفيز'!$R$5:$R$2004,الإعدادات!$B$4,'سجل التحفيز'!$D$5:$D$2004,"ذهبي"))</f>
        <v/>
      </c>
      <c r="L277" s="20">
        <f>IF(B277="","",IF(G277="محرومة","محرومة - مخالفة",IF(K277&gt;=5,"مستحقة ★","متبقي "&amp;(5-K277)&amp;" معايير")))</f>
        <v/>
      </c>
      <c r="N277">
        <f>IF(B277="","",IF(COUNTIFS('سجل التحفيز'!$T$5:$T$2004,"&gt;0",'سجل التحفيز'!$B$5:$B$2004,B277)&gt;0,COUNT(N$4:N276)+1,""))</f>
        <v/>
      </c>
      <c r="O277">
        <f>IF(B277="","",IF(COUNTIFS('سجل التحفيز'!$U$5:$U$2004,"&gt;0",'سجل التحفيز'!$B$5:$B$2004,B277)&gt;0,COUNT(O$4:O276)+1,""))</f>
        <v/>
      </c>
      <c r="P277">
        <f>IF(B277="","",IF(COUNTIFS('سجل التحفيز'!$V$5:$V$2004,"&gt;0",'سجل التحفيز'!$B$5:$B$2004,B277)&gt;0,COUNT(P$4:P276)+1,""))</f>
        <v/>
      </c>
      <c r="Q277">
        <f>IF(B277="","",IF(COUNTIFS('سجل التحفيز'!$W$5:$W$2004,"&gt;0",'سجل التحفيز'!$B$5:$B$2004,B277)&gt;0,COUNT(Q$4:Q276)+1,""))</f>
        <v/>
      </c>
      <c r="R277">
        <f>IF(B277="","",IF(COUNTIFS('سجل التحفيز'!$X$5:$X$2004,"&gt;0",'سجل التحفيز'!$B$5:$B$2004,B277)&gt;0,COUNT(R$4:R276)+1,""))</f>
        <v/>
      </c>
      <c r="S277">
        <f>IF(B277="","",IF(COUNTIFS('سجل التحفيز'!$Y$5:$Y$2004,"&gt;0",'سجل التحفيز'!$B$5:$B$2004,B277)&gt;0,COUNT(S$4:S276)+1,""))</f>
        <v/>
      </c>
      <c r="T277">
        <f>IF(B277="","",IF(COUNTIFS('سجل التحفيز'!$Z$5:$Z$2004,"&gt;0",'سجل التحفيز'!$B$5:$B$2004,B277)&gt;0,COUNT(T$4:T276)+1,""))</f>
        <v/>
      </c>
      <c r="U277">
        <f>IF(B277="","",IF(COUNTIFS('سجل التحفيز'!$AA$5:$AA$2004,"&gt;0",'سجل التحفيز'!$B$5:$B$2004,B277)&gt;0,COUNT(U$4:U276)+1,""))</f>
        <v/>
      </c>
      <c r="V277">
        <f>IF(B277="","",IF(COUNTIFS('سجل التحفيز'!$AB$5:$AB$2004,"&gt;0",'سجل التحفيز'!$B$5:$B$2004,B277)&gt;0,COUNT(V$4:V276)+1,""))</f>
        <v/>
      </c>
      <c r="W277">
        <f>IF(B277="","",IF(COUNTIFS('سجل التحفيز'!$AC$5:$AC$2004,"&gt;0",'سجل التحفيز'!$B$5:$B$2004,B277)&gt;0,COUNT(W$4:W276)+1,""))</f>
        <v/>
      </c>
      <c r="X277">
        <f>IF(B277="","",IF(COUNTIFS('سجل التحفيز'!$AD$5:$AD$2004,"&gt;0",'سجل التحفيز'!$B$5:$B$2004,B277)&gt;0,COUNT(X$4:X276)+1,""))</f>
        <v/>
      </c>
      <c r="Y277">
        <f>IF(B277="","",IF(COUNTIFS('سجل التحفيز'!$AE$5:$AE$2004,"&gt;0",'سجل التحفيز'!$B$5:$B$2004,B277)&gt;0,COUNT(Y$4:Y276)+1,""))</f>
        <v/>
      </c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20">
        <f>IF(B278="","",COUNTIFS('سجل التحفيز'!$B$5:$B$2004,B278,'سجل التحفيز'!$R$5:$R$2004,الإعدادات!$B$4))</f>
        <v/>
      </c>
      <c r="I278" s="20">
        <f>IF(B278="","",COUNTIFS('سجل التحفيز'!$B$5:$B$2004,B278,'سجل التحفيز'!$R$5:$R$2004,الإعدادات!$B$4,'سجل التحفيز'!$Q$5:$Q$2004,"الفصل الأول",'سجل التحفيز'!$D$5:$D$2004,"ذهبي"))</f>
        <v/>
      </c>
      <c r="J278" s="20">
        <f>IF(B278="","",COUNTIFS('سجل التحفيز'!$B$5:$B$2004,B278,'سجل التحفيز'!$R$5:$R$2004,الإعدادات!$B$4,'سجل التحفيز'!$Q$5:$Q$2004,"الفصل الثاني",'سجل التحفيز'!$D$5:$D$2004,"ذهبي"))</f>
        <v/>
      </c>
      <c r="K278" s="20">
        <f>IF(B278="","",COUNTIFS('سجل التحفيز'!$B$5:$B$2004,B278,'سجل التحفيز'!$R$5:$R$2004,الإعدادات!$B$4,'سجل التحفيز'!$D$5:$D$2004,"ذهبي"))</f>
        <v/>
      </c>
      <c r="L278" s="20">
        <f>IF(B278="","",IF(G278="محرومة","محرومة - مخالفة",IF(K278&gt;=5,"مستحقة ★","متبقي "&amp;(5-K278)&amp;" معايير")))</f>
        <v/>
      </c>
      <c r="N278">
        <f>IF(B278="","",IF(COUNTIFS('سجل التحفيز'!$T$5:$T$2004,"&gt;0",'سجل التحفيز'!$B$5:$B$2004,B278)&gt;0,COUNT(N$4:N277)+1,""))</f>
        <v/>
      </c>
      <c r="O278">
        <f>IF(B278="","",IF(COUNTIFS('سجل التحفيز'!$U$5:$U$2004,"&gt;0",'سجل التحفيز'!$B$5:$B$2004,B278)&gt;0,COUNT(O$4:O277)+1,""))</f>
        <v/>
      </c>
      <c r="P278">
        <f>IF(B278="","",IF(COUNTIFS('سجل التحفيز'!$V$5:$V$2004,"&gt;0",'سجل التحفيز'!$B$5:$B$2004,B278)&gt;0,COUNT(P$4:P277)+1,""))</f>
        <v/>
      </c>
      <c r="Q278">
        <f>IF(B278="","",IF(COUNTIFS('سجل التحفيز'!$W$5:$W$2004,"&gt;0",'سجل التحفيز'!$B$5:$B$2004,B278)&gt;0,COUNT(Q$4:Q277)+1,""))</f>
        <v/>
      </c>
      <c r="R278">
        <f>IF(B278="","",IF(COUNTIFS('سجل التحفيز'!$X$5:$X$2004,"&gt;0",'سجل التحفيز'!$B$5:$B$2004,B278)&gt;0,COUNT(R$4:R277)+1,""))</f>
        <v/>
      </c>
      <c r="S278">
        <f>IF(B278="","",IF(COUNTIFS('سجل التحفيز'!$Y$5:$Y$2004,"&gt;0",'سجل التحفيز'!$B$5:$B$2004,B278)&gt;0,COUNT(S$4:S277)+1,""))</f>
        <v/>
      </c>
      <c r="T278">
        <f>IF(B278="","",IF(COUNTIFS('سجل التحفيز'!$Z$5:$Z$2004,"&gt;0",'سجل التحفيز'!$B$5:$B$2004,B278)&gt;0,COUNT(T$4:T277)+1,""))</f>
        <v/>
      </c>
      <c r="U278">
        <f>IF(B278="","",IF(COUNTIFS('سجل التحفيز'!$AA$5:$AA$2004,"&gt;0",'سجل التحفيز'!$B$5:$B$2004,B278)&gt;0,COUNT(U$4:U277)+1,""))</f>
        <v/>
      </c>
      <c r="V278">
        <f>IF(B278="","",IF(COUNTIFS('سجل التحفيز'!$AB$5:$AB$2004,"&gt;0",'سجل التحفيز'!$B$5:$B$2004,B278)&gt;0,COUNT(V$4:V277)+1,""))</f>
        <v/>
      </c>
      <c r="W278">
        <f>IF(B278="","",IF(COUNTIFS('سجل التحفيز'!$AC$5:$AC$2004,"&gt;0",'سجل التحفيز'!$B$5:$B$2004,B278)&gt;0,COUNT(W$4:W277)+1,""))</f>
        <v/>
      </c>
      <c r="X278">
        <f>IF(B278="","",IF(COUNTIFS('سجل التحفيز'!$AD$5:$AD$2004,"&gt;0",'سجل التحفيز'!$B$5:$B$2004,B278)&gt;0,COUNT(X$4:X277)+1,""))</f>
        <v/>
      </c>
      <c r="Y278">
        <f>IF(B278="","",IF(COUNTIFS('سجل التحفيز'!$AE$5:$AE$2004,"&gt;0",'سجل التحفيز'!$B$5:$B$2004,B278)&gt;0,COUNT(Y$4:Y277)+1,""))</f>
        <v/>
      </c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20">
        <f>IF(B279="","",COUNTIFS('سجل التحفيز'!$B$5:$B$2004,B279,'سجل التحفيز'!$R$5:$R$2004,الإعدادات!$B$4))</f>
        <v/>
      </c>
      <c r="I279" s="20">
        <f>IF(B279="","",COUNTIFS('سجل التحفيز'!$B$5:$B$2004,B279,'سجل التحفيز'!$R$5:$R$2004,الإعدادات!$B$4,'سجل التحفيز'!$Q$5:$Q$2004,"الفصل الأول",'سجل التحفيز'!$D$5:$D$2004,"ذهبي"))</f>
        <v/>
      </c>
      <c r="J279" s="20">
        <f>IF(B279="","",COUNTIFS('سجل التحفيز'!$B$5:$B$2004,B279,'سجل التحفيز'!$R$5:$R$2004,الإعدادات!$B$4,'سجل التحفيز'!$Q$5:$Q$2004,"الفصل الثاني",'سجل التحفيز'!$D$5:$D$2004,"ذهبي"))</f>
        <v/>
      </c>
      <c r="K279" s="20">
        <f>IF(B279="","",COUNTIFS('سجل التحفيز'!$B$5:$B$2004,B279,'سجل التحفيز'!$R$5:$R$2004,الإعدادات!$B$4,'سجل التحفيز'!$D$5:$D$2004,"ذهبي"))</f>
        <v/>
      </c>
      <c r="L279" s="20">
        <f>IF(B279="","",IF(G279="محرومة","محرومة - مخالفة",IF(K279&gt;=5,"مستحقة ★","متبقي "&amp;(5-K279)&amp;" معايير")))</f>
        <v/>
      </c>
      <c r="N279">
        <f>IF(B279="","",IF(COUNTIFS('سجل التحفيز'!$T$5:$T$2004,"&gt;0",'سجل التحفيز'!$B$5:$B$2004,B279)&gt;0,COUNT(N$4:N278)+1,""))</f>
        <v/>
      </c>
      <c r="O279">
        <f>IF(B279="","",IF(COUNTIFS('سجل التحفيز'!$U$5:$U$2004,"&gt;0",'سجل التحفيز'!$B$5:$B$2004,B279)&gt;0,COUNT(O$4:O278)+1,""))</f>
        <v/>
      </c>
      <c r="P279">
        <f>IF(B279="","",IF(COUNTIFS('سجل التحفيز'!$V$5:$V$2004,"&gt;0",'سجل التحفيز'!$B$5:$B$2004,B279)&gt;0,COUNT(P$4:P278)+1,""))</f>
        <v/>
      </c>
      <c r="Q279">
        <f>IF(B279="","",IF(COUNTIFS('سجل التحفيز'!$W$5:$W$2004,"&gt;0",'سجل التحفيز'!$B$5:$B$2004,B279)&gt;0,COUNT(Q$4:Q278)+1,""))</f>
        <v/>
      </c>
      <c r="R279">
        <f>IF(B279="","",IF(COUNTIFS('سجل التحفيز'!$X$5:$X$2004,"&gt;0",'سجل التحفيز'!$B$5:$B$2004,B279)&gt;0,COUNT(R$4:R278)+1,""))</f>
        <v/>
      </c>
      <c r="S279">
        <f>IF(B279="","",IF(COUNTIFS('سجل التحفيز'!$Y$5:$Y$2004,"&gt;0",'سجل التحفيز'!$B$5:$B$2004,B279)&gt;0,COUNT(S$4:S278)+1,""))</f>
        <v/>
      </c>
      <c r="T279">
        <f>IF(B279="","",IF(COUNTIFS('سجل التحفيز'!$Z$5:$Z$2004,"&gt;0",'سجل التحفيز'!$B$5:$B$2004,B279)&gt;0,COUNT(T$4:T278)+1,""))</f>
        <v/>
      </c>
      <c r="U279">
        <f>IF(B279="","",IF(COUNTIFS('سجل التحفيز'!$AA$5:$AA$2004,"&gt;0",'سجل التحفيز'!$B$5:$B$2004,B279)&gt;0,COUNT(U$4:U278)+1,""))</f>
        <v/>
      </c>
      <c r="V279">
        <f>IF(B279="","",IF(COUNTIFS('سجل التحفيز'!$AB$5:$AB$2004,"&gt;0",'سجل التحفيز'!$B$5:$B$2004,B279)&gt;0,COUNT(V$4:V278)+1,""))</f>
        <v/>
      </c>
      <c r="W279">
        <f>IF(B279="","",IF(COUNTIFS('سجل التحفيز'!$AC$5:$AC$2004,"&gt;0",'سجل التحفيز'!$B$5:$B$2004,B279)&gt;0,COUNT(W$4:W278)+1,""))</f>
        <v/>
      </c>
      <c r="X279">
        <f>IF(B279="","",IF(COUNTIFS('سجل التحفيز'!$AD$5:$AD$2004,"&gt;0",'سجل التحفيز'!$B$5:$B$2004,B279)&gt;0,COUNT(X$4:X278)+1,""))</f>
        <v/>
      </c>
      <c r="Y279">
        <f>IF(B279="","",IF(COUNTIFS('سجل التحفيز'!$AE$5:$AE$2004,"&gt;0",'سجل التحفيز'!$B$5:$B$2004,B279)&gt;0,COUNT(Y$4:Y278)+1,""))</f>
        <v/>
      </c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20">
        <f>IF(B280="","",COUNTIFS('سجل التحفيز'!$B$5:$B$2004,B280,'سجل التحفيز'!$R$5:$R$2004,الإعدادات!$B$4))</f>
        <v/>
      </c>
      <c r="I280" s="20">
        <f>IF(B280="","",COUNTIFS('سجل التحفيز'!$B$5:$B$2004,B280,'سجل التحفيز'!$R$5:$R$2004,الإعدادات!$B$4,'سجل التحفيز'!$Q$5:$Q$2004,"الفصل الأول",'سجل التحفيز'!$D$5:$D$2004,"ذهبي"))</f>
        <v/>
      </c>
      <c r="J280" s="20">
        <f>IF(B280="","",COUNTIFS('سجل التحفيز'!$B$5:$B$2004,B280,'سجل التحفيز'!$R$5:$R$2004,الإعدادات!$B$4,'سجل التحفيز'!$Q$5:$Q$2004,"الفصل الثاني",'سجل التحفيز'!$D$5:$D$2004,"ذهبي"))</f>
        <v/>
      </c>
      <c r="K280" s="20">
        <f>IF(B280="","",COUNTIFS('سجل التحفيز'!$B$5:$B$2004,B280,'سجل التحفيز'!$R$5:$R$2004,الإعدادات!$B$4,'سجل التحفيز'!$D$5:$D$2004,"ذهبي"))</f>
        <v/>
      </c>
      <c r="L280" s="20">
        <f>IF(B280="","",IF(G280="محرومة","محرومة - مخالفة",IF(K280&gt;=5,"مستحقة ★","متبقي "&amp;(5-K280)&amp;" معايير")))</f>
        <v/>
      </c>
      <c r="N280">
        <f>IF(B280="","",IF(COUNTIFS('سجل التحفيز'!$T$5:$T$2004,"&gt;0",'سجل التحفيز'!$B$5:$B$2004,B280)&gt;0,COUNT(N$4:N279)+1,""))</f>
        <v/>
      </c>
      <c r="O280">
        <f>IF(B280="","",IF(COUNTIFS('سجل التحفيز'!$U$5:$U$2004,"&gt;0",'سجل التحفيز'!$B$5:$B$2004,B280)&gt;0,COUNT(O$4:O279)+1,""))</f>
        <v/>
      </c>
      <c r="P280">
        <f>IF(B280="","",IF(COUNTIFS('سجل التحفيز'!$V$5:$V$2004,"&gt;0",'سجل التحفيز'!$B$5:$B$2004,B280)&gt;0,COUNT(P$4:P279)+1,""))</f>
        <v/>
      </c>
      <c r="Q280">
        <f>IF(B280="","",IF(COUNTIFS('سجل التحفيز'!$W$5:$W$2004,"&gt;0",'سجل التحفيز'!$B$5:$B$2004,B280)&gt;0,COUNT(Q$4:Q279)+1,""))</f>
        <v/>
      </c>
      <c r="R280">
        <f>IF(B280="","",IF(COUNTIFS('سجل التحفيز'!$X$5:$X$2004,"&gt;0",'سجل التحفيز'!$B$5:$B$2004,B280)&gt;0,COUNT(R$4:R279)+1,""))</f>
        <v/>
      </c>
      <c r="S280">
        <f>IF(B280="","",IF(COUNTIFS('سجل التحفيز'!$Y$5:$Y$2004,"&gt;0",'سجل التحفيز'!$B$5:$B$2004,B280)&gt;0,COUNT(S$4:S279)+1,""))</f>
        <v/>
      </c>
      <c r="T280">
        <f>IF(B280="","",IF(COUNTIFS('سجل التحفيز'!$Z$5:$Z$2004,"&gt;0",'سجل التحفيز'!$B$5:$B$2004,B280)&gt;0,COUNT(T$4:T279)+1,""))</f>
        <v/>
      </c>
      <c r="U280">
        <f>IF(B280="","",IF(COUNTIFS('سجل التحفيز'!$AA$5:$AA$2004,"&gt;0",'سجل التحفيز'!$B$5:$B$2004,B280)&gt;0,COUNT(U$4:U279)+1,""))</f>
        <v/>
      </c>
      <c r="V280">
        <f>IF(B280="","",IF(COUNTIFS('سجل التحفيز'!$AB$5:$AB$2004,"&gt;0",'سجل التحفيز'!$B$5:$B$2004,B280)&gt;0,COUNT(V$4:V279)+1,""))</f>
        <v/>
      </c>
      <c r="W280">
        <f>IF(B280="","",IF(COUNTIFS('سجل التحفيز'!$AC$5:$AC$2004,"&gt;0",'سجل التحفيز'!$B$5:$B$2004,B280)&gt;0,COUNT(W$4:W279)+1,""))</f>
        <v/>
      </c>
      <c r="X280">
        <f>IF(B280="","",IF(COUNTIFS('سجل التحفيز'!$AD$5:$AD$2004,"&gt;0",'سجل التحفيز'!$B$5:$B$2004,B280)&gt;0,COUNT(X$4:X279)+1,""))</f>
        <v/>
      </c>
      <c r="Y280">
        <f>IF(B280="","",IF(COUNTIFS('سجل التحفيز'!$AE$5:$AE$2004,"&gt;0",'سجل التحفيز'!$B$5:$B$2004,B280)&gt;0,COUNT(Y$4:Y279)+1,""))</f>
        <v/>
      </c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20">
        <f>IF(B281="","",COUNTIFS('سجل التحفيز'!$B$5:$B$2004,B281,'سجل التحفيز'!$R$5:$R$2004,الإعدادات!$B$4))</f>
        <v/>
      </c>
      <c r="I281" s="20">
        <f>IF(B281="","",COUNTIFS('سجل التحفيز'!$B$5:$B$2004,B281,'سجل التحفيز'!$R$5:$R$2004,الإعدادات!$B$4,'سجل التحفيز'!$Q$5:$Q$2004,"الفصل الأول",'سجل التحفيز'!$D$5:$D$2004,"ذهبي"))</f>
        <v/>
      </c>
      <c r="J281" s="20">
        <f>IF(B281="","",COUNTIFS('سجل التحفيز'!$B$5:$B$2004,B281,'سجل التحفيز'!$R$5:$R$2004,الإعدادات!$B$4,'سجل التحفيز'!$Q$5:$Q$2004,"الفصل الثاني",'سجل التحفيز'!$D$5:$D$2004,"ذهبي"))</f>
        <v/>
      </c>
      <c r="K281" s="20">
        <f>IF(B281="","",COUNTIFS('سجل التحفيز'!$B$5:$B$2004,B281,'سجل التحفيز'!$R$5:$R$2004,الإعدادات!$B$4,'سجل التحفيز'!$D$5:$D$2004,"ذهبي"))</f>
        <v/>
      </c>
      <c r="L281" s="20">
        <f>IF(B281="","",IF(G281="محرومة","محرومة - مخالفة",IF(K281&gt;=5,"مستحقة ★","متبقي "&amp;(5-K281)&amp;" معايير")))</f>
        <v/>
      </c>
      <c r="N281">
        <f>IF(B281="","",IF(COUNTIFS('سجل التحفيز'!$T$5:$T$2004,"&gt;0",'سجل التحفيز'!$B$5:$B$2004,B281)&gt;0,COUNT(N$4:N280)+1,""))</f>
        <v/>
      </c>
      <c r="O281">
        <f>IF(B281="","",IF(COUNTIFS('سجل التحفيز'!$U$5:$U$2004,"&gt;0",'سجل التحفيز'!$B$5:$B$2004,B281)&gt;0,COUNT(O$4:O280)+1,""))</f>
        <v/>
      </c>
      <c r="P281">
        <f>IF(B281="","",IF(COUNTIFS('سجل التحفيز'!$V$5:$V$2004,"&gt;0",'سجل التحفيز'!$B$5:$B$2004,B281)&gt;0,COUNT(P$4:P280)+1,""))</f>
        <v/>
      </c>
      <c r="Q281">
        <f>IF(B281="","",IF(COUNTIFS('سجل التحفيز'!$W$5:$W$2004,"&gt;0",'سجل التحفيز'!$B$5:$B$2004,B281)&gt;0,COUNT(Q$4:Q280)+1,""))</f>
        <v/>
      </c>
      <c r="R281">
        <f>IF(B281="","",IF(COUNTIFS('سجل التحفيز'!$X$5:$X$2004,"&gt;0",'سجل التحفيز'!$B$5:$B$2004,B281)&gt;0,COUNT(R$4:R280)+1,""))</f>
        <v/>
      </c>
      <c r="S281">
        <f>IF(B281="","",IF(COUNTIFS('سجل التحفيز'!$Y$5:$Y$2004,"&gt;0",'سجل التحفيز'!$B$5:$B$2004,B281)&gt;0,COUNT(S$4:S280)+1,""))</f>
        <v/>
      </c>
      <c r="T281">
        <f>IF(B281="","",IF(COUNTIFS('سجل التحفيز'!$Z$5:$Z$2004,"&gt;0",'سجل التحفيز'!$B$5:$B$2004,B281)&gt;0,COUNT(T$4:T280)+1,""))</f>
        <v/>
      </c>
      <c r="U281">
        <f>IF(B281="","",IF(COUNTIFS('سجل التحفيز'!$AA$5:$AA$2004,"&gt;0",'سجل التحفيز'!$B$5:$B$2004,B281)&gt;0,COUNT(U$4:U280)+1,""))</f>
        <v/>
      </c>
      <c r="V281">
        <f>IF(B281="","",IF(COUNTIFS('سجل التحفيز'!$AB$5:$AB$2004,"&gt;0",'سجل التحفيز'!$B$5:$B$2004,B281)&gt;0,COUNT(V$4:V280)+1,""))</f>
        <v/>
      </c>
      <c r="W281">
        <f>IF(B281="","",IF(COUNTIFS('سجل التحفيز'!$AC$5:$AC$2004,"&gt;0",'سجل التحفيز'!$B$5:$B$2004,B281)&gt;0,COUNT(W$4:W280)+1,""))</f>
        <v/>
      </c>
      <c r="X281">
        <f>IF(B281="","",IF(COUNTIFS('سجل التحفيز'!$AD$5:$AD$2004,"&gt;0",'سجل التحفيز'!$B$5:$B$2004,B281)&gt;0,COUNT(X$4:X280)+1,""))</f>
        <v/>
      </c>
      <c r="Y281">
        <f>IF(B281="","",IF(COUNTIFS('سجل التحفيز'!$AE$5:$AE$2004,"&gt;0",'سجل التحفيز'!$B$5:$B$2004,B281)&gt;0,COUNT(Y$4:Y280)+1,""))</f>
        <v/>
      </c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20">
        <f>IF(B282="","",COUNTIFS('سجل التحفيز'!$B$5:$B$2004,B282,'سجل التحفيز'!$R$5:$R$2004,الإعدادات!$B$4))</f>
        <v/>
      </c>
      <c r="I282" s="20">
        <f>IF(B282="","",COUNTIFS('سجل التحفيز'!$B$5:$B$2004,B282,'سجل التحفيز'!$R$5:$R$2004,الإعدادات!$B$4,'سجل التحفيز'!$Q$5:$Q$2004,"الفصل الأول",'سجل التحفيز'!$D$5:$D$2004,"ذهبي"))</f>
        <v/>
      </c>
      <c r="J282" s="20">
        <f>IF(B282="","",COUNTIFS('سجل التحفيز'!$B$5:$B$2004,B282,'سجل التحفيز'!$R$5:$R$2004,الإعدادات!$B$4,'سجل التحفيز'!$Q$5:$Q$2004,"الفصل الثاني",'سجل التحفيز'!$D$5:$D$2004,"ذهبي"))</f>
        <v/>
      </c>
      <c r="K282" s="20">
        <f>IF(B282="","",COUNTIFS('سجل التحفيز'!$B$5:$B$2004,B282,'سجل التحفيز'!$R$5:$R$2004,الإعدادات!$B$4,'سجل التحفيز'!$D$5:$D$2004,"ذهبي"))</f>
        <v/>
      </c>
      <c r="L282" s="20">
        <f>IF(B282="","",IF(G282="محرومة","محرومة - مخالفة",IF(K282&gt;=5,"مستحقة ★","متبقي "&amp;(5-K282)&amp;" معايير")))</f>
        <v/>
      </c>
      <c r="N282">
        <f>IF(B282="","",IF(COUNTIFS('سجل التحفيز'!$T$5:$T$2004,"&gt;0",'سجل التحفيز'!$B$5:$B$2004,B282)&gt;0,COUNT(N$4:N281)+1,""))</f>
        <v/>
      </c>
      <c r="O282">
        <f>IF(B282="","",IF(COUNTIFS('سجل التحفيز'!$U$5:$U$2004,"&gt;0",'سجل التحفيز'!$B$5:$B$2004,B282)&gt;0,COUNT(O$4:O281)+1,""))</f>
        <v/>
      </c>
      <c r="P282">
        <f>IF(B282="","",IF(COUNTIFS('سجل التحفيز'!$V$5:$V$2004,"&gt;0",'سجل التحفيز'!$B$5:$B$2004,B282)&gt;0,COUNT(P$4:P281)+1,""))</f>
        <v/>
      </c>
      <c r="Q282">
        <f>IF(B282="","",IF(COUNTIFS('سجل التحفيز'!$W$5:$W$2004,"&gt;0",'سجل التحفيز'!$B$5:$B$2004,B282)&gt;0,COUNT(Q$4:Q281)+1,""))</f>
        <v/>
      </c>
      <c r="R282">
        <f>IF(B282="","",IF(COUNTIFS('سجل التحفيز'!$X$5:$X$2004,"&gt;0",'سجل التحفيز'!$B$5:$B$2004,B282)&gt;0,COUNT(R$4:R281)+1,""))</f>
        <v/>
      </c>
      <c r="S282">
        <f>IF(B282="","",IF(COUNTIFS('سجل التحفيز'!$Y$5:$Y$2004,"&gt;0",'سجل التحفيز'!$B$5:$B$2004,B282)&gt;0,COUNT(S$4:S281)+1,""))</f>
        <v/>
      </c>
      <c r="T282">
        <f>IF(B282="","",IF(COUNTIFS('سجل التحفيز'!$Z$5:$Z$2004,"&gt;0",'سجل التحفيز'!$B$5:$B$2004,B282)&gt;0,COUNT(T$4:T281)+1,""))</f>
        <v/>
      </c>
      <c r="U282">
        <f>IF(B282="","",IF(COUNTIFS('سجل التحفيز'!$AA$5:$AA$2004,"&gt;0",'سجل التحفيز'!$B$5:$B$2004,B282)&gt;0,COUNT(U$4:U281)+1,""))</f>
        <v/>
      </c>
      <c r="V282">
        <f>IF(B282="","",IF(COUNTIFS('سجل التحفيز'!$AB$5:$AB$2004,"&gt;0",'سجل التحفيز'!$B$5:$B$2004,B282)&gt;0,COUNT(V$4:V281)+1,""))</f>
        <v/>
      </c>
      <c r="W282">
        <f>IF(B282="","",IF(COUNTIFS('سجل التحفيز'!$AC$5:$AC$2004,"&gt;0",'سجل التحفيز'!$B$5:$B$2004,B282)&gt;0,COUNT(W$4:W281)+1,""))</f>
        <v/>
      </c>
      <c r="X282">
        <f>IF(B282="","",IF(COUNTIFS('سجل التحفيز'!$AD$5:$AD$2004,"&gt;0",'سجل التحفيز'!$B$5:$B$2004,B282)&gt;0,COUNT(X$4:X281)+1,""))</f>
        <v/>
      </c>
      <c r="Y282">
        <f>IF(B282="","",IF(COUNTIFS('سجل التحفيز'!$AE$5:$AE$2004,"&gt;0",'سجل التحفيز'!$B$5:$B$2004,B282)&gt;0,COUNT(Y$4:Y281)+1,""))</f>
        <v/>
      </c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20">
        <f>IF(B283="","",COUNTIFS('سجل التحفيز'!$B$5:$B$2004,B283,'سجل التحفيز'!$R$5:$R$2004,الإعدادات!$B$4))</f>
        <v/>
      </c>
      <c r="I283" s="20">
        <f>IF(B283="","",COUNTIFS('سجل التحفيز'!$B$5:$B$2004,B283,'سجل التحفيز'!$R$5:$R$2004,الإعدادات!$B$4,'سجل التحفيز'!$Q$5:$Q$2004,"الفصل الأول",'سجل التحفيز'!$D$5:$D$2004,"ذهبي"))</f>
        <v/>
      </c>
      <c r="J283" s="20">
        <f>IF(B283="","",COUNTIFS('سجل التحفيز'!$B$5:$B$2004,B283,'سجل التحفيز'!$R$5:$R$2004,الإعدادات!$B$4,'سجل التحفيز'!$Q$5:$Q$2004,"الفصل الثاني",'سجل التحفيز'!$D$5:$D$2004,"ذهبي"))</f>
        <v/>
      </c>
      <c r="K283" s="20">
        <f>IF(B283="","",COUNTIFS('سجل التحفيز'!$B$5:$B$2004,B283,'سجل التحفيز'!$R$5:$R$2004,الإعدادات!$B$4,'سجل التحفيز'!$D$5:$D$2004,"ذهبي"))</f>
        <v/>
      </c>
      <c r="L283" s="20">
        <f>IF(B283="","",IF(G283="محرومة","محرومة - مخالفة",IF(K283&gt;=5,"مستحقة ★","متبقي "&amp;(5-K283)&amp;" معايير")))</f>
        <v/>
      </c>
      <c r="N283">
        <f>IF(B283="","",IF(COUNTIFS('سجل التحفيز'!$T$5:$T$2004,"&gt;0",'سجل التحفيز'!$B$5:$B$2004,B283)&gt;0,COUNT(N$4:N282)+1,""))</f>
        <v/>
      </c>
      <c r="O283">
        <f>IF(B283="","",IF(COUNTIFS('سجل التحفيز'!$U$5:$U$2004,"&gt;0",'سجل التحفيز'!$B$5:$B$2004,B283)&gt;0,COUNT(O$4:O282)+1,""))</f>
        <v/>
      </c>
      <c r="P283">
        <f>IF(B283="","",IF(COUNTIFS('سجل التحفيز'!$V$5:$V$2004,"&gt;0",'سجل التحفيز'!$B$5:$B$2004,B283)&gt;0,COUNT(P$4:P282)+1,""))</f>
        <v/>
      </c>
      <c r="Q283">
        <f>IF(B283="","",IF(COUNTIFS('سجل التحفيز'!$W$5:$W$2004,"&gt;0",'سجل التحفيز'!$B$5:$B$2004,B283)&gt;0,COUNT(Q$4:Q282)+1,""))</f>
        <v/>
      </c>
      <c r="R283">
        <f>IF(B283="","",IF(COUNTIFS('سجل التحفيز'!$X$5:$X$2004,"&gt;0",'سجل التحفيز'!$B$5:$B$2004,B283)&gt;0,COUNT(R$4:R282)+1,""))</f>
        <v/>
      </c>
      <c r="S283">
        <f>IF(B283="","",IF(COUNTIFS('سجل التحفيز'!$Y$5:$Y$2004,"&gt;0",'سجل التحفيز'!$B$5:$B$2004,B283)&gt;0,COUNT(S$4:S282)+1,""))</f>
        <v/>
      </c>
      <c r="T283">
        <f>IF(B283="","",IF(COUNTIFS('سجل التحفيز'!$Z$5:$Z$2004,"&gt;0",'سجل التحفيز'!$B$5:$B$2004,B283)&gt;0,COUNT(T$4:T282)+1,""))</f>
        <v/>
      </c>
      <c r="U283">
        <f>IF(B283="","",IF(COUNTIFS('سجل التحفيز'!$AA$5:$AA$2004,"&gt;0",'سجل التحفيز'!$B$5:$B$2004,B283)&gt;0,COUNT(U$4:U282)+1,""))</f>
        <v/>
      </c>
      <c r="V283">
        <f>IF(B283="","",IF(COUNTIFS('سجل التحفيز'!$AB$5:$AB$2004,"&gt;0",'سجل التحفيز'!$B$5:$B$2004,B283)&gt;0,COUNT(V$4:V282)+1,""))</f>
        <v/>
      </c>
      <c r="W283">
        <f>IF(B283="","",IF(COUNTIFS('سجل التحفيز'!$AC$5:$AC$2004,"&gt;0",'سجل التحفيز'!$B$5:$B$2004,B283)&gt;0,COUNT(W$4:W282)+1,""))</f>
        <v/>
      </c>
      <c r="X283">
        <f>IF(B283="","",IF(COUNTIFS('سجل التحفيز'!$AD$5:$AD$2004,"&gt;0",'سجل التحفيز'!$B$5:$B$2004,B283)&gt;0,COUNT(X$4:X282)+1,""))</f>
        <v/>
      </c>
      <c r="Y283">
        <f>IF(B283="","",IF(COUNTIFS('سجل التحفيز'!$AE$5:$AE$2004,"&gt;0",'سجل التحفيز'!$B$5:$B$2004,B283)&gt;0,COUNT(Y$4:Y282)+1,""))</f>
        <v/>
      </c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20">
        <f>IF(B284="","",COUNTIFS('سجل التحفيز'!$B$5:$B$2004,B284,'سجل التحفيز'!$R$5:$R$2004,الإعدادات!$B$4))</f>
        <v/>
      </c>
      <c r="I284" s="20">
        <f>IF(B284="","",COUNTIFS('سجل التحفيز'!$B$5:$B$2004,B284,'سجل التحفيز'!$R$5:$R$2004,الإعدادات!$B$4,'سجل التحفيز'!$Q$5:$Q$2004,"الفصل الأول",'سجل التحفيز'!$D$5:$D$2004,"ذهبي"))</f>
        <v/>
      </c>
      <c r="J284" s="20">
        <f>IF(B284="","",COUNTIFS('سجل التحفيز'!$B$5:$B$2004,B284,'سجل التحفيز'!$R$5:$R$2004,الإعدادات!$B$4,'سجل التحفيز'!$Q$5:$Q$2004,"الفصل الثاني",'سجل التحفيز'!$D$5:$D$2004,"ذهبي"))</f>
        <v/>
      </c>
      <c r="K284" s="20">
        <f>IF(B284="","",COUNTIFS('سجل التحفيز'!$B$5:$B$2004,B284,'سجل التحفيز'!$R$5:$R$2004,الإعدادات!$B$4,'سجل التحفيز'!$D$5:$D$2004,"ذهبي"))</f>
        <v/>
      </c>
      <c r="L284" s="20">
        <f>IF(B284="","",IF(G284="محرومة","محرومة - مخالفة",IF(K284&gt;=5,"مستحقة ★","متبقي "&amp;(5-K284)&amp;" معايير")))</f>
        <v/>
      </c>
      <c r="N284">
        <f>IF(B284="","",IF(COUNTIFS('سجل التحفيز'!$T$5:$T$2004,"&gt;0",'سجل التحفيز'!$B$5:$B$2004,B284)&gt;0,COUNT(N$4:N283)+1,""))</f>
        <v/>
      </c>
      <c r="O284">
        <f>IF(B284="","",IF(COUNTIFS('سجل التحفيز'!$U$5:$U$2004,"&gt;0",'سجل التحفيز'!$B$5:$B$2004,B284)&gt;0,COUNT(O$4:O283)+1,""))</f>
        <v/>
      </c>
      <c r="P284">
        <f>IF(B284="","",IF(COUNTIFS('سجل التحفيز'!$V$5:$V$2004,"&gt;0",'سجل التحفيز'!$B$5:$B$2004,B284)&gt;0,COUNT(P$4:P283)+1,""))</f>
        <v/>
      </c>
      <c r="Q284">
        <f>IF(B284="","",IF(COUNTIFS('سجل التحفيز'!$W$5:$W$2004,"&gt;0",'سجل التحفيز'!$B$5:$B$2004,B284)&gt;0,COUNT(Q$4:Q283)+1,""))</f>
        <v/>
      </c>
      <c r="R284">
        <f>IF(B284="","",IF(COUNTIFS('سجل التحفيز'!$X$5:$X$2004,"&gt;0",'سجل التحفيز'!$B$5:$B$2004,B284)&gt;0,COUNT(R$4:R283)+1,""))</f>
        <v/>
      </c>
      <c r="S284">
        <f>IF(B284="","",IF(COUNTIFS('سجل التحفيز'!$Y$5:$Y$2004,"&gt;0",'سجل التحفيز'!$B$5:$B$2004,B284)&gt;0,COUNT(S$4:S283)+1,""))</f>
        <v/>
      </c>
      <c r="T284">
        <f>IF(B284="","",IF(COUNTIFS('سجل التحفيز'!$Z$5:$Z$2004,"&gt;0",'سجل التحفيز'!$B$5:$B$2004,B284)&gt;0,COUNT(T$4:T283)+1,""))</f>
        <v/>
      </c>
      <c r="U284">
        <f>IF(B284="","",IF(COUNTIFS('سجل التحفيز'!$AA$5:$AA$2004,"&gt;0",'سجل التحفيز'!$B$5:$B$2004,B284)&gt;0,COUNT(U$4:U283)+1,""))</f>
        <v/>
      </c>
      <c r="V284">
        <f>IF(B284="","",IF(COUNTIFS('سجل التحفيز'!$AB$5:$AB$2004,"&gt;0",'سجل التحفيز'!$B$5:$B$2004,B284)&gt;0,COUNT(V$4:V283)+1,""))</f>
        <v/>
      </c>
      <c r="W284">
        <f>IF(B284="","",IF(COUNTIFS('سجل التحفيز'!$AC$5:$AC$2004,"&gt;0",'سجل التحفيز'!$B$5:$B$2004,B284)&gt;0,COUNT(W$4:W283)+1,""))</f>
        <v/>
      </c>
      <c r="X284">
        <f>IF(B284="","",IF(COUNTIFS('سجل التحفيز'!$AD$5:$AD$2004,"&gt;0",'سجل التحفيز'!$B$5:$B$2004,B284)&gt;0,COUNT(X$4:X283)+1,""))</f>
        <v/>
      </c>
      <c r="Y284">
        <f>IF(B284="","",IF(COUNTIFS('سجل التحفيز'!$AE$5:$AE$2004,"&gt;0",'سجل التحفيز'!$B$5:$B$2004,B284)&gt;0,COUNT(Y$4:Y283)+1,""))</f>
        <v/>
      </c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20">
        <f>IF(B285="","",COUNTIFS('سجل التحفيز'!$B$5:$B$2004,B285,'سجل التحفيز'!$R$5:$R$2004,الإعدادات!$B$4))</f>
        <v/>
      </c>
      <c r="I285" s="20">
        <f>IF(B285="","",COUNTIFS('سجل التحفيز'!$B$5:$B$2004,B285,'سجل التحفيز'!$R$5:$R$2004,الإعدادات!$B$4,'سجل التحفيز'!$Q$5:$Q$2004,"الفصل الأول",'سجل التحفيز'!$D$5:$D$2004,"ذهبي"))</f>
        <v/>
      </c>
      <c r="J285" s="20">
        <f>IF(B285="","",COUNTIFS('سجل التحفيز'!$B$5:$B$2004,B285,'سجل التحفيز'!$R$5:$R$2004,الإعدادات!$B$4,'سجل التحفيز'!$Q$5:$Q$2004,"الفصل الثاني",'سجل التحفيز'!$D$5:$D$2004,"ذهبي"))</f>
        <v/>
      </c>
      <c r="K285" s="20">
        <f>IF(B285="","",COUNTIFS('سجل التحفيز'!$B$5:$B$2004,B285,'سجل التحفيز'!$R$5:$R$2004,الإعدادات!$B$4,'سجل التحفيز'!$D$5:$D$2004,"ذهبي"))</f>
        <v/>
      </c>
      <c r="L285" s="20">
        <f>IF(B285="","",IF(G285="محرومة","محرومة - مخالفة",IF(K285&gt;=5,"مستحقة ★","متبقي "&amp;(5-K285)&amp;" معايير")))</f>
        <v/>
      </c>
      <c r="N285">
        <f>IF(B285="","",IF(COUNTIFS('سجل التحفيز'!$T$5:$T$2004,"&gt;0",'سجل التحفيز'!$B$5:$B$2004,B285)&gt;0,COUNT(N$4:N284)+1,""))</f>
        <v/>
      </c>
      <c r="O285">
        <f>IF(B285="","",IF(COUNTIFS('سجل التحفيز'!$U$5:$U$2004,"&gt;0",'سجل التحفيز'!$B$5:$B$2004,B285)&gt;0,COUNT(O$4:O284)+1,""))</f>
        <v/>
      </c>
      <c r="P285">
        <f>IF(B285="","",IF(COUNTIFS('سجل التحفيز'!$V$5:$V$2004,"&gt;0",'سجل التحفيز'!$B$5:$B$2004,B285)&gt;0,COUNT(P$4:P284)+1,""))</f>
        <v/>
      </c>
      <c r="Q285">
        <f>IF(B285="","",IF(COUNTIFS('سجل التحفيز'!$W$5:$W$2004,"&gt;0",'سجل التحفيز'!$B$5:$B$2004,B285)&gt;0,COUNT(Q$4:Q284)+1,""))</f>
        <v/>
      </c>
      <c r="R285">
        <f>IF(B285="","",IF(COUNTIFS('سجل التحفيز'!$X$5:$X$2004,"&gt;0",'سجل التحفيز'!$B$5:$B$2004,B285)&gt;0,COUNT(R$4:R284)+1,""))</f>
        <v/>
      </c>
      <c r="S285">
        <f>IF(B285="","",IF(COUNTIFS('سجل التحفيز'!$Y$5:$Y$2004,"&gt;0",'سجل التحفيز'!$B$5:$B$2004,B285)&gt;0,COUNT(S$4:S284)+1,""))</f>
        <v/>
      </c>
      <c r="T285">
        <f>IF(B285="","",IF(COUNTIFS('سجل التحفيز'!$Z$5:$Z$2004,"&gt;0",'سجل التحفيز'!$B$5:$B$2004,B285)&gt;0,COUNT(T$4:T284)+1,""))</f>
        <v/>
      </c>
      <c r="U285">
        <f>IF(B285="","",IF(COUNTIFS('سجل التحفيز'!$AA$5:$AA$2004,"&gt;0",'سجل التحفيز'!$B$5:$B$2004,B285)&gt;0,COUNT(U$4:U284)+1,""))</f>
        <v/>
      </c>
      <c r="V285">
        <f>IF(B285="","",IF(COUNTIFS('سجل التحفيز'!$AB$5:$AB$2004,"&gt;0",'سجل التحفيز'!$B$5:$B$2004,B285)&gt;0,COUNT(V$4:V284)+1,""))</f>
        <v/>
      </c>
      <c r="W285">
        <f>IF(B285="","",IF(COUNTIFS('سجل التحفيز'!$AC$5:$AC$2004,"&gt;0",'سجل التحفيز'!$B$5:$B$2004,B285)&gt;0,COUNT(W$4:W284)+1,""))</f>
        <v/>
      </c>
      <c r="X285">
        <f>IF(B285="","",IF(COUNTIFS('سجل التحفيز'!$AD$5:$AD$2004,"&gt;0",'سجل التحفيز'!$B$5:$B$2004,B285)&gt;0,COUNT(X$4:X284)+1,""))</f>
        <v/>
      </c>
      <c r="Y285">
        <f>IF(B285="","",IF(COUNTIFS('سجل التحفيز'!$AE$5:$AE$2004,"&gt;0",'سجل التحفيز'!$B$5:$B$2004,B285)&gt;0,COUNT(Y$4:Y284)+1,""))</f>
        <v/>
      </c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20">
        <f>IF(B286="","",COUNTIFS('سجل التحفيز'!$B$5:$B$2004,B286,'سجل التحفيز'!$R$5:$R$2004,الإعدادات!$B$4))</f>
        <v/>
      </c>
      <c r="I286" s="20">
        <f>IF(B286="","",COUNTIFS('سجل التحفيز'!$B$5:$B$2004,B286,'سجل التحفيز'!$R$5:$R$2004,الإعدادات!$B$4,'سجل التحفيز'!$Q$5:$Q$2004,"الفصل الأول",'سجل التحفيز'!$D$5:$D$2004,"ذهبي"))</f>
        <v/>
      </c>
      <c r="J286" s="20">
        <f>IF(B286="","",COUNTIFS('سجل التحفيز'!$B$5:$B$2004,B286,'سجل التحفيز'!$R$5:$R$2004,الإعدادات!$B$4,'سجل التحفيز'!$Q$5:$Q$2004,"الفصل الثاني",'سجل التحفيز'!$D$5:$D$2004,"ذهبي"))</f>
        <v/>
      </c>
      <c r="K286" s="20">
        <f>IF(B286="","",COUNTIFS('سجل التحفيز'!$B$5:$B$2004,B286,'سجل التحفيز'!$R$5:$R$2004,الإعدادات!$B$4,'سجل التحفيز'!$D$5:$D$2004,"ذهبي"))</f>
        <v/>
      </c>
      <c r="L286" s="20">
        <f>IF(B286="","",IF(G286="محرومة","محرومة - مخالفة",IF(K286&gt;=5,"مستحقة ★","متبقي "&amp;(5-K286)&amp;" معايير")))</f>
        <v/>
      </c>
      <c r="N286">
        <f>IF(B286="","",IF(COUNTIFS('سجل التحفيز'!$T$5:$T$2004,"&gt;0",'سجل التحفيز'!$B$5:$B$2004,B286)&gt;0,COUNT(N$4:N285)+1,""))</f>
        <v/>
      </c>
      <c r="O286">
        <f>IF(B286="","",IF(COUNTIFS('سجل التحفيز'!$U$5:$U$2004,"&gt;0",'سجل التحفيز'!$B$5:$B$2004,B286)&gt;0,COUNT(O$4:O285)+1,""))</f>
        <v/>
      </c>
      <c r="P286">
        <f>IF(B286="","",IF(COUNTIFS('سجل التحفيز'!$V$5:$V$2004,"&gt;0",'سجل التحفيز'!$B$5:$B$2004,B286)&gt;0,COUNT(P$4:P285)+1,""))</f>
        <v/>
      </c>
      <c r="Q286">
        <f>IF(B286="","",IF(COUNTIFS('سجل التحفيز'!$W$5:$W$2004,"&gt;0",'سجل التحفيز'!$B$5:$B$2004,B286)&gt;0,COUNT(Q$4:Q285)+1,""))</f>
        <v/>
      </c>
      <c r="R286">
        <f>IF(B286="","",IF(COUNTIFS('سجل التحفيز'!$X$5:$X$2004,"&gt;0",'سجل التحفيز'!$B$5:$B$2004,B286)&gt;0,COUNT(R$4:R285)+1,""))</f>
        <v/>
      </c>
      <c r="S286">
        <f>IF(B286="","",IF(COUNTIFS('سجل التحفيز'!$Y$5:$Y$2004,"&gt;0",'سجل التحفيز'!$B$5:$B$2004,B286)&gt;0,COUNT(S$4:S285)+1,""))</f>
        <v/>
      </c>
      <c r="T286">
        <f>IF(B286="","",IF(COUNTIFS('سجل التحفيز'!$Z$5:$Z$2004,"&gt;0",'سجل التحفيز'!$B$5:$B$2004,B286)&gt;0,COUNT(T$4:T285)+1,""))</f>
        <v/>
      </c>
      <c r="U286">
        <f>IF(B286="","",IF(COUNTIFS('سجل التحفيز'!$AA$5:$AA$2004,"&gt;0",'سجل التحفيز'!$B$5:$B$2004,B286)&gt;0,COUNT(U$4:U285)+1,""))</f>
        <v/>
      </c>
      <c r="V286">
        <f>IF(B286="","",IF(COUNTIFS('سجل التحفيز'!$AB$5:$AB$2004,"&gt;0",'سجل التحفيز'!$B$5:$B$2004,B286)&gt;0,COUNT(V$4:V285)+1,""))</f>
        <v/>
      </c>
      <c r="W286">
        <f>IF(B286="","",IF(COUNTIFS('سجل التحفيز'!$AC$5:$AC$2004,"&gt;0",'سجل التحفيز'!$B$5:$B$2004,B286)&gt;0,COUNT(W$4:W285)+1,""))</f>
        <v/>
      </c>
      <c r="X286">
        <f>IF(B286="","",IF(COUNTIFS('سجل التحفيز'!$AD$5:$AD$2004,"&gt;0",'سجل التحفيز'!$B$5:$B$2004,B286)&gt;0,COUNT(X$4:X285)+1,""))</f>
        <v/>
      </c>
      <c r="Y286">
        <f>IF(B286="","",IF(COUNTIFS('سجل التحفيز'!$AE$5:$AE$2004,"&gt;0",'سجل التحفيز'!$B$5:$B$2004,B286)&gt;0,COUNT(Y$4:Y285)+1,""))</f>
        <v/>
      </c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20">
        <f>IF(B287="","",COUNTIFS('سجل التحفيز'!$B$5:$B$2004,B287,'سجل التحفيز'!$R$5:$R$2004,الإعدادات!$B$4))</f>
        <v/>
      </c>
      <c r="I287" s="20">
        <f>IF(B287="","",COUNTIFS('سجل التحفيز'!$B$5:$B$2004,B287,'سجل التحفيز'!$R$5:$R$2004,الإعدادات!$B$4,'سجل التحفيز'!$Q$5:$Q$2004,"الفصل الأول",'سجل التحفيز'!$D$5:$D$2004,"ذهبي"))</f>
        <v/>
      </c>
      <c r="J287" s="20">
        <f>IF(B287="","",COUNTIFS('سجل التحفيز'!$B$5:$B$2004,B287,'سجل التحفيز'!$R$5:$R$2004,الإعدادات!$B$4,'سجل التحفيز'!$Q$5:$Q$2004,"الفصل الثاني",'سجل التحفيز'!$D$5:$D$2004,"ذهبي"))</f>
        <v/>
      </c>
      <c r="K287" s="20">
        <f>IF(B287="","",COUNTIFS('سجل التحفيز'!$B$5:$B$2004,B287,'سجل التحفيز'!$R$5:$R$2004,الإعدادات!$B$4,'سجل التحفيز'!$D$5:$D$2004,"ذهبي"))</f>
        <v/>
      </c>
      <c r="L287" s="20">
        <f>IF(B287="","",IF(G287="محرومة","محرومة - مخالفة",IF(K287&gt;=5,"مستحقة ★","متبقي "&amp;(5-K287)&amp;" معايير")))</f>
        <v/>
      </c>
      <c r="N287">
        <f>IF(B287="","",IF(COUNTIFS('سجل التحفيز'!$T$5:$T$2004,"&gt;0",'سجل التحفيز'!$B$5:$B$2004,B287)&gt;0,COUNT(N$4:N286)+1,""))</f>
        <v/>
      </c>
      <c r="O287">
        <f>IF(B287="","",IF(COUNTIFS('سجل التحفيز'!$U$5:$U$2004,"&gt;0",'سجل التحفيز'!$B$5:$B$2004,B287)&gt;0,COUNT(O$4:O286)+1,""))</f>
        <v/>
      </c>
      <c r="P287">
        <f>IF(B287="","",IF(COUNTIFS('سجل التحفيز'!$V$5:$V$2004,"&gt;0",'سجل التحفيز'!$B$5:$B$2004,B287)&gt;0,COUNT(P$4:P286)+1,""))</f>
        <v/>
      </c>
      <c r="Q287">
        <f>IF(B287="","",IF(COUNTIFS('سجل التحفيز'!$W$5:$W$2004,"&gt;0",'سجل التحفيز'!$B$5:$B$2004,B287)&gt;0,COUNT(Q$4:Q286)+1,""))</f>
        <v/>
      </c>
      <c r="R287">
        <f>IF(B287="","",IF(COUNTIFS('سجل التحفيز'!$X$5:$X$2004,"&gt;0",'سجل التحفيز'!$B$5:$B$2004,B287)&gt;0,COUNT(R$4:R286)+1,""))</f>
        <v/>
      </c>
      <c r="S287">
        <f>IF(B287="","",IF(COUNTIFS('سجل التحفيز'!$Y$5:$Y$2004,"&gt;0",'سجل التحفيز'!$B$5:$B$2004,B287)&gt;0,COUNT(S$4:S286)+1,""))</f>
        <v/>
      </c>
      <c r="T287">
        <f>IF(B287="","",IF(COUNTIFS('سجل التحفيز'!$Z$5:$Z$2004,"&gt;0",'سجل التحفيز'!$B$5:$B$2004,B287)&gt;0,COUNT(T$4:T286)+1,""))</f>
        <v/>
      </c>
      <c r="U287">
        <f>IF(B287="","",IF(COUNTIFS('سجل التحفيز'!$AA$5:$AA$2004,"&gt;0",'سجل التحفيز'!$B$5:$B$2004,B287)&gt;0,COUNT(U$4:U286)+1,""))</f>
        <v/>
      </c>
      <c r="V287">
        <f>IF(B287="","",IF(COUNTIFS('سجل التحفيز'!$AB$5:$AB$2004,"&gt;0",'سجل التحفيز'!$B$5:$B$2004,B287)&gt;0,COUNT(V$4:V286)+1,""))</f>
        <v/>
      </c>
      <c r="W287">
        <f>IF(B287="","",IF(COUNTIFS('سجل التحفيز'!$AC$5:$AC$2004,"&gt;0",'سجل التحفيز'!$B$5:$B$2004,B287)&gt;0,COUNT(W$4:W286)+1,""))</f>
        <v/>
      </c>
      <c r="X287">
        <f>IF(B287="","",IF(COUNTIFS('سجل التحفيز'!$AD$5:$AD$2004,"&gt;0",'سجل التحفيز'!$B$5:$B$2004,B287)&gt;0,COUNT(X$4:X286)+1,""))</f>
        <v/>
      </c>
      <c r="Y287">
        <f>IF(B287="","",IF(COUNTIFS('سجل التحفيز'!$AE$5:$AE$2004,"&gt;0",'سجل التحفيز'!$B$5:$B$2004,B287)&gt;0,COUNT(Y$4:Y286)+1,""))</f>
        <v/>
      </c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20">
        <f>IF(B288="","",COUNTIFS('سجل التحفيز'!$B$5:$B$2004,B288,'سجل التحفيز'!$R$5:$R$2004,الإعدادات!$B$4))</f>
        <v/>
      </c>
      <c r="I288" s="20">
        <f>IF(B288="","",COUNTIFS('سجل التحفيز'!$B$5:$B$2004,B288,'سجل التحفيز'!$R$5:$R$2004,الإعدادات!$B$4,'سجل التحفيز'!$Q$5:$Q$2004,"الفصل الأول",'سجل التحفيز'!$D$5:$D$2004,"ذهبي"))</f>
        <v/>
      </c>
      <c r="J288" s="20">
        <f>IF(B288="","",COUNTIFS('سجل التحفيز'!$B$5:$B$2004,B288,'سجل التحفيز'!$R$5:$R$2004,الإعدادات!$B$4,'سجل التحفيز'!$Q$5:$Q$2004,"الفصل الثاني",'سجل التحفيز'!$D$5:$D$2004,"ذهبي"))</f>
        <v/>
      </c>
      <c r="K288" s="20">
        <f>IF(B288="","",COUNTIFS('سجل التحفيز'!$B$5:$B$2004,B288,'سجل التحفيز'!$R$5:$R$2004,الإعدادات!$B$4,'سجل التحفيز'!$D$5:$D$2004,"ذهبي"))</f>
        <v/>
      </c>
      <c r="L288" s="20">
        <f>IF(B288="","",IF(G288="محرومة","محرومة - مخالفة",IF(K288&gt;=5,"مستحقة ★","متبقي "&amp;(5-K288)&amp;" معايير")))</f>
        <v/>
      </c>
      <c r="N288">
        <f>IF(B288="","",IF(COUNTIFS('سجل التحفيز'!$T$5:$T$2004,"&gt;0",'سجل التحفيز'!$B$5:$B$2004,B288)&gt;0,COUNT(N$4:N287)+1,""))</f>
        <v/>
      </c>
      <c r="O288">
        <f>IF(B288="","",IF(COUNTIFS('سجل التحفيز'!$U$5:$U$2004,"&gt;0",'سجل التحفيز'!$B$5:$B$2004,B288)&gt;0,COUNT(O$4:O287)+1,""))</f>
        <v/>
      </c>
      <c r="P288">
        <f>IF(B288="","",IF(COUNTIFS('سجل التحفيز'!$V$5:$V$2004,"&gt;0",'سجل التحفيز'!$B$5:$B$2004,B288)&gt;0,COUNT(P$4:P287)+1,""))</f>
        <v/>
      </c>
      <c r="Q288">
        <f>IF(B288="","",IF(COUNTIFS('سجل التحفيز'!$W$5:$W$2004,"&gt;0",'سجل التحفيز'!$B$5:$B$2004,B288)&gt;0,COUNT(Q$4:Q287)+1,""))</f>
        <v/>
      </c>
      <c r="R288">
        <f>IF(B288="","",IF(COUNTIFS('سجل التحفيز'!$X$5:$X$2004,"&gt;0",'سجل التحفيز'!$B$5:$B$2004,B288)&gt;0,COUNT(R$4:R287)+1,""))</f>
        <v/>
      </c>
      <c r="S288">
        <f>IF(B288="","",IF(COUNTIFS('سجل التحفيز'!$Y$5:$Y$2004,"&gt;0",'سجل التحفيز'!$B$5:$B$2004,B288)&gt;0,COUNT(S$4:S287)+1,""))</f>
        <v/>
      </c>
      <c r="T288">
        <f>IF(B288="","",IF(COUNTIFS('سجل التحفيز'!$Z$5:$Z$2004,"&gt;0",'سجل التحفيز'!$B$5:$B$2004,B288)&gt;0,COUNT(T$4:T287)+1,""))</f>
        <v/>
      </c>
      <c r="U288">
        <f>IF(B288="","",IF(COUNTIFS('سجل التحفيز'!$AA$5:$AA$2004,"&gt;0",'سجل التحفيز'!$B$5:$B$2004,B288)&gt;0,COUNT(U$4:U287)+1,""))</f>
        <v/>
      </c>
      <c r="V288">
        <f>IF(B288="","",IF(COUNTIFS('سجل التحفيز'!$AB$5:$AB$2004,"&gt;0",'سجل التحفيز'!$B$5:$B$2004,B288)&gt;0,COUNT(V$4:V287)+1,""))</f>
        <v/>
      </c>
      <c r="W288">
        <f>IF(B288="","",IF(COUNTIFS('سجل التحفيز'!$AC$5:$AC$2004,"&gt;0",'سجل التحفيز'!$B$5:$B$2004,B288)&gt;0,COUNT(W$4:W287)+1,""))</f>
        <v/>
      </c>
      <c r="X288">
        <f>IF(B288="","",IF(COUNTIFS('سجل التحفيز'!$AD$5:$AD$2004,"&gt;0",'سجل التحفيز'!$B$5:$B$2004,B288)&gt;0,COUNT(X$4:X287)+1,""))</f>
        <v/>
      </c>
      <c r="Y288">
        <f>IF(B288="","",IF(COUNTIFS('سجل التحفيز'!$AE$5:$AE$2004,"&gt;0",'سجل التحفيز'!$B$5:$B$2004,B288)&gt;0,COUNT(Y$4:Y287)+1,""))</f>
        <v/>
      </c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20">
        <f>IF(B289="","",COUNTIFS('سجل التحفيز'!$B$5:$B$2004,B289,'سجل التحفيز'!$R$5:$R$2004,الإعدادات!$B$4))</f>
        <v/>
      </c>
      <c r="I289" s="20">
        <f>IF(B289="","",COUNTIFS('سجل التحفيز'!$B$5:$B$2004,B289,'سجل التحفيز'!$R$5:$R$2004,الإعدادات!$B$4,'سجل التحفيز'!$Q$5:$Q$2004,"الفصل الأول",'سجل التحفيز'!$D$5:$D$2004,"ذهبي"))</f>
        <v/>
      </c>
      <c r="J289" s="20">
        <f>IF(B289="","",COUNTIFS('سجل التحفيز'!$B$5:$B$2004,B289,'سجل التحفيز'!$R$5:$R$2004,الإعدادات!$B$4,'سجل التحفيز'!$Q$5:$Q$2004,"الفصل الثاني",'سجل التحفيز'!$D$5:$D$2004,"ذهبي"))</f>
        <v/>
      </c>
      <c r="K289" s="20">
        <f>IF(B289="","",COUNTIFS('سجل التحفيز'!$B$5:$B$2004,B289,'سجل التحفيز'!$R$5:$R$2004,الإعدادات!$B$4,'سجل التحفيز'!$D$5:$D$2004,"ذهبي"))</f>
        <v/>
      </c>
      <c r="L289" s="20">
        <f>IF(B289="","",IF(G289="محرومة","محرومة - مخالفة",IF(K289&gt;=5,"مستحقة ★","متبقي "&amp;(5-K289)&amp;" معايير")))</f>
        <v/>
      </c>
      <c r="N289">
        <f>IF(B289="","",IF(COUNTIFS('سجل التحفيز'!$T$5:$T$2004,"&gt;0",'سجل التحفيز'!$B$5:$B$2004,B289)&gt;0,COUNT(N$4:N288)+1,""))</f>
        <v/>
      </c>
      <c r="O289">
        <f>IF(B289="","",IF(COUNTIFS('سجل التحفيز'!$U$5:$U$2004,"&gt;0",'سجل التحفيز'!$B$5:$B$2004,B289)&gt;0,COUNT(O$4:O288)+1,""))</f>
        <v/>
      </c>
      <c r="P289">
        <f>IF(B289="","",IF(COUNTIFS('سجل التحفيز'!$V$5:$V$2004,"&gt;0",'سجل التحفيز'!$B$5:$B$2004,B289)&gt;0,COUNT(P$4:P288)+1,""))</f>
        <v/>
      </c>
      <c r="Q289">
        <f>IF(B289="","",IF(COUNTIFS('سجل التحفيز'!$W$5:$W$2004,"&gt;0",'سجل التحفيز'!$B$5:$B$2004,B289)&gt;0,COUNT(Q$4:Q288)+1,""))</f>
        <v/>
      </c>
      <c r="R289">
        <f>IF(B289="","",IF(COUNTIFS('سجل التحفيز'!$X$5:$X$2004,"&gt;0",'سجل التحفيز'!$B$5:$B$2004,B289)&gt;0,COUNT(R$4:R288)+1,""))</f>
        <v/>
      </c>
      <c r="S289">
        <f>IF(B289="","",IF(COUNTIFS('سجل التحفيز'!$Y$5:$Y$2004,"&gt;0",'سجل التحفيز'!$B$5:$B$2004,B289)&gt;0,COUNT(S$4:S288)+1,""))</f>
        <v/>
      </c>
      <c r="T289">
        <f>IF(B289="","",IF(COUNTIFS('سجل التحفيز'!$Z$5:$Z$2004,"&gt;0",'سجل التحفيز'!$B$5:$B$2004,B289)&gt;0,COUNT(T$4:T288)+1,""))</f>
        <v/>
      </c>
      <c r="U289">
        <f>IF(B289="","",IF(COUNTIFS('سجل التحفيز'!$AA$5:$AA$2004,"&gt;0",'سجل التحفيز'!$B$5:$B$2004,B289)&gt;0,COUNT(U$4:U288)+1,""))</f>
        <v/>
      </c>
      <c r="V289">
        <f>IF(B289="","",IF(COUNTIFS('سجل التحفيز'!$AB$5:$AB$2004,"&gt;0",'سجل التحفيز'!$B$5:$B$2004,B289)&gt;0,COUNT(V$4:V288)+1,""))</f>
        <v/>
      </c>
      <c r="W289">
        <f>IF(B289="","",IF(COUNTIFS('سجل التحفيز'!$AC$5:$AC$2004,"&gt;0",'سجل التحفيز'!$B$5:$B$2004,B289)&gt;0,COUNT(W$4:W288)+1,""))</f>
        <v/>
      </c>
      <c r="X289">
        <f>IF(B289="","",IF(COUNTIFS('سجل التحفيز'!$AD$5:$AD$2004,"&gt;0",'سجل التحفيز'!$B$5:$B$2004,B289)&gt;0,COUNT(X$4:X288)+1,""))</f>
        <v/>
      </c>
      <c r="Y289">
        <f>IF(B289="","",IF(COUNTIFS('سجل التحفيز'!$AE$5:$AE$2004,"&gt;0",'سجل التحفيز'!$B$5:$B$2004,B289)&gt;0,COUNT(Y$4:Y288)+1,""))</f>
        <v/>
      </c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20">
        <f>IF(B290="","",COUNTIFS('سجل التحفيز'!$B$5:$B$2004,B290,'سجل التحفيز'!$R$5:$R$2004,الإعدادات!$B$4))</f>
        <v/>
      </c>
      <c r="I290" s="20">
        <f>IF(B290="","",COUNTIFS('سجل التحفيز'!$B$5:$B$2004,B290,'سجل التحفيز'!$R$5:$R$2004,الإعدادات!$B$4,'سجل التحفيز'!$Q$5:$Q$2004,"الفصل الأول",'سجل التحفيز'!$D$5:$D$2004,"ذهبي"))</f>
        <v/>
      </c>
      <c r="J290" s="20">
        <f>IF(B290="","",COUNTIFS('سجل التحفيز'!$B$5:$B$2004,B290,'سجل التحفيز'!$R$5:$R$2004,الإعدادات!$B$4,'سجل التحفيز'!$Q$5:$Q$2004,"الفصل الثاني",'سجل التحفيز'!$D$5:$D$2004,"ذهبي"))</f>
        <v/>
      </c>
      <c r="K290" s="20">
        <f>IF(B290="","",COUNTIFS('سجل التحفيز'!$B$5:$B$2004,B290,'سجل التحفيز'!$R$5:$R$2004,الإعدادات!$B$4,'سجل التحفيز'!$D$5:$D$2004,"ذهبي"))</f>
        <v/>
      </c>
      <c r="L290" s="20">
        <f>IF(B290="","",IF(G290="محرومة","محرومة - مخالفة",IF(K290&gt;=5,"مستحقة ★","متبقي "&amp;(5-K290)&amp;" معايير")))</f>
        <v/>
      </c>
      <c r="N290">
        <f>IF(B290="","",IF(COUNTIFS('سجل التحفيز'!$T$5:$T$2004,"&gt;0",'سجل التحفيز'!$B$5:$B$2004,B290)&gt;0,COUNT(N$4:N289)+1,""))</f>
        <v/>
      </c>
      <c r="O290">
        <f>IF(B290="","",IF(COUNTIFS('سجل التحفيز'!$U$5:$U$2004,"&gt;0",'سجل التحفيز'!$B$5:$B$2004,B290)&gt;0,COUNT(O$4:O289)+1,""))</f>
        <v/>
      </c>
      <c r="P290">
        <f>IF(B290="","",IF(COUNTIFS('سجل التحفيز'!$V$5:$V$2004,"&gt;0",'سجل التحفيز'!$B$5:$B$2004,B290)&gt;0,COUNT(P$4:P289)+1,""))</f>
        <v/>
      </c>
      <c r="Q290">
        <f>IF(B290="","",IF(COUNTIFS('سجل التحفيز'!$W$5:$W$2004,"&gt;0",'سجل التحفيز'!$B$5:$B$2004,B290)&gt;0,COUNT(Q$4:Q289)+1,""))</f>
        <v/>
      </c>
      <c r="R290">
        <f>IF(B290="","",IF(COUNTIFS('سجل التحفيز'!$X$5:$X$2004,"&gt;0",'سجل التحفيز'!$B$5:$B$2004,B290)&gt;0,COUNT(R$4:R289)+1,""))</f>
        <v/>
      </c>
      <c r="S290">
        <f>IF(B290="","",IF(COUNTIFS('سجل التحفيز'!$Y$5:$Y$2004,"&gt;0",'سجل التحفيز'!$B$5:$B$2004,B290)&gt;0,COUNT(S$4:S289)+1,""))</f>
        <v/>
      </c>
      <c r="T290">
        <f>IF(B290="","",IF(COUNTIFS('سجل التحفيز'!$Z$5:$Z$2004,"&gt;0",'سجل التحفيز'!$B$5:$B$2004,B290)&gt;0,COUNT(T$4:T289)+1,""))</f>
        <v/>
      </c>
      <c r="U290">
        <f>IF(B290="","",IF(COUNTIFS('سجل التحفيز'!$AA$5:$AA$2004,"&gt;0",'سجل التحفيز'!$B$5:$B$2004,B290)&gt;0,COUNT(U$4:U289)+1,""))</f>
        <v/>
      </c>
      <c r="V290">
        <f>IF(B290="","",IF(COUNTIFS('سجل التحفيز'!$AB$5:$AB$2004,"&gt;0",'سجل التحفيز'!$B$5:$B$2004,B290)&gt;0,COUNT(V$4:V289)+1,""))</f>
        <v/>
      </c>
      <c r="W290">
        <f>IF(B290="","",IF(COUNTIFS('سجل التحفيز'!$AC$5:$AC$2004,"&gt;0",'سجل التحفيز'!$B$5:$B$2004,B290)&gt;0,COUNT(W$4:W289)+1,""))</f>
        <v/>
      </c>
      <c r="X290">
        <f>IF(B290="","",IF(COUNTIFS('سجل التحفيز'!$AD$5:$AD$2004,"&gt;0",'سجل التحفيز'!$B$5:$B$2004,B290)&gt;0,COUNT(X$4:X289)+1,""))</f>
        <v/>
      </c>
      <c r="Y290">
        <f>IF(B290="","",IF(COUNTIFS('سجل التحفيز'!$AE$5:$AE$2004,"&gt;0",'سجل التحفيز'!$B$5:$B$2004,B290)&gt;0,COUNT(Y$4:Y289)+1,""))</f>
        <v/>
      </c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20">
        <f>IF(B291="","",COUNTIFS('سجل التحفيز'!$B$5:$B$2004,B291,'سجل التحفيز'!$R$5:$R$2004,الإعدادات!$B$4))</f>
        <v/>
      </c>
      <c r="I291" s="20">
        <f>IF(B291="","",COUNTIFS('سجل التحفيز'!$B$5:$B$2004,B291,'سجل التحفيز'!$R$5:$R$2004,الإعدادات!$B$4,'سجل التحفيز'!$Q$5:$Q$2004,"الفصل الأول",'سجل التحفيز'!$D$5:$D$2004,"ذهبي"))</f>
        <v/>
      </c>
      <c r="J291" s="20">
        <f>IF(B291="","",COUNTIFS('سجل التحفيز'!$B$5:$B$2004,B291,'سجل التحفيز'!$R$5:$R$2004,الإعدادات!$B$4,'سجل التحفيز'!$Q$5:$Q$2004,"الفصل الثاني",'سجل التحفيز'!$D$5:$D$2004,"ذهبي"))</f>
        <v/>
      </c>
      <c r="K291" s="20">
        <f>IF(B291="","",COUNTIFS('سجل التحفيز'!$B$5:$B$2004,B291,'سجل التحفيز'!$R$5:$R$2004,الإعدادات!$B$4,'سجل التحفيز'!$D$5:$D$2004,"ذهبي"))</f>
        <v/>
      </c>
      <c r="L291" s="20">
        <f>IF(B291="","",IF(G291="محرومة","محرومة - مخالفة",IF(K291&gt;=5,"مستحقة ★","متبقي "&amp;(5-K291)&amp;" معايير")))</f>
        <v/>
      </c>
      <c r="N291">
        <f>IF(B291="","",IF(COUNTIFS('سجل التحفيز'!$T$5:$T$2004,"&gt;0",'سجل التحفيز'!$B$5:$B$2004,B291)&gt;0,COUNT(N$4:N290)+1,""))</f>
        <v/>
      </c>
      <c r="O291">
        <f>IF(B291="","",IF(COUNTIFS('سجل التحفيز'!$U$5:$U$2004,"&gt;0",'سجل التحفيز'!$B$5:$B$2004,B291)&gt;0,COUNT(O$4:O290)+1,""))</f>
        <v/>
      </c>
      <c r="P291">
        <f>IF(B291="","",IF(COUNTIFS('سجل التحفيز'!$V$5:$V$2004,"&gt;0",'سجل التحفيز'!$B$5:$B$2004,B291)&gt;0,COUNT(P$4:P290)+1,""))</f>
        <v/>
      </c>
      <c r="Q291">
        <f>IF(B291="","",IF(COUNTIFS('سجل التحفيز'!$W$5:$W$2004,"&gt;0",'سجل التحفيز'!$B$5:$B$2004,B291)&gt;0,COUNT(Q$4:Q290)+1,""))</f>
        <v/>
      </c>
      <c r="R291">
        <f>IF(B291="","",IF(COUNTIFS('سجل التحفيز'!$X$5:$X$2004,"&gt;0",'سجل التحفيز'!$B$5:$B$2004,B291)&gt;0,COUNT(R$4:R290)+1,""))</f>
        <v/>
      </c>
      <c r="S291">
        <f>IF(B291="","",IF(COUNTIFS('سجل التحفيز'!$Y$5:$Y$2004,"&gt;0",'سجل التحفيز'!$B$5:$B$2004,B291)&gt;0,COUNT(S$4:S290)+1,""))</f>
        <v/>
      </c>
      <c r="T291">
        <f>IF(B291="","",IF(COUNTIFS('سجل التحفيز'!$Z$5:$Z$2004,"&gt;0",'سجل التحفيز'!$B$5:$B$2004,B291)&gt;0,COUNT(T$4:T290)+1,""))</f>
        <v/>
      </c>
      <c r="U291">
        <f>IF(B291="","",IF(COUNTIFS('سجل التحفيز'!$AA$5:$AA$2004,"&gt;0",'سجل التحفيز'!$B$5:$B$2004,B291)&gt;0,COUNT(U$4:U290)+1,""))</f>
        <v/>
      </c>
      <c r="V291">
        <f>IF(B291="","",IF(COUNTIFS('سجل التحفيز'!$AB$5:$AB$2004,"&gt;0",'سجل التحفيز'!$B$5:$B$2004,B291)&gt;0,COUNT(V$4:V290)+1,""))</f>
        <v/>
      </c>
      <c r="W291">
        <f>IF(B291="","",IF(COUNTIFS('سجل التحفيز'!$AC$5:$AC$2004,"&gt;0",'سجل التحفيز'!$B$5:$B$2004,B291)&gt;0,COUNT(W$4:W290)+1,""))</f>
        <v/>
      </c>
      <c r="X291">
        <f>IF(B291="","",IF(COUNTIFS('سجل التحفيز'!$AD$5:$AD$2004,"&gt;0",'سجل التحفيز'!$B$5:$B$2004,B291)&gt;0,COUNT(X$4:X290)+1,""))</f>
        <v/>
      </c>
      <c r="Y291">
        <f>IF(B291="","",IF(COUNTIFS('سجل التحفيز'!$AE$5:$AE$2004,"&gt;0",'سجل التحفيز'!$B$5:$B$2004,B291)&gt;0,COUNT(Y$4:Y290)+1,""))</f>
        <v/>
      </c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20">
        <f>IF(B292="","",COUNTIFS('سجل التحفيز'!$B$5:$B$2004,B292,'سجل التحفيز'!$R$5:$R$2004,الإعدادات!$B$4))</f>
        <v/>
      </c>
      <c r="I292" s="20">
        <f>IF(B292="","",COUNTIFS('سجل التحفيز'!$B$5:$B$2004,B292,'سجل التحفيز'!$R$5:$R$2004,الإعدادات!$B$4,'سجل التحفيز'!$Q$5:$Q$2004,"الفصل الأول",'سجل التحفيز'!$D$5:$D$2004,"ذهبي"))</f>
        <v/>
      </c>
      <c r="J292" s="20">
        <f>IF(B292="","",COUNTIFS('سجل التحفيز'!$B$5:$B$2004,B292,'سجل التحفيز'!$R$5:$R$2004,الإعدادات!$B$4,'سجل التحفيز'!$Q$5:$Q$2004,"الفصل الثاني",'سجل التحفيز'!$D$5:$D$2004,"ذهبي"))</f>
        <v/>
      </c>
      <c r="K292" s="20">
        <f>IF(B292="","",COUNTIFS('سجل التحفيز'!$B$5:$B$2004,B292,'سجل التحفيز'!$R$5:$R$2004,الإعدادات!$B$4,'سجل التحفيز'!$D$5:$D$2004,"ذهبي"))</f>
        <v/>
      </c>
      <c r="L292" s="20">
        <f>IF(B292="","",IF(G292="محرومة","محرومة - مخالفة",IF(K292&gt;=5,"مستحقة ★","متبقي "&amp;(5-K292)&amp;" معايير")))</f>
        <v/>
      </c>
      <c r="N292">
        <f>IF(B292="","",IF(COUNTIFS('سجل التحفيز'!$T$5:$T$2004,"&gt;0",'سجل التحفيز'!$B$5:$B$2004,B292)&gt;0,COUNT(N$4:N291)+1,""))</f>
        <v/>
      </c>
      <c r="O292">
        <f>IF(B292="","",IF(COUNTIFS('سجل التحفيز'!$U$5:$U$2004,"&gt;0",'سجل التحفيز'!$B$5:$B$2004,B292)&gt;0,COUNT(O$4:O291)+1,""))</f>
        <v/>
      </c>
      <c r="P292">
        <f>IF(B292="","",IF(COUNTIFS('سجل التحفيز'!$V$5:$V$2004,"&gt;0",'سجل التحفيز'!$B$5:$B$2004,B292)&gt;0,COUNT(P$4:P291)+1,""))</f>
        <v/>
      </c>
      <c r="Q292">
        <f>IF(B292="","",IF(COUNTIFS('سجل التحفيز'!$W$5:$W$2004,"&gt;0",'سجل التحفيز'!$B$5:$B$2004,B292)&gt;0,COUNT(Q$4:Q291)+1,""))</f>
        <v/>
      </c>
      <c r="R292">
        <f>IF(B292="","",IF(COUNTIFS('سجل التحفيز'!$X$5:$X$2004,"&gt;0",'سجل التحفيز'!$B$5:$B$2004,B292)&gt;0,COUNT(R$4:R291)+1,""))</f>
        <v/>
      </c>
      <c r="S292">
        <f>IF(B292="","",IF(COUNTIFS('سجل التحفيز'!$Y$5:$Y$2004,"&gt;0",'سجل التحفيز'!$B$5:$B$2004,B292)&gt;0,COUNT(S$4:S291)+1,""))</f>
        <v/>
      </c>
      <c r="T292">
        <f>IF(B292="","",IF(COUNTIFS('سجل التحفيز'!$Z$5:$Z$2004,"&gt;0",'سجل التحفيز'!$B$5:$B$2004,B292)&gt;0,COUNT(T$4:T291)+1,""))</f>
        <v/>
      </c>
      <c r="U292">
        <f>IF(B292="","",IF(COUNTIFS('سجل التحفيز'!$AA$5:$AA$2004,"&gt;0",'سجل التحفيز'!$B$5:$B$2004,B292)&gt;0,COUNT(U$4:U291)+1,""))</f>
        <v/>
      </c>
      <c r="V292">
        <f>IF(B292="","",IF(COUNTIFS('سجل التحفيز'!$AB$5:$AB$2004,"&gt;0",'سجل التحفيز'!$B$5:$B$2004,B292)&gt;0,COUNT(V$4:V291)+1,""))</f>
        <v/>
      </c>
      <c r="W292">
        <f>IF(B292="","",IF(COUNTIFS('سجل التحفيز'!$AC$5:$AC$2004,"&gt;0",'سجل التحفيز'!$B$5:$B$2004,B292)&gt;0,COUNT(W$4:W291)+1,""))</f>
        <v/>
      </c>
      <c r="X292">
        <f>IF(B292="","",IF(COUNTIFS('سجل التحفيز'!$AD$5:$AD$2004,"&gt;0",'سجل التحفيز'!$B$5:$B$2004,B292)&gt;0,COUNT(X$4:X291)+1,""))</f>
        <v/>
      </c>
      <c r="Y292">
        <f>IF(B292="","",IF(COUNTIFS('سجل التحفيز'!$AE$5:$AE$2004,"&gt;0",'سجل التحفيز'!$B$5:$B$2004,B292)&gt;0,COUNT(Y$4:Y291)+1,""))</f>
        <v/>
      </c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20">
        <f>IF(B293="","",COUNTIFS('سجل التحفيز'!$B$5:$B$2004,B293,'سجل التحفيز'!$R$5:$R$2004,الإعدادات!$B$4))</f>
        <v/>
      </c>
      <c r="I293" s="20">
        <f>IF(B293="","",COUNTIFS('سجل التحفيز'!$B$5:$B$2004,B293,'سجل التحفيز'!$R$5:$R$2004,الإعدادات!$B$4,'سجل التحفيز'!$Q$5:$Q$2004,"الفصل الأول",'سجل التحفيز'!$D$5:$D$2004,"ذهبي"))</f>
        <v/>
      </c>
      <c r="J293" s="20">
        <f>IF(B293="","",COUNTIFS('سجل التحفيز'!$B$5:$B$2004,B293,'سجل التحفيز'!$R$5:$R$2004,الإعدادات!$B$4,'سجل التحفيز'!$Q$5:$Q$2004,"الفصل الثاني",'سجل التحفيز'!$D$5:$D$2004,"ذهبي"))</f>
        <v/>
      </c>
      <c r="K293" s="20">
        <f>IF(B293="","",COUNTIFS('سجل التحفيز'!$B$5:$B$2004,B293,'سجل التحفيز'!$R$5:$R$2004,الإعدادات!$B$4,'سجل التحفيز'!$D$5:$D$2004,"ذهبي"))</f>
        <v/>
      </c>
      <c r="L293" s="20">
        <f>IF(B293="","",IF(G293="محرومة","محرومة - مخالفة",IF(K293&gt;=5,"مستحقة ★","متبقي "&amp;(5-K293)&amp;" معايير")))</f>
        <v/>
      </c>
      <c r="N293">
        <f>IF(B293="","",IF(COUNTIFS('سجل التحفيز'!$T$5:$T$2004,"&gt;0",'سجل التحفيز'!$B$5:$B$2004,B293)&gt;0,COUNT(N$4:N292)+1,""))</f>
        <v/>
      </c>
      <c r="O293">
        <f>IF(B293="","",IF(COUNTIFS('سجل التحفيز'!$U$5:$U$2004,"&gt;0",'سجل التحفيز'!$B$5:$B$2004,B293)&gt;0,COUNT(O$4:O292)+1,""))</f>
        <v/>
      </c>
      <c r="P293">
        <f>IF(B293="","",IF(COUNTIFS('سجل التحفيز'!$V$5:$V$2004,"&gt;0",'سجل التحفيز'!$B$5:$B$2004,B293)&gt;0,COUNT(P$4:P292)+1,""))</f>
        <v/>
      </c>
      <c r="Q293">
        <f>IF(B293="","",IF(COUNTIFS('سجل التحفيز'!$W$5:$W$2004,"&gt;0",'سجل التحفيز'!$B$5:$B$2004,B293)&gt;0,COUNT(Q$4:Q292)+1,""))</f>
        <v/>
      </c>
      <c r="R293">
        <f>IF(B293="","",IF(COUNTIFS('سجل التحفيز'!$X$5:$X$2004,"&gt;0",'سجل التحفيز'!$B$5:$B$2004,B293)&gt;0,COUNT(R$4:R292)+1,""))</f>
        <v/>
      </c>
      <c r="S293">
        <f>IF(B293="","",IF(COUNTIFS('سجل التحفيز'!$Y$5:$Y$2004,"&gt;0",'سجل التحفيز'!$B$5:$B$2004,B293)&gt;0,COUNT(S$4:S292)+1,""))</f>
        <v/>
      </c>
      <c r="T293">
        <f>IF(B293="","",IF(COUNTIFS('سجل التحفيز'!$Z$5:$Z$2004,"&gt;0",'سجل التحفيز'!$B$5:$B$2004,B293)&gt;0,COUNT(T$4:T292)+1,""))</f>
        <v/>
      </c>
      <c r="U293">
        <f>IF(B293="","",IF(COUNTIFS('سجل التحفيز'!$AA$5:$AA$2004,"&gt;0",'سجل التحفيز'!$B$5:$B$2004,B293)&gt;0,COUNT(U$4:U292)+1,""))</f>
        <v/>
      </c>
      <c r="V293">
        <f>IF(B293="","",IF(COUNTIFS('سجل التحفيز'!$AB$5:$AB$2004,"&gt;0",'سجل التحفيز'!$B$5:$B$2004,B293)&gt;0,COUNT(V$4:V292)+1,""))</f>
        <v/>
      </c>
      <c r="W293">
        <f>IF(B293="","",IF(COUNTIFS('سجل التحفيز'!$AC$5:$AC$2004,"&gt;0",'سجل التحفيز'!$B$5:$B$2004,B293)&gt;0,COUNT(W$4:W292)+1,""))</f>
        <v/>
      </c>
      <c r="X293">
        <f>IF(B293="","",IF(COUNTIFS('سجل التحفيز'!$AD$5:$AD$2004,"&gt;0",'سجل التحفيز'!$B$5:$B$2004,B293)&gt;0,COUNT(X$4:X292)+1,""))</f>
        <v/>
      </c>
      <c r="Y293">
        <f>IF(B293="","",IF(COUNTIFS('سجل التحفيز'!$AE$5:$AE$2004,"&gt;0",'سجل التحفيز'!$B$5:$B$2004,B293)&gt;0,COUNT(Y$4:Y292)+1,""))</f>
        <v/>
      </c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20">
        <f>IF(B294="","",COUNTIFS('سجل التحفيز'!$B$5:$B$2004,B294,'سجل التحفيز'!$R$5:$R$2004,الإعدادات!$B$4))</f>
        <v/>
      </c>
      <c r="I294" s="20">
        <f>IF(B294="","",COUNTIFS('سجل التحفيز'!$B$5:$B$2004,B294,'سجل التحفيز'!$R$5:$R$2004,الإعدادات!$B$4,'سجل التحفيز'!$Q$5:$Q$2004,"الفصل الأول",'سجل التحفيز'!$D$5:$D$2004,"ذهبي"))</f>
        <v/>
      </c>
      <c r="J294" s="20">
        <f>IF(B294="","",COUNTIFS('سجل التحفيز'!$B$5:$B$2004,B294,'سجل التحفيز'!$R$5:$R$2004,الإعدادات!$B$4,'سجل التحفيز'!$Q$5:$Q$2004,"الفصل الثاني",'سجل التحفيز'!$D$5:$D$2004,"ذهبي"))</f>
        <v/>
      </c>
      <c r="K294" s="20">
        <f>IF(B294="","",COUNTIFS('سجل التحفيز'!$B$5:$B$2004,B294,'سجل التحفيز'!$R$5:$R$2004,الإعدادات!$B$4,'سجل التحفيز'!$D$5:$D$2004,"ذهبي"))</f>
        <v/>
      </c>
      <c r="L294" s="20">
        <f>IF(B294="","",IF(G294="محرومة","محرومة - مخالفة",IF(K294&gt;=5,"مستحقة ★","متبقي "&amp;(5-K294)&amp;" معايير")))</f>
        <v/>
      </c>
      <c r="N294">
        <f>IF(B294="","",IF(COUNTIFS('سجل التحفيز'!$T$5:$T$2004,"&gt;0",'سجل التحفيز'!$B$5:$B$2004,B294)&gt;0,COUNT(N$4:N293)+1,""))</f>
        <v/>
      </c>
      <c r="O294">
        <f>IF(B294="","",IF(COUNTIFS('سجل التحفيز'!$U$5:$U$2004,"&gt;0",'سجل التحفيز'!$B$5:$B$2004,B294)&gt;0,COUNT(O$4:O293)+1,""))</f>
        <v/>
      </c>
      <c r="P294">
        <f>IF(B294="","",IF(COUNTIFS('سجل التحفيز'!$V$5:$V$2004,"&gt;0",'سجل التحفيز'!$B$5:$B$2004,B294)&gt;0,COUNT(P$4:P293)+1,""))</f>
        <v/>
      </c>
      <c r="Q294">
        <f>IF(B294="","",IF(COUNTIFS('سجل التحفيز'!$W$5:$W$2004,"&gt;0",'سجل التحفيز'!$B$5:$B$2004,B294)&gt;0,COUNT(Q$4:Q293)+1,""))</f>
        <v/>
      </c>
      <c r="R294">
        <f>IF(B294="","",IF(COUNTIFS('سجل التحفيز'!$X$5:$X$2004,"&gt;0",'سجل التحفيز'!$B$5:$B$2004,B294)&gt;0,COUNT(R$4:R293)+1,""))</f>
        <v/>
      </c>
      <c r="S294">
        <f>IF(B294="","",IF(COUNTIFS('سجل التحفيز'!$Y$5:$Y$2004,"&gt;0",'سجل التحفيز'!$B$5:$B$2004,B294)&gt;0,COUNT(S$4:S293)+1,""))</f>
        <v/>
      </c>
      <c r="T294">
        <f>IF(B294="","",IF(COUNTIFS('سجل التحفيز'!$Z$5:$Z$2004,"&gt;0",'سجل التحفيز'!$B$5:$B$2004,B294)&gt;0,COUNT(T$4:T293)+1,""))</f>
        <v/>
      </c>
      <c r="U294">
        <f>IF(B294="","",IF(COUNTIFS('سجل التحفيز'!$AA$5:$AA$2004,"&gt;0",'سجل التحفيز'!$B$5:$B$2004,B294)&gt;0,COUNT(U$4:U293)+1,""))</f>
        <v/>
      </c>
      <c r="V294">
        <f>IF(B294="","",IF(COUNTIFS('سجل التحفيز'!$AB$5:$AB$2004,"&gt;0",'سجل التحفيز'!$B$5:$B$2004,B294)&gt;0,COUNT(V$4:V293)+1,""))</f>
        <v/>
      </c>
      <c r="W294">
        <f>IF(B294="","",IF(COUNTIFS('سجل التحفيز'!$AC$5:$AC$2004,"&gt;0",'سجل التحفيز'!$B$5:$B$2004,B294)&gt;0,COUNT(W$4:W293)+1,""))</f>
        <v/>
      </c>
      <c r="X294">
        <f>IF(B294="","",IF(COUNTIFS('سجل التحفيز'!$AD$5:$AD$2004,"&gt;0",'سجل التحفيز'!$B$5:$B$2004,B294)&gt;0,COUNT(X$4:X293)+1,""))</f>
        <v/>
      </c>
      <c r="Y294">
        <f>IF(B294="","",IF(COUNTIFS('سجل التحفيز'!$AE$5:$AE$2004,"&gt;0",'سجل التحفيز'!$B$5:$B$2004,B294)&gt;0,COUNT(Y$4:Y293)+1,""))</f>
        <v/>
      </c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20">
        <f>IF(B295="","",COUNTIFS('سجل التحفيز'!$B$5:$B$2004,B295,'سجل التحفيز'!$R$5:$R$2004,الإعدادات!$B$4))</f>
        <v/>
      </c>
      <c r="I295" s="20">
        <f>IF(B295="","",COUNTIFS('سجل التحفيز'!$B$5:$B$2004,B295,'سجل التحفيز'!$R$5:$R$2004,الإعدادات!$B$4,'سجل التحفيز'!$Q$5:$Q$2004,"الفصل الأول",'سجل التحفيز'!$D$5:$D$2004,"ذهبي"))</f>
        <v/>
      </c>
      <c r="J295" s="20">
        <f>IF(B295="","",COUNTIFS('سجل التحفيز'!$B$5:$B$2004,B295,'سجل التحفيز'!$R$5:$R$2004,الإعدادات!$B$4,'سجل التحفيز'!$Q$5:$Q$2004,"الفصل الثاني",'سجل التحفيز'!$D$5:$D$2004,"ذهبي"))</f>
        <v/>
      </c>
      <c r="K295" s="20">
        <f>IF(B295="","",COUNTIFS('سجل التحفيز'!$B$5:$B$2004,B295,'سجل التحفيز'!$R$5:$R$2004,الإعدادات!$B$4,'سجل التحفيز'!$D$5:$D$2004,"ذهبي"))</f>
        <v/>
      </c>
      <c r="L295" s="20">
        <f>IF(B295="","",IF(G295="محرومة","محرومة - مخالفة",IF(K295&gt;=5,"مستحقة ★","متبقي "&amp;(5-K295)&amp;" معايير")))</f>
        <v/>
      </c>
      <c r="N295">
        <f>IF(B295="","",IF(COUNTIFS('سجل التحفيز'!$T$5:$T$2004,"&gt;0",'سجل التحفيز'!$B$5:$B$2004,B295)&gt;0,COUNT(N$4:N294)+1,""))</f>
        <v/>
      </c>
      <c r="O295">
        <f>IF(B295="","",IF(COUNTIFS('سجل التحفيز'!$U$5:$U$2004,"&gt;0",'سجل التحفيز'!$B$5:$B$2004,B295)&gt;0,COUNT(O$4:O294)+1,""))</f>
        <v/>
      </c>
      <c r="P295">
        <f>IF(B295="","",IF(COUNTIFS('سجل التحفيز'!$V$5:$V$2004,"&gt;0",'سجل التحفيز'!$B$5:$B$2004,B295)&gt;0,COUNT(P$4:P294)+1,""))</f>
        <v/>
      </c>
      <c r="Q295">
        <f>IF(B295="","",IF(COUNTIFS('سجل التحفيز'!$W$5:$W$2004,"&gt;0",'سجل التحفيز'!$B$5:$B$2004,B295)&gt;0,COUNT(Q$4:Q294)+1,""))</f>
        <v/>
      </c>
      <c r="R295">
        <f>IF(B295="","",IF(COUNTIFS('سجل التحفيز'!$X$5:$X$2004,"&gt;0",'سجل التحفيز'!$B$5:$B$2004,B295)&gt;0,COUNT(R$4:R294)+1,""))</f>
        <v/>
      </c>
      <c r="S295">
        <f>IF(B295="","",IF(COUNTIFS('سجل التحفيز'!$Y$5:$Y$2004,"&gt;0",'سجل التحفيز'!$B$5:$B$2004,B295)&gt;0,COUNT(S$4:S294)+1,""))</f>
        <v/>
      </c>
      <c r="T295">
        <f>IF(B295="","",IF(COUNTIFS('سجل التحفيز'!$Z$5:$Z$2004,"&gt;0",'سجل التحفيز'!$B$5:$B$2004,B295)&gt;0,COUNT(T$4:T294)+1,""))</f>
        <v/>
      </c>
      <c r="U295">
        <f>IF(B295="","",IF(COUNTIFS('سجل التحفيز'!$AA$5:$AA$2004,"&gt;0",'سجل التحفيز'!$B$5:$B$2004,B295)&gt;0,COUNT(U$4:U294)+1,""))</f>
        <v/>
      </c>
      <c r="V295">
        <f>IF(B295="","",IF(COUNTIFS('سجل التحفيز'!$AB$5:$AB$2004,"&gt;0",'سجل التحفيز'!$B$5:$B$2004,B295)&gt;0,COUNT(V$4:V294)+1,""))</f>
        <v/>
      </c>
      <c r="W295">
        <f>IF(B295="","",IF(COUNTIFS('سجل التحفيز'!$AC$5:$AC$2004,"&gt;0",'سجل التحفيز'!$B$5:$B$2004,B295)&gt;0,COUNT(W$4:W294)+1,""))</f>
        <v/>
      </c>
      <c r="X295">
        <f>IF(B295="","",IF(COUNTIFS('سجل التحفيز'!$AD$5:$AD$2004,"&gt;0",'سجل التحفيز'!$B$5:$B$2004,B295)&gt;0,COUNT(X$4:X294)+1,""))</f>
        <v/>
      </c>
      <c r="Y295">
        <f>IF(B295="","",IF(COUNTIFS('سجل التحفيز'!$AE$5:$AE$2004,"&gt;0",'سجل التحفيز'!$B$5:$B$2004,B295)&gt;0,COUNT(Y$4:Y294)+1,""))</f>
        <v/>
      </c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20">
        <f>IF(B296="","",COUNTIFS('سجل التحفيز'!$B$5:$B$2004,B296,'سجل التحفيز'!$R$5:$R$2004,الإعدادات!$B$4))</f>
        <v/>
      </c>
      <c r="I296" s="20">
        <f>IF(B296="","",COUNTIFS('سجل التحفيز'!$B$5:$B$2004,B296,'سجل التحفيز'!$R$5:$R$2004,الإعدادات!$B$4,'سجل التحفيز'!$Q$5:$Q$2004,"الفصل الأول",'سجل التحفيز'!$D$5:$D$2004,"ذهبي"))</f>
        <v/>
      </c>
      <c r="J296" s="20">
        <f>IF(B296="","",COUNTIFS('سجل التحفيز'!$B$5:$B$2004,B296,'سجل التحفيز'!$R$5:$R$2004,الإعدادات!$B$4,'سجل التحفيز'!$Q$5:$Q$2004,"الفصل الثاني",'سجل التحفيز'!$D$5:$D$2004,"ذهبي"))</f>
        <v/>
      </c>
      <c r="K296" s="20">
        <f>IF(B296="","",COUNTIFS('سجل التحفيز'!$B$5:$B$2004,B296,'سجل التحفيز'!$R$5:$R$2004,الإعدادات!$B$4,'سجل التحفيز'!$D$5:$D$2004,"ذهبي"))</f>
        <v/>
      </c>
      <c r="L296" s="20">
        <f>IF(B296="","",IF(G296="محرومة","محرومة - مخالفة",IF(K296&gt;=5,"مستحقة ★","متبقي "&amp;(5-K296)&amp;" معايير")))</f>
        <v/>
      </c>
      <c r="N296">
        <f>IF(B296="","",IF(COUNTIFS('سجل التحفيز'!$T$5:$T$2004,"&gt;0",'سجل التحفيز'!$B$5:$B$2004,B296)&gt;0,COUNT(N$4:N295)+1,""))</f>
        <v/>
      </c>
      <c r="O296">
        <f>IF(B296="","",IF(COUNTIFS('سجل التحفيز'!$U$5:$U$2004,"&gt;0",'سجل التحفيز'!$B$5:$B$2004,B296)&gt;0,COUNT(O$4:O295)+1,""))</f>
        <v/>
      </c>
      <c r="P296">
        <f>IF(B296="","",IF(COUNTIFS('سجل التحفيز'!$V$5:$V$2004,"&gt;0",'سجل التحفيز'!$B$5:$B$2004,B296)&gt;0,COUNT(P$4:P295)+1,""))</f>
        <v/>
      </c>
      <c r="Q296">
        <f>IF(B296="","",IF(COUNTIFS('سجل التحفيز'!$W$5:$W$2004,"&gt;0",'سجل التحفيز'!$B$5:$B$2004,B296)&gt;0,COUNT(Q$4:Q295)+1,""))</f>
        <v/>
      </c>
      <c r="R296">
        <f>IF(B296="","",IF(COUNTIFS('سجل التحفيز'!$X$5:$X$2004,"&gt;0",'سجل التحفيز'!$B$5:$B$2004,B296)&gt;0,COUNT(R$4:R295)+1,""))</f>
        <v/>
      </c>
      <c r="S296">
        <f>IF(B296="","",IF(COUNTIFS('سجل التحفيز'!$Y$5:$Y$2004,"&gt;0",'سجل التحفيز'!$B$5:$B$2004,B296)&gt;0,COUNT(S$4:S295)+1,""))</f>
        <v/>
      </c>
      <c r="T296">
        <f>IF(B296="","",IF(COUNTIFS('سجل التحفيز'!$Z$5:$Z$2004,"&gt;0",'سجل التحفيز'!$B$5:$B$2004,B296)&gt;0,COUNT(T$4:T295)+1,""))</f>
        <v/>
      </c>
      <c r="U296">
        <f>IF(B296="","",IF(COUNTIFS('سجل التحفيز'!$AA$5:$AA$2004,"&gt;0",'سجل التحفيز'!$B$5:$B$2004,B296)&gt;0,COUNT(U$4:U295)+1,""))</f>
        <v/>
      </c>
      <c r="V296">
        <f>IF(B296="","",IF(COUNTIFS('سجل التحفيز'!$AB$5:$AB$2004,"&gt;0",'سجل التحفيز'!$B$5:$B$2004,B296)&gt;0,COUNT(V$4:V295)+1,""))</f>
        <v/>
      </c>
      <c r="W296">
        <f>IF(B296="","",IF(COUNTIFS('سجل التحفيز'!$AC$5:$AC$2004,"&gt;0",'سجل التحفيز'!$B$5:$B$2004,B296)&gt;0,COUNT(W$4:W295)+1,""))</f>
        <v/>
      </c>
      <c r="X296">
        <f>IF(B296="","",IF(COUNTIFS('سجل التحفيز'!$AD$5:$AD$2004,"&gt;0",'سجل التحفيز'!$B$5:$B$2004,B296)&gt;0,COUNT(X$4:X295)+1,""))</f>
        <v/>
      </c>
      <c r="Y296">
        <f>IF(B296="","",IF(COUNTIFS('سجل التحفيز'!$AE$5:$AE$2004,"&gt;0",'سجل التحفيز'!$B$5:$B$2004,B296)&gt;0,COUNT(Y$4:Y295)+1,""))</f>
        <v/>
      </c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20">
        <f>IF(B297="","",COUNTIFS('سجل التحفيز'!$B$5:$B$2004,B297,'سجل التحفيز'!$R$5:$R$2004,الإعدادات!$B$4))</f>
        <v/>
      </c>
      <c r="I297" s="20">
        <f>IF(B297="","",COUNTIFS('سجل التحفيز'!$B$5:$B$2004,B297,'سجل التحفيز'!$R$5:$R$2004,الإعدادات!$B$4,'سجل التحفيز'!$Q$5:$Q$2004,"الفصل الأول",'سجل التحفيز'!$D$5:$D$2004,"ذهبي"))</f>
        <v/>
      </c>
      <c r="J297" s="20">
        <f>IF(B297="","",COUNTIFS('سجل التحفيز'!$B$5:$B$2004,B297,'سجل التحفيز'!$R$5:$R$2004,الإعدادات!$B$4,'سجل التحفيز'!$Q$5:$Q$2004,"الفصل الثاني",'سجل التحفيز'!$D$5:$D$2004,"ذهبي"))</f>
        <v/>
      </c>
      <c r="K297" s="20">
        <f>IF(B297="","",COUNTIFS('سجل التحفيز'!$B$5:$B$2004,B297,'سجل التحفيز'!$R$5:$R$2004,الإعدادات!$B$4,'سجل التحفيز'!$D$5:$D$2004,"ذهبي"))</f>
        <v/>
      </c>
      <c r="L297" s="20">
        <f>IF(B297="","",IF(G297="محرومة","محرومة - مخالفة",IF(K297&gt;=5,"مستحقة ★","متبقي "&amp;(5-K297)&amp;" معايير")))</f>
        <v/>
      </c>
      <c r="N297">
        <f>IF(B297="","",IF(COUNTIFS('سجل التحفيز'!$T$5:$T$2004,"&gt;0",'سجل التحفيز'!$B$5:$B$2004,B297)&gt;0,COUNT(N$4:N296)+1,""))</f>
        <v/>
      </c>
      <c r="O297">
        <f>IF(B297="","",IF(COUNTIFS('سجل التحفيز'!$U$5:$U$2004,"&gt;0",'سجل التحفيز'!$B$5:$B$2004,B297)&gt;0,COUNT(O$4:O296)+1,""))</f>
        <v/>
      </c>
      <c r="P297">
        <f>IF(B297="","",IF(COUNTIFS('سجل التحفيز'!$V$5:$V$2004,"&gt;0",'سجل التحفيز'!$B$5:$B$2004,B297)&gt;0,COUNT(P$4:P296)+1,""))</f>
        <v/>
      </c>
      <c r="Q297">
        <f>IF(B297="","",IF(COUNTIFS('سجل التحفيز'!$W$5:$W$2004,"&gt;0",'سجل التحفيز'!$B$5:$B$2004,B297)&gt;0,COUNT(Q$4:Q296)+1,""))</f>
        <v/>
      </c>
      <c r="R297">
        <f>IF(B297="","",IF(COUNTIFS('سجل التحفيز'!$X$5:$X$2004,"&gt;0",'سجل التحفيز'!$B$5:$B$2004,B297)&gt;0,COUNT(R$4:R296)+1,""))</f>
        <v/>
      </c>
      <c r="S297">
        <f>IF(B297="","",IF(COUNTIFS('سجل التحفيز'!$Y$5:$Y$2004,"&gt;0",'سجل التحفيز'!$B$5:$B$2004,B297)&gt;0,COUNT(S$4:S296)+1,""))</f>
        <v/>
      </c>
      <c r="T297">
        <f>IF(B297="","",IF(COUNTIFS('سجل التحفيز'!$Z$5:$Z$2004,"&gt;0",'سجل التحفيز'!$B$5:$B$2004,B297)&gt;0,COUNT(T$4:T296)+1,""))</f>
        <v/>
      </c>
      <c r="U297">
        <f>IF(B297="","",IF(COUNTIFS('سجل التحفيز'!$AA$5:$AA$2004,"&gt;0",'سجل التحفيز'!$B$5:$B$2004,B297)&gt;0,COUNT(U$4:U296)+1,""))</f>
        <v/>
      </c>
      <c r="V297">
        <f>IF(B297="","",IF(COUNTIFS('سجل التحفيز'!$AB$5:$AB$2004,"&gt;0",'سجل التحفيز'!$B$5:$B$2004,B297)&gt;0,COUNT(V$4:V296)+1,""))</f>
        <v/>
      </c>
      <c r="W297">
        <f>IF(B297="","",IF(COUNTIFS('سجل التحفيز'!$AC$5:$AC$2004,"&gt;0",'سجل التحفيز'!$B$5:$B$2004,B297)&gt;0,COUNT(W$4:W296)+1,""))</f>
        <v/>
      </c>
      <c r="X297">
        <f>IF(B297="","",IF(COUNTIFS('سجل التحفيز'!$AD$5:$AD$2004,"&gt;0",'سجل التحفيز'!$B$5:$B$2004,B297)&gt;0,COUNT(X$4:X296)+1,""))</f>
        <v/>
      </c>
      <c r="Y297">
        <f>IF(B297="","",IF(COUNTIFS('سجل التحفيز'!$AE$5:$AE$2004,"&gt;0",'سجل التحفيز'!$B$5:$B$2004,B297)&gt;0,COUNT(Y$4:Y296)+1,""))</f>
        <v/>
      </c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20">
        <f>IF(B298="","",COUNTIFS('سجل التحفيز'!$B$5:$B$2004,B298,'سجل التحفيز'!$R$5:$R$2004,الإعدادات!$B$4))</f>
        <v/>
      </c>
      <c r="I298" s="20">
        <f>IF(B298="","",COUNTIFS('سجل التحفيز'!$B$5:$B$2004,B298,'سجل التحفيز'!$R$5:$R$2004,الإعدادات!$B$4,'سجل التحفيز'!$Q$5:$Q$2004,"الفصل الأول",'سجل التحفيز'!$D$5:$D$2004,"ذهبي"))</f>
        <v/>
      </c>
      <c r="J298" s="20">
        <f>IF(B298="","",COUNTIFS('سجل التحفيز'!$B$5:$B$2004,B298,'سجل التحفيز'!$R$5:$R$2004,الإعدادات!$B$4,'سجل التحفيز'!$Q$5:$Q$2004,"الفصل الثاني",'سجل التحفيز'!$D$5:$D$2004,"ذهبي"))</f>
        <v/>
      </c>
      <c r="K298" s="20">
        <f>IF(B298="","",COUNTIFS('سجل التحفيز'!$B$5:$B$2004,B298,'سجل التحفيز'!$R$5:$R$2004,الإعدادات!$B$4,'سجل التحفيز'!$D$5:$D$2004,"ذهبي"))</f>
        <v/>
      </c>
      <c r="L298" s="20">
        <f>IF(B298="","",IF(G298="محرومة","محرومة - مخالفة",IF(K298&gt;=5,"مستحقة ★","متبقي "&amp;(5-K298)&amp;" معايير")))</f>
        <v/>
      </c>
      <c r="N298">
        <f>IF(B298="","",IF(COUNTIFS('سجل التحفيز'!$T$5:$T$2004,"&gt;0",'سجل التحفيز'!$B$5:$B$2004,B298)&gt;0,COUNT(N$4:N297)+1,""))</f>
        <v/>
      </c>
      <c r="O298">
        <f>IF(B298="","",IF(COUNTIFS('سجل التحفيز'!$U$5:$U$2004,"&gt;0",'سجل التحفيز'!$B$5:$B$2004,B298)&gt;0,COUNT(O$4:O297)+1,""))</f>
        <v/>
      </c>
      <c r="P298">
        <f>IF(B298="","",IF(COUNTIFS('سجل التحفيز'!$V$5:$V$2004,"&gt;0",'سجل التحفيز'!$B$5:$B$2004,B298)&gt;0,COUNT(P$4:P297)+1,""))</f>
        <v/>
      </c>
      <c r="Q298">
        <f>IF(B298="","",IF(COUNTIFS('سجل التحفيز'!$W$5:$W$2004,"&gt;0",'سجل التحفيز'!$B$5:$B$2004,B298)&gt;0,COUNT(Q$4:Q297)+1,""))</f>
        <v/>
      </c>
      <c r="R298">
        <f>IF(B298="","",IF(COUNTIFS('سجل التحفيز'!$X$5:$X$2004,"&gt;0",'سجل التحفيز'!$B$5:$B$2004,B298)&gt;0,COUNT(R$4:R297)+1,""))</f>
        <v/>
      </c>
      <c r="S298">
        <f>IF(B298="","",IF(COUNTIFS('سجل التحفيز'!$Y$5:$Y$2004,"&gt;0",'سجل التحفيز'!$B$5:$B$2004,B298)&gt;0,COUNT(S$4:S297)+1,""))</f>
        <v/>
      </c>
      <c r="T298">
        <f>IF(B298="","",IF(COUNTIFS('سجل التحفيز'!$Z$5:$Z$2004,"&gt;0",'سجل التحفيز'!$B$5:$B$2004,B298)&gt;0,COUNT(T$4:T297)+1,""))</f>
        <v/>
      </c>
      <c r="U298">
        <f>IF(B298="","",IF(COUNTIFS('سجل التحفيز'!$AA$5:$AA$2004,"&gt;0",'سجل التحفيز'!$B$5:$B$2004,B298)&gt;0,COUNT(U$4:U297)+1,""))</f>
        <v/>
      </c>
      <c r="V298">
        <f>IF(B298="","",IF(COUNTIFS('سجل التحفيز'!$AB$5:$AB$2004,"&gt;0",'سجل التحفيز'!$B$5:$B$2004,B298)&gt;0,COUNT(V$4:V297)+1,""))</f>
        <v/>
      </c>
      <c r="W298">
        <f>IF(B298="","",IF(COUNTIFS('سجل التحفيز'!$AC$5:$AC$2004,"&gt;0",'سجل التحفيز'!$B$5:$B$2004,B298)&gt;0,COUNT(W$4:W297)+1,""))</f>
        <v/>
      </c>
      <c r="X298">
        <f>IF(B298="","",IF(COUNTIFS('سجل التحفيز'!$AD$5:$AD$2004,"&gt;0",'سجل التحفيز'!$B$5:$B$2004,B298)&gt;0,COUNT(X$4:X297)+1,""))</f>
        <v/>
      </c>
      <c r="Y298">
        <f>IF(B298="","",IF(COUNTIFS('سجل التحفيز'!$AE$5:$AE$2004,"&gt;0",'سجل التحفيز'!$B$5:$B$2004,B298)&gt;0,COUNT(Y$4:Y297)+1,""))</f>
        <v/>
      </c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20">
        <f>IF(B299="","",COUNTIFS('سجل التحفيز'!$B$5:$B$2004,B299,'سجل التحفيز'!$R$5:$R$2004,الإعدادات!$B$4))</f>
        <v/>
      </c>
      <c r="I299" s="20">
        <f>IF(B299="","",COUNTIFS('سجل التحفيز'!$B$5:$B$2004,B299,'سجل التحفيز'!$R$5:$R$2004,الإعدادات!$B$4,'سجل التحفيز'!$Q$5:$Q$2004,"الفصل الأول",'سجل التحفيز'!$D$5:$D$2004,"ذهبي"))</f>
        <v/>
      </c>
      <c r="J299" s="20">
        <f>IF(B299="","",COUNTIFS('سجل التحفيز'!$B$5:$B$2004,B299,'سجل التحفيز'!$R$5:$R$2004,الإعدادات!$B$4,'سجل التحفيز'!$Q$5:$Q$2004,"الفصل الثاني",'سجل التحفيز'!$D$5:$D$2004,"ذهبي"))</f>
        <v/>
      </c>
      <c r="K299" s="20">
        <f>IF(B299="","",COUNTIFS('سجل التحفيز'!$B$5:$B$2004,B299,'سجل التحفيز'!$R$5:$R$2004,الإعدادات!$B$4,'سجل التحفيز'!$D$5:$D$2004,"ذهبي"))</f>
        <v/>
      </c>
      <c r="L299" s="20">
        <f>IF(B299="","",IF(G299="محرومة","محرومة - مخالفة",IF(K299&gt;=5,"مستحقة ★","متبقي "&amp;(5-K299)&amp;" معايير")))</f>
        <v/>
      </c>
      <c r="N299">
        <f>IF(B299="","",IF(COUNTIFS('سجل التحفيز'!$T$5:$T$2004,"&gt;0",'سجل التحفيز'!$B$5:$B$2004,B299)&gt;0,COUNT(N$4:N298)+1,""))</f>
        <v/>
      </c>
      <c r="O299">
        <f>IF(B299="","",IF(COUNTIFS('سجل التحفيز'!$U$5:$U$2004,"&gt;0",'سجل التحفيز'!$B$5:$B$2004,B299)&gt;0,COUNT(O$4:O298)+1,""))</f>
        <v/>
      </c>
      <c r="P299">
        <f>IF(B299="","",IF(COUNTIFS('سجل التحفيز'!$V$5:$V$2004,"&gt;0",'سجل التحفيز'!$B$5:$B$2004,B299)&gt;0,COUNT(P$4:P298)+1,""))</f>
        <v/>
      </c>
      <c r="Q299">
        <f>IF(B299="","",IF(COUNTIFS('سجل التحفيز'!$W$5:$W$2004,"&gt;0",'سجل التحفيز'!$B$5:$B$2004,B299)&gt;0,COUNT(Q$4:Q298)+1,""))</f>
        <v/>
      </c>
      <c r="R299">
        <f>IF(B299="","",IF(COUNTIFS('سجل التحفيز'!$X$5:$X$2004,"&gt;0",'سجل التحفيز'!$B$5:$B$2004,B299)&gt;0,COUNT(R$4:R298)+1,""))</f>
        <v/>
      </c>
      <c r="S299">
        <f>IF(B299="","",IF(COUNTIFS('سجل التحفيز'!$Y$5:$Y$2004,"&gt;0",'سجل التحفيز'!$B$5:$B$2004,B299)&gt;0,COUNT(S$4:S298)+1,""))</f>
        <v/>
      </c>
      <c r="T299">
        <f>IF(B299="","",IF(COUNTIFS('سجل التحفيز'!$Z$5:$Z$2004,"&gt;0",'سجل التحفيز'!$B$5:$B$2004,B299)&gt;0,COUNT(T$4:T298)+1,""))</f>
        <v/>
      </c>
      <c r="U299">
        <f>IF(B299="","",IF(COUNTIFS('سجل التحفيز'!$AA$5:$AA$2004,"&gt;0",'سجل التحفيز'!$B$5:$B$2004,B299)&gt;0,COUNT(U$4:U298)+1,""))</f>
        <v/>
      </c>
      <c r="V299">
        <f>IF(B299="","",IF(COUNTIFS('سجل التحفيز'!$AB$5:$AB$2004,"&gt;0",'سجل التحفيز'!$B$5:$B$2004,B299)&gt;0,COUNT(V$4:V298)+1,""))</f>
        <v/>
      </c>
      <c r="W299">
        <f>IF(B299="","",IF(COUNTIFS('سجل التحفيز'!$AC$5:$AC$2004,"&gt;0",'سجل التحفيز'!$B$5:$B$2004,B299)&gt;0,COUNT(W$4:W298)+1,""))</f>
        <v/>
      </c>
      <c r="X299">
        <f>IF(B299="","",IF(COUNTIFS('سجل التحفيز'!$AD$5:$AD$2004,"&gt;0",'سجل التحفيز'!$B$5:$B$2004,B299)&gt;0,COUNT(X$4:X298)+1,""))</f>
        <v/>
      </c>
      <c r="Y299">
        <f>IF(B299="","",IF(COUNTIFS('سجل التحفيز'!$AE$5:$AE$2004,"&gt;0",'سجل التحفيز'!$B$5:$B$2004,B299)&gt;0,COUNT(Y$4:Y298)+1,""))</f>
        <v/>
      </c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20">
        <f>IF(B300="","",COUNTIFS('سجل التحفيز'!$B$5:$B$2004,B300,'سجل التحفيز'!$R$5:$R$2004,الإعدادات!$B$4))</f>
        <v/>
      </c>
      <c r="I300" s="20">
        <f>IF(B300="","",COUNTIFS('سجل التحفيز'!$B$5:$B$2004,B300,'سجل التحفيز'!$R$5:$R$2004,الإعدادات!$B$4,'سجل التحفيز'!$Q$5:$Q$2004,"الفصل الأول",'سجل التحفيز'!$D$5:$D$2004,"ذهبي"))</f>
        <v/>
      </c>
      <c r="J300" s="20">
        <f>IF(B300="","",COUNTIFS('سجل التحفيز'!$B$5:$B$2004,B300,'سجل التحفيز'!$R$5:$R$2004,الإعدادات!$B$4,'سجل التحفيز'!$Q$5:$Q$2004,"الفصل الثاني",'سجل التحفيز'!$D$5:$D$2004,"ذهبي"))</f>
        <v/>
      </c>
      <c r="K300" s="20">
        <f>IF(B300="","",COUNTIFS('سجل التحفيز'!$B$5:$B$2004,B300,'سجل التحفيز'!$R$5:$R$2004,الإعدادات!$B$4,'سجل التحفيز'!$D$5:$D$2004,"ذهبي"))</f>
        <v/>
      </c>
      <c r="L300" s="20">
        <f>IF(B300="","",IF(G300="محرومة","محرومة - مخالفة",IF(K300&gt;=5,"مستحقة ★","متبقي "&amp;(5-K300)&amp;" معايير")))</f>
        <v/>
      </c>
      <c r="N300">
        <f>IF(B300="","",IF(COUNTIFS('سجل التحفيز'!$T$5:$T$2004,"&gt;0",'سجل التحفيز'!$B$5:$B$2004,B300)&gt;0,COUNT(N$4:N299)+1,""))</f>
        <v/>
      </c>
      <c r="O300">
        <f>IF(B300="","",IF(COUNTIFS('سجل التحفيز'!$U$5:$U$2004,"&gt;0",'سجل التحفيز'!$B$5:$B$2004,B300)&gt;0,COUNT(O$4:O299)+1,""))</f>
        <v/>
      </c>
      <c r="P300">
        <f>IF(B300="","",IF(COUNTIFS('سجل التحفيز'!$V$5:$V$2004,"&gt;0",'سجل التحفيز'!$B$5:$B$2004,B300)&gt;0,COUNT(P$4:P299)+1,""))</f>
        <v/>
      </c>
      <c r="Q300">
        <f>IF(B300="","",IF(COUNTIFS('سجل التحفيز'!$W$5:$W$2004,"&gt;0",'سجل التحفيز'!$B$5:$B$2004,B300)&gt;0,COUNT(Q$4:Q299)+1,""))</f>
        <v/>
      </c>
      <c r="R300">
        <f>IF(B300="","",IF(COUNTIFS('سجل التحفيز'!$X$5:$X$2004,"&gt;0",'سجل التحفيز'!$B$5:$B$2004,B300)&gt;0,COUNT(R$4:R299)+1,""))</f>
        <v/>
      </c>
      <c r="S300">
        <f>IF(B300="","",IF(COUNTIFS('سجل التحفيز'!$Y$5:$Y$2004,"&gt;0",'سجل التحفيز'!$B$5:$B$2004,B300)&gt;0,COUNT(S$4:S299)+1,""))</f>
        <v/>
      </c>
      <c r="T300">
        <f>IF(B300="","",IF(COUNTIFS('سجل التحفيز'!$Z$5:$Z$2004,"&gt;0",'سجل التحفيز'!$B$5:$B$2004,B300)&gt;0,COUNT(T$4:T299)+1,""))</f>
        <v/>
      </c>
      <c r="U300">
        <f>IF(B300="","",IF(COUNTIFS('سجل التحفيز'!$AA$5:$AA$2004,"&gt;0",'سجل التحفيز'!$B$5:$B$2004,B300)&gt;0,COUNT(U$4:U299)+1,""))</f>
        <v/>
      </c>
      <c r="V300">
        <f>IF(B300="","",IF(COUNTIFS('سجل التحفيز'!$AB$5:$AB$2004,"&gt;0",'سجل التحفيز'!$B$5:$B$2004,B300)&gt;0,COUNT(V$4:V299)+1,""))</f>
        <v/>
      </c>
      <c r="W300">
        <f>IF(B300="","",IF(COUNTIFS('سجل التحفيز'!$AC$5:$AC$2004,"&gt;0",'سجل التحفيز'!$B$5:$B$2004,B300)&gt;0,COUNT(W$4:W299)+1,""))</f>
        <v/>
      </c>
      <c r="X300">
        <f>IF(B300="","",IF(COUNTIFS('سجل التحفيز'!$AD$5:$AD$2004,"&gt;0",'سجل التحفيز'!$B$5:$B$2004,B300)&gt;0,COUNT(X$4:X299)+1,""))</f>
        <v/>
      </c>
      <c r="Y300">
        <f>IF(B300="","",IF(COUNTIFS('سجل التحفيز'!$AE$5:$AE$2004,"&gt;0",'سجل التحفيز'!$B$5:$B$2004,B300)&gt;0,COUNT(Y$4:Y299)+1,""))</f>
        <v/>
      </c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20">
        <f>IF(B301="","",COUNTIFS('سجل التحفيز'!$B$5:$B$2004,B301,'سجل التحفيز'!$R$5:$R$2004,الإعدادات!$B$4))</f>
        <v/>
      </c>
      <c r="I301" s="20">
        <f>IF(B301="","",COUNTIFS('سجل التحفيز'!$B$5:$B$2004,B301,'سجل التحفيز'!$R$5:$R$2004,الإعدادات!$B$4,'سجل التحفيز'!$Q$5:$Q$2004,"الفصل الأول",'سجل التحفيز'!$D$5:$D$2004,"ذهبي"))</f>
        <v/>
      </c>
      <c r="J301" s="20">
        <f>IF(B301="","",COUNTIFS('سجل التحفيز'!$B$5:$B$2004,B301,'سجل التحفيز'!$R$5:$R$2004,الإعدادات!$B$4,'سجل التحفيز'!$Q$5:$Q$2004,"الفصل الثاني",'سجل التحفيز'!$D$5:$D$2004,"ذهبي"))</f>
        <v/>
      </c>
      <c r="K301" s="20">
        <f>IF(B301="","",COUNTIFS('سجل التحفيز'!$B$5:$B$2004,B301,'سجل التحفيز'!$R$5:$R$2004,الإعدادات!$B$4,'سجل التحفيز'!$D$5:$D$2004,"ذهبي"))</f>
        <v/>
      </c>
      <c r="L301" s="20">
        <f>IF(B301="","",IF(G301="محرومة","محرومة - مخالفة",IF(K301&gt;=5,"مستحقة ★","متبقي "&amp;(5-K301)&amp;" معايير")))</f>
        <v/>
      </c>
      <c r="N301">
        <f>IF(B301="","",IF(COUNTIFS('سجل التحفيز'!$T$5:$T$2004,"&gt;0",'سجل التحفيز'!$B$5:$B$2004,B301)&gt;0,COUNT(N$4:N300)+1,""))</f>
        <v/>
      </c>
      <c r="O301">
        <f>IF(B301="","",IF(COUNTIFS('سجل التحفيز'!$U$5:$U$2004,"&gt;0",'سجل التحفيز'!$B$5:$B$2004,B301)&gt;0,COUNT(O$4:O300)+1,""))</f>
        <v/>
      </c>
      <c r="P301">
        <f>IF(B301="","",IF(COUNTIFS('سجل التحفيز'!$V$5:$V$2004,"&gt;0",'سجل التحفيز'!$B$5:$B$2004,B301)&gt;0,COUNT(P$4:P300)+1,""))</f>
        <v/>
      </c>
      <c r="Q301">
        <f>IF(B301="","",IF(COUNTIFS('سجل التحفيز'!$W$5:$W$2004,"&gt;0",'سجل التحفيز'!$B$5:$B$2004,B301)&gt;0,COUNT(Q$4:Q300)+1,""))</f>
        <v/>
      </c>
      <c r="R301">
        <f>IF(B301="","",IF(COUNTIFS('سجل التحفيز'!$X$5:$X$2004,"&gt;0",'سجل التحفيز'!$B$5:$B$2004,B301)&gt;0,COUNT(R$4:R300)+1,""))</f>
        <v/>
      </c>
      <c r="S301">
        <f>IF(B301="","",IF(COUNTIFS('سجل التحفيز'!$Y$5:$Y$2004,"&gt;0",'سجل التحفيز'!$B$5:$B$2004,B301)&gt;0,COUNT(S$4:S300)+1,""))</f>
        <v/>
      </c>
      <c r="T301">
        <f>IF(B301="","",IF(COUNTIFS('سجل التحفيز'!$Z$5:$Z$2004,"&gt;0",'سجل التحفيز'!$B$5:$B$2004,B301)&gt;0,COUNT(T$4:T300)+1,""))</f>
        <v/>
      </c>
      <c r="U301">
        <f>IF(B301="","",IF(COUNTIFS('سجل التحفيز'!$AA$5:$AA$2004,"&gt;0",'سجل التحفيز'!$B$5:$B$2004,B301)&gt;0,COUNT(U$4:U300)+1,""))</f>
        <v/>
      </c>
      <c r="V301">
        <f>IF(B301="","",IF(COUNTIFS('سجل التحفيز'!$AB$5:$AB$2004,"&gt;0",'سجل التحفيز'!$B$5:$B$2004,B301)&gt;0,COUNT(V$4:V300)+1,""))</f>
        <v/>
      </c>
      <c r="W301">
        <f>IF(B301="","",IF(COUNTIFS('سجل التحفيز'!$AC$5:$AC$2004,"&gt;0",'سجل التحفيز'!$B$5:$B$2004,B301)&gt;0,COUNT(W$4:W300)+1,""))</f>
        <v/>
      </c>
      <c r="X301">
        <f>IF(B301="","",IF(COUNTIFS('سجل التحفيز'!$AD$5:$AD$2004,"&gt;0",'سجل التحفيز'!$B$5:$B$2004,B301)&gt;0,COUNT(X$4:X300)+1,""))</f>
        <v/>
      </c>
      <c r="Y301">
        <f>IF(B301="","",IF(COUNTIFS('سجل التحفيز'!$AE$5:$AE$2004,"&gt;0",'سجل التحفيز'!$B$5:$B$2004,B301)&gt;0,COUNT(Y$4:Y300)+1,""))</f>
        <v/>
      </c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20">
        <f>IF(B302="","",COUNTIFS('سجل التحفيز'!$B$5:$B$2004,B302,'سجل التحفيز'!$R$5:$R$2004,الإعدادات!$B$4))</f>
        <v/>
      </c>
      <c r="I302" s="20">
        <f>IF(B302="","",COUNTIFS('سجل التحفيز'!$B$5:$B$2004,B302,'سجل التحفيز'!$R$5:$R$2004,الإعدادات!$B$4,'سجل التحفيز'!$Q$5:$Q$2004,"الفصل الأول",'سجل التحفيز'!$D$5:$D$2004,"ذهبي"))</f>
        <v/>
      </c>
      <c r="J302" s="20">
        <f>IF(B302="","",COUNTIFS('سجل التحفيز'!$B$5:$B$2004,B302,'سجل التحفيز'!$R$5:$R$2004,الإعدادات!$B$4,'سجل التحفيز'!$Q$5:$Q$2004,"الفصل الثاني",'سجل التحفيز'!$D$5:$D$2004,"ذهبي"))</f>
        <v/>
      </c>
      <c r="K302" s="20">
        <f>IF(B302="","",COUNTIFS('سجل التحفيز'!$B$5:$B$2004,B302,'سجل التحفيز'!$R$5:$R$2004,الإعدادات!$B$4,'سجل التحفيز'!$D$5:$D$2004,"ذهبي"))</f>
        <v/>
      </c>
      <c r="L302" s="20">
        <f>IF(B302="","",IF(G302="محرومة","محرومة - مخالفة",IF(K302&gt;=5,"مستحقة ★","متبقي "&amp;(5-K302)&amp;" معايير")))</f>
        <v/>
      </c>
      <c r="N302">
        <f>IF(B302="","",IF(COUNTIFS('سجل التحفيز'!$T$5:$T$2004,"&gt;0",'سجل التحفيز'!$B$5:$B$2004,B302)&gt;0,COUNT(N$4:N301)+1,""))</f>
        <v/>
      </c>
      <c r="O302">
        <f>IF(B302="","",IF(COUNTIFS('سجل التحفيز'!$U$5:$U$2004,"&gt;0",'سجل التحفيز'!$B$5:$B$2004,B302)&gt;0,COUNT(O$4:O301)+1,""))</f>
        <v/>
      </c>
      <c r="P302">
        <f>IF(B302="","",IF(COUNTIFS('سجل التحفيز'!$V$5:$V$2004,"&gt;0",'سجل التحفيز'!$B$5:$B$2004,B302)&gt;0,COUNT(P$4:P301)+1,""))</f>
        <v/>
      </c>
      <c r="Q302">
        <f>IF(B302="","",IF(COUNTIFS('سجل التحفيز'!$W$5:$W$2004,"&gt;0",'سجل التحفيز'!$B$5:$B$2004,B302)&gt;0,COUNT(Q$4:Q301)+1,""))</f>
        <v/>
      </c>
      <c r="R302">
        <f>IF(B302="","",IF(COUNTIFS('سجل التحفيز'!$X$5:$X$2004,"&gt;0",'سجل التحفيز'!$B$5:$B$2004,B302)&gt;0,COUNT(R$4:R301)+1,""))</f>
        <v/>
      </c>
      <c r="S302">
        <f>IF(B302="","",IF(COUNTIFS('سجل التحفيز'!$Y$5:$Y$2004,"&gt;0",'سجل التحفيز'!$B$5:$B$2004,B302)&gt;0,COUNT(S$4:S301)+1,""))</f>
        <v/>
      </c>
      <c r="T302">
        <f>IF(B302="","",IF(COUNTIFS('سجل التحفيز'!$Z$5:$Z$2004,"&gt;0",'سجل التحفيز'!$B$5:$B$2004,B302)&gt;0,COUNT(T$4:T301)+1,""))</f>
        <v/>
      </c>
      <c r="U302">
        <f>IF(B302="","",IF(COUNTIFS('سجل التحفيز'!$AA$5:$AA$2004,"&gt;0",'سجل التحفيز'!$B$5:$B$2004,B302)&gt;0,COUNT(U$4:U301)+1,""))</f>
        <v/>
      </c>
      <c r="V302">
        <f>IF(B302="","",IF(COUNTIFS('سجل التحفيز'!$AB$5:$AB$2004,"&gt;0",'سجل التحفيز'!$B$5:$B$2004,B302)&gt;0,COUNT(V$4:V301)+1,""))</f>
        <v/>
      </c>
      <c r="W302">
        <f>IF(B302="","",IF(COUNTIFS('سجل التحفيز'!$AC$5:$AC$2004,"&gt;0",'سجل التحفيز'!$B$5:$B$2004,B302)&gt;0,COUNT(W$4:W301)+1,""))</f>
        <v/>
      </c>
      <c r="X302">
        <f>IF(B302="","",IF(COUNTIFS('سجل التحفيز'!$AD$5:$AD$2004,"&gt;0",'سجل التحفيز'!$B$5:$B$2004,B302)&gt;0,COUNT(X$4:X301)+1,""))</f>
        <v/>
      </c>
      <c r="Y302">
        <f>IF(B302="","",IF(COUNTIFS('سجل التحفيز'!$AE$5:$AE$2004,"&gt;0",'سجل التحفيز'!$B$5:$B$2004,B302)&gt;0,COUNT(Y$4:Y301)+1,""))</f>
        <v/>
      </c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20">
        <f>IF(B303="","",COUNTIFS('سجل التحفيز'!$B$5:$B$2004,B303,'سجل التحفيز'!$R$5:$R$2004,الإعدادات!$B$4))</f>
        <v/>
      </c>
      <c r="I303" s="20">
        <f>IF(B303="","",COUNTIFS('سجل التحفيز'!$B$5:$B$2004,B303,'سجل التحفيز'!$R$5:$R$2004,الإعدادات!$B$4,'سجل التحفيز'!$Q$5:$Q$2004,"الفصل الأول",'سجل التحفيز'!$D$5:$D$2004,"ذهبي"))</f>
        <v/>
      </c>
      <c r="J303" s="20">
        <f>IF(B303="","",COUNTIFS('سجل التحفيز'!$B$5:$B$2004,B303,'سجل التحفيز'!$R$5:$R$2004,الإعدادات!$B$4,'سجل التحفيز'!$Q$5:$Q$2004,"الفصل الثاني",'سجل التحفيز'!$D$5:$D$2004,"ذهبي"))</f>
        <v/>
      </c>
      <c r="K303" s="20">
        <f>IF(B303="","",COUNTIFS('سجل التحفيز'!$B$5:$B$2004,B303,'سجل التحفيز'!$R$5:$R$2004,الإعدادات!$B$4,'سجل التحفيز'!$D$5:$D$2004,"ذهبي"))</f>
        <v/>
      </c>
      <c r="L303" s="20">
        <f>IF(B303="","",IF(G303="محرومة","محرومة - مخالفة",IF(K303&gt;=5,"مستحقة ★","متبقي "&amp;(5-K303)&amp;" معايير")))</f>
        <v/>
      </c>
      <c r="N303">
        <f>IF(B303="","",IF(COUNTIFS('سجل التحفيز'!$T$5:$T$2004,"&gt;0",'سجل التحفيز'!$B$5:$B$2004,B303)&gt;0,COUNT(N$4:N302)+1,""))</f>
        <v/>
      </c>
      <c r="O303">
        <f>IF(B303="","",IF(COUNTIFS('سجل التحفيز'!$U$5:$U$2004,"&gt;0",'سجل التحفيز'!$B$5:$B$2004,B303)&gt;0,COUNT(O$4:O302)+1,""))</f>
        <v/>
      </c>
      <c r="P303">
        <f>IF(B303="","",IF(COUNTIFS('سجل التحفيز'!$V$5:$V$2004,"&gt;0",'سجل التحفيز'!$B$5:$B$2004,B303)&gt;0,COUNT(P$4:P302)+1,""))</f>
        <v/>
      </c>
      <c r="Q303">
        <f>IF(B303="","",IF(COUNTIFS('سجل التحفيز'!$W$5:$W$2004,"&gt;0",'سجل التحفيز'!$B$5:$B$2004,B303)&gt;0,COUNT(Q$4:Q302)+1,""))</f>
        <v/>
      </c>
      <c r="R303">
        <f>IF(B303="","",IF(COUNTIFS('سجل التحفيز'!$X$5:$X$2004,"&gt;0",'سجل التحفيز'!$B$5:$B$2004,B303)&gt;0,COUNT(R$4:R302)+1,""))</f>
        <v/>
      </c>
      <c r="S303">
        <f>IF(B303="","",IF(COUNTIFS('سجل التحفيز'!$Y$5:$Y$2004,"&gt;0",'سجل التحفيز'!$B$5:$B$2004,B303)&gt;0,COUNT(S$4:S302)+1,""))</f>
        <v/>
      </c>
      <c r="T303">
        <f>IF(B303="","",IF(COUNTIFS('سجل التحفيز'!$Z$5:$Z$2004,"&gt;0",'سجل التحفيز'!$B$5:$B$2004,B303)&gt;0,COUNT(T$4:T302)+1,""))</f>
        <v/>
      </c>
      <c r="U303">
        <f>IF(B303="","",IF(COUNTIFS('سجل التحفيز'!$AA$5:$AA$2004,"&gt;0",'سجل التحفيز'!$B$5:$B$2004,B303)&gt;0,COUNT(U$4:U302)+1,""))</f>
        <v/>
      </c>
      <c r="V303">
        <f>IF(B303="","",IF(COUNTIFS('سجل التحفيز'!$AB$5:$AB$2004,"&gt;0",'سجل التحفيز'!$B$5:$B$2004,B303)&gt;0,COUNT(V$4:V302)+1,""))</f>
        <v/>
      </c>
      <c r="W303">
        <f>IF(B303="","",IF(COUNTIFS('سجل التحفيز'!$AC$5:$AC$2004,"&gt;0",'سجل التحفيز'!$B$5:$B$2004,B303)&gt;0,COUNT(W$4:W302)+1,""))</f>
        <v/>
      </c>
      <c r="X303">
        <f>IF(B303="","",IF(COUNTIFS('سجل التحفيز'!$AD$5:$AD$2004,"&gt;0",'سجل التحفيز'!$B$5:$B$2004,B303)&gt;0,COUNT(X$4:X302)+1,""))</f>
        <v/>
      </c>
      <c r="Y303">
        <f>IF(B303="","",IF(COUNTIFS('سجل التحفيز'!$AE$5:$AE$2004,"&gt;0",'سجل التحفيز'!$B$5:$B$2004,B303)&gt;0,COUNT(Y$4:Y302)+1,""))</f>
        <v/>
      </c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20">
        <f>IF(B304="","",COUNTIFS('سجل التحفيز'!$B$5:$B$2004,B304,'سجل التحفيز'!$R$5:$R$2004,الإعدادات!$B$4))</f>
        <v/>
      </c>
      <c r="I304" s="20">
        <f>IF(B304="","",COUNTIFS('سجل التحفيز'!$B$5:$B$2004,B304,'سجل التحفيز'!$R$5:$R$2004,الإعدادات!$B$4,'سجل التحفيز'!$Q$5:$Q$2004,"الفصل الأول",'سجل التحفيز'!$D$5:$D$2004,"ذهبي"))</f>
        <v/>
      </c>
      <c r="J304" s="20">
        <f>IF(B304="","",COUNTIFS('سجل التحفيز'!$B$5:$B$2004,B304,'سجل التحفيز'!$R$5:$R$2004,الإعدادات!$B$4,'سجل التحفيز'!$Q$5:$Q$2004,"الفصل الثاني",'سجل التحفيز'!$D$5:$D$2004,"ذهبي"))</f>
        <v/>
      </c>
      <c r="K304" s="20">
        <f>IF(B304="","",COUNTIFS('سجل التحفيز'!$B$5:$B$2004,B304,'سجل التحفيز'!$R$5:$R$2004,الإعدادات!$B$4,'سجل التحفيز'!$D$5:$D$2004,"ذهبي"))</f>
        <v/>
      </c>
      <c r="L304" s="20">
        <f>IF(B304="","",IF(G304="محرومة","محرومة - مخالفة",IF(K304&gt;=5,"مستحقة ★","متبقي "&amp;(5-K304)&amp;" معايير")))</f>
        <v/>
      </c>
      <c r="N304">
        <f>IF(B304="","",IF(COUNTIFS('سجل التحفيز'!$T$5:$T$2004,"&gt;0",'سجل التحفيز'!$B$5:$B$2004,B304)&gt;0,COUNT(N$4:N303)+1,""))</f>
        <v/>
      </c>
      <c r="O304">
        <f>IF(B304="","",IF(COUNTIFS('سجل التحفيز'!$U$5:$U$2004,"&gt;0",'سجل التحفيز'!$B$5:$B$2004,B304)&gt;0,COUNT(O$4:O303)+1,""))</f>
        <v/>
      </c>
      <c r="P304">
        <f>IF(B304="","",IF(COUNTIFS('سجل التحفيز'!$V$5:$V$2004,"&gt;0",'سجل التحفيز'!$B$5:$B$2004,B304)&gt;0,COUNT(P$4:P303)+1,""))</f>
        <v/>
      </c>
      <c r="Q304">
        <f>IF(B304="","",IF(COUNTIFS('سجل التحفيز'!$W$5:$W$2004,"&gt;0",'سجل التحفيز'!$B$5:$B$2004,B304)&gt;0,COUNT(Q$4:Q303)+1,""))</f>
        <v/>
      </c>
      <c r="R304">
        <f>IF(B304="","",IF(COUNTIFS('سجل التحفيز'!$X$5:$X$2004,"&gt;0",'سجل التحفيز'!$B$5:$B$2004,B304)&gt;0,COUNT(R$4:R303)+1,""))</f>
        <v/>
      </c>
      <c r="S304">
        <f>IF(B304="","",IF(COUNTIFS('سجل التحفيز'!$Y$5:$Y$2004,"&gt;0",'سجل التحفيز'!$B$5:$B$2004,B304)&gt;0,COUNT(S$4:S303)+1,""))</f>
        <v/>
      </c>
      <c r="T304">
        <f>IF(B304="","",IF(COUNTIFS('سجل التحفيز'!$Z$5:$Z$2004,"&gt;0",'سجل التحفيز'!$B$5:$B$2004,B304)&gt;0,COUNT(T$4:T303)+1,""))</f>
        <v/>
      </c>
      <c r="U304">
        <f>IF(B304="","",IF(COUNTIFS('سجل التحفيز'!$AA$5:$AA$2004,"&gt;0",'سجل التحفيز'!$B$5:$B$2004,B304)&gt;0,COUNT(U$4:U303)+1,""))</f>
        <v/>
      </c>
      <c r="V304">
        <f>IF(B304="","",IF(COUNTIFS('سجل التحفيز'!$AB$5:$AB$2004,"&gt;0",'سجل التحفيز'!$B$5:$B$2004,B304)&gt;0,COUNT(V$4:V303)+1,""))</f>
        <v/>
      </c>
      <c r="W304">
        <f>IF(B304="","",IF(COUNTIFS('سجل التحفيز'!$AC$5:$AC$2004,"&gt;0",'سجل التحفيز'!$B$5:$B$2004,B304)&gt;0,COUNT(W$4:W303)+1,""))</f>
        <v/>
      </c>
      <c r="X304">
        <f>IF(B304="","",IF(COUNTIFS('سجل التحفيز'!$AD$5:$AD$2004,"&gt;0",'سجل التحفيز'!$B$5:$B$2004,B304)&gt;0,COUNT(X$4:X303)+1,""))</f>
        <v/>
      </c>
      <c r="Y304">
        <f>IF(B304="","",IF(COUNTIFS('سجل التحفيز'!$AE$5:$AE$2004,"&gt;0",'سجل التحفيز'!$B$5:$B$2004,B304)&gt;0,COUNT(Y$4:Y303)+1,""))</f>
        <v/>
      </c>
    </row>
  </sheetData>
  <autoFilter ref="A4:L304"/>
  <mergeCells count="2">
    <mergeCell ref="A2:L2"/>
    <mergeCell ref="A1:L1"/>
  </mergeCells>
  <conditionalFormatting sqref="A5:L304">
    <cfRule type="expression" priority="1" dxfId="1">
      <formula>AND($K5&lt;&gt;"",$K5&gt;=5)</formula>
    </cfRule>
    <cfRule type="expression" priority="2" dxfId="2">
      <formula>$G5="محرومة"</formula>
    </cfRule>
  </conditionalFormatting>
  <dataValidations count="3">
    <dataValidation sqref="E5:E304" showDropDown="0" showInputMessage="0" showErrorMessage="0" allowBlank="1" type="list">
      <formula1>=CatList</formula1>
    </dataValidation>
    <dataValidation sqref="G5:G304" showDropDown="0" showInputMessage="0" showErrorMessage="0" allowBlank="1" type="list">
      <formula1>=StatusList</formula1>
    </dataValidation>
    <dataValidation sqref="B5:B304" showDropDown="0" showInputMessage="0" showErrorMessage="1" allowBlank="1" errorTitle="اسم مكرر" error="هذا الاسم مسجل مسبقًا." type="custom">
      <formula1>COUNTIF($B$5:$B$304,B5)=1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S355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تقرير الفصل الأول</t>
        </is>
      </c>
    </row>
    <row r="2" ht="30" customHeight="1">
      <c r="A2" s="2" t="inlineStr">
        <is>
          <t>يشمل: سبتمبر – أكتوبر – نوفمبر – ديسمبر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فصلي</t>
        </is>
      </c>
    </row>
    <row r="6">
      <c r="B6" s="22" t="inlineStr">
        <is>
          <t>الشهر</t>
        </is>
      </c>
      <c r="C6" s="25" t="inlineStr">
        <is>
          <t>—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الفصل الأول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التحفيز'!$U$5:$U$2004)</f>
        <v/>
      </c>
      <c r="C10" s="28">
        <f>COUNT(الموظفات!$O$5:$O$304)</f>
        <v/>
      </c>
      <c r="D10" s="28">
        <f>COUNTIFS('سجل التحفيز'!$U$5:$U$2004,"&gt;0",'سجل التحفيز'!$D$5:$D$2004,"ذهبي")</f>
        <v/>
      </c>
      <c r="E10" s="28">
        <f>COUNTIFS('سجل التحفيز'!$U$5:$U$2004,"&gt;0",'سجل التحفيز'!$D$5:$D$2004,"أساسي")</f>
        <v/>
      </c>
      <c r="F10" s="28">
        <f>SUMIFS('سجل التحفيز'!$G$5:$G$2004,'سجل التحفيز'!$U$5:$U$2004,"&gt;0")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التحفيز'!$U$5:$U$2004,"&gt;0",'سجل التحفيز'!$C$5:$C$2004,B14,'سجل التحفيز'!$D$5:$D$2004,"أساسي")</f>
        <v/>
      </c>
      <c r="D14" s="31">
        <f>COUNTIFS('سجل التحفيز'!$U$5:$U$2004,"&gt;0",'سجل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التحفيز'!$U$5:$U$2004,"&gt;0",'سجل التحفيز'!$C$5:$C$2004,B14)</f>
        <v/>
      </c>
    </row>
    <row r="15">
      <c r="B15" s="30">
        <f>الإعدادات!A8</f>
        <v/>
      </c>
      <c r="C15" s="31">
        <f>COUNTIFS('سجل التحفيز'!$U$5:$U$2004,"&gt;0",'سجل التحفيز'!$C$5:$C$2004,B15,'سجل التحفيز'!$D$5:$D$2004,"أساسي")</f>
        <v/>
      </c>
      <c r="D15" s="31">
        <f>COUNTIFS('سجل التحفيز'!$U$5:$U$2004,"&gt;0",'سجل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التحفيز'!$U$5:$U$2004,"&gt;0",'سجل التحفيز'!$C$5:$C$2004,B15)</f>
        <v/>
      </c>
    </row>
    <row r="16">
      <c r="B16" s="30">
        <f>الإعدادات!A9</f>
        <v/>
      </c>
      <c r="C16" s="31">
        <f>COUNTIFS('سجل التحفيز'!$U$5:$U$2004,"&gt;0",'سجل التحفيز'!$C$5:$C$2004,B16,'سجل التحفيز'!$D$5:$D$2004,"أساسي")</f>
        <v/>
      </c>
      <c r="D16" s="31">
        <f>COUNTIFS('سجل التحفيز'!$U$5:$U$2004,"&gt;0",'سجل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التحفيز'!$U$5:$U$2004,"&gt;0",'سجل التحفيز'!$C$5:$C$2004,B16)</f>
        <v/>
      </c>
    </row>
    <row r="17">
      <c r="B17" s="30">
        <f>الإعدادات!A10</f>
        <v/>
      </c>
      <c r="C17" s="31">
        <f>COUNTIFS('سجل التحفيز'!$U$5:$U$2004,"&gt;0",'سجل التحفيز'!$C$5:$C$2004,B17,'سجل التحفيز'!$D$5:$D$2004,"أساسي")</f>
        <v/>
      </c>
      <c r="D17" s="31">
        <f>COUNTIFS('سجل التحفيز'!$U$5:$U$2004,"&gt;0",'سجل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التحفيز'!$U$5:$U$2004,"&gt;0",'سجل التحفيز'!$C$5:$C$2004,B17)</f>
        <v/>
      </c>
    </row>
    <row r="18">
      <c r="B18" s="30">
        <f>الإعدادات!A11</f>
        <v/>
      </c>
      <c r="C18" s="31">
        <f>COUNTIFS('سجل التحفيز'!$U$5:$U$2004,"&gt;0",'سجل التحفيز'!$C$5:$C$2004,B18,'سجل التحفيز'!$D$5:$D$2004,"أساسي")</f>
        <v/>
      </c>
      <c r="D18" s="31">
        <f>COUNTIFS('سجل التحفيز'!$U$5:$U$2004,"&gt;0",'سجل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التحفيز'!$U$5:$U$2004,"&gt;0",'سجل التحفيز'!$C$5:$C$2004,B18)</f>
        <v/>
      </c>
    </row>
    <row r="19">
      <c r="B19" s="30">
        <f>الإعدادات!A12</f>
        <v/>
      </c>
      <c r="C19" s="31">
        <f>COUNTIFS('سجل التحفيز'!$U$5:$U$2004,"&gt;0",'سجل التحفيز'!$C$5:$C$2004,B19,'سجل التحفيز'!$D$5:$D$2004,"أساسي")</f>
        <v/>
      </c>
      <c r="D19" s="31">
        <f>COUNTIFS('سجل التحفيز'!$U$5:$U$2004,"&gt;0",'سجل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التحفيز'!$U$5:$U$2004,"&gt;0",'سجل التحفيز'!$C$5:$C$2004,B19)</f>
        <v/>
      </c>
    </row>
    <row r="20">
      <c r="B20" s="30">
        <f>الإعدادات!A13</f>
        <v/>
      </c>
      <c r="C20" s="31">
        <f>COUNTIFS('سجل التحفيز'!$U$5:$U$2004,"&gt;0",'سجل التحفيز'!$C$5:$C$2004,B20,'سجل التحفيز'!$D$5:$D$2004,"أساسي")</f>
        <v/>
      </c>
      <c r="D20" s="31">
        <f>COUNTIFS('سجل التحفيز'!$U$5:$U$2004,"&gt;0",'سجل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التحفيز'!$U$5:$U$2004,"&gt;0",'سجل التحفيز'!$C$5:$C$2004,B20)</f>
        <v/>
      </c>
    </row>
    <row r="21">
      <c r="B21" s="30">
        <f>الإعدادات!A14</f>
        <v/>
      </c>
      <c r="C21" s="31">
        <f>COUNTIFS('سجل التحفيز'!$U$5:$U$2004,"&gt;0",'سجل التحفيز'!$C$5:$C$2004,B21,'سجل التحفيز'!$D$5:$D$2004,"أساسي")</f>
        <v/>
      </c>
      <c r="D21" s="31">
        <f>COUNTIFS('سجل التحفيز'!$U$5:$U$2004,"&gt;0",'سجل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التحفيز'!$U$5:$U$2004,"&gt;0",'سجل التحفيز'!$C$5:$C$2004,B21)</f>
        <v/>
      </c>
    </row>
    <row r="22">
      <c r="B22" s="30">
        <f>الإعدادات!A15</f>
        <v/>
      </c>
      <c r="C22" s="31">
        <f>COUNTIFS('سجل التحفيز'!$U$5:$U$2004,"&gt;0",'سجل التحفيز'!$C$5:$C$2004,B22,'سجل التحفيز'!$D$5:$D$2004,"أساسي")</f>
        <v/>
      </c>
      <c r="D22" s="31">
        <f>COUNTIFS('سجل التحفيز'!$U$5:$U$2004,"&gt;0",'سجل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التحفيز'!$U$5:$U$2004,"&gt;0",'سجل التحفيز'!$C$5:$C$2004,B22)</f>
        <v/>
      </c>
    </row>
    <row r="23">
      <c r="B23" s="30">
        <f>الإعدادات!A16</f>
        <v/>
      </c>
      <c r="C23" s="31">
        <f>COUNTIFS('سجل التحفيز'!$U$5:$U$2004,"&gt;0",'سجل التحفيز'!$C$5:$C$2004,B23,'سجل التحفيز'!$D$5:$D$2004,"أساسي")</f>
        <v/>
      </c>
      <c r="D23" s="31">
        <f>COUNTIFS('سجل التحفيز'!$U$5:$U$2004,"&gt;0",'سجل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التحفيز'!$U$5:$U$2004,"&gt;0",'سجل التحفيز'!$C$5:$C$2004,B23)</f>
        <v/>
      </c>
    </row>
    <row r="24">
      <c r="B24" s="30">
        <f>الإعدادات!A17</f>
        <v/>
      </c>
      <c r="C24" s="31">
        <f>COUNTIFS('سجل التحفيز'!$U$5:$U$2004,"&gt;0",'سجل التحفيز'!$C$5:$C$2004,B24,'سجل التحفيز'!$D$5:$D$2004,"أساسي")</f>
        <v/>
      </c>
      <c r="D24" s="31">
        <f>COUNTIFS('سجل التحفيز'!$U$5:$U$2004,"&gt;0",'سجل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التحفيز'!$U$5:$U$2004,"&gt;0",'سجل التحفيز'!$C$5:$C$2004,B24)</f>
        <v/>
      </c>
    </row>
    <row r="25">
      <c r="B25" s="30">
        <f>الإعدادات!A18</f>
        <v/>
      </c>
      <c r="C25" s="31">
        <f>COUNTIFS('سجل التحفيز'!$U$5:$U$2004,"&gt;0",'سجل التحفيز'!$C$5:$C$2004,B25,'سجل التحفيز'!$D$5:$D$2004,"أساسي")</f>
        <v/>
      </c>
      <c r="D25" s="31">
        <f>COUNTIFS('سجل التحفيز'!$U$5:$U$2004,"&gt;0",'سجل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التحفيز'!$U$5:$U$2004,"&gt;0",'سجل التحفيز'!$C$5:$C$2004,B25)</f>
        <v/>
      </c>
    </row>
    <row r="26">
      <c r="B26" s="30">
        <f>الإعدادات!A19</f>
        <v/>
      </c>
      <c r="C26" s="31">
        <f>COUNTIFS('سجل التحفيز'!$U$5:$U$2004,"&gt;0",'سجل التحفيز'!$C$5:$C$2004,B26,'سجل التحفيز'!$D$5:$D$2004,"أساسي")</f>
        <v/>
      </c>
      <c r="D26" s="31">
        <f>COUNTIFS('سجل التحفيز'!$U$5:$U$2004,"&gt;0",'سجل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التحفيز'!$U$5:$U$2004,"&gt;0",'سجل التحفيز'!$C$5:$C$2004,B26)</f>
        <v/>
      </c>
    </row>
    <row r="27">
      <c r="B27" s="30">
        <f>الإعدادات!A20</f>
        <v/>
      </c>
      <c r="C27" s="31">
        <f>COUNTIFS('سجل التحفيز'!$U$5:$U$2004,"&gt;0",'سجل التحفيز'!$C$5:$C$2004,B27,'سجل التحفيز'!$D$5:$D$2004,"أساسي")</f>
        <v/>
      </c>
      <c r="D27" s="31">
        <f>COUNTIFS('سجل التحفيز'!$U$5:$U$2004,"&gt;0",'سجل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التحفيز'!$U$5:$U$2004,"&gt;0",'سجل التحفيز'!$C$5:$C$2004,B27)</f>
        <v/>
      </c>
    </row>
    <row r="28">
      <c r="B28" s="30">
        <f>الإعدادات!A21</f>
        <v/>
      </c>
      <c r="C28" s="31">
        <f>COUNTIFS('سجل التحفيز'!$U$5:$U$2004,"&gt;0",'سجل التحفيز'!$C$5:$C$2004,B28,'سجل التحفيز'!$D$5:$D$2004,"أساسي")</f>
        <v/>
      </c>
      <c r="D28" s="31">
        <f>COUNTIFS('سجل التحفيز'!$U$5:$U$2004,"&gt;0",'سجل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التحفيز'!$U$5:$U$2004,"&gt;0",'سجل التحفيز'!$C$5:$C$2004,B28)</f>
        <v/>
      </c>
    </row>
    <row r="29">
      <c r="B29" s="30">
        <f>الإعدادات!A22</f>
        <v/>
      </c>
      <c r="C29" s="31">
        <f>COUNTIFS('سجل التحفيز'!$U$5:$U$2004,"&gt;0",'سجل التحفيز'!$C$5:$C$2004,B29,'سجل التحفيز'!$D$5:$D$2004,"أساسي")</f>
        <v/>
      </c>
      <c r="D29" s="31">
        <f>COUNTIFS('سجل التحفيز'!$U$5:$U$2004,"&gt;0",'سجل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التحفيز'!$U$5:$U$2004,"&gt;0",'سجل التحفيز'!$C$5:$C$2004,B29)</f>
        <v/>
      </c>
    </row>
    <row r="30">
      <c r="B30" s="30">
        <f>الإعدادات!A23</f>
        <v/>
      </c>
      <c r="C30" s="31">
        <f>COUNTIFS('سجل التحفيز'!$U$5:$U$2004,"&gt;0",'سجل التحفيز'!$C$5:$C$2004,B30,'سجل التحفيز'!$D$5:$D$2004,"أساسي")</f>
        <v/>
      </c>
      <c r="D30" s="31">
        <f>COUNTIFS('سجل التحفيز'!$U$5:$U$2004,"&gt;0",'سجل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التحفيز'!$U$5:$U$2004,"&gt;0",'سجل التحفيز'!$C$5:$C$2004,B30)</f>
        <v/>
      </c>
    </row>
    <row r="31">
      <c r="B31" s="30">
        <f>الإعدادات!A24</f>
        <v/>
      </c>
      <c r="C31" s="31">
        <f>COUNTIFS('سجل التحفيز'!$U$5:$U$2004,"&gt;0",'سجل التحفيز'!$C$5:$C$2004,B31,'سجل التحفيز'!$D$5:$D$2004,"أساسي")</f>
        <v/>
      </c>
      <c r="D31" s="31">
        <f>COUNTIFS('سجل التحفيز'!$U$5:$U$2004,"&gt;0",'سجل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التحفيز'!$U$5:$U$2004,"&gt;0",'سجل التحفيز'!$C$5:$C$2004,B31)</f>
        <v/>
      </c>
    </row>
    <row r="32">
      <c r="B32" s="30">
        <f>الإعدادات!A25</f>
        <v/>
      </c>
      <c r="C32" s="31">
        <f>COUNTIFS('سجل التحفيز'!$U$5:$U$2004,"&gt;0",'سجل التحفيز'!$C$5:$C$2004,B32,'سجل التحفيز'!$D$5:$D$2004,"أساسي")</f>
        <v/>
      </c>
      <c r="D32" s="31">
        <f>COUNTIFS('سجل التحفيز'!$U$5:$U$2004,"&gt;0",'سجل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التحفيز'!$U$5:$U$2004,"&gt;0",'سجل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التكريمات حسب الشهر</t>
        </is>
      </c>
    </row>
    <row r="37">
      <c r="B37" s="13" t="inlineStr">
        <is>
          <t>الشهر</t>
        </is>
      </c>
      <c r="C37" s="13" t="inlineStr">
        <is>
          <t>أساسي</t>
        </is>
      </c>
      <c r="D37" s="13" t="inlineStr">
        <is>
          <t>ذهبي</t>
        </is>
      </c>
      <c r="E37" s="13" t="inlineStr">
        <is>
          <t>الإجمالي</t>
        </is>
      </c>
      <c r="F37" s="13" t="inlineStr">
        <is>
          <t>القيمة (ر.ق)</t>
        </is>
      </c>
    </row>
    <row r="38">
      <c r="B38" s="30" t="inlineStr">
        <is>
          <t>سبتمبر</t>
        </is>
      </c>
      <c r="C38" s="31">
        <f>COUNTIFS('سجل التحفيز'!$U$5:$U$2004,"&gt;0",'سجل التحفيز'!$P$5:$P$2004,B38,'سجل التحفيز'!$D$5:$D$2004,"أساسي")</f>
        <v/>
      </c>
      <c r="D38" s="31">
        <f>COUNTIFS('سجل التحفيز'!$U$5:$U$2004,"&gt;0",'سجل التحفيز'!$P$5:$P$2004,B38,'سجل التحفيز'!$D$5:$D$2004,"ذهبي")</f>
        <v/>
      </c>
      <c r="E38" s="32">
        <f>C38+D38</f>
        <v/>
      </c>
      <c r="F38" s="31">
        <f>SUMIFS('سجل التحفيز'!$G$5:$G$2004,'سجل التحفيز'!$U$5:$U$2004,"&gt;0",'سجل التحفيز'!$P$5:$P$2004,B38)</f>
        <v/>
      </c>
    </row>
    <row r="39">
      <c r="B39" s="30" t="inlineStr">
        <is>
          <t>أكتوبر</t>
        </is>
      </c>
      <c r="C39" s="31">
        <f>COUNTIFS('سجل التحفيز'!$U$5:$U$2004,"&gt;0",'سجل التحفيز'!$P$5:$P$2004,B39,'سجل التحفيز'!$D$5:$D$2004,"أساسي")</f>
        <v/>
      </c>
      <c r="D39" s="31">
        <f>COUNTIFS('سجل التحفيز'!$U$5:$U$2004,"&gt;0",'سجل التحفيز'!$P$5:$P$2004,B39,'سجل التحفيز'!$D$5:$D$2004,"ذهبي")</f>
        <v/>
      </c>
      <c r="E39" s="32">
        <f>C39+D39</f>
        <v/>
      </c>
      <c r="F39" s="31">
        <f>SUMIFS('سجل التحفيز'!$G$5:$G$2004,'سجل التحفيز'!$U$5:$U$2004,"&gt;0",'سجل التحفيز'!$P$5:$P$2004,B39)</f>
        <v/>
      </c>
    </row>
    <row r="40">
      <c r="B40" s="30" t="inlineStr">
        <is>
          <t>نوفمبر</t>
        </is>
      </c>
      <c r="C40" s="31">
        <f>COUNTIFS('سجل التحفيز'!$U$5:$U$2004,"&gt;0",'سجل التحفيز'!$P$5:$P$2004,B40,'سجل التحفيز'!$D$5:$D$2004,"أساسي")</f>
        <v/>
      </c>
      <c r="D40" s="31">
        <f>COUNTIFS('سجل التحفيز'!$U$5:$U$2004,"&gt;0",'سجل التحفيز'!$P$5:$P$2004,B40,'سجل التحفيز'!$D$5:$D$2004,"ذهبي")</f>
        <v/>
      </c>
      <c r="E40" s="32">
        <f>C40+D40</f>
        <v/>
      </c>
      <c r="F40" s="31">
        <f>SUMIFS('سجل التحفيز'!$G$5:$G$2004,'سجل التحفيز'!$U$5:$U$2004,"&gt;0",'سجل التحفيز'!$P$5:$P$2004,B40)</f>
        <v/>
      </c>
    </row>
    <row r="41">
      <c r="B41" s="30" t="inlineStr">
        <is>
          <t>ديسمبر</t>
        </is>
      </c>
      <c r="C41" s="31">
        <f>COUNTIFS('سجل التحفيز'!$U$5:$U$2004,"&gt;0",'سجل التحفيز'!$P$5:$P$2004,B41,'سجل التحفيز'!$D$5:$D$2004,"أساسي")</f>
        <v/>
      </c>
      <c r="D41" s="31">
        <f>COUNTIFS('سجل التحفيز'!$U$5:$U$2004,"&gt;0",'سجل التحفيز'!$P$5:$P$2004,B41,'سجل التحفيز'!$D$5:$D$2004,"ذهبي")</f>
        <v/>
      </c>
      <c r="E41" s="32">
        <f>C41+D41</f>
        <v/>
      </c>
      <c r="F41" s="31">
        <f>SUMIFS('سجل التحفيز'!$G$5:$G$2004,'سجل التحفيز'!$U$5:$U$2004,"&gt;0",'سجل التحفيز'!$P$5:$P$2004,B41)</f>
        <v/>
      </c>
    </row>
    <row r="42">
      <c r="B42" s="33" t="inlineStr">
        <is>
          <t>الإجمالي</t>
        </is>
      </c>
      <c r="C42" s="33">
        <f>SUM(C38:C41)</f>
        <v/>
      </c>
      <c r="D42" s="33">
        <f>SUM(D38:D41)</f>
        <v/>
      </c>
      <c r="E42" s="33">
        <f>SUM(E38:E41)</f>
        <v/>
      </c>
      <c r="F42" s="33">
        <f>SUM(F38:F41)</f>
        <v/>
      </c>
    </row>
    <row r="52">
      <c r="B52" s="29" t="inlineStr">
        <is>
          <t>الموظفات المُكرَّمات ضمن فترة التقرير</t>
        </is>
      </c>
      <c r="K52" s="29" t="inlineStr">
        <is>
          <t>تفاصيل التكريمات ضمن فترة التقرير</t>
        </is>
      </c>
    </row>
    <row r="53">
      <c r="B53" s="13" t="inlineStr">
        <is>
          <t>اسم الموظفة</t>
        </is>
      </c>
      <c r="C53" s="13" t="inlineStr">
        <is>
          <t>القسم</t>
        </is>
      </c>
      <c r="D53" s="13" t="inlineStr">
        <is>
          <t>عدد التكريمات</t>
        </is>
      </c>
      <c r="E53" s="13" t="inlineStr">
        <is>
          <t>معايير ذهبية</t>
        </is>
      </c>
      <c r="F53" s="13" t="inlineStr">
        <is>
          <t>القيمة (ر.ق)</t>
        </is>
      </c>
      <c r="G53" s="13" t="inlineStr">
        <is>
          <t>الترتيب</t>
        </is>
      </c>
      <c r="H53" s="13" t="inlineStr">
        <is>
          <t>أمري تدللي (السنة)</t>
        </is>
      </c>
      <c r="K53" s="13" t="inlineStr">
        <is>
          <t>م</t>
        </is>
      </c>
      <c r="L53" s="13" t="inlineStr">
        <is>
          <t>التاريخ</t>
        </is>
      </c>
      <c r="M53" s="13" t="inlineStr">
        <is>
          <t>اسم الموظفة</t>
        </is>
      </c>
      <c r="N53" s="13" t="inlineStr">
        <is>
          <t>القسم</t>
        </is>
      </c>
      <c r="O53" s="13" t="inlineStr">
        <is>
          <t>المجال</t>
        </is>
      </c>
      <c r="P53" s="13" t="inlineStr">
        <is>
          <t>المستوى</t>
        </is>
      </c>
      <c r="Q53" s="13" t="inlineStr">
        <is>
          <t>المعيار المحقق</t>
        </is>
      </c>
      <c r="R53" s="13" t="inlineStr">
        <is>
          <t>المكافأة الممنوحة</t>
        </is>
      </c>
      <c r="S53" s="13" t="inlineStr">
        <is>
          <t>القيمة (ر.ق)</t>
        </is>
      </c>
    </row>
    <row r="54">
      <c r="B54" s="34">
        <f>IFERROR(INDEX(الموظفات!$B$5:$B$304,MATCH(1,الموظفات!$O$5:$O$304,0)),"")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التحفيز'!$U$5:$U$2004,"&gt;0",'سجل التحفيز'!$B$5:$B$2004,B54))</f>
        <v/>
      </c>
      <c r="E54" s="35">
        <f>IF(B54="","",COUNTIFS('سجل التحفيز'!$U$5:$U$2004,"&gt;0",'سجل التحفيز'!$B$5:$B$2004,B54,'سجل التحفيز'!$D$5:$D$2004,"ذهبي"))</f>
        <v/>
      </c>
      <c r="F54" s="35">
        <f>IF(B54="","",SUMIFS('سجل التحفيز'!$G$5:$G$2004,'سجل التحفيز'!$U$5:$U$2004,"&gt;0",'سجل التحفيز'!$B$5:$B$2004,B54))</f>
        <v/>
      </c>
      <c r="G54" s="35">
        <f>IF(B54="","",COUNTIF($D$54:$D$203,"&gt;"&amp;D54)+1)</f>
        <v/>
      </c>
      <c r="H54" s="35">
        <f>IF(B54="","",INDEX(الموظفات!$L$5:$L$304,MATCH(B54,الموظفات!$B$5:$B$304,0)))</f>
        <v/>
      </c>
      <c r="K54" s="36">
        <f>IF(1&gt;$B$10,"",1)</f>
        <v/>
      </c>
      <c r="L54" s="37">
        <f>IF($K54="","",INDEX('سجل التحفيز'!$A$5:$A$2004,MATCH($K54,'سجل التحفيز'!$U$5:$U$2004,0)))</f>
        <v/>
      </c>
      <c r="M54" s="9">
        <f>IF($K54="","",INDEX('سجل التحفيز'!$B$5:$B$2004,MATCH($K54,'سجل التحفيز'!$U$5:$U$2004,0)))</f>
        <v/>
      </c>
      <c r="N54" s="9">
        <f>IF($K54="","",INDEX('سجل التحفيز'!$M$5:$M$2004,MATCH($K54,'سجل التحفيز'!$U$5:$U$2004,0)))</f>
        <v/>
      </c>
      <c r="O54" s="9">
        <f>IF($K54="","",INDEX('سجل التحفيز'!$C$5:$C$2004,MATCH($K54,'سجل التحفيز'!$U$5:$U$2004,0)))</f>
        <v/>
      </c>
      <c r="P54" s="36">
        <f>IF($K54="","",INDEX('سجل التحفيز'!$D$5:$D$2004,MATCH($K54,'سجل التحفيز'!$U$5:$U$2004,0)))</f>
        <v/>
      </c>
      <c r="Q54" s="9">
        <f>IF($K54="","",INDEX('سجل التحفيز'!$E$5:$E$2004,MATCH($K54,'سجل التحفيز'!$U$5:$U$2004,0)))</f>
        <v/>
      </c>
      <c r="R54" s="9">
        <f>IF($K54="","",INDEX('سجل التحفيز'!$F$5:$F$2004,MATCH($K54,'سجل التحفيز'!$U$5:$U$2004,0)))</f>
        <v/>
      </c>
      <c r="S54" s="35">
        <f>IF($K54="","",INDEX('سجل التحفيز'!$G$5:$G$2004,MATCH($K54,'سجل التحفيز'!$U$5:$U$2004,0)))</f>
        <v/>
      </c>
    </row>
    <row r="55">
      <c r="B55" s="34">
        <f>IFERROR(INDEX(الموظفات!$B$5:$B$304,MATCH(2,الموظفات!$O$5:$O$304,0)),"")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التحفيز'!$U$5:$U$2004,"&gt;0",'سجل التحفيز'!$B$5:$B$2004,B55))</f>
        <v/>
      </c>
      <c r="E55" s="35">
        <f>IF(B55="","",COUNTIFS('سجل التحفيز'!$U$5:$U$2004,"&gt;0",'سجل التحفيز'!$B$5:$B$2004,B55,'سجل التحفيز'!$D$5:$D$2004,"ذهبي"))</f>
        <v/>
      </c>
      <c r="F55" s="35">
        <f>IF(B55="","",SUMIFS('سجل التحفيز'!$G$5:$G$2004,'سجل التحفيز'!$U$5:$U$2004,"&gt;0",'سجل التحفيز'!$B$5:$B$2004,B55))</f>
        <v/>
      </c>
      <c r="G55" s="35">
        <f>IF(B55="","",COUNTIF($D$54:$D$203,"&gt;"&amp;D55)+1)</f>
        <v/>
      </c>
      <c r="H55" s="35">
        <f>IF(B55="","",INDEX(الموظفات!$L$5:$L$304,MATCH(B55,الموظفات!$B$5:$B$304,0)))</f>
        <v/>
      </c>
      <c r="K55" s="36">
        <f>IF(2&gt;$B$10,"",2)</f>
        <v/>
      </c>
      <c r="L55" s="37">
        <f>IF($K55="","",INDEX('سجل التحفيز'!$A$5:$A$2004,MATCH($K55,'سجل التحفيز'!$U$5:$U$2004,0)))</f>
        <v/>
      </c>
      <c r="M55" s="9">
        <f>IF($K55="","",INDEX('سجل التحفيز'!$B$5:$B$2004,MATCH($K55,'سجل التحفيز'!$U$5:$U$2004,0)))</f>
        <v/>
      </c>
      <c r="N55" s="9">
        <f>IF($K55="","",INDEX('سجل التحفيز'!$M$5:$M$2004,MATCH($K55,'سجل التحفيز'!$U$5:$U$2004,0)))</f>
        <v/>
      </c>
      <c r="O55" s="9">
        <f>IF($K55="","",INDEX('سجل التحفيز'!$C$5:$C$2004,MATCH($K55,'سجل التحفيز'!$U$5:$U$2004,0)))</f>
        <v/>
      </c>
      <c r="P55" s="36">
        <f>IF($K55="","",INDEX('سجل التحفيز'!$D$5:$D$2004,MATCH($K55,'سجل التحفيز'!$U$5:$U$2004,0)))</f>
        <v/>
      </c>
      <c r="Q55" s="9">
        <f>IF($K55="","",INDEX('سجل التحفيز'!$E$5:$E$2004,MATCH($K55,'سجل التحفيز'!$U$5:$U$2004,0)))</f>
        <v/>
      </c>
      <c r="R55" s="9">
        <f>IF($K55="","",INDEX('سجل التحفيز'!$F$5:$F$2004,MATCH($K55,'سجل التحفيز'!$U$5:$U$2004,0)))</f>
        <v/>
      </c>
      <c r="S55" s="35">
        <f>IF($K55="","",INDEX('سجل التحفيز'!$G$5:$G$2004,MATCH($K55,'سجل التحفيز'!$U$5:$U$2004,0)))</f>
        <v/>
      </c>
    </row>
    <row r="56">
      <c r="B56" s="34">
        <f>IFERROR(INDEX(الموظفات!$B$5:$B$304,MATCH(3,الموظفات!$O$5:$O$304,0)),"")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التحفيز'!$U$5:$U$2004,"&gt;0",'سجل التحفيز'!$B$5:$B$2004,B56))</f>
        <v/>
      </c>
      <c r="E56" s="35">
        <f>IF(B56="","",COUNTIFS('سجل التحفيز'!$U$5:$U$2004,"&gt;0",'سجل التحفيز'!$B$5:$B$2004,B56,'سجل التحفيز'!$D$5:$D$2004,"ذهبي"))</f>
        <v/>
      </c>
      <c r="F56" s="35">
        <f>IF(B56="","",SUMIFS('سجل التحفيز'!$G$5:$G$2004,'سجل التحفيز'!$U$5:$U$2004,"&gt;0",'سجل التحفيز'!$B$5:$B$2004,B56))</f>
        <v/>
      </c>
      <c r="G56" s="35">
        <f>IF(B56="","",COUNTIF($D$54:$D$203,"&gt;"&amp;D56)+1)</f>
        <v/>
      </c>
      <c r="H56" s="35">
        <f>IF(B56="","",INDEX(الموظفات!$L$5:$L$304,MATCH(B56,الموظفات!$B$5:$B$304,0)))</f>
        <v/>
      </c>
      <c r="K56" s="36">
        <f>IF(3&gt;$B$10,"",3)</f>
        <v/>
      </c>
      <c r="L56" s="37">
        <f>IF($K56="","",INDEX('سجل التحفيز'!$A$5:$A$2004,MATCH($K56,'سجل التحفيز'!$U$5:$U$2004,0)))</f>
        <v/>
      </c>
      <c r="M56" s="9">
        <f>IF($K56="","",INDEX('سجل التحفيز'!$B$5:$B$2004,MATCH($K56,'سجل التحفيز'!$U$5:$U$2004,0)))</f>
        <v/>
      </c>
      <c r="N56" s="9">
        <f>IF($K56="","",INDEX('سجل التحفيز'!$M$5:$M$2004,MATCH($K56,'سجل التحفيز'!$U$5:$U$2004,0)))</f>
        <v/>
      </c>
      <c r="O56" s="9">
        <f>IF($K56="","",INDEX('سجل التحفيز'!$C$5:$C$2004,MATCH($K56,'سجل التحفيز'!$U$5:$U$2004,0)))</f>
        <v/>
      </c>
      <c r="P56" s="36">
        <f>IF($K56="","",INDEX('سجل التحفيز'!$D$5:$D$2004,MATCH($K56,'سجل التحفيز'!$U$5:$U$2004,0)))</f>
        <v/>
      </c>
      <c r="Q56" s="9">
        <f>IF($K56="","",INDEX('سجل التحفيز'!$E$5:$E$2004,MATCH($K56,'سجل التحفيز'!$U$5:$U$2004,0)))</f>
        <v/>
      </c>
      <c r="R56" s="9">
        <f>IF($K56="","",INDEX('سجل التحفيز'!$F$5:$F$2004,MATCH($K56,'سجل التحفيز'!$U$5:$U$2004,0)))</f>
        <v/>
      </c>
      <c r="S56" s="35">
        <f>IF($K56="","",INDEX('سجل التحفيز'!$G$5:$G$2004,MATCH($K56,'سجل التحفيز'!$U$5:$U$2004,0)))</f>
        <v/>
      </c>
    </row>
    <row r="57">
      <c r="B57" s="34">
        <f>IFERROR(INDEX(الموظفات!$B$5:$B$304,MATCH(4,الموظفات!$O$5:$O$304,0)),"")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التحفيز'!$U$5:$U$2004,"&gt;0",'سجل التحفيز'!$B$5:$B$2004,B57))</f>
        <v/>
      </c>
      <c r="E57" s="35">
        <f>IF(B57="","",COUNTIFS('سجل التحفيز'!$U$5:$U$2004,"&gt;0",'سجل التحفيز'!$B$5:$B$2004,B57,'سجل التحفيز'!$D$5:$D$2004,"ذهبي"))</f>
        <v/>
      </c>
      <c r="F57" s="35">
        <f>IF(B57="","",SUMIFS('سجل التحفيز'!$G$5:$G$2004,'سجل التحفيز'!$U$5:$U$2004,"&gt;0",'سجل التحفيز'!$B$5:$B$2004,B57))</f>
        <v/>
      </c>
      <c r="G57" s="35">
        <f>IF(B57="","",COUNTIF($D$54:$D$203,"&gt;"&amp;D57)+1)</f>
        <v/>
      </c>
      <c r="H57" s="35">
        <f>IF(B57="","",INDEX(الموظفات!$L$5:$L$304,MATCH(B57,الموظفات!$B$5:$B$304,0)))</f>
        <v/>
      </c>
      <c r="K57" s="36">
        <f>IF(4&gt;$B$10,"",4)</f>
        <v/>
      </c>
      <c r="L57" s="37">
        <f>IF($K57="","",INDEX('سجل التحفيز'!$A$5:$A$2004,MATCH($K57,'سجل التحفيز'!$U$5:$U$2004,0)))</f>
        <v/>
      </c>
      <c r="M57" s="9">
        <f>IF($K57="","",INDEX('سجل التحفيز'!$B$5:$B$2004,MATCH($K57,'سجل التحفيز'!$U$5:$U$2004,0)))</f>
        <v/>
      </c>
      <c r="N57" s="9">
        <f>IF($K57="","",INDEX('سجل التحفيز'!$M$5:$M$2004,MATCH($K57,'سجل التحفيز'!$U$5:$U$2004,0)))</f>
        <v/>
      </c>
      <c r="O57" s="9">
        <f>IF($K57="","",INDEX('سجل التحفيز'!$C$5:$C$2004,MATCH($K57,'سجل التحفيز'!$U$5:$U$2004,0)))</f>
        <v/>
      </c>
      <c r="P57" s="36">
        <f>IF($K57="","",INDEX('سجل التحفيز'!$D$5:$D$2004,MATCH($K57,'سجل التحفيز'!$U$5:$U$2004,0)))</f>
        <v/>
      </c>
      <c r="Q57" s="9">
        <f>IF($K57="","",INDEX('سجل التحفيز'!$E$5:$E$2004,MATCH($K57,'سجل التحفيز'!$U$5:$U$2004,0)))</f>
        <v/>
      </c>
      <c r="R57" s="9">
        <f>IF($K57="","",INDEX('سجل التحفيز'!$F$5:$F$2004,MATCH($K57,'سجل التحفيز'!$U$5:$U$2004,0)))</f>
        <v/>
      </c>
      <c r="S57" s="35">
        <f>IF($K57="","",INDEX('سجل التحفيز'!$G$5:$G$2004,MATCH($K57,'سجل التحفيز'!$U$5:$U$2004,0)))</f>
        <v/>
      </c>
    </row>
    <row r="58">
      <c r="B58" s="34">
        <f>IFERROR(INDEX(الموظفات!$B$5:$B$304,MATCH(5,الموظفات!$O$5:$O$304,0)),"")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التحفيز'!$U$5:$U$2004,"&gt;0",'سجل التحفيز'!$B$5:$B$2004,B58))</f>
        <v/>
      </c>
      <c r="E58" s="35">
        <f>IF(B58="","",COUNTIFS('سجل التحفيز'!$U$5:$U$2004,"&gt;0",'سجل التحفيز'!$B$5:$B$2004,B58,'سجل التحفيز'!$D$5:$D$2004,"ذهبي"))</f>
        <v/>
      </c>
      <c r="F58" s="35">
        <f>IF(B58="","",SUMIFS('سجل التحفيز'!$G$5:$G$2004,'سجل التحفيز'!$U$5:$U$2004,"&gt;0",'سجل التحفيز'!$B$5:$B$2004,B58))</f>
        <v/>
      </c>
      <c r="G58" s="35">
        <f>IF(B58="","",COUNTIF($D$54:$D$203,"&gt;"&amp;D58)+1)</f>
        <v/>
      </c>
      <c r="H58" s="35">
        <f>IF(B58="","",INDEX(الموظفات!$L$5:$L$304,MATCH(B58,الموظفات!$B$5:$B$304,0)))</f>
        <v/>
      </c>
      <c r="K58" s="36">
        <f>IF(5&gt;$B$10,"",5)</f>
        <v/>
      </c>
      <c r="L58" s="37">
        <f>IF($K58="","",INDEX('سجل التحفيز'!$A$5:$A$2004,MATCH($K58,'سجل التحفيز'!$U$5:$U$2004,0)))</f>
        <v/>
      </c>
      <c r="M58" s="9">
        <f>IF($K58="","",INDEX('سجل التحفيز'!$B$5:$B$2004,MATCH($K58,'سجل التحفيز'!$U$5:$U$2004,0)))</f>
        <v/>
      </c>
      <c r="N58" s="9">
        <f>IF($K58="","",INDEX('سجل التحفيز'!$M$5:$M$2004,MATCH($K58,'سجل التحفيز'!$U$5:$U$2004,0)))</f>
        <v/>
      </c>
      <c r="O58" s="9">
        <f>IF($K58="","",INDEX('سجل التحفيز'!$C$5:$C$2004,MATCH($K58,'سجل التحفيز'!$U$5:$U$2004,0)))</f>
        <v/>
      </c>
      <c r="P58" s="36">
        <f>IF($K58="","",INDEX('سجل التحفيز'!$D$5:$D$2004,MATCH($K58,'سجل التحفيز'!$U$5:$U$2004,0)))</f>
        <v/>
      </c>
      <c r="Q58" s="9">
        <f>IF($K58="","",INDEX('سجل التحفيز'!$E$5:$E$2004,MATCH($K58,'سجل التحفيز'!$U$5:$U$2004,0)))</f>
        <v/>
      </c>
      <c r="R58" s="9">
        <f>IF($K58="","",INDEX('سجل التحفيز'!$F$5:$F$2004,MATCH($K58,'سجل التحفيز'!$U$5:$U$2004,0)))</f>
        <v/>
      </c>
      <c r="S58" s="35">
        <f>IF($K58="","",INDEX('سجل التحفيز'!$G$5:$G$2004,MATCH($K58,'سجل التحفيز'!$U$5:$U$2004,0)))</f>
        <v/>
      </c>
    </row>
    <row r="59">
      <c r="B59" s="34">
        <f>IFERROR(INDEX(الموظفات!$B$5:$B$304,MATCH(6,الموظفات!$O$5:$O$304,0)),"")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التحفيز'!$U$5:$U$2004,"&gt;0",'سجل التحفيز'!$B$5:$B$2004,B59))</f>
        <v/>
      </c>
      <c r="E59" s="35">
        <f>IF(B59="","",COUNTIFS('سجل التحفيز'!$U$5:$U$2004,"&gt;0",'سجل التحفيز'!$B$5:$B$2004,B59,'سجل التحفيز'!$D$5:$D$2004,"ذهبي"))</f>
        <v/>
      </c>
      <c r="F59" s="35">
        <f>IF(B59="","",SUMIFS('سجل التحفيز'!$G$5:$G$2004,'سجل التحفيز'!$U$5:$U$2004,"&gt;0",'سجل التحفيز'!$B$5:$B$2004,B59))</f>
        <v/>
      </c>
      <c r="G59" s="35">
        <f>IF(B59="","",COUNTIF($D$54:$D$203,"&gt;"&amp;D59)+1)</f>
        <v/>
      </c>
      <c r="H59" s="35">
        <f>IF(B59="","",INDEX(الموظفات!$L$5:$L$304,MATCH(B59,الموظفات!$B$5:$B$304,0)))</f>
        <v/>
      </c>
      <c r="K59" s="36">
        <f>IF(6&gt;$B$10,"",6)</f>
        <v/>
      </c>
      <c r="L59" s="37">
        <f>IF($K59="","",INDEX('سجل التحفيز'!$A$5:$A$2004,MATCH($K59,'سجل التحفيز'!$U$5:$U$2004,0)))</f>
        <v/>
      </c>
      <c r="M59" s="9">
        <f>IF($K59="","",INDEX('سجل التحفيز'!$B$5:$B$2004,MATCH($K59,'سجل التحفيز'!$U$5:$U$2004,0)))</f>
        <v/>
      </c>
      <c r="N59" s="9">
        <f>IF($K59="","",INDEX('سجل التحفيز'!$M$5:$M$2004,MATCH($K59,'سجل التحفيز'!$U$5:$U$2004,0)))</f>
        <v/>
      </c>
      <c r="O59" s="9">
        <f>IF($K59="","",INDEX('سجل التحفيز'!$C$5:$C$2004,MATCH($K59,'سجل التحفيز'!$U$5:$U$2004,0)))</f>
        <v/>
      </c>
      <c r="P59" s="36">
        <f>IF($K59="","",INDEX('سجل التحفيز'!$D$5:$D$2004,MATCH($K59,'سجل التحفيز'!$U$5:$U$2004,0)))</f>
        <v/>
      </c>
      <c r="Q59" s="9">
        <f>IF($K59="","",INDEX('سجل التحفيز'!$E$5:$E$2004,MATCH($K59,'سجل التحفيز'!$U$5:$U$2004,0)))</f>
        <v/>
      </c>
      <c r="R59" s="9">
        <f>IF($K59="","",INDEX('سجل التحفيز'!$F$5:$F$2004,MATCH($K59,'سجل التحفيز'!$U$5:$U$2004,0)))</f>
        <v/>
      </c>
      <c r="S59" s="35">
        <f>IF($K59="","",INDEX('سجل التحفيز'!$G$5:$G$2004,MATCH($K59,'سجل التحفيز'!$U$5:$U$2004,0)))</f>
        <v/>
      </c>
    </row>
    <row r="60">
      <c r="B60" s="34">
        <f>IFERROR(INDEX(الموظفات!$B$5:$B$304,MATCH(7,الموظفات!$O$5:$O$304,0)),"")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التحفيز'!$U$5:$U$2004,"&gt;0",'سجل التحفيز'!$B$5:$B$2004,B60))</f>
        <v/>
      </c>
      <c r="E60" s="35">
        <f>IF(B60="","",COUNTIFS('سجل التحفيز'!$U$5:$U$2004,"&gt;0",'سجل التحفيز'!$B$5:$B$2004,B60,'سجل التحفيز'!$D$5:$D$2004,"ذهبي"))</f>
        <v/>
      </c>
      <c r="F60" s="35">
        <f>IF(B60="","",SUMIFS('سجل التحفيز'!$G$5:$G$2004,'سجل التحفيز'!$U$5:$U$2004,"&gt;0",'سجل التحفيز'!$B$5:$B$2004,B60))</f>
        <v/>
      </c>
      <c r="G60" s="35">
        <f>IF(B60="","",COUNTIF($D$54:$D$203,"&gt;"&amp;D60)+1)</f>
        <v/>
      </c>
      <c r="H60" s="35">
        <f>IF(B60="","",INDEX(الموظفات!$L$5:$L$304,MATCH(B60,الموظفات!$B$5:$B$304,0)))</f>
        <v/>
      </c>
      <c r="K60" s="36">
        <f>IF(7&gt;$B$10,"",7)</f>
        <v/>
      </c>
      <c r="L60" s="37">
        <f>IF($K60="","",INDEX('سجل التحفيز'!$A$5:$A$2004,MATCH($K60,'سجل التحفيز'!$U$5:$U$2004,0)))</f>
        <v/>
      </c>
      <c r="M60" s="9">
        <f>IF($K60="","",INDEX('سجل التحفيز'!$B$5:$B$2004,MATCH($K60,'سجل التحفيز'!$U$5:$U$2004,0)))</f>
        <v/>
      </c>
      <c r="N60" s="9">
        <f>IF($K60="","",INDEX('سجل التحفيز'!$M$5:$M$2004,MATCH($K60,'سجل التحفيز'!$U$5:$U$2004,0)))</f>
        <v/>
      </c>
      <c r="O60" s="9">
        <f>IF($K60="","",INDEX('سجل التحفيز'!$C$5:$C$2004,MATCH($K60,'سجل التحفيز'!$U$5:$U$2004,0)))</f>
        <v/>
      </c>
      <c r="P60" s="36">
        <f>IF($K60="","",INDEX('سجل التحفيز'!$D$5:$D$2004,MATCH($K60,'سجل التحفيز'!$U$5:$U$2004,0)))</f>
        <v/>
      </c>
      <c r="Q60" s="9">
        <f>IF($K60="","",INDEX('سجل التحفيز'!$E$5:$E$2004,MATCH($K60,'سجل التحفيز'!$U$5:$U$2004,0)))</f>
        <v/>
      </c>
      <c r="R60" s="9">
        <f>IF($K60="","",INDEX('سجل التحفيز'!$F$5:$F$2004,MATCH($K60,'سجل التحفيز'!$U$5:$U$2004,0)))</f>
        <v/>
      </c>
      <c r="S60" s="35">
        <f>IF($K60="","",INDEX('سجل التحفيز'!$G$5:$G$2004,MATCH($K60,'سجل التحفيز'!$U$5:$U$2004,0)))</f>
        <v/>
      </c>
    </row>
    <row r="61">
      <c r="B61" s="34">
        <f>IFERROR(INDEX(الموظفات!$B$5:$B$304,MATCH(8,الموظفات!$O$5:$O$304,0)),"")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التحفيز'!$U$5:$U$2004,"&gt;0",'سجل التحفيز'!$B$5:$B$2004,B61))</f>
        <v/>
      </c>
      <c r="E61" s="35">
        <f>IF(B61="","",COUNTIFS('سجل التحفيز'!$U$5:$U$2004,"&gt;0",'سجل التحفيز'!$B$5:$B$2004,B61,'سجل التحفيز'!$D$5:$D$2004,"ذهبي"))</f>
        <v/>
      </c>
      <c r="F61" s="35">
        <f>IF(B61="","",SUMIFS('سجل التحفيز'!$G$5:$G$2004,'سجل التحفيز'!$U$5:$U$2004,"&gt;0",'سجل التحفيز'!$B$5:$B$2004,B61))</f>
        <v/>
      </c>
      <c r="G61" s="35">
        <f>IF(B61="","",COUNTIF($D$54:$D$203,"&gt;"&amp;D61)+1)</f>
        <v/>
      </c>
      <c r="H61" s="35">
        <f>IF(B61="","",INDEX(الموظفات!$L$5:$L$304,MATCH(B61,الموظفات!$B$5:$B$304,0)))</f>
        <v/>
      </c>
      <c r="K61" s="36">
        <f>IF(8&gt;$B$10,"",8)</f>
        <v/>
      </c>
      <c r="L61" s="37">
        <f>IF($K61="","",INDEX('سجل التحفيز'!$A$5:$A$2004,MATCH($K61,'سجل التحفيز'!$U$5:$U$2004,0)))</f>
        <v/>
      </c>
      <c r="M61" s="9">
        <f>IF($K61="","",INDEX('سجل التحفيز'!$B$5:$B$2004,MATCH($K61,'سجل التحفيز'!$U$5:$U$2004,0)))</f>
        <v/>
      </c>
      <c r="N61" s="9">
        <f>IF($K61="","",INDEX('سجل التحفيز'!$M$5:$M$2004,MATCH($K61,'سجل التحفيز'!$U$5:$U$2004,0)))</f>
        <v/>
      </c>
      <c r="O61" s="9">
        <f>IF($K61="","",INDEX('سجل التحفيز'!$C$5:$C$2004,MATCH($K61,'سجل التحفيز'!$U$5:$U$2004,0)))</f>
        <v/>
      </c>
      <c r="P61" s="36">
        <f>IF($K61="","",INDEX('سجل التحفيز'!$D$5:$D$2004,MATCH($K61,'سجل التحفيز'!$U$5:$U$2004,0)))</f>
        <v/>
      </c>
      <c r="Q61" s="9">
        <f>IF($K61="","",INDEX('سجل التحفيز'!$E$5:$E$2004,MATCH($K61,'سجل التحفيز'!$U$5:$U$2004,0)))</f>
        <v/>
      </c>
      <c r="R61" s="9">
        <f>IF($K61="","",INDEX('سجل التحفيز'!$F$5:$F$2004,MATCH($K61,'سجل التحفيز'!$U$5:$U$2004,0)))</f>
        <v/>
      </c>
      <c r="S61" s="35">
        <f>IF($K61="","",INDEX('سجل التحفيز'!$G$5:$G$2004,MATCH($K61,'سجل التحفيز'!$U$5:$U$2004,0)))</f>
        <v/>
      </c>
    </row>
    <row r="62">
      <c r="B62" s="34">
        <f>IFERROR(INDEX(الموظفات!$B$5:$B$304,MATCH(9,الموظفات!$O$5:$O$304,0)),"")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التحفيز'!$U$5:$U$2004,"&gt;0",'سجل التحفيز'!$B$5:$B$2004,B62))</f>
        <v/>
      </c>
      <c r="E62" s="35">
        <f>IF(B62="","",COUNTIFS('سجل التحفيز'!$U$5:$U$2004,"&gt;0",'سجل التحفيز'!$B$5:$B$2004,B62,'سجل التحفيز'!$D$5:$D$2004,"ذهبي"))</f>
        <v/>
      </c>
      <c r="F62" s="35">
        <f>IF(B62="","",SUMIFS('سجل التحفيز'!$G$5:$G$2004,'سجل التحفيز'!$U$5:$U$2004,"&gt;0",'سجل التحفيز'!$B$5:$B$2004,B62))</f>
        <v/>
      </c>
      <c r="G62" s="35">
        <f>IF(B62="","",COUNTIF($D$54:$D$203,"&gt;"&amp;D62)+1)</f>
        <v/>
      </c>
      <c r="H62" s="35">
        <f>IF(B62="","",INDEX(الموظفات!$L$5:$L$304,MATCH(B62,الموظفات!$B$5:$B$304,0)))</f>
        <v/>
      </c>
      <c r="K62" s="36">
        <f>IF(9&gt;$B$10,"",9)</f>
        <v/>
      </c>
      <c r="L62" s="37">
        <f>IF($K62="","",INDEX('سجل التحفيز'!$A$5:$A$2004,MATCH($K62,'سجل التحفيز'!$U$5:$U$2004,0)))</f>
        <v/>
      </c>
      <c r="M62" s="9">
        <f>IF($K62="","",INDEX('سجل التحفيز'!$B$5:$B$2004,MATCH($K62,'سجل التحفيز'!$U$5:$U$2004,0)))</f>
        <v/>
      </c>
      <c r="N62" s="9">
        <f>IF($K62="","",INDEX('سجل التحفيز'!$M$5:$M$2004,MATCH($K62,'سجل التحفيز'!$U$5:$U$2004,0)))</f>
        <v/>
      </c>
      <c r="O62" s="9">
        <f>IF($K62="","",INDEX('سجل التحفيز'!$C$5:$C$2004,MATCH($K62,'سجل التحفيز'!$U$5:$U$2004,0)))</f>
        <v/>
      </c>
      <c r="P62" s="36">
        <f>IF($K62="","",INDEX('سجل التحفيز'!$D$5:$D$2004,MATCH($K62,'سجل التحفيز'!$U$5:$U$2004,0)))</f>
        <v/>
      </c>
      <c r="Q62" s="9">
        <f>IF($K62="","",INDEX('سجل التحفيز'!$E$5:$E$2004,MATCH($K62,'سجل التحفيز'!$U$5:$U$2004,0)))</f>
        <v/>
      </c>
      <c r="R62" s="9">
        <f>IF($K62="","",INDEX('سجل التحفيز'!$F$5:$F$2004,MATCH($K62,'سجل التحفيز'!$U$5:$U$2004,0)))</f>
        <v/>
      </c>
      <c r="S62" s="35">
        <f>IF($K62="","",INDEX('سجل التحفيز'!$G$5:$G$2004,MATCH($K62,'سجل التحفيز'!$U$5:$U$2004,0)))</f>
        <v/>
      </c>
    </row>
    <row r="63">
      <c r="B63" s="34">
        <f>IFERROR(INDEX(الموظفات!$B$5:$B$304,MATCH(10,الموظفات!$O$5:$O$304,0)),"")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التحفيز'!$U$5:$U$2004,"&gt;0",'سجل التحفيز'!$B$5:$B$2004,B63))</f>
        <v/>
      </c>
      <c r="E63" s="35">
        <f>IF(B63="","",COUNTIFS('سجل التحفيز'!$U$5:$U$2004,"&gt;0",'سجل التحفيز'!$B$5:$B$2004,B63,'سجل التحفيز'!$D$5:$D$2004,"ذهبي"))</f>
        <v/>
      </c>
      <c r="F63" s="35">
        <f>IF(B63="","",SUMIFS('سجل التحفيز'!$G$5:$G$2004,'سجل التحفيز'!$U$5:$U$2004,"&gt;0",'سجل التحفيز'!$B$5:$B$2004,B63))</f>
        <v/>
      </c>
      <c r="G63" s="35">
        <f>IF(B63="","",COUNTIF($D$54:$D$203,"&gt;"&amp;D63)+1)</f>
        <v/>
      </c>
      <c r="H63" s="35">
        <f>IF(B63="","",INDEX(الموظفات!$L$5:$L$304,MATCH(B63,الموظفات!$B$5:$B$304,0)))</f>
        <v/>
      </c>
      <c r="K63" s="36">
        <f>IF(10&gt;$B$10,"",10)</f>
        <v/>
      </c>
      <c r="L63" s="37">
        <f>IF($K63="","",INDEX('سجل التحفيز'!$A$5:$A$2004,MATCH($K63,'سجل التحفيز'!$U$5:$U$2004,0)))</f>
        <v/>
      </c>
      <c r="M63" s="9">
        <f>IF($K63="","",INDEX('سجل التحفيز'!$B$5:$B$2004,MATCH($K63,'سجل التحفيز'!$U$5:$U$2004,0)))</f>
        <v/>
      </c>
      <c r="N63" s="9">
        <f>IF($K63="","",INDEX('سجل التحفيز'!$M$5:$M$2004,MATCH($K63,'سجل التحفيز'!$U$5:$U$2004,0)))</f>
        <v/>
      </c>
      <c r="O63" s="9">
        <f>IF($K63="","",INDEX('سجل التحفيز'!$C$5:$C$2004,MATCH($K63,'سجل التحفيز'!$U$5:$U$2004,0)))</f>
        <v/>
      </c>
      <c r="P63" s="36">
        <f>IF($K63="","",INDEX('سجل التحفيز'!$D$5:$D$2004,MATCH($K63,'سجل التحفيز'!$U$5:$U$2004,0)))</f>
        <v/>
      </c>
      <c r="Q63" s="9">
        <f>IF($K63="","",INDEX('سجل التحفيز'!$E$5:$E$2004,MATCH($K63,'سجل التحفيز'!$U$5:$U$2004,0)))</f>
        <v/>
      </c>
      <c r="R63" s="9">
        <f>IF($K63="","",INDEX('سجل التحفيز'!$F$5:$F$2004,MATCH($K63,'سجل التحفيز'!$U$5:$U$2004,0)))</f>
        <v/>
      </c>
      <c r="S63" s="35">
        <f>IF($K63="","",INDEX('سجل التحفيز'!$G$5:$G$2004,MATCH($K63,'سجل التحفيز'!$U$5:$U$2004,0)))</f>
        <v/>
      </c>
    </row>
    <row r="64">
      <c r="B64" s="34">
        <f>IFERROR(INDEX(الموظفات!$B$5:$B$304,MATCH(11,الموظفات!$O$5:$O$304,0)),"")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التحفيز'!$U$5:$U$2004,"&gt;0",'سجل التحفيز'!$B$5:$B$2004,B64))</f>
        <v/>
      </c>
      <c r="E64" s="35">
        <f>IF(B64="","",COUNTIFS('سجل التحفيز'!$U$5:$U$2004,"&gt;0",'سجل التحفيز'!$B$5:$B$2004,B64,'سجل التحفيز'!$D$5:$D$2004,"ذهبي"))</f>
        <v/>
      </c>
      <c r="F64" s="35">
        <f>IF(B64="","",SUMIFS('سجل التحفيز'!$G$5:$G$2004,'سجل التحفيز'!$U$5:$U$2004,"&gt;0",'سجل التحفيز'!$B$5:$B$2004,B64))</f>
        <v/>
      </c>
      <c r="G64" s="35">
        <f>IF(B64="","",COUNTIF($D$54:$D$203,"&gt;"&amp;D64)+1)</f>
        <v/>
      </c>
      <c r="H64" s="35">
        <f>IF(B64="","",INDEX(الموظفات!$L$5:$L$304,MATCH(B64,الموظفات!$B$5:$B$304,0)))</f>
        <v/>
      </c>
      <c r="K64" s="36">
        <f>IF(11&gt;$B$10,"",11)</f>
        <v/>
      </c>
      <c r="L64" s="37">
        <f>IF($K64="","",INDEX('سجل التحفيز'!$A$5:$A$2004,MATCH($K64,'سجل التحفيز'!$U$5:$U$2004,0)))</f>
        <v/>
      </c>
      <c r="M64" s="9">
        <f>IF($K64="","",INDEX('سجل التحفيز'!$B$5:$B$2004,MATCH($K64,'سجل التحفيز'!$U$5:$U$2004,0)))</f>
        <v/>
      </c>
      <c r="N64" s="9">
        <f>IF($K64="","",INDEX('سجل التحفيز'!$M$5:$M$2004,MATCH($K64,'سجل التحفيز'!$U$5:$U$2004,0)))</f>
        <v/>
      </c>
      <c r="O64" s="9">
        <f>IF($K64="","",INDEX('سجل التحفيز'!$C$5:$C$2004,MATCH($K64,'سجل التحفيز'!$U$5:$U$2004,0)))</f>
        <v/>
      </c>
      <c r="P64" s="36">
        <f>IF($K64="","",INDEX('سجل التحفيز'!$D$5:$D$2004,MATCH($K64,'سجل التحفيز'!$U$5:$U$2004,0)))</f>
        <v/>
      </c>
      <c r="Q64" s="9">
        <f>IF($K64="","",INDEX('سجل التحفيز'!$E$5:$E$2004,MATCH($K64,'سجل التحفيز'!$U$5:$U$2004,0)))</f>
        <v/>
      </c>
      <c r="R64" s="9">
        <f>IF($K64="","",INDEX('سجل التحفيز'!$F$5:$F$2004,MATCH($K64,'سجل التحفيز'!$U$5:$U$2004,0)))</f>
        <v/>
      </c>
      <c r="S64" s="35">
        <f>IF($K64="","",INDEX('سجل التحفيز'!$G$5:$G$2004,MATCH($K64,'سجل التحفيز'!$U$5:$U$2004,0)))</f>
        <v/>
      </c>
    </row>
    <row r="65">
      <c r="B65" s="34">
        <f>IFERROR(INDEX(الموظفات!$B$5:$B$304,MATCH(12,الموظفات!$O$5:$O$304,0)),"")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التحفيز'!$U$5:$U$2004,"&gt;0",'سجل التحفيز'!$B$5:$B$2004,B65))</f>
        <v/>
      </c>
      <c r="E65" s="35">
        <f>IF(B65="","",COUNTIFS('سجل التحفيز'!$U$5:$U$2004,"&gt;0",'سجل التحفيز'!$B$5:$B$2004,B65,'سجل التحفيز'!$D$5:$D$2004,"ذهبي"))</f>
        <v/>
      </c>
      <c r="F65" s="35">
        <f>IF(B65="","",SUMIFS('سجل التحفيز'!$G$5:$G$2004,'سجل التحفيز'!$U$5:$U$2004,"&gt;0",'سجل التحفيز'!$B$5:$B$2004,B65))</f>
        <v/>
      </c>
      <c r="G65" s="35">
        <f>IF(B65="","",COUNTIF($D$54:$D$203,"&gt;"&amp;D65)+1)</f>
        <v/>
      </c>
      <c r="H65" s="35">
        <f>IF(B65="","",INDEX(الموظفات!$L$5:$L$304,MATCH(B65,الموظفات!$B$5:$B$304,0)))</f>
        <v/>
      </c>
      <c r="K65" s="36">
        <f>IF(12&gt;$B$10,"",12)</f>
        <v/>
      </c>
      <c r="L65" s="37">
        <f>IF($K65="","",INDEX('سجل التحفيز'!$A$5:$A$2004,MATCH($K65,'سجل التحفيز'!$U$5:$U$2004,0)))</f>
        <v/>
      </c>
      <c r="M65" s="9">
        <f>IF($K65="","",INDEX('سجل التحفيز'!$B$5:$B$2004,MATCH($K65,'سجل التحفيز'!$U$5:$U$2004,0)))</f>
        <v/>
      </c>
      <c r="N65" s="9">
        <f>IF($K65="","",INDEX('سجل التحفيز'!$M$5:$M$2004,MATCH($K65,'سجل التحفيز'!$U$5:$U$2004,0)))</f>
        <v/>
      </c>
      <c r="O65" s="9">
        <f>IF($K65="","",INDEX('سجل التحفيز'!$C$5:$C$2004,MATCH($K65,'سجل التحفيز'!$U$5:$U$2004,0)))</f>
        <v/>
      </c>
      <c r="P65" s="36">
        <f>IF($K65="","",INDEX('سجل التحفيز'!$D$5:$D$2004,MATCH($K65,'سجل التحفيز'!$U$5:$U$2004,0)))</f>
        <v/>
      </c>
      <c r="Q65" s="9">
        <f>IF($K65="","",INDEX('سجل التحفيز'!$E$5:$E$2004,MATCH($K65,'سجل التحفيز'!$U$5:$U$2004,0)))</f>
        <v/>
      </c>
      <c r="R65" s="9">
        <f>IF($K65="","",INDEX('سجل التحفيز'!$F$5:$F$2004,MATCH($K65,'سجل التحفيز'!$U$5:$U$2004,0)))</f>
        <v/>
      </c>
      <c r="S65" s="35">
        <f>IF($K65="","",INDEX('سجل التحفيز'!$G$5:$G$2004,MATCH($K65,'سجل التحفيز'!$U$5:$U$2004,0)))</f>
        <v/>
      </c>
    </row>
    <row r="66">
      <c r="B66" s="34">
        <f>IFERROR(INDEX(الموظفات!$B$5:$B$304,MATCH(13,الموظفات!$O$5:$O$304,0)),"")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التحفيز'!$U$5:$U$2004,"&gt;0",'سجل التحفيز'!$B$5:$B$2004,B66))</f>
        <v/>
      </c>
      <c r="E66" s="35">
        <f>IF(B66="","",COUNTIFS('سجل التحفيز'!$U$5:$U$2004,"&gt;0",'سجل التحفيز'!$B$5:$B$2004,B66,'سجل التحفيز'!$D$5:$D$2004,"ذهبي"))</f>
        <v/>
      </c>
      <c r="F66" s="35">
        <f>IF(B66="","",SUMIFS('سجل التحفيز'!$G$5:$G$2004,'سجل التحفيز'!$U$5:$U$2004,"&gt;0",'سجل التحفيز'!$B$5:$B$2004,B66))</f>
        <v/>
      </c>
      <c r="G66" s="35">
        <f>IF(B66="","",COUNTIF($D$54:$D$203,"&gt;"&amp;D66)+1)</f>
        <v/>
      </c>
      <c r="H66" s="35">
        <f>IF(B66="","",INDEX(الموظفات!$L$5:$L$304,MATCH(B66,الموظفات!$B$5:$B$304,0)))</f>
        <v/>
      </c>
      <c r="K66" s="36">
        <f>IF(13&gt;$B$10,"",13)</f>
        <v/>
      </c>
      <c r="L66" s="37">
        <f>IF($K66="","",INDEX('سجل التحفيز'!$A$5:$A$2004,MATCH($K66,'سجل التحفيز'!$U$5:$U$2004,0)))</f>
        <v/>
      </c>
      <c r="M66" s="9">
        <f>IF($K66="","",INDEX('سجل التحفيز'!$B$5:$B$2004,MATCH($K66,'سجل التحفيز'!$U$5:$U$2004,0)))</f>
        <v/>
      </c>
      <c r="N66" s="9">
        <f>IF($K66="","",INDEX('سجل التحفيز'!$M$5:$M$2004,MATCH($K66,'سجل التحفيز'!$U$5:$U$2004,0)))</f>
        <v/>
      </c>
      <c r="O66" s="9">
        <f>IF($K66="","",INDEX('سجل التحفيز'!$C$5:$C$2004,MATCH($K66,'سجل التحفيز'!$U$5:$U$2004,0)))</f>
        <v/>
      </c>
      <c r="P66" s="36">
        <f>IF($K66="","",INDEX('سجل التحفيز'!$D$5:$D$2004,MATCH($K66,'سجل التحفيز'!$U$5:$U$2004,0)))</f>
        <v/>
      </c>
      <c r="Q66" s="9">
        <f>IF($K66="","",INDEX('سجل التحفيز'!$E$5:$E$2004,MATCH($K66,'سجل التحفيز'!$U$5:$U$2004,0)))</f>
        <v/>
      </c>
      <c r="R66" s="9">
        <f>IF($K66="","",INDEX('سجل التحفيز'!$F$5:$F$2004,MATCH($K66,'سجل التحفيز'!$U$5:$U$2004,0)))</f>
        <v/>
      </c>
      <c r="S66" s="35">
        <f>IF($K66="","",INDEX('سجل التحفيز'!$G$5:$G$2004,MATCH($K66,'سجل التحفيز'!$U$5:$U$2004,0)))</f>
        <v/>
      </c>
    </row>
    <row r="67">
      <c r="B67" s="34">
        <f>IFERROR(INDEX(الموظفات!$B$5:$B$304,MATCH(14,الموظفات!$O$5:$O$304,0)),"")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التحفيز'!$U$5:$U$2004,"&gt;0",'سجل التحفيز'!$B$5:$B$2004,B67))</f>
        <v/>
      </c>
      <c r="E67" s="35">
        <f>IF(B67="","",COUNTIFS('سجل التحفيز'!$U$5:$U$2004,"&gt;0",'سجل التحفيز'!$B$5:$B$2004,B67,'سجل التحفيز'!$D$5:$D$2004,"ذهبي"))</f>
        <v/>
      </c>
      <c r="F67" s="35">
        <f>IF(B67="","",SUMIFS('سجل التحفيز'!$G$5:$G$2004,'سجل التحفيز'!$U$5:$U$2004,"&gt;0",'سجل التحفيز'!$B$5:$B$2004,B67))</f>
        <v/>
      </c>
      <c r="G67" s="35">
        <f>IF(B67="","",COUNTIF($D$54:$D$203,"&gt;"&amp;D67)+1)</f>
        <v/>
      </c>
      <c r="H67" s="35">
        <f>IF(B67="","",INDEX(الموظفات!$L$5:$L$304,MATCH(B67,الموظفات!$B$5:$B$304,0)))</f>
        <v/>
      </c>
      <c r="K67" s="36">
        <f>IF(14&gt;$B$10,"",14)</f>
        <v/>
      </c>
      <c r="L67" s="37">
        <f>IF($K67="","",INDEX('سجل التحفيز'!$A$5:$A$2004,MATCH($K67,'سجل التحفيز'!$U$5:$U$2004,0)))</f>
        <v/>
      </c>
      <c r="M67" s="9">
        <f>IF($K67="","",INDEX('سجل التحفيز'!$B$5:$B$2004,MATCH($K67,'سجل التحفيز'!$U$5:$U$2004,0)))</f>
        <v/>
      </c>
      <c r="N67" s="9">
        <f>IF($K67="","",INDEX('سجل التحفيز'!$M$5:$M$2004,MATCH($K67,'سجل التحفيز'!$U$5:$U$2004,0)))</f>
        <v/>
      </c>
      <c r="O67" s="9">
        <f>IF($K67="","",INDEX('سجل التحفيز'!$C$5:$C$2004,MATCH($K67,'سجل التحفيز'!$U$5:$U$2004,0)))</f>
        <v/>
      </c>
      <c r="P67" s="36">
        <f>IF($K67="","",INDEX('سجل التحفيز'!$D$5:$D$2004,MATCH($K67,'سجل التحفيز'!$U$5:$U$2004,0)))</f>
        <v/>
      </c>
      <c r="Q67" s="9">
        <f>IF($K67="","",INDEX('سجل التحفيز'!$E$5:$E$2004,MATCH($K67,'سجل التحفيز'!$U$5:$U$2004,0)))</f>
        <v/>
      </c>
      <c r="R67" s="9">
        <f>IF($K67="","",INDEX('سجل التحفيز'!$F$5:$F$2004,MATCH($K67,'سجل التحفيز'!$U$5:$U$2004,0)))</f>
        <v/>
      </c>
      <c r="S67" s="35">
        <f>IF($K67="","",INDEX('سجل التحفيز'!$G$5:$G$2004,MATCH($K67,'سجل التحفيز'!$U$5:$U$2004,0)))</f>
        <v/>
      </c>
    </row>
    <row r="68">
      <c r="B68" s="34">
        <f>IFERROR(INDEX(الموظفات!$B$5:$B$304,MATCH(15,الموظفات!$O$5:$O$304,0)),"")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التحفيز'!$U$5:$U$2004,"&gt;0",'سجل التحفيز'!$B$5:$B$2004,B68))</f>
        <v/>
      </c>
      <c r="E68" s="35">
        <f>IF(B68="","",COUNTIFS('سجل التحفيز'!$U$5:$U$2004,"&gt;0",'سجل التحفيز'!$B$5:$B$2004,B68,'سجل التحفيز'!$D$5:$D$2004,"ذهبي"))</f>
        <v/>
      </c>
      <c r="F68" s="35">
        <f>IF(B68="","",SUMIFS('سجل التحفيز'!$G$5:$G$2004,'سجل التحفيز'!$U$5:$U$2004,"&gt;0",'سجل التحفيز'!$B$5:$B$2004,B68))</f>
        <v/>
      </c>
      <c r="G68" s="35">
        <f>IF(B68="","",COUNTIF($D$54:$D$203,"&gt;"&amp;D68)+1)</f>
        <v/>
      </c>
      <c r="H68" s="35">
        <f>IF(B68="","",INDEX(الموظفات!$L$5:$L$304,MATCH(B68,الموظفات!$B$5:$B$304,0)))</f>
        <v/>
      </c>
      <c r="K68" s="36">
        <f>IF(15&gt;$B$10,"",15)</f>
        <v/>
      </c>
      <c r="L68" s="37">
        <f>IF($K68="","",INDEX('سجل التحفيز'!$A$5:$A$2004,MATCH($K68,'سجل التحفيز'!$U$5:$U$2004,0)))</f>
        <v/>
      </c>
      <c r="M68" s="9">
        <f>IF($K68="","",INDEX('سجل التحفيز'!$B$5:$B$2004,MATCH($K68,'سجل التحفيز'!$U$5:$U$2004,0)))</f>
        <v/>
      </c>
      <c r="N68" s="9">
        <f>IF($K68="","",INDEX('سجل التحفيز'!$M$5:$M$2004,MATCH($K68,'سجل التحفيز'!$U$5:$U$2004,0)))</f>
        <v/>
      </c>
      <c r="O68" s="9">
        <f>IF($K68="","",INDEX('سجل التحفيز'!$C$5:$C$2004,MATCH($K68,'سجل التحفيز'!$U$5:$U$2004,0)))</f>
        <v/>
      </c>
      <c r="P68" s="36">
        <f>IF($K68="","",INDEX('سجل التحفيز'!$D$5:$D$2004,MATCH($K68,'سجل التحفيز'!$U$5:$U$2004,0)))</f>
        <v/>
      </c>
      <c r="Q68" s="9">
        <f>IF($K68="","",INDEX('سجل التحفيز'!$E$5:$E$2004,MATCH($K68,'سجل التحفيز'!$U$5:$U$2004,0)))</f>
        <v/>
      </c>
      <c r="R68" s="9">
        <f>IF($K68="","",INDEX('سجل التحفيز'!$F$5:$F$2004,MATCH($K68,'سجل التحفيز'!$U$5:$U$2004,0)))</f>
        <v/>
      </c>
      <c r="S68" s="35">
        <f>IF($K68="","",INDEX('سجل التحفيز'!$G$5:$G$2004,MATCH($K68,'سجل التحفيز'!$U$5:$U$2004,0)))</f>
        <v/>
      </c>
    </row>
    <row r="69">
      <c r="B69" s="34">
        <f>IFERROR(INDEX(الموظفات!$B$5:$B$304,MATCH(16,الموظفات!$O$5:$O$304,0)),"")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التحفيز'!$U$5:$U$2004,"&gt;0",'سجل التحفيز'!$B$5:$B$2004,B69))</f>
        <v/>
      </c>
      <c r="E69" s="35">
        <f>IF(B69="","",COUNTIFS('سجل التحفيز'!$U$5:$U$2004,"&gt;0",'سجل التحفيز'!$B$5:$B$2004,B69,'سجل التحفيز'!$D$5:$D$2004,"ذهبي"))</f>
        <v/>
      </c>
      <c r="F69" s="35">
        <f>IF(B69="","",SUMIFS('سجل التحفيز'!$G$5:$G$2004,'سجل التحفيز'!$U$5:$U$2004,"&gt;0",'سجل التحفيز'!$B$5:$B$2004,B69))</f>
        <v/>
      </c>
      <c r="G69" s="35">
        <f>IF(B69="","",COUNTIF($D$54:$D$203,"&gt;"&amp;D69)+1)</f>
        <v/>
      </c>
      <c r="H69" s="35">
        <f>IF(B69="","",INDEX(الموظفات!$L$5:$L$304,MATCH(B69,الموظفات!$B$5:$B$304,0)))</f>
        <v/>
      </c>
      <c r="K69" s="36">
        <f>IF(16&gt;$B$10,"",16)</f>
        <v/>
      </c>
      <c r="L69" s="37">
        <f>IF($K69="","",INDEX('سجل التحفيز'!$A$5:$A$2004,MATCH($K69,'سجل التحفيز'!$U$5:$U$2004,0)))</f>
        <v/>
      </c>
      <c r="M69" s="9">
        <f>IF($K69="","",INDEX('سجل التحفيز'!$B$5:$B$2004,MATCH($K69,'سجل التحفيز'!$U$5:$U$2004,0)))</f>
        <v/>
      </c>
      <c r="N69" s="9">
        <f>IF($K69="","",INDEX('سجل التحفيز'!$M$5:$M$2004,MATCH($K69,'سجل التحفيز'!$U$5:$U$2004,0)))</f>
        <v/>
      </c>
      <c r="O69" s="9">
        <f>IF($K69="","",INDEX('سجل التحفيز'!$C$5:$C$2004,MATCH($K69,'سجل التحفيز'!$U$5:$U$2004,0)))</f>
        <v/>
      </c>
      <c r="P69" s="36">
        <f>IF($K69="","",INDEX('سجل التحفيز'!$D$5:$D$2004,MATCH($K69,'سجل التحفيز'!$U$5:$U$2004,0)))</f>
        <v/>
      </c>
      <c r="Q69" s="9">
        <f>IF($K69="","",INDEX('سجل التحفيز'!$E$5:$E$2004,MATCH($K69,'سجل التحفيز'!$U$5:$U$2004,0)))</f>
        <v/>
      </c>
      <c r="R69" s="9">
        <f>IF($K69="","",INDEX('سجل التحفيز'!$F$5:$F$2004,MATCH($K69,'سجل التحفيز'!$U$5:$U$2004,0)))</f>
        <v/>
      </c>
      <c r="S69" s="35">
        <f>IF($K69="","",INDEX('سجل التحفيز'!$G$5:$G$2004,MATCH($K69,'سجل التحفيز'!$U$5:$U$2004,0)))</f>
        <v/>
      </c>
    </row>
    <row r="70">
      <c r="B70" s="34">
        <f>IFERROR(INDEX(الموظفات!$B$5:$B$304,MATCH(17,الموظفات!$O$5:$O$304,0)),"")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التحفيز'!$U$5:$U$2004,"&gt;0",'سجل التحفيز'!$B$5:$B$2004,B70))</f>
        <v/>
      </c>
      <c r="E70" s="35">
        <f>IF(B70="","",COUNTIFS('سجل التحفيز'!$U$5:$U$2004,"&gt;0",'سجل التحفيز'!$B$5:$B$2004,B70,'سجل التحفيز'!$D$5:$D$2004,"ذهبي"))</f>
        <v/>
      </c>
      <c r="F70" s="35">
        <f>IF(B70="","",SUMIFS('سجل التحفيز'!$G$5:$G$2004,'سجل التحفيز'!$U$5:$U$2004,"&gt;0",'سجل التحفيز'!$B$5:$B$2004,B70))</f>
        <v/>
      </c>
      <c r="G70" s="35">
        <f>IF(B70="","",COUNTIF($D$54:$D$203,"&gt;"&amp;D70)+1)</f>
        <v/>
      </c>
      <c r="H70" s="35">
        <f>IF(B70="","",INDEX(الموظفات!$L$5:$L$304,MATCH(B70,الموظفات!$B$5:$B$304,0)))</f>
        <v/>
      </c>
      <c r="K70" s="36">
        <f>IF(17&gt;$B$10,"",17)</f>
        <v/>
      </c>
      <c r="L70" s="37">
        <f>IF($K70="","",INDEX('سجل التحفيز'!$A$5:$A$2004,MATCH($K70,'سجل التحفيز'!$U$5:$U$2004,0)))</f>
        <v/>
      </c>
      <c r="M70" s="9">
        <f>IF($K70="","",INDEX('سجل التحفيز'!$B$5:$B$2004,MATCH($K70,'سجل التحفيز'!$U$5:$U$2004,0)))</f>
        <v/>
      </c>
      <c r="N70" s="9">
        <f>IF($K70="","",INDEX('سجل التحفيز'!$M$5:$M$2004,MATCH($K70,'سجل التحفيز'!$U$5:$U$2004,0)))</f>
        <v/>
      </c>
      <c r="O70" s="9">
        <f>IF($K70="","",INDEX('سجل التحفيز'!$C$5:$C$2004,MATCH($K70,'سجل التحفيز'!$U$5:$U$2004,0)))</f>
        <v/>
      </c>
      <c r="P70" s="36">
        <f>IF($K70="","",INDEX('سجل التحفيز'!$D$5:$D$2004,MATCH($K70,'سجل التحفيز'!$U$5:$U$2004,0)))</f>
        <v/>
      </c>
      <c r="Q70" s="9">
        <f>IF($K70="","",INDEX('سجل التحفيز'!$E$5:$E$2004,MATCH($K70,'سجل التحفيز'!$U$5:$U$2004,0)))</f>
        <v/>
      </c>
      <c r="R70" s="9">
        <f>IF($K70="","",INDEX('سجل التحفيز'!$F$5:$F$2004,MATCH($K70,'سجل التحفيز'!$U$5:$U$2004,0)))</f>
        <v/>
      </c>
      <c r="S70" s="35">
        <f>IF($K70="","",INDEX('سجل التحفيز'!$G$5:$G$2004,MATCH($K70,'سجل التحفيز'!$U$5:$U$2004,0)))</f>
        <v/>
      </c>
    </row>
    <row r="71">
      <c r="B71" s="34">
        <f>IFERROR(INDEX(الموظفات!$B$5:$B$304,MATCH(18,الموظفات!$O$5:$O$304,0)),"")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التحفيز'!$U$5:$U$2004,"&gt;0",'سجل التحفيز'!$B$5:$B$2004,B71))</f>
        <v/>
      </c>
      <c r="E71" s="35">
        <f>IF(B71="","",COUNTIFS('سجل التحفيز'!$U$5:$U$2004,"&gt;0",'سجل التحفيز'!$B$5:$B$2004,B71,'سجل التحفيز'!$D$5:$D$2004,"ذهبي"))</f>
        <v/>
      </c>
      <c r="F71" s="35">
        <f>IF(B71="","",SUMIFS('سجل التحفيز'!$G$5:$G$2004,'سجل التحفيز'!$U$5:$U$2004,"&gt;0",'سجل التحفيز'!$B$5:$B$2004,B71))</f>
        <v/>
      </c>
      <c r="G71" s="35">
        <f>IF(B71="","",COUNTIF($D$54:$D$203,"&gt;"&amp;D71)+1)</f>
        <v/>
      </c>
      <c r="H71" s="35">
        <f>IF(B71="","",INDEX(الموظفات!$L$5:$L$304,MATCH(B71,الموظفات!$B$5:$B$304,0)))</f>
        <v/>
      </c>
      <c r="K71" s="36">
        <f>IF(18&gt;$B$10,"",18)</f>
        <v/>
      </c>
      <c r="L71" s="37">
        <f>IF($K71="","",INDEX('سجل التحفيز'!$A$5:$A$2004,MATCH($K71,'سجل التحفيز'!$U$5:$U$2004,0)))</f>
        <v/>
      </c>
      <c r="M71" s="9">
        <f>IF($K71="","",INDEX('سجل التحفيز'!$B$5:$B$2004,MATCH($K71,'سجل التحفيز'!$U$5:$U$2004,0)))</f>
        <v/>
      </c>
      <c r="N71" s="9">
        <f>IF($K71="","",INDEX('سجل التحفيز'!$M$5:$M$2004,MATCH($K71,'سجل التحفيز'!$U$5:$U$2004,0)))</f>
        <v/>
      </c>
      <c r="O71" s="9">
        <f>IF($K71="","",INDEX('سجل التحفيز'!$C$5:$C$2004,MATCH($K71,'سجل التحفيز'!$U$5:$U$2004,0)))</f>
        <v/>
      </c>
      <c r="P71" s="36">
        <f>IF($K71="","",INDEX('سجل التحفيز'!$D$5:$D$2004,MATCH($K71,'سجل التحفيز'!$U$5:$U$2004,0)))</f>
        <v/>
      </c>
      <c r="Q71" s="9">
        <f>IF($K71="","",INDEX('سجل التحفيز'!$E$5:$E$2004,MATCH($K71,'سجل التحفيز'!$U$5:$U$2004,0)))</f>
        <v/>
      </c>
      <c r="R71" s="9">
        <f>IF($K71="","",INDEX('سجل التحفيز'!$F$5:$F$2004,MATCH($K71,'سجل التحفيز'!$U$5:$U$2004,0)))</f>
        <v/>
      </c>
      <c r="S71" s="35">
        <f>IF($K71="","",INDEX('سجل التحفيز'!$G$5:$G$2004,MATCH($K71,'سجل التحفيز'!$U$5:$U$2004,0)))</f>
        <v/>
      </c>
    </row>
    <row r="72">
      <c r="B72" s="34">
        <f>IFERROR(INDEX(الموظفات!$B$5:$B$304,MATCH(19,الموظفات!$O$5:$O$304,0)),"")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التحفيز'!$U$5:$U$2004,"&gt;0",'سجل التحفيز'!$B$5:$B$2004,B72))</f>
        <v/>
      </c>
      <c r="E72" s="35">
        <f>IF(B72="","",COUNTIFS('سجل التحفيز'!$U$5:$U$2004,"&gt;0",'سجل التحفيز'!$B$5:$B$2004,B72,'سجل التحفيز'!$D$5:$D$2004,"ذهبي"))</f>
        <v/>
      </c>
      <c r="F72" s="35">
        <f>IF(B72="","",SUMIFS('سجل التحفيز'!$G$5:$G$2004,'سجل التحفيز'!$U$5:$U$2004,"&gt;0",'سجل التحفيز'!$B$5:$B$2004,B72))</f>
        <v/>
      </c>
      <c r="G72" s="35">
        <f>IF(B72="","",COUNTIF($D$54:$D$203,"&gt;"&amp;D72)+1)</f>
        <v/>
      </c>
      <c r="H72" s="35">
        <f>IF(B72="","",INDEX(الموظفات!$L$5:$L$304,MATCH(B72,الموظفات!$B$5:$B$304,0)))</f>
        <v/>
      </c>
      <c r="K72" s="36">
        <f>IF(19&gt;$B$10,"",19)</f>
        <v/>
      </c>
      <c r="L72" s="37">
        <f>IF($K72="","",INDEX('سجل التحفيز'!$A$5:$A$2004,MATCH($K72,'سجل التحفيز'!$U$5:$U$2004,0)))</f>
        <v/>
      </c>
      <c r="M72" s="9">
        <f>IF($K72="","",INDEX('سجل التحفيز'!$B$5:$B$2004,MATCH($K72,'سجل التحفيز'!$U$5:$U$2004,0)))</f>
        <v/>
      </c>
      <c r="N72" s="9">
        <f>IF($K72="","",INDEX('سجل التحفيز'!$M$5:$M$2004,MATCH($K72,'سجل التحفيز'!$U$5:$U$2004,0)))</f>
        <v/>
      </c>
      <c r="O72" s="9">
        <f>IF($K72="","",INDEX('سجل التحفيز'!$C$5:$C$2004,MATCH($K72,'سجل التحفيز'!$U$5:$U$2004,0)))</f>
        <v/>
      </c>
      <c r="P72" s="36">
        <f>IF($K72="","",INDEX('سجل التحفيز'!$D$5:$D$2004,MATCH($K72,'سجل التحفيز'!$U$5:$U$2004,0)))</f>
        <v/>
      </c>
      <c r="Q72" s="9">
        <f>IF($K72="","",INDEX('سجل التحفيز'!$E$5:$E$2004,MATCH($K72,'سجل التحفيز'!$U$5:$U$2004,0)))</f>
        <v/>
      </c>
      <c r="R72" s="9">
        <f>IF($K72="","",INDEX('سجل التحفيز'!$F$5:$F$2004,MATCH($K72,'سجل التحفيز'!$U$5:$U$2004,0)))</f>
        <v/>
      </c>
      <c r="S72" s="35">
        <f>IF($K72="","",INDEX('سجل التحفيز'!$G$5:$G$2004,MATCH($K72,'سجل التحفيز'!$U$5:$U$2004,0)))</f>
        <v/>
      </c>
    </row>
    <row r="73">
      <c r="B73" s="34">
        <f>IFERROR(INDEX(الموظفات!$B$5:$B$304,MATCH(20,الموظفات!$O$5:$O$304,0)),"")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التحفيز'!$U$5:$U$2004,"&gt;0",'سجل التحفيز'!$B$5:$B$2004,B73))</f>
        <v/>
      </c>
      <c r="E73" s="35">
        <f>IF(B73="","",COUNTIFS('سجل التحفيز'!$U$5:$U$2004,"&gt;0",'سجل التحفيز'!$B$5:$B$2004,B73,'سجل التحفيز'!$D$5:$D$2004,"ذهبي"))</f>
        <v/>
      </c>
      <c r="F73" s="35">
        <f>IF(B73="","",SUMIFS('سجل التحفيز'!$G$5:$G$2004,'سجل التحفيز'!$U$5:$U$2004,"&gt;0",'سجل التحفيز'!$B$5:$B$2004,B73))</f>
        <v/>
      </c>
      <c r="G73" s="35">
        <f>IF(B73="","",COUNTIF($D$54:$D$203,"&gt;"&amp;D73)+1)</f>
        <v/>
      </c>
      <c r="H73" s="35">
        <f>IF(B73="","",INDEX(الموظفات!$L$5:$L$304,MATCH(B73,الموظفات!$B$5:$B$304,0)))</f>
        <v/>
      </c>
      <c r="K73" s="36">
        <f>IF(20&gt;$B$10,"",20)</f>
        <v/>
      </c>
      <c r="L73" s="37">
        <f>IF($K73="","",INDEX('سجل التحفيز'!$A$5:$A$2004,MATCH($K73,'سجل التحفيز'!$U$5:$U$2004,0)))</f>
        <v/>
      </c>
      <c r="M73" s="9">
        <f>IF($K73="","",INDEX('سجل التحفيز'!$B$5:$B$2004,MATCH($K73,'سجل التحفيز'!$U$5:$U$2004,0)))</f>
        <v/>
      </c>
      <c r="N73" s="9">
        <f>IF($K73="","",INDEX('سجل التحفيز'!$M$5:$M$2004,MATCH($K73,'سجل التحفيز'!$U$5:$U$2004,0)))</f>
        <v/>
      </c>
      <c r="O73" s="9">
        <f>IF($K73="","",INDEX('سجل التحفيز'!$C$5:$C$2004,MATCH($K73,'سجل التحفيز'!$U$5:$U$2004,0)))</f>
        <v/>
      </c>
      <c r="P73" s="36">
        <f>IF($K73="","",INDEX('سجل التحفيز'!$D$5:$D$2004,MATCH($K73,'سجل التحفيز'!$U$5:$U$2004,0)))</f>
        <v/>
      </c>
      <c r="Q73" s="9">
        <f>IF($K73="","",INDEX('سجل التحفيز'!$E$5:$E$2004,MATCH($K73,'سجل التحفيز'!$U$5:$U$2004,0)))</f>
        <v/>
      </c>
      <c r="R73" s="9">
        <f>IF($K73="","",INDEX('سجل التحفيز'!$F$5:$F$2004,MATCH($K73,'سجل التحفيز'!$U$5:$U$2004,0)))</f>
        <v/>
      </c>
      <c r="S73" s="35">
        <f>IF($K73="","",INDEX('سجل التحفيز'!$G$5:$G$2004,MATCH($K73,'سجل التحفيز'!$U$5:$U$2004,0)))</f>
        <v/>
      </c>
    </row>
    <row r="74">
      <c r="B74" s="34">
        <f>IFERROR(INDEX(الموظفات!$B$5:$B$304,MATCH(21,الموظفات!$O$5:$O$304,0)),"")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التحفيز'!$U$5:$U$2004,"&gt;0",'سجل التحفيز'!$B$5:$B$2004,B74))</f>
        <v/>
      </c>
      <c r="E74" s="35">
        <f>IF(B74="","",COUNTIFS('سجل التحفيز'!$U$5:$U$2004,"&gt;0",'سجل التحفيز'!$B$5:$B$2004,B74,'سجل التحفيز'!$D$5:$D$2004,"ذهبي"))</f>
        <v/>
      </c>
      <c r="F74" s="35">
        <f>IF(B74="","",SUMIFS('سجل التحفيز'!$G$5:$G$2004,'سجل التحفيز'!$U$5:$U$2004,"&gt;0",'سجل التحفيز'!$B$5:$B$2004,B74))</f>
        <v/>
      </c>
      <c r="G74" s="35">
        <f>IF(B74="","",COUNTIF($D$54:$D$203,"&gt;"&amp;D74)+1)</f>
        <v/>
      </c>
      <c r="H74" s="35">
        <f>IF(B74="","",INDEX(الموظفات!$L$5:$L$304,MATCH(B74,الموظفات!$B$5:$B$304,0)))</f>
        <v/>
      </c>
      <c r="K74" s="36">
        <f>IF(21&gt;$B$10,"",21)</f>
        <v/>
      </c>
      <c r="L74" s="37">
        <f>IF($K74="","",INDEX('سجل التحفيز'!$A$5:$A$2004,MATCH($K74,'سجل التحفيز'!$U$5:$U$2004,0)))</f>
        <v/>
      </c>
      <c r="M74" s="9">
        <f>IF($K74="","",INDEX('سجل التحفيز'!$B$5:$B$2004,MATCH($K74,'سجل التحفيز'!$U$5:$U$2004,0)))</f>
        <v/>
      </c>
      <c r="N74" s="9">
        <f>IF($K74="","",INDEX('سجل التحفيز'!$M$5:$M$2004,MATCH($K74,'سجل التحفيز'!$U$5:$U$2004,0)))</f>
        <v/>
      </c>
      <c r="O74" s="9">
        <f>IF($K74="","",INDEX('سجل التحفيز'!$C$5:$C$2004,MATCH($K74,'سجل التحفيز'!$U$5:$U$2004,0)))</f>
        <v/>
      </c>
      <c r="P74" s="36">
        <f>IF($K74="","",INDEX('سجل التحفيز'!$D$5:$D$2004,MATCH($K74,'سجل التحفيز'!$U$5:$U$2004,0)))</f>
        <v/>
      </c>
      <c r="Q74" s="9">
        <f>IF($K74="","",INDEX('سجل التحفيز'!$E$5:$E$2004,MATCH($K74,'سجل التحفيز'!$U$5:$U$2004,0)))</f>
        <v/>
      </c>
      <c r="R74" s="9">
        <f>IF($K74="","",INDEX('سجل التحفيز'!$F$5:$F$2004,MATCH($K74,'سجل التحفيز'!$U$5:$U$2004,0)))</f>
        <v/>
      </c>
      <c r="S74" s="35">
        <f>IF($K74="","",INDEX('سجل التحفيز'!$G$5:$G$2004,MATCH($K74,'سجل التحفيز'!$U$5:$U$2004,0)))</f>
        <v/>
      </c>
    </row>
    <row r="75">
      <c r="B75" s="34">
        <f>IFERROR(INDEX(الموظفات!$B$5:$B$304,MATCH(22,الموظفات!$O$5:$O$304,0)),"")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التحفيز'!$U$5:$U$2004,"&gt;0",'سجل التحفيز'!$B$5:$B$2004,B75))</f>
        <v/>
      </c>
      <c r="E75" s="35">
        <f>IF(B75="","",COUNTIFS('سجل التحفيز'!$U$5:$U$2004,"&gt;0",'سجل التحفيز'!$B$5:$B$2004,B75,'سجل التحفيز'!$D$5:$D$2004,"ذهبي"))</f>
        <v/>
      </c>
      <c r="F75" s="35">
        <f>IF(B75="","",SUMIFS('سجل التحفيز'!$G$5:$G$2004,'سجل التحفيز'!$U$5:$U$2004,"&gt;0",'سجل التحفيز'!$B$5:$B$2004,B75))</f>
        <v/>
      </c>
      <c r="G75" s="35">
        <f>IF(B75="","",COUNTIF($D$54:$D$203,"&gt;"&amp;D75)+1)</f>
        <v/>
      </c>
      <c r="H75" s="35">
        <f>IF(B75="","",INDEX(الموظفات!$L$5:$L$304,MATCH(B75,الموظفات!$B$5:$B$304,0)))</f>
        <v/>
      </c>
      <c r="K75" s="36">
        <f>IF(22&gt;$B$10,"",22)</f>
        <v/>
      </c>
      <c r="L75" s="37">
        <f>IF($K75="","",INDEX('سجل التحفيز'!$A$5:$A$2004,MATCH($K75,'سجل التحفيز'!$U$5:$U$2004,0)))</f>
        <v/>
      </c>
      <c r="M75" s="9">
        <f>IF($K75="","",INDEX('سجل التحفيز'!$B$5:$B$2004,MATCH($K75,'سجل التحفيز'!$U$5:$U$2004,0)))</f>
        <v/>
      </c>
      <c r="N75" s="9">
        <f>IF($K75="","",INDEX('سجل التحفيز'!$M$5:$M$2004,MATCH($K75,'سجل التحفيز'!$U$5:$U$2004,0)))</f>
        <v/>
      </c>
      <c r="O75" s="9">
        <f>IF($K75="","",INDEX('سجل التحفيز'!$C$5:$C$2004,MATCH($K75,'سجل التحفيز'!$U$5:$U$2004,0)))</f>
        <v/>
      </c>
      <c r="P75" s="36">
        <f>IF($K75="","",INDEX('سجل التحفيز'!$D$5:$D$2004,MATCH($K75,'سجل التحفيز'!$U$5:$U$2004,0)))</f>
        <v/>
      </c>
      <c r="Q75" s="9">
        <f>IF($K75="","",INDEX('سجل التحفيز'!$E$5:$E$2004,MATCH($K75,'سجل التحفيز'!$U$5:$U$2004,0)))</f>
        <v/>
      </c>
      <c r="R75" s="9">
        <f>IF($K75="","",INDEX('سجل التحفيز'!$F$5:$F$2004,MATCH($K75,'سجل التحفيز'!$U$5:$U$2004,0)))</f>
        <v/>
      </c>
      <c r="S75" s="35">
        <f>IF($K75="","",INDEX('سجل التحفيز'!$G$5:$G$2004,MATCH($K75,'سجل التحفيز'!$U$5:$U$2004,0)))</f>
        <v/>
      </c>
    </row>
    <row r="76">
      <c r="B76" s="34">
        <f>IFERROR(INDEX(الموظفات!$B$5:$B$304,MATCH(23,الموظفات!$O$5:$O$304,0)),"")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التحفيز'!$U$5:$U$2004,"&gt;0",'سجل التحفيز'!$B$5:$B$2004,B76))</f>
        <v/>
      </c>
      <c r="E76" s="35">
        <f>IF(B76="","",COUNTIFS('سجل التحفيز'!$U$5:$U$2004,"&gt;0",'سجل التحفيز'!$B$5:$B$2004,B76,'سجل التحفيز'!$D$5:$D$2004,"ذهبي"))</f>
        <v/>
      </c>
      <c r="F76" s="35">
        <f>IF(B76="","",SUMIFS('سجل التحفيز'!$G$5:$G$2004,'سجل التحفيز'!$U$5:$U$2004,"&gt;0",'سجل التحفيز'!$B$5:$B$2004,B76))</f>
        <v/>
      </c>
      <c r="G76" s="35">
        <f>IF(B76="","",COUNTIF($D$54:$D$203,"&gt;"&amp;D76)+1)</f>
        <v/>
      </c>
      <c r="H76" s="35">
        <f>IF(B76="","",INDEX(الموظفات!$L$5:$L$304,MATCH(B76,الموظفات!$B$5:$B$304,0)))</f>
        <v/>
      </c>
      <c r="K76" s="36">
        <f>IF(23&gt;$B$10,"",23)</f>
        <v/>
      </c>
      <c r="L76" s="37">
        <f>IF($K76="","",INDEX('سجل التحفيز'!$A$5:$A$2004,MATCH($K76,'سجل التحفيز'!$U$5:$U$2004,0)))</f>
        <v/>
      </c>
      <c r="M76" s="9">
        <f>IF($K76="","",INDEX('سجل التحفيز'!$B$5:$B$2004,MATCH($K76,'سجل التحفيز'!$U$5:$U$2004,0)))</f>
        <v/>
      </c>
      <c r="N76" s="9">
        <f>IF($K76="","",INDEX('سجل التحفيز'!$M$5:$M$2004,MATCH($K76,'سجل التحفيز'!$U$5:$U$2004,0)))</f>
        <v/>
      </c>
      <c r="O76" s="9">
        <f>IF($K76="","",INDEX('سجل التحفيز'!$C$5:$C$2004,MATCH($K76,'سجل التحفيز'!$U$5:$U$2004,0)))</f>
        <v/>
      </c>
      <c r="P76" s="36">
        <f>IF($K76="","",INDEX('سجل التحفيز'!$D$5:$D$2004,MATCH($K76,'سجل التحفيز'!$U$5:$U$2004,0)))</f>
        <v/>
      </c>
      <c r="Q76" s="9">
        <f>IF($K76="","",INDEX('سجل التحفيز'!$E$5:$E$2004,MATCH($K76,'سجل التحفيز'!$U$5:$U$2004,0)))</f>
        <v/>
      </c>
      <c r="R76" s="9">
        <f>IF($K76="","",INDEX('سجل التحفيز'!$F$5:$F$2004,MATCH($K76,'سجل التحفيز'!$U$5:$U$2004,0)))</f>
        <v/>
      </c>
      <c r="S76" s="35">
        <f>IF($K76="","",INDEX('سجل التحفيز'!$G$5:$G$2004,MATCH($K76,'سجل التحفيز'!$U$5:$U$2004,0)))</f>
        <v/>
      </c>
    </row>
    <row r="77">
      <c r="B77" s="34">
        <f>IFERROR(INDEX(الموظفات!$B$5:$B$304,MATCH(24,الموظفات!$O$5:$O$304,0)),"")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التحفيز'!$U$5:$U$2004,"&gt;0",'سجل التحفيز'!$B$5:$B$2004,B77))</f>
        <v/>
      </c>
      <c r="E77" s="35">
        <f>IF(B77="","",COUNTIFS('سجل التحفيز'!$U$5:$U$2004,"&gt;0",'سجل التحفيز'!$B$5:$B$2004,B77,'سجل التحفيز'!$D$5:$D$2004,"ذهبي"))</f>
        <v/>
      </c>
      <c r="F77" s="35">
        <f>IF(B77="","",SUMIFS('سجل التحفيز'!$G$5:$G$2004,'سجل التحفيز'!$U$5:$U$2004,"&gt;0",'سجل التحفيز'!$B$5:$B$2004,B77))</f>
        <v/>
      </c>
      <c r="G77" s="35">
        <f>IF(B77="","",COUNTIF($D$54:$D$203,"&gt;"&amp;D77)+1)</f>
        <v/>
      </c>
      <c r="H77" s="35">
        <f>IF(B77="","",INDEX(الموظفات!$L$5:$L$304,MATCH(B77,الموظفات!$B$5:$B$304,0)))</f>
        <v/>
      </c>
      <c r="K77" s="36">
        <f>IF(24&gt;$B$10,"",24)</f>
        <v/>
      </c>
      <c r="L77" s="37">
        <f>IF($K77="","",INDEX('سجل التحفيز'!$A$5:$A$2004,MATCH($K77,'سجل التحفيز'!$U$5:$U$2004,0)))</f>
        <v/>
      </c>
      <c r="M77" s="9">
        <f>IF($K77="","",INDEX('سجل التحفيز'!$B$5:$B$2004,MATCH($K77,'سجل التحفيز'!$U$5:$U$2004,0)))</f>
        <v/>
      </c>
      <c r="N77" s="9">
        <f>IF($K77="","",INDEX('سجل التحفيز'!$M$5:$M$2004,MATCH($K77,'سجل التحفيز'!$U$5:$U$2004,0)))</f>
        <v/>
      </c>
      <c r="O77" s="9">
        <f>IF($K77="","",INDEX('سجل التحفيز'!$C$5:$C$2004,MATCH($K77,'سجل التحفيز'!$U$5:$U$2004,0)))</f>
        <v/>
      </c>
      <c r="P77" s="36">
        <f>IF($K77="","",INDEX('سجل التحفيز'!$D$5:$D$2004,MATCH($K77,'سجل التحفيز'!$U$5:$U$2004,0)))</f>
        <v/>
      </c>
      <c r="Q77" s="9">
        <f>IF($K77="","",INDEX('سجل التحفيز'!$E$5:$E$2004,MATCH($K77,'سجل التحفيز'!$U$5:$U$2004,0)))</f>
        <v/>
      </c>
      <c r="R77" s="9">
        <f>IF($K77="","",INDEX('سجل التحفيز'!$F$5:$F$2004,MATCH($K77,'سجل التحفيز'!$U$5:$U$2004,0)))</f>
        <v/>
      </c>
      <c r="S77" s="35">
        <f>IF($K77="","",INDEX('سجل التحفيز'!$G$5:$G$2004,MATCH($K77,'سجل التحفيز'!$U$5:$U$2004,0)))</f>
        <v/>
      </c>
    </row>
    <row r="78">
      <c r="B78" s="34">
        <f>IFERROR(INDEX(الموظفات!$B$5:$B$304,MATCH(25,الموظفات!$O$5:$O$304,0)),"")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التحفيز'!$U$5:$U$2004,"&gt;0",'سجل التحفيز'!$B$5:$B$2004,B78))</f>
        <v/>
      </c>
      <c r="E78" s="35">
        <f>IF(B78="","",COUNTIFS('سجل التحفيز'!$U$5:$U$2004,"&gt;0",'سجل التحفيز'!$B$5:$B$2004,B78,'سجل التحفيز'!$D$5:$D$2004,"ذهبي"))</f>
        <v/>
      </c>
      <c r="F78" s="35">
        <f>IF(B78="","",SUMIFS('سجل التحفيز'!$G$5:$G$2004,'سجل التحفيز'!$U$5:$U$2004,"&gt;0",'سجل التحفيز'!$B$5:$B$2004,B78))</f>
        <v/>
      </c>
      <c r="G78" s="35">
        <f>IF(B78="","",COUNTIF($D$54:$D$203,"&gt;"&amp;D78)+1)</f>
        <v/>
      </c>
      <c r="H78" s="35">
        <f>IF(B78="","",INDEX(الموظفات!$L$5:$L$304,MATCH(B78,الموظفات!$B$5:$B$304,0)))</f>
        <v/>
      </c>
      <c r="K78" s="36">
        <f>IF(25&gt;$B$10,"",25)</f>
        <v/>
      </c>
      <c r="L78" s="37">
        <f>IF($K78="","",INDEX('سجل التحفيز'!$A$5:$A$2004,MATCH($K78,'سجل التحفيز'!$U$5:$U$2004,0)))</f>
        <v/>
      </c>
      <c r="M78" s="9">
        <f>IF($K78="","",INDEX('سجل التحفيز'!$B$5:$B$2004,MATCH($K78,'سجل التحفيز'!$U$5:$U$2004,0)))</f>
        <v/>
      </c>
      <c r="N78" s="9">
        <f>IF($K78="","",INDEX('سجل التحفيز'!$M$5:$M$2004,MATCH($K78,'سجل التحفيز'!$U$5:$U$2004,0)))</f>
        <v/>
      </c>
      <c r="O78" s="9">
        <f>IF($K78="","",INDEX('سجل التحفيز'!$C$5:$C$2004,MATCH($K78,'سجل التحفيز'!$U$5:$U$2004,0)))</f>
        <v/>
      </c>
      <c r="P78" s="36">
        <f>IF($K78="","",INDEX('سجل التحفيز'!$D$5:$D$2004,MATCH($K78,'سجل التحفيز'!$U$5:$U$2004,0)))</f>
        <v/>
      </c>
      <c r="Q78" s="9">
        <f>IF($K78="","",INDEX('سجل التحفيز'!$E$5:$E$2004,MATCH($K78,'سجل التحفيز'!$U$5:$U$2004,0)))</f>
        <v/>
      </c>
      <c r="R78" s="9">
        <f>IF($K78="","",INDEX('سجل التحفيز'!$F$5:$F$2004,MATCH($K78,'سجل التحفيز'!$U$5:$U$2004,0)))</f>
        <v/>
      </c>
      <c r="S78" s="35">
        <f>IF($K78="","",INDEX('سجل التحفيز'!$G$5:$G$2004,MATCH($K78,'سجل التحفيز'!$U$5:$U$2004,0)))</f>
        <v/>
      </c>
    </row>
    <row r="79">
      <c r="B79" s="34">
        <f>IFERROR(INDEX(الموظفات!$B$5:$B$304,MATCH(26,الموظفات!$O$5:$O$304,0)),"")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التحفيز'!$U$5:$U$2004,"&gt;0",'سجل التحفيز'!$B$5:$B$2004,B79))</f>
        <v/>
      </c>
      <c r="E79" s="35">
        <f>IF(B79="","",COUNTIFS('سجل التحفيز'!$U$5:$U$2004,"&gt;0",'سجل التحفيز'!$B$5:$B$2004,B79,'سجل التحفيز'!$D$5:$D$2004,"ذهبي"))</f>
        <v/>
      </c>
      <c r="F79" s="35">
        <f>IF(B79="","",SUMIFS('سجل التحفيز'!$G$5:$G$2004,'سجل التحفيز'!$U$5:$U$2004,"&gt;0",'سجل التحفيز'!$B$5:$B$2004,B79))</f>
        <v/>
      </c>
      <c r="G79" s="35">
        <f>IF(B79="","",COUNTIF($D$54:$D$203,"&gt;"&amp;D79)+1)</f>
        <v/>
      </c>
      <c r="H79" s="35">
        <f>IF(B79="","",INDEX(الموظفات!$L$5:$L$304,MATCH(B79,الموظفات!$B$5:$B$304,0)))</f>
        <v/>
      </c>
      <c r="K79" s="36">
        <f>IF(26&gt;$B$10,"",26)</f>
        <v/>
      </c>
      <c r="L79" s="37">
        <f>IF($K79="","",INDEX('سجل التحفيز'!$A$5:$A$2004,MATCH($K79,'سجل التحفيز'!$U$5:$U$2004,0)))</f>
        <v/>
      </c>
      <c r="M79" s="9">
        <f>IF($K79="","",INDEX('سجل التحفيز'!$B$5:$B$2004,MATCH($K79,'سجل التحفيز'!$U$5:$U$2004,0)))</f>
        <v/>
      </c>
      <c r="N79" s="9">
        <f>IF($K79="","",INDEX('سجل التحفيز'!$M$5:$M$2004,MATCH($K79,'سجل التحفيز'!$U$5:$U$2004,0)))</f>
        <v/>
      </c>
      <c r="O79" s="9">
        <f>IF($K79="","",INDEX('سجل التحفيز'!$C$5:$C$2004,MATCH($K79,'سجل التحفيز'!$U$5:$U$2004,0)))</f>
        <v/>
      </c>
      <c r="P79" s="36">
        <f>IF($K79="","",INDEX('سجل التحفيز'!$D$5:$D$2004,MATCH($K79,'سجل التحفيز'!$U$5:$U$2004,0)))</f>
        <v/>
      </c>
      <c r="Q79" s="9">
        <f>IF($K79="","",INDEX('سجل التحفيز'!$E$5:$E$2004,MATCH($K79,'سجل التحفيز'!$U$5:$U$2004,0)))</f>
        <v/>
      </c>
      <c r="R79" s="9">
        <f>IF($K79="","",INDEX('سجل التحفيز'!$F$5:$F$2004,MATCH($K79,'سجل التحفيز'!$U$5:$U$2004,0)))</f>
        <v/>
      </c>
      <c r="S79" s="35">
        <f>IF($K79="","",INDEX('سجل التحفيز'!$G$5:$G$2004,MATCH($K79,'سجل التحفيز'!$U$5:$U$2004,0)))</f>
        <v/>
      </c>
    </row>
    <row r="80">
      <c r="B80" s="34">
        <f>IFERROR(INDEX(الموظفات!$B$5:$B$304,MATCH(27,الموظفات!$O$5:$O$304,0)),"")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التحفيز'!$U$5:$U$2004,"&gt;0",'سجل التحفيز'!$B$5:$B$2004,B80))</f>
        <v/>
      </c>
      <c r="E80" s="35">
        <f>IF(B80="","",COUNTIFS('سجل التحفيز'!$U$5:$U$2004,"&gt;0",'سجل التحفيز'!$B$5:$B$2004,B80,'سجل التحفيز'!$D$5:$D$2004,"ذهبي"))</f>
        <v/>
      </c>
      <c r="F80" s="35">
        <f>IF(B80="","",SUMIFS('سجل التحفيز'!$G$5:$G$2004,'سجل التحفيز'!$U$5:$U$2004,"&gt;0",'سجل التحفيز'!$B$5:$B$2004,B80))</f>
        <v/>
      </c>
      <c r="G80" s="35">
        <f>IF(B80="","",COUNTIF($D$54:$D$203,"&gt;"&amp;D80)+1)</f>
        <v/>
      </c>
      <c r="H80" s="35">
        <f>IF(B80="","",INDEX(الموظفات!$L$5:$L$304,MATCH(B80,الموظفات!$B$5:$B$304,0)))</f>
        <v/>
      </c>
      <c r="K80" s="36">
        <f>IF(27&gt;$B$10,"",27)</f>
        <v/>
      </c>
      <c r="L80" s="37">
        <f>IF($K80="","",INDEX('سجل التحفيز'!$A$5:$A$2004,MATCH($K80,'سجل التحفيز'!$U$5:$U$2004,0)))</f>
        <v/>
      </c>
      <c r="M80" s="9">
        <f>IF($K80="","",INDEX('سجل التحفيز'!$B$5:$B$2004,MATCH($K80,'سجل التحفيز'!$U$5:$U$2004,0)))</f>
        <v/>
      </c>
      <c r="N80" s="9">
        <f>IF($K80="","",INDEX('سجل التحفيز'!$M$5:$M$2004,MATCH($K80,'سجل التحفيز'!$U$5:$U$2004,0)))</f>
        <v/>
      </c>
      <c r="O80" s="9">
        <f>IF($K80="","",INDEX('سجل التحفيز'!$C$5:$C$2004,MATCH($K80,'سجل التحفيز'!$U$5:$U$2004,0)))</f>
        <v/>
      </c>
      <c r="P80" s="36">
        <f>IF($K80="","",INDEX('سجل التحفيز'!$D$5:$D$2004,MATCH($K80,'سجل التحفيز'!$U$5:$U$2004,0)))</f>
        <v/>
      </c>
      <c r="Q80" s="9">
        <f>IF($K80="","",INDEX('سجل التحفيز'!$E$5:$E$2004,MATCH($K80,'سجل التحفيز'!$U$5:$U$2004,0)))</f>
        <v/>
      </c>
      <c r="R80" s="9">
        <f>IF($K80="","",INDEX('سجل التحفيز'!$F$5:$F$2004,MATCH($K80,'سجل التحفيز'!$U$5:$U$2004,0)))</f>
        <v/>
      </c>
      <c r="S80" s="35">
        <f>IF($K80="","",INDEX('سجل التحفيز'!$G$5:$G$2004,MATCH($K80,'سجل التحفيز'!$U$5:$U$2004,0)))</f>
        <v/>
      </c>
    </row>
    <row r="81">
      <c r="B81" s="34">
        <f>IFERROR(INDEX(الموظفات!$B$5:$B$304,MATCH(28,الموظفات!$O$5:$O$304,0)),"")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التحفيز'!$U$5:$U$2004,"&gt;0",'سجل التحفيز'!$B$5:$B$2004,B81))</f>
        <v/>
      </c>
      <c r="E81" s="35">
        <f>IF(B81="","",COUNTIFS('سجل التحفيز'!$U$5:$U$2004,"&gt;0",'سجل التحفيز'!$B$5:$B$2004,B81,'سجل التحفيز'!$D$5:$D$2004,"ذهبي"))</f>
        <v/>
      </c>
      <c r="F81" s="35">
        <f>IF(B81="","",SUMIFS('سجل التحفيز'!$G$5:$G$2004,'سجل التحفيز'!$U$5:$U$2004,"&gt;0",'سجل التحفيز'!$B$5:$B$2004,B81))</f>
        <v/>
      </c>
      <c r="G81" s="35">
        <f>IF(B81="","",COUNTIF($D$54:$D$203,"&gt;"&amp;D81)+1)</f>
        <v/>
      </c>
      <c r="H81" s="35">
        <f>IF(B81="","",INDEX(الموظفات!$L$5:$L$304,MATCH(B81,الموظفات!$B$5:$B$304,0)))</f>
        <v/>
      </c>
      <c r="K81" s="36">
        <f>IF(28&gt;$B$10,"",28)</f>
        <v/>
      </c>
      <c r="L81" s="37">
        <f>IF($K81="","",INDEX('سجل التحفيز'!$A$5:$A$2004,MATCH($K81,'سجل التحفيز'!$U$5:$U$2004,0)))</f>
        <v/>
      </c>
      <c r="M81" s="9">
        <f>IF($K81="","",INDEX('سجل التحفيز'!$B$5:$B$2004,MATCH($K81,'سجل التحفيز'!$U$5:$U$2004,0)))</f>
        <v/>
      </c>
      <c r="N81" s="9">
        <f>IF($K81="","",INDEX('سجل التحفيز'!$M$5:$M$2004,MATCH($K81,'سجل التحفيز'!$U$5:$U$2004,0)))</f>
        <v/>
      </c>
      <c r="O81" s="9">
        <f>IF($K81="","",INDEX('سجل التحفيز'!$C$5:$C$2004,MATCH($K81,'سجل التحفيز'!$U$5:$U$2004,0)))</f>
        <v/>
      </c>
      <c r="P81" s="36">
        <f>IF($K81="","",INDEX('سجل التحفيز'!$D$5:$D$2004,MATCH($K81,'سجل التحفيز'!$U$5:$U$2004,0)))</f>
        <v/>
      </c>
      <c r="Q81" s="9">
        <f>IF($K81="","",INDEX('سجل التحفيز'!$E$5:$E$2004,MATCH($K81,'سجل التحفيز'!$U$5:$U$2004,0)))</f>
        <v/>
      </c>
      <c r="R81" s="9">
        <f>IF($K81="","",INDEX('سجل التحفيز'!$F$5:$F$2004,MATCH($K81,'سجل التحفيز'!$U$5:$U$2004,0)))</f>
        <v/>
      </c>
      <c r="S81" s="35">
        <f>IF($K81="","",INDEX('سجل التحفيز'!$G$5:$G$2004,MATCH($K81,'سجل التحفيز'!$U$5:$U$2004,0)))</f>
        <v/>
      </c>
    </row>
    <row r="82">
      <c r="B82" s="34">
        <f>IFERROR(INDEX(الموظفات!$B$5:$B$304,MATCH(29,الموظفات!$O$5:$O$304,0)),"")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التحفيز'!$U$5:$U$2004,"&gt;0",'سجل التحفيز'!$B$5:$B$2004,B82))</f>
        <v/>
      </c>
      <c r="E82" s="35">
        <f>IF(B82="","",COUNTIFS('سجل التحفيز'!$U$5:$U$2004,"&gt;0",'سجل التحفيز'!$B$5:$B$2004,B82,'سجل التحفيز'!$D$5:$D$2004,"ذهبي"))</f>
        <v/>
      </c>
      <c r="F82" s="35">
        <f>IF(B82="","",SUMIFS('سجل التحفيز'!$G$5:$G$2004,'سجل التحفيز'!$U$5:$U$2004,"&gt;0",'سجل التحفيز'!$B$5:$B$2004,B82))</f>
        <v/>
      </c>
      <c r="G82" s="35">
        <f>IF(B82="","",COUNTIF($D$54:$D$203,"&gt;"&amp;D82)+1)</f>
        <v/>
      </c>
      <c r="H82" s="35">
        <f>IF(B82="","",INDEX(الموظفات!$L$5:$L$304,MATCH(B82,الموظفات!$B$5:$B$304,0)))</f>
        <v/>
      </c>
      <c r="K82" s="36">
        <f>IF(29&gt;$B$10,"",29)</f>
        <v/>
      </c>
      <c r="L82" s="37">
        <f>IF($K82="","",INDEX('سجل التحفيز'!$A$5:$A$2004,MATCH($K82,'سجل التحفيز'!$U$5:$U$2004,0)))</f>
        <v/>
      </c>
      <c r="M82" s="9">
        <f>IF($K82="","",INDEX('سجل التحفيز'!$B$5:$B$2004,MATCH($K82,'سجل التحفيز'!$U$5:$U$2004,0)))</f>
        <v/>
      </c>
      <c r="N82" s="9">
        <f>IF($K82="","",INDEX('سجل التحفيز'!$M$5:$M$2004,MATCH($K82,'سجل التحفيز'!$U$5:$U$2004,0)))</f>
        <v/>
      </c>
      <c r="O82" s="9">
        <f>IF($K82="","",INDEX('سجل التحفيز'!$C$5:$C$2004,MATCH($K82,'سجل التحفيز'!$U$5:$U$2004,0)))</f>
        <v/>
      </c>
      <c r="P82" s="36">
        <f>IF($K82="","",INDEX('سجل التحفيز'!$D$5:$D$2004,MATCH($K82,'سجل التحفيز'!$U$5:$U$2004,0)))</f>
        <v/>
      </c>
      <c r="Q82" s="9">
        <f>IF($K82="","",INDEX('سجل التحفيز'!$E$5:$E$2004,MATCH($K82,'سجل التحفيز'!$U$5:$U$2004,0)))</f>
        <v/>
      </c>
      <c r="R82" s="9">
        <f>IF($K82="","",INDEX('سجل التحفيز'!$F$5:$F$2004,MATCH($K82,'سجل التحفيز'!$U$5:$U$2004,0)))</f>
        <v/>
      </c>
      <c r="S82" s="35">
        <f>IF($K82="","",INDEX('سجل التحفيز'!$G$5:$G$2004,MATCH($K82,'سجل التحفيز'!$U$5:$U$2004,0)))</f>
        <v/>
      </c>
    </row>
    <row r="83">
      <c r="B83" s="34">
        <f>IFERROR(INDEX(الموظفات!$B$5:$B$304,MATCH(30,الموظفات!$O$5:$O$304,0)),"")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التحفيز'!$U$5:$U$2004,"&gt;0",'سجل التحفيز'!$B$5:$B$2004,B83))</f>
        <v/>
      </c>
      <c r="E83" s="35">
        <f>IF(B83="","",COUNTIFS('سجل التحفيز'!$U$5:$U$2004,"&gt;0",'سجل التحفيز'!$B$5:$B$2004,B83,'سجل التحفيز'!$D$5:$D$2004,"ذهبي"))</f>
        <v/>
      </c>
      <c r="F83" s="35">
        <f>IF(B83="","",SUMIFS('سجل التحفيز'!$G$5:$G$2004,'سجل التحفيز'!$U$5:$U$2004,"&gt;0",'سجل التحفيز'!$B$5:$B$2004,B83))</f>
        <v/>
      </c>
      <c r="G83" s="35">
        <f>IF(B83="","",COUNTIF($D$54:$D$203,"&gt;"&amp;D83)+1)</f>
        <v/>
      </c>
      <c r="H83" s="35">
        <f>IF(B83="","",INDEX(الموظفات!$L$5:$L$304,MATCH(B83,الموظفات!$B$5:$B$304,0)))</f>
        <v/>
      </c>
      <c r="K83" s="36">
        <f>IF(30&gt;$B$10,"",30)</f>
        <v/>
      </c>
      <c r="L83" s="37">
        <f>IF($K83="","",INDEX('سجل التحفيز'!$A$5:$A$2004,MATCH($K83,'سجل التحفيز'!$U$5:$U$2004,0)))</f>
        <v/>
      </c>
      <c r="M83" s="9">
        <f>IF($K83="","",INDEX('سجل التحفيز'!$B$5:$B$2004,MATCH($K83,'سجل التحفيز'!$U$5:$U$2004,0)))</f>
        <v/>
      </c>
      <c r="N83" s="9">
        <f>IF($K83="","",INDEX('سجل التحفيز'!$M$5:$M$2004,MATCH($K83,'سجل التحفيز'!$U$5:$U$2004,0)))</f>
        <v/>
      </c>
      <c r="O83" s="9">
        <f>IF($K83="","",INDEX('سجل التحفيز'!$C$5:$C$2004,MATCH($K83,'سجل التحفيز'!$U$5:$U$2004,0)))</f>
        <v/>
      </c>
      <c r="P83" s="36">
        <f>IF($K83="","",INDEX('سجل التحفيز'!$D$5:$D$2004,MATCH($K83,'سجل التحفيز'!$U$5:$U$2004,0)))</f>
        <v/>
      </c>
      <c r="Q83" s="9">
        <f>IF($K83="","",INDEX('سجل التحفيز'!$E$5:$E$2004,MATCH($K83,'سجل التحفيز'!$U$5:$U$2004,0)))</f>
        <v/>
      </c>
      <c r="R83" s="9">
        <f>IF($K83="","",INDEX('سجل التحفيز'!$F$5:$F$2004,MATCH($K83,'سجل التحفيز'!$U$5:$U$2004,0)))</f>
        <v/>
      </c>
      <c r="S83" s="35">
        <f>IF($K83="","",INDEX('سجل التحفيز'!$G$5:$G$2004,MATCH($K83,'سجل التحفيز'!$U$5:$U$2004,0)))</f>
        <v/>
      </c>
    </row>
    <row r="84">
      <c r="B84" s="34">
        <f>IFERROR(INDEX(الموظفات!$B$5:$B$304,MATCH(31,الموظفات!$O$5:$O$304,0)),"")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التحفيز'!$U$5:$U$2004,"&gt;0",'سجل التحفيز'!$B$5:$B$2004,B84))</f>
        <v/>
      </c>
      <c r="E84" s="35">
        <f>IF(B84="","",COUNTIFS('سجل التحفيز'!$U$5:$U$2004,"&gt;0",'سجل التحفيز'!$B$5:$B$2004,B84,'سجل التحفيز'!$D$5:$D$2004,"ذهبي"))</f>
        <v/>
      </c>
      <c r="F84" s="35">
        <f>IF(B84="","",SUMIFS('سجل التحفيز'!$G$5:$G$2004,'سجل التحفيز'!$U$5:$U$2004,"&gt;0",'سجل التحفيز'!$B$5:$B$2004,B84))</f>
        <v/>
      </c>
      <c r="G84" s="35">
        <f>IF(B84="","",COUNTIF($D$54:$D$203,"&gt;"&amp;D84)+1)</f>
        <v/>
      </c>
      <c r="H84" s="35">
        <f>IF(B84="","",INDEX(الموظفات!$L$5:$L$304,MATCH(B84,الموظفات!$B$5:$B$304,0)))</f>
        <v/>
      </c>
      <c r="K84" s="36">
        <f>IF(31&gt;$B$10,"",31)</f>
        <v/>
      </c>
      <c r="L84" s="37">
        <f>IF($K84="","",INDEX('سجل التحفيز'!$A$5:$A$2004,MATCH($K84,'سجل التحفيز'!$U$5:$U$2004,0)))</f>
        <v/>
      </c>
      <c r="M84" s="9">
        <f>IF($K84="","",INDEX('سجل التحفيز'!$B$5:$B$2004,MATCH($K84,'سجل التحفيز'!$U$5:$U$2004,0)))</f>
        <v/>
      </c>
      <c r="N84" s="9">
        <f>IF($K84="","",INDEX('سجل التحفيز'!$M$5:$M$2004,MATCH($K84,'سجل التحفيز'!$U$5:$U$2004,0)))</f>
        <v/>
      </c>
      <c r="O84" s="9">
        <f>IF($K84="","",INDEX('سجل التحفيز'!$C$5:$C$2004,MATCH($K84,'سجل التحفيز'!$U$5:$U$2004,0)))</f>
        <v/>
      </c>
      <c r="P84" s="36">
        <f>IF($K84="","",INDEX('سجل التحفيز'!$D$5:$D$2004,MATCH($K84,'سجل التحفيز'!$U$5:$U$2004,0)))</f>
        <v/>
      </c>
      <c r="Q84" s="9">
        <f>IF($K84="","",INDEX('سجل التحفيز'!$E$5:$E$2004,MATCH($K84,'سجل التحفيز'!$U$5:$U$2004,0)))</f>
        <v/>
      </c>
      <c r="R84" s="9">
        <f>IF($K84="","",INDEX('سجل التحفيز'!$F$5:$F$2004,MATCH($K84,'سجل التحفيز'!$U$5:$U$2004,0)))</f>
        <v/>
      </c>
      <c r="S84" s="35">
        <f>IF($K84="","",INDEX('سجل التحفيز'!$G$5:$G$2004,MATCH($K84,'سجل التحفيز'!$U$5:$U$2004,0)))</f>
        <v/>
      </c>
    </row>
    <row r="85">
      <c r="B85" s="34">
        <f>IFERROR(INDEX(الموظفات!$B$5:$B$304,MATCH(32,الموظفات!$O$5:$O$304,0)),"")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التحفيز'!$U$5:$U$2004,"&gt;0",'سجل التحفيز'!$B$5:$B$2004,B85))</f>
        <v/>
      </c>
      <c r="E85" s="35">
        <f>IF(B85="","",COUNTIFS('سجل التحفيز'!$U$5:$U$2004,"&gt;0",'سجل التحفيز'!$B$5:$B$2004,B85,'سجل التحفيز'!$D$5:$D$2004,"ذهبي"))</f>
        <v/>
      </c>
      <c r="F85" s="35">
        <f>IF(B85="","",SUMIFS('سجل التحفيز'!$G$5:$G$2004,'سجل التحفيز'!$U$5:$U$2004,"&gt;0",'سجل التحفيز'!$B$5:$B$2004,B85))</f>
        <v/>
      </c>
      <c r="G85" s="35">
        <f>IF(B85="","",COUNTIF($D$54:$D$203,"&gt;"&amp;D85)+1)</f>
        <v/>
      </c>
      <c r="H85" s="35">
        <f>IF(B85="","",INDEX(الموظفات!$L$5:$L$304,MATCH(B85,الموظفات!$B$5:$B$304,0)))</f>
        <v/>
      </c>
      <c r="K85" s="36">
        <f>IF(32&gt;$B$10,"",32)</f>
        <v/>
      </c>
      <c r="L85" s="37">
        <f>IF($K85="","",INDEX('سجل التحفيز'!$A$5:$A$2004,MATCH($K85,'سجل التحفيز'!$U$5:$U$2004,0)))</f>
        <v/>
      </c>
      <c r="M85" s="9">
        <f>IF($K85="","",INDEX('سجل التحفيز'!$B$5:$B$2004,MATCH($K85,'سجل التحفيز'!$U$5:$U$2004,0)))</f>
        <v/>
      </c>
      <c r="N85" s="9">
        <f>IF($K85="","",INDEX('سجل التحفيز'!$M$5:$M$2004,MATCH($K85,'سجل التحفيز'!$U$5:$U$2004,0)))</f>
        <v/>
      </c>
      <c r="O85" s="9">
        <f>IF($K85="","",INDEX('سجل التحفيز'!$C$5:$C$2004,MATCH($K85,'سجل التحفيز'!$U$5:$U$2004,0)))</f>
        <v/>
      </c>
      <c r="P85" s="36">
        <f>IF($K85="","",INDEX('سجل التحفيز'!$D$5:$D$2004,MATCH($K85,'سجل التحفيز'!$U$5:$U$2004,0)))</f>
        <v/>
      </c>
      <c r="Q85" s="9">
        <f>IF($K85="","",INDEX('سجل التحفيز'!$E$5:$E$2004,MATCH($K85,'سجل التحفيز'!$U$5:$U$2004,0)))</f>
        <v/>
      </c>
      <c r="R85" s="9">
        <f>IF($K85="","",INDEX('سجل التحفيز'!$F$5:$F$2004,MATCH($K85,'سجل التحفيز'!$U$5:$U$2004,0)))</f>
        <v/>
      </c>
      <c r="S85" s="35">
        <f>IF($K85="","",INDEX('سجل التحفيز'!$G$5:$G$2004,MATCH($K85,'سجل التحفيز'!$U$5:$U$2004,0)))</f>
        <v/>
      </c>
    </row>
    <row r="86">
      <c r="B86" s="34">
        <f>IFERROR(INDEX(الموظفات!$B$5:$B$304,MATCH(33,الموظفات!$O$5:$O$304,0)),"")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التحفيز'!$U$5:$U$2004,"&gt;0",'سجل التحفيز'!$B$5:$B$2004,B86))</f>
        <v/>
      </c>
      <c r="E86" s="35">
        <f>IF(B86="","",COUNTIFS('سجل التحفيز'!$U$5:$U$2004,"&gt;0",'سجل التحفيز'!$B$5:$B$2004,B86,'سجل التحفيز'!$D$5:$D$2004,"ذهبي"))</f>
        <v/>
      </c>
      <c r="F86" s="35">
        <f>IF(B86="","",SUMIFS('سجل التحفيز'!$G$5:$G$2004,'سجل التحفيز'!$U$5:$U$2004,"&gt;0",'سجل التحفيز'!$B$5:$B$2004,B86))</f>
        <v/>
      </c>
      <c r="G86" s="35">
        <f>IF(B86="","",COUNTIF($D$54:$D$203,"&gt;"&amp;D86)+1)</f>
        <v/>
      </c>
      <c r="H86" s="35">
        <f>IF(B86="","",INDEX(الموظفات!$L$5:$L$304,MATCH(B86,الموظفات!$B$5:$B$304,0)))</f>
        <v/>
      </c>
      <c r="K86" s="36">
        <f>IF(33&gt;$B$10,"",33)</f>
        <v/>
      </c>
      <c r="L86" s="37">
        <f>IF($K86="","",INDEX('سجل التحفيز'!$A$5:$A$2004,MATCH($K86,'سجل التحفيز'!$U$5:$U$2004,0)))</f>
        <v/>
      </c>
      <c r="M86" s="9">
        <f>IF($K86="","",INDEX('سجل التحفيز'!$B$5:$B$2004,MATCH($K86,'سجل التحفيز'!$U$5:$U$2004,0)))</f>
        <v/>
      </c>
      <c r="N86" s="9">
        <f>IF($K86="","",INDEX('سجل التحفيز'!$M$5:$M$2004,MATCH($K86,'سجل التحفيز'!$U$5:$U$2004,0)))</f>
        <v/>
      </c>
      <c r="O86" s="9">
        <f>IF($K86="","",INDEX('سجل التحفيز'!$C$5:$C$2004,MATCH($K86,'سجل التحفيز'!$U$5:$U$2004,0)))</f>
        <v/>
      </c>
      <c r="P86" s="36">
        <f>IF($K86="","",INDEX('سجل التحفيز'!$D$5:$D$2004,MATCH($K86,'سجل التحفيز'!$U$5:$U$2004,0)))</f>
        <v/>
      </c>
      <c r="Q86" s="9">
        <f>IF($K86="","",INDEX('سجل التحفيز'!$E$5:$E$2004,MATCH($K86,'سجل التحفيز'!$U$5:$U$2004,0)))</f>
        <v/>
      </c>
      <c r="R86" s="9">
        <f>IF($K86="","",INDEX('سجل التحفيز'!$F$5:$F$2004,MATCH($K86,'سجل التحفيز'!$U$5:$U$2004,0)))</f>
        <v/>
      </c>
      <c r="S86" s="35">
        <f>IF($K86="","",INDEX('سجل التحفيز'!$G$5:$G$2004,MATCH($K86,'سجل التحفيز'!$U$5:$U$2004,0)))</f>
        <v/>
      </c>
    </row>
    <row r="87">
      <c r="B87" s="34">
        <f>IFERROR(INDEX(الموظفات!$B$5:$B$304,MATCH(34,الموظفات!$O$5:$O$304,0)),"")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التحفيز'!$U$5:$U$2004,"&gt;0",'سجل التحفيز'!$B$5:$B$2004,B87))</f>
        <v/>
      </c>
      <c r="E87" s="35">
        <f>IF(B87="","",COUNTIFS('سجل التحفيز'!$U$5:$U$2004,"&gt;0",'سجل التحفيز'!$B$5:$B$2004,B87,'سجل التحفيز'!$D$5:$D$2004,"ذهبي"))</f>
        <v/>
      </c>
      <c r="F87" s="35">
        <f>IF(B87="","",SUMIFS('سجل التحفيز'!$G$5:$G$2004,'سجل التحفيز'!$U$5:$U$2004,"&gt;0",'سجل التحفيز'!$B$5:$B$2004,B87))</f>
        <v/>
      </c>
      <c r="G87" s="35">
        <f>IF(B87="","",COUNTIF($D$54:$D$203,"&gt;"&amp;D87)+1)</f>
        <v/>
      </c>
      <c r="H87" s="35">
        <f>IF(B87="","",INDEX(الموظفات!$L$5:$L$304,MATCH(B87,الموظفات!$B$5:$B$304,0)))</f>
        <v/>
      </c>
      <c r="K87" s="36">
        <f>IF(34&gt;$B$10,"",34)</f>
        <v/>
      </c>
      <c r="L87" s="37">
        <f>IF($K87="","",INDEX('سجل التحفيز'!$A$5:$A$2004,MATCH($K87,'سجل التحفيز'!$U$5:$U$2004,0)))</f>
        <v/>
      </c>
      <c r="M87" s="9">
        <f>IF($K87="","",INDEX('سجل التحفيز'!$B$5:$B$2004,MATCH($K87,'سجل التحفيز'!$U$5:$U$2004,0)))</f>
        <v/>
      </c>
      <c r="N87" s="9">
        <f>IF($K87="","",INDEX('سجل التحفيز'!$M$5:$M$2004,MATCH($K87,'سجل التحفيز'!$U$5:$U$2004,0)))</f>
        <v/>
      </c>
      <c r="O87" s="9">
        <f>IF($K87="","",INDEX('سجل التحفيز'!$C$5:$C$2004,MATCH($K87,'سجل التحفيز'!$U$5:$U$2004,0)))</f>
        <v/>
      </c>
      <c r="P87" s="36">
        <f>IF($K87="","",INDEX('سجل التحفيز'!$D$5:$D$2004,MATCH($K87,'سجل التحفيز'!$U$5:$U$2004,0)))</f>
        <v/>
      </c>
      <c r="Q87" s="9">
        <f>IF($K87="","",INDEX('سجل التحفيز'!$E$5:$E$2004,MATCH($K87,'سجل التحفيز'!$U$5:$U$2004,0)))</f>
        <v/>
      </c>
      <c r="R87" s="9">
        <f>IF($K87="","",INDEX('سجل التحفيز'!$F$5:$F$2004,MATCH($K87,'سجل التحفيز'!$U$5:$U$2004,0)))</f>
        <v/>
      </c>
      <c r="S87" s="35">
        <f>IF($K87="","",INDEX('سجل التحفيز'!$G$5:$G$2004,MATCH($K87,'سجل التحفيز'!$U$5:$U$2004,0)))</f>
        <v/>
      </c>
    </row>
    <row r="88">
      <c r="B88" s="34">
        <f>IFERROR(INDEX(الموظفات!$B$5:$B$304,MATCH(35,الموظفات!$O$5:$O$304,0)),"")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التحفيز'!$U$5:$U$2004,"&gt;0",'سجل التحفيز'!$B$5:$B$2004,B88))</f>
        <v/>
      </c>
      <c r="E88" s="35">
        <f>IF(B88="","",COUNTIFS('سجل التحفيز'!$U$5:$U$2004,"&gt;0",'سجل التحفيز'!$B$5:$B$2004,B88,'سجل التحفيز'!$D$5:$D$2004,"ذهبي"))</f>
        <v/>
      </c>
      <c r="F88" s="35">
        <f>IF(B88="","",SUMIFS('سجل التحفيز'!$G$5:$G$2004,'سجل التحفيز'!$U$5:$U$2004,"&gt;0",'سجل التحفيز'!$B$5:$B$2004,B88))</f>
        <v/>
      </c>
      <c r="G88" s="35">
        <f>IF(B88="","",COUNTIF($D$54:$D$203,"&gt;"&amp;D88)+1)</f>
        <v/>
      </c>
      <c r="H88" s="35">
        <f>IF(B88="","",INDEX(الموظفات!$L$5:$L$304,MATCH(B88,الموظفات!$B$5:$B$304,0)))</f>
        <v/>
      </c>
      <c r="K88" s="36">
        <f>IF(35&gt;$B$10,"",35)</f>
        <v/>
      </c>
      <c r="L88" s="37">
        <f>IF($K88="","",INDEX('سجل التحفيز'!$A$5:$A$2004,MATCH($K88,'سجل التحفيز'!$U$5:$U$2004,0)))</f>
        <v/>
      </c>
      <c r="M88" s="9">
        <f>IF($K88="","",INDEX('سجل التحفيز'!$B$5:$B$2004,MATCH($K88,'سجل التحفيز'!$U$5:$U$2004,0)))</f>
        <v/>
      </c>
      <c r="N88" s="9">
        <f>IF($K88="","",INDEX('سجل التحفيز'!$M$5:$M$2004,MATCH($K88,'سجل التحفيز'!$U$5:$U$2004,0)))</f>
        <v/>
      </c>
      <c r="O88" s="9">
        <f>IF($K88="","",INDEX('سجل التحفيز'!$C$5:$C$2004,MATCH($K88,'سجل التحفيز'!$U$5:$U$2004,0)))</f>
        <v/>
      </c>
      <c r="P88" s="36">
        <f>IF($K88="","",INDEX('سجل التحفيز'!$D$5:$D$2004,MATCH($K88,'سجل التحفيز'!$U$5:$U$2004,0)))</f>
        <v/>
      </c>
      <c r="Q88" s="9">
        <f>IF($K88="","",INDEX('سجل التحفيز'!$E$5:$E$2004,MATCH($K88,'سجل التحفيز'!$U$5:$U$2004,0)))</f>
        <v/>
      </c>
      <c r="R88" s="9">
        <f>IF($K88="","",INDEX('سجل التحفيز'!$F$5:$F$2004,MATCH($K88,'سجل التحفيز'!$U$5:$U$2004,0)))</f>
        <v/>
      </c>
      <c r="S88" s="35">
        <f>IF($K88="","",INDEX('سجل التحفيز'!$G$5:$G$2004,MATCH($K88,'سجل التحفيز'!$U$5:$U$2004,0)))</f>
        <v/>
      </c>
    </row>
    <row r="89">
      <c r="B89" s="34">
        <f>IFERROR(INDEX(الموظفات!$B$5:$B$304,MATCH(36,الموظفات!$O$5:$O$304,0)),"")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التحفيز'!$U$5:$U$2004,"&gt;0",'سجل التحفيز'!$B$5:$B$2004,B89))</f>
        <v/>
      </c>
      <c r="E89" s="35">
        <f>IF(B89="","",COUNTIFS('سجل التحفيز'!$U$5:$U$2004,"&gt;0",'سجل التحفيز'!$B$5:$B$2004,B89,'سجل التحفيز'!$D$5:$D$2004,"ذهبي"))</f>
        <v/>
      </c>
      <c r="F89" s="35">
        <f>IF(B89="","",SUMIFS('سجل التحفيز'!$G$5:$G$2004,'سجل التحفيز'!$U$5:$U$2004,"&gt;0",'سجل التحفيز'!$B$5:$B$2004,B89))</f>
        <v/>
      </c>
      <c r="G89" s="35">
        <f>IF(B89="","",COUNTIF($D$54:$D$203,"&gt;"&amp;D89)+1)</f>
        <v/>
      </c>
      <c r="H89" s="35">
        <f>IF(B89="","",INDEX(الموظفات!$L$5:$L$304,MATCH(B89,الموظفات!$B$5:$B$304,0)))</f>
        <v/>
      </c>
      <c r="K89" s="36">
        <f>IF(36&gt;$B$10,"",36)</f>
        <v/>
      </c>
      <c r="L89" s="37">
        <f>IF($K89="","",INDEX('سجل التحفيز'!$A$5:$A$2004,MATCH($K89,'سجل التحفيز'!$U$5:$U$2004,0)))</f>
        <v/>
      </c>
      <c r="M89" s="9">
        <f>IF($K89="","",INDEX('سجل التحفيز'!$B$5:$B$2004,MATCH($K89,'سجل التحفيز'!$U$5:$U$2004,0)))</f>
        <v/>
      </c>
      <c r="N89" s="9">
        <f>IF($K89="","",INDEX('سجل التحفيز'!$M$5:$M$2004,MATCH($K89,'سجل التحفيز'!$U$5:$U$2004,0)))</f>
        <v/>
      </c>
      <c r="O89" s="9">
        <f>IF($K89="","",INDEX('سجل التحفيز'!$C$5:$C$2004,MATCH($K89,'سجل التحفيز'!$U$5:$U$2004,0)))</f>
        <v/>
      </c>
      <c r="P89" s="36">
        <f>IF($K89="","",INDEX('سجل التحفيز'!$D$5:$D$2004,MATCH($K89,'سجل التحفيز'!$U$5:$U$2004,0)))</f>
        <v/>
      </c>
      <c r="Q89" s="9">
        <f>IF($K89="","",INDEX('سجل التحفيز'!$E$5:$E$2004,MATCH($K89,'سجل التحفيز'!$U$5:$U$2004,0)))</f>
        <v/>
      </c>
      <c r="R89" s="9">
        <f>IF($K89="","",INDEX('سجل التحفيز'!$F$5:$F$2004,MATCH($K89,'سجل التحفيز'!$U$5:$U$2004,0)))</f>
        <v/>
      </c>
      <c r="S89" s="35">
        <f>IF($K89="","",INDEX('سجل التحفيز'!$G$5:$G$2004,MATCH($K89,'سجل التحفيز'!$U$5:$U$2004,0)))</f>
        <v/>
      </c>
    </row>
    <row r="90">
      <c r="B90" s="34">
        <f>IFERROR(INDEX(الموظفات!$B$5:$B$304,MATCH(37,الموظفات!$O$5:$O$304,0)),"")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التحفيز'!$U$5:$U$2004,"&gt;0",'سجل التحفيز'!$B$5:$B$2004,B90))</f>
        <v/>
      </c>
      <c r="E90" s="35">
        <f>IF(B90="","",COUNTIFS('سجل التحفيز'!$U$5:$U$2004,"&gt;0",'سجل التحفيز'!$B$5:$B$2004,B90,'سجل التحفيز'!$D$5:$D$2004,"ذهبي"))</f>
        <v/>
      </c>
      <c r="F90" s="35">
        <f>IF(B90="","",SUMIFS('سجل التحفيز'!$G$5:$G$2004,'سجل التحفيز'!$U$5:$U$2004,"&gt;0",'سجل التحفيز'!$B$5:$B$2004,B90))</f>
        <v/>
      </c>
      <c r="G90" s="35">
        <f>IF(B90="","",COUNTIF($D$54:$D$203,"&gt;"&amp;D90)+1)</f>
        <v/>
      </c>
      <c r="H90" s="35">
        <f>IF(B90="","",INDEX(الموظفات!$L$5:$L$304,MATCH(B90,الموظفات!$B$5:$B$304,0)))</f>
        <v/>
      </c>
      <c r="K90" s="36">
        <f>IF(37&gt;$B$10,"",37)</f>
        <v/>
      </c>
      <c r="L90" s="37">
        <f>IF($K90="","",INDEX('سجل التحفيز'!$A$5:$A$2004,MATCH($K90,'سجل التحفيز'!$U$5:$U$2004,0)))</f>
        <v/>
      </c>
      <c r="M90" s="9">
        <f>IF($K90="","",INDEX('سجل التحفيز'!$B$5:$B$2004,MATCH($K90,'سجل التحفيز'!$U$5:$U$2004,0)))</f>
        <v/>
      </c>
      <c r="N90" s="9">
        <f>IF($K90="","",INDEX('سجل التحفيز'!$M$5:$M$2004,MATCH($K90,'سجل التحفيز'!$U$5:$U$2004,0)))</f>
        <v/>
      </c>
      <c r="O90" s="9">
        <f>IF($K90="","",INDEX('سجل التحفيز'!$C$5:$C$2004,MATCH($K90,'سجل التحفيز'!$U$5:$U$2004,0)))</f>
        <v/>
      </c>
      <c r="P90" s="36">
        <f>IF($K90="","",INDEX('سجل التحفيز'!$D$5:$D$2004,MATCH($K90,'سجل التحفيز'!$U$5:$U$2004,0)))</f>
        <v/>
      </c>
      <c r="Q90" s="9">
        <f>IF($K90="","",INDEX('سجل التحفيز'!$E$5:$E$2004,MATCH($K90,'سجل التحفيز'!$U$5:$U$2004,0)))</f>
        <v/>
      </c>
      <c r="R90" s="9">
        <f>IF($K90="","",INDEX('سجل التحفيز'!$F$5:$F$2004,MATCH($K90,'سجل التحفيز'!$U$5:$U$2004,0)))</f>
        <v/>
      </c>
      <c r="S90" s="35">
        <f>IF($K90="","",INDEX('سجل التحفيز'!$G$5:$G$2004,MATCH($K90,'سجل التحفيز'!$U$5:$U$2004,0)))</f>
        <v/>
      </c>
    </row>
    <row r="91">
      <c r="B91" s="34">
        <f>IFERROR(INDEX(الموظفات!$B$5:$B$304,MATCH(38,الموظفات!$O$5:$O$304,0)),"")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التحفيز'!$U$5:$U$2004,"&gt;0",'سجل التحفيز'!$B$5:$B$2004,B91))</f>
        <v/>
      </c>
      <c r="E91" s="35">
        <f>IF(B91="","",COUNTIFS('سجل التحفيز'!$U$5:$U$2004,"&gt;0",'سجل التحفيز'!$B$5:$B$2004,B91,'سجل التحفيز'!$D$5:$D$2004,"ذهبي"))</f>
        <v/>
      </c>
      <c r="F91" s="35">
        <f>IF(B91="","",SUMIFS('سجل التحفيز'!$G$5:$G$2004,'سجل التحفيز'!$U$5:$U$2004,"&gt;0",'سجل التحفيز'!$B$5:$B$2004,B91))</f>
        <v/>
      </c>
      <c r="G91" s="35">
        <f>IF(B91="","",COUNTIF($D$54:$D$203,"&gt;"&amp;D91)+1)</f>
        <v/>
      </c>
      <c r="H91" s="35">
        <f>IF(B91="","",INDEX(الموظفات!$L$5:$L$304,MATCH(B91,الموظفات!$B$5:$B$304,0)))</f>
        <v/>
      </c>
      <c r="K91" s="36">
        <f>IF(38&gt;$B$10,"",38)</f>
        <v/>
      </c>
      <c r="L91" s="37">
        <f>IF($K91="","",INDEX('سجل التحفيز'!$A$5:$A$2004,MATCH($K91,'سجل التحفيز'!$U$5:$U$2004,0)))</f>
        <v/>
      </c>
      <c r="M91" s="9">
        <f>IF($K91="","",INDEX('سجل التحفيز'!$B$5:$B$2004,MATCH($K91,'سجل التحفيز'!$U$5:$U$2004,0)))</f>
        <v/>
      </c>
      <c r="N91" s="9">
        <f>IF($K91="","",INDEX('سجل التحفيز'!$M$5:$M$2004,MATCH($K91,'سجل التحفيز'!$U$5:$U$2004,0)))</f>
        <v/>
      </c>
      <c r="O91" s="9">
        <f>IF($K91="","",INDEX('سجل التحفيز'!$C$5:$C$2004,MATCH($K91,'سجل التحفيز'!$U$5:$U$2004,0)))</f>
        <v/>
      </c>
      <c r="P91" s="36">
        <f>IF($K91="","",INDEX('سجل التحفيز'!$D$5:$D$2004,MATCH($K91,'سجل التحفيز'!$U$5:$U$2004,0)))</f>
        <v/>
      </c>
      <c r="Q91" s="9">
        <f>IF($K91="","",INDEX('سجل التحفيز'!$E$5:$E$2004,MATCH($K91,'سجل التحفيز'!$U$5:$U$2004,0)))</f>
        <v/>
      </c>
      <c r="R91" s="9">
        <f>IF($K91="","",INDEX('سجل التحفيز'!$F$5:$F$2004,MATCH($K91,'سجل التحفيز'!$U$5:$U$2004,0)))</f>
        <v/>
      </c>
      <c r="S91" s="35">
        <f>IF($K91="","",INDEX('سجل التحفيز'!$G$5:$G$2004,MATCH($K91,'سجل التحفيز'!$U$5:$U$2004,0)))</f>
        <v/>
      </c>
    </row>
    <row r="92">
      <c r="B92" s="34">
        <f>IFERROR(INDEX(الموظفات!$B$5:$B$304,MATCH(39,الموظفات!$O$5:$O$304,0)),"")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التحفيز'!$U$5:$U$2004,"&gt;0",'سجل التحفيز'!$B$5:$B$2004,B92))</f>
        <v/>
      </c>
      <c r="E92" s="35">
        <f>IF(B92="","",COUNTIFS('سجل التحفيز'!$U$5:$U$2004,"&gt;0",'سجل التحفيز'!$B$5:$B$2004,B92,'سجل التحفيز'!$D$5:$D$2004,"ذهبي"))</f>
        <v/>
      </c>
      <c r="F92" s="35">
        <f>IF(B92="","",SUMIFS('سجل التحفيز'!$G$5:$G$2004,'سجل التحفيز'!$U$5:$U$2004,"&gt;0",'سجل التحفيز'!$B$5:$B$2004,B92))</f>
        <v/>
      </c>
      <c r="G92" s="35">
        <f>IF(B92="","",COUNTIF($D$54:$D$203,"&gt;"&amp;D92)+1)</f>
        <v/>
      </c>
      <c r="H92" s="35">
        <f>IF(B92="","",INDEX(الموظفات!$L$5:$L$304,MATCH(B92,الموظفات!$B$5:$B$304,0)))</f>
        <v/>
      </c>
      <c r="K92" s="36">
        <f>IF(39&gt;$B$10,"",39)</f>
        <v/>
      </c>
      <c r="L92" s="37">
        <f>IF($K92="","",INDEX('سجل التحفيز'!$A$5:$A$2004,MATCH($K92,'سجل التحفيز'!$U$5:$U$2004,0)))</f>
        <v/>
      </c>
      <c r="M92" s="9">
        <f>IF($K92="","",INDEX('سجل التحفيز'!$B$5:$B$2004,MATCH($K92,'سجل التحفيز'!$U$5:$U$2004,0)))</f>
        <v/>
      </c>
      <c r="N92" s="9">
        <f>IF($K92="","",INDEX('سجل التحفيز'!$M$5:$M$2004,MATCH($K92,'سجل التحفيز'!$U$5:$U$2004,0)))</f>
        <v/>
      </c>
      <c r="O92" s="9">
        <f>IF($K92="","",INDEX('سجل التحفيز'!$C$5:$C$2004,MATCH($K92,'سجل التحفيز'!$U$5:$U$2004,0)))</f>
        <v/>
      </c>
      <c r="P92" s="36">
        <f>IF($K92="","",INDEX('سجل التحفيز'!$D$5:$D$2004,MATCH($K92,'سجل التحفيز'!$U$5:$U$2004,0)))</f>
        <v/>
      </c>
      <c r="Q92" s="9">
        <f>IF($K92="","",INDEX('سجل التحفيز'!$E$5:$E$2004,MATCH($K92,'سجل التحفيز'!$U$5:$U$2004,0)))</f>
        <v/>
      </c>
      <c r="R92" s="9">
        <f>IF($K92="","",INDEX('سجل التحفيز'!$F$5:$F$2004,MATCH($K92,'سجل التحفيز'!$U$5:$U$2004,0)))</f>
        <v/>
      </c>
      <c r="S92" s="35">
        <f>IF($K92="","",INDEX('سجل التحفيز'!$G$5:$G$2004,MATCH($K92,'سجل التحفيز'!$U$5:$U$2004,0)))</f>
        <v/>
      </c>
    </row>
    <row r="93">
      <c r="B93" s="34">
        <f>IFERROR(INDEX(الموظفات!$B$5:$B$304,MATCH(40,الموظفات!$O$5:$O$304,0)),"")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التحفيز'!$U$5:$U$2004,"&gt;0",'سجل التحفيز'!$B$5:$B$2004,B93))</f>
        <v/>
      </c>
      <c r="E93" s="35">
        <f>IF(B93="","",COUNTIFS('سجل التحفيز'!$U$5:$U$2004,"&gt;0",'سجل التحفيز'!$B$5:$B$2004,B93,'سجل التحفيز'!$D$5:$D$2004,"ذهبي"))</f>
        <v/>
      </c>
      <c r="F93" s="35">
        <f>IF(B93="","",SUMIFS('سجل التحفيز'!$G$5:$G$2004,'سجل التحفيز'!$U$5:$U$2004,"&gt;0",'سجل التحفيز'!$B$5:$B$2004,B93))</f>
        <v/>
      </c>
      <c r="G93" s="35">
        <f>IF(B93="","",COUNTIF($D$54:$D$203,"&gt;"&amp;D93)+1)</f>
        <v/>
      </c>
      <c r="H93" s="35">
        <f>IF(B93="","",INDEX(الموظفات!$L$5:$L$304,MATCH(B93,الموظفات!$B$5:$B$304,0)))</f>
        <v/>
      </c>
      <c r="K93" s="36">
        <f>IF(40&gt;$B$10,"",40)</f>
        <v/>
      </c>
      <c r="L93" s="37">
        <f>IF($K93="","",INDEX('سجل التحفيز'!$A$5:$A$2004,MATCH($K93,'سجل التحفيز'!$U$5:$U$2004,0)))</f>
        <v/>
      </c>
      <c r="M93" s="9">
        <f>IF($K93="","",INDEX('سجل التحفيز'!$B$5:$B$2004,MATCH($K93,'سجل التحفيز'!$U$5:$U$2004,0)))</f>
        <v/>
      </c>
      <c r="N93" s="9">
        <f>IF($K93="","",INDEX('سجل التحفيز'!$M$5:$M$2004,MATCH($K93,'سجل التحفيز'!$U$5:$U$2004,0)))</f>
        <v/>
      </c>
      <c r="O93" s="9">
        <f>IF($K93="","",INDEX('سجل التحفيز'!$C$5:$C$2004,MATCH($K93,'سجل التحفيز'!$U$5:$U$2004,0)))</f>
        <v/>
      </c>
      <c r="P93" s="36">
        <f>IF($K93="","",INDEX('سجل التحفيز'!$D$5:$D$2004,MATCH($K93,'سجل التحفيز'!$U$5:$U$2004,0)))</f>
        <v/>
      </c>
      <c r="Q93" s="9">
        <f>IF($K93="","",INDEX('سجل التحفيز'!$E$5:$E$2004,MATCH($K93,'سجل التحفيز'!$U$5:$U$2004,0)))</f>
        <v/>
      </c>
      <c r="R93" s="9">
        <f>IF($K93="","",INDEX('سجل التحفيز'!$F$5:$F$2004,MATCH($K93,'سجل التحفيز'!$U$5:$U$2004,0)))</f>
        <v/>
      </c>
      <c r="S93" s="35">
        <f>IF($K93="","",INDEX('سجل التحفيز'!$G$5:$G$2004,MATCH($K93,'سجل التحفيز'!$U$5:$U$2004,0)))</f>
        <v/>
      </c>
    </row>
    <row r="94">
      <c r="B94" s="34">
        <f>IFERROR(INDEX(الموظفات!$B$5:$B$304,MATCH(41,الموظفات!$O$5:$O$304,0)),"")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التحفيز'!$U$5:$U$2004,"&gt;0",'سجل التحفيز'!$B$5:$B$2004,B94))</f>
        <v/>
      </c>
      <c r="E94" s="35">
        <f>IF(B94="","",COUNTIFS('سجل التحفيز'!$U$5:$U$2004,"&gt;0",'سجل التحفيز'!$B$5:$B$2004,B94,'سجل التحفيز'!$D$5:$D$2004,"ذهبي"))</f>
        <v/>
      </c>
      <c r="F94" s="35">
        <f>IF(B94="","",SUMIFS('سجل التحفيز'!$G$5:$G$2004,'سجل التحفيز'!$U$5:$U$2004,"&gt;0",'سجل التحفيز'!$B$5:$B$2004,B94))</f>
        <v/>
      </c>
      <c r="G94" s="35">
        <f>IF(B94="","",COUNTIF($D$54:$D$203,"&gt;"&amp;D94)+1)</f>
        <v/>
      </c>
      <c r="H94" s="35">
        <f>IF(B94="","",INDEX(الموظفات!$L$5:$L$304,MATCH(B94,الموظفات!$B$5:$B$304,0)))</f>
        <v/>
      </c>
      <c r="K94" s="36">
        <f>IF(41&gt;$B$10,"",41)</f>
        <v/>
      </c>
      <c r="L94" s="37">
        <f>IF($K94="","",INDEX('سجل التحفيز'!$A$5:$A$2004,MATCH($K94,'سجل التحفيز'!$U$5:$U$2004,0)))</f>
        <v/>
      </c>
      <c r="M94" s="9">
        <f>IF($K94="","",INDEX('سجل التحفيز'!$B$5:$B$2004,MATCH($K94,'سجل التحفيز'!$U$5:$U$2004,0)))</f>
        <v/>
      </c>
      <c r="N94" s="9">
        <f>IF($K94="","",INDEX('سجل التحفيز'!$M$5:$M$2004,MATCH($K94,'سجل التحفيز'!$U$5:$U$2004,0)))</f>
        <v/>
      </c>
      <c r="O94" s="9">
        <f>IF($K94="","",INDEX('سجل التحفيز'!$C$5:$C$2004,MATCH($K94,'سجل التحفيز'!$U$5:$U$2004,0)))</f>
        <v/>
      </c>
      <c r="P94" s="36">
        <f>IF($K94="","",INDEX('سجل التحفيز'!$D$5:$D$2004,MATCH($K94,'سجل التحفيز'!$U$5:$U$2004,0)))</f>
        <v/>
      </c>
      <c r="Q94" s="9">
        <f>IF($K94="","",INDEX('سجل التحفيز'!$E$5:$E$2004,MATCH($K94,'سجل التحفيز'!$U$5:$U$2004,0)))</f>
        <v/>
      </c>
      <c r="R94" s="9">
        <f>IF($K94="","",INDEX('سجل التحفيز'!$F$5:$F$2004,MATCH($K94,'سجل التحفيز'!$U$5:$U$2004,0)))</f>
        <v/>
      </c>
      <c r="S94" s="35">
        <f>IF($K94="","",INDEX('سجل التحفيز'!$G$5:$G$2004,MATCH($K94,'سجل التحفيز'!$U$5:$U$2004,0)))</f>
        <v/>
      </c>
    </row>
    <row r="95">
      <c r="B95" s="34">
        <f>IFERROR(INDEX(الموظفات!$B$5:$B$304,MATCH(42,الموظفات!$O$5:$O$304,0)),"")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التحفيز'!$U$5:$U$2004,"&gt;0",'سجل التحفيز'!$B$5:$B$2004,B95))</f>
        <v/>
      </c>
      <c r="E95" s="35">
        <f>IF(B95="","",COUNTIFS('سجل التحفيز'!$U$5:$U$2004,"&gt;0",'سجل التحفيز'!$B$5:$B$2004,B95,'سجل التحفيز'!$D$5:$D$2004,"ذهبي"))</f>
        <v/>
      </c>
      <c r="F95" s="35">
        <f>IF(B95="","",SUMIFS('سجل التحفيز'!$G$5:$G$2004,'سجل التحفيز'!$U$5:$U$2004,"&gt;0",'سجل التحفيز'!$B$5:$B$2004,B95))</f>
        <v/>
      </c>
      <c r="G95" s="35">
        <f>IF(B95="","",COUNTIF($D$54:$D$203,"&gt;"&amp;D95)+1)</f>
        <v/>
      </c>
      <c r="H95" s="35">
        <f>IF(B95="","",INDEX(الموظفات!$L$5:$L$304,MATCH(B95,الموظفات!$B$5:$B$304,0)))</f>
        <v/>
      </c>
      <c r="K95" s="36">
        <f>IF(42&gt;$B$10,"",42)</f>
        <v/>
      </c>
      <c r="L95" s="37">
        <f>IF($K95="","",INDEX('سجل التحفيز'!$A$5:$A$2004,MATCH($K95,'سجل التحفيز'!$U$5:$U$2004,0)))</f>
        <v/>
      </c>
      <c r="M95" s="9">
        <f>IF($K95="","",INDEX('سجل التحفيز'!$B$5:$B$2004,MATCH($K95,'سجل التحفيز'!$U$5:$U$2004,0)))</f>
        <v/>
      </c>
      <c r="N95" s="9">
        <f>IF($K95="","",INDEX('سجل التحفيز'!$M$5:$M$2004,MATCH($K95,'سجل التحفيز'!$U$5:$U$2004,0)))</f>
        <v/>
      </c>
      <c r="O95" s="9">
        <f>IF($K95="","",INDEX('سجل التحفيز'!$C$5:$C$2004,MATCH($K95,'سجل التحفيز'!$U$5:$U$2004,0)))</f>
        <v/>
      </c>
      <c r="P95" s="36">
        <f>IF($K95="","",INDEX('سجل التحفيز'!$D$5:$D$2004,MATCH($K95,'سجل التحفيز'!$U$5:$U$2004,0)))</f>
        <v/>
      </c>
      <c r="Q95" s="9">
        <f>IF($K95="","",INDEX('سجل التحفيز'!$E$5:$E$2004,MATCH($K95,'سجل التحفيز'!$U$5:$U$2004,0)))</f>
        <v/>
      </c>
      <c r="R95" s="9">
        <f>IF($K95="","",INDEX('سجل التحفيز'!$F$5:$F$2004,MATCH($K95,'سجل التحفيز'!$U$5:$U$2004,0)))</f>
        <v/>
      </c>
      <c r="S95" s="35">
        <f>IF($K95="","",INDEX('سجل التحفيز'!$G$5:$G$2004,MATCH($K95,'سجل التحفيز'!$U$5:$U$2004,0)))</f>
        <v/>
      </c>
    </row>
    <row r="96">
      <c r="B96" s="34">
        <f>IFERROR(INDEX(الموظفات!$B$5:$B$304,MATCH(43,الموظفات!$O$5:$O$304,0)),"")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التحفيز'!$U$5:$U$2004,"&gt;0",'سجل التحفيز'!$B$5:$B$2004,B96))</f>
        <v/>
      </c>
      <c r="E96" s="35">
        <f>IF(B96="","",COUNTIFS('سجل التحفيز'!$U$5:$U$2004,"&gt;0",'سجل التحفيز'!$B$5:$B$2004,B96,'سجل التحفيز'!$D$5:$D$2004,"ذهبي"))</f>
        <v/>
      </c>
      <c r="F96" s="35">
        <f>IF(B96="","",SUMIFS('سجل التحفيز'!$G$5:$G$2004,'سجل التحفيز'!$U$5:$U$2004,"&gt;0",'سجل التحفيز'!$B$5:$B$2004,B96))</f>
        <v/>
      </c>
      <c r="G96" s="35">
        <f>IF(B96="","",COUNTIF($D$54:$D$203,"&gt;"&amp;D96)+1)</f>
        <v/>
      </c>
      <c r="H96" s="35">
        <f>IF(B96="","",INDEX(الموظفات!$L$5:$L$304,MATCH(B96,الموظفات!$B$5:$B$304,0)))</f>
        <v/>
      </c>
      <c r="K96" s="36">
        <f>IF(43&gt;$B$10,"",43)</f>
        <v/>
      </c>
      <c r="L96" s="37">
        <f>IF($K96="","",INDEX('سجل التحفيز'!$A$5:$A$2004,MATCH($K96,'سجل التحفيز'!$U$5:$U$2004,0)))</f>
        <v/>
      </c>
      <c r="M96" s="9">
        <f>IF($K96="","",INDEX('سجل التحفيز'!$B$5:$B$2004,MATCH($K96,'سجل التحفيز'!$U$5:$U$2004,0)))</f>
        <v/>
      </c>
      <c r="N96" s="9">
        <f>IF($K96="","",INDEX('سجل التحفيز'!$M$5:$M$2004,MATCH($K96,'سجل التحفيز'!$U$5:$U$2004,0)))</f>
        <v/>
      </c>
      <c r="O96" s="9">
        <f>IF($K96="","",INDEX('سجل التحفيز'!$C$5:$C$2004,MATCH($K96,'سجل التحفيز'!$U$5:$U$2004,0)))</f>
        <v/>
      </c>
      <c r="P96" s="36">
        <f>IF($K96="","",INDEX('سجل التحفيز'!$D$5:$D$2004,MATCH($K96,'سجل التحفيز'!$U$5:$U$2004,0)))</f>
        <v/>
      </c>
      <c r="Q96" s="9">
        <f>IF($K96="","",INDEX('سجل التحفيز'!$E$5:$E$2004,MATCH($K96,'سجل التحفيز'!$U$5:$U$2004,0)))</f>
        <v/>
      </c>
      <c r="R96" s="9">
        <f>IF($K96="","",INDEX('سجل التحفيز'!$F$5:$F$2004,MATCH($K96,'سجل التحفيز'!$U$5:$U$2004,0)))</f>
        <v/>
      </c>
      <c r="S96" s="35">
        <f>IF($K96="","",INDEX('سجل التحفيز'!$G$5:$G$2004,MATCH($K96,'سجل التحفيز'!$U$5:$U$2004,0)))</f>
        <v/>
      </c>
    </row>
    <row r="97">
      <c r="B97" s="34">
        <f>IFERROR(INDEX(الموظفات!$B$5:$B$304,MATCH(44,الموظفات!$O$5:$O$304,0)),"")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التحفيز'!$U$5:$U$2004,"&gt;0",'سجل التحفيز'!$B$5:$B$2004,B97))</f>
        <v/>
      </c>
      <c r="E97" s="35">
        <f>IF(B97="","",COUNTIFS('سجل التحفيز'!$U$5:$U$2004,"&gt;0",'سجل التحفيز'!$B$5:$B$2004,B97,'سجل التحفيز'!$D$5:$D$2004,"ذهبي"))</f>
        <v/>
      </c>
      <c r="F97" s="35">
        <f>IF(B97="","",SUMIFS('سجل التحفيز'!$G$5:$G$2004,'سجل التحفيز'!$U$5:$U$2004,"&gt;0",'سجل التحفيز'!$B$5:$B$2004,B97))</f>
        <v/>
      </c>
      <c r="G97" s="35">
        <f>IF(B97="","",COUNTIF($D$54:$D$203,"&gt;"&amp;D97)+1)</f>
        <v/>
      </c>
      <c r="H97" s="35">
        <f>IF(B97="","",INDEX(الموظفات!$L$5:$L$304,MATCH(B97,الموظفات!$B$5:$B$304,0)))</f>
        <v/>
      </c>
      <c r="K97" s="36">
        <f>IF(44&gt;$B$10,"",44)</f>
        <v/>
      </c>
      <c r="L97" s="37">
        <f>IF($K97="","",INDEX('سجل التحفيز'!$A$5:$A$2004,MATCH($K97,'سجل التحفيز'!$U$5:$U$2004,0)))</f>
        <v/>
      </c>
      <c r="M97" s="9">
        <f>IF($K97="","",INDEX('سجل التحفيز'!$B$5:$B$2004,MATCH($K97,'سجل التحفيز'!$U$5:$U$2004,0)))</f>
        <v/>
      </c>
      <c r="N97" s="9">
        <f>IF($K97="","",INDEX('سجل التحفيز'!$M$5:$M$2004,MATCH($K97,'سجل التحفيز'!$U$5:$U$2004,0)))</f>
        <v/>
      </c>
      <c r="O97" s="9">
        <f>IF($K97="","",INDEX('سجل التحفيز'!$C$5:$C$2004,MATCH($K97,'سجل التحفيز'!$U$5:$U$2004,0)))</f>
        <v/>
      </c>
      <c r="P97" s="36">
        <f>IF($K97="","",INDEX('سجل التحفيز'!$D$5:$D$2004,MATCH($K97,'سجل التحفيز'!$U$5:$U$2004,0)))</f>
        <v/>
      </c>
      <c r="Q97" s="9">
        <f>IF($K97="","",INDEX('سجل التحفيز'!$E$5:$E$2004,MATCH($K97,'سجل التحفيز'!$U$5:$U$2004,0)))</f>
        <v/>
      </c>
      <c r="R97" s="9">
        <f>IF($K97="","",INDEX('سجل التحفيز'!$F$5:$F$2004,MATCH($K97,'سجل التحفيز'!$U$5:$U$2004,0)))</f>
        <v/>
      </c>
      <c r="S97" s="35">
        <f>IF($K97="","",INDEX('سجل التحفيز'!$G$5:$G$2004,MATCH($K97,'سجل التحفيز'!$U$5:$U$2004,0)))</f>
        <v/>
      </c>
    </row>
    <row r="98">
      <c r="B98" s="34">
        <f>IFERROR(INDEX(الموظفات!$B$5:$B$304,MATCH(45,الموظفات!$O$5:$O$304,0)),"")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التحفيز'!$U$5:$U$2004,"&gt;0",'سجل التحفيز'!$B$5:$B$2004,B98))</f>
        <v/>
      </c>
      <c r="E98" s="35">
        <f>IF(B98="","",COUNTIFS('سجل التحفيز'!$U$5:$U$2004,"&gt;0",'سجل التحفيز'!$B$5:$B$2004,B98,'سجل التحفيز'!$D$5:$D$2004,"ذهبي"))</f>
        <v/>
      </c>
      <c r="F98" s="35">
        <f>IF(B98="","",SUMIFS('سجل التحفيز'!$G$5:$G$2004,'سجل التحفيز'!$U$5:$U$2004,"&gt;0",'سجل التحفيز'!$B$5:$B$2004,B98))</f>
        <v/>
      </c>
      <c r="G98" s="35">
        <f>IF(B98="","",COUNTIF($D$54:$D$203,"&gt;"&amp;D98)+1)</f>
        <v/>
      </c>
      <c r="H98" s="35">
        <f>IF(B98="","",INDEX(الموظفات!$L$5:$L$304,MATCH(B98,الموظفات!$B$5:$B$304,0)))</f>
        <v/>
      </c>
      <c r="K98" s="36">
        <f>IF(45&gt;$B$10,"",45)</f>
        <v/>
      </c>
      <c r="L98" s="37">
        <f>IF($K98="","",INDEX('سجل التحفيز'!$A$5:$A$2004,MATCH($K98,'سجل التحفيز'!$U$5:$U$2004,0)))</f>
        <v/>
      </c>
      <c r="M98" s="9">
        <f>IF($K98="","",INDEX('سجل التحفيز'!$B$5:$B$2004,MATCH($K98,'سجل التحفيز'!$U$5:$U$2004,0)))</f>
        <v/>
      </c>
      <c r="N98" s="9">
        <f>IF($K98="","",INDEX('سجل التحفيز'!$M$5:$M$2004,MATCH($K98,'سجل التحفيز'!$U$5:$U$2004,0)))</f>
        <v/>
      </c>
      <c r="O98" s="9">
        <f>IF($K98="","",INDEX('سجل التحفيز'!$C$5:$C$2004,MATCH($K98,'سجل التحفيز'!$U$5:$U$2004,0)))</f>
        <v/>
      </c>
      <c r="P98" s="36">
        <f>IF($K98="","",INDEX('سجل التحفيز'!$D$5:$D$2004,MATCH($K98,'سجل التحفيز'!$U$5:$U$2004,0)))</f>
        <v/>
      </c>
      <c r="Q98" s="9">
        <f>IF($K98="","",INDEX('سجل التحفيز'!$E$5:$E$2004,MATCH($K98,'سجل التحفيز'!$U$5:$U$2004,0)))</f>
        <v/>
      </c>
      <c r="R98" s="9">
        <f>IF($K98="","",INDEX('سجل التحفيز'!$F$5:$F$2004,MATCH($K98,'سجل التحفيز'!$U$5:$U$2004,0)))</f>
        <v/>
      </c>
      <c r="S98" s="35">
        <f>IF($K98="","",INDEX('سجل التحفيز'!$G$5:$G$2004,MATCH($K98,'سجل التحفيز'!$U$5:$U$2004,0)))</f>
        <v/>
      </c>
    </row>
    <row r="99">
      <c r="B99" s="34">
        <f>IFERROR(INDEX(الموظفات!$B$5:$B$304,MATCH(46,الموظفات!$O$5:$O$304,0)),"")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التحفيز'!$U$5:$U$2004,"&gt;0",'سجل التحفيز'!$B$5:$B$2004,B99))</f>
        <v/>
      </c>
      <c r="E99" s="35">
        <f>IF(B99="","",COUNTIFS('سجل التحفيز'!$U$5:$U$2004,"&gt;0",'سجل التحفيز'!$B$5:$B$2004,B99,'سجل التحفيز'!$D$5:$D$2004,"ذهبي"))</f>
        <v/>
      </c>
      <c r="F99" s="35">
        <f>IF(B99="","",SUMIFS('سجل التحفيز'!$G$5:$G$2004,'سجل التحفيز'!$U$5:$U$2004,"&gt;0",'سجل التحفيز'!$B$5:$B$2004,B99))</f>
        <v/>
      </c>
      <c r="G99" s="35">
        <f>IF(B99="","",COUNTIF($D$54:$D$203,"&gt;"&amp;D99)+1)</f>
        <v/>
      </c>
      <c r="H99" s="35">
        <f>IF(B99="","",INDEX(الموظفات!$L$5:$L$304,MATCH(B99,الموظفات!$B$5:$B$304,0)))</f>
        <v/>
      </c>
      <c r="K99" s="36">
        <f>IF(46&gt;$B$10,"",46)</f>
        <v/>
      </c>
      <c r="L99" s="37">
        <f>IF($K99="","",INDEX('سجل التحفيز'!$A$5:$A$2004,MATCH($K99,'سجل التحفيز'!$U$5:$U$2004,0)))</f>
        <v/>
      </c>
      <c r="M99" s="9">
        <f>IF($K99="","",INDEX('سجل التحفيز'!$B$5:$B$2004,MATCH($K99,'سجل التحفيز'!$U$5:$U$2004,0)))</f>
        <v/>
      </c>
      <c r="N99" s="9">
        <f>IF($K99="","",INDEX('سجل التحفيز'!$M$5:$M$2004,MATCH($K99,'سجل التحفيز'!$U$5:$U$2004,0)))</f>
        <v/>
      </c>
      <c r="O99" s="9">
        <f>IF($K99="","",INDEX('سجل التحفيز'!$C$5:$C$2004,MATCH($K99,'سجل التحفيز'!$U$5:$U$2004,0)))</f>
        <v/>
      </c>
      <c r="P99" s="36">
        <f>IF($K99="","",INDEX('سجل التحفيز'!$D$5:$D$2004,MATCH($K99,'سجل التحفيز'!$U$5:$U$2004,0)))</f>
        <v/>
      </c>
      <c r="Q99" s="9">
        <f>IF($K99="","",INDEX('سجل التحفيز'!$E$5:$E$2004,MATCH($K99,'سجل التحفيز'!$U$5:$U$2004,0)))</f>
        <v/>
      </c>
      <c r="R99" s="9">
        <f>IF($K99="","",INDEX('سجل التحفيز'!$F$5:$F$2004,MATCH($K99,'سجل التحفيز'!$U$5:$U$2004,0)))</f>
        <v/>
      </c>
      <c r="S99" s="35">
        <f>IF($K99="","",INDEX('سجل التحفيز'!$G$5:$G$2004,MATCH($K99,'سجل التحفيز'!$U$5:$U$2004,0)))</f>
        <v/>
      </c>
    </row>
    <row r="100">
      <c r="B100" s="34">
        <f>IFERROR(INDEX(الموظفات!$B$5:$B$304,MATCH(47,الموظفات!$O$5:$O$304,0)),"")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التحفيز'!$U$5:$U$2004,"&gt;0",'سجل التحفيز'!$B$5:$B$2004,B100))</f>
        <v/>
      </c>
      <c r="E100" s="35">
        <f>IF(B100="","",COUNTIFS('سجل التحفيز'!$U$5:$U$2004,"&gt;0",'سجل التحفيز'!$B$5:$B$2004,B100,'سجل التحفيز'!$D$5:$D$2004,"ذهبي"))</f>
        <v/>
      </c>
      <c r="F100" s="35">
        <f>IF(B100="","",SUMIFS('سجل التحفيز'!$G$5:$G$2004,'سجل التحفيز'!$U$5:$U$2004,"&gt;0",'سجل التحفيز'!$B$5:$B$2004,B100))</f>
        <v/>
      </c>
      <c r="G100" s="35">
        <f>IF(B100="","",COUNTIF($D$54:$D$203,"&gt;"&amp;D100)+1)</f>
        <v/>
      </c>
      <c r="H100" s="35">
        <f>IF(B100="","",INDEX(الموظفات!$L$5:$L$304,MATCH(B100,الموظفات!$B$5:$B$304,0)))</f>
        <v/>
      </c>
      <c r="K100" s="36">
        <f>IF(47&gt;$B$10,"",47)</f>
        <v/>
      </c>
      <c r="L100" s="37">
        <f>IF($K100="","",INDEX('سجل التحفيز'!$A$5:$A$2004,MATCH($K100,'سجل التحفيز'!$U$5:$U$2004,0)))</f>
        <v/>
      </c>
      <c r="M100" s="9">
        <f>IF($K100="","",INDEX('سجل التحفيز'!$B$5:$B$2004,MATCH($K100,'سجل التحفيز'!$U$5:$U$2004,0)))</f>
        <v/>
      </c>
      <c r="N100" s="9">
        <f>IF($K100="","",INDEX('سجل التحفيز'!$M$5:$M$2004,MATCH($K100,'سجل التحفيز'!$U$5:$U$2004,0)))</f>
        <v/>
      </c>
      <c r="O100" s="9">
        <f>IF($K100="","",INDEX('سجل التحفيز'!$C$5:$C$2004,MATCH($K100,'سجل التحفيز'!$U$5:$U$2004,0)))</f>
        <v/>
      </c>
      <c r="P100" s="36">
        <f>IF($K100="","",INDEX('سجل التحفيز'!$D$5:$D$2004,MATCH($K100,'سجل التحفيز'!$U$5:$U$2004,0)))</f>
        <v/>
      </c>
      <c r="Q100" s="9">
        <f>IF($K100="","",INDEX('سجل التحفيز'!$E$5:$E$2004,MATCH($K100,'سجل التحفيز'!$U$5:$U$2004,0)))</f>
        <v/>
      </c>
      <c r="R100" s="9">
        <f>IF($K100="","",INDEX('سجل التحفيز'!$F$5:$F$2004,MATCH($K100,'سجل التحفيز'!$U$5:$U$2004,0)))</f>
        <v/>
      </c>
      <c r="S100" s="35">
        <f>IF($K100="","",INDEX('سجل التحفيز'!$G$5:$G$2004,MATCH($K100,'سجل التحفيز'!$U$5:$U$2004,0)))</f>
        <v/>
      </c>
    </row>
    <row r="101">
      <c r="B101" s="34">
        <f>IFERROR(INDEX(الموظفات!$B$5:$B$304,MATCH(48,الموظفات!$O$5:$O$304,0)),"")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التحفيز'!$U$5:$U$2004,"&gt;0",'سجل التحفيز'!$B$5:$B$2004,B101))</f>
        <v/>
      </c>
      <c r="E101" s="35">
        <f>IF(B101="","",COUNTIFS('سجل التحفيز'!$U$5:$U$2004,"&gt;0",'سجل التحفيز'!$B$5:$B$2004,B101,'سجل التحفيز'!$D$5:$D$2004,"ذهبي"))</f>
        <v/>
      </c>
      <c r="F101" s="35">
        <f>IF(B101="","",SUMIFS('سجل التحفيز'!$G$5:$G$2004,'سجل التحفيز'!$U$5:$U$2004,"&gt;0",'سجل التحفيز'!$B$5:$B$2004,B101))</f>
        <v/>
      </c>
      <c r="G101" s="35">
        <f>IF(B101="","",COUNTIF($D$54:$D$203,"&gt;"&amp;D101)+1)</f>
        <v/>
      </c>
      <c r="H101" s="35">
        <f>IF(B101="","",INDEX(الموظفات!$L$5:$L$304,MATCH(B101,الموظفات!$B$5:$B$304,0)))</f>
        <v/>
      </c>
      <c r="K101" s="36">
        <f>IF(48&gt;$B$10,"",48)</f>
        <v/>
      </c>
      <c r="L101" s="37">
        <f>IF($K101="","",INDEX('سجل التحفيز'!$A$5:$A$2004,MATCH($K101,'سجل التحفيز'!$U$5:$U$2004,0)))</f>
        <v/>
      </c>
      <c r="M101" s="9">
        <f>IF($K101="","",INDEX('سجل التحفيز'!$B$5:$B$2004,MATCH($K101,'سجل التحفيز'!$U$5:$U$2004,0)))</f>
        <v/>
      </c>
      <c r="N101" s="9">
        <f>IF($K101="","",INDEX('سجل التحفيز'!$M$5:$M$2004,MATCH($K101,'سجل التحفيز'!$U$5:$U$2004,0)))</f>
        <v/>
      </c>
      <c r="O101" s="9">
        <f>IF($K101="","",INDEX('سجل التحفيز'!$C$5:$C$2004,MATCH($K101,'سجل التحفيز'!$U$5:$U$2004,0)))</f>
        <v/>
      </c>
      <c r="P101" s="36">
        <f>IF($K101="","",INDEX('سجل التحفيز'!$D$5:$D$2004,MATCH($K101,'سجل التحفيز'!$U$5:$U$2004,0)))</f>
        <v/>
      </c>
      <c r="Q101" s="9">
        <f>IF($K101="","",INDEX('سجل التحفيز'!$E$5:$E$2004,MATCH($K101,'سجل التحفيز'!$U$5:$U$2004,0)))</f>
        <v/>
      </c>
      <c r="R101" s="9">
        <f>IF($K101="","",INDEX('سجل التحفيز'!$F$5:$F$2004,MATCH($K101,'سجل التحفيز'!$U$5:$U$2004,0)))</f>
        <v/>
      </c>
      <c r="S101" s="35">
        <f>IF($K101="","",INDEX('سجل التحفيز'!$G$5:$G$2004,MATCH($K101,'سجل التحفيز'!$U$5:$U$2004,0)))</f>
        <v/>
      </c>
    </row>
    <row r="102">
      <c r="B102" s="34">
        <f>IFERROR(INDEX(الموظفات!$B$5:$B$304,MATCH(49,الموظفات!$O$5:$O$304,0)),"")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التحفيز'!$U$5:$U$2004,"&gt;0",'سجل التحفيز'!$B$5:$B$2004,B102))</f>
        <v/>
      </c>
      <c r="E102" s="35">
        <f>IF(B102="","",COUNTIFS('سجل التحفيز'!$U$5:$U$2004,"&gt;0",'سجل التحفيز'!$B$5:$B$2004,B102,'سجل التحفيز'!$D$5:$D$2004,"ذهبي"))</f>
        <v/>
      </c>
      <c r="F102" s="35">
        <f>IF(B102="","",SUMIFS('سجل التحفيز'!$G$5:$G$2004,'سجل التحفيز'!$U$5:$U$2004,"&gt;0",'سجل التحفيز'!$B$5:$B$2004,B102))</f>
        <v/>
      </c>
      <c r="G102" s="35">
        <f>IF(B102="","",COUNTIF($D$54:$D$203,"&gt;"&amp;D102)+1)</f>
        <v/>
      </c>
      <c r="H102" s="35">
        <f>IF(B102="","",INDEX(الموظفات!$L$5:$L$304,MATCH(B102,الموظفات!$B$5:$B$304,0)))</f>
        <v/>
      </c>
      <c r="K102" s="36">
        <f>IF(49&gt;$B$10,"",49)</f>
        <v/>
      </c>
      <c r="L102" s="37">
        <f>IF($K102="","",INDEX('سجل التحفيز'!$A$5:$A$2004,MATCH($K102,'سجل التحفيز'!$U$5:$U$2004,0)))</f>
        <v/>
      </c>
      <c r="M102" s="9">
        <f>IF($K102="","",INDEX('سجل التحفيز'!$B$5:$B$2004,MATCH($K102,'سجل التحفيز'!$U$5:$U$2004,0)))</f>
        <v/>
      </c>
      <c r="N102" s="9">
        <f>IF($K102="","",INDEX('سجل التحفيز'!$M$5:$M$2004,MATCH($K102,'سجل التحفيز'!$U$5:$U$2004,0)))</f>
        <v/>
      </c>
      <c r="O102" s="9">
        <f>IF($K102="","",INDEX('سجل التحفيز'!$C$5:$C$2004,MATCH($K102,'سجل التحفيز'!$U$5:$U$2004,0)))</f>
        <v/>
      </c>
      <c r="P102" s="36">
        <f>IF($K102="","",INDEX('سجل التحفيز'!$D$5:$D$2004,MATCH($K102,'سجل التحفيز'!$U$5:$U$2004,0)))</f>
        <v/>
      </c>
      <c r="Q102" s="9">
        <f>IF($K102="","",INDEX('سجل التحفيز'!$E$5:$E$2004,MATCH($K102,'سجل التحفيز'!$U$5:$U$2004,0)))</f>
        <v/>
      </c>
      <c r="R102" s="9">
        <f>IF($K102="","",INDEX('سجل التحفيز'!$F$5:$F$2004,MATCH($K102,'سجل التحفيز'!$U$5:$U$2004,0)))</f>
        <v/>
      </c>
      <c r="S102" s="35">
        <f>IF($K102="","",INDEX('سجل التحفيز'!$G$5:$G$2004,MATCH($K102,'سجل التحفيز'!$U$5:$U$2004,0)))</f>
        <v/>
      </c>
    </row>
    <row r="103">
      <c r="B103" s="34">
        <f>IFERROR(INDEX(الموظفات!$B$5:$B$304,MATCH(50,الموظفات!$O$5:$O$304,0)),"")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التحفيز'!$U$5:$U$2004,"&gt;0",'سجل التحفيز'!$B$5:$B$2004,B103))</f>
        <v/>
      </c>
      <c r="E103" s="35">
        <f>IF(B103="","",COUNTIFS('سجل التحفيز'!$U$5:$U$2004,"&gt;0",'سجل التحفيز'!$B$5:$B$2004,B103,'سجل التحفيز'!$D$5:$D$2004,"ذهبي"))</f>
        <v/>
      </c>
      <c r="F103" s="35">
        <f>IF(B103="","",SUMIFS('سجل التحفيز'!$G$5:$G$2004,'سجل التحفيز'!$U$5:$U$2004,"&gt;0",'سجل التحفيز'!$B$5:$B$2004,B103))</f>
        <v/>
      </c>
      <c r="G103" s="35">
        <f>IF(B103="","",COUNTIF($D$54:$D$203,"&gt;"&amp;D103)+1)</f>
        <v/>
      </c>
      <c r="H103" s="35">
        <f>IF(B103="","",INDEX(الموظفات!$L$5:$L$304,MATCH(B103,الموظفات!$B$5:$B$304,0)))</f>
        <v/>
      </c>
      <c r="K103" s="36">
        <f>IF(50&gt;$B$10,"",50)</f>
        <v/>
      </c>
      <c r="L103" s="37">
        <f>IF($K103="","",INDEX('سجل التحفيز'!$A$5:$A$2004,MATCH($K103,'سجل التحفيز'!$U$5:$U$2004,0)))</f>
        <v/>
      </c>
      <c r="M103" s="9">
        <f>IF($K103="","",INDEX('سجل التحفيز'!$B$5:$B$2004,MATCH($K103,'سجل التحفيز'!$U$5:$U$2004,0)))</f>
        <v/>
      </c>
      <c r="N103" s="9">
        <f>IF($K103="","",INDEX('سجل التحفيز'!$M$5:$M$2004,MATCH($K103,'سجل التحفيز'!$U$5:$U$2004,0)))</f>
        <v/>
      </c>
      <c r="O103" s="9">
        <f>IF($K103="","",INDEX('سجل التحفيز'!$C$5:$C$2004,MATCH($K103,'سجل التحفيز'!$U$5:$U$2004,0)))</f>
        <v/>
      </c>
      <c r="P103" s="36">
        <f>IF($K103="","",INDEX('سجل التحفيز'!$D$5:$D$2004,MATCH($K103,'سجل التحفيز'!$U$5:$U$2004,0)))</f>
        <v/>
      </c>
      <c r="Q103" s="9">
        <f>IF($K103="","",INDEX('سجل التحفيز'!$E$5:$E$2004,MATCH($K103,'سجل التحفيز'!$U$5:$U$2004,0)))</f>
        <v/>
      </c>
      <c r="R103" s="9">
        <f>IF($K103="","",INDEX('سجل التحفيز'!$F$5:$F$2004,MATCH($K103,'سجل التحفيز'!$U$5:$U$2004,0)))</f>
        <v/>
      </c>
      <c r="S103" s="35">
        <f>IF($K103="","",INDEX('سجل التحفيز'!$G$5:$G$2004,MATCH($K103,'سجل التحفيز'!$U$5:$U$2004,0)))</f>
        <v/>
      </c>
    </row>
    <row r="104">
      <c r="B104" s="34">
        <f>IFERROR(INDEX(الموظفات!$B$5:$B$304,MATCH(51,الموظفات!$O$5:$O$304,0)),"")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التحفيز'!$U$5:$U$2004,"&gt;0",'سجل التحفيز'!$B$5:$B$2004,B104))</f>
        <v/>
      </c>
      <c r="E104" s="35">
        <f>IF(B104="","",COUNTIFS('سجل التحفيز'!$U$5:$U$2004,"&gt;0",'سجل التحفيز'!$B$5:$B$2004,B104,'سجل التحفيز'!$D$5:$D$2004,"ذهبي"))</f>
        <v/>
      </c>
      <c r="F104" s="35">
        <f>IF(B104="","",SUMIFS('سجل التحفيز'!$G$5:$G$2004,'سجل التحفيز'!$U$5:$U$2004,"&gt;0",'سجل التحفيز'!$B$5:$B$2004,B104))</f>
        <v/>
      </c>
      <c r="G104" s="35">
        <f>IF(B104="","",COUNTIF($D$54:$D$203,"&gt;"&amp;D104)+1)</f>
        <v/>
      </c>
      <c r="H104" s="35">
        <f>IF(B104="","",INDEX(الموظفات!$L$5:$L$304,MATCH(B104,الموظفات!$B$5:$B$304,0)))</f>
        <v/>
      </c>
      <c r="K104" s="36">
        <f>IF(51&gt;$B$10,"",51)</f>
        <v/>
      </c>
      <c r="L104" s="37">
        <f>IF($K104="","",INDEX('سجل التحفيز'!$A$5:$A$2004,MATCH($K104,'سجل التحفيز'!$U$5:$U$2004,0)))</f>
        <v/>
      </c>
      <c r="M104" s="9">
        <f>IF($K104="","",INDEX('سجل التحفيز'!$B$5:$B$2004,MATCH($K104,'سجل التحفيز'!$U$5:$U$2004,0)))</f>
        <v/>
      </c>
      <c r="N104" s="9">
        <f>IF($K104="","",INDEX('سجل التحفيز'!$M$5:$M$2004,MATCH($K104,'سجل التحفيز'!$U$5:$U$2004,0)))</f>
        <v/>
      </c>
      <c r="O104" s="9">
        <f>IF($K104="","",INDEX('سجل التحفيز'!$C$5:$C$2004,MATCH($K104,'سجل التحفيز'!$U$5:$U$2004,0)))</f>
        <v/>
      </c>
      <c r="P104" s="36">
        <f>IF($K104="","",INDEX('سجل التحفيز'!$D$5:$D$2004,MATCH($K104,'سجل التحفيز'!$U$5:$U$2004,0)))</f>
        <v/>
      </c>
      <c r="Q104" s="9">
        <f>IF($K104="","",INDEX('سجل التحفيز'!$E$5:$E$2004,MATCH($K104,'سجل التحفيز'!$U$5:$U$2004,0)))</f>
        <v/>
      </c>
      <c r="R104" s="9">
        <f>IF($K104="","",INDEX('سجل التحفيز'!$F$5:$F$2004,MATCH($K104,'سجل التحفيز'!$U$5:$U$2004,0)))</f>
        <v/>
      </c>
      <c r="S104" s="35">
        <f>IF($K104="","",INDEX('سجل التحفيز'!$G$5:$G$2004,MATCH($K104,'سجل التحفيز'!$U$5:$U$2004,0)))</f>
        <v/>
      </c>
    </row>
    <row r="105">
      <c r="B105" s="34">
        <f>IFERROR(INDEX(الموظفات!$B$5:$B$304,MATCH(52,الموظفات!$O$5:$O$304,0)),"")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التحفيز'!$U$5:$U$2004,"&gt;0",'سجل التحفيز'!$B$5:$B$2004,B105))</f>
        <v/>
      </c>
      <c r="E105" s="35">
        <f>IF(B105="","",COUNTIFS('سجل التحفيز'!$U$5:$U$2004,"&gt;0",'سجل التحفيز'!$B$5:$B$2004,B105,'سجل التحفيز'!$D$5:$D$2004,"ذهبي"))</f>
        <v/>
      </c>
      <c r="F105" s="35">
        <f>IF(B105="","",SUMIFS('سجل التحفيز'!$G$5:$G$2004,'سجل التحفيز'!$U$5:$U$2004,"&gt;0",'سجل التحفيز'!$B$5:$B$2004,B105))</f>
        <v/>
      </c>
      <c r="G105" s="35">
        <f>IF(B105="","",COUNTIF($D$54:$D$203,"&gt;"&amp;D105)+1)</f>
        <v/>
      </c>
      <c r="H105" s="35">
        <f>IF(B105="","",INDEX(الموظفات!$L$5:$L$304,MATCH(B105,الموظفات!$B$5:$B$304,0)))</f>
        <v/>
      </c>
      <c r="K105" s="36">
        <f>IF(52&gt;$B$10,"",52)</f>
        <v/>
      </c>
      <c r="L105" s="37">
        <f>IF($K105="","",INDEX('سجل التحفيز'!$A$5:$A$2004,MATCH($K105,'سجل التحفيز'!$U$5:$U$2004,0)))</f>
        <v/>
      </c>
      <c r="M105" s="9">
        <f>IF($K105="","",INDEX('سجل التحفيز'!$B$5:$B$2004,MATCH($K105,'سجل التحفيز'!$U$5:$U$2004,0)))</f>
        <v/>
      </c>
      <c r="N105" s="9">
        <f>IF($K105="","",INDEX('سجل التحفيز'!$M$5:$M$2004,MATCH($K105,'سجل التحفيز'!$U$5:$U$2004,0)))</f>
        <v/>
      </c>
      <c r="O105" s="9">
        <f>IF($K105="","",INDEX('سجل التحفيز'!$C$5:$C$2004,MATCH($K105,'سجل التحفيز'!$U$5:$U$2004,0)))</f>
        <v/>
      </c>
      <c r="P105" s="36">
        <f>IF($K105="","",INDEX('سجل التحفيز'!$D$5:$D$2004,MATCH($K105,'سجل التحفيز'!$U$5:$U$2004,0)))</f>
        <v/>
      </c>
      <c r="Q105" s="9">
        <f>IF($K105="","",INDEX('سجل التحفيز'!$E$5:$E$2004,MATCH($K105,'سجل التحفيز'!$U$5:$U$2004,0)))</f>
        <v/>
      </c>
      <c r="R105" s="9">
        <f>IF($K105="","",INDEX('سجل التحفيز'!$F$5:$F$2004,MATCH($K105,'سجل التحفيز'!$U$5:$U$2004,0)))</f>
        <v/>
      </c>
      <c r="S105" s="35">
        <f>IF($K105="","",INDEX('سجل التحفيز'!$G$5:$G$2004,MATCH($K105,'سجل التحفيز'!$U$5:$U$2004,0)))</f>
        <v/>
      </c>
    </row>
    <row r="106">
      <c r="B106" s="34">
        <f>IFERROR(INDEX(الموظفات!$B$5:$B$304,MATCH(53,الموظفات!$O$5:$O$304,0)),"")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التحفيز'!$U$5:$U$2004,"&gt;0",'سجل التحفيز'!$B$5:$B$2004,B106))</f>
        <v/>
      </c>
      <c r="E106" s="35">
        <f>IF(B106="","",COUNTIFS('سجل التحفيز'!$U$5:$U$2004,"&gt;0",'سجل التحفيز'!$B$5:$B$2004,B106,'سجل التحفيز'!$D$5:$D$2004,"ذهبي"))</f>
        <v/>
      </c>
      <c r="F106" s="35">
        <f>IF(B106="","",SUMIFS('سجل التحفيز'!$G$5:$G$2004,'سجل التحفيز'!$U$5:$U$2004,"&gt;0",'سجل التحفيز'!$B$5:$B$2004,B106))</f>
        <v/>
      </c>
      <c r="G106" s="35">
        <f>IF(B106="","",COUNTIF($D$54:$D$203,"&gt;"&amp;D106)+1)</f>
        <v/>
      </c>
      <c r="H106" s="35">
        <f>IF(B106="","",INDEX(الموظفات!$L$5:$L$304,MATCH(B106,الموظفات!$B$5:$B$304,0)))</f>
        <v/>
      </c>
      <c r="K106" s="36">
        <f>IF(53&gt;$B$10,"",53)</f>
        <v/>
      </c>
      <c r="L106" s="37">
        <f>IF($K106="","",INDEX('سجل التحفيز'!$A$5:$A$2004,MATCH($K106,'سجل التحفيز'!$U$5:$U$2004,0)))</f>
        <v/>
      </c>
      <c r="M106" s="9">
        <f>IF($K106="","",INDEX('سجل التحفيز'!$B$5:$B$2004,MATCH($K106,'سجل التحفيز'!$U$5:$U$2004,0)))</f>
        <v/>
      </c>
      <c r="N106" s="9">
        <f>IF($K106="","",INDEX('سجل التحفيز'!$M$5:$M$2004,MATCH($K106,'سجل التحفيز'!$U$5:$U$2004,0)))</f>
        <v/>
      </c>
      <c r="O106" s="9">
        <f>IF($K106="","",INDEX('سجل التحفيز'!$C$5:$C$2004,MATCH($K106,'سجل التحفيز'!$U$5:$U$2004,0)))</f>
        <v/>
      </c>
      <c r="P106" s="36">
        <f>IF($K106="","",INDEX('سجل التحفيز'!$D$5:$D$2004,MATCH($K106,'سجل التحفيز'!$U$5:$U$2004,0)))</f>
        <v/>
      </c>
      <c r="Q106" s="9">
        <f>IF($K106="","",INDEX('سجل التحفيز'!$E$5:$E$2004,MATCH($K106,'سجل التحفيز'!$U$5:$U$2004,0)))</f>
        <v/>
      </c>
      <c r="R106" s="9">
        <f>IF($K106="","",INDEX('سجل التحفيز'!$F$5:$F$2004,MATCH($K106,'سجل التحفيز'!$U$5:$U$2004,0)))</f>
        <v/>
      </c>
      <c r="S106" s="35">
        <f>IF($K106="","",INDEX('سجل التحفيز'!$G$5:$G$2004,MATCH($K106,'سجل التحفيز'!$U$5:$U$2004,0)))</f>
        <v/>
      </c>
    </row>
    <row r="107">
      <c r="B107" s="34">
        <f>IFERROR(INDEX(الموظفات!$B$5:$B$304,MATCH(54,الموظفات!$O$5:$O$304,0)),"")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التحفيز'!$U$5:$U$2004,"&gt;0",'سجل التحفيز'!$B$5:$B$2004,B107))</f>
        <v/>
      </c>
      <c r="E107" s="35">
        <f>IF(B107="","",COUNTIFS('سجل التحفيز'!$U$5:$U$2004,"&gt;0",'سجل التحفيز'!$B$5:$B$2004,B107,'سجل التحفيز'!$D$5:$D$2004,"ذهبي"))</f>
        <v/>
      </c>
      <c r="F107" s="35">
        <f>IF(B107="","",SUMIFS('سجل التحفيز'!$G$5:$G$2004,'سجل التحفيز'!$U$5:$U$2004,"&gt;0",'سجل التحفيز'!$B$5:$B$2004,B107))</f>
        <v/>
      </c>
      <c r="G107" s="35">
        <f>IF(B107="","",COUNTIF($D$54:$D$203,"&gt;"&amp;D107)+1)</f>
        <v/>
      </c>
      <c r="H107" s="35">
        <f>IF(B107="","",INDEX(الموظفات!$L$5:$L$304,MATCH(B107,الموظفات!$B$5:$B$304,0)))</f>
        <v/>
      </c>
      <c r="K107" s="36">
        <f>IF(54&gt;$B$10,"",54)</f>
        <v/>
      </c>
      <c r="L107" s="37">
        <f>IF($K107="","",INDEX('سجل التحفيز'!$A$5:$A$2004,MATCH($K107,'سجل التحفيز'!$U$5:$U$2004,0)))</f>
        <v/>
      </c>
      <c r="M107" s="9">
        <f>IF($K107="","",INDEX('سجل التحفيز'!$B$5:$B$2004,MATCH($K107,'سجل التحفيز'!$U$5:$U$2004,0)))</f>
        <v/>
      </c>
      <c r="N107" s="9">
        <f>IF($K107="","",INDEX('سجل التحفيز'!$M$5:$M$2004,MATCH($K107,'سجل التحفيز'!$U$5:$U$2004,0)))</f>
        <v/>
      </c>
      <c r="O107" s="9">
        <f>IF($K107="","",INDEX('سجل التحفيز'!$C$5:$C$2004,MATCH($K107,'سجل التحفيز'!$U$5:$U$2004,0)))</f>
        <v/>
      </c>
      <c r="P107" s="36">
        <f>IF($K107="","",INDEX('سجل التحفيز'!$D$5:$D$2004,MATCH($K107,'سجل التحفيز'!$U$5:$U$2004,0)))</f>
        <v/>
      </c>
      <c r="Q107" s="9">
        <f>IF($K107="","",INDEX('سجل التحفيز'!$E$5:$E$2004,MATCH($K107,'سجل التحفيز'!$U$5:$U$2004,0)))</f>
        <v/>
      </c>
      <c r="R107" s="9">
        <f>IF($K107="","",INDEX('سجل التحفيز'!$F$5:$F$2004,MATCH($K107,'سجل التحفيز'!$U$5:$U$2004,0)))</f>
        <v/>
      </c>
      <c r="S107" s="35">
        <f>IF($K107="","",INDEX('سجل التحفيز'!$G$5:$G$2004,MATCH($K107,'سجل التحفيز'!$U$5:$U$2004,0)))</f>
        <v/>
      </c>
    </row>
    <row r="108">
      <c r="B108" s="34">
        <f>IFERROR(INDEX(الموظفات!$B$5:$B$304,MATCH(55,الموظفات!$O$5:$O$304,0)),"")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التحفيز'!$U$5:$U$2004,"&gt;0",'سجل التحفيز'!$B$5:$B$2004,B108))</f>
        <v/>
      </c>
      <c r="E108" s="35">
        <f>IF(B108="","",COUNTIFS('سجل التحفيز'!$U$5:$U$2004,"&gt;0",'سجل التحفيز'!$B$5:$B$2004,B108,'سجل التحفيز'!$D$5:$D$2004,"ذهبي"))</f>
        <v/>
      </c>
      <c r="F108" s="35">
        <f>IF(B108="","",SUMIFS('سجل التحفيز'!$G$5:$G$2004,'سجل التحفيز'!$U$5:$U$2004,"&gt;0",'سجل التحفيز'!$B$5:$B$2004,B108))</f>
        <v/>
      </c>
      <c r="G108" s="35">
        <f>IF(B108="","",COUNTIF($D$54:$D$203,"&gt;"&amp;D108)+1)</f>
        <v/>
      </c>
      <c r="H108" s="35">
        <f>IF(B108="","",INDEX(الموظفات!$L$5:$L$304,MATCH(B108,الموظفات!$B$5:$B$304,0)))</f>
        <v/>
      </c>
      <c r="K108" s="36">
        <f>IF(55&gt;$B$10,"",55)</f>
        <v/>
      </c>
      <c r="L108" s="37">
        <f>IF($K108="","",INDEX('سجل التحفيز'!$A$5:$A$2004,MATCH($K108,'سجل التحفيز'!$U$5:$U$2004,0)))</f>
        <v/>
      </c>
      <c r="M108" s="9">
        <f>IF($K108="","",INDEX('سجل التحفيز'!$B$5:$B$2004,MATCH($K108,'سجل التحفيز'!$U$5:$U$2004,0)))</f>
        <v/>
      </c>
      <c r="N108" s="9">
        <f>IF($K108="","",INDEX('سجل التحفيز'!$M$5:$M$2004,MATCH($K108,'سجل التحفيز'!$U$5:$U$2004,0)))</f>
        <v/>
      </c>
      <c r="O108" s="9">
        <f>IF($K108="","",INDEX('سجل التحفيز'!$C$5:$C$2004,MATCH($K108,'سجل التحفيز'!$U$5:$U$2004,0)))</f>
        <v/>
      </c>
      <c r="P108" s="36">
        <f>IF($K108="","",INDEX('سجل التحفيز'!$D$5:$D$2004,MATCH($K108,'سجل التحفيز'!$U$5:$U$2004,0)))</f>
        <v/>
      </c>
      <c r="Q108" s="9">
        <f>IF($K108="","",INDEX('سجل التحفيز'!$E$5:$E$2004,MATCH($K108,'سجل التحفيز'!$U$5:$U$2004,0)))</f>
        <v/>
      </c>
      <c r="R108" s="9">
        <f>IF($K108="","",INDEX('سجل التحفيز'!$F$5:$F$2004,MATCH($K108,'سجل التحفيز'!$U$5:$U$2004,0)))</f>
        <v/>
      </c>
      <c r="S108" s="35">
        <f>IF($K108="","",INDEX('سجل التحفيز'!$G$5:$G$2004,MATCH($K108,'سجل التحفيز'!$U$5:$U$2004,0)))</f>
        <v/>
      </c>
    </row>
    <row r="109">
      <c r="B109" s="34">
        <f>IFERROR(INDEX(الموظفات!$B$5:$B$304,MATCH(56,الموظفات!$O$5:$O$304,0)),"")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التحفيز'!$U$5:$U$2004,"&gt;0",'سجل التحفيز'!$B$5:$B$2004,B109))</f>
        <v/>
      </c>
      <c r="E109" s="35">
        <f>IF(B109="","",COUNTIFS('سجل التحفيز'!$U$5:$U$2004,"&gt;0",'سجل التحفيز'!$B$5:$B$2004,B109,'سجل التحفيز'!$D$5:$D$2004,"ذهبي"))</f>
        <v/>
      </c>
      <c r="F109" s="35">
        <f>IF(B109="","",SUMIFS('سجل التحفيز'!$G$5:$G$2004,'سجل التحفيز'!$U$5:$U$2004,"&gt;0",'سجل التحفيز'!$B$5:$B$2004,B109))</f>
        <v/>
      </c>
      <c r="G109" s="35">
        <f>IF(B109="","",COUNTIF($D$54:$D$203,"&gt;"&amp;D109)+1)</f>
        <v/>
      </c>
      <c r="H109" s="35">
        <f>IF(B109="","",INDEX(الموظفات!$L$5:$L$304,MATCH(B109,الموظفات!$B$5:$B$304,0)))</f>
        <v/>
      </c>
      <c r="K109" s="36">
        <f>IF(56&gt;$B$10,"",56)</f>
        <v/>
      </c>
      <c r="L109" s="37">
        <f>IF($K109="","",INDEX('سجل التحفيز'!$A$5:$A$2004,MATCH($K109,'سجل التحفيز'!$U$5:$U$2004,0)))</f>
        <v/>
      </c>
      <c r="M109" s="9">
        <f>IF($K109="","",INDEX('سجل التحفيز'!$B$5:$B$2004,MATCH($K109,'سجل التحفيز'!$U$5:$U$2004,0)))</f>
        <v/>
      </c>
      <c r="N109" s="9">
        <f>IF($K109="","",INDEX('سجل التحفيز'!$M$5:$M$2004,MATCH($K109,'سجل التحفيز'!$U$5:$U$2004,0)))</f>
        <v/>
      </c>
      <c r="O109" s="9">
        <f>IF($K109="","",INDEX('سجل التحفيز'!$C$5:$C$2004,MATCH($K109,'سجل التحفيز'!$U$5:$U$2004,0)))</f>
        <v/>
      </c>
      <c r="P109" s="36">
        <f>IF($K109="","",INDEX('سجل التحفيز'!$D$5:$D$2004,MATCH($K109,'سجل التحفيز'!$U$5:$U$2004,0)))</f>
        <v/>
      </c>
      <c r="Q109" s="9">
        <f>IF($K109="","",INDEX('سجل التحفيز'!$E$5:$E$2004,MATCH($K109,'سجل التحفيز'!$U$5:$U$2004,0)))</f>
        <v/>
      </c>
      <c r="R109" s="9">
        <f>IF($K109="","",INDEX('سجل التحفيز'!$F$5:$F$2004,MATCH($K109,'سجل التحفيز'!$U$5:$U$2004,0)))</f>
        <v/>
      </c>
      <c r="S109" s="35">
        <f>IF($K109="","",INDEX('سجل التحفيز'!$G$5:$G$2004,MATCH($K109,'سجل التحفيز'!$U$5:$U$2004,0)))</f>
        <v/>
      </c>
    </row>
    <row r="110">
      <c r="B110" s="34">
        <f>IFERROR(INDEX(الموظفات!$B$5:$B$304,MATCH(57,الموظفات!$O$5:$O$304,0)),"")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التحفيز'!$U$5:$U$2004,"&gt;0",'سجل التحفيز'!$B$5:$B$2004,B110))</f>
        <v/>
      </c>
      <c r="E110" s="35">
        <f>IF(B110="","",COUNTIFS('سجل التحفيز'!$U$5:$U$2004,"&gt;0",'سجل التحفيز'!$B$5:$B$2004,B110,'سجل التحفيز'!$D$5:$D$2004,"ذهبي"))</f>
        <v/>
      </c>
      <c r="F110" s="35">
        <f>IF(B110="","",SUMIFS('سجل التحفيز'!$G$5:$G$2004,'سجل التحفيز'!$U$5:$U$2004,"&gt;0",'سجل التحفيز'!$B$5:$B$2004,B110))</f>
        <v/>
      </c>
      <c r="G110" s="35">
        <f>IF(B110="","",COUNTIF($D$54:$D$203,"&gt;"&amp;D110)+1)</f>
        <v/>
      </c>
      <c r="H110" s="35">
        <f>IF(B110="","",INDEX(الموظفات!$L$5:$L$304,MATCH(B110,الموظفات!$B$5:$B$304,0)))</f>
        <v/>
      </c>
      <c r="K110" s="36">
        <f>IF(57&gt;$B$10,"",57)</f>
        <v/>
      </c>
      <c r="L110" s="37">
        <f>IF($K110="","",INDEX('سجل التحفيز'!$A$5:$A$2004,MATCH($K110,'سجل التحفيز'!$U$5:$U$2004,0)))</f>
        <v/>
      </c>
      <c r="M110" s="9">
        <f>IF($K110="","",INDEX('سجل التحفيز'!$B$5:$B$2004,MATCH($K110,'سجل التحفيز'!$U$5:$U$2004,0)))</f>
        <v/>
      </c>
      <c r="N110" s="9">
        <f>IF($K110="","",INDEX('سجل التحفيز'!$M$5:$M$2004,MATCH($K110,'سجل التحفيز'!$U$5:$U$2004,0)))</f>
        <v/>
      </c>
      <c r="O110" s="9">
        <f>IF($K110="","",INDEX('سجل التحفيز'!$C$5:$C$2004,MATCH($K110,'سجل التحفيز'!$U$5:$U$2004,0)))</f>
        <v/>
      </c>
      <c r="P110" s="36">
        <f>IF($K110="","",INDEX('سجل التحفيز'!$D$5:$D$2004,MATCH($K110,'سجل التحفيز'!$U$5:$U$2004,0)))</f>
        <v/>
      </c>
      <c r="Q110" s="9">
        <f>IF($K110="","",INDEX('سجل التحفيز'!$E$5:$E$2004,MATCH($K110,'سجل التحفيز'!$U$5:$U$2004,0)))</f>
        <v/>
      </c>
      <c r="R110" s="9">
        <f>IF($K110="","",INDEX('سجل التحفيز'!$F$5:$F$2004,MATCH($K110,'سجل التحفيز'!$U$5:$U$2004,0)))</f>
        <v/>
      </c>
      <c r="S110" s="35">
        <f>IF($K110="","",INDEX('سجل التحفيز'!$G$5:$G$2004,MATCH($K110,'سجل التحفيز'!$U$5:$U$2004,0)))</f>
        <v/>
      </c>
    </row>
    <row r="111">
      <c r="B111" s="34">
        <f>IFERROR(INDEX(الموظفات!$B$5:$B$304,MATCH(58,الموظفات!$O$5:$O$304,0)),"")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التحفيز'!$U$5:$U$2004,"&gt;0",'سجل التحفيز'!$B$5:$B$2004,B111))</f>
        <v/>
      </c>
      <c r="E111" s="35">
        <f>IF(B111="","",COUNTIFS('سجل التحفيز'!$U$5:$U$2004,"&gt;0",'سجل التحفيز'!$B$5:$B$2004,B111,'سجل التحفيز'!$D$5:$D$2004,"ذهبي"))</f>
        <v/>
      </c>
      <c r="F111" s="35">
        <f>IF(B111="","",SUMIFS('سجل التحفيز'!$G$5:$G$2004,'سجل التحفيز'!$U$5:$U$2004,"&gt;0",'سجل التحفيز'!$B$5:$B$2004,B111))</f>
        <v/>
      </c>
      <c r="G111" s="35">
        <f>IF(B111="","",COUNTIF($D$54:$D$203,"&gt;"&amp;D111)+1)</f>
        <v/>
      </c>
      <c r="H111" s="35">
        <f>IF(B111="","",INDEX(الموظفات!$L$5:$L$304,MATCH(B111,الموظفات!$B$5:$B$304,0)))</f>
        <v/>
      </c>
      <c r="K111" s="36">
        <f>IF(58&gt;$B$10,"",58)</f>
        <v/>
      </c>
      <c r="L111" s="37">
        <f>IF($K111="","",INDEX('سجل التحفيز'!$A$5:$A$2004,MATCH($K111,'سجل التحفيز'!$U$5:$U$2004,0)))</f>
        <v/>
      </c>
      <c r="M111" s="9">
        <f>IF($K111="","",INDEX('سجل التحفيز'!$B$5:$B$2004,MATCH($K111,'سجل التحفيز'!$U$5:$U$2004,0)))</f>
        <v/>
      </c>
      <c r="N111" s="9">
        <f>IF($K111="","",INDEX('سجل التحفيز'!$M$5:$M$2004,MATCH($K111,'سجل التحفيز'!$U$5:$U$2004,0)))</f>
        <v/>
      </c>
      <c r="O111" s="9">
        <f>IF($K111="","",INDEX('سجل التحفيز'!$C$5:$C$2004,MATCH($K111,'سجل التحفيز'!$U$5:$U$2004,0)))</f>
        <v/>
      </c>
      <c r="P111" s="36">
        <f>IF($K111="","",INDEX('سجل التحفيز'!$D$5:$D$2004,MATCH($K111,'سجل التحفيز'!$U$5:$U$2004,0)))</f>
        <v/>
      </c>
      <c r="Q111" s="9">
        <f>IF($K111="","",INDEX('سجل التحفيز'!$E$5:$E$2004,MATCH($K111,'سجل التحفيز'!$U$5:$U$2004,0)))</f>
        <v/>
      </c>
      <c r="R111" s="9">
        <f>IF($K111="","",INDEX('سجل التحفيز'!$F$5:$F$2004,MATCH($K111,'سجل التحفيز'!$U$5:$U$2004,0)))</f>
        <v/>
      </c>
      <c r="S111" s="35">
        <f>IF($K111="","",INDEX('سجل التحفيز'!$G$5:$G$2004,MATCH($K111,'سجل التحفيز'!$U$5:$U$2004,0)))</f>
        <v/>
      </c>
    </row>
    <row r="112">
      <c r="B112" s="34">
        <f>IFERROR(INDEX(الموظفات!$B$5:$B$304,MATCH(59,الموظفات!$O$5:$O$304,0)),"")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التحفيز'!$U$5:$U$2004,"&gt;0",'سجل التحفيز'!$B$5:$B$2004,B112))</f>
        <v/>
      </c>
      <c r="E112" s="35">
        <f>IF(B112="","",COUNTIFS('سجل التحفيز'!$U$5:$U$2004,"&gt;0",'سجل التحفيز'!$B$5:$B$2004,B112,'سجل التحفيز'!$D$5:$D$2004,"ذهبي"))</f>
        <v/>
      </c>
      <c r="F112" s="35">
        <f>IF(B112="","",SUMIFS('سجل التحفيز'!$G$5:$G$2004,'سجل التحفيز'!$U$5:$U$2004,"&gt;0",'سجل التحفيز'!$B$5:$B$2004,B112))</f>
        <v/>
      </c>
      <c r="G112" s="35">
        <f>IF(B112="","",COUNTIF($D$54:$D$203,"&gt;"&amp;D112)+1)</f>
        <v/>
      </c>
      <c r="H112" s="35">
        <f>IF(B112="","",INDEX(الموظفات!$L$5:$L$304,MATCH(B112,الموظفات!$B$5:$B$304,0)))</f>
        <v/>
      </c>
      <c r="K112" s="36">
        <f>IF(59&gt;$B$10,"",59)</f>
        <v/>
      </c>
      <c r="L112" s="37">
        <f>IF($K112="","",INDEX('سجل التحفيز'!$A$5:$A$2004,MATCH($K112,'سجل التحفيز'!$U$5:$U$2004,0)))</f>
        <v/>
      </c>
      <c r="M112" s="9">
        <f>IF($K112="","",INDEX('سجل التحفيز'!$B$5:$B$2004,MATCH($K112,'سجل التحفيز'!$U$5:$U$2004,0)))</f>
        <v/>
      </c>
      <c r="N112" s="9">
        <f>IF($K112="","",INDEX('سجل التحفيز'!$M$5:$M$2004,MATCH($K112,'سجل التحفيز'!$U$5:$U$2004,0)))</f>
        <v/>
      </c>
      <c r="O112" s="9">
        <f>IF($K112="","",INDEX('سجل التحفيز'!$C$5:$C$2004,MATCH($K112,'سجل التحفيز'!$U$5:$U$2004,0)))</f>
        <v/>
      </c>
      <c r="P112" s="36">
        <f>IF($K112="","",INDEX('سجل التحفيز'!$D$5:$D$2004,MATCH($K112,'سجل التحفيز'!$U$5:$U$2004,0)))</f>
        <v/>
      </c>
      <c r="Q112" s="9">
        <f>IF($K112="","",INDEX('سجل التحفيز'!$E$5:$E$2004,MATCH($K112,'سجل التحفيز'!$U$5:$U$2004,0)))</f>
        <v/>
      </c>
      <c r="R112" s="9">
        <f>IF($K112="","",INDEX('سجل التحفيز'!$F$5:$F$2004,MATCH($K112,'سجل التحفيز'!$U$5:$U$2004,0)))</f>
        <v/>
      </c>
      <c r="S112" s="35">
        <f>IF($K112="","",INDEX('سجل التحفيز'!$G$5:$G$2004,MATCH($K112,'سجل التحفيز'!$U$5:$U$2004,0)))</f>
        <v/>
      </c>
    </row>
    <row r="113">
      <c r="B113" s="34">
        <f>IFERROR(INDEX(الموظفات!$B$5:$B$304,MATCH(60,الموظفات!$O$5:$O$304,0)),"")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التحفيز'!$U$5:$U$2004,"&gt;0",'سجل التحفيز'!$B$5:$B$2004,B113))</f>
        <v/>
      </c>
      <c r="E113" s="35">
        <f>IF(B113="","",COUNTIFS('سجل التحفيز'!$U$5:$U$2004,"&gt;0",'سجل التحفيز'!$B$5:$B$2004,B113,'سجل التحفيز'!$D$5:$D$2004,"ذهبي"))</f>
        <v/>
      </c>
      <c r="F113" s="35">
        <f>IF(B113="","",SUMIFS('سجل التحفيز'!$G$5:$G$2004,'سجل التحفيز'!$U$5:$U$2004,"&gt;0",'سجل التحفيز'!$B$5:$B$2004,B113))</f>
        <v/>
      </c>
      <c r="G113" s="35">
        <f>IF(B113="","",COUNTIF($D$54:$D$203,"&gt;"&amp;D113)+1)</f>
        <v/>
      </c>
      <c r="H113" s="35">
        <f>IF(B113="","",INDEX(الموظفات!$L$5:$L$304,MATCH(B113,الموظفات!$B$5:$B$304,0)))</f>
        <v/>
      </c>
      <c r="K113" s="36">
        <f>IF(60&gt;$B$10,"",60)</f>
        <v/>
      </c>
      <c r="L113" s="37">
        <f>IF($K113="","",INDEX('سجل التحفيز'!$A$5:$A$2004,MATCH($K113,'سجل التحفيز'!$U$5:$U$2004,0)))</f>
        <v/>
      </c>
      <c r="M113" s="9">
        <f>IF($K113="","",INDEX('سجل التحفيز'!$B$5:$B$2004,MATCH($K113,'سجل التحفيز'!$U$5:$U$2004,0)))</f>
        <v/>
      </c>
      <c r="N113" s="9">
        <f>IF($K113="","",INDEX('سجل التحفيز'!$M$5:$M$2004,MATCH($K113,'سجل التحفيز'!$U$5:$U$2004,0)))</f>
        <v/>
      </c>
      <c r="O113" s="9">
        <f>IF($K113="","",INDEX('سجل التحفيز'!$C$5:$C$2004,MATCH($K113,'سجل التحفيز'!$U$5:$U$2004,0)))</f>
        <v/>
      </c>
      <c r="P113" s="36">
        <f>IF($K113="","",INDEX('سجل التحفيز'!$D$5:$D$2004,MATCH($K113,'سجل التحفيز'!$U$5:$U$2004,0)))</f>
        <v/>
      </c>
      <c r="Q113" s="9">
        <f>IF($K113="","",INDEX('سجل التحفيز'!$E$5:$E$2004,MATCH($K113,'سجل التحفيز'!$U$5:$U$2004,0)))</f>
        <v/>
      </c>
      <c r="R113" s="9">
        <f>IF($K113="","",INDEX('سجل التحفيز'!$F$5:$F$2004,MATCH($K113,'سجل التحفيز'!$U$5:$U$2004,0)))</f>
        <v/>
      </c>
      <c r="S113" s="35">
        <f>IF($K113="","",INDEX('سجل التحفيز'!$G$5:$G$2004,MATCH($K113,'سجل التحفيز'!$U$5:$U$2004,0)))</f>
        <v/>
      </c>
    </row>
    <row r="114">
      <c r="B114" s="34">
        <f>IFERROR(INDEX(الموظفات!$B$5:$B$304,MATCH(61,الموظفات!$O$5:$O$304,0)),"")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التحفيز'!$U$5:$U$2004,"&gt;0",'سجل التحفيز'!$B$5:$B$2004,B114))</f>
        <v/>
      </c>
      <c r="E114" s="35">
        <f>IF(B114="","",COUNTIFS('سجل التحفيز'!$U$5:$U$2004,"&gt;0",'سجل التحفيز'!$B$5:$B$2004,B114,'سجل التحفيز'!$D$5:$D$2004,"ذهبي"))</f>
        <v/>
      </c>
      <c r="F114" s="35">
        <f>IF(B114="","",SUMIFS('سجل التحفيز'!$G$5:$G$2004,'سجل التحفيز'!$U$5:$U$2004,"&gt;0",'سجل التحفيز'!$B$5:$B$2004,B114))</f>
        <v/>
      </c>
      <c r="G114" s="35">
        <f>IF(B114="","",COUNTIF($D$54:$D$203,"&gt;"&amp;D114)+1)</f>
        <v/>
      </c>
      <c r="H114" s="35">
        <f>IF(B114="","",INDEX(الموظفات!$L$5:$L$304,MATCH(B114,الموظفات!$B$5:$B$304,0)))</f>
        <v/>
      </c>
      <c r="K114" s="36">
        <f>IF(61&gt;$B$10,"",61)</f>
        <v/>
      </c>
      <c r="L114" s="37">
        <f>IF($K114="","",INDEX('سجل التحفيز'!$A$5:$A$2004,MATCH($K114,'سجل التحفيز'!$U$5:$U$2004,0)))</f>
        <v/>
      </c>
      <c r="M114" s="9">
        <f>IF($K114="","",INDEX('سجل التحفيز'!$B$5:$B$2004,MATCH($K114,'سجل التحفيز'!$U$5:$U$2004,0)))</f>
        <v/>
      </c>
      <c r="N114" s="9">
        <f>IF($K114="","",INDEX('سجل التحفيز'!$M$5:$M$2004,MATCH($K114,'سجل التحفيز'!$U$5:$U$2004,0)))</f>
        <v/>
      </c>
      <c r="O114" s="9">
        <f>IF($K114="","",INDEX('سجل التحفيز'!$C$5:$C$2004,MATCH($K114,'سجل التحفيز'!$U$5:$U$2004,0)))</f>
        <v/>
      </c>
      <c r="P114" s="36">
        <f>IF($K114="","",INDEX('سجل التحفيز'!$D$5:$D$2004,MATCH($K114,'سجل التحفيز'!$U$5:$U$2004,0)))</f>
        <v/>
      </c>
      <c r="Q114" s="9">
        <f>IF($K114="","",INDEX('سجل التحفيز'!$E$5:$E$2004,MATCH($K114,'سجل التحفيز'!$U$5:$U$2004,0)))</f>
        <v/>
      </c>
      <c r="R114" s="9">
        <f>IF($K114="","",INDEX('سجل التحفيز'!$F$5:$F$2004,MATCH($K114,'سجل التحفيز'!$U$5:$U$2004,0)))</f>
        <v/>
      </c>
      <c r="S114" s="35">
        <f>IF($K114="","",INDEX('سجل التحفيز'!$G$5:$G$2004,MATCH($K114,'سجل التحفيز'!$U$5:$U$2004,0)))</f>
        <v/>
      </c>
    </row>
    <row r="115">
      <c r="B115" s="34">
        <f>IFERROR(INDEX(الموظفات!$B$5:$B$304,MATCH(62,الموظفات!$O$5:$O$304,0)),"")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التحفيز'!$U$5:$U$2004,"&gt;0",'سجل التحفيز'!$B$5:$B$2004,B115))</f>
        <v/>
      </c>
      <c r="E115" s="35">
        <f>IF(B115="","",COUNTIFS('سجل التحفيز'!$U$5:$U$2004,"&gt;0",'سجل التحفيز'!$B$5:$B$2004,B115,'سجل التحفيز'!$D$5:$D$2004,"ذهبي"))</f>
        <v/>
      </c>
      <c r="F115" s="35">
        <f>IF(B115="","",SUMIFS('سجل التحفيز'!$G$5:$G$2004,'سجل التحفيز'!$U$5:$U$2004,"&gt;0",'سجل التحفيز'!$B$5:$B$2004,B115))</f>
        <v/>
      </c>
      <c r="G115" s="35">
        <f>IF(B115="","",COUNTIF($D$54:$D$203,"&gt;"&amp;D115)+1)</f>
        <v/>
      </c>
      <c r="H115" s="35">
        <f>IF(B115="","",INDEX(الموظفات!$L$5:$L$304,MATCH(B115,الموظفات!$B$5:$B$304,0)))</f>
        <v/>
      </c>
      <c r="K115" s="36">
        <f>IF(62&gt;$B$10,"",62)</f>
        <v/>
      </c>
      <c r="L115" s="37">
        <f>IF($K115="","",INDEX('سجل التحفيز'!$A$5:$A$2004,MATCH($K115,'سجل التحفيز'!$U$5:$U$2004,0)))</f>
        <v/>
      </c>
      <c r="M115" s="9">
        <f>IF($K115="","",INDEX('سجل التحفيز'!$B$5:$B$2004,MATCH($K115,'سجل التحفيز'!$U$5:$U$2004,0)))</f>
        <v/>
      </c>
      <c r="N115" s="9">
        <f>IF($K115="","",INDEX('سجل التحفيز'!$M$5:$M$2004,MATCH($K115,'سجل التحفيز'!$U$5:$U$2004,0)))</f>
        <v/>
      </c>
      <c r="O115" s="9">
        <f>IF($K115="","",INDEX('سجل التحفيز'!$C$5:$C$2004,MATCH($K115,'سجل التحفيز'!$U$5:$U$2004,0)))</f>
        <v/>
      </c>
      <c r="P115" s="36">
        <f>IF($K115="","",INDEX('سجل التحفيز'!$D$5:$D$2004,MATCH($K115,'سجل التحفيز'!$U$5:$U$2004,0)))</f>
        <v/>
      </c>
      <c r="Q115" s="9">
        <f>IF($K115="","",INDEX('سجل التحفيز'!$E$5:$E$2004,MATCH($K115,'سجل التحفيز'!$U$5:$U$2004,0)))</f>
        <v/>
      </c>
      <c r="R115" s="9">
        <f>IF($K115="","",INDEX('سجل التحفيز'!$F$5:$F$2004,MATCH($K115,'سجل التحفيز'!$U$5:$U$2004,0)))</f>
        <v/>
      </c>
      <c r="S115" s="35">
        <f>IF($K115="","",INDEX('سجل التحفيز'!$G$5:$G$2004,MATCH($K115,'سجل التحفيز'!$U$5:$U$2004,0)))</f>
        <v/>
      </c>
    </row>
    <row r="116">
      <c r="B116" s="34">
        <f>IFERROR(INDEX(الموظفات!$B$5:$B$304,MATCH(63,الموظفات!$O$5:$O$304,0)),"")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التحفيز'!$U$5:$U$2004,"&gt;0",'سجل التحفيز'!$B$5:$B$2004,B116))</f>
        <v/>
      </c>
      <c r="E116" s="35">
        <f>IF(B116="","",COUNTIFS('سجل التحفيز'!$U$5:$U$2004,"&gt;0",'سجل التحفيز'!$B$5:$B$2004,B116,'سجل التحفيز'!$D$5:$D$2004,"ذهبي"))</f>
        <v/>
      </c>
      <c r="F116" s="35">
        <f>IF(B116="","",SUMIFS('سجل التحفيز'!$G$5:$G$2004,'سجل التحفيز'!$U$5:$U$2004,"&gt;0",'سجل التحفيز'!$B$5:$B$2004,B116))</f>
        <v/>
      </c>
      <c r="G116" s="35">
        <f>IF(B116="","",COUNTIF($D$54:$D$203,"&gt;"&amp;D116)+1)</f>
        <v/>
      </c>
      <c r="H116" s="35">
        <f>IF(B116="","",INDEX(الموظفات!$L$5:$L$304,MATCH(B116,الموظفات!$B$5:$B$304,0)))</f>
        <v/>
      </c>
      <c r="K116" s="36">
        <f>IF(63&gt;$B$10,"",63)</f>
        <v/>
      </c>
      <c r="L116" s="37">
        <f>IF($K116="","",INDEX('سجل التحفيز'!$A$5:$A$2004,MATCH($K116,'سجل التحفيز'!$U$5:$U$2004,0)))</f>
        <v/>
      </c>
      <c r="M116" s="9">
        <f>IF($K116="","",INDEX('سجل التحفيز'!$B$5:$B$2004,MATCH($K116,'سجل التحفيز'!$U$5:$U$2004,0)))</f>
        <v/>
      </c>
      <c r="N116" s="9">
        <f>IF($K116="","",INDEX('سجل التحفيز'!$M$5:$M$2004,MATCH($K116,'سجل التحفيز'!$U$5:$U$2004,0)))</f>
        <v/>
      </c>
      <c r="O116" s="9">
        <f>IF($K116="","",INDEX('سجل التحفيز'!$C$5:$C$2004,MATCH($K116,'سجل التحفيز'!$U$5:$U$2004,0)))</f>
        <v/>
      </c>
      <c r="P116" s="36">
        <f>IF($K116="","",INDEX('سجل التحفيز'!$D$5:$D$2004,MATCH($K116,'سجل التحفيز'!$U$5:$U$2004,0)))</f>
        <v/>
      </c>
      <c r="Q116" s="9">
        <f>IF($K116="","",INDEX('سجل التحفيز'!$E$5:$E$2004,MATCH($K116,'سجل التحفيز'!$U$5:$U$2004,0)))</f>
        <v/>
      </c>
      <c r="R116" s="9">
        <f>IF($K116="","",INDEX('سجل التحفيز'!$F$5:$F$2004,MATCH($K116,'سجل التحفيز'!$U$5:$U$2004,0)))</f>
        <v/>
      </c>
      <c r="S116" s="35">
        <f>IF($K116="","",INDEX('سجل التحفيز'!$G$5:$G$2004,MATCH($K116,'سجل التحفيز'!$U$5:$U$2004,0)))</f>
        <v/>
      </c>
    </row>
    <row r="117">
      <c r="B117" s="34">
        <f>IFERROR(INDEX(الموظفات!$B$5:$B$304,MATCH(64,الموظفات!$O$5:$O$304,0)),"")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التحفيز'!$U$5:$U$2004,"&gt;0",'سجل التحفيز'!$B$5:$B$2004,B117))</f>
        <v/>
      </c>
      <c r="E117" s="35">
        <f>IF(B117="","",COUNTIFS('سجل التحفيز'!$U$5:$U$2004,"&gt;0",'سجل التحفيز'!$B$5:$B$2004,B117,'سجل التحفيز'!$D$5:$D$2004,"ذهبي"))</f>
        <v/>
      </c>
      <c r="F117" s="35">
        <f>IF(B117="","",SUMIFS('سجل التحفيز'!$G$5:$G$2004,'سجل التحفيز'!$U$5:$U$2004,"&gt;0",'سجل التحفيز'!$B$5:$B$2004,B117))</f>
        <v/>
      </c>
      <c r="G117" s="35">
        <f>IF(B117="","",COUNTIF($D$54:$D$203,"&gt;"&amp;D117)+1)</f>
        <v/>
      </c>
      <c r="H117" s="35">
        <f>IF(B117="","",INDEX(الموظفات!$L$5:$L$304,MATCH(B117,الموظفات!$B$5:$B$304,0)))</f>
        <v/>
      </c>
      <c r="K117" s="36">
        <f>IF(64&gt;$B$10,"",64)</f>
        <v/>
      </c>
      <c r="L117" s="37">
        <f>IF($K117="","",INDEX('سجل التحفيز'!$A$5:$A$2004,MATCH($K117,'سجل التحفيز'!$U$5:$U$2004,0)))</f>
        <v/>
      </c>
      <c r="M117" s="9">
        <f>IF($K117="","",INDEX('سجل التحفيز'!$B$5:$B$2004,MATCH($K117,'سجل التحفيز'!$U$5:$U$2004,0)))</f>
        <v/>
      </c>
      <c r="N117" s="9">
        <f>IF($K117="","",INDEX('سجل التحفيز'!$M$5:$M$2004,MATCH($K117,'سجل التحفيز'!$U$5:$U$2004,0)))</f>
        <v/>
      </c>
      <c r="O117" s="9">
        <f>IF($K117="","",INDEX('سجل التحفيز'!$C$5:$C$2004,MATCH($K117,'سجل التحفيز'!$U$5:$U$2004,0)))</f>
        <v/>
      </c>
      <c r="P117" s="36">
        <f>IF($K117="","",INDEX('سجل التحفيز'!$D$5:$D$2004,MATCH($K117,'سجل التحفيز'!$U$5:$U$2004,0)))</f>
        <v/>
      </c>
      <c r="Q117" s="9">
        <f>IF($K117="","",INDEX('سجل التحفيز'!$E$5:$E$2004,MATCH($K117,'سجل التحفيز'!$U$5:$U$2004,0)))</f>
        <v/>
      </c>
      <c r="R117" s="9">
        <f>IF($K117="","",INDEX('سجل التحفيز'!$F$5:$F$2004,MATCH($K117,'سجل التحفيز'!$U$5:$U$2004,0)))</f>
        <v/>
      </c>
      <c r="S117" s="35">
        <f>IF($K117="","",INDEX('سجل التحفيز'!$G$5:$G$2004,MATCH($K117,'سجل التحفيز'!$U$5:$U$2004,0)))</f>
        <v/>
      </c>
    </row>
    <row r="118">
      <c r="B118" s="34">
        <f>IFERROR(INDEX(الموظفات!$B$5:$B$304,MATCH(65,الموظفات!$O$5:$O$304,0)),"")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التحفيز'!$U$5:$U$2004,"&gt;0",'سجل التحفيز'!$B$5:$B$2004,B118))</f>
        <v/>
      </c>
      <c r="E118" s="35">
        <f>IF(B118="","",COUNTIFS('سجل التحفيز'!$U$5:$U$2004,"&gt;0",'سجل التحفيز'!$B$5:$B$2004,B118,'سجل التحفيز'!$D$5:$D$2004,"ذهبي"))</f>
        <v/>
      </c>
      <c r="F118" s="35">
        <f>IF(B118="","",SUMIFS('سجل التحفيز'!$G$5:$G$2004,'سجل التحفيز'!$U$5:$U$2004,"&gt;0",'سجل التحفيز'!$B$5:$B$2004,B118))</f>
        <v/>
      </c>
      <c r="G118" s="35">
        <f>IF(B118="","",COUNTIF($D$54:$D$203,"&gt;"&amp;D118)+1)</f>
        <v/>
      </c>
      <c r="H118" s="35">
        <f>IF(B118="","",INDEX(الموظفات!$L$5:$L$304,MATCH(B118,الموظفات!$B$5:$B$304,0)))</f>
        <v/>
      </c>
      <c r="K118" s="36">
        <f>IF(65&gt;$B$10,"",65)</f>
        <v/>
      </c>
      <c r="L118" s="37">
        <f>IF($K118="","",INDEX('سجل التحفيز'!$A$5:$A$2004,MATCH($K118,'سجل التحفيز'!$U$5:$U$2004,0)))</f>
        <v/>
      </c>
      <c r="M118" s="9">
        <f>IF($K118="","",INDEX('سجل التحفيز'!$B$5:$B$2004,MATCH($K118,'سجل التحفيز'!$U$5:$U$2004,0)))</f>
        <v/>
      </c>
      <c r="N118" s="9">
        <f>IF($K118="","",INDEX('سجل التحفيز'!$M$5:$M$2004,MATCH($K118,'سجل التحفيز'!$U$5:$U$2004,0)))</f>
        <v/>
      </c>
      <c r="O118" s="9">
        <f>IF($K118="","",INDEX('سجل التحفيز'!$C$5:$C$2004,MATCH($K118,'سجل التحفيز'!$U$5:$U$2004,0)))</f>
        <v/>
      </c>
      <c r="P118" s="36">
        <f>IF($K118="","",INDEX('سجل التحفيز'!$D$5:$D$2004,MATCH($K118,'سجل التحفيز'!$U$5:$U$2004,0)))</f>
        <v/>
      </c>
      <c r="Q118" s="9">
        <f>IF($K118="","",INDEX('سجل التحفيز'!$E$5:$E$2004,MATCH($K118,'سجل التحفيز'!$U$5:$U$2004,0)))</f>
        <v/>
      </c>
      <c r="R118" s="9">
        <f>IF($K118="","",INDEX('سجل التحفيز'!$F$5:$F$2004,MATCH($K118,'سجل التحفيز'!$U$5:$U$2004,0)))</f>
        <v/>
      </c>
      <c r="S118" s="35">
        <f>IF($K118="","",INDEX('سجل التحفيز'!$G$5:$G$2004,MATCH($K118,'سجل التحفيز'!$U$5:$U$2004,0)))</f>
        <v/>
      </c>
    </row>
    <row r="119">
      <c r="B119" s="34">
        <f>IFERROR(INDEX(الموظفات!$B$5:$B$304,MATCH(66,الموظفات!$O$5:$O$304,0)),"")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التحفيز'!$U$5:$U$2004,"&gt;0",'سجل التحفيز'!$B$5:$B$2004,B119))</f>
        <v/>
      </c>
      <c r="E119" s="35">
        <f>IF(B119="","",COUNTIFS('سجل التحفيز'!$U$5:$U$2004,"&gt;0",'سجل التحفيز'!$B$5:$B$2004,B119,'سجل التحفيز'!$D$5:$D$2004,"ذهبي"))</f>
        <v/>
      </c>
      <c r="F119" s="35">
        <f>IF(B119="","",SUMIFS('سجل التحفيز'!$G$5:$G$2004,'سجل التحفيز'!$U$5:$U$2004,"&gt;0",'سجل التحفيز'!$B$5:$B$2004,B119))</f>
        <v/>
      </c>
      <c r="G119" s="35">
        <f>IF(B119="","",COUNTIF($D$54:$D$203,"&gt;"&amp;D119)+1)</f>
        <v/>
      </c>
      <c r="H119" s="35">
        <f>IF(B119="","",INDEX(الموظفات!$L$5:$L$304,MATCH(B119,الموظفات!$B$5:$B$304,0)))</f>
        <v/>
      </c>
      <c r="K119" s="36">
        <f>IF(66&gt;$B$10,"",66)</f>
        <v/>
      </c>
      <c r="L119" s="37">
        <f>IF($K119="","",INDEX('سجل التحفيز'!$A$5:$A$2004,MATCH($K119,'سجل التحفيز'!$U$5:$U$2004,0)))</f>
        <v/>
      </c>
      <c r="M119" s="9">
        <f>IF($K119="","",INDEX('سجل التحفيز'!$B$5:$B$2004,MATCH($K119,'سجل التحفيز'!$U$5:$U$2004,0)))</f>
        <v/>
      </c>
      <c r="N119" s="9">
        <f>IF($K119="","",INDEX('سجل التحفيز'!$M$5:$M$2004,MATCH($K119,'سجل التحفيز'!$U$5:$U$2004,0)))</f>
        <v/>
      </c>
      <c r="O119" s="9">
        <f>IF($K119="","",INDEX('سجل التحفيز'!$C$5:$C$2004,MATCH($K119,'سجل التحفيز'!$U$5:$U$2004,0)))</f>
        <v/>
      </c>
      <c r="P119" s="36">
        <f>IF($K119="","",INDEX('سجل التحفيز'!$D$5:$D$2004,MATCH($K119,'سجل التحفيز'!$U$5:$U$2004,0)))</f>
        <v/>
      </c>
      <c r="Q119" s="9">
        <f>IF($K119="","",INDEX('سجل التحفيز'!$E$5:$E$2004,MATCH($K119,'سجل التحفيز'!$U$5:$U$2004,0)))</f>
        <v/>
      </c>
      <c r="R119" s="9">
        <f>IF($K119="","",INDEX('سجل التحفيز'!$F$5:$F$2004,MATCH($K119,'سجل التحفيز'!$U$5:$U$2004,0)))</f>
        <v/>
      </c>
      <c r="S119" s="35">
        <f>IF($K119="","",INDEX('سجل التحفيز'!$G$5:$G$2004,MATCH($K119,'سجل التحفيز'!$U$5:$U$2004,0)))</f>
        <v/>
      </c>
    </row>
    <row r="120">
      <c r="B120" s="34">
        <f>IFERROR(INDEX(الموظفات!$B$5:$B$304,MATCH(67,الموظفات!$O$5:$O$304,0)),"")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التحفيز'!$U$5:$U$2004,"&gt;0",'سجل التحفيز'!$B$5:$B$2004,B120))</f>
        <v/>
      </c>
      <c r="E120" s="35">
        <f>IF(B120="","",COUNTIFS('سجل التحفيز'!$U$5:$U$2004,"&gt;0",'سجل التحفيز'!$B$5:$B$2004,B120,'سجل التحفيز'!$D$5:$D$2004,"ذهبي"))</f>
        <v/>
      </c>
      <c r="F120" s="35">
        <f>IF(B120="","",SUMIFS('سجل التحفيز'!$G$5:$G$2004,'سجل التحفيز'!$U$5:$U$2004,"&gt;0",'سجل التحفيز'!$B$5:$B$2004,B120))</f>
        <v/>
      </c>
      <c r="G120" s="35">
        <f>IF(B120="","",COUNTIF($D$54:$D$203,"&gt;"&amp;D120)+1)</f>
        <v/>
      </c>
      <c r="H120" s="35">
        <f>IF(B120="","",INDEX(الموظفات!$L$5:$L$304,MATCH(B120,الموظفات!$B$5:$B$304,0)))</f>
        <v/>
      </c>
      <c r="K120" s="36">
        <f>IF(67&gt;$B$10,"",67)</f>
        <v/>
      </c>
      <c r="L120" s="37">
        <f>IF($K120="","",INDEX('سجل التحفيز'!$A$5:$A$2004,MATCH($K120,'سجل التحفيز'!$U$5:$U$2004,0)))</f>
        <v/>
      </c>
      <c r="M120" s="9">
        <f>IF($K120="","",INDEX('سجل التحفيز'!$B$5:$B$2004,MATCH($K120,'سجل التحفيز'!$U$5:$U$2004,0)))</f>
        <v/>
      </c>
      <c r="N120" s="9">
        <f>IF($K120="","",INDEX('سجل التحفيز'!$M$5:$M$2004,MATCH($K120,'سجل التحفيز'!$U$5:$U$2004,0)))</f>
        <v/>
      </c>
      <c r="O120" s="9">
        <f>IF($K120="","",INDEX('سجل التحفيز'!$C$5:$C$2004,MATCH($K120,'سجل التحفيز'!$U$5:$U$2004,0)))</f>
        <v/>
      </c>
      <c r="P120" s="36">
        <f>IF($K120="","",INDEX('سجل التحفيز'!$D$5:$D$2004,MATCH($K120,'سجل التحفيز'!$U$5:$U$2004,0)))</f>
        <v/>
      </c>
      <c r="Q120" s="9">
        <f>IF($K120="","",INDEX('سجل التحفيز'!$E$5:$E$2004,MATCH($K120,'سجل التحفيز'!$U$5:$U$2004,0)))</f>
        <v/>
      </c>
      <c r="R120" s="9">
        <f>IF($K120="","",INDEX('سجل التحفيز'!$F$5:$F$2004,MATCH($K120,'سجل التحفيز'!$U$5:$U$2004,0)))</f>
        <v/>
      </c>
      <c r="S120" s="35">
        <f>IF($K120="","",INDEX('سجل التحفيز'!$G$5:$G$2004,MATCH($K120,'سجل التحفيز'!$U$5:$U$2004,0)))</f>
        <v/>
      </c>
    </row>
    <row r="121">
      <c r="B121" s="34">
        <f>IFERROR(INDEX(الموظفات!$B$5:$B$304,MATCH(68,الموظفات!$O$5:$O$304,0)),"")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التحفيز'!$U$5:$U$2004,"&gt;0",'سجل التحفيز'!$B$5:$B$2004,B121))</f>
        <v/>
      </c>
      <c r="E121" s="35">
        <f>IF(B121="","",COUNTIFS('سجل التحفيز'!$U$5:$U$2004,"&gt;0",'سجل التحفيز'!$B$5:$B$2004,B121,'سجل التحفيز'!$D$5:$D$2004,"ذهبي"))</f>
        <v/>
      </c>
      <c r="F121" s="35">
        <f>IF(B121="","",SUMIFS('سجل التحفيز'!$G$5:$G$2004,'سجل التحفيز'!$U$5:$U$2004,"&gt;0",'سجل التحفيز'!$B$5:$B$2004,B121))</f>
        <v/>
      </c>
      <c r="G121" s="35">
        <f>IF(B121="","",COUNTIF($D$54:$D$203,"&gt;"&amp;D121)+1)</f>
        <v/>
      </c>
      <c r="H121" s="35">
        <f>IF(B121="","",INDEX(الموظفات!$L$5:$L$304,MATCH(B121,الموظفات!$B$5:$B$304,0)))</f>
        <v/>
      </c>
      <c r="K121" s="36">
        <f>IF(68&gt;$B$10,"",68)</f>
        <v/>
      </c>
      <c r="L121" s="37">
        <f>IF($K121="","",INDEX('سجل التحفيز'!$A$5:$A$2004,MATCH($K121,'سجل التحفيز'!$U$5:$U$2004,0)))</f>
        <v/>
      </c>
      <c r="M121" s="9">
        <f>IF($K121="","",INDEX('سجل التحفيز'!$B$5:$B$2004,MATCH($K121,'سجل التحفيز'!$U$5:$U$2004,0)))</f>
        <v/>
      </c>
      <c r="N121" s="9">
        <f>IF($K121="","",INDEX('سجل التحفيز'!$M$5:$M$2004,MATCH($K121,'سجل التحفيز'!$U$5:$U$2004,0)))</f>
        <v/>
      </c>
      <c r="O121" s="9">
        <f>IF($K121="","",INDEX('سجل التحفيز'!$C$5:$C$2004,MATCH($K121,'سجل التحفيز'!$U$5:$U$2004,0)))</f>
        <v/>
      </c>
      <c r="P121" s="36">
        <f>IF($K121="","",INDEX('سجل التحفيز'!$D$5:$D$2004,MATCH($K121,'سجل التحفيز'!$U$5:$U$2004,0)))</f>
        <v/>
      </c>
      <c r="Q121" s="9">
        <f>IF($K121="","",INDEX('سجل التحفيز'!$E$5:$E$2004,MATCH($K121,'سجل التحفيز'!$U$5:$U$2004,0)))</f>
        <v/>
      </c>
      <c r="R121" s="9">
        <f>IF($K121="","",INDEX('سجل التحفيز'!$F$5:$F$2004,MATCH($K121,'سجل التحفيز'!$U$5:$U$2004,0)))</f>
        <v/>
      </c>
      <c r="S121" s="35">
        <f>IF($K121="","",INDEX('سجل التحفيز'!$G$5:$G$2004,MATCH($K121,'سجل التحفيز'!$U$5:$U$2004,0)))</f>
        <v/>
      </c>
    </row>
    <row r="122">
      <c r="B122" s="34">
        <f>IFERROR(INDEX(الموظفات!$B$5:$B$304,MATCH(69,الموظفات!$O$5:$O$304,0)),"")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التحفيز'!$U$5:$U$2004,"&gt;0",'سجل التحفيز'!$B$5:$B$2004,B122))</f>
        <v/>
      </c>
      <c r="E122" s="35">
        <f>IF(B122="","",COUNTIFS('سجل التحفيز'!$U$5:$U$2004,"&gt;0",'سجل التحفيز'!$B$5:$B$2004,B122,'سجل التحفيز'!$D$5:$D$2004,"ذهبي"))</f>
        <v/>
      </c>
      <c r="F122" s="35">
        <f>IF(B122="","",SUMIFS('سجل التحفيز'!$G$5:$G$2004,'سجل التحفيز'!$U$5:$U$2004,"&gt;0",'سجل التحفيز'!$B$5:$B$2004,B122))</f>
        <v/>
      </c>
      <c r="G122" s="35">
        <f>IF(B122="","",COUNTIF($D$54:$D$203,"&gt;"&amp;D122)+1)</f>
        <v/>
      </c>
      <c r="H122" s="35">
        <f>IF(B122="","",INDEX(الموظفات!$L$5:$L$304,MATCH(B122,الموظفات!$B$5:$B$304,0)))</f>
        <v/>
      </c>
      <c r="K122" s="36">
        <f>IF(69&gt;$B$10,"",69)</f>
        <v/>
      </c>
      <c r="L122" s="37">
        <f>IF($K122="","",INDEX('سجل التحفيز'!$A$5:$A$2004,MATCH($K122,'سجل التحفيز'!$U$5:$U$2004,0)))</f>
        <v/>
      </c>
      <c r="M122" s="9">
        <f>IF($K122="","",INDEX('سجل التحفيز'!$B$5:$B$2004,MATCH($K122,'سجل التحفيز'!$U$5:$U$2004,0)))</f>
        <v/>
      </c>
      <c r="N122" s="9">
        <f>IF($K122="","",INDEX('سجل التحفيز'!$M$5:$M$2004,MATCH($K122,'سجل التحفيز'!$U$5:$U$2004,0)))</f>
        <v/>
      </c>
      <c r="O122" s="9">
        <f>IF($K122="","",INDEX('سجل التحفيز'!$C$5:$C$2004,MATCH($K122,'سجل التحفيز'!$U$5:$U$2004,0)))</f>
        <v/>
      </c>
      <c r="P122" s="36">
        <f>IF($K122="","",INDEX('سجل التحفيز'!$D$5:$D$2004,MATCH($K122,'سجل التحفيز'!$U$5:$U$2004,0)))</f>
        <v/>
      </c>
      <c r="Q122" s="9">
        <f>IF($K122="","",INDEX('سجل التحفيز'!$E$5:$E$2004,MATCH($K122,'سجل التحفيز'!$U$5:$U$2004,0)))</f>
        <v/>
      </c>
      <c r="R122" s="9">
        <f>IF($K122="","",INDEX('سجل التحفيز'!$F$5:$F$2004,MATCH($K122,'سجل التحفيز'!$U$5:$U$2004,0)))</f>
        <v/>
      </c>
      <c r="S122" s="35">
        <f>IF($K122="","",INDEX('سجل التحفيز'!$G$5:$G$2004,MATCH($K122,'سجل التحفيز'!$U$5:$U$2004,0)))</f>
        <v/>
      </c>
    </row>
    <row r="123">
      <c r="B123" s="34">
        <f>IFERROR(INDEX(الموظفات!$B$5:$B$304,MATCH(70,الموظفات!$O$5:$O$304,0)),"")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التحفيز'!$U$5:$U$2004,"&gt;0",'سجل التحفيز'!$B$5:$B$2004,B123))</f>
        <v/>
      </c>
      <c r="E123" s="35">
        <f>IF(B123="","",COUNTIFS('سجل التحفيز'!$U$5:$U$2004,"&gt;0",'سجل التحفيز'!$B$5:$B$2004,B123,'سجل التحفيز'!$D$5:$D$2004,"ذهبي"))</f>
        <v/>
      </c>
      <c r="F123" s="35">
        <f>IF(B123="","",SUMIFS('سجل التحفيز'!$G$5:$G$2004,'سجل التحفيز'!$U$5:$U$2004,"&gt;0",'سجل التحفيز'!$B$5:$B$2004,B123))</f>
        <v/>
      </c>
      <c r="G123" s="35">
        <f>IF(B123="","",COUNTIF($D$54:$D$203,"&gt;"&amp;D123)+1)</f>
        <v/>
      </c>
      <c r="H123" s="35">
        <f>IF(B123="","",INDEX(الموظفات!$L$5:$L$304,MATCH(B123,الموظفات!$B$5:$B$304,0)))</f>
        <v/>
      </c>
      <c r="K123" s="36">
        <f>IF(70&gt;$B$10,"",70)</f>
        <v/>
      </c>
      <c r="L123" s="37">
        <f>IF($K123="","",INDEX('سجل التحفيز'!$A$5:$A$2004,MATCH($K123,'سجل التحفيز'!$U$5:$U$2004,0)))</f>
        <v/>
      </c>
      <c r="M123" s="9">
        <f>IF($K123="","",INDEX('سجل التحفيز'!$B$5:$B$2004,MATCH($K123,'سجل التحفيز'!$U$5:$U$2004,0)))</f>
        <v/>
      </c>
      <c r="N123" s="9">
        <f>IF($K123="","",INDEX('سجل التحفيز'!$M$5:$M$2004,MATCH($K123,'سجل التحفيز'!$U$5:$U$2004,0)))</f>
        <v/>
      </c>
      <c r="O123" s="9">
        <f>IF($K123="","",INDEX('سجل التحفيز'!$C$5:$C$2004,MATCH($K123,'سجل التحفيز'!$U$5:$U$2004,0)))</f>
        <v/>
      </c>
      <c r="P123" s="36">
        <f>IF($K123="","",INDEX('سجل التحفيز'!$D$5:$D$2004,MATCH($K123,'سجل التحفيز'!$U$5:$U$2004,0)))</f>
        <v/>
      </c>
      <c r="Q123" s="9">
        <f>IF($K123="","",INDEX('سجل التحفيز'!$E$5:$E$2004,MATCH($K123,'سجل التحفيز'!$U$5:$U$2004,0)))</f>
        <v/>
      </c>
      <c r="R123" s="9">
        <f>IF($K123="","",INDEX('سجل التحفيز'!$F$5:$F$2004,MATCH($K123,'سجل التحفيز'!$U$5:$U$2004,0)))</f>
        <v/>
      </c>
      <c r="S123" s="35">
        <f>IF($K123="","",INDEX('سجل التحفيز'!$G$5:$G$2004,MATCH($K123,'سجل التحفيز'!$U$5:$U$2004,0)))</f>
        <v/>
      </c>
    </row>
    <row r="124">
      <c r="B124" s="34">
        <f>IFERROR(INDEX(الموظفات!$B$5:$B$304,MATCH(71,الموظفات!$O$5:$O$304,0)),"")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التحفيز'!$U$5:$U$2004,"&gt;0",'سجل التحفيز'!$B$5:$B$2004,B124))</f>
        <v/>
      </c>
      <c r="E124" s="35">
        <f>IF(B124="","",COUNTIFS('سجل التحفيز'!$U$5:$U$2004,"&gt;0",'سجل التحفيز'!$B$5:$B$2004,B124,'سجل التحفيز'!$D$5:$D$2004,"ذهبي"))</f>
        <v/>
      </c>
      <c r="F124" s="35">
        <f>IF(B124="","",SUMIFS('سجل التحفيز'!$G$5:$G$2004,'سجل التحفيز'!$U$5:$U$2004,"&gt;0",'سجل التحفيز'!$B$5:$B$2004,B124))</f>
        <v/>
      </c>
      <c r="G124" s="35">
        <f>IF(B124="","",COUNTIF($D$54:$D$203,"&gt;"&amp;D124)+1)</f>
        <v/>
      </c>
      <c r="H124" s="35">
        <f>IF(B124="","",INDEX(الموظفات!$L$5:$L$304,MATCH(B124,الموظفات!$B$5:$B$304,0)))</f>
        <v/>
      </c>
      <c r="K124" s="36">
        <f>IF(71&gt;$B$10,"",71)</f>
        <v/>
      </c>
      <c r="L124" s="37">
        <f>IF($K124="","",INDEX('سجل التحفيز'!$A$5:$A$2004,MATCH($K124,'سجل التحفيز'!$U$5:$U$2004,0)))</f>
        <v/>
      </c>
      <c r="M124" s="9">
        <f>IF($K124="","",INDEX('سجل التحفيز'!$B$5:$B$2004,MATCH($K124,'سجل التحفيز'!$U$5:$U$2004,0)))</f>
        <v/>
      </c>
      <c r="N124" s="9">
        <f>IF($K124="","",INDEX('سجل التحفيز'!$M$5:$M$2004,MATCH($K124,'سجل التحفيز'!$U$5:$U$2004,0)))</f>
        <v/>
      </c>
      <c r="O124" s="9">
        <f>IF($K124="","",INDEX('سجل التحفيز'!$C$5:$C$2004,MATCH($K124,'سجل التحفيز'!$U$5:$U$2004,0)))</f>
        <v/>
      </c>
      <c r="P124" s="36">
        <f>IF($K124="","",INDEX('سجل التحفيز'!$D$5:$D$2004,MATCH($K124,'سجل التحفيز'!$U$5:$U$2004,0)))</f>
        <v/>
      </c>
      <c r="Q124" s="9">
        <f>IF($K124="","",INDEX('سجل التحفيز'!$E$5:$E$2004,MATCH($K124,'سجل التحفيز'!$U$5:$U$2004,0)))</f>
        <v/>
      </c>
      <c r="R124" s="9">
        <f>IF($K124="","",INDEX('سجل التحفيز'!$F$5:$F$2004,MATCH($K124,'سجل التحفيز'!$U$5:$U$2004,0)))</f>
        <v/>
      </c>
      <c r="S124" s="35">
        <f>IF($K124="","",INDEX('سجل التحفيز'!$G$5:$G$2004,MATCH($K124,'سجل التحفيز'!$U$5:$U$2004,0)))</f>
        <v/>
      </c>
    </row>
    <row r="125">
      <c r="B125" s="34">
        <f>IFERROR(INDEX(الموظفات!$B$5:$B$304,MATCH(72,الموظفات!$O$5:$O$304,0)),"")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التحفيز'!$U$5:$U$2004,"&gt;0",'سجل التحفيز'!$B$5:$B$2004,B125))</f>
        <v/>
      </c>
      <c r="E125" s="35">
        <f>IF(B125="","",COUNTIFS('سجل التحفيز'!$U$5:$U$2004,"&gt;0",'سجل التحفيز'!$B$5:$B$2004,B125,'سجل التحفيز'!$D$5:$D$2004,"ذهبي"))</f>
        <v/>
      </c>
      <c r="F125" s="35">
        <f>IF(B125="","",SUMIFS('سجل التحفيز'!$G$5:$G$2004,'سجل التحفيز'!$U$5:$U$2004,"&gt;0",'سجل التحفيز'!$B$5:$B$2004,B125))</f>
        <v/>
      </c>
      <c r="G125" s="35">
        <f>IF(B125="","",COUNTIF($D$54:$D$203,"&gt;"&amp;D125)+1)</f>
        <v/>
      </c>
      <c r="H125" s="35">
        <f>IF(B125="","",INDEX(الموظفات!$L$5:$L$304,MATCH(B125,الموظفات!$B$5:$B$304,0)))</f>
        <v/>
      </c>
      <c r="K125" s="36">
        <f>IF(72&gt;$B$10,"",72)</f>
        <v/>
      </c>
      <c r="L125" s="37">
        <f>IF($K125="","",INDEX('سجل التحفيز'!$A$5:$A$2004,MATCH($K125,'سجل التحفيز'!$U$5:$U$2004,0)))</f>
        <v/>
      </c>
      <c r="M125" s="9">
        <f>IF($K125="","",INDEX('سجل التحفيز'!$B$5:$B$2004,MATCH($K125,'سجل التحفيز'!$U$5:$U$2004,0)))</f>
        <v/>
      </c>
      <c r="N125" s="9">
        <f>IF($K125="","",INDEX('سجل التحفيز'!$M$5:$M$2004,MATCH($K125,'سجل التحفيز'!$U$5:$U$2004,0)))</f>
        <v/>
      </c>
      <c r="O125" s="9">
        <f>IF($K125="","",INDEX('سجل التحفيز'!$C$5:$C$2004,MATCH($K125,'سجل التحفيز'!$U$5:$U$2004,0)))</f>
        <v/>
      </c>
      <c r="P125" s="36">
        <f>IF($K125="","",INDEX('سجل التحفيز'!$D$5:$D$2004,MATCH($K125,'سجل التحفيز'!$U$5:$U$2004,0)))</f>
        <v/>
      </c>
      <c r="Q125" s="9">
        <f>IF($K125="","",INDEX('سجل التحفيز'!$E$5:$E$2004,MATCH($K125,'سجل التحفيز'!$U$5:$U$2004,0)))</f>
        <v/>
      </c>
      <c r="R125" s="9">
        <f>IF($K125="","",INDEX('سجل التحفيز'!$F$5:$F$2004,MATCH($K125,'سجل التحفيز'!$U$5:$U$2004,0)))</f>
        <v/>
      </c>
      <c r="S125" s="35">
        <f>IF($K125="","",INDEX('سجل التحفيز'!$G$5:$G$2004,MATCH($K125,'سجل التحفيز'!$U$5:$U$2004,0)))</f>
        <v/>
      </c>
    </row>
    <row r="126">
      <c r="B126" s="34">
        <f>IFERROR(INDEX(الموظفات!$B$5:$B$304,MATCH(73,الموظفات!$O$5:$O$304,0)),"")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التحفيز'!$U$5:$U$2004,"&gt;0",'سجل التحفيز'!$B$5:$B$2004,B126))</f>
        <v/>
      </c>
      <c r="E126" s="35">
        <f>IF(B126="","",COUNTIFS('سجل التحفيز'!$U$5:$U$2004,"&gt;0",'سجل التحفيز'!$B$5:$B$2004,B126,'سجل التحفيز'!$D$5:$D$2004,"ذهبي"))</f>
        <v/>
      </c>
      <c r="F126" s="35">
        <f>IF(B126="","",SUMIFS('سجل التحفيز'!$G$5:$G$2004,'سجل التحفيز'!$U$5:$U$2004,"&gt;0",'سجل التحفيز'!$B$5:$B$2004,B126))</f>
        <v/>
      </c>
      <c r="G126" s="35">
        <f>IF(B126="","",COUNTIF($D$54:$D$203,"&gt;"&amp;D126)+1)</f>
        <v/>
      </c>
      <c r="H126" s="35">
        <f>IF(B126="","",INDEX(الموظفات!$L$5:$L$304,MATCH(B126,الموظفات!$B$5:$B$304,0)))</f>
        <v/>
      </c>
      <c r="K126" s="36">
        <f>IF(73&gt;$B$10,"",73)</f>
        <v/>
      </c>
      <c r="L126" s="37">
        <f>IF($K126="","",INDEX('سجل التحفيز'!$A$5:$A$2004,MATCH($K126,'سجل التحفيز'!$U$5:$U$2004,0)))</f>
        <v/>
      </c>
      <c r="M126" s="9">
        <f>IF($K126="","",INDEX('سجل التحفيز'!$B$5:$B$2004,MATCH($K126,'سجل التحفيز'!$U$5:$U$2004,0)))</f>
        <v/>
      </c>
      <c r="N126" s="9">
        <f>IF($K126="","",INDEX('سجل التحفيز'!$M$5:$M$2004,MATCH($K126,'سجل التحفيز'!$U$5:$U$2004,0)))</f>
        <v/>
      </c>
      <c r="O126" s="9">
        <f>IF($K126="","",INDEX('سجل التحفيز'!$C$5:$C$2004,MATCH($K126,'سجل التحفيز'!$U$5:$U$2004,0)))</f>
        <v/>
      </c>
      <c r="P126" s="36">
        <f>IF($K126="","",INDEX('سجل التحفيز'!$D$5:$D$2004,MATCH($K126,'سجل التحفيز'!$U$5:$U$2004,0)))</f>
        <v/>
      </c>
      <c r="Q126" s="9">
        <f>IF($K126="","",INDEX('سجل التحفيز'!$E$5:$E$2004,MATCH($K126,'سجل التحفيز'!$U$5:$U$2004,0)))</f>
        <v/>
      </c>
      <c r="R126" s="9">
        <f>IF($K126="","",INDEX('سجل التحفيز'!$F$5:$F$2004,MATCH($K126,'سجل التحفيز'!$U$5:$U$2004,0)))</f>
        <v/>
      </c>
      <c r="S126" s="35">
        <f>IF($K126="","",INDEX('سجل التحفيز'!$G$5:$G$2004,MATCH($K126,'سجل التحفيز'!$U$5:$U$2004,0)))</f>
        <v/>
      </c>
    </row>
    <row r="127">
      <c r="B127" s="34">
        <f>IFERROR(INDEX(الموظفات!$B$5:$B$304,MATCH(74,الموظفات!$O$5:$O$304,0)),"")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التحفيز'!$U$5:$U$2004,"&gt;0",'سجل التحفيز'!$B$5:$B$2004,B127))</f>
        <v/>
      </c>
      <c r="E127" s="35">
        <f>IF(B127="","",COUNTIFS('سجل التحفيز'!$U$5:$U$2004,"&gt;0",'سجل التحفيز'!$B$5:$B$2004,B127,'سجل التحفيز'!$D$5:$D$2004,"ذهبي"))</f>
        <v/>
      </c>
      <c r="F127" s="35">
        <f>IF(B127="","",SUMIFS('سجل التحفيز'!$G$5:$G$2004,'سجل التحفيز'!$U$5:$U$2004,"&gt;0",'سجل التحفيز'!$B$5:$B$2004,B127))</f>
        <v/>
      </c>
      <c r="G127" s="35">
        <f>IF(B127="","",COUNTIF($D$54:$D$203,"&gt;"&amp;D127)+1)</f>
        <v/>
      </c>
      <c r="H127" s="35">
        <f>IF(B127="","",INDEX(الموظفات!$L$5:$L$304,MATCH(B127,الموظفات!$B$5:$B$304,0)))</f>
        <v/>
      </c>
      <c r="K127" s="36">
        <f>IF(74&gt;$B$10,"",74)</f>
        <v/>
      </c>
      <c r="L127" s="37">
        <f>IF($K127="","",INDEX('سجل التحفيز'!$A$5:$A$2004,MATCH($K127,'سجل التحفيز'!$U$5:$U$2004,0)))</f>
        <v/>
      </c>
      <c r="M127" s="9">
        <f>IF($K127="","",INDEX('سجل التحفيز'!$B$5:$B$2004,MATCH($K127,'سجل التحفيز'!$U$5:$U$2004,0)))</f>
        <v/>
      </c>
      <c r="N127" s="9">
        <f>IF($K127="","",INDEX('سجل التحفيز'!$M$5:$M$2004,MATCH($K127,'سجل التحفيز'!$U$5:$U$2004,0)))</f>
        <v/>
      </c>
      <c r="O127" s="9">
        <f>IF($K127="","",INDEX('سجل التحفيز'!$C$5:$C$2004,MATCH($K127,'سجل التحفيز'!$U$5:$U$2004,0)))</f>
        <v/>
      </c>
      <c r="P127" s="36">
        <f>IF($K127="","",INDEX('سجل التحفيز'!$D$5:$D$2004,MATCH($K127,'سجل التحفيز'!$U$5:$U$2004,0)))</f>
        <v/>
      </c>
      <c r="Q127" s="9">
        <f>IF($K127="","",INDEX('سجل التحفيز'!$E$5:$E$2004,MATCH($K127,'سجل التحفيز'!$U$5:$U$2004,0)))</f>
        <v/>
      </c>
      <c r="R127" s="9">
        <f>IF($K127="","",INDEX('سجل التحفيز'!$F$5:$F$2004,MATCH($K127,'سجل التحفيز'!$U$5:$U$2004,0)))</f>
        <v/>
      </c>
      <c r="S127" s="35">
        <f>IF($K127="","",INDEX('سجل التحفيز'!$G$5:$G$2004,MATCH($K127,'سجل التحفيز'!$U$5:$U$2004,0)))</f>
        <v/>
      </c>
    </row>
    <row r="128">
      <c r="B128" s="34">
        <f>IFERROR(INDEX(الموظفات!$B$5:$B$304,MATCH(75,الموظفات!$O$5:$O$304,0)),"")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التحفيز'!$U$5:$U$2004,"&gt;0",'سجل التحفيز'!$B$5:$B$2004,B128))</f>
        <v/>
      </c>
      <c r="E128" s="35">
        <f>IF(B128="","",COUNTIFS('سجل التحفيز'!$U$5:$U$2004,"&gt;0",'سجل التحفيز'!$B$5:$B$2004,B128,'سجل التحفيز'!$D$5:$D$2004,"ذهبي"))</f>
        <v/>
      </c>
      <c r="F128" s="35">
        <f>IF(B128="","",SUMIFS('سجل التحفيز'!$G$5:$G$2004,'سجل التحفيز'!$U$5:$U$2004,"&gt;0",'سجل التحفيز'!$B$5:$B$2004,B128))</f>
        <v/>
      </c>
      <c r="G128" s="35">
        <f>IF(B128="","",COUNTIF($D$54:$D$203,"&gt;"&amp;D128)+1)</f>
        <v/>
      </c>
      <c r="H128" s="35">
        <f>IF(B128="","",INDEX(الموظفات!$L$5:$L$304,MATCH(B128,الموظفات!$B$5:$B$304,0)))</f>
        <v/>
      </c>
      <c r="K128" s="36">
        <f>IF(75&gt;$B$10,"",75)</f>
        <v/>
      </c>
      <c r="L128" s="37">
        <f>IF($K128="","",INDEX('سجل التحفيز'!$A$5:$A$2004,MATCH($K128,'سجل التحفيز'!$U$5:$U$2004,0)))</f>
        <v/>
      </c>
      <c r="M128" s="9">
        <f>IF($K128="","",INDEX('سجل التحفيز'!$B$5:$B$2004,MATCH($K128,'سجل التحفيز'!$U$5:$U$2004,0)))</f>
        <v/>
      </c>
      <c r="N128" s="9">
        <f>IF($K128="","",INDEX('سجل التحفيز'!$M$5:$M$2004,MATCH($K128,'سجل التحفيز'!$U$5:$U$2004,0)))</f>
        <v/>
      </c>
      <c r="O128" s="9">
        <f>IF($K128="","",INDEX('سجل التحفيز'!$C$5:$C$2004,MATCH($K128,'سجل التحفيز'!$U$5:$U$2004,0)))</f>
        <v/>
      </c>
      <c r="P128" s="36">
        <f>IF($K128="","",INDEX('سجل التحفيز'!$D$5:$D$2004,MATCH($K128,'سجل التحفيز'!$U$5:$U$2004,0)))</f>
        <v/>
      </c>
      <c r="Q128" s="9">
        <f>IF($K128="","",INDEX('سجل التحفيز'!$E$5:$E$2004,MATCH($K128,'سجل التحفيز'!$U$5:$U$2004,0)))</f>
        <v/>
      </c>
      <c r="R128" s="9">
        <f>IF($K128="","",INDEX('سجل التحفيز'!$F$5:$F$2004,MATCH($K128,'سجل التحفيز'!$U$5:$U$2004,0)))</f>
        <v/>
      </c>
      <c r="S128" s="35">
        <f>IF($K128="","",INDEX('سجل التحفيز'!$G$5:$G$2004,MATCH($K128,'سجل التحفيز'!$U$5:$U$2004,0)))</f>
        <v/>
      </c>
    </row>
    <row r="129">
      <c r="B129" s="34">
        <f>IFERROR(INDEX(الموظفات!$B$5:$B$304,MATCH(76,الموظفات!$O$5:$O$304,0)),"")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التحفيز'!$U$5:$U$2004,"&gt;0",'سجل التحفيز'!$B$5:$B$2004,B129))</f>
        <v/>
      </c>
      <c r="E129" s="35">
        <f>IF(B129="","",COUNTIFS('سجل التحفيز'!$U$5:$U$2004,"&gt;0",'سجل التحفيز'!$B$5:$B$2004,B129,'سجل التحفيز'!$D$5:$D$2004,"ذهبي"))</f>
        <v/>
      </c>
      <c r="F129" s="35">
        <f>IF(B129="","",SUMIFS('سجل التحفيز'!$G$5:$G$2004,'سجل التحفيز'!$U$5:$U$2004,"&gt;0",'سجل التحفيز'!$B$5:$B$2004,B129))</f>
        <v/>
      </c>
      <c r="G129" s="35">
        <f>IF(B129="","",COUNTIF($D$54:$D$203,"&gt;"&amp;D129)+1)</f>
        <v/>
      </c>
      <c r="H129" s="35">
        <f>IF(B129="","",INDEX(الموظفات!$L$5:$L$304,MATCH(B129,الموظفات!$B$5:$B$304,0)))</f>
        <v/>
      </c>
      <c r="K129" s="36">
        <f>IF(76&gt;$B$10,"",76)</f>
        <v/>
      </c>
      <c r="L129" s="37">
        <f>IF($K129="","",INDEX('سجل التحفيز'!$A$5:$A$2004,MATCH($K129,'سجل التحفيز'!$U$5:$U$2004,0)))</f>
        <v/>
      </c>
      <c r="M129" s="9">
        <f>IF($K129="","",INDEX('سجل التحفيز'!$B$5:$B$2004,MATCH($K129,'سجل التحفيز'!$U$5:$U$2004,0)))</f>
        <v/>
      </c>
      <c r="N129" s="9">
        <f>IF($K129="","",INDEX('سجل التحفيز'!$M$5:$M$2004,MATCH($K129,'سجل التحفيز'!$U$5:$U$2004,0)))</f>
        <v/>
      </c>
      <c r="O129" s="9">
        <f>IF($K129="","",INDEX('سجل التحفيز'!$C$5:$C$2004,MATCH($K129,'سجل التحفيز'!$U$5:$U$2004,0)))</f>
        <v/>
      </c>
      <c r="P129" s="36">
        <f>IF($K129="","",INDEX('سجل التحفيز'!$D$5:$D$2004,MATCH($K129,'سجل التحفيز'!$U$5:$U$2004,0)))</f>
        <v/>
      </c>
      <c r="Q129" s="9">
        <f>IF($K129="","",INDEX('سجل التحفيز'!$E$5:$E$2004,MATCH($K129,'سجل التحفيز'!$U$5:$U$2004,0)))</f>
        <v/>
      </c>
      <c r="R129" s="9">
        <f>IF($K129="","",INDEX('سجل التحفيز'!$F$5:$F$2004,MATCH($K129,'سجل التحفيز'!$U$5:$U$2004,0)))</f>
        <v/>
      </c>
      <c r="S129" s="35">
        <f>IF($K129="","",INDEX('سجل التحفيز'!$G$5:$G$2004,MATCH($K129,'سجل التحفيز'!$U$5:$U$2004,0)))</f>
        <v/>
      </c>
    </row>
    <row r="130">
      <c r="B130" s="34">
        <f>IFERROR(INDEX(الموظفات!$B$5:$B$304,MATCH(77,الموظفات!$O$5:$O$304,0)),"")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التحفيز'!$U$5:$U$2004,"&gt;0",'سجل التحفيز'!$B$5:$B$2004,B130))</f>
        <v/>
      </c>
      <c r="E130" s="35">
        <f>IF(B130="","",COUNTIFS('سجل التحفيز'!$U$5:$U$2004,"&gt;0",'سجل التحفيز'!$B$5:$B$2004,B130,'سجل التحفيز'!$D$5:$D$2004,"ذهبي"))</f>
        <v/>
      </c>
      <c r="F130" s="35">
        <f>IF(B130="","",SUMIFS('سجل التحفيز'!$G$5:$G$2004,'سجل التحفيز'!$U$5:$U$2004,"&gt;0",'سجل التحفيز'!$B$5:$B$2004,B130))</f>
        <v/>
      </c>
      <c r="G130" s="35">
        <f>IF(B130="","",COUNTIF($D$54:$D$203,"&gt;"&amp;D130)+1)</f>
        <v/>
      </c>
      <c r="H130" s="35">
        <f>IF(B130="","",INDEX(الموظفات!$L$5:$L$304,MATCH(B130,الموظفات!$B$5:$B$304,0)))</f>
        <v/>
      </c>
      <c r="K130" s="36">
        <f>IF(77&gt;$B$10,"",77)</f>
        <v/>
      </c>
      <c r="L130" s="37">
        <f>IF($K130="","",INDEX('سجل التحفيز'!$A$5:$A$2004,MATCH($K130,'سجل التحفيز'!$U$5:$U$2004,0)))</f>
        <v/>
      </c>
      <c r="M130" s="9">
        <f>IF($K130="","",INDEX('سجل التحفيز'!$B$5:$B$2004,MATCH($K130,'سجل التحفيز'!$U$5:$U$2004,0)))</f>
        <v/>
      </c>
      <c r="N130" s="9">
        <f>IF($K130="","",INDEX('سجل التحفيز'!$M$5:$M$2004,MATCH($K130,'سجل التحفيز'!$U$5:$U$2004,0)))</f>
        <v/>
      </c>
      <c r="O130" s="9">
        <f>IF($K130="","",INDEX('سجل التحفيز'!$C$5:$C$2004,MATCH($K130,'سجل التحفيز'!$U$5:$U$2004,0)))</f>
        <v/>
      </c>
      <c r="P130" s="36">
        <f>IF($K130="","",INDEX('سجل التحفيز'!$D$5:$D$2004,MATCH($K130,'سجل التحفيز'!$U$5:$U$2004,0)))</f>
        <v/>
      </c>
      <c r="Q130" s="9">
        <f>IF($K130="","",INDEX('سجل التحفيز'!$E$5:$E$2004,MATCH($K130,'سجل التحفيز'!$U$5:$U$2004,0)))</f>
        <v/>
      </c>
      <c r="R130" s="9">
        <f>IF($K130="","",INDEX('سجل التحفيز'!$F$5:$F$2004,MATCH($K130,'سجل التحفيز'!$U$5:$U$2004,0)))</f>
        <v/>
      </c>
      <c r="S130" s="35">
        <f>IF($K130="","",INDEX('سجل التحفيز'!$G$5:$G$2004,MATCH($K130,'سجل التحفيز'!$U$5:$U$2004,0)))</f>
        <v/>
      </c>
    </row>
    <row r="131">
      <c r="B131" s="34">
        <f>IFERROR(INDEX(الموظفات!$B$5:$B$304,MATCH(78,الموظفات!$O$5:$O$304,0)),"")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التحفيز'!$U$5:$U$2004,"&gt;0",'سجل التحفيز'!$B$5:$B$2004,B131))</f>
        <v/>
      </c>
      <c r="E131" s="35">
        <f>IF(B131="","",COUNTIFS('سجل التحفيز'!$U$5:$U$2004,"&gt;0",'سجل التحفيز'!$B$5:$B$2004,B131,'سجل التحفيز'!$D$5:$D$2004,"ذهبي"))</f>
        <v/>
      </c>
      <c r="F131" s="35">
        <f>IF(B131="","",SUMIFS('سجل التحفيز'!$G$5:$G$2004,'سجل التحفيز'!$U$5:$U$2004,"&gt;0",'سجل التحفيز'!$B$5:$B$2004,B131))</f>
        <v/>
      </c>
      <c r="G131" s="35">
        <f>IF(B131="","",COUNTIF($D$54:$D$203,"&gt;"&amp;D131)+1)</f>
        <v/>
      </c>
      <c r="H131" s="35">
        <f>IF(B131="","",INDEX(الموظفات!$L$5:$L$304,MATCH(B131,الموظفات!$B$5:$B$304,0)))</f>
        <v/>
      </c>
      <c r="K131" s="36">
        <f>IF(78&gt;$B$10,"",78)</f>
        <v/>
      </c>
      <c r="L131" s="37">
        <f>IF($K131="","",INDEX('سجل التحفيز'!$A$5:$A$2004,MATCH($K131,'سجل التحفيز'!$U$5:$U$2004,0)))</f>
        <v/>
      </c>
      <c r="M131" s="9">
        <f>IF($K131="","",INDEX('سجل التحفيز'!$B$5:$B$2004,MATCH($K131,'سجل التحفيز'!$U$5:$U$2004,0)))</f>
        <v/>
      </c>
      <c r="N131" s="9">
        <f>IF($K131="","",INDEX('سجل التحفيز'!$M$5:$M$2004,MATCH($K131,'سجل التحفيز'!$U$5:$U$2004,0)))</f>
        <v/>
      </c>
      <c r="O131" s="9">
        <f>IF($K131="","",INDEX('سجل التحفيز'!$C$5:$C$2004,MATCH($K131,'سجل التحفيز'!$U$5:$U$2004,0)))</f>
        <v/>
      </c>
      <c r="P131" s="36">
        <f>IF($K131="","",INDEX('سجل التحفيز'!$D$5:$D$2004,MATCH($K131,'سجل التحفيز'!$U$5:$U$2004,0)))</f>
        <v/>
      </c>
      <c r="Q131" s="9">
        <f>IF($K131="","",INDEX('سجل التحفيز'!$E$5:$E$2004,MATCH($K131,'سجل التحفيز'!$U$5:$U$2004,0)))</f>
        <v/>
      </c>
      <c r="R131" s="9">
        <f>IF($K131="","",INDEX('سجل التحفيز'!$F$5:$F$2004,MATCH($K131,'سجل التحفيز'!$U$5:$U$2004,0)))</f>
        <v/>
      </c>
      <c r="S131" s="35">
        <f>IF($K131="","",INDEX('سجل التحفيز'!$G$5:$G$2004,MATCH($K131,'سجل التحفيز'!$U$5:$U$2004,0)))</f>
        <v/>
      </c>
    </row>
    <row r="132">
      <c r="B132" s="34">
        <f>IFERROR(INDEX(الموظفات!$B$5:$B$304,MATCH(79,الموظفات!$O$5:$O$304,0)),"")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التحفيز'!$U$5:$U$2004,"&gt;0",'سجل التحفيز'!$B$5:$B$2004,B132))</f>
        <v/>
      </c>
      <c r="E132" s="35">
        <f>IF(B132="","",COUNTIFS('سجل التحفيز'!$U$5:$U$2004,"&gt;0",'سجل التحفيز'!$B$5:$B$2004,B132,'سجل التحفيز'!$D$5:$D$2004,"ذهبي"))</f>
        <v/>
      </c>
      <c r="F132" s="35">
        <f>IF(B132="","",SUMIFS('سجل التحفيز'!$G$5:$G$2004,'سجل التحفيز'!$U$5:$U$2004,"&gt;0",'سجل التحفيز'!$B$5:$B$2004,B132))</f>
        <v/>
      </c>
      <c r="G132" s="35">
        <f>IF(B132="","",COUNTIF($D$54:$D$203,"&gt;"&amp;D132)+1)</f>
        <v/>
      </c>
      <c r="H132" s="35">
        <f>IF(B132="","",INDEX(الموظفات!$L$5:$L$304,MATCH(B132,الموظفات!$B$5:$B$304,0)))</f>
        <v/>
      </c>
      <c r="K132" s="36">
        <f>IF(79&gt;$B$10,"",79)</f>
        <v/>
      </c>
      <c r="L132" s="37">
        <f>IF($K132="","",INDEX('سجل التحفيز'!$A$5:$A$2004,MATCH($K132,'سجل التحفيز'!$U$5:$U$2004,0)))</f>
        <v/>
      </c>
      <c r="M132" s="9">
        <f>IF($K132="","",INDEX('سجل التحفيز'!$B$5:$B$2004,MATCH($K132,'سجل التحفيز'!$U$5:$U$2004,0)))</f>
        <v/>
      </c>
      <c r="N132" s="9">
        <f>IF($K132="","",INDEX('سجل التحفيز'!$M$5:$M$2004,MATCH($K132,'سجل التحفيز'!$U$5:$U$2004,0)))</f>
        <v/>
      </c>
      <c r="O132" s="9">
        <f>IF($K132="","",INDEX('سجل التحفيز'!$C$5:$C$2004,MATCH($K132,'سجل التحفيز'!$U$5:$U$2004,0)))</f>
        <v/>
      </c>
      <c r="P132" s="36">
        <f>IF($K132="","",INDEX('سجل التحفيز'!$D$5:$D$2004,MATCH($K132,'سجل التحفيز'!$U$5:$U$2004,0)))</f>
        <v/>
      </c>
      <c r="Q132" s="9">
        <f>IF($K132="","",INDEX('سجل التحفيز'!$E$5:$E$2004,MATCH($K132,'سجل التحفيز'!$U$5:$U$2004,0)))</f>
        <v/>
      </c>
      <c r="R132" s="9">
        <f>IF($K132="","",INDEX('سجل التحفيز'!$F$5:$F$2004,MATCH($K132,'سجل التحفيز'!$U$5:$U$2004,0)))</f>
        <v/>
      </c>
      <c r="S132" s="35">
        <f>IF($K132="","",INDEX('سجل التحفيز'!$G$5:$G$2004,MATCH($K132,'سجل التحفيز'!$U$5:$U$2004,0)))</f>
        <v/>
      </c>
    </row>
    <row r="133">
      <c r="B133" s="34">
        <f>IFERROR(INDEX(الموظفات!$B$5:$B$304,MATCH(80,الموظفات!$O$5:$O$304,0)),"")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التحفيز'!$U$5:$U$2004,"&gt;0",'سجل التحفيز'!$B$5:$B$2004,B133))</f>
        <v/>
      </c>
      <c r="E133" s="35">
        <f>IF(B133="","",COUNTIFS('سجل التحفيز'!$U$5:$U$2004,"&gt;0",'سجل التحفيز'!$B$5:$B$2004,B133,'سجل التحفيز'!$D$5:$D$2004,"ذهبي"))</f>
        <v/>
      </c>
      <c r="F133" s="35">
        <f>IF(B133="","",SUMIFS('سجل التحفيز'!$G$5:$G$2004,'سجل التحفيز'!$U$5:$U$2004,"&gt;0",'سجل التحفيز'!$B$5:$B$2004,B133))</f>
        <v/>
      </c>
      <c r="G133" s="35">
        <f>IF(B133="","",COUNTIF($D$54:$D$203,"&gt;"&amp;D133)+1)</f>
        <v/>
      </c>
      <c r="H133" s="35">
        <f>IF(B133="","",INDEX(الموظفات!$L$5:$L$304,MATCH(B133,الموظفات!$B$5:$B$304,0)))</f>
        <v/>
      </c>
      <c r="K133" s="36">
        <f>IF(80&gt;$B$10,"",80)</f>
        <v/>
      </c>
      <c r="L133" s="37">
        <f>IF($K133="","",INDEX('سجل التحفيز'!$A$5:$A$2004,MATCH($K133,'سجل التحفيز'!$U$5:$U$2004,0)))</f>
        <v/>
      </c>
      <c r="M133" s="9">
        <f>IF($K133="","",INDEX('سجل التحفيز'!$B$5:$B$2004,MATCH($K133,'سجل التحفيز'!$U$5:$U$2004,0)))</f>
        <v/>
      </c>
      <c r="N133" s="9">
        <f>IF($K133="","",INDEX('سجل التحفيز'!$M$5:$M$2004,MATCH($K133,'سجل التحفيز'!$U$5:$U$2004,0)))</f>
        <v/>
      </c>
      <c r="O133" s="9">
        <f>IF($K133="","",INDEX('سجل التحفيز'!$C$5:$C$2004,MATCH($K133,'سجل التحفيز'!$U$5:$U$2004,0)))</f>
        <v/>
      </c>
      <c r="P133" s="36">
        <f>IF($K133="","",INDEX('سجل التحفيز'!$D$5:$D$2004,MATCH($K133,'سجل التحفيز'!$U$5:$U$2004,0)))</f>
        <v/>
      </c>
      <c r="Q133" s="9">
        <f>IF($K133="","",INDEX('سجل التحفيز'!$E$5:$E$2004,MATCH($K133,'سجل التحفيز'!$U$5:$U$2004,0)))</f>
        <v/>
      </c>
      <c r="R133" s="9">
        <f>IF($K133="","",INDEX('سجل التحفيز'!$F$5:$F$2004,MATCH($K133,'سجل التحفيز'!$U$5:$U$2004,0)))</f>
        <v/>
      </c>
      <c r="S133" s="35">
        <f>IF($K133="","",INDEX('سجل التحفيز'!$G$5:$G$2004,MATCH($K133,'سجل التحفيز'!$U$5:$U$2004,0)))</f>
        <v/>
      </c>
    </row>
    <row r="134">
      <c r="B134" s="34">
        <f>IFERROR(INDEX(الموظفات!$B$5:$B$304,MATCH(81,الموظفات!$O$5:$O$304,0)),"")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التحفيز'!$U$5:$U$2004,"&gt;0",'سجل التحفيز'!$B$5:$B$2004,B134))</f>
        <v/>
      </c>
      <c r="E134" s="35">
        <f>IF(B134="","",COUNTIFS('سجل التحفيز'!$U$5:$U$2004,"&gt;0",'سجل التحفيز'!$B$5:$B$2004,B134,'سجل التحفيز'!$D$5:$D$2004,"ذهبي"))</f>
        <v/>
      </c>
      <c r="F134" s="35">
        <f>IF(B134="","",SUMIFS('سجل التحفيز'!$G$5:$G$2004,'سجل التحفيز'!$U$5:$U$2004,"&gt;0",'سجل التحفيز'!$B$5:$B$2004,B134))</f>
        <v/>
      </c>
      <c r="G134" s="35">
        <f>IF(B134="","",COUNTIF($D$54:$D$203,"&gt;"&amp;D134)+1)</f>
        <v/>
      </c>
      <c r="H134" s="35">
        <f>IF(B134="","",INDEX(الموظفات!$L$5:$L$304,MATCH(B134,الموظفات!$B$5:$B$304,0)))</f>
        <v/>
      </c>
      <c r="K134" s="36">
        <f>IF(81&gt;$B$10,"",81)</f>
        <v/>
      </c>
      <c r="L134" s="37">
        <f>IF($K134="","",INDEX('سجل التحفيز'!$A$5:$A$2004,MATCH($K134,'سجل التحفيز'!$U$5:$U$2004,0)))</f>
        <v/>
      </c>
      <c r="M134" s="9">
        <f>IF($K134="","",INDEX('سجل التحفيز'!$B$5:$B$2004,MATCH($K134,'سجل التحفيز'!$U$5:$U$2004,0)))</f>
        <v/>
      </c>
      <c r="N134" s="9">
        <f>IF($K134="","",INDEX('سجل التحفيز'!$M$5:$M$2004,MATCH($K134,'سجل التحفيز'!$U$5:$U$2004,0)))</f>
        <v/>
      </c>
      <c r="O134" s="9">
        <f>IF($K134="","",INDEX('سجل التحفيز'!$C$5:$C$2004,MATCH($K134,'سجل التحفيز'!$U$5:$U$2004,0)))</f>
        <v/>
      </c>
      <c r="P134" s="36">
        <f>IF($K134="","",INDEX('سجل التحفيز'!$D$5:$D$2004,MATCH($K134,'سجل التحفيز'!$U$5:$U$2004,0)))</f>
        <v/>
      </c>
      <c r="Q134" s="9">
        <f>IF($K134="","",INDEX('سجل التحفيز'!$E$5:$E$2004,MATCH($K134,'سجل التحفيز'!$U$5:$U$2004,0)))</f>
        <v/>
      </c>
      <c r="R134" s="9">
        <f>IF($K134="","",INDEX('سجل التحفيز'!$F$5:$F$2004,MATCH($K134,'سجل التحفيز'!$U$5:$U$2004,0)))</f>
        <v/>
      </c>
      <c r="S134" s="35">
        <f>IF($K134="","",INDEX('سجل التحفيز'!$G$5:$G$2004,MATCH($K134,'سجل التحفيز'!$U$5:$U$2004,0)))</f>
        <v/>
      </c>
    </row>
    <row r="135">
      <c r="B135" s="34">
        <f>IFERROR(INDEX(الموظفات!$B$5:$B$304,MATCH(82,الموظفات!$O$5:$O$304,0)),"")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التحفيز'!$U$5:$U$2004,"&gt;0",'سجل التحفيز'!$B$5:$B$2004,B135))</f>
        <v/>
      </c>
      <c r="E135" s="35">
        <f>IF(B135="","",COUNTIFS('سجل التحفيز'!$U$5:$U$2004,"&gt;0",'سجل التحفيز'!$B$5:$B$2004,B135,'سجل التحفيز'!$D$5:$D$2004,"ذهبي"))</f>
        <v/>
      </c>
      <c r="F135" s="35">
        <f>IF(B135="","",SUMIFS('سجل التحفيز'!$G$5:$G$2004,'سجل التحفيز'!$U$5:$U$2004,"&gt;0",'سجل التحفيز'!$B$5:$B$2004,B135))</f>
        <v/>
      </c>
      <c r="G135" s="35">
        <f>IF(B135="","",COUNTIF($D$54:$D$203,"&gt;"&amp;D135)+1)</f>
        <v/>
      </c>
      <c r="H135" s="35">
        <f>IF(B135="","",INDEX(الموظفات!$L$5:$L$304,MATCH(B135,الموظفات!$B$5:$B$304,0)))</f>
        <v/>
      </c>
      <c r="K135" s="36">
        <f>IF(82&gt;$B$10,"",82)</f>
        <v/>
      </c>
      <c r="L135" s="37">
        <f>IF($K135="","",INDEX('سجل التحفيز'!$A$5:$A$2004,MATCH($K135,'سجل التحفيز'!$U$5:$U$2004,0)))</f>
        <v/>
      </c>
      <c r="M135" s="9">
        <f>IF($K135="","",INDEX('سجل التحفيز'!$B$5:$B$2004,MATCH($K135,'سجل التحفيز'!$U$5:$U$2004,0)))</f>
        <v/>
      </c>
      <c r="N135" s="9">
        <f>IF($K135="","",INDEX('سجل التحفيز'!$M$5:$M$2004,MATCH($K135,'سجل التحفيز'!$U$5:$U$2004,0)))</f>
        <v/>
      </c>
      <c r="O135" s="9">
        <f>IF($K135="","",INDEX('سجل التحفيز'!$C$5:$C$2004,MATCH($K135,'سجل التحفيز'!$U$5:$U$2004,0)))</f>
        <v/>
      </c>
      <c r="P135" s="36">
        <f>IF($K135="","",INDEX('سجل التحفيز'!$D$5:$D$2004,MATCH($K135,'سجل التحفيز'!$U$5:$U$2004,0)))</f>
        <v/>
      </c>
      <c r="Q135" s="9">
        <f>IF($K135="","",INDEX('سجل التحفيز'!$E$5:$E$2004,MATCH($K135,'سجل التحفيز'!$U$5:$U$2004,0)))</f>
        <v/>
      </c>
      <c r="R135" s="9">
        <f>IF($K135="","",INDEX('سجل التحفيز'!$F$5:$F$2004,MATCH($K135,'سجل التحفيز'!$U$5:$U$2004,0)))</f>
        <v/>
      </c>
      <c r="S135" s="35">
        <f>IF($K135="","",INDEX('سجل التحفيز'!$G$5:$G$2004,MATCH($K135,'سجل التحفيز'!$U$5:$U$2004,0)))</f>
        <v/>
      </c>
    </row>
    <row r="136">
      <c r="B136" s="34">
        <f>IFERROR(INDEX(الموظفات!$B$5:$B$304,MATCH(83,الموظفات!$O$5:$O$304,0)),"")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التحفيز'!$U$5:$U$2004,"&gt;0",'سجل التحفيز'!$B$5:$B$2004,B136))</f>
        <v/>
      </c>
      <c r="E136" s="35">
        <f>IF(B136="","",COUNTIFS('سجل التحفيز'!$U$5:$U$2004,"&gt;0",'سجل التحفيز'!$B$5:$B$2004,B136,'سجل التحفيز'!$D$5:$D$2004,"ذهبي"))</f>
        <v/>
      </c>
      <c r="F136" s="35">
        <f>IF(B136="","",SUMIFS('سجل التحفيز'!$G$5:$G$2004,'سجل التحفيز'!$U$5:$U$2004,"&gt;0",'سجل التحفيز'!$B$5:$B$2004,B136))</f>
        <v/>
      </c>
      <c r="G136" s="35">
        <f>IF(B136="","",COUNTIF($D$54:$D$203,"&gt;"&amp;D136)+1)</f>
        <v/>
      </c>
      <c r="H136" s="35">
        <f>IF(B136="","",INDEX(الموظفات!$L$5:$L$304,MATCH(B136,الموظفات!$B$5:$B$304,0)))</f>
        <v/>
      </c>
      <c r="K136" s="36">
        <f>IF(83&gt;$B$10,"",83)</f>
        <v/>
      </c>
      <c r="L136" s="37">
        <f>IF($K136="","",INDEX('سجل التحفيز'!$A$5:$A$2004,MATCH($K136,'سجل التحفيز'!$U$5:$U$2004,0)))</f>
        <v/>
      </c>
      <c r="M136" s="9">
        <f>IF($K136="","",INDEX('سجل التحفيز'!$B$5:$B$2004,MATCH($K136,'سجل التحفيز'!$U$5:$U$2004,0)))</f>
        <v/>
      </c>
      <c r="N136" s="9">
        <f>IF($K136="","",INDEX('سجل التحفيز'!$M$5:$M$2004,MATCH($K136,'سجل التحفيز'!$U$5:$U$2004,0)))</f>
        <v/>
      </c>
      <c r="O136" s="9">
        <f>IF($K136="","",INDEX('سجل التحفيز'!$C$5:$C$2004,MATCH($K136,'سجل التحفيز'!$U$5:$U$2004,0)))</f>
        <v/>
      </c>
      <c r="P136" s="36">
        <f>IF($K136="","",INDEX('سجل التحفيز'!$D$5:$D$2004,MATCH($K136,'سجل التحفيز'!$U$5:$U$2004,0)))</f>
        <v/>
      </c>
      <c r="Q136" s="9">
        <f>IF($K136="","",INDEX('سجل التحفيز'!$E$5:$E$2004,MATCH($K136,'سجل التحفيز'!$U$5:$U$2004,0)))</f>
        <v/>
      </c>
      <c r="R136" s="9">
        <f>IF($K136="","",INDEX('سجل التحفيز'!$F$5:$F$2004,MATCH($K136,'سجل التحفيز'!$U$5:$U$2004,0)))</f>
        <v/>
      </c>
      <c r="S136" s="35">
        <f>IF($K136="","",INDEX('سجل التحفيز'!$G$5:$G$2004,MATCH($K136,'سجل التحفيز'!$U$5:$U$2004,0)))</f>
        <v/>
      </c>
    </row>
    <row r="137">
      <c r="B137" s="34">
        <f>IFERROR(INDEX(الموظفات!$B$5:$B$304,MATCH(84,الموظفات!$O$5:$O$304,0)),"")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التحفيز'!$U$5:$U$2004,"&gt;0",'سجل التحفيز'!$B$5:$B$2004,B137))</f>
        <v/>
      </c>
      <c r="E137" s="35">
        <f>IF(B137="","",COUNTIFS('سجل التحفيز'!$U$5:$U$2004,"&gt;0",'سجل التحفيز'!$B$5:$B$2004,B137,'سجل التحفيز'!$D$5:$D$2004,"ذهبي"))</f>
        <v/>
      </c>
      <c r="F137" s="35">
        <f>IF(B137="","",SUMIFS('سجل التحفيز'!$G$5:$G$2004,'سجل التحفيز'!$U$5:$U$2004,"&gt;0",'سجل التحفيز'!$B$5:$B$2004,B137))</f>
        <v/>
      </c>
      <c r="G137" s="35">
        <f>IF(B137="","",COUNTIF($D$54:$D$203,"&gt;"&amp;D137)+1)</f>
        <v/>
      </c>
      <c r="H137" s="35">
        <f>IF(B137="","",INDEX(الموظفات!$L$5:$L$304,MATCH(B137,الموظفات!$B$5:$B$304,0)))</f>
        <v/>
      </c>
      <c r="K137" s="36">
        <f>IF(84&gt;$B$10,"",84)</f>
        <v/>
      </c>
      <c r="L137" s="37">
        <f>IF($K137="","",INDEX('سجل التحفيز'!$A$5:$A$2004,MATCH($K137,'سجل التحفيز'!$U$5:$U$2004,0)))</f>
        <v/>
      </c>
      <c r="M137" s="9">
        <f>IF($K137="","",INDEX('سجل التحفيز'!$B$5:$B$2004,MATCH($K137,'سجل التحفيز'!$U$5:$U$2004,0)))</f>
        <v/>
      </c>
      <c r="N137" s="9">
        <f>IF($K137="","",INDEX('سجل التحفيز'!$M$5:$M$2004,MATCH($K137,'سجل التحفيز'!$U$5:$U$2004,0)))</f>
        <v/>
      </c>
      <c r="O137" s="9">
        <f>IF($K137="","",INDEX('سجل التحفيز'!$C$5:$C$2004,MATCH($K137,'سجل التحفيز'!$U$5:$U$2004,0)))</f>
        <v/>
      </c>
      <c r="P137" s="36">
        <f>IF($K137="","",INDEX('سجل التحفيز'!$D$5:$D$2004,MATCH($K137,'سجل التحفيز'!$U$5:$U$2004,0)))</f>
        <v/>
      </c>
      <c r="Q137" s="9">
        <f>IF($K137="","",INDEX('سجل التحفيز'!$E$5:$E$2004,MATCH($K137,'سجل التحفيز'!$U$5:$U$2004,0)))</f>
        <v/>
      </c>
      <c r="R137" s="9">
        <f>IF($K137="","",INDEX('سجل التحفيز'!$F$5:$F$2004,MATCH($K137,'سجل التحفيز'!$U$5:$U$2004,0)))</f>
        <v/>
      </c>
      <c r="S137" s="35">
        <f>IF($K137="","",INDEX('سجل التحفيز'!$G$5:$G$2004,MATCH($K137,'سجل التحفيز'!$U$5:$U$2004,0)))</f>
        <v/>
      </c>
    </row>
    <row r="138">
      <c r="B138" s="34">
        <f>IFERROR(INDEX(الموظفات!$B$5:$B$304,MATCH(85,الموظفات!$O$5:$O$304,0)),"")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التحفيز'!$U$5:$U$2004,"&gt;0",'سجل التحفيز'!$B$5:$B$2004,B138))</f>
        <v/>
      </c>
      <c r="E138" s="35">
        <f>IF(B138="","",COUNTIFS('سجل التحفيز'!$U$5:$U$2004,"&gt;0",'سجل التحفيز'!$B$5:$B$2004,B138,'سجل التحفيز'!$D$5:$D$2004,"ذهبي"))</f>
        <v/>
      </c>
      <c r="F138" s="35">
        <f>IF(B138="","",SUMIFS('سجل التحفيز'!$G$5:$G$2004,'سجل التحفيز'!$U$5:$U$2004,"&gt;0",'سجل التحفيز'!$B$5:$B$2004,B138))</f>
        <v/>
      </c>
      <c r="G138" s="35">
        <f>IF(B138="","",COUNTIF($D$54:$D$203,"&gt;"&amp;D138)+1)</f>
        <v/>
      </c>
      <c r="H138" s="35">
        <f>IF(B138="","",INDEX(الموظفات!$L$5:$L$304,MATCH(B138,الموظفات!$B$5:$B$304,0)))</f>
        <v/>
      </c>
      <c r="K138" s="36">
        <f>IF(85&gt;$B$10,"",85)</f>
        <v/>
      </c>
      <c r="L138" s="37">
        <f>IF($K138="","",INDEX('سجل التحفيز'!$A$5:$A$2004,MATCH($K138,'سجل التحفيز'!$U$5:$U$2004,0)))</f>
        <v/>
      </c>
      <c r="M138" s="9">
        <f>IF($K138="","",INDEX('سجل التحفيز'!$B$5:$B$2004,MATCH($K138,'سجل التحفيز'!$U$5:$U$2004,0)))</f>
        <v/>
      </c>
      <c r="N138" s="9">
        <f>IF($K138="","",INDEX('سجل التحفيز'!$M$5:$M$2004,MATCH($K138,'سجل التحفيز'!$U$5:$U$2004,0)))</f>
        <v/>
      </c>
      <c r="O138" s="9">
        <f>IF($K138="","",INDEX('سجل التحفيز'!$C$5:$C$2004,MATCH($K138,'سجل التحفيز'!$U$5:$U$2004,0)))</f>
        <v/>
      </c>
      <c r="P138" s="36">
        <f>IF($K138="","",INDEX('سجل التحفيز'!$D$5:$D$2004,MATCH($K138,'سجل التحفيز'!$U$5:$U$2004,0)))</f>
        <v/>
      </c>
      <c r="Q138" s="9">
        <f>IF($K138="","",INDEX('سجل التحفيز'!$E$5:$E$2004,MATCH($K138,'سجل التحفيز'!$U$5:$U$2004,0)))</f>
        <v/>
      </c>
      <c r="R138" s="9">
        <f>IF($K138="","",INDEX('سجل التحفيز'!$F$5:$F$2004,MATCH($K138,'سجل التحفيز'!$U$5:$U$2004,0)))</f>
        <v/>
      </c>
      <c r="S138" s="35">
        <f>IF($K138="","",INDEX('سجل التحفيز'!$G$5:$G$2004,MATCH($K138,'سجل التحفيز'!$U$5:$U$2004,0)))</f>
        <v/>
      </c>
    </row>
    <row r="139">
      <c r="B139" s="34">
        <f>IFERROR(INDEX(الموظفات!$B$5:$B$304,MATCH(86,الموظفات!$O$5:$O$304,0)),"")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التحفيز'!$U$5:$U$2004,"&gt;0",'سجل التحفيز'!$B$5:$B$2004,B139))</f>
        <v/>
      </c>
      <c r="E139" s="35">
        <f>IF(B139="","",COUNTIFS('سجل التحفيز'!$U$5:$U$2004,"&gt;0",'سجل التحفيز'!$B$5:$B$2004,B139,'سجل التحفيز'!$D$5:$D$2004,"ذهبي"))</f>
        <v/>
      </c>
      <c r="F139" s="35">
        <f>IF(B139="","",SUMIFS('سجل التحفيز'!$G$5:$G$2004,'سجل التحفيز'!$U$5:$U$2004,"&gt;0",'سجل التحفيز'!$B$5:$B$2004,B139))</f>
        <v/>
      </c>
      <c r="G139" s="35">
        <f>IF(B139="","",COUNTIF($D$54:$D$203,"&gt;"&amp;D139)+1)</f>
        <v/>
      </c>
      <c r="H139" s="35">
        <f>IF(B139="","",INDEX(الموظفات!$L$5:$L$304,MATCH(B139,الموظفات!$B$5:$B$304,0)))</f>
        <v/>
      </c>
      <c r="K139" s="36">
        <f>IF(86&gt;$B$10,"",86)</f>
        <v/>
      </c>
      <c r="L139" s="37">
        <f>IF($K139="","",INDEX('سجل التحفيز'!$A$5:$A$2004,MATCH($K139,'سجل التحفيز'!$U$5:$U$2004,0)))</f>
        <v/>
      </c>
      <c r="M139" s="9">
        <f>IF($K139="","",INDEX('سجل التحفيز'!$B$5:$B$2004,MATCH($K139,'سجل التحفيز'!$U$5:$U$2004,0)))</f>
        <v/>
      </c>
      <c r="N139" s="9">
        <f>IF($K139="","",INDEX('سجل التحفيز'!$M$5:$M$2004,MATCH($K139,'سجل التحفيز'!$U$5:$U$2004,0)))</f>
        <v/>
      </c>
      <c r="O139" s="9">
        <f>IF($K139="","",INDEX('سجل التحفيز'!$C$5:$C$2004,MATCH($K139,'سجل التحفيز'!$U$5:$U$2004,0)))</f>
        <v/>
      </c>
      <c r="P139" s="36">
        <f>IF($K139="","",INDEX('سجل التحفيز'!$D$5:$D$2004,MATCH($K139,'سجل التحفيز'!$U$5:$U$2004,0)))</f>
        <v/>
      </c>
      <c r="Q139" s="9">
        <f>IF($K139="","",INDEX('سجل التحفيز'!$E$5:$E$2004,MATCH($K139,'سجل التحفيز'!$U$5:$U$2004,0)))</f>
        <v/>
      </c>
      <c r="R139" s="9">
        <f>IF($K139="","",INDEX('سجل التحفيز'!$F$5:$F$2004,MATCH($K139,'سجل التحفيز'!$U$5:$U$2004,0)))</f>
        <v/>
      </c>
      <c r="S139" s="35">
        <f>IF($K139="","",INDEX('سجل التحفيز'!$G$5:$G$2004,MATCH($K139,'سجل التحفيز'!$U$5:$U$2004,0)))</f>
        <v/>
      </c>
    </row>
    <row r="140">
      <c r="B140" s="34">
        <f>IFERROR(INDEX(الموظفات!$B$5:$B$304,MATCH(87,الموظفات!$O$5:$O$304,0)),"")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التحفيز'!$U$5:$U$2004,"&gt;0",'سجل التحفيز'!$B$5:$B$2004,B140))</f>
        <v/>
      </c>
      <c r="E140" s="35">
        <f>IF(B140="","",COUNTIFS('سجل التحفيز'!$U$5:$U$2004,"&gt;0",'سجل التحفيز'!$B$5:$B$2004,B140,'سجل التحفيز'!$D$5:$D$2004,"ذهبي"))</f>
        <v/>
      </c>
      <c r="F140" s="35">
        <f>IF(B140="","",SUMIFS('سجل التحفيز'!$G$5:$G$2004,'سجل التحفيز'!$U$5:$U$2004,"&gt;0",'سجل التحفيز'!$B$5:$B$2004,B140))</f>
        <v/>
      </c>
      <c r="G140" s="35">
        <f>IF(B140="","",COUNTIF($D$54:$D$203,"&gt;"&amp;D140)+1)</f>
        <v/>
      </c>
      <c r="H140" s="35">
        <f>IF(B140="","",INDEX(الموظفات!$L$5:$L$304,MATCH(B140,الموظفات!$B$5:$B$304,0)))</f>
        <v/>
      </c>
      <c r="K140" s="36">
        <f>IF(87&gt;$B$10,"",87)</f>
        <v/>
      </c>
      <c r="L140" s="37">
        <f>IF($K140="","",INDEX('سجل التحفيز'!$A$5:$A$2004,MATCH($K140,'سجل التحفيز'!$U$5:$U$2004,0)))</f>
        <v/>
      </c>
      <c r="M140" s="9">
        <f>IF($K140="","",INDEX('سجل التحفيز'!$B$5:$B$2004,MATCH($K140,'سجل التحفيز'!$U$5:$U$2004,0)))</f>
        <v/>
      </c>
      <c r="N140" s="9">
        <f>IF($K140="","",INDEX('سجل التحفيز'!$M$5:$M$2004,MATCH($K140,'سجل التحفيز'!$U$5:$U$2004,0)))</f>
        <v/>
      </c>
      <c r="O140" s="9">
        <f>IF($K140="","",INDEX('سجل التحفيز'!$C$5:$C$2004,MATCH($K140,'سجل التحفيز'!$U$5:$U$2004,0)))</f>
        <v/>
      </c>
      <c r="P140" s="36">
        <f>IF($K140="","",INDEX('سجل التحفيز'!$D$5:$D$2004,MATCH($K140,'سجل التحفيز'!$U$5:$U$2004,0)))</f>
        <v/>
      </c>
      <c r="Q140" s="9">
        <f>IF($K140="","",INDEX('سجل التحفيز'!$E$5:$E$2004,MATCH($K140,'سجل التحفيز'!$U$5:$U$2004,0)))</f>
        <v/>
      </c>
      <c r="R140" s="9">
        <f>IF($K140="","",INDEX('سجل التحفيز'!$F$5:$F$2004,MATCH($K140,'سجل التحفيز'!$U$5:$U$2004,0)))</f>
        <v/>
      </c>
      <c r="S140" s="35">
        <f>IF($K140="","",INDEX('سجل التحفيز'!$G$5:$G$2004,MATCH($K140,'سجل التحفيز'!$U$5:$U$2004,0)))</f>
        <v/>
      </c>
    </row>
    <row r="141">
      <c r="B141" s="34">
        <f>IFERROR(INDEX(الموظفات!$B$5:$B$304,MATCH(88,الموظفات!$O$5:$O$304,0)),"")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التحفيز'!$U$5:$U$2004,"&gt;0",'سجل التحفيز'!$B$5:$B$2004,B141))</f>
        <v/>
      </c>
      <c r="E141" s="35">
        <f>IF(B141="","",COUNTIFS('سجل التحفيز'!$U$5:$U$2004,"&gt;0",'سجل التحفيز'!$B$5:$B$2004,B141,'سجل التحفيز'!$D$5:$D$2004,"ذهبي"))</f>
        <v/>
      </c>
      <c r="F141" s="35">
        <f>IF(B141="","",SUMIFS('سجل التحفيز'!$G$5:$G$2004,'سجل التحفيز'!$U$5:$U$2004,"&gt;0",'سجل التحفيز'!$B$5:$B$2004,B141))</f>
        <v/>
      </c>
      <c r="G141" s="35">
        <f>IF(B141="","",COUNTIF($D$54:$D$203,"&gt;"&amp;D141)+1)</f>
        <v/>
      </c>
      <c r="H141" s="35">
        <f>IF(B141="","",INDEX(الموظفات!$L$5:$L$304,MATCH(B141,الموظفات!$B$5:$B$304,0)))</f>
        <v/>
      </c>
      <c r="K141" s="36">
        <f>IF(88&gt;$B$10,"",88)</f>
        <v/>
      </c>
      <c r="L141" s="37">
        <f>IF($K141="","",INDEX('سجل التحفيز'!$A$5:$A$2004,MATCH($K141,'سجل التحفيز'!$U$5:$U$2004,0)))</f>
        <v/>
      </c>
      <c r="M141" s="9">
        <f>IF($K141="","",INDEX('سجل التحفيز'!$B$5:$B$2004,MATCH($K141,'سجل التحفيز'!$U$5:$U$2004,0)))</f>
        <v/>
      </c>
      <c r="N141" s="9">
        <f>IF($K141="","",INDEX('سجل التحفيز'!$M$5:$M$2004,MATCH($K141,'سجل التحفيز'!$U$5:$U$2004,0)))</f>
        <v/>
      </c>
      <c r="O141" s="9">
        <f>IF($K141="","",INDEX('سجل التحفيز'!$C$5:$C$2004,MATCH($K141,'سجل التحفيز'!$U$5:$U$2004,0)))</f>
        <v/>
      </c>
      <c r="P141" s="36">
        <f>IF($K141="","",INDEX('سجل التحفيز'!$D$5:$D$2004,MATCH($K141,'سجل التحفيز'!$U$5:$U$2004,0)))</f>
        <v/>
      </c>
      <c r="Q141" s="9">
        <f>IF($K141="","",INDEX('سجل التحفيز'!$E$5:$E$2004,MATCH($K141,'سجل التحفيز'!$U$5:$U$2004,0)))</f>
        <v/>
      </c>
      <c r="R141" s="9">
        <f>IF($K141="","",INDEX('سجل التحفيز'!$F$5:$F$2004,MATCH($K141,'سجل التحفيز'!$U$5:$U$2004,0)))</f>
        <v/>
      </c>
      <c r="S141" s="35">
        <f>IF($K141="","",INDEX('سجل التحفيز'!$G$5:$G$2004,MATCH($K141,'سجل التحفيز'!$U$5:$U$2004,0)))</f>
        <v/>
      </c>
    </row>
    <row r="142">
      <c r="B142" s="34">
        <f>IFERROR(INDEX(الموظفات!$B$5:$B$304,MATCH(89,الموظفات!$O$5:$O$304,0)),"")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التحفيز'!$U$5:$U$2004,"&gt;0",'سجل التحفيز'!$B$5:$B$2004,B142))</f>
        <v/>
      </c>
      <c r="E142" s="35">
        <f>IF(B142="","",COUNTIFS('سجل التحفيز'!$U$5:$U$2004,"&gt;0",'سجل التحفيز'!$B$5:$B$2004,B142,'سجل التحفيز'!$D$5:$D$2004,"ذهبي"))</f>
        <v/>
      </c>
      <c r="F142" s="35">
        <f>IF(B142="","",SUMIFS('سجل التحفيز'!$G$5:$G$2004,'سجل التحفيز'!$U$5:$U$2004,"&gt;0",'سجل التحفيز'!$B$5:$B$2004,B142))</f>
        <v/>
      </c>
      <c r="G142" s="35">
        <f>IF(B142="","",COUNTIF($D$54:$D$203,"&gt;"&amp;D142)+1)</f>
        <v/>
      </c>
      <c r="H142" s="35">
        <f>IF(B142="","",INDEX(الموظفات!$L$5:$L$304,MATCH(B142,الموظفات!$B$5:$B$304,0)))</f>
        <v/>
      </c>
      <c r="K142" s="36">
        <f>IF(89&gt;$B$10,"",89)</f>
        <v/>
      </c>
      <c r="L142" s="37">
        <f>IF($K142="","",INDEX('سجل التحفيز'!$A$5:$A$2004,MATCH($K142,'سجل التحفيز'!$U$5:$U$2004,0)))</f>
        <v/>
      </c>
      <c r="M142" s="9">
        <f>IF($K142="","",INDEX('سجل التحفيز'!$B$5:$B$2004,MATCH($K142,'سجل التحفيز'!$U$5:$U$2004,0)))</f>
        <v/>
      </c>
      <c r="N142" s="9">
        <f>IF($K142="","",INDEX('سجل التحفيز'!$M$5:$M$2004,MATCH($K142,'سجل التحفيز'!$U$5:$U$2004,0)))</f>
        <v/>
      </c>
      <c r="O142" s="9">
        <f>IF($K142="","",INDEX('سجل التحفيز'!$C$5:$C$2004,MATCH($K142,'سجل التحفيز'!$U$5:$U$2004,0)))</f>
        <v/>
      </c>
      <c r="P142" s="36">
        <f>IF($K142="","",INDEX('سجل التحفيز'!$D$5:$D$2004,MATCH($K142,'سجل التحفيز'!$U$5:$U$2004,0)))</f>
        <v/>
      </c>
      <c r="Q142" s="9">
        <f>IF($K142="","",INDEX('سجل التحفيز'!$E$5:$E$2004,MATCH($K142,'سجل التحفيز'!$U$5:$U$2004,0)))</f>
        <v/>
      </c>
      <c r="R142" s="9">
        <f>IF($K142="","",INDEX('سجل التحفيز'!$F$5:$F$2004,MATCH($K142,'سجل التحفيز'!$U$5:$U$2004,0)))</f>
        <v/>
      </c>
      <c r="S142" s="35">
        <f>IF($K142="","",INDEX('سجل التحفيز'!$G$5:$G$2004,MATCH($K142,'سجل التحفيز'!$U$5:$U$2004,0)))</f>
        <v/>
      </c>
    </row>
    <row r="143">
      <c r="B143" s="34">
        <f>IFERROR(INDEX(الموظفات!$B$5:$B$304,MATCH(90,الموظفات!$O$5:$O$304,0)),"")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التحفيز'!$U$5:$U$2004,"&gt;0",'سجل التحفيز'!$B$5:$B$2004,B143))</f>
        <v/>
      </c>
      <c r="E143" s="35">
        <f>IF(B143="","",COUNTIFS('سجل التحفيز'!$U$5:$U$2004,"&gt;0",'سجل التحفيز'!$B$5:$B$2004,B143,'سجل التحفيز'!$D$5:$D$2004,"ذهبي"))</f>
        <v/>
      </c>
      <c r="F143" s="35">
        <f>IF(B143="","",SUMIFS('سجل التحفيز'!$G$5:$G$2004,'سجل التحفيز'!$U$5:$U$2004,"&gt;0",'سجل التحفيز'!$B$5:$B$2004,B143))</f>
        <v/>
      </c>
      <c r="G143" s="35">
        <f>IF(B143="","",COUNTIF($D$54:$D$203,"&gt;"&amp;D143)+1)</f>
        <v/>
      </c>
      <c r="H143" s="35">
        <f>IF(B143="","",INDEX(الموظفات!$L$5:$L$304,MATCH(B143,الموظفات!$B$5:$B$304,0)))</f>
        <v/>
      </c>
      <c r="K143" s="36">
        <f>IF(90&gt;$B$10,"",90)</f>
        <v/>
      </c>
      <c r="L143" s="37">
        <f>IF($K143="","",INDEX('سجل التحفيز'!$A$5:$A$2004,MATCH($K143,'سجل التحفيز'!$U$5:$U$2004,0)))</f>
        <v/>
      </c>
      <c r="M143" s="9">
        <f>IF($K143="","",INDEX('سجل التحفيز'!$B$5:$B$2004,MATCH($K143,'سجل التحفيز'!$U$5:$U$2004,0)))</f>
        <v/>
      </c>
      <c r="N143" s="9">
        <f>IF($K143="","",INDEX('سجل التحفيز'!$M$5:$M$2004,MATCH($K143,'سجل التحفيز'!$U$5:$U$2004,0)))</f>
        <v/>
      </c>
      <c r="O143" s="9">
        <f>IF($K143="","",INDEX('سجل التحفيز'!$C$5:$C$2004,MATCH($K143,'سجل التحفيز'!$U$5:$U$2004,0)))</f>
        <v/>
      </c>
      <c r="P143" s="36">
        <f>IF($K143="","",INDEX('سجل التحفيز'!$D$5:$D$2004,MATCH($K143,'سجل التحفيز'!$U$5:$U$2004,0)))</f>
        <v/>
      </c>
      <c r="Q143" s="9">
        <f>IF($K143="","",INDEX('سجل التحفيز'!$E$5:$E$2004,MATCH($K143,'سجل التحفيز'!$U$5:$U$2004,0)))</f>
        <v/>
      </c>
      <c r="R143" s="9">
        <f>IF($K143="","",INDEX('سجل التحفيز'!$F$5:$F$2004,MATCH($K143,'سجل التحفيز'!$U$5:$U$2004,0)))</f>
        <v/>
      </c>
      <c r="S143" s="35">
        <f>IF($K143="","",INDEX('سجل التحفيز'!$G$5:$G$2004,MATCH($K143,'سجل التحفيز'!$U$5:$U$2004,0)))</f>
        <v/>
      </c>
    </row>
    <row r="144">
      <c r="B144" s="34">
        <f>IFERROR(INDEX(الموظفات!$B$5:$B$304,MATCH(91,الموظفات!$O$5:$O$304,0)),"")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التحفيز'!$U$5:$U$2004,"&gt;0",'سجل التحفيز'!$B$5:$B$2004,B144))</f>
        <v/>
      </c>
      <c r="E144" s="35">
        <f>IF(B144="","",COUNTIFS('سجل التحفيز'!$U$5:$U$2004,"&gt;0",'سجل التحفيز'!$B$5:$B$2004,B144,'سجل التحفيز'!$D$5:$D$2004,"ذهبي"))</f>
        <v/>
      </c>
      <c r="F144" s="35">
        <f>IF(B144="","",SUMIFS('سجل التحفيز'!$G$5:$G$2004,'سجل التحفيز'!$U$5:$U$2004,"&gt;0",'سجل التحفيز'!$B$5:$B$2004,B144))</f>
        <v/>
      </c>
      <c r="G144" s="35">
        <f>IF(B144="","",COUNTIF($D$54:$D$203,"&gt;"&amp;D144)+1)</f>
        <v/>
      </c>
      <c r="H144" s="35">
        <f>IF(B144="","",INDEX(الموظفات!$L$5:$L$304,MATCH(B144,الموظفات!$B$5:$B$304,0)))</f>
        <v/>
      </c>
      <c r="K144" s="36">
        <f>IF(91&gt;$B$10,"",91)</f>
        <v/>
      </c>
      <c r="L144" s="37">
        <f>IF($K144="","",INDEX('سجل التحفيز'!$A$5:$A$2004,MATCH($K144,'سجل التحفيز'!$U$5:$U$2004,0)))</f>
        <v/>
      </c>
      <c r="M144" s="9">
        <f>IF($K144="","",INDEX('سجل التحفيز'!$B$5:$B$2004,MATCH($K144,'سجل التحفيز'!$U$5:$U$2004,0)))</f>
        <v/>
      </c>
      <c r="N144" s="9">
        <f>IF($K144="","",INDEX('سجل التحفيز'!$M$5:$M$2004,MATCH($K144,'سجل التحفيز'!$U$5:$U$2004,0)))</f>
        <v/>
      </c>
      <c r="O144" s="9">
        <f>IF($K144="","",INDEX('سجل التحفيز'!$C$5:$C$2004,MATCH($K144,'سجل التحفيز'!$U$5:$U$2004,0)))</f>
        <v/>
      </c>
      <c r="P144" s="36">
        <f>IF($K144="","",INDEX('سجل التحفيز'!$D$5:$D$2004,MATCH($K144,'سجل التحفيز'!$U$5:$U$2004,0)))</f>
        <v/>
      </c>
      <c r="Q144" s="9">
        <f>IF($K144="","",INDEX('سجل التحفيز'!$E$5:$E$2004,MATCH($K144,'سجل التحفيز'!$U$5:$U$2004,0)))</f>
        <v/>
      </c>
      <c r="R144" s="9">
        <f>IF($K144="","",INDEX('سجل التحفيز'!$F$5:$F$2004,MATCH($K144,'سجل التحفيز'!$U$5:$U$2004,0)))</f>
        <v/>
      </c>
      <c r="S144" s="35">
        <f>IF($K144="","",INDEX('سجل التحفيز'!$G$5:$G$2004,MATCH($K144,'سجل التحفيز'!$U$5:$U$2004,0)))</f>
        <v/>
      </c>
    </row>
    <row r="145">
      <c r="B145" s="34">
        <f>IFERROR(INDEX(الموظفات!$B$5:$B$304,MATCH(92,الموظفات!$O$5:$O$304,0)),"")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التحفيز'!$U$5:$U$2004,"&gt;0",'سجل التحفيز'!$B$5:$B$2004,B145))</f>
        <v/>
      </c>
      <c r="E145" s="35">
        <f>IF(B145="","",COUNTIFS('سجل التحفيز'!$U$5:$U$2004,"&gt;0",'سجل التحفيز'!$B$5:$B$2004,B145,'سجل التحفيز'!$D$5:$D$2004,"ذهبي"))</f>
        <v/>
      </c>
      <c r="F145" s="35">
        <f>IF(B145="","",SUMIFS('سجل التحفيز'!$G$5:$G$2004,'سجل التحفيز'!$U$5:$U$2004,"&gt;0",'سجل التحفيز'!$B$5:$B$2004,B145))</f>
        <v/>
      </c>
      <c r="G145" s="35">
        <f>IF(B145="","",COUNTIF($D$54:$D$203,"&gt;"&amp;D145)+1)</f>
        <v/>
      </c>
      <c r="H145" s="35">
        <f>IF(B145="","",INDEX(الموظفات!$L$5:$L$304,MATCH(B145,الموظفات!$B$5:$B$304,0)))</f>
        <v/>
      </c>
      <c r="K145" s="36">
        <f>IF(92&gt;$B$10,"",92)</f>
        <v/>
      </c>
      <c r="L145" s="37">
        <f>IF($K145="","",INDEX('سجل التحفيز'!$A$5:$A$2004,MATCH($K145,'سجل التحفيز'!$U$5:$U$2004,0)))</f>
        <v/>
      </c>
      <c r="M145" s="9">
        <f>IF($K145="","",INDEX('سجل التحفيز'!$B$5:$B$2004,MATCH($K145,'سجل التحفيز'!$U$5:$U$2004,0)))</f>
        <v/>
      </c>
      <c r="N145" s="9">
        <f>IF($K145="","",INDEX('سجل التحفيز'!$M$5:$M$2004,MATCH($K145,'سجل التحفيز'!$U$5:$U$2004,0)))</f>
        <v/>
      </c>
      <c r="O145" s="9">
        <f>IF($K145="","",INDEX('سجل التحفيز'!$C$5:$C$2004,MATCH($K145,'سجل التحفيز'!$U$5:$U$2004,0)))</f>
        <v/>
      </c>
      <c r="P145" s="36">
        <f>IF($K145="","",INDEX('سجل التحفيز'!$D$5:$D$2004,MATCH($K145,'سجل التحفيز'!$U$5:$U$2004,0)))</f>
        <v/>
      </c>
      <c r="Q145" s="9">
        <f>IF($K145="","",INDEX('سجل التحفيز'!$E$5:$E$2004,MATCH($K145,'سجل التحفيز'!$U$5:$U$2004,0)))</f>
        <v/>
      </c>
      <c r="R145" s="9">
        <f>IF($K145="","",INDEX('سجل التحفيز'!$F$5:$F$2004,MATCH($K145,'سجل التحفيز'!$U$5:$U$2004,0)))</f>
        <v/>
      </c>
      <c r="S145" s="35">
        <f>IF($K145="","",INDEX('سجل التحفيز'!$G$5:$G$2004,MATCH($K145,'سجل التحفيز'!$U$5:$U$2004,0)))</f>
        <v/>
      </c>
    </row>
    <row r="146">
      <c r="B146" s="34">
        <f>IFERROR(INDEX(الموظفات!$B$5:$B$304,MATCH(93,الموظفات!$O$5:$O$304,0)),"")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التحفيز'!$U$5:$U$2004,"&gt;0",'سجل التحفيز'!$B$5:$B$2004,B146))</f>
        <v/>
      </c>
      <c r="E146" s="35">
        <f>IF(B146="","",COUNTIFS('سجل التحفيز'!$U$5:$U$2004,"&gt;0",'سجل التحفيز'!$B$5:$B$2004,B146,'سجل التحفيز'!$D$5:$D$2004,"ذهبي"))</f>
        <v/>
      </c>
      <c r="F146" s="35">
        <f>IF(B146="","",SUMIFS('سجل التحفيز'!$G$5:$G$2004,'سجل التحفيز'!$U$5:$U$2004,"&gt;0",'سجل التحفيز'!$B$5:$B$2004,B146))</f>
        <v/>
      </c>
      <c r="G146" s="35">
        <f>IF(B146="","",COUNTIF($D$54:$D$203,"&gt;"&amp;D146)+1)</f>
        <v/>
      </c>
      <c r="H146" s="35">
        <f>IF(B146="","",INDEX(الموظفات!$L$5:$L$304,MATCH(B146,الموظفات!$B$5:$B$304,0)))</f>
        <v/>
      </c>
      <c r="K146" s="36">
        <f>IF(93&gt;$B$10,"",93)</f>
        <v/>
      </c>
      <c r="L146" s="37">
        <f>IF($K146="","",INDEX('سجل التحفيز'!$A$5:$A$2004,MATCH($K146,'سجل التحفيز'!$U$5:$U$2004,0)))</f>
        <v/>
      </c>
      <c r="M146" s="9">
        <f>IF($K146="","",INDEX('سجل التحفيز'!$B$5:$B$2004,MATCH($K146,'سجل التحفيز'!$U$5:$U$2004,0)))</f>
        <v/>
      </c>
      <c r="N146" s="9">
        <f>IF($K146="","",INDEX('سجل التحفيز'!$M$5:$M$2004,MATCH($K146,'سجل التحفيز'!$U$5:$U$2004,0)))</f>
        <v/>
      </c>
      <c r="O146" s="9">
        <f>IF($K146="","",INDEX('سجل التحفيز'!$C$5:$C$2004,MATCH($K146,'سجل التحفيز'!$U$5:$U$2004,0)))</f>
        <v/>
      </c>
      <c r="P146" s="36">
        <f>IF($K146="","",INDEX('سجل التحفيز'!$D$5:$D$2004,MATCH($K146,'سجل التحفيز'!$U$5:$U$2004,0)))</f>
        <v/>
      </c>
      <c r="Q146" s="9">
        <f>IF($K146="","",INDEX('سجل التحفيز'!$E$5:$E$2004,MATCH($K146,'سجل التحفيز'!$U$5:$U$2004,0)))</f>
        <v/>
      </c>
      <c r="R146" s="9">
        <f>IF($K146="","",INDEX('سجل التحفيز'!$F$5:$F$2004,MATCH($K146,'سجل التحفيز'!$U$5:$U$2004,0)))</f>
        <v/>
      </c>
      <c r="S146" s="35">
        <f>IF($K146="","",INDEX('سجل التحفيز'!$G$5:$G$2004,MATCH($K146,'سجل التحفيز'!$U$5:$U$2004,0)))</f>
        <v/>
      </c>
    </row>
    <row r="147">
      <c r="B147" s="34">
        <f>IFERROR(INDEX(الموظفات!$B$5:$B$304,MATCH(94,الموظفات!$O$5:$O$304,0)),"")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التحفيز'!$U$5:$U$2004,"&gt;0",'سجل التحفيز'!$B$5:$B$2004,B147))</f>
        <v/>
      </c>
      <c r="E147" s="35">
        <f>IF(B147="","",COUNTIFS('سجل التحفيز'!$U$5:$U$2004,"&gt;0",'سجل التحفيز'!$B$5:$B$2004,B147,'سجل التحفيز'!$D$5:$D$2004,"ذهبي"))</f>
        <v/>
      </c>
      <c r="F147" s="35">
        <f>IF(B147="","",SUMIFS('سجل التحفيز'!$G$5:$G$2004,'سجل التحفيز'!$U$5:$U$2004,"&gt;0",'سجل التحفيز'!$B$5:$B$2004,B147))</f>
        <v/>
      </c>
      <c r="G147" s="35">
        <f>IF(B147="","",COUNTIF($D$54:$D$203,"&gt;"&amp;D147)+1)</f>
        <v/>
      </c>
      <c r="H147" s="35">
        <f>IF(B147="","",INDEX(الموظفات!$L$5:$L$304,MATCH(B147,الموظفات!$B$5:$B$304,0)))</f>
        <v/>
      </c>
      <c r="K147" s="36">
        <f>IF(94&gt;$B$10,"",94)</f>
        <v/>
      </c>
      <c r="L147" s="37">
        <f>IF($K147="","",INDEX('سجل التحفيز'!$A$5:$A$2004,MATCH($K147,'سجل التحفيز'!$U$5:$U$2004,0)))</f>
        <v/>
      </c>
      <c r="M147" s="9">
        <f>IF($K147="","",INDEX('سجل التحفيز'!$B$5:$B$2004,MATCH($K147,'سجل التحفيز'!$U$5:$U$2004,0)))</f>
        <v/>
      </c>
      <c r="N147" s="9">
        <f>IF($K147="","",INDEX('سجل التحفيز'!$M$5:$M$2004,MATCH($K147,'سجل التحفيز'!$U$5:$U$2004,0)))</f>
        <v/>
      </c>
      <c r="O147" s="9">
        <f>IF($K147="","",INDEX('سجل التحفيز'!$C$5:$C$2004,MATCH($K147,'سجل التحفيز'!$U$5:$U$2004,0)))</f>
        <v/>
      </c>
      <c r="P147" s="36">
        <f>IF($K147="","",INDEX('سجل التحفيز'!$D$5:$D$2004,MATCH($K147,'سجل التحفيز'!$U$5:$U$2004,0)))</f>
        <v/>
      </c>
      <c r="Q147" s="9">
        <f>IF($K147="","",INDEX('سجل التحفيز'!$E$5:$E$2004,MATCH($K147,'سجل التحفيز'!$U$5:$U$2004,0)))</f>
        <v/>
      </c>
      <c r="R147" s="9">
        <f>IF($K147="","",INDEX('سجل التحفيز'!$F$5:$F$2004,MATCH($K147,'سجل التحفيز'!$U$5:$U$2004,0)))</f>
        <v/>
      </c>
      <c r="S147" s="35">
        <f>IF($K147="","",INDEX('سجل التحفيز'!$G$5:$G$2004,MATCH($K147,'سجل التحفيز'!$U$5:$U$2004,0)))</f>
        <v/>
      </c>
    </row>
    <row r="148">
      <c r="B148" s="34">
        <f>IFERROR(INDEX(الموظفات!$B$5:$B$304,MATCH(95,الموظفات!$O$5:$O$304,0)),"")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التحفيز'!$U$5:$U$2004,"&gt;0",'سجل التحفيز'!$B$5:$B$2004,B148))</f>
        <v/>
      </c>
      <c r="E148" s="35">
        <f>IF(B148="","",COUNTIFS('سجل التحفيز'!$U$5:$U$2004,"&gt;0",'سجل التحفيز'!$B$5:$B$2004,B148,'سجل التحفيز'!$D$5:$D$2004,"ذهبي"))</f>
        <v/>
      </c>
      <c r="F148" s="35">
        <f>IF(B148="","",SUMIFS('سجل التحفيز'!$G$5:$G$2004,'سجل التحفيز'!$U$5:$U$2004,"&gt;0",'سجل التحفيز'!$B$5:$B$2004,B148))</f>
        <v/>
      </c>
      <c r="G148" s="35">
        <f>IF(B148="","",COUNTIF($D$54:$D$203,"&gt;"&amp;D148)+1)</f>
        <v/>
      </c>
      <c r="H148" s="35">
        <f>IF(B148="","",INDEX(الموظفات!$L$5:$L$304,MATCH(B148,الموظفات!$B$5:$B$304,0)))</f>
        <v/>
      </c>
      <c r="K148" s="36">
        <f>IF(95&gt;$B$10,"",95)</f>
        <v/>
      </c>
      <c r="L148" s="37">
        <f>IF($K148="","",INDEX('سجل التحفيز'!$A$5:$A$2004,MATCH($K148,'سجل التحفيز'!$U$5:$U$2004,0)))</f>
        <v/>
      </c>
      <c r="M148" s="9">
        <f>IF($K148="","",INDEX('سجل التحفيز'!$B$5:$B$2004,MATCH($K148,'سجل التحفيز'!$U$5:$U$2004,0)))</f>
        <v/>
      </c>
      <c r="N148" s="9">
        <f>IF($K148="","",INDEX('سجل التحفيز'!$M$5:$M$2004,MATCH($K148,'سجل التحفيز'!$U$5:$U$2004,0)))</f>
        <v/>
      </c>
      <c r="O148" s="9">
        <f>IF($K148="","",INDEX('سجل التحفيز'!$C$5:$C$2004,MATCH($K148,'سجل التحفيز'!$U$5:$U$2004,0)))</f>
        <v/>
      </c>
      <c r="P148" s="36">
        <f>IF($K148="","",INDEX('سجل التحفيز'!$D$5:$D$2004,MATCH($K148,'سجل التحفيز'!$U$5:$U$2004,0)))</f>
        <v/>
      </c>
      <c r="Q148" s="9">
        <f>IF($K148="","",INDEX('سجل التحفيز'!$E$5:$E$2004,MATCH($K148,'سجل التحفيز'!$U$5:$U$2004,0)))</f>
        <v/>
      </c>
      <c r="R148" s="9">
        <f>IF($K148="","",INDEX('سجل التحفيز'!$F$5:$F$2004,MATCH($K148,'سجل التحفيز'!$U$5:$U$2004,0)))</f>
        <v/>
      </c>
      <c r="S148" s="35">
        <f>IF($K148="","",INDEX('سجل التحفيز'!$G$5:$G$2004,MATCH($K148,'سجل التحفيز'!$U$5:$U$2004,0)))</f>
        <v/>
      </c>
    </row>
    <row r="149">
      <c r="B149" s="34">
        <f>IFERROR(INDEX(الموظفات!$B$5:$B$304,MATCH(96,الموظفات!$O$5:$O$304,0)),"")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التحفيز'!$U$5:$U$2004,"&gt;0",'سجل التحفيز'!$B$5:$B$2004,B149))</f>
        <v/>
      </c>
      <c r="E149" s="35">
        <f>IF(B149="","",COUNTIFS('سجل التحفيز'!$U$5:$U$2004,"&gt;0",'سجل التحفيز'!$B$5:$B$2004,B149,'سجل التحفيز'!$D$5:$D$2004,"ذهبي"))</f>
        <v/>
      </c>
      <c r="F149" s="35">
        <f>IF(B149="","",SUMIFS('سجل التحفيز'!$G$5:$G$2004,'سجل التحفيز'!$U$5:$U$2004,"&gt;0",'سجل التحفيز'!$B$5:$B$2004,B149))</f>
        <v/>
      </c>
      <c r="G149" s="35">
        <f>IF(B149="","",COUNTIF($D$54:$D$203,"&gt;"&amp;D149)+1)</f>
        <v/>
      </c>
      <c r="H149" s="35">
        <f>IF(B149="","",INDEX(الموظفات!$L$5:$L$304,MATCH(B149,الموظفات!$B$5:$B$304,0)))</f>
        <v/>
      </c>
      <c r="K149" s="36">
        <f>IF(96&gt;$B$10,"",96)</f>
        <v/>
      </c>
      <c r="L149" s="37">
        <f>IF($K149="","",INDEX('سجل التحفيز'!$A$5:$A$2004,MATCH($K149,'سجل التحفيز'!$U$5:$U$2004,0)))</f>
        <v/>
      </c>
      <c r="M149" s="9">
        <f>IF($K149="","",INDEX('سجل التحفيز'!$B$5:$B$2004,MATCH($K149,'سجل التحفيز'!$U$5:$U$2004,0)))</f>
        <v/>
      </c>
      <c r="N149" s="9">
        <f>IF($K149="","",INDEX('سجل التحفيز'!$M$5:$M$2004,MATCH($K149,'سجل التحفيز'!$U$5:$U$2004,0)))</f>
        <v/>
      </c>
      <c r="O149" s="9">
        <f>IF($K149="","",INDEX('سجل التحفيز'!$C$5:$C$2004,MATCH($K149,'سجل التحفيز'!$U$5:$U$2004,0)))</f>
        <v/>
      </c>
      <c r="P149" s="36">
        <f>IF($K149="","",INDEX('سجل التحفيز'!$D$5:$D$2004,MATCH($K149,'سجل التحفيز'!$U$5:$U$2004,0)))</f>
        <v/>
      </c>
      <c r="Q149" s="9">
        <f>IF($K149="","",INDEX('سجل التحفيز'!$E$5:$E$2004,MATCH($K149,'سجل التحفيز'!$U$5:$U$2004,0)))</f>
        <v/>
      </c>
      <c r="R149" s="9">
        <f>IF($K149="","",INDEX('سجل التحفيز'!$F$5:$F$2004,MATCH($K149,'سجل التحفيز'!$U$5:$U$2004,0)))</f>
        <v/>
      </c>
      <c r="S149" s="35">
        <f>IF($K149="","",INDEX('سجل التحفيز'!$G$5:$G$2004,MATCH($K149,'سجل التحفيز'!$U$5:$U$2004,0)))</f>
        <v/>
      </c>
    </row>
    <row r="150">
      <c r="B150" s="34">
        <f>IFERROR(INDEX(الموظفات!$B$5:$B$304,MATCH(97,الموظفات!$O$5:$O$304,0)),"")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التحفيز'!$U$5:$U$2004,"&gt;0",'سجل التحفيز'!$B$5:$B$2004,B150))</f>
        <v/>
      </c>
      <c r="E150" s="35">
        <f>IF(B150="","",COUNTIFS('سجل التحفيز'!$U$5:$U$2004,"&gt;0",'سجل التحفيز'!$B$5:$B$2004,B150,'سجل التحفيز'!$D$5:$D$2004,"ذهبي"))</f>
        <v/>
      </c>
      <c r="F150" s="35">
        <f>IF(B150="","",SUMIFS('سجل التحفيز'!$G$5:$G$2004,'سجل التحفيز'!$U$5:$U$2004,"&gt;0",'سجل التحفيز'!$B$5:$B$2004,B150))</f>
        <v/>
      </c>
      <c r="G150" s="35">
        <f>IF(B150="","",COUNTIF($D$54:$D$203,"&gt;"&amp;D150)+1)</f>
        <v/>
      </c>
      <c r="H150" s="35">
        <f>IF(B150="","",INDEX(الموظفات!$L$5:$L$304,MATCH(B150,الموظفات!$B$5:$B$304,0)))</f>
        <v/>
      </c>
      <c r="K150" s="36">
        <f>IF(97&gt;$B$10,"",97)</f>
        <v/>
      </c>
      <c r="L150" s="37">
        <f>IF($K150="","",INDEX('سجل التحفيز'!$A$5:$A$2004,MATCH($K150,'سجل التحفيز'!$U$5:$U$2004,0)))</f>
        <v/>
      </c>
      <c r="M150" s="9">
        <f>IF($K150="","",INDEX('سجل التحفيز'!$B$5:$B$2004,MATCH($K150,'سجل التحفيز'!$U$5:$U$2004,0)))</f>
        <v/>
      </c>
      <c r="N150" s="9">
        <f>IF($K150="","",INDEX('سجل التحفيز'!$M$5:$M$2004,MATCH($K150,'سجل التحفيز'!$U$5:$U$2004,0)))</f>
        <v/>
      </c>
      <c r="O150" s="9">
        <f>IF($K150="","",INDEX('سجل التحفيز'!$C$5:$C$2004,MATCH($K150,'سجل التحفيز'!$U$5:$U$2004,0)))</f>
        <v/>
      </c>
      <c r="P150" s="36">
        <f>IF($K150="","",INDEX('سجل التحفيز'!$D$5:$D$2004,MATCH($K150,'سجل التحفيز'!$U$5:$U$2004,0)))</f>
        <v/>
      </c>
      <c r="Q150" s="9">
        <f>IF($K150="","",INDEX('سجل التحفيز'!$E$5:$E$2004,MATCH($K150,'سجل التحفيز'!$U$5:$U$2004,0)))</f>
        <v/>
      </c>
      <c r="R150" s="9">
        <f>IF($K150="","",INDEX('سجل التحفيز'!$F$5:$F$2004,MATCH($K150,'سجل التحفيز'!$U$5:$U$2004,0)))</f>
        <v/>
      </c>
      <c r="S150" s="35">
        <f>IF($K150="","",INDEX('سجل التحفيز'!$G$5:$G$2004,MATCH($K150,'سجل التحفيز'!$U$5:$U$2004,0)))</f>
        <v/>
      </c>
    </row>
    <row r="151">
      <c r="B151" s="34">
        <f>IFERROR(INDEX(الموظفات!$B$5:$B$304,MATCH(98,الموظفات!$O$5:$O$304,0)),"")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التحفيز'!$U$5:$U$2004,"&gt;0",'سجل التحفيز'!$B$5:$B$2004,B151))</f>
        <v/>
      </c>
      <c r="E151" s="35">
        <f>IF(B151="","",COUNTIFS('سجل التحفيز'!$U$5:$U$2004,"&gt;0",'سجل التحفيز'!$B$5:$B$2004,B151,'سجل التحفيز'!$D$5:$D$2004,"ذهبي"))</f>
        <v/>
      </c>
      <c r="F151" s="35">
        <f>IF(B151="","",SUMIFS('سجل التحفيز'!$G$5:$G$2004,'سجل التحفيز'!$U$5:$U$2004,"&gt;0",'سجل التحفيز'!$B$5:$B$2004,B151))</f>
        <v/>
      </c>
      <c r="G151" s="35">
        <f>IF(B151="","",COUNTIF($D$54:$D$203,"&gt;"&amp;D151)+1)</f>
        <v/>
      </c>
      <c r="H151" s="35">
        <f>IF(B151="","",INDEX(الموظفات!$L$5:$L$304,MATCH(B151,الموظفات!$B$5:$B$304,0)))</f>
        <v/>
      </c>
      <c r="K151" s="36">
        <f>IF(98&gt;$B$10,"",98)</f>
        <v/>
      </c>
      <c r="L151" s="37">
        <f>IF($K151="","",INDEX('سجل التحفيز'!$A$5:$A$2004,MATCH($K151,'سجل التحفيز'!$U$5:$U$2004,0)))</f>
        <v/>
      </c>
      <c r="M151" s="9">
        <f>IF($K151="","",INDEX('سجل التحفيز'!$B$5:$B$2004,MATCH($K151,'سجل التحفيز'!$U$5:$U$2004,0)))</f>
        <v/>
      </c>
      <c r="N151" s="9">
        <f>IF($K151="","",INDEX('سجل التحفيز'!$M$5:$M$2004,MATCH($K151,'سجل التحفيز'!$U$5:$U$2004,0)))</f>
        <v/>
      </c>
      <c r="O151" s="9">
        <f>IF($K151="","",INDEX('سجل التحفيز'!$C$5:$C$2004,MATCH($K151,'سجل التحفيز'!$U$5:$U$2004,0)))</f>
        <v/>
      </c>
      <c r="P151" s="36">
        <f>IF($K151="","",INDEX('سجل التحفيز'!$D$5:$D$2004,MATCH($K151,'سجل التحفيز'!$U$5:$U$2004,0)))</f>
        <v/>
      </c>
      <c r="Q151" s="9">
        <f>IF($K151="","",INDEX('سجل التحفيز'!$E$5:$E$2004,MATCH($K151,'سجل التحفيز'!$U$5:$U$2004,0)))</f>
        <v/>
      </c>
      <c r="R151" s="9">
        <f>IF($K151="","",INDEX('سجل التحفيز'!$F$5:$F$2004,MATCH($K151,'سجل التحفيز'!$U$5:$U$2004,0)))</f>
        <v/>
      </c>
      <c r="S151" s="35">
        <f>IF($K151="","",INDEX('سجل التحفيز'!$G$5:$G$2004,MATCH($K151,'سجل التحفيز'!$U$5:$U$2004,0)))</f>
        <v/>
      </c>
    </row>
    <row r="152">
      <c r="B152" s="34">
        <f>IFERROR(INDEX(الموظفات!$B$5:$B$304,MATCH(99,الموظفات!$O$5:$O$304,0)),"")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التحفيز'!$U$5:$U$2004,"&gt;0",'سجل التحفيز'!$B$5:$B$2004,B152))</f>
        <v/>
      </c>
      <c r="E152" s="35">
        <f>IF(B152="","",COUNTIFS('سجل التحفيز'!$U$5:$U$2004,"&gt;0",'سجل التحفيز'!$B$5:$B$2004,B152,'سجل التحفيز'!$D$5:$D$2004,"ذهبي"))</f>
        <v/>
      </c>
      <c r="F152" s="35">
        <f>IF(B152="","",SUMIFS('سجل التحفيز'!$G$5:$G$2004,'سجل التحفيز'!$U$5:$U$2004,"&gt;0",'سجل التحفيز'!$B$5:$B$2004,B152))</f>
        <v/>
      </c>
      <c r="G152" s="35">
        <f>IF(B152="","",COUNTIF($D$54:$D$203,"&gt;"&amp;D152)+1)</f>
        <v/>
      </c>
      <c r="H152" s="35">
        <f>IF(B152="","",INDEX(الموظفات!$L$5:$L$304,MATCH(B152,الموظفات!$B$5:$B$304,0)))</f>
        <v/>
      </c>
      <c r="K152" s="36">
        <f>IF(99&gt;$B$10,"",99)</f>
        <v/>
      </c>
      <c r="L152" s="37">
        <f>IF($K152="","",INDEX('سجل التحفيز'!$A$5:$A$2004,MATCH($K152,'سجل التحفيز'!$U$5:$U$2004,0)))</f>
        <v/>
      </c>
      <c r="M152" s="9">
        <f>IF($K152="","",INDEX('سجل التحفيز'!$B$5:$B$2004,MATCH($K152,'سجل التحفيز'!$U$5:$U$2004,0)))</f>
        <v/>
      </c>
      <c r="N152" s="9">
        <f>IF($K152="","",INDEX('سجل التحفيز'!$M$5:$M$2004,MATCH($K152,'سجل التحفيز'!$U$5:$U$2004,0)))</f>
        <v/>
      </c>
      <c r="O152" s="9">
        <f>IF($K152="","",INDEX('سجل التحفيز'!$C$5:$C$2004,MATCH($K152,'سجل التحفيز'!$U$5:$U$2004,0)))</f>
        <v/>
      </c>
      <c r="P152" s="36">
        <f>IF($K152="","",INDEX('سجل التحفيز'!$D$5:$D$2004,MATCH($K152,'سجل التحفيز'!$U$5:$U$2004,0)))</f>
        <v/>
      </c>
      <c r="Q152" s="9">
        <f>IF($K152="","",INDEX('سجل التحفيز'!$E$5:$E$2004,MATCH($K152,'سجل التحفيز'!$U$5:$U$2004,0)))</f>
        <v/>
      </c>
      <c r="R152" s="9">
        <f>IF($K152="","",INDEX('سجل التحفيز'!$F$5:$F$2004,MATCH($K152,'سجل التحفيز'!$U$5:$U$2004,0)))</f>
        <v/>
      </c>
      <c r="S152" s="35">
        <f>IF($K152="","",INDEX('سجل التحفيز'!$G$5:$G$2004,MATCH($K152,'سجل التحفيز'!$U$5:$U$2004,0)))</f>
        <v/>
      </c>
    </row>
    <row r="153">
      <c r="B153" s="34">
        <f>IFERROR(INDEX(الموظفات!$B$5:$B$304,MATCH(100,الموظفات!$O$5:$O$304,0)),"")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التحفيز'!$U$5:$U$2004,"&gt;0",'سجل التحفيز'!$B$5:$B$2004,B153))</f>
        <v/>
      </c>
      <c r="E153" s="35">
        <f>IF(B153="","",COUNTIFS('سجل التحفيز'!$U$5:$U$2004,"&gt;0",'سجل التحفيز'!$B$5:$B$2004,B153,'سجل التحفيز'!$D$5:$D$2004,"ذهبي"))</f>
        <v/>
      </c>
      <c r="F153" s="35">
        <f>IF(B153="","",SUMIFS('سجل التحفيز'!$G$5:$G$2004,'سجل التحفيز'!$U$5:$U$2004,"&gt;0",'سجل التحفيز'!$B$5:$B$2004,B153))</f>
        <v/>
      </c>
      <c r="G153" s="35">
        <f>IF(B153="","",COUNTIF($D$54:$D$203,"&gt;"&amp;D153)+1)</f>
        <v/>
      </c>
      <c r="H153" s="35">
        <f>IF(B153="","",INDEX(الموظفات!$L$5:$L$304,MATCH(B153,الموظفات!$B$5:$B$304,0)))</f>
        <v/>
      </c>
      <c r="K153" s="36">
        <f>IF(100&gt;$B$10,"",100)</f>
        <v/>
      </c>
      <c r="L153" s="37">
        <f>IF($K153="","",INDEX('سجل التحفيز'!$A$5:$A$2004,MATCH($K153,'سجل التحفيز'!$U$5:$U$2004,0)))</f>
        <v/>
      </c>
      <c r="M153" s="9">
        <f>IF($K153="","",INDEX('سجل التحفيز'!$B$5:$B$2004,MATCH($K153,'سجل التحفيز'!$U$5:$U$2004,0)))</f>
        <v/>
      </c>
      <c r="N153" s="9">
        <f>IF($K153="","",INDEX('سجل التحفيز'!$M$5:$M$2004,MATCH($K153,'سجل التحفيز'!$U$5:$U$2004,0)))</f>
        <v/>
      </c>
      <c r="O153" s="9">
        <f>IF($K153="","",INDEX('سجل التحفيز'!$C$5:$C$2004,MATCH($K153,'سجل التحفيز'!$U$5:$U$2004,0)))</f>
        <v/>
      </c>
      <c r="P153" s="36">
        <f>IF($K153="","",INDEX('سجل التحفيز'!$D$5:$D$2004,MATCH($K153,'سجل التحفيز'!$U$5:$U$2004,0)))</f>
        <v/>
      </c>
      <c r="Q153" s="9">
        <f>IF($K153="","",INDEX('سجل التحفيز'!$E$5:$E$2004,MATCH($K153,'سجل التحفيز'!$U$5:$U$2004,0)))</f>
        <v/>
      </c>
      <c r="R153" s="9">
        <f>IF($K153="","",INDEX('سجل التحفيز'!$F$5:$F$2004,MATCH($K153,'سجل التحفيز'!$U$5:$U$2004,0)))</f>
        <v/>
      </c>
      <c r="S153" s="35">
        <f>IF($K153="","",INDEX('سجل التحفيز'!$G$5:$G$2004,MATCH($K153,'سجل التحفيز'!$U$5:$U$2004,0)))</f>
        <v/>
      </c>
    </row>
    <row r="154">
      <c r="B154" s="34">
        <f>IFERROR(INDEX(الموظفات!$B$5:$B$304,MATCH(101,الموظفات!$O$5:$O$304,0)),"")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التحفيز'!$U$5:$U$2004,"&gt;0",'سجل التحفيز'!$B$5:$B$2004,B154))</f>
        <v/>
      </c>
      <c r="E154" s="35">
        <f>IF(B154="","",COUNTIFS('سجل التحفيز'!$U$5:$U$2004,"&gt;0",'سجل التحفيز'!$B$5:$B$2004,B154,'سجل التحفيز'!$D$5:$D$2004,"ذهبي"))</f>
        <v/>
      </c>
      <c r="F154" s="35">
        <f>IF(B154="","",SUMIFS('سجل التحفيز'!$G$5:$G$2004,'سجل التحفيز'!$U$5:$U$2004,"&gt;0",'سجل التحفيز'!$B$5:$B$2004,B154))</f>
        <v/>
      </c>
      <c r="G154" s="35">
        <f>IF(B154="","",COUNTIF($D$54:$D$203,"&gt;"&amp;D154)+1)</f>
        <v/>
      </c>
      <c r="H154" s="35">
        <f>IF(B154="","",INDEX(الموظفات!$L$5:$L$304,MATCH(B154,الموظفات!$B$5:$B$304,0)))</f>
        <v/>
      </c>
      <c r="K154" s="36">
        <f>IF(101&gt;$B$10,"",101)</f>
        <v/>
      </c>
      <c r="L154" s="37">
        <f>IF($K154="","",INDEX('سجل التحفيز'!$A$5:$A$2004,MATCH($K154,'سجل التحفيز'!$U$5:$U$2004,0)))</f>
        <v/>
      </c>
      <c r="M154" s="9">
        <f>IF($K154="","",INDEX('سجل التحفيز'!$B$5:$B$2004,MATCH($K154,'سجل التحفيز'!$U$5:$U$2004,0)))</f>
        <v/>
      </c>
      <c r="N154" s="9">
        <f>IF($K154="","",INDEX('سجل التحفيز'!$M$5:$M$2004,MATCH($K154,'سجل التحفيز'!$U$5:$U$2004,0)))</f>
        <v/>
      </c>
      <c r="O154" s="9">
        <f>IF($K154="","",INDEX('سجل التحفيز'!$C$5:$C$2004,MATCH($K154,'سجل التحفيز'!$U$5:$U$2004,0)))</f>
        <v/>
      </c>
      <c r="P154" s="36">
        <f>IF($K154="","",INDEX('سجل التحفيز'!$D$5:$D$2004,MATCH($K154,'سجل التحفيز'!$U$5:$U$2004,0)))</f>
        <v/>
      </c>
      <c r="Q154" s="9">
        <f>IF($K154="","",INDEX('سجل التحفيز'!$E$5:$E$2004,MATCH($K154,'سجل التحفيز'!$U$5:$U$2004,0)))</f>
        <v/>
      </c>
      <c r="R154" s="9">
        <f>IF($K154="","",INDEX('سجل التحفيز'!$F$5:$F$2004,MATCH($K154,'سجل التحفيز'!$U$5:$U$2004,0)))</f>
        <v/>
      </c>
      <c r="S154" s="35">
        <f>IF($K154="","",INDEX('سجل التحفيز'!$G$5:$G$2004,MATCH($K154,'سجل التحفيز'!$U$5:$U$2004,0)))</f>
        <v/>
      </c>
    </row>
    <row r="155">
      <c r="B155" s="34">
        <f>IFERROR(INDEX(الموظفات!$B$5:$B$304,MATCH(102,الموظفات!$O$5:$O$304,0)),"")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التحفيز'!$U$5:$U$2004,"&gt;0",'سجل التحفيز'!$B$5:$B$2004,B155))</f>
        <v/>
      </c>
      <c r="E155" s="35">
        <f>IF(B155="","",COUNTIFS('سجل التحفيز'!$U$5:$U$2004,"&gt;0",'سجل التحفيز'!$B$5:$B$2004,B155,'سجل التحفيز'!$D$5:$D$2004,"ذهبي"))</f>
        <v/>
      </c>
      <c r="F155" s="35">
        <f>IF(B155="","",SUMIFS('سجل التحفيز'!$G$5:$G$2004,'سجل التحفيز'!$U$5:$U$2004,"&gt;0",'سجل التحفيز'!$B$5:$B$2004,B155))</f>
        <v/>
      </c>
      <c r="G155" s="35">
        <f>IF(B155="","",COUNTIF($D$54:$D$203,"&gt;"&amp;D155)+1)</f>
        <v/>
      </c>
      <c r="H155" s="35">
        <f>IF(B155="","",INDEX(الموظفات!$L$5:$L$304,MATCH(B155,الموظفات!$B$5:$B$304,0)))</f>
        <v/>
      </c>
      <c r="K155" s="36">
        <f>IF(102&gt;$B$10,"",102)</f>
        <v/>
      </c>
      <c r="L155" s="37">
        <f>IF($K155="","",INDEX('سجل التحفيز'!$A$5:$A$2004,MATCH($K155,'سجل التحفيز'!$U$5:$U$2004,0)))</f>
        <v/>
      </c>
      <c r="M155" s="9">
        <f>IF($K155="","",INDEX('سجل التحفيز'!$B$5:$B$2004,MATCH($K155,'سجل التحفيز'!$U$5:$U$2004,0)))</f>
        <v/>
      </c>
      <c r="N155" s="9">
        <f>IF($K155="","",INDEX('سجل التحفيز'!$M$5:$M$2004,MATCH($K155,'سجل التحفيز'!$U$5:$U$2004,0)))</f>
        <v/>
      </c>
      <c r="O155" s="9">
        <f>IF($K155="","",INDEX('سجل التحفيز'!$C$5:$C$2004,MATCH($K155,'سجل التحفيز'!$U$5:$U$2004,0)))</f>
        <v/>
      </c>
      <c r="P155" s="36">
        <f>IF($K155="","",INDEX('سجل التحفيز'!$D$5:$D$2004,MATCH($K155,'سجل التحفيز'!$U$5:$U$2004,0)))</f>
        <v/>
      </c>
      <c r="Q155" s="9">
        <f>IF($K155="","",INDEX('سجل التحفيز'!$E$5:$E$2004,MATCH($K155,'سجل التحفيز'!$U$5:$U$2004,0)))</f>
        <v/>
      </c>
      <c r="R155" s="9">
        <f>IF($K155="","",INDEX('سجل التحفيز'!$F$5:$F$2004,MATCH($K155,'سجل التحفيز'!$U$5:$U$2004,0)))</f>
        <v/>
      </c>
      <c r="S155" s="35">
        <f>IF($K155="","",INDEX('سجل التحفيز'!$G$5:$G$2004,MATCH($K155,'سجل التحفيز'!$U$5:$U$2004,0)))</f>
        <v/>
      </c>
    </row>
    <row r="156">
      <c r="B156" s="34">
        <f>IFERROR(INDEX(الموظفات!$B$5:$B$304,MATCH(103,الموظفات!$O$5:$O$304,0)),"")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التحفيز'!$U$5:$U$2004,"&gt;0",'سجل التحفيز'!$B$5:$B$2004,B156))</f>
        <v/>
      </c>
      <c r="E156" s="35">
        <f>IF(B156="","",COUNTIFS('سجل التحفيز'!$U$5:$U$2004,"&gt;0",'سجل التحفيز'!$B$5:$B$2004,B156,'سجل التحفيز'!$D$5:$D$2004,"ذهبي"))</f>
        <v/>
      </c>
      <c r="F156" s="35">
        <f>IF(B156="","",SUMIFS('سجل التحفيز'!$G$5:$G$2004,'سجل التحفيز'!$U$5:$U$2004,"&gt;0",'سجل التحفيز'!$B$5:$B$2004,B156))</f>
        <v/>
      </c>
      <c r="G156" s="35">
        <f>IF(B156="","",COUNTIF($D$54:$D$203,"&gt;"&amp;D156)+1)</f>
        <v/>
      </c>
      <c r="H156" s="35">
        <f>IF(B156="","",INDEX(الموظفات!$L$5:$L$304,MATCH(B156,الموظفات!$B$5:$B$304,0)))</f>
        <v/>
      </c>
      <c r="K156" s="36">
        <f>IF(103&gt;$B$10,"",103)</f>
        <v/>
      </c>
      <c r="L156" s="37">
        <f>IF($K156="","",INDEX('سجل التحفيز'!$A$5:$A$2004,MATCH($K156,'سجل التحفيز'!$U$5:$U$2004,0)))</f>
        <v/>
      </c>
      <c r="M156" s="9">
        <f>IF($K156="","",INDEX('سجل التحفيز'!$B$5:$B$2004,MATCH($K156,'سجل التحفيز'!$U$5:$U$2004,0)))</f>
        <v/>
      </c>
      <c r="N156" s="9">
        <f>IF($K156="","",INDEX('سجل التحفيز'!$M$5:$M$2004,MATCH($K156,'سجل التحفيز'!$U$5:$U$2004,0)))</f>
        <v/>
      </c>
      <c r="O156" s="9">
        <f>IF($K156="","",INDEX('سجل التحفيز'!$C$5:$C$2004,MATCH($K156,'سجل التحفيز'!$U$5:$U$2004,0)))</f>
        <v/>
      </c>
      <c r="P156" s="36">
        <f>IF($K156="","",INDEX('سجل التحفيز'!$D$5:$D$2004,MATCH($K156,'سجل التحفيز'!$U$5:$U$2004,0)))</f>
        <v/>
      </c>
      <c r="Q156" s="9">
        <f>IF($K156="","",INDEX('سجل التحفيز'!$E$5:$E$2004,MATCH($K156,'سجل التحفيز'!$U$5:$U$2004,0)))</f>
        <v/>
      </c>
      <c r="R156" s="9">
        <f>IF($K156="","",INDEX('سجل التحفيز'!$F$5:$F$2004,MATCH($K156,'سجل التحفيز'!$U$5:$U$2004,0)))</f>
        <v/>
      </c>
      <c r="S156" s="35">
        <f>IF($K156="","",INDEX('سجل التحفيز'!$G$5:$G$2004,MATCH($K156,'سجل التحفيز'!$U$5:$U$2004,0)))</f>
        <v/>
      </c>
    </row>
    <row r="157">
      <c r="B157" s="34">
        <f>IFERROR(INDEX(الموظفات!$B$5:$B$304,MATCH(104,الموظفات!$O$5:$O$304,0)),"")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التحفيز'!$U$5:$U$2004,"&gt;0",'سجل التحفيز'!$B$5:$B$2004,B157))</f>
        <v/>
      </c>
      <c r="E157" s="35">
        <f>IF(B157="","",COUNTIFS('سجل التحفيز'!$U$5:$U$2004,"&gt;0",'سجل التحفيز'!$B$5:$B$2004,B157,'سجل التحفيز'!$D$5:$D$2004,"ذهبي"))</f>
        <v/>
      </c>
      <c r="F157" s="35">
        <f>IF(B157="","",SUMIFS('سجل التحفيز'!$G$5:$G$2004,'سجل التحفيز'!$U$5:$U$2004,"&gt;0",'سجل التحفيز'!$B$5:$B$2004,B157))</f>
        <v/>
      </c>
      <c r="G157" s="35">
        <f>IF(B157="","",COUNTIF($D$54:$D$203,"&gt;"&amp;D157)+1)</f>
        <v/>
      </c>
      <c r="H157" s="35">
        <f>IF(B157="","",INDEX(الموظفات!$L$5:$L$304,MATCH(B157,الموظفات!$B$5:$B$304,0)))</f>
        <v/>
      </c>
      <c r="K157" s="36">
        <f>IF(104&gt;$B$10,"",104)</f>
        <v/>
      </c>
      <c r="L157" s="37">
        <f>IF($K157="","",INDEX('سجل التحفيز'!$A$5:$A$2004,MATCH($K157,'سجل التحفيز'!$U$5:$U$2004,0)))</f>
        <v/>
      </c>
      <c r="M157" s="9">
        <f>IF($K157="","",INDEX('سجل التحفيز'!$B$5:$B$2004,MATCH($K157,'سجل التحفيز'!$U$5:$U$2004,0)))</f>
        <v/>
      </c>
      <c r="N157" s="9">
        <f>IF($K157="","",INDEX('سجل التحفيز'!$M$5:$M$2004,MATCH($K157,'سجل التحفيز'!$U$5:$U$2004,0)))</f>
        <v/>
      </c>
      <c r="O157" s="9">
        <f>IF($K157="","",INDEX('سجل التحفيز'!$C$5:$C$2004,MATCH($K157,'سجل التحفيز'!$U$5:$U$2004,0)))</f>
        <v/>
      </c>
      <c r="P157" s="36">
        <f>IF($K157="","",INDEX('سجل التحفيز'!$D$5:$D$2004,MATCH($K157,'سجل التحفيز'!$U$5:$U$2004,0)))</f>
        <v/>
      </c>
      <c r="Q157" s="9">
        <f>IF($K157="","",INDEX('سجل التحفيز'!$E$5:$E$2004,MATCH($K157,'سجل التحفيز'!$U$5:$U$2004,0)))</f>
        <v/>
      </c>
      <c r="R157" s="9">
        <f>IF($K157="","",INDEX('سجل التحفيز'!$F$5:$F$2004,MATCH($K157,'سجل التحفيز'!$U$5:$U$2004,0)))</f>
        <v/>
      </c>
      <c r="S157" s="35">
        <f>IF($K157="","",INDEX('سجل التحفيز'!$G$5:$G$2004,MATCH($K157,'سجل التحفيز'!$U$5:$U$2004,0)))</f>
        <v/>
      </c>
    </row>
    <row r="158">
      <c r="B158" s="34">
        <f>IFERROR(INDEX(الموظفات!$B$5:$B$304,MATCH(105,الموظفات!$O$5:$O$304,0)),"")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التحفيز'!$U$5:$U$2004,"&gt;0",'سجل التحفيز'!$B$5:$B$2004,B158))</f>
        <v/>
      </c>
      <c r="E158" s="35">
        <f>IF(B158="","",COUNTIFS('سجل التحفيز'!$U$5:$U$2004,"&gt;0",'سجل التحفيز'!$B$5:$B$2004,B158,'سجل التحفيز'!$D$5:$D$2004,"ذهبي"))</f>
        <v/>
      </c>
      <c r="F158" s="35">
        <f>IF(B158="","",SUMIFS('سجل التحفيز'!$G$5:$G$2004,'سجل التحفيز'!$U$5:$U$2004,"&gt;0",'سجل التحفيز'!$B$5:$B$2004,B158))</f>
        <v/>
      </c>
      <c r="G158" s="35">
        <f>IF(B158="","",COUNTIF($D$54:$D$203,"&gt;"&amp;D158)+1)</f>
        <v/>
      </c>
      <c r="H158" s="35">
        <f>IF(B158="","",INDEX(الموظفات!$L$5:$L$304,MATCH(B158,الموظفات!$B$5:$B$304,0)))</f>
        <v/>
      </c>
      <c r="K158" s="36">
        <f>IF(105&gt;$B$10,"",105)</f>
        <v/>
      </c>
      <c r="L158" s="37">
        <f>IF($K158="","",INDEX('سجل التحفيز'!$A$5:$A$2004,MATCH($K158,'سجل التحفيز'!$U$5:$U$2004,0)))</f>
        <v/>
      </c>
      <c r="M158" s="9">
        <f>IF($K158="","",INDEX('سجل التحفيز'!$B$5:$B$2004,MATCH($K158,'سجل التحفيز'!$U$5:$U$2004,0)))</f>
        <v/>
      </c>
      <c r="N158" s="9">
        <f>IF($K158="","",INDEX('سجل التحفيز'!$M$5:$M$2004,MATCH($K158,'سجل التحفيز'!$U$5:$U$2004,0)))</f>
        <v/>
      </c>
      <c r="O158" s="9">
        <f>IF($K158="","",INDEX('سجل التحفيز'!$C$5:$C$2004,MATCH($K158,'سجل التحفيز'!$U$5:$U$2004,0)))</f>
        <v/>
      </c>
      <c r="P158" s="36">
        <f>IF($K158="","",INDEX('سجل التحفيز'!$D$5:$D$2004,MATCH($K158,'سجل التحفيز'!$U$5:$U$2004,0)))</f>
        <v/>
      </c>
      <c r="Q158" s="9">
        <f>IF($K158="","",INDEX('سجل التحفيز'!$E$5:$E$2004,MATCH($K158,'سجل التحفيز'!$U$5:$U$2004,0)))</f>
        <v/>
      </c>
      <c r="R158" s="9">
        <f>IF($K158="","",INDEX('سجل التحفيز'!$F$5:$F$2004,MATCH($K158,'سجل التحفيز'!$U$5:$U$2004,0)))</f>
        <v/>
      </c>
      <c r="S158" s="35">
        <f>IF($K158="","",INDEX('سجل التحفيز'!$G$5:$G$2004,MATCH($K158,'سجل التحفيز'!$U$5:$U$2004,0)))</f>
        <v/>
      </c>
    </row>
    <row r="159">
      <c r="B159" s="34">
        <f>IFERROR(INDEX(الموظفات!$B$5:$B$304,MATCH(106,الموظفات!$O$5:$O$304,0)),"")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التحفيز'!$U$5:$U$2004,"&gt;0",'سجل التحفيز'!$B$5:$B$2004,B159))</f>
        <v/>
      </c>
      <c r="E159" s="35">
        <f>IF(B159="","",COUNTIFS('سجل التحفيز'!$U$5:$U$2004,"&gt;0",'سجل التحفيز'!$B$5:$B$2004,B159,'سجل التحفيز'!$D$5:$D$2004,"ذهبي"))</f>
        <v/>
      </c>
      <c r="F159" s="35">
        <f>IF(B159="","",SUMIFS('سجل التحفيز'!$G$5:$G$2004,'سجل التحفيز'!$U$5:$U$2004,"&gt;0",'سجل التحفيز'!$B$5:$B$2004,B159))</f>
        <v/>
      </c>
      <c r="G159" s="35">
        <f>IF(B159="","",COUNTIF($D$54:$D$203,"&gt;"&amp;D159)+1)</f>
        <v/>
      </c>
      <c r="H159" s="35">
        <f>IF(B159="","",INDEX(الموظفات!$L$5:$L$304,MATCH(B159,الموظفات!$B$5:$B$304,0)))</f>
        <v/>
      </c>
      <c r="K159" s="36">
        <f>IF(106&gt;$B$10,"",106)</f>
        <v/>
      </c>
      <c r="L159" s="37">
        <f>IF($K159="","",INDEX('سجل التحفيز'!$A$5:$A$2004,MATCH($K159,'سجل التحفيز'!$U$5:$U$2004,0)))</f>
        <v/>
      </c>
      <c r="M159" s="9">
        <f>IF($K159="","",INDEX('سجل التحفيز'!$B$5:$B$2004,MATCH($K159,'سجل التحفيز'!$U$5:$U$2004,0)))</f>
        <v/>
      </c>
      <c r="N159" s="9">
        <f>IF($K159="","",INDEX('سجل التحفيز'!$M$5:$M$2004,MATCH($K159,'سجل التحفيز'!$U$5:$U$2004,0)))</f>
        <v/>
      </c>
      <c r="O159" s="9">
        <f>IF($K159="","",INDEX('سجل التحفيز'!$C$5:$C$2004,MATCH($K159,'سجل التحفيز'!$U$5:$U$2004,0)))</f>
        <v/>
      </c>
      <c r="P159" s="36">
        <f>IF($K159="","",INDEX('سجل التحفيز'!$D$5:$D$2004,MATCH($K159,'سجل التحفيز'!$U$5:$U$2004,0)))</f>
        <v/>
      </c>
      <c r="Q159" s="9">
        <f>IF($K159="","",INDEX('سجل التحفيز'!$E$5:$E$2004,MATCH($K159,'سجل التحفيز'!$U$5:$U$2004,0)))</f>
        <v/>
      </c>
      <c r="R159" s="9">
        <f>IF($K159="","",INDEX('سجل التحفيز'!$F$5:$F$2004,MATCH($K159,'سجل التحفيز'!$U$5:$U$2004,0)))</f>
        <v/>
      </c>
      <c r="S159" s="35">
        <f>IF($K159="","",INDEX('سجل التحفيز'!$G$5:$G$2004,MATCH($K159,'سجل التحفيز'!$U$5:$U$2004,0)))</f>
        <v/>
      </c>
    </row>
    <row r="160">
      <c r="B160" s="34">
        <f>IFERROR(INDEX(الموظفات!$B$5:$B$304,MATCH(107,الموظفات!$O$5:$O$304,0)),"")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التحفيز'!$U$5:$U$2004,"&gt;0",'سجل التحفيز'!$B$5:$B$2004,B160))</f>
        <v/>
      </c>
      <c r="E160" s="35">
        <f>IF(B160="","",COUNTIFS('سجل التحفيز'!$U$5:$U$2004,"&gt;0",'سجل التحفيز'!$B$5:$B$2004,B160,'سجل التحفيز'!$D$5:$D$2004,"ذهبي"))</f>
        <v/>
      </c>
      <c r="F160" s="35">
        <f>IF(B160="","",SUMIFS('سجل التحفيز'!$G$5:$G$2004,'سجل التحفيز'!$U$5:$U$2004,"&gt;0",'سجل التحفيز'!$B$5:$B$2004,B160))</f>
        <v/>
      </c>
      <c r="G160" s="35">
        <f>IF(B160="","",COUNTIF($D$54:$D$203,"&gt;"&amp;D160)+1)</f>
        <v/>
      </c>
      <c r="H160" s="35">
        <f>IF(B160="","",INDEX(الموظفات!$L$5:$L$304,MATCH(B160,الموظفات!$B$5:$B$304,0)))</f>
        <v/>
      </c>
      <c r="K160" s="36">
        <f>IF(107&gt;$B$10,"",107)</f>
        <v/>
      </c>
      <c r="L160" s="37">
        <f>IF($K160="","",INDEX('سجل التحفيز'!$A$5:$A$2004,MATCH($K160,'سجل التحفيز'!$U$5:$U$2004,0)))</f>
        <v/>
      </c>
      <c r="M160" s="9">
        <f>IF($K160="","",INDEX('سجل التحفيز'!$B$5:$B$2004,MATCH($K160,'سجل التحفيز'!$U$5:$U$2004,0)))</f>
        <v/>
      </c>
      <c r="N160" s="9">
        <f>IF($K160="","",INDEX('سجل التحفيز'!$M$5:$M$2004,MATCH($K160,'سجل التحفيز'!$U$5:$U$2004,0)))</f>
        <v/>
      </c>
      <c r="O160" s="9">
        <f>IF($K160="","",INDEX('سجل التحفيز'!$C$5:$C$2004,MATCH($K160,'سجل التحفيز'!$U$5:$U$2004,0)))</f>
        <v/>
      </c>
      <c r="P160" s="36">
        <f>IF($K160="","",INDEX('سجل التحفيز'!$D$5:$D$2004,MATCH($K160,'سجل التحفيز'!$U$5:$U$2004,0)))</f>
        <v/>
      </c>
      <c r="Q160" s="9">
        <f>IF($K160="","",INDEX('سجل التحفيز'!$E$5:$E$2004,MATCH($K160,'سجل التحفيز'!$U$5:$U$2004,0)))</f>
        <v/>
      </c>
      <c r="R160" s="9">
        <f>IF($K160="","",INDEX('سجل التحفيز'!$F$5:$F$2004,MATCH($K160,'سجل التحفيز'!$U$5:$U$2004,0)))</f>
        <v/>
      </c>
      <c r="S160" s="35">
        <f>IF($K160="","",INDEX('سجل التحفيز'!$G$5:$G$2004,MATCH($K160,'سجل التحفيز'!$U$5:$U$2004,0)))</f>
        <v/>
      </c>
    </row>
    <row r="161">
      <c r="B161" s="34">
        <f>IFERROR(INDEX(الموظفات!$B$5:$B$304,MATCH(108,الموظفات!$O$5:$O$304,0)),"")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التحفيز'!$U$5:$U$2004,"&gt;0",'سجل التحفيز'!$B$5:$B$2004,B161))</f>
        <v/>
      </c>
      <c r="E161" s="35">
        <f>IF(B161="","",COUNTIFS('سجل التحفيز'!$U$5:$U$2004,"&gt;0",'سجل التحفيز'!$B$5:$B$2004,B161,'سجل التحفيز'!$D$5:$D$2004,"ذهبي"))</f>
        <v/>
      </c>
      <c r="F161" s="35">
        <f>IF(B161="","",SUMIFS('سجل التحفيز'!$G$5:$G$2004,'سجل التحفيز'!$U$5:$U$2004,"&gt;0",'سجل التحفيز'!$B$5:$B$2004,B161))</f>
        <v/>
      </c>
      <c r="G161" s="35">
        <f>IF(B161="","",COUNTIF($D$54:$D$203,"&gt;"&amp;D161)+1)</f>
        <v/>
      </c>
      <c r="H161" s="35">
        <f>IF(B161="","",INDEX(الموظفات!$L$5:$L$304,MATCH(B161,الموظفات!$B$5:$B$304,0)))</f>
        <v/>
      </c>
      <c r="K161" s="36">
        <f>IF(108&gt;$B$10,"",108)</f>
        <v/>
      </c>
      <c r="L161" s="37">
        <f>IF($K161="","",INDEX('سجل التحفيز'!$A$5:$A$2004,MATCH($K161,'سجل التحفيز'!$U$5:$U$2004,0)))</f>
        <v/>
      </c>
      <c r="M161" s="9">
        <f>IF($K161="","",INDEX('سجل التحفيز'!$B$5:$B$2004,MATCH($K161,'سجل التحفيز'!$U$5:$U$2004,0)))</f>
        <v/>
      </c>
      <c r="N161" s="9">
        <f>IF($K161="","",INDEX('سجل التحفيز'!$M$5:$M$2004,MATCH($K161,'سجل التحفيز'!$U$5:$U$2004,0)))</f>
        <v/>
      </c>
      <c r="O161" s="9">
        <f>IF($K161="","",INDEX('سجل التحفيز'!$C$5:$C$2004,MATCH($K161,'سجل التحفيز'!$U$5:$U$2004,0)))</f>
        <v/>
      </c>
      <c r="P161" s="36">
        <f>IF($K161="","",INDEX('سجل التحفيز'!$D$5:$D$2004,MATCH($K161,'سجل التحفيز'!$U$5:$U$2004,0)))</f>
        <v/>
      </c>
      <c r="Q161" s="9">
        <f>IF($K161="","",INDEX('سجل التحفيز'!$E$5:$E$2004,MATCH($K161,'سجل التحفيز'!$U$5:$U$2004,0)))</f>
        <v/>
      </c>
      <c r="R161" s="9">
        <f>IF($K161="","",INDEX('سجل التحفيز'!$F$5:$F$2004,MATCH($K161,'سجل التحفيز'!$U$5:$U$2004,0)))</f>
        <v/>
      </c>
      <c r="S161" s="35">
        <f>IF($K161="","",INDEX('سجل التحفيز'!$G$5:$G$2004,MATCH($K161,'سجل التحفيز'!$U$5:$U$2004,0)))</f>
        <v/>
      </c>
    </row>
    <row r="162">
      <c r="B162" s="34">
        <f>IFERROR(INDEX(الموظفات!$B$5:$B$304,MATCH(109,الموظفات!$O$5:$O$304,0)),"")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التحفيز'!$U$5:$U$2004,"&gt;0",'سجل التحفيز'!$B$5:$B$2004,B162))</f>
        <v/>
      </c>
      <c r="E162" s="35">
        <f>IF(B162="","",COUNTIFS('سجل التحفيز'!$U$5:$U$2004,"&gt;0",'سجل التحفيز'!$B$5:$B$2004,B162,'سجل التحفيز'!$D$5:$D$2004,"ذهبي"))</f>
        <v/>
      </c>
      <c r="F162" s="35">
        <f>IF(B162="","",SUMIFS('سجل التحفيز'!$G$5:$G$2004,'سجل التحفيز'!$U$5:$U$2004,"&gt;0",'سجل التحفيز'!$B$5:$B$2004,B162))</f>
        <v/>
      </c>
      <c r="G162" s="35">
        <f>IF(B162="","",COUNTIF($D$54:$D$203,"&gt;"&amp;D162)+1)</f>
        <v/>
      </c>
      <c r="H162" s="35">
        <f>IF(B162="","",INDEX(الموظفات!$L$5:$L$304,MATCH(B162,الموظفات!$B$5:$B$304,0)))</f>
        <v/>
      </c>
      <c r="K162" s="36">
        <f>IF(109&gt;$B$10,"",109)</f>
        <v/>
      </c>
      <c r="L162" s="37">
        <f>IF($K162="","",INDEX('سجل التحفيز'!$A$5:$A$2004,MATCH($K162,'سجل التحفيز'!$U$5:$U$2004,0)))</f>
        <v/>
      </c>
      <c r="M162" s="9">
        <f>IF($K162="","",INDEX('سجل التحفيز'!$B$5:$B$2004,MATCH($K162,'سجل التحفيز'!$U$5:$U$2004,0)))</f>
        <v/>
      </c>
      <c r="N162" s="9">
        <f>IF($K162="","",INDEX('سجل التحفيز'!$M$5:$M$2004,MATCH($K162,'سجل التحفيز'!$U$5:$U$2004,0)))</f>
        <v/>
      </c>
      <c r="O162" s="9">
        <f>IF($K162="","",INDEX('سجل التحفيز'!$C$5:$C$2004,MATCH($K162,'سجل التحفيز'!$U$5:$U$2004,0)))</f>
        <v/>
      </c>
      <c r="P162" s="36">
        <f>IF($K162="","",INDEX('سجل التحفيز'!$D$5:$D$2004,MATCH($K162,'سجل التحفيز'!$U$5:$U$2004,0)))</f>
        <v/>
      </c>
      <c r="Q162" s="9">
        <f>IF($K162="","",INDEX('سجل التحفيز'!$E$5:$E$2004,MATCH($K162,'سجل التحفيز'!$U$5:$U$2004,0)))</f>
        <v/>
      </c>
      <c r="R162" s="9">
        <f>IF($K162="","",INDEX('سجل التحفيز'!$F$5:$F$2004,MATCH($K162,'سجل التحفيز'!$U$5:$U$2004,0)))</f>
        <v/>
      </c>
      <c r="S162" s="35">
        <f>IF($K162="","",INDEX('سجل التحفيز'!$G$5:$G$2004,MATCH($K162,'سجل التحفيز'!$U$5:$U$2004,0)))</f>
        <v/>
      </c>
    </row>
    <row r="163">
      <c r="B163" s="34">
        <f>IFERROR(INDEX(الموظفات!$B$5:$B$304,MATCH(110,الموظفات!$O$5:$O$304,0)),"")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التحفيز'!$U$5:$U$2004,"&gt;0",'سجل التحفيز'!$B$5:$B$2004,B163))</f>
        <v/>
      </c>
      <c r="E163" s="35">
        <f>IF(B163="","",COUNTIFS('سجل التحفيز'!$U$5:$U$2004,"&gt;0",'سجل التحفيز'!$B$5:$B$2004,B163,'سجل التحفيز'!$D$5:$D$2004,"ذهبي"))</f>
        <v/>
      </c>
      <c r="F163" s="35">
        <f>IF(B163="","",SUMIFS('سجل التحفيز'!$G$5:$G$2004,'سجل التحفيز'!$U$5:$U$2004,"&gt;0",'سجل التحفيز'!$B$5:$B$2004,B163))</f>
        <v/>
      </c>
      <c r="G163" s="35">
        <f>IF(B163="","",COUNTIF($D$54:$D$203,"&gt;"&amp;D163)+1)</f>
        <v/>
      </c>
      <c r="H163" s="35">
        <f>IF(B163="","",INDEX(الموظفات!$L$5:$L$304,MATCH(B163,الموظفات!$B$5:$B$304,0)))</f>
        <v/>
      </c>
      <c r="K163" s="36">
        <f>IF(110&gt;$B$10,"",110)</f>
        <v/>
      </c>
      <c r="L163" s="37">
        <f>IF($K163="","",INDEX('سجل التحفيز'!$A$5:$A$2004,MATCH($K163,'سجل التحفيز'!$U$5:$U$2004,0)))</f>
        <v/>
      </c>
      <c r="M163" s="9">
        <f>IF($K163="","",INDEX('سجل التحفيز'!$B$5:$B$2004,MATCH($K163,'سجل التحفيز'!$U$5:$U$2004,0)))</f>
        <v/>
      </c>
      <c r="N163" s="9">
        <f>IF($K163="","",INDEX('سجل التحفيز'!$M$5:$M$2004,MATCH($K163,'سجل التحفيز'!$U$5:$U$2004,0)))</f>
        <v/>
      </c>
      <c r="O163" s="9">
        <f>IF($K163="","",INDEX('سجل التحفيز'!$C$5:$C$2004,MATCH($K163,'سجل التحفيز'!$U$5:$U$2004,0)))</f>
        <v/>
      </c>
      <c r="P163" s="36">
        <f>IF($K163="","",INDEX('سجل التحفيز'!$D$5:$D$2004,MATCH($K163,'سجل التحفيز'!$U$5:$U$2004,0)))</f>
        <v/>
      </c>
      <c r="Q163" s="9">
        <f>IF($K163="","",INDEX('سجل التحفيز'!$E$5:$E$2004,MATCH($K163,'سجل التحفيز'!$U$5:$U$2004,0)))</f>
        <v/>
      </c>
      <c r="R163" s="9">
        <f>IF($K163="","",INDEX('سجل التحفيز'!$F$5:$F$2004,MATCH($K163,'سجل التحفيز'!$U$5:$U$2004,0)))</f>
        <v/>
      </c>
      <c r="S163" s="35">
        <f>IF($K163="","",INDEX('سجل التحفيز'!$G$5:$G$2004,MATCH($K163,'سجل التحفيز'!$U$5:$U$2004,0)))</f>
        <v/>
      </c>
    </row>
    <row r="164">
      <c r="B164" s="34">
        <f>IFERROR(INDEX(الموظفات!$B$5:$B$304,MATCH(111,الموظفات!$O$5:$O$304,0)),"")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التحفيز'!$U$5:$U$2004,"&gt;0",'سجل التحفيز'!$B$5:$B$2004,B164))</f>
        <v/>
      </c>
      <c r="E164" s="35">
        <f>IF(B164="","",COUNTIFS('سجل التحفيز'!$U$5:$U$2004,"&gt;0",'سجل التحفيز'!$B$5:$B$2004,B164,'سجل التحفيز'!$D$5:$D$2004,"ذهبي"))</f>
        <v/>
      </c>
      <c r="F164" s="35">
        <f>IF(B164="","",SUMIFS('سجل التحفيز'!$G$5:$G$2004,'سجل التحفيز'!$U$5:$U$2004,"&gt;0",'سجل التحفيز'!$B$5:$B$2004,B164))</f>
        <v/>
      </c>
      <c r="G164" s="35">
        <f>IF(B164="","",COUNTIF($D$54:$D$203,"&gt;"&amp;D164)+1)</f>
        <v/>
      </c>
      <c r="H164" s="35">
        <f>IF(B164="","",INDEX(الموظفات!$L$5:$L$304,MATCH(B164,الموظفات!$B$5:$B$304,0)))</f>
        <v/>
      </c>
      <c r="K164" s="36">
        <f>IF(111&gt;$B$10,"",111)</f>
        <v/>
      </c>
      <c r="L164" s="37">
        <f>IF($K164="","",INDEX('سجل التحفيز'!$A$5:$A$2004,MATCH($K164,'سجل التحفيز'!$U$5:$U$2004,0)))</f>
        <v/>
      </c>
      <c r="M164" s="9">
        <f>IF($K164="","",INDEX('سجل التحفيز'!$B$5:$B$2004,MATCH($K164,'سجل التحفيز'!$U$5:$U$2004,0)))</f>
        <v/>
      </c>
      <c r="N164" s="9">
        <f>IF($K164="","",INDEX('سجل التحفيز'!$M$5:$M$2004,MATCH($K164,'سجل التحفيز'!$U$5:$U$2004,0)))</f>
        <v/>
      </c>
      <c r="O164" s="9">
        <f>IF($K164="","",INDEX('سجل التحفيز'!$C$5:$C$2004,MATCH($K164,'سجل التحفيز'!$U$5:$U$2004,0)))</f>
        <v/>
      </c>
      <c r="P164" s="36">
        <f>IF($K164="","",INDEX('سجل التحفيز'!$D$5:$D$2004,MATCH($K164,'سجل التحفيز'!$U$5:$U$2004,0)))</f>
        <v/>
      </c>
      <c r="Q164" s="9">
        <f>IF($K164="","",INDEX('سجل التحفيز'!$E$5:$E$2004,MATCH($K164,'سجل التحفيز'!$U$5:$U$2004,0)))</f>
        <v/>
      </c>
      <c r="R164" s="9">
        <f>IF($K164="","",INDEX('سجل التحفيز'!$F$5:$F$2004,MATCH($K164,'سجل التحفيز'!$U$5:$U$2004,0)))</f>
        <v/>
      </c>
      <c r="S164" s="35">
        <f>IF($K164="","",INDEX('سجل التحفيز'!$G$5:$G$2004,MATCH($K164,'سجل التحفيز'!$U$5:$U$2004,0)))</f>
        <v/>
      </c>
    </row>
    <row r="165">
      <c r="B165" s="34">
        <f>IFERROR(INDEX(الموظفات!$B$5:$B$304,MATCH(112,الموظفات!$O$5:$O$304,0)),"")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التحفيز'!$U$5:$U$2004,"&gt;0",'سجل التحفيز'!$B$5:$B$2004,B165))</f>
        <v/>
      </c>
      <c r="E165" s="35">
        <f>IF(B165="","",COUNTIFS('سجل التحفيز'!$U$5:$U$2004,"&gt;0",'سجل التحفيز'!$B$5:$B$2004,B165,'سجل التحفيز'!$D$5:$D$2004,"ذهبي"))</f>
        <v/>
      </c>
      <c r="F165" s="35">
        <f>IF(B165="","",SUMIFS('سجل التحفيز'!$G$5:$G$2004,'سجل التحفيز'!$U$5:$U$2004,"&gt;0",'سجل التحفيز'!$B$5:$B$2004,B165))</f>
        <v/>
      </c>
      <c r="G165" s="35">
        <f>IF(B165="","",COUNTIF($D$54:$D$203,"&gt;"&amp;D165)+1)</f>
        <v/>
      </c>
      <c r="H165" s="35">
        <f>IF(B165="","",INDEX(الموظفات!$L$5:$L$304,MATCH(B165,الموظفات!$B$5:$B$304,0)))</f>
        <v/>
      </c>
      <c r="K165" s="36">
        <f>IF(112&gt;$B$10,"",112)</f>
        <v/>
      </c>
      <c r="L165" s="37">
        <f>IF($K165="","",INDEX('سجل التحفيز'!$A$5:$A$2004,MATCH($K165,'سجل التحفيز'!$U$5:$U$2004,0)))</f>
        <v/>
      </c>
      <c r="M165" s="9">
        <f>IF($K165="","",INDEX('سجل التحفيز'!$B$5:$B$2004,MATCH($K165,'سجل التحفيز'!$U$5:$U$2004,0)))</f>
        <v/>
      </c>
      <c r="N165" s="9">
        <f>IF($K165="","",INDEX('سجل التحفيز'!$M$5:$M$2004,MATCH($K165,'سجل التحفيز'!$U$5:$U$2004,0)))</f>
        <v/>
      </c>
      <c r="O165" s="9">
        <f>IF($K165="","",INDEX('سجل التحفيز'!$C$5:$C$2004,MATCH($K165,'سجل التحفيز'!$U$5:$U$2004,0)))</f>
        <v/>
      </c>
      <c r="P165" s="36">
        <f>IF($K165="","",INDEX('سجل التحفيز'!$D$5:$D$2004,MATCH($K165,'سجل التحفيز'!$U$5:$U$2004,0)))</f>
        <v/>
      </c>
      <c r="Q165" s="9">
        <f>IF($K165="","",INDEX('سجل التحفيز'!$E$5:$E$2004,MATCH($K165,'سجل التحفيز'!$U$5:$U$2004,0)))</f>
        <v/>
      </c>
      <c r="R165" s="9">
        <f>IF($K165="","",INDEX('سجل التحفيز'!$F$5:$F$2004,MATCH($K165,'سجل التحفيز'!$U$5:$U$2004,0)))</f>
        <v/>
      </c>
      <c r="S165" s="35">
        <f>IF($K165="","",INDEX('سجل التحفيز'!$G$5:$G$2004,MATCH($K165,'سجل التحفيز'!$U$5:$U$2004,0)))</f>
        <v/>
      </c>
    </row>
    <row r="166">
      <c r="B166" s="34">
        <f>IFERROR(INDEX(الموظفات!$B$5:$B$304,MATCH(113,الموظفات!$O$5:$O$304,0)),"")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التحفيز'!$U$5:$U$2004,"&gt;0",'سجل التحفيز'!$B$5:$B$2004,B166))</f>
        <v/>
      </c>
      <c r="E166" s="35">
        <f>IF(B166="","",COUNTIFS('سجل التحفيز'!$U$5:$U$2004,"&gt;0",'سجل التحفيز'!$B$5:$B$2004,B166,'سجل التحفيز'!$D$5:$D$2004,"ذهبي"))</f>
        <v/>
      </c>
      <c r="F166" s="35">
        <f>IF(B166="","",SUMIFS('سجل التحفيز'!$G$5:$G$2004,'سجل التحفيز'!$U$5:$U$2004,"&gt;0",'سجل التحفيز'!$B$5:$B$2004,B166))</f>
        <v/>
      </c>
      <c r="G166" s="35">
        <f>IF(B166="","",COUNTIF($D$54:$D$203,"&gt;"&amp;D166)+1)</f>
        <v/>
      </c>
      <c r="H166" s="35">
        <f>IF(B166="","",INDEX(الموظفات!$L$5:$L$304,MATCH(B166,الموظفات!$B$5:$B$304,0)))</f>
        <v/>
      </c>
      <c r="K166" s="36">
        <f>IF(113&gt;$B$10,"",113)</f>
        <v/>
      </c>
      <c r="L166" s="37">
        <f>IF($K166="","",INDEX('سجل التحفيز'!$A$5:$A$2004,MATCH($K166,'سجل التحفيز'!$U$5:$U$2004,0)))</f>
        <v/>
      </c>
      <c r="M166" s="9">
        <f>IF($K166="","",INDEX('سجل التحفيز'!$B$5:$B$2004,MATCH($K166,'سجل التحفيز'!$U$5:$U$2004,0)))</f>
        <v/>
      </c>
      <c r="N166" s="9">
        <f>IF($K166="","",INDEX('سجل التحفيز'!$M$5:$M$2004,MATCH($K166,'سجل التحفيز'!$U$5:$U$2004,0)))</f>
        <v/>
      </c>
      <c r="O166" s="9">
        <f>IF($K166="","",INDEX('سجل التحفيز'!$C$5:$C$2004,MATCH($K166,'سجل التحفيز'!$U$5:$U$2004,0)))</f>
        <v/>
      </c>
      <c r="P166" s="36">
        <f>IF($K166="","",INDEX('سجل التحفيز'!$D$5:$D$2004,MATCH($K166,'سجل التحفيز'!$U$5:$U$2004,0)))</f>
        <v/>
      </c>
      <c r="Q166" s="9">
        <f>IF($K166="","",INDEX('سجل التحفيز'!$E$5:$E$2004,MATCH($K166,'سجل التحفيز'!$U$5:$U$2004,0)))</f>
        <v/>
      </c>
      <c r="R166" s="9">
        <f>IF($K166="","",INDEX('سجل التحفيز'!$F$5:$F$2004,MATCH($K166,'سجل التحفيز'!$U$5:$U$2004,0)))</f>
        <v/>
      </c>
      <c r="S166" s="35">
        <f>IF($K166="","",INDEX('سجل التحفيز'!$G$5:$G$2004,MATCH($K166,'سجل التحفيز'!$U$5:$U$2004,0)))</f>
        <v/>
      </c>
    </row>
    <row r="167">
      <c r="B167" s="34">
        <f>IFERROR(INDEX(الموظفات!$B$5:$B$304,MATCH(114,الموظفات!$O$5:$O$304,0)),"")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التحفيز'!$U$5:$U$2004,"&gt;0",'سجل التحفيز'!$B$5:$B$2004,B167))</f>
        <v/>
      </c>
      <c r="E167" s="35">
        <f>IF(B167="","",COUNTIFS('سجل التحفيز'!$U$5:$U$2004,"&gt;0",'سجل التحفيز'!$B$5:$B$2004,B167,'سجل التحفيز'!$D$5:$D$2004,"ذهبي"))</f>
        <v/>
      </c>
      <c r="F167" s="35">
        <f>IF(B167="","",SUMIFS('سجل التحفيز'!$G$5:$G$2004,'سجل التحفيز'!$U$5:$U$2004,"&gt;0",'سجل التحفيز'!$B$5:$B$2004,B167))</f>
        <v/>
      </c>
      <c r="G167" s="35">
        <f>IF(B167="","",COUNTIF($D$54:$D$203,"&gt;"&amp;D167)+1)</f>
        <v/>
      </c>
      <c r="H167" s="35">
        <f>IF(B167="","",INDEX(الموظفات!$L$5:$L$304,MATCH(B167,الموظفات!$B$5:$B$304,0)))</f>
        <v/>
      </c>
      <c r="K167" s="36">
        <f>IF(114&gt;$B$10,"",114)</f>
        <v/>
      </c>
      <c r="L167" s="37">
        <f>IF($K167="","",INDEX('سجل التحفيز'!$A$5:$A$2004,MATCH($K167,'سجل التحفيز'!$U$5:$U$2004,0)))</f>
        <v/>
      </c>
      <c r="M167" s="9">
        <f>IF($K167="","",INDEX('سجل التحفيز'!$B$5:$B$2004,MATCH($K167,'سجل التحفيز'!$U$5:$U$2004,0)))</f>
        <v/>
      </c>
      <c r="N167" s="9">
        <f>IF($K167="","",INDEX('سجل التحفيز'!$M$5:$M$2004,MATCH($K167,'سجل التحفيز'!$U$5:$U$2004,0)))</f>
        <v/>
      </c>
      <c r="O167" s="9">
        <f>IF($K167="","",INDEX('سجل التحفيز'!$C$5:$C$2004,MATCH($K167,'سجل التحفيز'!$U$5:$U$2004,0)))</f>
        <v/>
      </c>
      <c r="P167" s="36">
        <f>IF($K167="","",INDEX('سجل التحفيز'!$D$5:$D$2004,MATCH($K167,'سجل التحفيز'!$U$5:$U$2004,0)))</f>
        <v/>
      </c>
      <c r="Q167" s="9">
        <f>IF($K167="","",INDEX('سجل التحفيز'!$E$5:$E$2004,MATCH($K167,'سجل التحفيز'!$U$5:$U$2004,0)))</f>
        <v/>
      </c>
      <c r="R167" s="9">
        <f>IF($K167="","",INDEX('سجل التحفيز'!$F$5:$F$2004,MATCH($K167,'سجل التحفيز'!$U$5:$U$2004,0)))</f>
        <v/>
      </c>
      <c r="S167" s="35">
        <f>IF($K167="","",INDEX('سجل التحفيز'!$G$5:$G$2004,MATCH($K167,'سجل التحفيز'!$U$5:$U$2004,0)))</f>
        <v/>
      </c>
    </row>
    <row r="168">
      <c r="B168" s="34">
        <f>IFERROR(INDEX(الموظفات!$B$5:$B$304,MATCH(115,الموظفات!$O$5:$O$304,0)),"")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التحفيز'!$U$5:$U$2004,"&gt;0",'سجل التحفيز'!$B$5:$B$2004,B168))</f>
        <v/>
      </c>
      <c r="E168" s="35">
        <f>IF(B168="","",COUNTIFS('سجل التحفيز'!$U$5:$U$2004,"&gt;0",'سجل التحفيز'!$B$5:$B$2004,B168,'سجل التحفيز'!$D$5:$D$2004,"ذهبي"))</f>
        <v/>
      </c>
      <c r="F168" s="35">
        <f>IF(B168="","",SUMIFS('سجل التحفيز'!$G$5:$G$2004,'سجل التحفيز'!$U$5:$U$2004,"&gt;0",'سجل التحفيز'!$B$5:$B$2004,B168))</f>
        <v/>
      </c>
      <c r="G168" s="35">
        <f>IF(B168="","",COUNTIF($D$54:$D$203,"&gt;"&amp;D168)+1)</f>
        <v/>
      </c>
      <c r="H168" s="35">
        <f>IF(B168="","",INDEX(الموظفات!$L$5:$L$304,MATCH(B168,الموظفات!$B$5:$B$304,0)))</f>
        <v/>
      </c>
      <c r="K168" s="36">
        <f>IF(115&gt;$B$10,"",115)</f>
        <v/>
      </c>
      <c r="L168" s="37">
        <f>IF($K168="","",INDEX('سجل التحفيز'!$A$5:$A$2004,MATCH($K168,'سجل التحفيز'!$U$5:$U$2004,0)))</f>
        <v/>
      </c>
      <c r="M168" s="9">
        <f>IF($K168="","",INDEX('سجل التحفيز'!$B$5:$B$2004,MATCH($K168,'سجل التحفيز'!$U$5:$U$2004,0)))</f>
        <v/>
      </c>
      <c r="N168" s="9">
        <f>IF($K168="","",INDEX('سجل التحفيز'!$M$5:$M$2004,MATCH($K168,'سجل التحفيز'!$U$5:$U$2004,0)))</f>
        <v/>
      </c>
      <c r="O168" s="9">
        <f>IF($K168="","",INDEX('سجل التحفيز'!$C$5:$C$2004,MATCH($K168,'سجل التحفيز'!$U$5:$U$2004,0)))</f>
        <v/>
      </c>
      <c r="P168" s="36">
        <f>IF($K168="","",INDEX('سجل التحفيز'!$D$5:$D$2004,MATCH($K168,'سجل التحفيز'!$U$5:$U$2004,0)))</f>
        <v/>
      </c>
      <c r="Q168" s="9">
        <f>IF($K168="","",INDEX('سجل التحفيز'!$E$5:$E$2004,MATCH($K168,'سجل التحفيز'!$U$5:$U$2004,0)))</f>
        <v/>
      </c>
      <c r="R168" s="9">
        <f>IF($K168="","",INDEX('سجل التحفيز'!$F$5:$F$2004,MATCH($K168,'سجل التحفيز'!$U$5:$U$2004,0)))</f>
        <v/>
      </c>
      <c r="S168" s="35">
        <f>IF($K168="","",INDEX('سجل التحفيز'!$G$5:$G$2004,MATCH($K168,'سجل التحفيز'!$U$5:$U$2004,0)))</f>
        <v/>
      </c>
    </row>
    <row r="169">
      <c r="B169" s="34">
        <f>IFERROR(INDEX(الموظفات!$B$5:$B$304,MATCH(116,الموظفات!$O$5:$O$304,0)),"")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التحفيز'!$U$5:$U$2004,"&gt;0",'سجل التحفيز'!$B$5:$B$2004,B169))</f>
        <v/>
      </c>
      <c r="E169" s="35">
        <f>IF(B169="","",COUNTIFS('سجل التحفيز'!$U$5:$U$2004,"&gt;0",'سجل التحفيز'!$B$5:$B$2004,B169,'سجل التحفيز'!$D$5:$D$2004,"ذهبي"))</f>
        <v/>
      </c>
      <c r="F169" s="35">
        <f>IF(B169="","",SUMIFS('سجل التحفيز'!$G$5:$G$2004,'سجل التحفيز'!$U$5:$U$2004,"&gt;0",'سجل التحفيز'!$B$5:$B$2004,B169))</f>
        <v/>
      </c>
      <c r="G169" s="35">
        <f>IF(B169="","",COUNTIF($D$54:$D$203,"&gt;"&amp;D169)+1)</f>
        <v/>
      </c>
      <c r="H169" s="35">
        <f>IF(B169="","",INDEX(الموظفات!$L$5:$L$304,MATCH(B169,الموظفات!$B$5:$B$304,0)))</f>
        <v/>
      </c>
      <c r="K169" s="36">
        <f>IF(116&gt;$B$10,"",116)</f>
        <v/>
      </c>
      <c r="L169" s="37">
        <f>IF($K169="","",INDEX('سجل التحفيز'!$A$5:$A$2004,MATCH($K169,'سجل التحفيز'!$U$5:$U$2004,0)))</f>
        <v/>
      </c>
      <c r="M169" s="9">
        <f>IF($K169="","",INDEX('سجل التحفيز'!$B$5:$B$2004,MATCH($K169,'سجل التحفيز'!$U$5:$U$2004,0)))</f>
        <v/>
      </c>
      <c r="N169" s="9">
        <f>IF($K169="","",INDEX('سجل التحفيز'!$M$5:$M$2004,MATCH($K169,'سجل التحفيز'!$U$5:$U$2004,0)))</f>
        <v/>
      </c>
      <c r="O169" s="9">
        <f>IF($K169="","",INDEX('سجل التحفيز'!$C$5:$C$2004,MATCH($K169,'سجل التحفيز'!$U$5:$U$2004,0)))</f>
        <v/>
      </c>
      <c r="P169" s="36">
        <f>IF($K169="","",INDEX('سجل التحفيز'!$D$5:$D$2004,MATCH($K169,'سجل التحفيز'!$U$5:$U$2004,0)))</f>
        <v/>
      </c>
      <c r="Q169" s="9">
        <f>IF($K169="","",INDEX('سجل التحفيز'!$E$5:$E$2004,MATCH($K169,'سجل التحفيز'!$U$5:$U$2004,0)))</f>
        <v/>
      </c>
      <c r="R169" s="9">
        <f>IF($K169="","",INDEX('سجل التحفيز'!$F$5:$F$2004,MATCH($K169,'سجل التحفيز'!$U$5:$U$2004,0)))</f>
        <v/>
      </c>
      <c r="S169" s="35">
        <f>IF($K169="","",INDEX('سجل التحفيز'!$G$5:$G$2004,MATCH($K169,'سجل التحفيز'!$U$5:$U$2004,0)))</f>
        <v/>
      </c>
    </row>
    <row r="170">
      <c r="B170" s="34">
        <f>IFERROR(INDEX(الموظفات!$B$5:$B$304,MATCH(117,الموظفات!$O$5:$O$304,0)),"")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التحفيز'!$U$5:$U$2004,"&gt;0",'سجل التحفيز'!$B$5:$B$2004,B170))</f>
        <v/>
      </c>
      <c r="E170" s="35">
        <f>IF(B170="","",COUNTIFS('سجل التحفيز'!$U$5:$U$2004,"&gt;0",'سجل التحفيز'!$B$5:$B$2004,B170,'سجل التحفيز'!$D$5:$D$2004,"ذهبي"))</f>
        <v/>
      </c>
      <c r="F170" s="35">
        <f>IF(B170="","",SUMIFS('سجل التحفيز'!$G$5:$G$2004,'سجل التحفيز'!$U$5:$U$2004,"&gt;0",'سجل التحفيز'!$B$5:$B$2004,B170))</f>
        <v/>
      </c>
      <c r="G170" s="35">
        <f>IF(B170="","",COUNTIF($D$54:$D$203,"&gt;"&amp;D170)+1)</f>
        <v/>
      </c>
      <c r="H170" s="35">
        <f>IF(B170="","",INDEX(الموظفات!$L$5:$L$304,MATCH(B170,الموظفات!$B$5:$B$304,0)))</f>
        <v/>
      </c>
      <c r="K170" s="36">
        <f>IF(117&gt;$B$10,"",117)</f>
        <v/>
      </c>
      <c r="L170" s="37">
        <f>IF($K170="","",INDEX('سجل التحفيز'!$A$5:$A$2004,MATCH($K170,'سجل التحفيز'!$U$5:$U$2004,0)))</f>
        <v/>
      </c>
      <c r="M170" s="9">
        <f>IF($K170="","",INDEX('سجل التحفيز'!$B$5:$B$2004,MATCH($K170,'سجل التحفيز'!$U$5:$U$2004,0)))</f>
        <v/>
      </c>
      <c r="N170" s="9">
        <f>IF($K170="","",INDEX('سجل التحفيز'!$M$5:$M$2004,MATCH($K170,'سجل التحفيز'!$U$5:$U$2004,0)))</f>
        <v/>
      </c>
      <c r="O170" s="9">
        <f>IF($K170="","",INDEX('سجل التحفيز'!$C$5:$C$2004,MATCH($K170,'سجل التحفيز'!$U$5:$U$2004,0)))</f>
        <v/>
      </c>
      <c r="P170" s="36">
        <f>IF($K170="","",INDEX('سجل التحفيز'!$D$5:$D$2004,MATCH($K170,'سجل التحفيز'!$U$5:$U$2004,0)))</f>
        <v/>
      </c>
      <c r="Q170" s="9">
        <f>IF($K170="","",INDEX('سجل التحفيز'!$E$5:$E$2004,MATCH($K170,'سجل التحفيز'!$U$5:$U$2004,0)))</f>
        <v/>
      </c>
      <c r="R170" s="9">
        <f>IF($K170="","",INDEX('سجل التحفيز'!$F$5:$F$2004,MATCH($K170,'سجل التحفيز'!$U$5:$U$2004,0)))</f>
        <v/>
      </c>
      <c r="S170" s="35">
        <f>IF($K170="","",INDEX('سجل التحفيز'!$G$5:$G$2004,MATCH($K170,'سجل التحفيز'!$U$5:$U$2004,0)))</f>
        <v/>
      </c>
    </row>
    <row r="171">
      <c r="B171" s="34">
        <f>IFERROR(INDEX(الموظفات!$B$5:$B$304,MATCH(118,الموظفات!$O$5:$O$304,0)),"")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التحفيز'!$U$5:$U$2004,"&gt;0",'سجل التحفيز'!$B$5:$B$2004,B171))</f>
        <v/>
      </c>
      <c r="E171" s="35">
        <f>IF(B171="","",COUNTIFS('سجل التحفيز'!$U$5:$U$2004,"&gt;0",'سجل التحفيز'!$B$5:$B$2004,B171,'سجل التحفيز'!$D$5:$D$2004,"ذهبي"))</f>
        <v/>
      </c>
      <c r="F171" s="35">
        <f>IF(B171="","",SUMIFS('سجل التحفيز'!$G$5:$G$2004,'سجل التحفيز'!$U$5:$U$2004,"&gt;0",'سجل التحفيز'!$B$5:$B$2004,B171))</f>
        <v/>
      </c>
      <c r="G171" s="35">
        <f>IF(B171="","",COUNTIF($D$54:$D$203,"&gt;"&amp;D171)+1)</f>
        <v/>
      </c>
      <c r="H171" s="35">
        <f>IF(B171="","",INDEX(الموظفات!$L$5:$L$304,MATCH(B171,الموظفات!$B$5:$B$304,0)))</f>
        <v/>
      </c>
      <c r="K171" s="36">
        <f>IF(118&gt;$B$10,"",118)</f>
        <v/>
      </c>
      <c r="L171" s="37">
        <f>IF($K171="","",INDEX('سجل التحفيز'!$A$5:$A$2004,MATCH($K171,'سجل التحفيز'!$U$5:$U$2004,0)))</f>
        <v/>
      </c>
      <c r="M171" s="9">
        <f>IF($K171="","",INDEX('سجل التحفيز'!$B$5:$B$2004,MATCH($K171,'سجل التحفيز'!$U$5:$U$2004,0)))</f>
        <v/>
      </c>
      <c r="N171" s="9">
        <f>IF($K171="","",INDEX('سجل التحفيز'!$M$5:$M$2004,MATCH($K171,'سجل التحفيز'!$U$5:$U$2004,0)))</f>
        <v/>
      </c>
      <c r="O171" s="9">
        <f>IF($K171="","",INDEX('سجل التحفيز'!$C$5:$C$2004,MATCH($K171,'سجل التحفيز'!$U$5:$U$2004,0)))</f>
        <v/>
      </c>
      <c r="P171" s="36">
        <f>IF($K171="","",INDEX('سجل التحفيز'!$D$5:$D$2004,MATCH($K171,'سجل التحفيز'!$U$5:$U$2004,0)))</f>
        <v/>
      </c>
      <c r="Q171" s="9">
        <f>IF($K171="","",INDEX('سجل التحفيز'!$E$5:$E$2004,MATCH($K171,'سجل التحفيز'!$U$5:$U$2004,0)))</f>
        <v/>
      </c>
      <c r="R171" s="9">
        <f>IF($K171="","",INDEX('سجل التحفيز'!$F$5:$F$2004,MATCH($K171,'سجل التحفيز'!$U$5:$U$2004,0)))</f>
        <v/>
      </c>
      <c r="S171" s="35">
        <f>IF($K171="","",INDEX('سجل التحفيز'!$G$5:$G$2004,MATCH($K171,'سجل التحفيز'!$U$5:$U$2004,0)))</f>
        <v/>
      </c>
    </row>
    <row r="172">
      <c r="B172" s="34">
        <f>IFERROR(INDEX(الموظفات!$B$5:$B$304,MATCH(119,الموظفات!$O$5:$O$304,0)),"")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التحفيز'!$U$5:$U$2004,"&gt;0",'سجل التحفيز'!$B$5:$B$2004,B172))</f>
        <v/>
      </c>
      <c r="E172" s="35">
        <f>IF(B172="","",COUNTIFS('سجل التحفيز'!$U$5:$U$2004,"&gt;0",'سجل التحفيز'!$B$5:$B$2004,B172,'سجل التحفيز'!$D$5:$D$2004,"ذهبي"))</f>
        <v/>
      </c>
      <c r="F172" s="35">
        <f>IF(B172="","",SUMIFS('سجل التحفيز'!$G$5:$G$2004,'سجل التحفيز'!$U$5:$U$2004,"&gt;0",'سجل التحفيز'!$B$5:$B$2004,B172))</f>
        <v/>
      </c>
      <c r="G172" s="35">
        <f>IF(B172="","",COUNTIF($D$54:$D$203,"&gt;"&amp;D172)+1)</f>
        <v/>
      </c>
      <c r="H172" s="35">
        <f>IF(B172="","",INDEX(الموظفات!$L$5:$L$304,MATCH(B172,الموظفات!$B$5:$B$304,0)))</f>
        <v/>
      </c>
      <c r="K172" s="36">
        <f>IF(119&gt;$B$10,"",119)</f>
        <v/>
      </c>
      <c r="L172" s="37">
        <f>IF($K172="","",INDEX('سجل التحفيز'!$A$5:$A$2004,MATCH($K172,'سجل التحفيز'!$U$5:$U$2004,0)))</f>
        <v/>
      </c>
      <c r="M172" s="9">
        <f>IF($K172="","",INDEX('سجل التحفيز'!$B$5:$B$2004,MATCH($K172,'سجل التحفيز'!$U$5:$U$2004,0)))</f>
        <v/>
      </c>
      <c r="N172" s="9">
        <f>IF($K172="","",INDEX('سجل التحفيز'!$M$5:$M$2004,MATCH($K172,'سجل التحفيز'!$U$5:$U$2004,0)))</f>
        <v/>
      </c>
      <c r="O172" s="9">
        <f>IF($K172="","",INDEX('سجل التحفيز'!$C$5:$C$2004,MATCH($K172,'سجل التحفيز'!$U$5:$U$2004,0)))</f>
        <v/>
      </c>
      <c r="P172" s="36">
        <f>IF($K172="","",INDEX('سجل التحفيز'!$D$5:$D$2004,MATCH($K172,'سجل التحفيز'!$U$5:$U$2004,0)))</f>
        <v/>
      </c>
      <c r="Q172" s="9">
        <f>IF($K172="","",INDEX('سجل التحفيز'!$E$5:$E$2004,MATCH($K172,'سجل التحفيز'!$U$5:$U$2004,0)))</f>
        <v/>
      </c>
      <c r="R172" s="9">
        <f>IF($K172="","",INDEX('سجل التحفيز'!$F$5:$F$2004,MATCH($K172,'سجل التحفيز'!$U$5:$U$2004,0)))</f>
        <v/>
      </c>
      <c r="S172" s="35">
        <f>IF($K172="","",INDEX('سجل التحفيز'!$G$5:$G$2004,MATCH($K172,'سجل التحفيز'!$U$5:$U$2004,0)))</f>
        <v/>
      </c>
    </row>
    <row r="173">
      <c r="B173" s="34">
        <f>IFERROR(INDEX(الموظفات!$B$5:$B$304,MATCH(120,الموظفات!$O$5:$O$304,0)),"")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التحفيز'!$U$5:$U$2004,"&gt;0",'سجل التحفيز'!$B$5:$B$2004,B173))</f>
        <v/>
      </c>
      <c r="E173" s="35">
        <f>IF(B173="","",COUNTIFS('سجل التحفيز'!$U$5:$U$2004,"&gt;0",'سجل التحفيز'!$B$5:$B$2004,B173,'سجل التحفيز'!$D$5:$D$2004,"ذهبي"))</f>
        <v/>
      </c>
      <c r="F173" s="35">
        <f>IF(B173="","",SUMIFS('سجل التحفيز'!$G$5:$G$2004,'سجل التحفيز'!$U$5:$U$2004,"&gt;0",'سجل التحفيز'!$B$5:$B$2004,B173))</f>
        <v/>
      </c>
      <c r="G173" s="35">
        <f>IF(B173="","",COUNTIF($D$54:$D$203,"&gt;"&amp;D173)+1)</f>
        <v/>
      </c>
      <c r="H173" s="35">
        <f>IF(B173="","",INDEX(الموظفات!$L$5:$L$304,MATCH(B173,الموظفات!$B$5:$B$304,0)))</f>
        <v/>
      </c>
      <c r="K173" s="36">
        <f>IF(120&gt;$B$10,"",120)</f>
        <v/>
      </c>
      <c r="L173" s="37">
        <f>IF($K173="","",INDEX('سجل التحفيز'!$A$5:$A$2004,MATCH($K173,'سجل التحفيز'!$U$5:$U$2004,0)))</f>
        <v/>
      </c>
      <c r="M173" s="9">
        <f>IF($K173="","",INDEX('سجل التحفيز'!$B$5:$B$2004,MATCH($K173,'سجل التحفيز'!$U$5:$U$2004,0)))</f>
        <v/>
      </c>
      <c r="N173" s="9">
        <f>IF($K173="","",INDEX('سجل التحفيز'!$M$5:$M$2004,MATCH($K173,'سجل التحفيز'!$U$5:$U$2004,0)))</f>
        <v/>
      </c>
      <c r="O173" s="9">
        <f>IF($K173="","",INDEX('سجل التحفيز'!$C$5:$C$2004,MATCH($K173,'سجل التحفيز'!$U$5:$U$2004,0)))</f>
        <v/>
      </c>
      <c r="P173" s="36">
        <f>IF($K173="","",INDEX('سجل التحفيز'!$D$5:$D$2004,MATCH($K173,'سجل التحفيز'!$U$5:$U$2004,0)))</f>
        <v/>
      </c>
      <c r="Q173" s="9">
        <f>IF($K173="","",INDEX('سجل التحفيز'!$E$5:$E$2004,MATCH($K173,'سجل التحفيز'!$U$5:$U$2004,0)))</f>
        <v/>
      </c>
      <c r="R173" s="9">
        <f>IF($K173="","",INDEX('سجل التحفيز'!$F$5:$F$2004,MATCH($K173,'سجل التحفيز'!$U$5:$U$2004,0)))</f>
        <v/>
      </c>
      <c r="S173" s="35">
        <f>IF($K173="","",INDEX('سجل التحفيز'!$G$5:$G$2004,MATCH($K173,'سجل التحفيز'!$U$5:$U$2004,0)))</f>
        <v/>
      </c>
    </row>
    <row r="174">
      <c r="B174" s="34">
        <f>IFERROR(INDEX(الموظفات!$B$5:$B$304,MATCH(121,الموظفات!$O$5:$O$304,0)),"")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التحفيز'!$U$5:$U$2004,"&gt;0",'سجل التحفيز'!$B$5:$B$2004,B174))</f>
        <v/>
      </c>
      <c r="E174" s="35">
        <f>IF(B174="","",COUNTIFS('سجل التحفيز'!$U$5:$U$2004,"&gt;0",'سجل التحفيز'!$B$5:$B$2004,B174,'سجل التحفيز'!$D$5:$D$2004,"ذهبي"))</f>
        <v/>
      </c>
      <c r="F174" s="35">
        <f>IF(B174="","",SUMIFS('سجل التحفيز'!$G$5:$G$2004,'سجل التحفيز'!$U$5:$U$2004,"&gt;0",'سجل التحفيز'!$B$5:$B$2004,B174))</f>
        <v/>
      </c>
      <c r="G174" s="35">
        <f>IF(B174="","",COUNTIF($D$54:$D$203,"&gt;"&amp;D174)+1)</f>
        <v/>
      </c>
      <c r="H174" s="35">
        <f>IF(B174="","",INDEX(الموظفات!$L$5:$L$304,MATCH(B174,الموظفات!$B$5:$B$304,0)))</f>
        <v/>
      </c>
      <c r="K174" s="36">
        <f>IF(121&gt;$B$10,"",121)</f>
        <v/>
      </c>
      <c r="L174" s="37">
        <f>IF($K174="","",INDEX('سجل التحفيز'!$A$5:$A$2004,MATCH($K174,'سجل التحفيز'!$U$5:$U$2004,0)))</f>
        <v/>
      </c>
      <c r="M174" s="9">
        <f>IF($K174="","",INDEX('سجل التحفيز'!$B$5:$B$2004,MATCH($K174,'سجل التحفيز'!$U$5:$U$2004,0)))</f>
        <v/>
      </c>
      <c r="N174" s="9">
        <f>IF($K174="","",INDEX('سجل التحفيز'!$M$5:$M$2004,MATCH($K174,'سجل التحفيز'!$U$5:$U$2004,0)))</f>
        <v/>
      </c>
      <c r="O174" s="9">
        <f>IF($K174="","",INDEX('سجل التحفيز'!$C$5:$C$2004,MATCH($K174,'سجل التحفيز'!$U$5:$U$2004,0)))</f>
        <v/>
      </c>
      <c r="P174" s="36">
        <f>IF($K174="","",INDEX('سجل التحفيز'!$D$5:$D$2004,MATCH($K174,'سجل التحفيز'!$U$5:$U$2004,0)))</f>
        <v/>
      </c>
      <c r="Q174" s="9">
        <f>IF($K174="","",INDEX('سجل التحفيز'!$E$5:$E$2004,MATCH($K174,'سجل التحفيز'!$U$5:$U$2004,0)))</f>
        <v/>
      </c>
      <c r="R174" s="9">
        <f>IF($K174="","",INDEX('سجل التحفيز'!$F$5:$F$2004,MATCH($K174,'سجل التحفيز'!$U$5:$U$2004,0)))</f>
        <v/>
      </c>
      <c r="S174" s="35">
        <f>IF($K174="","",INDEX('سجل التحفيز'!$G$5:$G$2004,MATCH($K174,'سجل التحفيز'!$U$5:$U$2004,0)))</f>
        <v/>
      </c>
    </row>
    <row r="175">
      <c r="B175" s="34">
        <f>IFERROR(INDEX(الموظفات!$B$5:$B$304,MATCH(122,الموظفات!$O$5:$O$304,0)),"")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التحفيز'!$U$5:$U$2004,"&gt;0",'سجل التحفيز'!$B$5:$B$2004,B175))</f>
        <v/>
      </c>
      <c r="E175" s="35">
        <f>IF(B175="","",COUNTIFS('سجل التحفيز'!$U$5:$U$2004,"&gt;0",'سجل التحفيز'!$B$5:$B$2004,B175,'سجل التحفيز'!$D$5:$D$2004,"ذهبي"))</f>
        <v/>
      </c>
      <c r="F175" s="35">
        <f>IF(B175="","",SUMIFS('سجل التحفيز'!$G$5:$G$2004,'سجل التحفيز'!$U$5:$U$2004,"&gt;0",'سجل التحفيز'!$B$5:$B$2004,B175))</f>
        <v/>
      </c>
      <c r="G175" s="35">
        <f>IF(B175="","",COUNTIF($D$54:$D$203,"&gt;"&amp;D175)+1)</f>
        <v/>
      </c>
      <c r="H175" s="35">
        <f>IF(B175="","",INDEX(الموظفات!$L$5:$L$304,MATCH(B175,الموظفات!$B$5:$B$304,0)))</f>
        <v/>
      </c>
      <c r="K175" s="36">
        <f>IF(122&gt;$B$10,"",122)</f>
        <v/>
      </c>
      <c r="L175" s="37">
        <f>IF($K175="","",INDEX('سجل التحفيز'!$A$5:$A$2004,MATCH($K175,'سجل التحفيز'!$U$5:$U$2004,0)))</f>
        <v/>
      </c>
      <c r="M175" s="9">
        <f>IF($K175="","",INDEX('سجل التحفيز'!$B$5:$B$2004,MATCH($K175,'سجل التحفيز'!$U$5:$U$2004,0)))</f>
        <v/>
      </c>
      <c r="N175" s="9">
        <f>IF($K175="","",INDEX('سجل التحفيز'!$M$5:$M$2004,MATCH($K175,'سجل التحفيز'!$U$5:$U$2004,0)))</f>
        <v/>
      </c>
      <c r="O175" s="9">
        <f>IF($K175="","",INDEX('سجل التحفيز'!$C$5:$C$2004,MATCH($K175,'سجل التحفيز'!$U$5:$U$2004,0)))</f>
        <v/>
      </c>
      <c r="P175" s="36">
        <f>IF($K175="","",INDEX('سجل التحفيز'!$D$5:$D$2004,MATCH($K175,'سجل التحفيز'!$U$5:$U$2004,0)))</f>
        <v/>
      </c>
      <c r="Q175" s="9">
        <f>IF($K175="","",INDEX('سجل التحفيز'!$E$5:$E$2004,MATCH($K175,'سجل التحفيز'!$U$5:$U$2004,0)))</f>
        <v/>
      </c>
      <c r="R175" s="9">
        <f>IF($K175="","",INDEX('سجل التحفيز'!$F$5:$F$2004,MATCH($K175,'سجل التحفيز'!$U$5:$U$2004,0)))</f>
        <v/>
      </c>
      <c r="S175" s="35">
        <f>IF($K175="","",INDEX('سجل التحفيز'!$G$5:$G$2004,MATCH($K175,'سجل التحفيز'!$U$5:$U$2004,0)))</f>
        <v/>
      </c>
    </row>
    <row r="176">
      <c r="B176" s="34">
        <f>IFERROR(INDEX(الموظفات!$B$5:$B$304,MATCH(123,الموظفات!$O$5:$O$304,0)),"")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التحفيز'!$U$5:$U$2004,"&gt;0",'سجل التحفيز'!$B$5:$B$2004,B176))</f>
        <v/>
      </c>
      <c r="E176" s="35">
        <f>IF(B176="","",COUNTIFS('سجل التحفيز'!$U$5:$U$2004,"&gt;0",'سجل التحفيز'!$B$5:$B$2004,B176,'سجل التحفيز'!$D$5:$D$2004,"ذهبي"))</f>
        <v/>
      </c>
      <c r="F176" s="35">
        <f>IF(B176="","",SUMIFS('سجل التحفيز'!$G$5:$G$2004,'سجل التحفيز'!$U$5:$U$2004,"&gt;0",'سجل التحفيز'!$B$5:$B$2004,B176))</f>
        <v/>
      </c>
      <c r="G176" s="35">
        <f>IF(B176="","",COUNTIF($D$54:$D$203,"&gt;"&amp;D176)+1)</f>
        <v/>
      </c>
      <c r="H176" s="35">
        <f>IF(B176="","",INDEX(الموظفات!$L$5:$L$304,MATCH(B176,الموظفات!$B$5:$B$304,0)))</f>
        <v/>
      </c>
      <c r="K176" s="36">
        <f>IF(123&gt;$B$10,"",123)</f>
        <v/>
      </c>
      <c r="L176" s="37">
        <f>IF($K176="","",INDEX('سجل التحفيز'!$A$5:$A$2004,MATCH($K176,'سجل التحفيز'!$U$5:$U$2004,0)))</f>
        <v/>
      </c>
      <c r="M176" s="9">
        <f>IF($K176="","",INDEX('سجل التحفيز'!$B$5:$B$2004,MATCH($K176,'سجل التحفيز'!$U$5:$U$2004,0)))</f>
        <v/>
      </c>
      <c r="N176" s="9">
        <f>IF($K176="","",INDEX('سجل التحفيز'!$M$5:$M$2004,MATCH($K176,'سجل التحفيز'!$U$5:$U$2004,0)))</f>
        <v/>
      </c>
      <c r="O176" s="9">
        <f>IF($K176="","",INDEX('سجل التحفيز'!$C$5:$C$2004,MATCH($K176,'سجل التحفيز'!$U$5:$U$2004,0)))</f>
        <v/>
      </c>
      <c r="P176" s="36">
        <f>IF($K176="","",INDEX('سجل التحفيز'!$D$5:$D$2004,MATCH($K176,'سجل التحفيز'!$U$5:$U$2004,0)))</f>
        <v/>
      </c>
      <c r="Q176" s="9">
        <f>IF($K176="","",INDEX('سجل التحفيز'!$E$5:$E$2004,MATCH($K176,'سجل التحفيز'!$U$5:$U$2004,0)))</f>
        <v/>
      </c>
      <c r="R176" s="9">
        <f>IF($K176="","",INDEX('سجل التحفيز'!$F$5:$F$2004,MATCH($K176,'سجل التحفيز'!$U$5:$U$2004,0)))</f>
        <v/>
      </c>
      <c r="S176" s="35">
        <f>IF($K176="","",INDEX('سجل التحفيز'!$G$5:$G$2004,MATCH($K176,'سجل التحفيز'!$U$5:$U$2004,0)))</f>
        <v/>
      </c>
    </row>
    <row r="177">
      <c r="B177" s="34">
        <f>IFERROR(INDEX(الموظفات!$B$5:$B$304,MATCH(124,الموظفات!$O$5:$O$304,0)),"")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التحفيز'!$U$5:$U$2004,"&gt;0",'سجل التحفيز'!$B$5:$B$2004,B177))</f>
        <v/>
      </c>
      <c r="E177" s="35">
        <f>IF(B177="","",COUNTIFS('سجل التحفيز'!$U$5:$U$2004,"&gt;0",'سجل التحفيز'!$B$5:$B$2004,B177,'سجل التحفيز'!$D$5:$D$2004,"ذهبي"))</f>
        <v/>
      </c>
      <c r="F177" s="35">
        <f>IF(B177="","",SUMIFS('سجل التحفيز'!$G$5:$G$2004,'سجل التحفيز'!$U$5:$U$2004,"&gt;0",'سجل التحفيز'!$B$5:$B$2004,B177))</f>
        <v/>
      </c>
      <c r="G177" s="35">
        <f>IF(B177="","",COUNTIF($D$54:$D$203,"&gt;"&amp;D177)+1)</f>
        <v/>
      </c>
      <c r="H177" s="35">
        <f>IF(B177="","",INDEX(الموظفات!$L$5:$L$304,MATCH(B177,الموظفات!$B$5:$B$304,0)))</f>
        <v/>
      </c>
      <c r="K177" s="36">
        <f>IF(124&gt;$B$10,"",124)</f>
        <v/>
      </c>
      <c r="L177" s="37">
        <f>IF($K177="","",INDEX('سجل التحفيز'!$A$5:$A$2004,MATCH($K177,'سجل التحفيز'!$U$5:$U$2004,0)))</f>
        <v/>
      </c>
      <c r="M177" s="9">
        <f>IF($K177="","",INDEX('سجل التحفيز'!$B$5:$B$2004,MATCH($K177,'سجل التحفيز'!$U$5:$U$2004,0)))</f>
        <v/>
      </c>
      <c r="N177" s="9">
        <f>IF($K177="","",INDEX('سجل التحفيز'!$M$5:$M$2004,MATCH($K177,'سجل التحفيز'!$U$5:$U$2004,0)))</f>
        <v/>
      </c>
      <c r="O177" s="9">
        <f>IF($K177="","",INDEX('سجل التحفيز'!$C$5:$C$2004,MATCH($K177,'سجل التحفيز'!$U$5:$U$2004,0)))</f>
        <v/>
      </c>
      <c r="P177" s="36">
        <f>IF($K177="","",INDEX('سجل التحفيز'!$D$5:$D$2004,MATCH($K177,'سجل التحفيز'!$U$5:$U$2004,0)))</f>
        <v/>
      </c>
      <c r="Q177" s="9">
        <f>IF($K177="","",INDEX('سجل التحفيز'!$E$5:$E$2004,MATCH($K177,'سجل التحفيز'!$U$5:$U$2004,0)))</f>
        <v/>
      </c>
      <c r="R177" s="9">
        <f>IF($K177="","",INDEX('سجل التحفيز'!$F$5:$F$2004,MATCH($K177,'سجل التحفيز'!$U$5:$U$2004,0)))</f>
        <v/>
      </c>
      <c r="S177" s="35">
        <f>IF($K177="","",INDEX('سجل التحفيز'!$G$5:$G$2004,MATCH($K177,'سجل التحفيز'!$U$5:$U$2004,0)))</f>
        <v/>
      </c>
    </row>
    <row r="178">
      <c r="B178" s="34">
        <f>IFERROR(INDEX(الموظفات!$B$5:$B$304,MATCH(125,الموظفات!$O$5:$O$304,0)),"")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التحفيز'!$U$5:$U$2004,"&gt;0",'سجل التحفيز'!$B$5:$B$2004,B178))</f>
        <v/>
      </c>
      <c r="E178" s="35">
        <f>IF(B178="","",COUNTIFS('سجل التحفيز'!$U$5:$U$2004,"&gt;0",'سجل التحفيز'!$B$5:$B$2004,B178,'سجل التحفيز'!$D$5:$D$2004,"ذهبي"))</f>
        <v/>
      </c>
      <c r="F178" s="35">
        <f>IF(B178="","",SUMIFS('سجل التحفيز'!$G$5:$G$2004,'سجل التحفيز'!$U$5:$U$2004,"&gt;0",'سجل التحفيز'!$B$5:$B$2004,B178))</f>
        <v/>
      </c>
      <c r="G178" s="35">
        <f>IF(B178="","",COUNTIF($D$54:$D$203,"&gt;"&amp;D178)+1)</f>
        <v/>
      </c>
      <c r="H178" s="35">
        <f>IF(B178="","",INDEX(الموظفات!$L$5:$L$304,MATCH(B178,الموظفات!$B$5:$B$304,0)))</f>
        <v/>
      </c>
      <c r="K178" s="36">
        <f>IF(125&gt;$B$10,"",125)</f>
        <v/>
      </c>
      <c r="L178" s="37">
        <f>IF($K178="","",INDEX('سجل التحفيز'!$A$5:$A$2004,MATCH($K178,'سجل التحفيز'!$U$5:$U$2004,0)))</f>
        <v/>
      </c>
      <c r="M178" s="9">
        <f>IF($K178="","",INDEX('سجل التحفيز'!$B$5:$B$2004,MATCH($K178,'سجل التحفيز'!$U$5:$U$2004,0)))</f>
        <v/>
      </c>
      <c r="N178" s="9">
        <f>IF($K178="","",INDEX('سجل التحفيز'!$M$5:$M$2004,MATCH($K178,'سجل التحفيز'!$U$5:$U$2004,0)))</f>
        <v/>
      </c>
      <c r="O178" s="9">
        <f>IF($K178="","",INDEX('سجل التحفيز'!$C$5:$C$2004,MATCH($K178,'سجل التحفيز'!$U$5:$U$2004,0)))</f>
        <v/>
      </c>
      <c r="P178" s="36">
        <f>IF($K178="","",INDEX('سجل التحفيز'!$D$5:$D$2004,MATCH($K178,'سجل التحفيز'!$U$5:$U$2004,0)))</f>
        <v/>
      </c>
      <c r="Q178" s="9">
        <f>IF($K178="","",INDEX('سجل التحفيز'!$E$5:$E$2004,MATCH($K178,'سجل التحفيز'!$U$5:$U$2004,0)))</f>
        <v/>
      </c>
      <c r="R178" s="9">
        <f>IF($K178="","",INDEX('سجل التحفيز'!$F$5:$F$2004,MATCH($K178,'سجل التحفيز'!$U$5:$U$2004,0)))</f>
        <v/>
      </c>
      <c r="S178" s="35">
        <f>IF($K178="","",INDEX('سجل التحفيز'!$G$5:$G$2004,MATCH($K178,'سجل التحفيز'!$U$5:$U$2004,0)))</f>
        <v/>
      </c>
    </row>
    <row r="179">
      <c r="B179" s="34">
        <f>IFERROR(INDEX(الموظفات!$B$5:$B$304,MATCH(126,الموظفات!$O$5:$O$304,0)),"")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التحفيز'!$U$5:$U$2004,"&gt;0",'سجل التحفيز'!$B$5:$B$2004,B179))</f>
        <v/>
      </c>
      <c r="E179" s="35">
        <f>IF(B179="","",COUNTIFS('سجل التحفيز'!$U$5:$U$2004,"&gt;0",'سجل التحفيز'!$B$5:$B$2004,B179,'سجل التحفيز'!$D$5:$D$2004,"ذهبي"))</f>
        <v/>
      </c>
      <c r="F179" s="35">
        <f>IF(B179="","",SUMIFS('سجل التحفيز'!$G$5:$G$2004,'سجل التحفيز'!$U$5:$U$2004,"&gt;0",'سجل التحفيز'!$B$5:$B$2004,B179))</f>
        <v/>
      </c>
      <c r="G179" s="35">
        <f>IF(B179="","",COUNTIF($D$54:$D$203,"&gt;"&amp;D179)+1)</f>
        <v/>
      </c>
      <c r="H179" s="35">
        <f>IF(B179="","",INDEX(الموظفات!$L$5:$L$304,MATCH(B179,الموظفات!$B$5:$B$304,0)))</f>
        <v/>
      </c>
      <c r="K179" s="36">
        <f>IF(126&gt;$B$10,"",126)</f>
        <v/>
      </c>
      <c r="L179" s="37">
        <f>IF($K179="","",INDEX('سجل التحفيز'!$A$5:$A$2004,MATCH($K179,'سجل التحفيز'!$U$5:$U$2004,0)))</f>
        <v/>
      </c>
      <c r="M179" s="9">
        <f>IF($K179="","",INDEX('سجل التحفيز'!$B$5:$B$2004,MATCH($K179,'سجل التحفيز'!$U$5:$U$2004,0)))</f>
        <v/>
      </c>
      <c r="N179" s="9">
        <f>IF($K179="","",INDEX('سجل التحفيز'!$M$5:$M$2004,MATCH($K179,'سجل التحفيز'!$U$5:$U$2004,0)))</f>
        <v/>
      </c>
      <c r="O179" s="9">
        <f>IF($K179="","",INDEX('سجل التحفيز'!$C$5:$C$2004,MATCH($K179,'سجل التحفيز'!$U$5:$U$2004,0)))</f>
        <v/>
      </c>
      <c r="P179" s="36">
        <f>IF($K179="","",INDEX('سجل التحفيز'!$D$5:$D$2004,MATCH($K179,'سجل التحفيز'!$U$5:$U$2004,0)))</f>
        <v/>
      </c>
      <c r="Q179" s="9">
        <f>IF($K179="","",INDEX('سجل التحفيز'!$E$5:$E$2004,MATCH($K179,'سجل التحفيز'!$U$5:$U$2004,0)))</f>
        <v/>
      </c>
      <c r="R179" s="9">
        <f>IF($K179="","",INDEX('سجل التحفيز'!$F$5:$F$2004,MATCH($K179,'سجل التحفيز'!$U$5:$U$2004,0)))</f>
        <v/>
      </c>
      <c r="S179" s="35">
        <f>IF($K179="","",INDEX('سجل التحفيز'!$G$5:$G$2004,MATCH($K179,'سجل التحفيز'!$U$5:$U$2004,0)))</f>
        <v/>
      </c>
    </row>
    <row r="180">
      <c r="B180" s="34">
        <f>IFERROR(INDEX(الموظفات!$B$5:$B$304,MATCH(127,الموظفات!$O$5:$O$304,0)),"")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التحفيز'!$U$5:$U$2004,"&gt;0",'سجل التحفيز'!$B$5:$B$2004,B180))</f>
        <v/>
      </c>
      <c r="E180" s="35">
        <f>IF(B180="","",COUNTIFS('سجل التحفيز'!$U$5:$U$2004,"&gt;0",'سجل التحفيز'!$B$5:$B$2004,B180,'سجل التحفيز'!$D$5:$D$2004,"ذهبي"))</f>
        <v/>
      </c>
      <c r="F180" s="35">
        <f>IF(B180="","",SUMIFS('سجل التحفيز'!$G$5:$G$2004,'سجل التحفيز'!$U$5:$U$2004,"&gt;0",'سجل التحفيز'!$B$5:$B$2004,B180))</f>
        <v/>
      </c>
      <c r="G180" s="35">
        <f>IF(B180="","",COUNTIF($D$54:$D$203,"&gt;"&amp;D180)+1)</f>
        <v/>
      </c>
      <c r="H180" s="35">
        <f>IF(B180="","",INDEX(الموظفات!$L$5:$L$304,MATCH(B180,الموظفات!$B$5:$B$304,0)))</f>
        <v/>
      </c>
      <c r="K180" s="36">
        <f>IF(127&gt;$B$10,"",127)</f>
        <v/>
      </c>
      <c r="L180" s="37">
        <f>IF($K180="","",INDEX('سجل التحفيز'!$A$5:$A$2004,MATCH($K180,'سجل التحفيز'!$U$5:$U$2004,0)))</f>
        <v/>
      </c>
      <c r="M180" s="9">
        <f>IF($K180="","",INDEX('سجل التحفيز'!$B$5:$B$2004,MATCH($K180,'سجل التحفيز'!$U$5:$U$2004,0)))</f>
        <v/>
      </c>
      <c r="N180" s="9">
        <f>IF($K180="","",INDEX('سجل التحفيز'!$M$5:$M$2004,MATCH($K180,'سجل التحفيز'!$U$5:$U$2004,0)))</f>
        <v/>
      </c>
      <c r="O180" s="9">
        <f>IF($K180="","",INDEX('سجل التحفيز'!$C$5:$C$2004,MATCH($K180,'سجل التحفيز'!$U$5:$U$2004,0)))</f>
        <v/>
      </c>
      <c r="P180" s="36">
        <f>IF($K180="","",INDEX('سجل التحفيز'!$D$5:$D$2004,MATCH($K180,'سجل التحفيز'!$U$5:$U$2004,0)))</f>
        <v/>
      </c>
      <c r="Q180" s="9">
        <f>IF($K180="","",INDEX('سجل التحفيز'!$E$5:$E$2004,MATCH($K180,'سجل التحفيز'!$U$5:$U$2004,0)))</f>
        <v/>
      </c>
      <c r="R180" s="9">
        <f>IF($K180="","",INDEX('سجل التحفيز'!$F$5:$F$2004,MATCH($K180,'سجل التحفيز'!$U$5:$U$2004,0)))</f>
        <v/>
      </c>
      <c r="S180" s="35">
        <f>IF($K180="","",INDEX('سجل التحفيز'!$G$5:$G$2004,MATCH($K180,'سجل التحفيز'!$U$5:$U$2004,0)))</f>
        <v/>
      </c>
    </row>
    <row r="181">
      <c r="B181" s="34">
        <f>IFERROR(INDEX(الموظفات!$B$5:$B$304,MATCH(128,الموظفات!$O$5:$O$304,0)),"")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التحفيز'!$U$5:$U$2004,"&gt;0",'سجل التحفيز'!$B$5:$B$2004,B181))</f>
        <v/>
      </c>
      <c r="E181" s="35">
        <f>IF(B181="","",COUNTIFS('سجل التحفيز'!$U$5:$U$2004,"&gt;0",'سجل التحفيز'!$B$5:$B$2004,B181,'سجل التحفيز'!$D$5:$D$2004,"ذهبي"))</f>
        <v/>
      </c>
      <c r="F181" s="35">
        <f>IF(B181="","",SUMIFS('سجل التحفيز'!$G$5:$G$2004,'سجل التحفيز'!$U$5:$U$2004,"&gt;0",'سجل التحفيز'!$B$5:$B$2004,B181))</f>
        <v/>
      </c>
      <c r="G181" s="35">
        <f>IF(B181="","",COUNTIF($D$54:$D$203,"&gt;"&amp;D181)+1)</f>
        <v/>
      </c>
      <c r="H181" s="35">
        <f>IF(B181="","",INDEX(الموظفات!$L$5:$L$304,MATCH(B181,الموظفات!$B$5:$B$304,0)))</f>
        <v/>
      </c>
      <c r="K181" s="36">
        <f>IF(128&gt;$B$10,"",128)</f>
        <v/>
      </c>
      <c r="L181" s="37">
        <f>IF($K181="","",INDEX('سجل التحفيز'!$A$5:$A$2004,MATCH($K181,'سجل التحفيز'!$U$5:$U$2004,0)))</f>
        <v/>
      </c>
      <c r="M181" s="9">
        <f>IF($K181="","",INDEX('سجل التحفيز'!$B$5:$B$2004,MATCH($K181,'سجل التحفيز'!$U$5:$U$2004,0)))</f>
        <v/>
      </c>
      <c r="N181" s="9">
        <f>IF($K181="","",INDEX('سجل التحفيز'!$M$5:$M$2004,MATCH($K181,'سجل التحفيز'!$U$5:$U$2004,0)))</f>
        <v/>
      </c>
      <c r="O181" s="9">
        <f>IF($K181="","",INDEX('سجل التحفيز'!$C$5:$C$2004,MATCH($K181,'سجل التحفيز'!$U$5:$U$2004,0)))</f>
        <v/>
      </c>
      <c r="P181" s="36">
        <f>IF($K181="","",INDEX('سجل التحفيز'!$D$5:$D$2004,MATCH($K181,'سجل التحفيز'!$U$5:$U$2004,0)))</f>
        <v/>
      </c>
      <c r="Q181" s="9">
        <f>IF($K181="","",INDEX('سجل التحفيز'!$E$5:$E$2004,MATCH($K181,'سجل التحفيز'!$U$5:$U$2004,0)))</f>
        <v/>
      </c>
      <c r="R181" s="9">
        <f>IF($K181="","",INDEX('سجل التحفيز'!$F$5:$F$2004,MATCH($K181,'سجل التحفيز'!$U$5:$U$2004,0)))</f>
        <v/>
      </c>
      <c r="S181" s="35">
        <f>IF($K181="","",INDEX('سجل التحفيز'!$G$5:$G$2004,MATCH($K181,'سجل التحفيز'!$U$5:$U$2004,0)))</f>
        <v/>
      </c>
    </row>
    <row r="182">
      <c r="B182" s="34">
        <f>IFERROR(INDEX(الموظفات!$B$5:$B$304,MATCH(129,الموظفات!$O$5:$O$304,0)),"")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التحفيز'!$U$5:$U$2004,"&gt;0",'سجل التحفيز'!$B$5:$B$2004,B182))</f>
        <v/>
      </c>
      <c r="E182" s="35">
        <f>IF(B182="","",COUNTIFS('سجل التحفيز'!$U$5:$U$2004,"&gt;0",'سجل التحفيز'!$B$5:$B$2004,B182,'سجل التحفيز'!$D$5:$D$2004,"ذهبي"))</f>
        <v/>
      </c>
      <c r="F182" s="35">
        <f>IF(B182="","",SUMIFS('سجل التحفيز'!$G$5:$G$2004,'سجل التحفيز'!$U$5:$U$2004,"&gt;0",'سجل التحفيز'!$B$5:$B$2004,B182))</f>
        <v/>
      </c>
      <c r="G182" s="35">
        <f>IF(B182="","",COUNTIF($D$54:$D$203,"&gt;"&amp;D182)+1)</f>
        <v/>
      </c>
      <c r="H182" s="35">
        <f>IF(B182="","",INDEX(الموظفات!$L$5:$L$304,MATCH(B182,الموظفات!$B$5:$B$304,0)))</f>
        <v/>
      </c>
      <c r="K182" s="36">
        <f>IF(129&gt;$B$10,"",129)</f>
        <v/>
      </c>
      <c r="L182" s="37">
        <f>IF($K182="","",INDEX('سجل التحفيز'!$A$5:$A$2004,MATCH($K182,'سجل التحفيز'!$U$5:$U$2004,0)))</f>
        <v/>
      </c>
      <c r="M182" s="9">
        <f>IF($K182="","",INDEX('سجل التحفيز'!$B$5:$B$2004,MATCH($K182,'سجل التحفيز'!$U$5:$U$2004,0)))</f>
        <v/>
      </c>
      <c r="N182" s="9">
        <f>IF($K182="","",INDEX('سجل التحفيز'!$M$5:$M$2004,MATCH($K182,'سجل التحفيز'!$U$5:$U$2004,0)))</f>
        <v/>
      </c>
      <c r="O182" s="9">
        <f>IF($K182="","",INDEX('سجل التحفيز'!$C$5:$C$2004,MATCH($K182,'سجل التحفيز'!$U$5:$U$2004,0)))</f>
        <v/>
      </c>
      <c r="P182" s="36">
        <f>IF($K182="","",INDEX('سجل التحفيز'!$D$5:$D$2004,MATCH($K182,'سجل التحفيز'!$U$5:$U$2004,0)))</f>
        <v/>
      </c>
      <c r="Q182" s="9">
        <f>IF($K182="","",INDEX('سجل التحفيز'!$E$5:$E$2004,MATCH($K182,'سجل التحفيز'!$U$5:$U$2004,0)))</f>
        <v/>
      </c>
      <c r="R182" s="9">
        <f>IF($K182="","",INDEX('سجل التحفيز'!$F$5:$F$2004,MATCH($K182,'سجل التحفيز'!$U$5:$U$2004,0)))</f>
        <v/>
      </c>
      <c r="S182" s="35">
        <f>IF($K182="","",INDEX('سجل التحفيز'!$G$5:$G$2004,MATCH($K182,'سجل التحفيز'!$U$5:$U$2004,0)))</f>
        <v/>
      </c>
    </row>
    <row r="183">
      <c r="B183" s="34">
        <f>IFERROR(INDEX(الموظفات!$B$5:$B$304,MATCH(130,الموظفات!$O$5:$O$304,0)),"")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التحفيز'!$U$5:$U$2004,"&gt;0",'سجل التحفيز'!$B$5:$B$2004,B183))</f>
        <v/>
      </c>
      <c r="E183" s="35">
        <f>IF(B183="","",COUNTIFS('سجل التحفيز'!$U$5:$U$2004,"&gt;0",'سجل التحفيز'!$B$5:$B$2004,B183,'سجل التحفيز'!$D$5:$D$2004,"ذهبي"))</f>
        <v/>
      </c>
      <c r="F183" s="35">
        <f>IF(B183="","",SUMIFS('سجل التحفيز'!$G$5:$G$2004,'سجل التحفيز'!$U$5:$U$2004,"&gt;0",'سجل التحفيز'!$B$5:$B$2004,B183))</f>
        <v/>
      </c>
      <c r="G183" s="35">
        <f>IF(B183="","",COUNTIF($D$54:$D$203,"&gt;"&amp;D183)+1)</f>
        <v/>
      </c>
      <c r="H183" s="35">
        <f>IF(B183="","",INDEX(الموظفات!$L$5:$L$304,MATCH(B183,الموظفات!$B$5:$B$304,0)))</f>
        <v/>
      </c>
      <c r="K183" s="36">
        <f>IF(130&gt;$B$10,"",130)</f>
        <v/>
      </c>
      <c r="L183" s="37">
        <f>IF($K183="","",INDEX('سجل التحفيز'!$A$5:$A$2004,MATCH($K183,'سجل التحفيز'!$U$5:$U$2004,0)))</f>
        <v/>
      </c>
      <c r="M183" s="9">
        <f>IF($K183="","",INDEX('سجل التحفيز'!$B$5:$B$2004,MATCH($K183,'سجل التحفيز'!$U$5:$U$2004,0)))</f>
        <v/>
      </c>
      <c r="N183" s="9">
        <f>IF($K183="","",INDEX('سجل التحفيز'!$M$5:$M$2004,MATCH($K183,'سجل التحفيز'!$U$5:$U$2004,0)))</f>
        <v/>
      </c>
      <c r="O183" s="9">
        <f>IF($K183="","",INDEX('سجل التحفيز'!$C$5:$C$2004,MATCH($K183,'سجل التحفيز'!$U$5:$U$2004,0)))</f>
        <v/>
      </c>
      <c r="P183" s="36">
        <f>IF($K183="","",INDEX('سجل التحفيز'!$D$5:$D$2004,MATCH($K183,'سجل التحفيز'!$U$5:$U$2004,0)))</f>
        <v/>
      </c>
      <c r="Q183" s="9">
        <f>IF($K183="","",INDEX('سجل التحفيز'!$E$5:$E$2004,MATCH($K183,'سجل التحفيز'!$U$5:$U$2004,0)))</f>
        <v/>
      </c>
      <c r="R183" s="9">
        <f>IF($K183="","",INDEX('سجل التحفيز'!$F$5:$F$2004,MATCH($K183,'سجل التحفيز'!$U$5:$U$2004,0)))</f>
        <v/>
      </c>
      <c r="S183" s="35">
        <f>IF($K183="","",INDEX('سجل التحفيز'!$G$5:$G$2004,MATCH($K183,'سجل التحفيز'!$U$5:$U$2004,0)))</f>
        <v/>
      </c>
    </row>
    <row r="184">
      <c r="B184" s="34">
        <f>IFERROR(INDEX(الموظفات!$B$5:$B$304,MATCH(131,الموظفات!$O$5:$O$304,0)),"")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التحفيز'!$U$5:$U$2004,"&gt;0",'سجل التحفيز'!$B$5:$B$2004,B184))</f>
        <v/>
      </c>
      <c r="E184" s="35">
        <f>IF(B184="","",COUNTIFS('سجل التحفيز'!$U$5:$U$2004,"&gt;0",'سجل التحفيز'!$B$5:$B$2004,B184,'سجل التحفيز'!$D$5:$D$2004,"ذهبي"))</f>
        <v/>
      </c>
      <c r="F184" s="35">
        <f>IF(B184="","",SUMIFS('سجل التحفيز'!$G$5:$G$2004,'سجل التحفيز'!$U$5:$U$2004,"&gt;0",'سجل التحفيز'!$B$5:$B$2004,B184))</f>
        <v/>
      </c>
      <c r="G184" s="35">
        <f>IF(B184="","",COUNTIF($D$54:$D$203,"&gt;"&amp;D184)+1)</f>
        <v/>
      </c>
      <c r="H184" s="35">
        <f>IF(B184="","",INDEX(الموظفات!$L$5:$L$304,MATCH(B184,الموظفات!$B$5:$B$304,0)))</f>
        <v/>
      </c>
      <c r="K184" s="36">
        <f>IF(131&gt;$B$10,"",131)</f>
        <v/>
      </c>
      <c r="L184" s="37">
        <f>IF($K184="","",INDEX('سجل التحفيز'!$A$5:$A$2004,MATCH($K184,'سجل التحفيز'!$U$5:$U$2004,0)))</f>
        <v/>
      </c>
      <c r="M184" s="9">
        <f>IF($K184="","",INDEX('سجل التحفيز'!$B$5:$B$2004,MATCH($K184,'سجل التحفيز'!$U$5:$U$2004,0)))</f>
        <v/>
      </c>
      <c r="N184" s="9">
        <f>IF($K184="","",INDEX('سجل التحفيز'!$M$5:$M$2004,MATCH($K184,'سجل التحفيز'!$U$5:$U$2004,0)))</f>
        <v/>
      </c>
      <c r="O184" s="9">
        <f>IF($K184="","",INDEX('سجل التحفيز'!$C$5:$C$2004,MATCH($K184,'سجل التحفيز'!$U$5:$U$2004,0)))</f>
        <v/>
      </c>
      <c r="P184" s="36">
        <f>IF($K184="","",INDEX('سجل التحفيز'!$D$5:$D$2004,MATCH($K184,'سجل التحفيز'!$U$5:$U$2004,0)))</f>
        <v/>
      </c>
      <c r="Q184" s="9">
        <f>IF($K184="","",INDEX('سجل التحفيز'!$E$5:$E$2004,MATCH($K184,'سجل التحفيز'!$U$5:$U$2004,0)))</f>
        <v/>
      </c>
      <c r="R184" s="9">
        <f>IF($K184="","",INDEX('سجل التحفيز'!$F$5:$F$2004,MATCH($K184,'سجل التحفيز'!$U$5:$U$2004,0)))</f>
        <v/>
      </c>
      <c r="S184" s="35">
        <f>IF($K184="","",INDEX('سجل التحفيز'!$G$5:$G$2004,MATCH($K184,'سجل التحفيز'!$U$5:$U$2004,0)))</f>
        <v/>
      </c>
    </row>
    <row r="185">
      <c r="B185" s="34">
        <f>IFERROR(INDEX(الموظفات!$B$5:$B$304,MATCH(132,الموظفات!$O$5:$O$304,0)),"")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التحفيز'!$U$5:$U$2004,"&gt;0",'سجل التحفيز'!$B$5:$B$2004,B185))</f>
        <v/>
      </c>
      <c r="E185" s="35">
        <f>IF(B185="","",COUNTIFS('سجل التحفيز'!$U$5:$U$2004,"&gt;0",'سجل التحفيز'!$B$5:$B$2004,B185,'سجل التحفيز'!$D$5:$D$2004,"ذهبي"))</f>
        <v/>
      </c>
      <c r="F185" s="35">
        <f>IF(B185="","",SUMIFS('سجل التحفيز'!$G$5:$G$2004,'سجل التحفيز'!$U$5:$U$2004,"&gt;0",'سجل التحفيز'!$B$5:$B$2004,B185))</f>
        <v/>
      </c>
      <c r="G185" s="35">
        <f>IF(B185="","",COUNTIF($D$54:$D$203,"&gt;"&amp;D185)+1)</f>
        <v/>
      </c>
      <c r="H185" s="35">
        <f>IF(B185="","",INDEX(الموظفات!$L$5:$L$304,MATCH(B185,الموظفات!$B$5:$B$304,0)))</f>
        <v/>
      </c>
      <c r="K185" s="36">
        <f>IF(132&gt;$B$10,"",132)</f>
        <v/>
      </c>
      <c r="L185" s="37">
        <f>IF($K185="","",INDEX('سجل التحفيز'!$A$5:$A$2004,MATCH($K185,'سجل التحفيز'!$U$5:$U$2004,0)))</f>
        <v/>
      </c>
      <c r="M185" s="9">
        <f>IF($K185="","",INDEX('سجل التحفيز'!$B$5:$B$2004,MATCH($K185,'سجل التحفيز'!$U$5:$U$2004,0)))</f>
        <v/>
      </c>
      <c r="N185" s="9">
        <f>IF($K185="","",INDEX('سجل التحفيز'!$M$5:$M$2004,MATCH($K185,'سجل التحفيز'!$U$5:$U$2004,0)))</f>
        <v/>
      </c>
      <c r="O185" s="9">
        <f>IF($K185="","",INDEX('سجل التحفيز'!$C$5:$C$2004,MATCH($K185,'سجل التحفيز'!$U$5:$U$2004,0)))</f>
        <v/>
      </c>
      <c r="P185" s="36">
        <f>IF($K185="","",INDEX('سجل التحفيز'!$D$5:$D$2004,MATCH($K185,'سجل التحفيز'!$U$5:$U$2004,0)))</f>
        <v/>
      </c>
      <c r="Q185" s="9">
        <f>IF($K185="","",INDEX('سجل التحفيز'!$E$5:$E$2004,MATCH($K185,'سجل التحفيز'!$U$5:$U$2004,0)))</f>
        <v/>
      </c>
      <c r="R185" s="9">
        <f>IF($K185="","",INDEX('سجل التحفيز'!$F$5:$F$2004,MATCH($K185,'سجل التحفيز'!$U$5:$U$2004,0)))</f>
        <v/>
      </c>
      <c r="S185" s="35">
        <f>IF($K185="","",INDEX('سجل التحفيز'!$G$5:$G$2004,MATCH($K185,'سجل التحفيز'!$U$5:$U$2004,0)))</f>
        <v/>
      </c>
    </row>
    <row r="186">
      <c r="B186" s="34">
        <f>IFERROR(INDEX(الموظفات!$B$5:$B$304,MATCH(133,الموظفات!$O$5:$O$304,0)),"")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التحفيز'!$U$5:$U$2004,"&gt;0",'سجل التحفيز'!$B$5:$B$2004,B186))</f>
        <v/>
      </c>
      <c r="E186" s="35">
        <f>IF(B186="","",COUNTIFS('سجل التحفيز'!$U$5:$U$2004,"&gt;0",'سجل التحفيز'!$B$5:$B$2004,B186,'سجل التحفيز'!$D$5:$D$2004,"ذهبي"))</f>
        <v/>
      </c>
      <c r="F186" s="35">
        <f>IF(B186="","",SUMIFS('سجل التحفيز'!$G$5:$G$2004,'سجل التحفيز'!$U$5:$U$2004,"&gt;0",'سجل التحفيز'!$B$5:$B$2004,B186))</f>
        <v/>
      </c>
      <c r="G186" s="35">
        <f>IF(B186="","",COUNTIF($D$54:$D$203,"&gt;"&amp;D186)+1)</f>
        <v/>
      </c>
      <c r="H186" s="35">
        <f>IF(B186="","",INDEX(الموظفات!$L$5:$L$304,MATCH(B186,الموظفات!$B$5:$B$304,0)))</f>
        <v/>
      </c>
      <c r="K186" s="36">
        <f>IF(133&gt;$B$10,"",133)</f>
        <v/>
      </c>
      <c r="L186" s="37">
        <f>IF($K186="","",INDEX('سجل التحفيز'!$A$5:$A$2004,MATCH($K186,'سجل التحفيز'!$U$5:$U$2004,0)))</f>
        <v/>
      </c>
      <c r="M186" s="9">
        <f>IF($K186="","",INDEX('سجل التحفيز'!$B$5:$B$2004,MATCH($K186,'سجل التحفيز'!$U$5:$U$2004,0)))</f>
        <v/>
      </c>
      <c r="N186" s="9">
        <f>IF($K186="","",INDEX('سجل التحفيز'!$M$5:$M$2004,MATCH($K186,'سجل التحفيز'!$U$5:$U$2004,0)))</f>
        <v/>
      </c>
      <c r="O186" s="9">
        <f>IF($K186="","",INDEX('سجل التحفيز'!$C$5:$C$2004,MATCH($K186,'سجل التحفيز'!$U$5:$U$2004,0)))</f>
        <v/>
      </c>
      <c r="P186" s="36">
        <f>IF($K186="","",INDEX('سجل التحفيز'!$D$5:$D$2004,MATCH($K186,'سجل التحفيز'!$U$5:$U$2004,0)))</f>
        <v/>
      </c>
      <c r="Q186" s="9">
        <f>IF($K186="","",INDEX('سجل التحفيز'!$E$5:$E$2004,MATCH($K186,'سجل التحفيز'!$U$5:$U$2004,0)))</f>
        <v/>
      </c>
      <c r="R186" s="9">
        <f>IF($K186="","",INDEX('سجل التحفيز'!$F$5:$F$2004,MATCH($K186,'سجل التحفيز'!$U$5:$U$2004,0)))</f>
        <v/>
      </c>
      <c r="S186" s="35">
        <f>IF($K186="","",INDEX('سجل التحفيز'!$G$5:$G$2004,MATCH($K186,'سجل التحفيز'!$U$5:$U$2004,0)))</f>
        <v/>
      </c>
    </row>
    <row r="187">
      <c r="B187" s="34">
        <f>IFERROR(INDEX(الموظفات!$B$5:$B$304,MATCH(134,الموظفات!$O$5:$O$304,0)),"")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التحفيز'!$U$5:$U$2004,"&gt;0",'سجل التحفيز'!$B$5:$B$2004,B187))</f>
        <v/>
      </c>
      <c r="E187" s="35">
        <f>IF(B187="","",COUNTIFS('سجل التحفيز'!$U$5:$U$2004,"&gt;0",'سجل التحفيز'!$B$5:$B$2004,B187,'سجل التحفيز'!$D$5:$D$2004,"ذهبي"))</f>
        <v/>
      </c>
      <c r="F187" s="35">
        <f>IF(B187="","",SUMIFS('سجل التحفيز'!$G$5:$G$2004,'سجل التحفيز'!$U$5:$U$2004,"&gt;0",'سجل التحفيز'!$B$5:$B$2004,B187))</f>
        <v/>
      </c>
      <c r="G187" s="35">
        <f>IF(B187="","",COUNTIF($D$54:$D$203,"&gt;"&amp;D187)+1)</f>
        <v/>
      </c>
      <c r="H187" s="35">
        <f>IF(B187="","",INDEX(الموظفات!$L$5:$L$304,MATCH(B187,الموظفات!$B$5:$B$304,0)))</f>
        <v/>
      </c>
      <c r="K187" s="36">
        <f>IF(134&gt;$B$10,"",134)</f>
        <v/>
      </c>
      <c r="L187" s="37">
        <f>IF($K187="","",INDEX('سجل التحفيز'!$A$5:$A$2004,MATCH($K187,'سجل التحفيز'!$U$5:$U$2004,0)))</f>
        <v/>
      </c>
      <c r="M187" s="9">
        <f>IF($K187="","",INDEX('سجل التحفيز'!$B$5:$B$2004,MATCH($K187,'سجل التحفيز'!$U$5:$U$2004,0)))</f>
        <v/>
      </c>
      <c r="N187" s="9">
        <f>IF($K187="","",INDEX('سجل التحفيز'!$M$5:$M$2004,MATCH($K187,'سجل التحفيز'!$U$5:$U$2004,0)))</f>
        <v/>
      </c>
      <c r="O187" s="9">
        <f>IF($K187="","",INDEX('سجل التحفيز'!$C$5:$C$2004,MATCH($K187,'سجل التحفيز'!$U$5:$U$2004,0)))</f>
        <v/>
      </c>
      <c r="P187" s="36">
        <f>IF($K187="","",INDEX('سجل التحفيز'!$D$5:$D$2004,MATCH($K187,'سجل التحفيز'!$U$5:$U$2004,0)))</f>
        <v/>
      </c>
      <c r="Q187" s="9">
        <f>IF($K187="","",INDEX('سجل التحفيز'!$E$5:$E$2004,MATCH($K187,'سجل التحفيز'!$U$5:$U$2004,0)))</f>
        <v/>
      </c>
      <c r="R187" s="9">
        <f>IF($K187="","",INDEX('سجل التحفيز'!$F$5:$F$2004,MATCH($K187,'سجل التحفيز'!$U$5:$U$2004,0)))</f>
        <v/>
      </c>
      <c r="S187" s="35">
        <f>IF($K187="","",INDEX('سجل التحفيز'!$G$5:$G$2004,MATCH($K187,'سجل التحفيز'!$U$5:$U$2004,0)))</f>
        <v/>
      </c>
    </row>
    <row r="188">
      <c r="B188" s="34">
        <f>IFERROR(INDEX(الموظفات!$B$5:$B$304,MATCH(135,الموظفات!$O$5:$O$304,0)),"")</f>
        <v/>
      </c>
      <c r="C188" s="34">
        <f>IF(B188="","",INDEX(الموظفات!$D$5:$D$304,MATCH(B188,الموظفات!$B$5:$B$304,0))&amp;"")</f>
        <v/>
      </c>
      <c r="D188" s="35">
        <f>IF(B188="","",COUNTIFS('سجل التحفيز'!$U$5:$U$2004,"&gt;0",'سجل التحفيز'!$B$5:$B$2004,B188))</f>
        <v/>
      </c>
      <c r="E188" s="35">
        <f>IF(B188="","",COUNTIFS('سجل التحفيز'!$U$5:$U$2004,"&gt;0",'سجل التحفيز'!$B$5:$B$2004,B188,'سجل التحفيز'!$D$5:$D$2004,"ذهبي"))</f>
        <v/>
      </c>
      <c r="F188" s="35">
        <f>IF(B188="","",SUMIFS('سجل التحفيز'!$G$5:$G$2004,'سجل التحفيز'!$U$5:$U$2004,"&gt;0",'سجل التحفيز'!$B$5:$B$2004,B188))</f>
        <v/>
      </c>
      <c r="G188" s="35">
        <f>IF(B188="","",COUNTIF($D$54:$D$203,"&gt;"&amp;D188)+1)</f>
        <v/>
      </c>
      <c r="H188" s="35">
        <f>IF(B188="","",INDEX(الموظفات!$L$5:$L$304,MATCH(B188,الموظفات!$B$5:$B$304,0)))</f>
        <v/>
      </c>
      <c r="K188" s="36">
        <f>IF(135&gt;$B$10,"",135)</f>
        <v/>
      </c>
      <c r="L188" s="37">
        <f>IF($K188="","",INDEX('سجل التحفيز'!$A$5:$A$2004,MATCH($K188,'سجل التحفيز'!$U$5:$U$2004,0)))</f>
        <v/>
      </c>
      <c r="M188" s="9">
        <f>IF($K188="","",INDEX('سجل التحفيز'!$B$5:$B$2004,MATCH($K188,'سجل التحفيز'!$U$5:$U$2004,0)))</f>
        <v/>
      </c>
      <c r="N188" s="9">
        <f>IF($K188="","",INDEX('سجل التحفيز'!$M$5:$M$2004,MATCH($K188,'سجل التحفيز'!$U$5:$U$2004,0)))</f>
        <v/>
      </c>
      <c r="O188" s="9">
        <f>IF($K188="","",INDEX('سجل التحفيز'!$C$5:$C$2004,MATCH($K188,'سجل التحفيز'!$U$5:$U$2004,0)))</f>
        <v/>
      </c>
      <c r="P188" s="36">
        <f>IF($K188="","",INDEX('سجل التحفيز'!$D$5:$D$2004,MATCH($K188,'سجل التحفيز'!$U$5:$U$2004,0)))</f>
        <v/>
      </c>
      <c r="Q188" s="9">
        <f>IF($K188="","",INDEX('سجل التحفيز'!$E$5:$E$2004,MATCH($K188,'سجل التحفيز'!$U$5:$U$2004,0)))</f>
        <v/>
      </c>
      <c r="R188" s="9">
        <f>IF($K188="","",INDEX('سجل التحفيز'!$F$5:$F$2004,MATCH($K188,'سجل التحفيز'!$U$5:$U$2004,0)))</f>
        <v/>
      </c>
      <c r="S188" s="35">
        <f>IF($K188="","",INDEX('سجل التحفيز'!$G$5:$G$2004,MATCH($K188,'سجل التحفيز'!$U$5:$U$2004,0)))</f>
        <v/>
      </c>
    </row>
    <row r="189">
      <c r="B189" s="34">
        <f>IFERROR(INDEX(الموظفات!$B$5:$B$304,MATCH(136,الموظفات!$O$5:$O$304,0)),"")</f>
        <v/>
      </c>
      <c r="C189" s="34">
        <f>IF(B189="","",INDEX(الموظفات!$D$5:$D$304,MATCH(B189,الموظفات!$B$5:$B$304,0))&amp;"")</f>
        <v/>
      </c>
      <c r="D189" s="35">
        <f>IF(B189="","",COUNTIFS('سجل التحفيز'!$U$5:$U$2004,"&gt;0",'سجل التحفيز'!$B$5:$B$2004,B189))</f>
        <v/>
      </c>
      <c r="E189" s="35">
        <f>IF(B189="","",COUNTIFS('سجل التحفيز'!$U$5:$U$2004,"&gt;0",'سجل التحفيز'!$B$5:$B$2004,B189,'سجل التحفيز'!$D$5:$D$2004,"ذهبي"))</f>
        <v/>
      </c>
      <c r="F189" s="35">
        <f>IF(B189="","",SUMIFS('سجل التحفيز'!$G$5:$G$2004,'سجل التحفيز'!$U$5:$U$2004,"&gt;0",'سجل التحفيز'!$B$5:$B$2004,B189))</f>
        <v/>
      </c>
      <c r="G189" s="35">
        <f>IF(B189="","",COUNTIF($D$54:$D$203,"&gt;"&amp;D189)+1)</f>
        <v/>
      </c>
      <c r="H189" s="35">
        <f>IF(B189="","",INDEX(الموظفات!$L$5:$L$304,MATCH(B189,الموظفات!$B$5:$B$304,0)))</f>
        <v/>
      </c>
      <c r="K189" s="36">
        <f>IF(136&gt;$B$10,"",136)</f>
        <v/>
      </c>
      <c r="L189" s="37">
        <f>IF($K189="","",INDEX('سجل التحفيز'!$A$5:$A$2004,MATCH($K189,'سجل التحفيز'!$U$5:$U$2004,0)))</f>
        <v/>
      </c>
      <c r="M189" s="9">
        <f>IF($K189="","",INDEX('سجل التحفيز'!$B$5:$B$2004,MATCH($K189,'سجل التحفيز'!$U$5:$U$2004,0)))</f>
        <v/>
      </c>
      <c r="N189" s="9">
        <f>IF($K189="","",INDEX('سجل التحفيز'!$M$5:$M$2004,MATCH($K189,'سجل التحفيز'!$U$5:$U$2004,0)))</f>
        <v/>
      </c>
      <c r="O189" s="9">
        <f>IF($K189="","",INDEX('سجل التحفيز'!$C$5:$C$2004,MATCH($K189,'سجل التحفيز'!$U$5:$U$2004,0)))</f>
        <v/>
      </c>
      <c r="P189" s="36">
        <f>IF($K189="","",INDEX('سجل التحفيز'!$D$5:$D$2004,MATCH($K189,'سجل التحفيز'!$U$5:$U$2004,0)))</f>
        <v/>
      </c>
      <c r="Q189" s="9">
        <f>IF($K189="","",INDEX('سجل التحفيز'!$E$5:$E$2004,MATCH($K189,'سجل التحفيز'!$U$5:$U$2004,0)))</f>
        <v/>
      </c>
      <c r="R189" s="9">
        <f>IF($K189="","",INDEX('سجل التحفيز'!$F$5:$F$2004,MATCH($K189,'سجل التحفيز'!$U$5:$U$2004,0)))</f>
        <v/>
      </c>
      <c r="S189" s="35">
        <f>IF($K189="","",INDEX('سجل التحفيز'!$G$5:$G$2004,MATCH($K189,'سجل التحفيز'!$U$5:$U$2004,0)))</f>
        <v/>
      </c>
    </row>
    <row r="190">
      <c r="B190" s="34">
        <f>IFERROR(INDEX(الموظفات!$B$5:$B$304,MATCH(137,الموظفات!$O$5:$O$304,0)),"")</f>
        <v/>
      </c>
      <c r="C190" s="34">
        <f>IF(B190="","",INDEX(الموظفات!$D$5:$D$304,MATCH(B190,الموظفات!$B$5:$B$304,0))&amp;"")</f>
        <v/>
      </c>
      <c r="D190" s="35">
        <f>IF(B190="","",COUNTIFS('سجل التحفيز'!$U$5:$U$2004,"&gt;0",'سجل التحفيز'!$B$5:$B$2004,B190))</f>
        <v/>
      </c>
      <c r="E190" s="35">
        <f>IF(B190="","",COUNTIFS('سجل التحفيز'!$U$5:$U$2004,"&gt;0",'سجل التحفيز'!$B$5:$B$2004,B190,'سجل التحفيز'!$D$5:$D$2004,"ذهبي"))</f>
        <v/>
      </c>
      <c r="F190" s="35">
        <f>IF(B190="","",SUMIFS('سجل التحفيز'!$G$5:$G$2004,'سجل التحفيز'!$U$5:$U$2004,"&gt;0",'سجل التحفيز'!$B$5:$B$2004,B190))</f>
        <v/>
      </c>
      <c r="G190" s="35">
        <f>IF(B190="","",COUNTIF($D$54:$D$203,"&gt;"&amp;D190)+1)</f>
        <v/>
      </c>
      <c r="H190" s="35">
        <f>IF(B190="","",INDEX(الموظفات!$L$5:$L$304,MATCH(B190,الموظفات!$B$5:$B$304,0)))</f>
        <v/>
      </c>
      <c r="K190" s="36">
        <f>IF(137&gt;$B$10,"",137)</f>
        <v/>
      </c>
      <c r="L190" s="37">
        <f>IF($K190="","",INDEX('سجل التحفيز'!$A$5:$A$2004,MATCH($K190,'سجل التحفيز'!$U$5:$U$2004,0)))</f>
        <v/>
      </c>
      <c r="M190" s="9">
        <f>IF($K190="","",INDEX('سجل التحفيز'!$B$5:$B$2004,MATCH($K190,'سجل التحفيز'!$U$5:$U$2004,0)))</f>
        <v/>
      </c>
      <c r="N190" s="9">
        <f>IF($K190="","",INDEX('سجل التحفيز'!$M$5:$M$2004,MATCH($K190,'سجل التحفيز'!$U$5:$U$2004,0)))</f>
        <v/>
      </c>
      <c r="O190" s="9">
        <f>IF($K190="","",INDEX('سجل التحفيز'!$C$5:$C$2004,MATCH($K190,'سجل التحفيز'!$U$5:$U$2004,0)))</f>
        <v/>
      </c>
      <c r="P190" s="36">
        <f>IF($K190="","",INDEX('سجل التحفيز'!$D$5:$D$2004,MATCH($K190,'سجل التحفيز'!$U$5:$U$2004,0)))</f>
        <v/>
      </c>
      <c r="Q190" s="9">
        <f>IF($K190="","",INDEX('سجل التحفيز'!$E$5:$E$2004,MATCH($K190,'سجل التحفيز'!$U$5:$U$2004,0)))</f>
        <v/>
      </c>
      <c r="R190" s="9">
        <f>IF($K190="","",INDEX('سجل التحفيز'!$F$5:$F$2004,MATCH($K190,'سجل التحفيز'!$U$5:$U$2004,0)))</f>
        <v/>
      </c>
      <c r="S190" s="35">
        <f>IF($K190="","",INDEX('سجل التحفيز'!$G$5:$G$2004,MATCH($K190,'سجل التحفيز'!$U$5:$U$2004,0)))</f>
        <v/>
      </c>
    </row>
    <row r="191">
      <c r="B191" s="34">
        <f>IFERROR(INDEX(الموظفات!$B$5:$B$304,MATCH(138,الموظفات!$O$5:$O$304,0)),"")</f>
        <v/>
      </c>
      <c r="C191" s="34">
        <f>IF(B191="","",INDEX(الموظفات!$D$5:$D$304,MATCH(B191,الموظفات!$B$5:$B$304,0))&amp;"")</f>
        <v/>
      </c>
      <c r="D191" s="35">
        <f>IF(B191="","",COUNTIFS('سجل التحفيز'!$U$5:$U$2004,"&gt;0",'سجل التحفيز'!$B$5:$B$2004,B191))</f>
        <v/>
      </c>
      <c r="E191" s="35">
        <f>IF(B191="","",COUNTIFS('سجل التحفيز'!$U$5:$U$2004,"&gt;0",'سجل التحفيز'!$B$5:$B$2004,B191,'سجل التحفيز'!$D$5:$D$2004,"ذهبي"))</f>
        <v/>
      </c>
      <c r="F191" s="35">
        <f>IF(B191="","",SUMIFS('سجل التحفيز'!$G$5:$G$2004,'سجل التحفيز'!$U$5:$U$2004,"&gt;0",'سجل التحفيز'!$B$5:$B$2004,B191))</f>
        <v/>
      </c>
      <c r="G191" s="35">
        <f>IF(B191="","",COUNTIF($D$54:$D$203,"&gt;"&amp;D191)+1)</f>
        <v/>
      </c>
      <c r="H191" s="35">
        <f>IF(B191="","",INDEX(الموظفات!$L$5:$L$304,MATCH(B191,الموظفات!$B$5:$B$304,0)))</f>
        <v/>
      </c>
      <c r="K191" s="36">
        <f>IF(138&gt;$B$10,"",138)</f>
        <v/>
      </c>
      <c r="L191" s="37">
        <f>IF($K191="","",INDEX('سجل التحفيز'!$A$5:$A$2004,MATCH($K191,'سجل التحفيز'!$U$5:$U$2004,0)))</f>
        <v/>
      </c>
      <c r="M191" s="9">
        <f>IF($K191="","",INDEX('سجل التحفيز'!$B$5:$B$2004,MATCH($K191,'سجل التحفيز'!$U$5:$U$2004,0)))</f>
        <v/>
      </c>
      <c r="N191" s="9">
        <f>IF($K191="","",INDEX('سجل التحفيز'!$M$5:$M$2004,MATCH($K191,'سجل التحفيز'!$U$5:$U$2004,0)))</f>
        <v/>
      </c>
      <c r="O191" s="9">
        <f>IF($K191="","",INDEX('سجل التحفيز'!$C$5:$C$2004,MATCH($K191,'سجل التحفيز'!$U$5:$U$2004,0)))</f>
        <v/>
      </c>
      <c r="P191" s="36">
        <f>IF($K191="","",INDEX('سجل التحفيز'!$D$5:$D$2004,MATCH($K191,'سجل التحفيز'!$U$5:$U$2004,0)))</f>
        <v/>
      </c>
      <c r="Q191" s="9">
        <f>IF($K191="","",INDEX('سجل التحفيز'!$E$5:$E$2004,MATCH($K191,'سجل التحفيز'!$U$5:$U$2004,0)))</f>
        <v/>
      </c>
      <c r="R191" s="9">
        <f>IF($K191="","",INDEX('سجل التحفيز'!$F$5:$F$2004,MATCH($K191,'سجل التحفيز'!$U$5:$U$2004,0)))</f>
        <v/>
      </c>
      <c r="S191" s="35">
        <f>IF($K191="","",INDEX('سجل التحفيز'!$G$5:$G$2004,MATCH($K191,'سجل التحفيز'!$U$5:$U$2004,0)))</f>
        <v/>
      </c>
    </row>
    <row r="192">
      <c r="B192" s="34">
        <f>IFERROR(INDEX(الموظفات!$B$5:$B$304,MATCH(139,الموظفات!$O$5:$O$304,0)),"")</f>
        <v/>
      </c>
      <c r="C192" s="34">
        <f>IF(B192="","",INDEX(الموظفات!$D$5:$D$304,MATCH(B192,الموظفات!$B$5:$B$304,0))&amp;"")</f>
        <v/>
      </c>
      <c r="D192" s="35">
        <f>IF(B192="","",COUNTIFS('سجل التحفيز'!$U$5:$U$2004,"&gt;0",'سجل التحفيز'!$B$5:$B$2004,B192))</f>
        <v/>
      </c>
      <c r="E192" s="35">
        <f>IF(B192="","",COUNTIFS('سجل التحفيز'!$U$5:$U$2004,"&gt;0",'سجل التحفيز'!$B$5:$B$2004,B192,'سجل التحفيز'!$D$5:$D$2004,"ذهبي"))</f>
        <v/>
      </c>
      <c r="F192" s="35">
        <f>IF(B192="","",SUMIFS('سجل التحفيز'!$G$5:$G$2004,'سجل التحفيز'!$U$5:$U$2004,"&gt;0",'سجل التحفيز'!$B$5:$B$2004,B192))</f>
        <v/>
      </c>
      <c r="G192" s="35">
        <f>IF(B192="","",COUNTIF($D$54:$D$203,"&gt;"&amp;D192)+1)</f>
        <v/>
      </c>
      <c r="H192" s="35">
        <f>IF(B192="","",INDEX(الموظفات!$L$5:$L$304,MATCH(B192,الموظفات!$B$5:$B$304,0)))</f>
        <v/>
      </c>
      <c r="K192" s="36">
        <f>IF(139&gt;$B$10,"",139)</f>
        <v/>
      </c>
      <c r="L192" s="37">
        <f>IF($K192="","",INDEX('سجل التحفيز'!$A$5:$A$2004,MATCH($K192,'سجل التحفيز'!$U$5:$U$2004,0)))</f>
        <v/>
      </c>
      <c r="M192" s="9">
        <f>IF($K192="","",INDEX('سجل التحفيز'!$B$5:$B$2004,MATCH($K192,'سجل التحفيز'!$U$5:$U$2004,0)))</f>
        <v/>
      </c>
      <c r="N192" s="9">
        <f>IF($K192="","",INDEX('سجل التحفيز'!$M$5:$M$2004,MATCH($K192,'سجل التحفيز'!$U$5:$U$2004,0)))</f>
        <v/>
      </c>
      <c r="O192" s="9">
        <f>IF($K192="","",INDEX('سجل التحفيز'!$C$5:$C$2004,MATCH($K192,'سجل التحفيز'!$U$5:$U$2004,0)))</f>
        <v/>
      </c>
      <c r="P192" s="36">
        <f>IF($K192="","",INDEX('سجل التحفيز'!$D$5:$D$2004,MATCH($K192,'سجل التحفيز'!$U$5:$U$2004,0)))</f>
        <v/>
      </c>
      <c r="Q192" s="9">
        <f>IF($K192="","",INDEX('سجل التحفيز'!$E$5:$E$2004,MATCH($K192,'سجل التحفيز'!$U$5:$U$2004,0)))</f>
        <v/>
      </c>
      <c r="R192" s="9">
        <f>IF($K192="","",INDEX('سجل التحفيز'!$F$5:$F$2004,MATCH($K192,'سجل التحفيز'!$U$5:$U$2004,0)))</f>
        <v/>
      </c>
      <c r="S192" s="35">
        <f>IF($K192="","",INDEX('سجل التحفيز'!$G$5:$G$2004,MATCH($K192,'سجل التحفيز'!$U$5:$U$2004,0)))</f>
        <v/>
      </c>
    </row>
    <row r="193">
      <c r="B193" s="34">
        <f>IFERROR(INDEX(الموظفات!$B$5:$B$304,MATCH(140,الموظفات!$O$5:$O$304,0)),"")</f>
        <v/>
      </c>
      <c r="C193" s="34">
        <f>IF(B193="","",INDEX(الموظفات!$D$5:$D$304,MATCH(B193,الموظفات!$B$5:$B$304,0))&amp;"")</f>
        <v/>
      </c>
      <c r="D193" s="35">
        <f>IF(B193="","",COUNTIFS('سجل التحفيز'!$U$5:$U$2004,"&gt;0",'سجل التحفيز'!$B$5:$B$2004,B193))</f>
        <v/>
      </c>
      <c r="E193" s="35">
        <f>IF(B193="","",COUNTIFS('سجل التحفيز'!$U$5:$U$2004,"&gt;0",'سجل التحفيز'!$B$5:$B$2004,B193,'سجل التحفيز'!$D$5:$D$2004,"ذهبي"))</f>
        <v/>
      </c>
      <c r="F193" s="35">
        <f>IF(B193="","",SUMIFS('سجل التحفيز'!$G$5:$G$2004,'سجل التحفيز'!$U$5:$U$2004,"&gt;0",'سجل التحفيز'!$B$5:$B$2004,B193))</f>
        <v/>
      </c>
      <c r="G193" s="35">
        <f>IF(B193="","",COUNTIF($D$54:$D$203,"&gt;"&amp;D193)+1)</f>
        <v/>
      </c>
      <c r="H193" s="35">
        <f>IF(B193="","",INDEX(الموظفات!$L$5:$L$304,MATCH(B193,الموظفات!$B$5:$B$304,0)))</f>
        <v/>
      </c>
      <c r="K193" s="36">
        <f>IF(140&gt;$B$10,"",140)</f>
        <v/>
      </c>
      <c r="L193" s="37">
        <f>IF($K193="","",INDEX('سجل التحفيز'!$A$5:$A$2004,MATCH($K193,'سجل التحفيز'!$U$5:$U$2004,0)))</f>
        <v/>
      </c>
      <c r="M193" s="9">
        <f>IF($K193="","",INDEX('سجل التحفيز'!$B$5:$B$2004,MATCH($K193,'سجل التحفيز'!$U$5:$U$2004,0)))</f>
        <v/>
      </c>
      <c r="N193" s="9">
        <f>IF($K193="","",INDEX('سجل التحفيز'!$M$5:$M$2004,MATCH($K193,'سجل التحفيز'!$U$5:$U$2004,0)))</f>
        <v/>
      </c>
      <c r="O193" s="9">
        <f>IF($K193="","",INDEX('سجل التحفيز'!$C$5:$C$2004,MATCH($K193,'سجل التحفيز'!$U$5:$U$2004,0)))</f>
        <v/>
      </c>
      <c r="P193" s="36">
        <f>IF($K193="","",INDEX('سجل التحفيز'!$D$5:$D$2004,MATCH($K193,'سجل التحفيز'!$U$5:$U$2004,0)))</f>
        <v/>
      </c>
      <c r="Q193" s="9">
        <f>IF($K193="","",INDEX('سجل التحفيز'!$E$5:$E$2004,MATCH($K193,'سجل التحفيز'!$U$5:$U$2004,0)))</f>
        <v/>
      </c>
      <c r="R193" s="9">
        <f>IF($K193="","",INDEX('سجل التحفيز'!$F$5:$F$2004,MATCH($K193,'سجل التحفيز'!$U$5:$U$2004,0)))</f>
        <v/>
      </c>
      <c r="S193" s="35">
        <f>IF($K193="","",INDEX('سجل التحفيز'!$G$5:$G$2004,MATCH($K193,'سجل التحفيز'!$U$5:$U$2004,0)))</f>
        <v/>
      </c>
    </row>
    <row r="194">
      <c r="B194" s="34">
        <f>IFERROR(INDEX(الموظفات!$B$5:$B$304,MATCH(141,الموظفات!$O$5:$O$304,0)),"")</f>
        <v/>
      </c>
      <c r="C194" s="34">
        <f>IF(B194="","",INDEX(الموظفات!$D$5:$D$304,MATCH(B194,الموظفات!$B$5:$B$304,0))&amp;"")</f>
        <v/>
      </c>
      <c r="D194" s="35">
        <f>IF(B194="","",COUNTIFS('سجل التحفيز'!$U$5:$U$2004,"&gt;0",'سجل التحفيز'!$B$5:$B$2004,B194))</f>
        <v/>
      </c>
      <c r="E194" s="35">
        <f>IF(B194="","",COUNTIFS('سجل التحفيز'!$U$5:$U$2004,"&gt;0",'سجل التحفيز'!$B$5:$B$2004,B194,'سجل التحفيز'!$D$5:$D$2004,"ذهبي"))</f>
        <v/>
      </c>
      <c r="F194" s="35">
        <f>IF(B194="","",SUMIFS('سجل التحفيز'!$G$5:$G$2004,'سجل التحفيز'!$U$5:$U$2004,"&gt;0",'سجل التحفيز'!$B$5:$B$2004,B194))</f>
        <v/>
      </c>
      <c r="G194" s="35">
        <f>IF(B194="","",COUNTIF($D$54:$D$203,"&gt;"&amp;D194)+1)</f>
        <v/>
      </c>
      <c r="H194" s="35">
        <f>IF(B194="","",INDEX(الموظفات!$L$5:$L$304,MATCH(B194,الموظفات!$B$5:$B$304,0)))</f>
        <v/>
      </c>
      <c r="K194" s="36">
        <f>IF(141&gt;$B$10,"",141)</f>
        <v/>
      </c>
      <c r="L194" s="37">
        <f>IF($K194="","",INDEX('سجل التحفيز'!$A$5:$A$2004,MATCH($K194,'سجل التحفيز'!$U$5:$U$2004,0)))</f>
        <v/>
      </c>
      <c r="M194" s="9">
        <f>IF($K194="","",INDEX('سجل التحفيز'!$B$5:$B$2004,MATCH($K194,'سجل التحفيز'!$U$5:$U$2004,0)))</f>
        <v/>
      </c>
      <c r="N194" s="9">
        <f>IF($K194="","",INDEX('سجل التحفيز'!$M$5:$M$2004,MATCH($K194,'سجل التحفيز'!$U$5:$U$2004,0)))</f>
        <v/>
      </c>
      <c r="O194" s="9">
        <f>IF($K194="","",INDEX('سجل التحفيز'!$C$5:$C$2004,MATCH($K194,'سجل التحفيز'!$U$5:$U$2004,0)))</f>
        <v/>
      </c>
      <c r="P194" s="36">
        <f>IF($K194="","",INDEX('سجل التحفيز'!$D$5:$D$2004,MATCH($K194,'سجل التحفيز'!$U$5:$U$2004,0)))</f>
        <v/>
      </c>
      <c r="Q194" s="9">
        <f>IF($K194="","",INDEX('سجل التحفيز'!$E$5:$E$2004,MATCH($K194,'سجل التحفيز'!$U$5:$U$2004,0)))</f>
        <v/>
      </c>
      <c r="R194" s="9">
        <f>IF($K194="","",INDEX('سجل التحفيز'!$F$5:$F$2004,MATCH($K194,'سجل التحفيز'!$U$5:$U$2004,0)))</f>
        <v/>
      </c>
      <c r="S194" s="35">
        <f>IF($K194="","",INDEX('سجل التحفيز'!$G$5:$G$2004,MATCH($K194,'سجل التحفيز'!$U$5:$U$2004,0)))</f>
        <v/>
      </c>
    </row>
    <row r="195">
      <c r="B195" s="34">
        <f>IFERROR(INDEX(الموظفات!$B$5:$B$304,MATCH(142,الموظفات!$O$5:$O$304,0)),"")</f>
        <v/>
      </c>
      <c r="C195" s="34">
        <f>IF(B195="","",INDEX(الموظفات!$D$5:$D$304,MATCH(B195,الموظفات!$B$5:$B$304,0))&amp;"")</f>
        <v/>
      </c>
      <c r="D195" s="35">
        <f>IF(B195="","",COUNTIFS('سجل التحفيز'!$U$5:$U$2004,"&gt;0",'سجل التحفيز'!$B$5:$B$2004,B195))</f>
        <v/>
      </c>
      <c r="E195" s="35">
        <f>IF(B195="","",COUNTIFS('سجل التحفيز'!$U$5:$U$2004,"&gt;0",'سجل التحفيز'!$B$5:$B$2004,B195,'سجل التحفيز'!$D$5:$D$2004,"ذهبي"))</f>
        <v/>
      </c>
      <c r="F195" s="35">
        <f>IF(B195="","",SUMIFS('سجل التحفيز'!$G$5:$G$2004,'سجل التحفيز'!$U$5:$U$2004,"&gt;0",'سجل التحفيز'!$B$5:$B$2004,B195))</f>
        <v/>
      </c>
      <c r="G195" s="35">
        <f>IF(B195="","",COUNTIF($D$54:$D$203,"&gt;"&amp;D195)+1)</f>
        <v/>
      </c>
      <c r="H195" s="35">
        <f>IF(B195="","",INDEX(الموظفات!$L$5:$L$304,MATCH(B195,الموظفات!$B$5:$B$304,0)))</f>
        <v/>
      </c>
      <c r="K195" s="36">
        <f>IF(142&gt;$B$10,"",142)</f>
        <v/>
      </c>
      <c r="L195" s="37">
        <f>IF($K195="","",INDEX('سجل التحفيز'!$A$5:$A$2004,MATCH($K195,'سجل التحفيز'!$U$5:$U$2004,0)))</f>
        <v/>
      </c>
      <c r="M195" s="9">
        <f>IF($K195="","",INDEX('سجل التحفيز'!$B$5:$B$2004,MATCH($K195,'سجل التحفيز'!$U$5:$U$2004,0)))</f>
        <v/>
      </c>
      <c r="N195" s="9">
        <f>IF($K195="","",INDEX('سجل التحفيز'!$M$5:$M$2004,MATCH($K195,'سجل التحفيز'!$U$5:$U$2004,0)))</f>
        <v/>
      </c>
      <c r="O195" s="9">
        <f>IF($K195="","",INDEX('سجل التحفيز'!$C$5:$C$2004,MATCH($K195,'سجل التحفيز'!$U$5:$U$2004,0)))</f>
        <v/>
      </c>
      <c r="P195" s="36">
        <f>IF($K195="","",INDEX('سجل التحفيز'!$D$5:$D$2004,MATCH($K195,'سجل التحفيز'!$U$5:$U$2004,0)))</f>
        <v/>
      </c>
      <c r="Q195" s="9">
        <f>IF($K195="","",INDEX('سجل التحفيز'!$E$5:$E$2004,MATCH($K195,'سجل التحفيز'!$U$5:$U$2004,0)))</f>
        <v/>
      </c>
      <c r="R195" s="9">
        <f>IF($K195="","",INDEX('سجل التحفيز'!$F$5:$F$2004,MATCH($K195,'سجل التحفيز'!$U$5:$U$2004,0)))</f>
        <v/>
      </c>
      <c r="S195" s="35">
        <f>IF($K195="","",INDEX('سجل التحفيز'!$G$5:$G$2004,MATCH($K195,'سجل التحفيز'!$U$5:$U$2004,0)))</f>
        <v/>
      </c>
    </row>
    <row r="196">
      <c r="B196" s="34">
        <f>IFERROR(INDEX(الموظفات!$B$5:$B$304,MATCH(143,الموظفات!$O$5:$O$304,0)),"")</f>
        <v/>
      </c>
      <c r="C196" s="34">
        <f>IF(B196="","",INDEX(الموظفات!$D$5:$D$304,MATCH(B196,الموظفات!$B$5:$B$304,0))&amp;"")</f>
        <v/>
      </c>
      <c r="D196" s="35">
        <f>IF(B196="","",COUNTIFS('سجل التحفيز'!$U$5:$U$2004,"&gt;0",'سجل التحفيز'!$B$5:$B$2004,B196))</f>
        <v/>
      </c>
      <c r="E196" s="35">
        <f>IF(B196="","",COUNTIFS('سجل التحفيز'!$U$5:$U$2004,"&gt;0",'سجل التحفيز'!$B$5:$B$2004,B196,'سجل التحفيز'!$D$5:$D$2004,"ذهبي"))</f>
        <v/>
      </c>
      <c r="F196" s="35">
        <f>IF(B196="","",SUMIFS('سجل التحفيز'!$G$5:$G$2004,'سجل التحفيز'!$U$5:$U$2004,"&gt;0",'سجل التحفيز'!$B$5:$B$2004,B196))</f>
        <v/>
      </c>
      <c r="G196" s="35">
        <f>IF(B196="","",COUNTIF($D$54:$D$203,"&gt;"&amp;D196)+1)</f>
        <v/>
      </c>
      <c r="H196" s="35">
        <f>IF(B196="","",INDEX(الموظفات!$L$5:$L$304,MATCH(B196,الموظفات!$B$5:$B$304,0)))</f>
        <v/>
      </c>
      <c r="K196" s="36">
        <f>IF(143&gt;$B$10,"",143)</f>
        <v/>
      </c>
      <c r="L196" s="37">
        <f>IF($K196="","",INDEX('سجل التحفيز'!$A$5:$A$2004,MATCH($K196,'سجل التحفيز'!$U$5:$U$2004,0)))</f>
        <v/>
      </c>
      <c r="M196" s="9">
        <f>IF($K196="","",INDEX('سجل التحفيز'!$B$5:$B$2004,MATCH($K196,'سجل التحفيز'!$U$5:$U$2004,0)))</f>
        <v/>
      </c>
      <c r="N196" s="9">
        <f>IF($K196="","",INDEX('سجل التحفيز'!$M$5:$M$2004,MATCH($K196,'سجل التحفيز'!$U$5:$U$2004,0)))</f>
        <v/>
      </c>
      <c r="O196" s="9">
        <f>IF($K196="","",INDEX('سجل التحفيز'!$C$5:$C$2004,MATCH($K196,'سجل التحفيز'!$U$5:$U$2004,0)))</f>
        <v/>
      </c>
      <c r="P196" s="36">
        <f>IF($K196="","",INDEX('سجل التحفيز'!$D$5:$D$2004,MATCH($K196,'سجل التحفيز'!$U$5:$U$2004,0)))</f>
        <v/>
      </c>
      <c r="Q196" s="9">
        <f>IF($K196="","",INDEX('سجل التحفيز'!$E$5:$E$2004,MATCH($K196,'سجل التحفيز'!$U$5:$U$2004,0)))</f>
        <v/>
      </c>
      <c r="R196" s="9">
        <f>IF($K196="","",INDEX('سجل التحفيز'!$F$5:$F$2004,MATCH($K196,'سجل التحفيز'!$U$5:$U$2004,0)))</f>
        <v/>
      </c>
      <c r="S196" s="35">
        <f>IF($K196="","",INDEX('سجل التحفيز'!$G$5:$G$2004,MATCH($K196,'سجل التحفيز'!$U$5:$U$2004,0)))</f>
        <v/>
      </c>
    </row>
    <row r="197">
      <c r="B197" s="34">
        <f>IFERROR(INDEX(الموظفات!$B$5:$B$304,MATCH(144,الموظفات!$O$5:$O$304,0)),"")</f>
        <v/>
      </c>
      <c r="C197" s="34">
        <f>IF(B197="","",INDEX(الموظفات!$D$5:$D$304,MATCH(B197,الموظفات!$B$5:$B$304,0))&amp;"")</f>
        <v/>
      </c>
      <c r="D197" s="35">
        <f>IF(B197="","",COUNTIFS('سجل التحفيز'!$U$5:$U$2004,"&gt;0",'سجل التحفيز'!$B$5:$B$2004,B197))</f>
        <v/>
      </c>
      <c r="E197" s="35">
        <f>IF(B197="","",COUNTIFS('سجل التحفيز'!$U$5:$U$2004,"&gt;0",'سجل التحفيز'!$B$5:$B$2004,B197,'سجل التحفيز'!$D$5:$D$2004,"ذهبي"))</f>
        <v/>
      </c>
      <c r="F197" s="35">
        <f>IF(B197="","",SUMIFS('سجل التحفيز'!$G$5:$G$2004,'سجل التحفيز'!$U$5:$U$2004,"&gt;0",'سجل التحفيز'!$B$5:$B$2004,B197))</f>
        <v/>
      </c>
      <c r="G197" s="35">
        <f>IF(B197="","",COUNTIF($D$54:$D$203,"&gt;"&amp;D197)+1)</f>
        <v/>
      </c>
      <c r="H197" s="35">
        <f>IF(B197="","",INDEX(الموظفات!$L$5:$L$304,MATCH(B197,الموظفات!$B$5:$B$304,0)))</f>
        <v/>
      </c>
      <c r="K197" s="36">
        <f>IF(144&gt;$B$10,"",144)</f>
        <v/>
      </c>
      <c r="L197" s="37">
        <f>IF($K197="","",INDEX('سجل التحفيز'!$A$5:$A$2004,MATCH($K197,'سجل التحفيز'!$U$5:$U$2004,0)))</f>
        <v/>
      </c>
      <c r="M197" s="9">
        <f>IF($K197="","",INDEX('سجل التحفيز'!$B$5:$B$2004,MATCH($K197,'سجل التحفيز'!$U$5:$U$2004,0)))</f>
        <v/>
      </c>
      <c r="N197" s="9">
        <f>IF($K197="","",INDEX('سجل التحفيز'!$M$5:$M$2004,MATCH($K197,'سجل التحفيز'!$U$5:$U$2004,0)))</f>
        <v/>
      </c>
      <c r="O197" s="9">
        <f>IF($K197="","",INDEX('سجل التحفيز'!$C$5:$C$2004,MATCH($K197,'سجل التحفيز'!$U$5:$U$2004,0)))</f>
        <v/>
      </c>
      <c r="P197" s="36">
        <f>IF($K197="","",INDEX('سجل التحفيز'!$D$5:$D$2004,MATCH($K197,'سجل التحفيز'!$U$5:$U$2004,0)))</f>
        <v/>
      </c>
      <c r="Q197" s="9">
        <f>IF($K197="","",INDEX('سجل التحفيز'!$E$5:$E$2004,MATCH($K197,'سجل التحفيز'!$U$5:$U$2004,0)))</f>
        <v/>
      </c>
      <c r="R197" s="9">
        <f>IF($K197="","",INDEX('سجل التحفيز'!$F$5:$F$2004,MATCH($K197,'سجل التحفيز'!$U$5:$U$2004,0)))</f>
        <v/>
      </c>
      <c r="S197" s="35">
        <f>IF($K197="","",INDEX('سجل التحفيز'!$G$5:$G$2004,MATCH($K197,'سجل التحفيز'!$U$5:$U$2004,0)))</f>
        <v/>
      </c>
    </row>
    <row r="198">
      <c r="B198" s="34">
        <f>IFERROR(INDEX(الموظفات!$B$5:$B$304,MATCH(145,الموظفات!$O$5:$O$304,0)),"")</f>
        <v/>
      </c>
      <c r="C198" s="34">
        <f>IF(B198="","",INDEX(الموظفات!$D$5:$D$304,MATCH(B198,الموظفات!$B$5:$B$304,0))&amp;"")</f>
        <v/>
      </c>
      <c r="D198" s="35">
        <f>IF(B198="","",COUNTIFS('سجل التحفيز'!$U$5:$U$2004,"&gt;0",'سجل التحفيز'!$B$5:$B$2004,B198))</f>
        <v/>
      </c>
      <c r="E198" s="35">
        <f>IF(B198="","",COUNTIFS('سجل التحفيز'!$U$5:$U$2004,"&gt;0",'سجل التحفيز'!$B$5:$B$2004,B198,'سجل التحفيز'!$D$5:$D$2004,"ذهبي"))</f>
        <v/>
      </c>
      <c r="F198" s="35">
        <f>IF(B198="","",SUMIFS('سجل التحفيز'!$G$5:$G$2004,'سجل التحفيز'!$U$5:$U$2004,"&gt;0",'سجل التحفيز'!$B$5:$B$2004,B198))</f>
        <v/>
      </c>
      <c r="G198" s="35">
        <f>IF(B198="","",COUNTIF($D$54:$D$203,"&gt;"&amp;D198)+1)</f>
        <v/>
      </c>
      <c r="H198" s="35">
        <f>IF(B198="","",INDEX(الموظفات!$L$5:$L$304,MATCH(B198,الموظفات!$B$5:$B$304,0)))</f>
        <v/>
      </c>
      <c r="K198" s="36">
        <f>IF(145&gt;$B$10,"",145)</f>
        <v/>
      </c>
      <c r="L198" s="37">
        <f>IF($K198="","",INDEX('سجل التحفيز'!$A$5:$A$2004,MATCH($K198,'سجل التحفيز'!$U$5:$U$2004,0)))</f>
        <v/>
      </c>
      <c r="M198" s="9">
        <f>IF($K198="","",INDEX('سجل التحفيز'!$B$5:$B$2004,MATCH($K198,'سجل التحفيز'!$U$5:$U$2004,0)))</f>
        <v/>
      </c>
      <c r="N198" s="9">
        <f>IF($K198="","",INDEX('سجل التحفيز'!$M$5:$M$2004,MATCH($K198,'سجل التحفيز'!$U$5:$U$2004,0)))</f>
        <v/>
      </c>
      <c r="O198" s="9">
        <f>IF($K198="","",INDEX('سجل التحفيز'!$C$5:$C$2004,MATCH($K198,'سجل التحفيز'!$U$5:$U$2004,0)))</f>
        <v/>
      </c>
      <c r="P198" s="36">
        <f>IF($K198="","",INDEX('سجل التحفيز'!$D$5:$D$2004,MATCH($K198,'سجل التحفيز'!$U$5:$U$2004,0)))</f>
        <v/>
      </c>
      <c r="Q198" s="9">
        <f>IF($K198="","",INDEX('سجل التحفيز'!$E$5:$E$2004,MATCH($K198,'سجل التحفيز'!$U$5:$U$2004,0)))</f>
        <v/>
      </c>
      <c r="R198" s="9">
        <f>IF($K198="","",INDEX('سجل التحفيز'!$F$5:$F$2004,MATCH($K198,'سجل التحفيز'!$U$5:$U$2004,0)))</f>
        <v/>
      </c>
      <c r="S198" s="35">
        <f>IF($K198="","",INDEX('سجل التحفيز'!$G$5:$G$2004,MATCH($K198,'سجل التحفيز'!$U$5:$U$2004,0)))</f>
        <v/>
      </c>
    </row>
    <row r="199">
      <c r="B199" s="34">
        <f>IFERROR(INDEX(الموظفات!$B$5:$B$304,MATCH(146,الموظفات!$O$5:$O$304,0)),"")</f>
        <v/>
      </c>
      <c r="C199" s="34">
        <f>IF(B199="","",INDEX(الموظفات!$D$5:$D$304,MATCH(B199,الموظفات!$B$5:$B$304,0))&amp;"")</f>
        <v/>
      </c>
      <c r="D199" s="35">
        <f>IF(B199="","",COUNTIFS('سجل التحفيز'!$U$5:$U$2004,"&gt;0",'سجل التحفيز'!$B$5:$B$2004,B199))</f>
        <v/>
      </c>
      <c r="E199" s="35">
        <f>IF(B199="","",COUNTIFS('سجل التحفيز'!$U$5:$U$2004,"&gt;0",'سجل التحفيز'!$B$5:$B$2004,B199,'سجل التحفيز'!$D$5:$D$2004,"ذهبي"))</f>
        <v/>
      </c>
      <c r="F199" s="35">
        <f>IF(B199="","",SUMIFS('سجل التحفيز'!$G$5:$G$2004,'سجل التحفيز'!$U$5:$U$2004,"&gt;0",'سجل التحفيز'!$B$5:$B$2004,B199))</f>
        <v/>
      </c>
      <c r="G199" s="35">
        <f>IF(B199="","",COUNTIF($D$54:$D$203,"&gt;"&amp;D199)+1)</f>
        <v/>
      </c>
      <c r="H199" s="35">
        <f>IF(B199="","",INDEX(الموظفات!$L$5:$L$304,MATCH(B199,الموظفات!$B$5:$B$304,0)))</f>
        <v/>
      </c>
      <c r="K199" s="36">
        <f>IF(146&gt;$B$10,"",146)</f>
        <v/>
      </c>
      <c r="L199" s="37">
        <f>IF($K199="","",INDEX('سجل التحفيز'!$A$5:$A$2004,MATCH($K199,'سجل التحفيز'!$U$5:$U$2004,0)))</f>
        <v/>
      </c>
      <c r="M199" s="9">
        <f>IF($K199="","",INDEX('سجل التحفيز'!$B$5:$B$2004,MATCH($K199,'سجل التحفيز'!$U$5:$U$2004,0)))</f>
        <v/>
      </c>
      <c r="N199" s="9">
        <f>IF($K199="","",INDEX('سجل التحفيز'!$M$5:$M$2004,MATCH($K199,'سجل التحفيز'!$U$5:$U$2004,0)))</f>
        <v/>
      </c>
      <c r="O199" s="9">
        <f>IF($K199="","",INDEX('سجل التحفيز'!$C$5:$C$2004,MATCH($K199,'سجل التحفيز'!$U$5:$U$2004,0)))</f>
        <v/>
      </c>
      <c r="P199" s="36">
        <f>IF($K199="","",INDEX('سجل التحفيز'!$D$5:$D$2004,MATCH($K199,'سجل التحفيز'!$U$5:$U$2004,0)))</f>
        <v/>
      </c>
      <c r="Q199" s="9">
        <f>IF($K199="","",INDEX('سجل التحفيز'!$E$5:$E$2004,MATCH($K199,'سجل التحفيز'!$U$5:$U$2004,0)))</f>
        <v/>
      </c>
      <c r="R199" s="9">
        <f>IF($K199="","",INDEX('سجل التحفيز'!$F$5:$F$2004,MATCH($K199,'سجل التحفيز'!$U$5:$U$2004,0)))</f>
        <v/>
      </c>
      <c r="S199" s="35">
        <f>IF($K199="","",INDEX('سجل التحفيز'!$G$5:$G$2004,MATCH($K199,'سجل التحفيز'!$U$5:$U$2004,0)))</f>
        <v/>
      </c>
    </row>
    <row r="200">
      <c r="B200" s="34">
        <f>IFERROR(INDEX(الموظفات!$B$5:$B$304,MATCH(147,الموظفات!$O$5:$O$304,0)),"")</f>
        <v/>
      </c>
      <c r="C200" s="34">
        <f>IF(B200="","",INDEX(الموظفات!$D$5:$D$304,MATCH(B200,الموظفات!$B$5:$B$304,0))&amp;"")</f>
        <v/>
      </c>
      <c r="D200" s="35">
        <f>IF(B200="","",COUNTIFS('سجل التحفيز'!$U$5:$U$2004,"&gt;0",'سجل التحفيز'!$B$5:$B$2004,B200))</f>
        <v/>
      </c>
      <c r="E200" s="35">
        <f>IF(B200="","",COUNTIFS('سجل التحفيز'!$U$5:$U$2004,"&gt;0",'سجل التحفيز'!$B$5:$B$2004,B200,'سجل التحفيز'!$D$5:$D$2004,"ذهبي"))</f>
        <v/>
      </c>
      <c r="F200" s="35">
        <f>IF(B200="","",SUMIFS('سجل التحفيز'!$G$5:$G$2004,'سجل التحفيز'!$U$5:$U$2004,"&gt;0",'سجل التحفيز'!$B$5:$B$2004,B200))</f>
        <v/>
      </c>
      <c r="G200" s="35">
        <f>IF(B200="","",COUNTIF($D$54:$D$203,"&gt;"&amp;D200)+1)</f>
        <v/>
      </c>
      <c r="H200" s="35">
        <f>IF(B200="","",INDEX(الموظفات!$L$5:$L$304,MATCH(B200,الموظفات!$B$5:$B$304,0)))</f>
        <v/>
      </c>
      <c r="K200" s="36">
        <f>IF(147&gt;$B$10,"",147)</f>
        <v/>
      </c>
      <c r="L200" s="37">
        <f>IF($K200="","",INDEX('سجل التحفيز'!$A$5:$A$2004,MATCH($K200,'سجل التحفيز'!$U$5:$U$2004,0)))</f>
        <v/>
      </c>
      <c r="M200" s="9">
        <f>IF($K200="","",INDEX('سجل التحفيز'!$B$5:$B$2004,MATCH($K200,'سجل التحفيز'!$U$5:$U$2004,0)))</f>
        <v/>
      </c>
      <c r="N200" s="9">
        <f>IF($K200="","",INDEX('سجل التحفيز'!$M$5:$M$2004,MATCH($K200,'سجل التحفيز'!$U$5:$U$2004,0)))</f>
        <v/>
      </c>
      <c r="O200" s="9">
        <f>IF($K200="","",INDEX('سجل التحفيز'!$C$5:$C$2004,MATCH($K200,'سجل التحفيز'!$U$5:$U$2004,0)))</f>
        <v/>
      </c>
      <c r="P200" s="36">
        <f>IF($K200="","",INDEX('سجل التحفيز'!$D$5:$D$2004,MATCH($K200,'سجل التحفيز'!$U$5:$U$2004,0)))</f>
        <v/>
      </c>
      <c r="Q200" s="9">
        <f>IF($K200="","",INDEX('سجل التحفيز'!$E$5:$E$2004,MATCH($K200,'سجل التحفيز'!$U$5:$U$2004,0)))</f>
        <v/>
      </c>
      <c r="R200" s="9">
        <f>IF($K200="","",INDEX('سجل التحفيز'!$F$5:$F$2004,MATCH($K200,'سجل التحفيز'!$U$5:$U$2004,0)))</f>
        <v/>
      </c>
      <c r="S200" s="35">
        <f>IF($K200="","",INDEX('سجل التحفيز'!$G$5:$G$2004,MATCH($K200,'سجل التحفيز'!$U$5:$U$2004,0)))</f>
        <v/>
      </c>
    </row>
    <row r="201">
      <c r="B201" s="34">
        <f>IFERROR(INDEX(الموظفات!$B$5:$B$304,MATCH(148,الموظفات!$O$5:$O$304,0)),"")</f>
        <v/>
      </c>
      <c r="C201" s="34">
        <f>IF(B201="","",INDEX(الموظفات!$D$5:$D$304,MATCH(B201,الموظفات!$B$5:$B$304,0))&amp;"")</f>
        <v/>
      </c>
      <c r="D201" s="35">
        <f>IF(B201="","",COUNTIFS('سجل التحفيز'!$U$5:$U$2004,"&gt;0",'سجل التحفيز'!$B$5:$B$2004,B201))</f>
        <v/>
      </c>
      <c r="E201" s="35">
        <f>IF(B201="","",COUNTIFS('سجل التحفيز'!$U$5:$U$2004,"&gt;0",'سجل التحفيز'!$B$5:$B$2004,B201,'سجل التحفيز'!$D$5:$D$2004,"ذهبي"))</f>
        <v/>
      </c>
      <c r="F201" s="35">
        <f>IF(B201="","",SUMIFS('سجل التحفيز'!$G$5:$G$2004,'سجل التحفيز'!$U$5:$U$2004,"&gt;0",'سجل التحفيز'!$B$5:$B$2004,B201))</f>
        <v/>
      </c>
      <c r="G201" s="35">
        <f>IF(B201="","",COUNTIF($D$54:$D$203,"&gt;"&amp;D201)+1)</f>
        <v/>
      </c>
      <c r="H201" s="35">
        <f>IF(B201="","",INDEX(الموظفات!$L$5:$L$304,MATCH(B201,الموظفات!$B$5:$B$304,0)))</f>
        <v/>
      </c>
      <c r="K201" s="36">
        <f>IF(148&gt;$B$10,"",148)</f>
        <v/>
      </c>
      <c r="L201" s="37">
        <f>IF($K201="","",INDEX('سجل التحفيز'!$A$5:$A$2004,MATCH($K201,'سجل التحفيز'!$U$5:$U$2004,0)))</f>
        <v/>
      </c>
      <c r="M201" s="9">
        <f>IF($K201="","",INDEX('سجل التحفيز'!$B$5:$B$2004,MATCH($K201,'سجل التحفيز'!$U$5:$U$2004,0)))</f>
        <v/>
      </c>
      <c r="N201" s="9">
        <f>IF($K201="","",INDEX('سجل التحفيز'!$M$5:$M$2004,MATCH($K201,'سجل التحفيز'!$U$5:$U$2004,0)))</f>
        <v/>
      </c>
      <c r="O201" s="9">
        <f>IF($K201="","",INDEX('سجل التحفيز'!$C$5:$C$2004,MATCH($K201,'سجل التحفيز'!$U$5:$U$2004,0)))</f>
        <v/>
      </c>
      <c r="P201" s="36">
        <f>IF($K201="","",INDEX('سجل التحفيز'!$D$5:$D$2004,MATCH($K201,'سجل التحفيز'!$U$5:$U$2004,0)))</f>
        <v/>
      </c>
      <c r="Q201" s="9">
        <f>IF($K201="","",INDEX('سجل التحفيز'!$E$5:$E$2004,MATCH($K201,'سجل التحفيز'!$U$5:$U$2004,0)))</f>
        <v/>
      </c>
      <c r="R201" s="9">
        <f>IF($K201="","",INDEX('سجل التحفيز'!$F$5:$F$2004,MATCH($K201,'سجل التحفيز'!$U$5:$U$2004,0)))</f>
        <v/>
      </c>
      <c r="S201" s="35">
        <f>IF($K201="","",INDEX('سجل التحفيز'!$G$5:$G$2004,MATCH($K201,'سجل التحفيز'!$U$5:$U$2004,0)))</f>
        <v/>
      </c>
    </row>
    <row r="202">
      <c r="B202" s="34">
        <f>IFERROR(INDEX(الموظفات!$B$5:$B$304,MATCH(149,الموظفات!$O$5:$O$304,0)),"")</f>
        <v/>
      </c>
      <c r="C202" s="34">
        <f>IF(B202="","",INDEX(الموظفات!$D$5:$D$304,MATCH(B202,الموظفات!$B$5:$B$304,0))&amp;"")</f>
        <v/>
      </c>
      <c r="D202" s="35">
        <f>IF(B202="","",COUNTIFS('سجل التحفيز'!$U$5:$U$2004,"&gt;0",'سجل التحفيز'!$B$5:$B$2004,B202))</f>
        <v/>
      </c>
      <c r="E202" s="35">
        <f>IF(B202="","",COUNTIFS('سجل التحفيز'!$U$5:$U$2004,"&gt;0",'سجل التحفيز'!$B$5:$B$2004,B202,'سجل التحفيز'!$D$5:$D$2004,"ذهبي"))</f>
        <v/>
      </c>
      <c r="F202" s="35">
        <f>IF(B202="","",SUMIFS('سجل التحفيز'!$G$5:$G$2004,'سجل التحفيز'!$U$5:$U$2004,"&gt;0",'سجل التحفيز'!$B$5:$B$2004,B202))</f>
        <v/>
      </c>
      <c r="G202" s="35">
        <f>IF(B202="","",COUNTIF($D$54:$D$203,"&gt;"&amp;D202)+1)</f>
        <v/>
      </c>
      <c r="H202" s="35">
        <f>IF(B202="","",INDEX(الموظفات!$L$5:$L$304,MATCH(B202,الموظفات!$B$5:$B$304,0)))</f>
        <v/>
      </c>
      <c r="K202" s="36">
        <f>IF(149&gt;$B$10,"",149)</f>
        <v/>
      </c>
      <c r="L202" s="37">
        <f>IF($K202="","",INDEX('سجل التحفيز'!$A$5:$A$2004,MATCH($K202,'سجل التحفيز'!$U$5:$U$2004,0)))</f>
        <v/>
      </c>
      <c r="M202" s="9">
        <f>IF($K202="","",INDEX('سجل التحفيز'!$B$5:$B$2004,MATCH($K202,'سجل التحفيز'!$U$5:$U$2004,0)))</f>
        <v/>
      </c>
      <c r="N202" s="9">
        <f>IF($K202="","",INDEX('سجل التحفيز'!$M$5:$M$2004,MATCH($K202,'سجل التحفيز'!$U$5:$U$2004,0)))</f>
        <v/>
      </c>
      <c r="O202" s="9">
        <f>IF($K202="","",INDEX('سجل التحفيز'!$C$5:$C$2004,MATCH($K202,'سجل التحفيز'!$U$5:$U$2004,0)))</f>
        <v/>
      </c>
      <c r="P202" s="36">
        <f>IF($K202="","",INDEX('سجل التحفيز'!$D$5:$D$2004,MATCH($K202,'سجل التحفيز'!$U$5:$U$2004,0)))</f>
        <v/>
      </c>
      <c r="Q202" s="9">
        <f>IF($K202="","",INDEX('سجل التحفيز'!$E$5:$E$2004,MATCH($K202,'سجل التحفيز'!$U$5:$U$2004,0)))</f>
        <v/>
      </c>
      <c r="R202" s="9">
        <f>IF($K202="","",INDEX('سجل التحفيز'!$F$5:$F$2004,MATCH($K202,'سجل التحفيز'!$U$5:$U$2004,0)))</f>
        <v/>
      </c>
      <c r="S202" s="35">
        <f>IF($K202="","",INDEX('سجل التحفيز'!$G$5:$G$2004,MATCH($K202,'سجل التحفيز'!$U$5:$U$2004,0)))</f>
        <v/>
      </c>
    </row>
    <row r="203">
      <c r="B203" s="34">
        <f>IFERROR(INDEX(الموظفات!$B$5:$B$304,MATCH(150,الموظفات!$O$5:$O$304,0)),"")</f>
        <v/>
      </c>
      <c r="C203" s="34">
        <f>IF(B203="","",INDEX(الموظفات!$D$5:$D$304,MATCH(B203,الموظفات!$B$5:$B$304,0))&amp;"")</f>
        <v/>
      </c>
      <c r="D203" s="35">
        <f>IF(B203="","",COUNTIFS('سجل التحفيز'!$U$5:$U$2004,"&gt;0",'سجل التحفيز'!$B$5:$B$2004,B203))</f>
        <v/>
      </c>
      <c r="E203" s="35">
        <f>IF(B203="","",COUNTIFS('سجل التحفيز'!$U$5:$U$2004,"&gt;0",'سجل التحفيز'!$B$5:$B$2004,B203,'سجل التحفيز'!$D$5:$D$2004,"ذهبي"))</f>
        <v/>
      </c>
      <c r="F203" s="35">
        <f>IF(B203="","",SUMIFS('سجل التحفيز'!$G$5:$G$2004,'سجل التحفيز'!$U$5:$U$2004,"&gt;0",'سجل التحفيز'!$B$5:$B$2004,B203))</f>
        <v/>
      </c>
      <c r="G203" s="35">
        <f>IF(B203="","",COUNTIF($D$54:$D$203,"&gt;"&amp;D203)+1)</f>
        <v/>
      </c>
      <c r="H203" s="35">
        <f>IF(B203="","",INDEX(الموظفات!$L$5:$L$304,MATCH(B203,الموظفات!$B$5:$B$304,0)))</f>
        <v/>
      </c>
      <c r="K203" s="36">
        <f>IF(150&gt;$B$10,"",150)</f>
        <v/>
      </c>
      <c r="L203" s="37">
        <f>IF($K203="","",INDEX('سجل التحفيز'!$A$5:$A$2004,MATCH($K203,'سجل التحفيز'!$U$5:$U$2004,0)))</f>
        <v/>
      </c>
      <c r="M203" s="9">
        <f>IF($K203="","",INDEX('سجل التحفيز'!$B$5:$B$2004,MATCH($K203,'سجل التحفيز'!$U$5:$U$2004,0)))</f>
        <v/>
      </c>
      <c r="N203" s="9">
        <f>IF($K203="","",INDEX('سجل التحفيز'!$M$5:$M$2004,MATCH($K203,'سجل التحفيز'!$U$5:$U$2004,0)))</f>
        <v/>
      </c>
      <c r="O203" s="9">
        <f>IF($K203="","",INDEX('سجل التحفيز'!$C$5:$C$2004,MATCH($K203,'سجل التحفيز'!$U$5:$U$2004,0)))</f>
        <v/>
      </c>
      <c r="P203" s="36">
        <f>IF($K203="","",INDEX('سجل التحفيز'!$D$5:$D$2004,MATCH($K203,'سجل التحفيز'!$U$5:$U$2004,0)))</f>
        <v/>
      </c>
      <c r="Q203" s="9">
        <f>IF($K203="","",INDEX('سجل التحفيز'!$E$5:$E$2004,MATCH($K203,'سجل التحفيز'!$U$5:$U$2004,0)))</f>
        <v/>
      </c>
      <c r="R203" s="9">
        <f>IF($K203="","",INDEX('سجل التحفيز'!$F$5:$F$2004,MATCH($K203,'سجل التحفيز'!$U$5:$U$2004,0)))</f>
        <v/>
      </c>
      <c r="S203" s="35">
        <f>IF($K203="","",INDEX('سجل التحفيز'!$G$5:$G$2004,MATCH($K203,'سجل التحفيز'!$U$5:$U$2004,0)))</f>
        <v/>
      </c>
    </row>
    <row r="204">
      <c r="K204" s="36">
        <f>IF(151&gt;$B$10,"",151)</f>
        <v/>
      </c>
      <c r="L204" s="37">
        <f>IF($K204="","",INDEX('سجل التحفيز'!$A$5:$A$2004,MATCH($K204,'سجل التحفيز'!$U$5:$U$2004,0)))</f>
        <v/>
      </c>
      <c r="M204" s="9">
        <f>IF($K204="","",INDEX('سجل التحفيز'!$B$5:$B$2004,MATCH($K204,'سجل التحفيز'!$U$5:$U$2004,0)))</f>
        <v/>
      </c>
      <c r="N204" s="9">
        <f>IF($K204="","",INDEX('سجل التحفيز'!$M$5:$M$2004,MATCH($K204,'سجل التحفيز'!$U$5:$U$2004,0)))</f>
        <v/>
      </c>
      <c r="O204" s="9">
        <f>IF($K204="","",INDEX('سجل التحفيز'!$C$5:$C$2004,MATCH($K204,'سجل التحفيز'!$U$5:$U$2004,0)))</f>
        <v/>
      </c>
      <c r="P204" s="36">
        <f>IF($K204="","",INDEX('سجل التحفيز'!$D$5:$D$2004,MATCH($K204,'سجل التحفيز'!$U$5:$U$2004,0)))</f>
        <v/>
      </c>
      <c r="Q204" s="9">
        <f>IF($K204="","",INDEX('سجل التحفيز'!$E$5:$E$2004,MATCH($K204,'سجل التحفيز'!$U$5:$U$2004,0)))</f>
        <v/>
      </c>
      <c r="R204" s="9">
        <f>IF($K204="","",INDEX('سجل التحفيز'!$F$5:$F$2004,MATCH($K204,'سجل التحفيز'!$U$5:$U$2004,0)))</f>
        <v/>
      </c>
      <c r="S204" s="35">
        <f>IF($K204="","",INDEX('سجل التحفيز'!$G$5:$G$2004,MATCH($K204,'سجل التحفيز'!$U$5:$U$2004,0)))</f>
        <v/>
      </c>
    </row>
    <row r="205">
      <c r="K205" s="36">
        <f>IF(152&gt;$B$10,"",152)</f>
        <v/>
      </c>
      <c r="L205" s="37">
        <f>IF($K205="","",INDEX('سجل التحفيز'!$A$5:$A$2004,MATCH($K205,'سجل التحفيز'!$U$5:$U$2004,0)))</f>
        <v/>
      </c>
      <c r="M205" s="9">
        <f>IF($K205="","",INDEX('سجل التحفيز'!$B$5:$B$2004,MATCH($K205,'سجل التحفيز'!$U$5:$U$2004,0)))</f>
        <v/>
      </c>
      <c r="N205" s="9">
        <f>IF($K205="","",INDEX('سجل التحفيز'!$M$5:$M$2004,MATCH($K205,'سجل التحفيز'!$U$5:$U$2004,0)))</f>
        <v/>
      </c>
      <c r="O205" s="9">
        <f>IF($K205="","",INDEX('سجل التحفيز'!$C$5:$C$2004,MATCH($K205,'سجل التحفيز'!$U$5:$U$2004,0)))</f>
        <v/>
      </c>
      <c r="P205" s="36">
        <f>IF($K205="","",INDEX('سجل التحفيز'!$D$5:$D$2004,MATCH($K205,'سجل التحفيز'!$U$5:$U$2004,0)))</f>
        <v/>
      </c>
      <c r="Q205" s="9">
        <f>IF($K205="","",INDEX('سجل التحفيز'!$E$5:$E$2004,MATCH($K205,'سجل التحفيز'!$U$5:$U$2004,0)))</f>
        <v/>
      </c>
      <c r="R205" s="9">
        <f>IF($K205="","",INDEX('سجل التحفيز'!$F$5:$F$2004,MATCH($K205,'سجل التحفيز'!$U$5:$U$2004,0)))</f>
        <v/>
      </c>
      <c r="S205" s="35">
        <f>IF($K205="","",INDEX('سجل التحفيز'!$G$5:$G$2004,MATCH($K205,'سجل التحفيز'!$U$5:$U$2004,0)))</f>
        <v/>
      </c>
    </row>
    <row r="206">
      <c r="K206" s="36">
        <f>IF(153&gt;$B$10,"",153)</f>
        <v/>
      </c>
      <c r="L206" s="37">
        <f>IF($K206="","",INDEX('سجل التحفيز'!$A$5:$A$2004,MATCH($K206,'سجل التحفيز'!$U$5:$U$2004,0)))</f>
        <v/>
      </c>
      <c r="M206" s="9">
        <f>IF($K206="","",INDEX('سجل التحفيز'!$B$5:$B$2004,MATCH($K206,'سجل التحفيز'!$U$5:$U$2004,0)))</f>
        <v/>
      </c>
      <c r="N206" s="9">
        <f>IF($K206="","",INDEX('سجل التحفيز'!$M$5:$M$2004,MATCH($K206,'سجل التحفيز'!$U$5:$U$2004,0)))</f>
        <v/>
      </c>
      <c r="O206" s="9">
        <f>IF($K206="","",INDEX('سجل التحفيز'!$C$5:$C$2004,MATCH($K206,'سجل التحفيز'!$U$5:$U$2004,0)))</f>
        <v/>
      </c>
      <c r="P206" s="36">
        <f>IF($K206="","",INDEX('سجل التحفيز'!$D$5:$D$2004,MATCH($K206,'سجل التحفيز'!$U$5:$U$2004,0)))</f>
        <v/>
      </c>
      <c r="Q206" s="9">
        <f>IF($K206="","",INDEX('سجل التحفيز'!$E$5:$E$2004,MATCH($K206,'سجل التحفيز'!$U$5:$U$2004,0)))</f>
        <v/>
      </c>
      <c r="R206" s="9">
        <f>IF($K206="","",INDEX('سجل التحفيز'!$F$5:$F$2004,MATCH($K206,'سجل التحفيز'!$U$5:$U$2004,0)))</f>
        <v/>
      </c>
      <c r="S206" s="35">
        <f>IF($K206="","",INDEX('سجل التحفيز'!$G$5:$G$2004,MATCH($K206,'سجل التحفيز'!$U$5:$U$2004,0)))</f>
        <v/>
      </c>
    </row>
    <row r="207">
      <c r="K207" s="36">
        <f>IF(154&gt;$B$10,"",154)</f>
        <v/>
      </c>
      <c r="L207" s="37">
        <f>IF($K207="","",INDEX('سجل التحفيز'!$A$5:$A$2004,MATCH($K207,'سجل التحفيز'!$U$5:$U$2004,0)))</f>
        <v/>
      </c>
      <c r="M207" s="9">
        <f>IF($K207="","",INDEX('سجل التحفيز'!$B$5:$B$2004,MATCH($K207,'سجل التحفيز'!$U$5:$U$2004,0)))</f>
        <v/>
      </c>
      <c r="N207" s="9">
        <f>IF($K207="","",INDEX('سجل التحفيز'!$M$5:$M$2004,MATCH($K207,'سجل التحفيز'!$U$5:$U$2004,0)))</f>
        <v/>
      </c>
      <c r="O207" s="9">
        <f>IF($K207="","",INDEX('سجل التحفيز'!$C$5:$C$2004,MATCH($K207,'سجل التحفيز'!$U$5:$U$2004,0)))</f>
        <v/>
      </c>
      <c r="P207" s="36">
        <f>IF($K207="","",INDEX('سجل التحفيز'!$D$5:$D$2004,MATCH($K207,'سجل التحفيز'!$U$5:$U$2004,0)))</f>
        <v/>
      </c>
      <c r="Q207" s="9">
        <f>IF($K207="","",INDEX('سجل التحفيز'!$E$5:$E$2004,MATCH($K207,'سجل التحفيز'!$U$5:$U$2004,0)))</f>
        <v/>
      </c>
      <c r="R207" s="9">
        <f>IF($K207="","",INDEX('سجل التحفيز'!$F$5:$F$2004,MATCH($K207,'سجل التحفيز'!$U$5:$U$2004,0)))</f>
        <v/>
      </c>
      <c r="S207" s="35">
        <f>IF($K207="","",INDEX('سجل التحفيز'!$G$5:$G$2004,MATCH($K207,'سجل التحفيز'!$U$5:$U$2004,0)))</f>
        <v/>
      </c>
    </row>
    <row r="208">
      <c r="K208" s="36">
        <f>IF(155&gt;$B$10,"",155)</f>
        <v/>
      </c>
      <c r="L208" s="37">
        <f>IF($K208="","",INDEX('سجل التحفيز'!$A$5:$A$2004,MATCH($K208,'سجل التحفيز'!$U$5:$U$2004,0)))</f>
        <v/>
      </c>
      <c r="M208" s="9">
        <f>IF($K208="","",INDEX('سجل التحفيز'!$B$5:$B$2004,MATCH($K208,'سجل التحفيز'!$U$5:$U$2004,0)))</f>
        <v/>
      </c>
      <c r="N208" s="9">
        <f>IF($K208="","",INDEX('سجل التحفيز'!$M$5:$M$2004,MATCH($K208,'سجل التحفيز'!$U$5:$U$2004,0)))</f>
        <v/>
      </c>
      <c r="O208" s="9">
        <f>IF($K208="","",INDEX('سجل التحفيز'!$C$5:$C$2004,MATCH($K208,'سجل التحفيز'!$U$5:$U$2004,0)))</f>
        <v/>
      </c>
      <c r="P208" s="36">
        <f>IF($K208="","",INDEX('سجل التحفيز'!$D$5:$D$2004,MATCH($K208,'سجل التحفيز'!$U$5:$U$2004,0)))</f>
        <v/>
      </c>
      <c r="Q208" s="9">
        <f>IF($K208="","",INDEX('سجل التحفيز'!$E$5:$E$2004,MATCH($K208,'سجل التحفيز'!$U$5:$U$2004,0)))</f>
        <v/>
      </c>
      <c r="R208" s="9">
        <f>IF($K208="","",INDEX('سجل التحفيز'!$F$5:$F$2004,MATCH($K208,'سجل التحفيز'!$U$5:$U$2004,0)))</f>
        <v/>
      </c>
      <c r="S208" s="35">
        <f>IF($K208="","",INDEX('سجل التحفيز'!$G$5:$G$2004,MATCH($K208,'سجل التحفيز'!$U$5:$U$2004,0)))</f>
        <v/>
      </c>
    </row>
    <row r="209">
      <c r="K209" s="36">
        <f>IF(156&gt;$B$10,"",156)</f>
        <v/>
      </c>
      <c r="L209" s="37">
        <f>IF($K209="","",INDEX('سجل التحفيز'!$A$5:$A$2004,MATCH($K209,'سجل التحفيز'!$U$5:$U$2004,0)))</f>
        <v/>
      </c>
      <c r="M209" s="9">
        <f>IF($K209="","",INDEX('سجل التحفيز'!$B$5:$B$2004,MATCH($K209,'سجل التحفيز'!$U$5:$U$2004,0)))</f>
        <v/>
      </c>
      <c r="N209" s="9">
        <f>IF($K209="","",INDEX('سجل التحفيز'!$M$5:$M$2004,MATCH($K209,'سجل التحفيز'!$U$5:$U$2004,0)))</f>
        <v/>
      </c>
      <c r="O209" s="9">
        <f>IF($K209="","",INDEX('سجل التحفيز'!$C$5:$C$2004,MATCH($K209,'سجل التحفيز'!$U$5:$U$2004,0)))</f>
        <v/>
      </c>
      <c r="P209" s="36">
        <f>IF($K209="","",INDEX('سجل التحفيز'!$D$5:$D$2004,MATCH($K209,'سجل التحفيز'!$U$5:$U$2004,0)))</f>
        <v/>
      </c>
      <c r="Q209" s="9">
        <f>IF($K209="","",INDEX('سجل التحفيز'!$E$5:$E$2004,MATCH($K209,'سجل التحفيز'!$U$5:$U$2004,0)))</f>
        <v/>
      </c>
      <c r="R209" s="9">
        <f>IF($K209="","",INDEX('سجل التحفيز'!$F$5:$F$2004,MATCH($K209,'سجل التحفيز'!$U$5:$U$2004,0)))</f>
        <v/>
      </c>
      <c r="S209" s="35">
        <f>IF($K209="","",INDEX('سجل التحفيز'!$G$5:$G$2004,MATCH($K209,'سجل التحفيز'!$U$5:$U$2004,0)))</f>
        <v/>
      </c>
    </row>
    <row r="210">
      <c r="K210" s="36">
        <f>IF(157&gt;$B$10,"",157)</f>
        <v/>
      </c>
      <c r="L210" s="37">
        <f>IF($K210="","",INDEX('سجل التحفيز'!$A$5:$A$2004,MATCH($K210,'سجل التحفيز'!$U$5:$U$2004,0)))</f>
        <v/>
      </c>
      <c r="M210" s="9">
        <f>IF($K210="","",INDEX('سجل التحفيز'!$B$5:$B$2004,MATCH($K210,'سجل التحفيز'!$U$5:$U$2004,0)))</f>
        <v/>
      </c>
      <c r="N210" s="9">
        <f>IF($K210="","",INDEX('سجل التحفيز'!$M$5:$M$2004,MATCH($K210,'سجل التحفيز'!$U$5:$U$2004,0)))</f>
        <v/>
      </c>
      <c r="O210" s="9">
        <f>IF($K210="","",INDEX('سجل التحفيز'!$C$5:$C$2004,MATCH($K210,'سجل التحفيز'!$U$5:$U$2004,0)))</f>
        <v/>
      </c>
      <c r="P210" s="36">
        <f>IF($K210="","",INDEX('سجل التحفيز'!$D$5:$D$2004,MATCH($K210,'سجل التحفيز'!$U$5:$U$2004,0)))</f>
        <v/>
      </c>
      <c r="Q210" s="9">
        <f>IF($K210="","",INDEX('سجل التحفيز'!$E$5:$E$2004,MATCH($K210,'سجل التحفيز'!$U$5:$U$2004,0)))</f>
        <v/>
      </c>
      <c r="R210" s="9">
        <f>IF($K210="","",INDEX('سجل التحفيز'!$F$5:$F$2004,MATCH($K210,'سجل التحفيز'!$U$5:$U$2004,0)))</f>
        <v/>
      </c>
      <c r="S210" s="35">
        <f>IF($K210="","",INDEX('سجل التحفيز'!$G$5:$G$2004,MATCH($K210,'سجل التحفيز'!$U$5:$U$2004,0)))</f>
        <v/>
      </c>
    </row>
    <row r="211">
      <c r="K211" s="36">
        <f>IF(158&gt;$B$10,"",158)</f>
        <v/>
      </c>
      <c r="L211" s="37">
        <f>IF($K211="","",INDEX('سجل التحفيز'!$A$5:$A$2004,MATCH($K211,'سجل التحفيز'!$U$5:$U$2004,0)))</f>
        <v/>
      </c>
      <c r="M211" s="9">
        <f>IF($K211="","",INDEX('سجل التحفيز'!$B$5:$B$2004,MATCH($K211,'سجل التحفيز'!$U$5:$U$2004,0)))</f>
        <v/>
      </c>
      <c r="N211" s="9">
        <f>IF($K211="","",INDEX('سجل التحفيز'!$M$5:$M$2004,MATCH($K211,'سجل التحفيز'!$U$5:$U$2004,0)))</f>
        <v/>
      </c>
      <c r="O211" s="9">
        <f>IF($K211="","",INDEX('سجل التحفيز'!$C$5:$C$2004,MATCH($K211,'سجل التحفيز'!$U$5:$U$2004,0)))</f>
        <v/>
      </c>
      <c r="P211" s="36">
        <f>IF($K211="","",INDEX('سجل التحفيز'!$D$5:$D$2004,MATCH($K211,'سجل التحفيز'!$U$5:$U$2004,0)))</f>
        <v/>
      </c>
      <c r="Q211" s="9">
        <f>IF($K211="","",INDEX('سجل التحفيز'!$E$5:$E$2004,MATCH($K211,'سجل التحفيز'!$U$5:$U$2004,0)))</f>
        <v/>
      </c>
      <c r="R211" s="9">
        <f>IF($K211="","",INDEX('سجل التحفيز'!$F$5:$F$2004,MATCH($K211,'سجل التحفيز'!$U$5:$U$2004,0)))</f>
        <v/>
      </c>
      <c r="S211" s="35">
        <f>IF($K211="","",INDEX('سجل التحفيز'!$G$5:$G$2004,MATCH($K211,'سجل التحفيز'!$U$5:$U$2004,0)))</f>
        <v/>
      </c>
    </row>
    <row r="212">
      <c r="K212" s="36">
        <f>IF(159&gt;$B$10,"",159)</f>
        <v/>
      </c>
      <c r="L212" s="37">
        <f>IF($K212="","",INDEX('سجل التحفيز'!$A$5:$A$2004,MATCH($K212,'سجل التحفيز'!$U$5:$U$2004,0)))</f>
        <v/>
      </c>
      <c r="M212" s="9">
        <f>IF($K212="","",INDEX('سجل التحفيز'!$B$5:$B$2004,MATCH($K212,'سجل التحفيز'!$U$5:$U$2004,0)))</f>
        <v/>
      </c>
      <c r="N212" s="9">
        <f>IF($K212="","",INDEX('سجل التحفيز'!$M$5:$M$2004,MATCH($K212,'سجل التحفيز'!$U$5:$U$2004,0)))</f>
        <v/>
      </c>
      <c r="O212" s="9">
        <f>IF($K212="","",INDEX('سجل التحفيز'!$C$5:$C$2004,MATCH($K212,'سجل التحفيز'!$U$5:$U$2004,0)))</f>
        <v/>
      </c>
      <c r="P212" s="36">
        <f>IF($K212="","",INDEX('سجل التحفيز'!$D$5:$D$2004,MATCH($K212,'سجل التحفيز'!$U$5:$U$2004,0)))</f>
        <v/>
      </c>
      <c r="Q212" s="9">
        <f>IF($K212="","",INDEX('سجل التحفيز'!$E$5:$E$2004,MATCH($K212,'سجل التحفيز'!$U$5:$U$2004,0)))</f>
        <v/>
      </c>
      <c r="R212" s="9">
        <f>IF($K212="","",INDEX('سجل التحفيز'!$F$5:$F$2004,MATCH($K212,'سجل التحفيز'!$U$5:$U$2004,0)))</f>
        <v/>
      </c>
      <c r="S212" s="35">
        <f>IF($K212="","",INDEX('سجل التحفيز'!$G$5:$G$2004,MATCH($K212,'سجل التحفيز'!$U$5:$U$2004,0)))</f>
        <v/>
      </c>
    </row>
    <row r="213">
      <c r="K213" s="36">
        <f>IF(160&gt;$B$10,"",160)</f>
        <v/>
      </c>
      <c r="L213" s="37">
        <f>IF($K213="","",INDEX('سجل التحفيز'!$A$5:$A$2004,MATCH($K213,'سجل التحفيز'!$U$5:$U$2004,0)))</f>
        <v/>
      </c>
      <c r="M213" s="9">
        <f>IF($K213="","",INDEX('سجل التحفيز'!$B$5:$B$2004,MATCH($K213,'سجل التحفيز'!$U$5:$U$2004,0)))</f>
        <v/>
      </c>
      <c r="N213" s="9">
        <f>IF($K213="","",INDEX('سجل التحفيز'!$M$5:$M$2004,MATCH($K213,'سجل التحفيز'!$U$5:$U$2004,0)))</f>
        <v/>
      </c>
      <c r="O213" s="9">
        <f>IF($K213="","",INDEX('سجل التحفيز'!$C$5:$C$2004,MATCH($K213,'سجل التحفيز'!$U$5:$U$2004,0)))</f>
        <v/>
      </c>
      <c r="P213" s="36">
        <f>IF($K213="","",INDEX('سجل التحفيز'!$D$5:$D$2004,MATCH($K213,'سجل التحفيز'!$U$5:$U$2004,0)))</f>
        <v/>
      </c>
      <c r="Q213" s="9">
        <f>IF($K213="","",INDEX('سجل التحفيز'!$E$5:$E$2004,MATCH($K213,'سجل التحفيز'!$U$5:$U$2004,0)))</f>
        <v/>
      </c>
      <c r="R213" s="9">
        <f>IF($K213="","",INDEX('سجل التحفيز'!$F$5:$F$2004,MATCH($K213,'سجل التحفيز'!$U$5:$U$2004,0)))</f>
        <v/>
      </c>
      <c r="S213" s="35">
        <f>IF($K213="","",INDEX('سجل التحفيز'!$G$5:$G$2004,MATCH($K213,'سجل التحفيز'!$U$5:$U$2004,0)))</f>
        <v/>
      </c>
    </row>
    <row r="214">
      <c r="K214" s="36">
        <f>IF(161&gt;$B$10,"",161)</f>
        <v/>
      </c>
      <c r="L214" s="37">
        <f>IF($K214="","",INDEX('سجل التحفيز'!$A$5:$A$2004,MATCH($K214,'سجل التحفيز'!$U$5:$U$2004,0)))</f>
        <v/>
      </c>
      <c r="M214" s="9">
        <f>IF($K214="","",INDEX('سجل التحفيز'!$B$5:$B$2004,MATCH($K214,'سجل التحفيز'!$U$5:$U$2004,0)))</f>
        <v/>
      </c>
      <c r="N214" s="9">
        <f>IF($K214="","",INDEX('سجل التحفيز'!$M$5:$M$2004,MATCH($K214,'سجل التحفيز'!$U$5:$U$2004,0)))</f>
        <v/>
      </c>
      <c r="O214" s="9">
        <f>IF($K214="","",INDEX('سجل التحفيز'!$C$5:$C$2004,MATCH($K214,'سجل التحفيز'!$U$5:$U$2004,0)))</f>
        <v/>
      </c>
      <c r="P214" s="36">
        <f>IF($K214="","",INDEX('سجل التحفيز'!$D$5:$D$2004,MATCH($K214,'سجل التحفيز'!$U$5:$U$2004,0)))</f>
        <v/>
      </c>
      <c r="Q214" s="9">
        <f>IF($K214="","",INDEX('سجل التحفيز'!$E$5:$E$2004,MATCH($K214,'سجل التحفيز'!$U$5:$U$2004,0)))</f>
        <v/>
      </c>
      <c r="R214" s="9">
        <f>IF($K214="","",INDEX('سجل التحفيز'!$F$5:$F$2004,MATCH($K214,'سجل التحفيز'!$U$5:$U$2004,0)))</f>
        <v/>
      </c>
      <c r="S214" s="35">
        <f>IF($K214="","",INDEX('سجل التحفيز'!$G$5:$G$2004,MATCH($K214,'سجل التحفيز'!$U$5:$U$2004,0)))</f>
        <v/>
      </c>
    </row>
    <row r="215">
      <c r="K215" s="36">
        <f>IF(162&gt;$B$10,"",162)</f>
        <v/>
      </c>
      <c r="L215" s="37">
        <f>IF($K215="","",INDEX('سجل التحفيز'!$A$5:$A$2004,MATCH($K215,'سجل التحفيز'!$U$5:$U$2004,0)))</f>
        <v/>
      </c>
      <c r="M215" s="9">
        <f>IF($K215="","",INDEX('سجل التحفيز'!$B$5:$B$2004,MATCH($K215,'سجل التحفيز'!$U$5:$U$2004,0)))</f>
        <v/>
      </c>
      <c r="N215" s="9">
        <f>IF($K215="","",INDEX('سجل التحفيز'!$M$5:$M$2004,MATCH($K215,'سجل التحفيز'!$U$5:$U$2004,0)))</f>
        <v/>
      </c>
      <c r="O215" s="9">
        <f>IF($K215="","",INDEX('سجل التحفيز'!$C$5:$C$2004,MATCH($K215,'سجل التحفيز'!$U$5:$U$2004,0)))</f>
        <v/>
      </c>
      <c r="P215" s="36">
        <f>IF($K215="","",INDEX('سجل التحفيز'!$D$5:$D$2004,MATCH($K215,'سجل التحفيز'!$U$5:$U$2004,0)))</f>
        <v/>
      </c>
      <c r="Q215" s="9">
        <f>IF($K215="","",INDEX('سجل التحفيز'!$E$5:$E$2004,MATCH($K215,'سجل التحفيز'!$U$5:$U$2004,0)))</f>
        <v/>
      </c>
      <c r="R215" s="9">
        <f>IF($K215="","",INDEX('سجل التحفيز'!$F$5:$F$2004,MATCH($K215,'سجل التحفيز'!$U$5:$U$2004,0)))</f>
        <v/>
      </c>
      <c r="S215" s="35">
        <f>IF($K215="","",INDEX('سجل التحفيز'!$G$5:$G$2004,MATCH($K215,'سجل التحفيز'!$U$5:$U$2004,0)))</f>
        <v/>
      </c>
    </row>
    <row r="216">
      <c r="K216" s="36">
        <f>IF(163&gt;$B$10,"",163)</f>
        <v/>
      </c>
      <c r="L216" s="37">
        <f>IF($K216="","",INDEX('سجل التحفيز'!$A$5:$A$2004,MATCH($K216,'سجل التحفيز'!$U$5:$U$2004,0)))</f>
        <v/>
      </c>
      <c r="M216" s="9">
        <f>IF($K216="","",INDEX('سجل التحفيز'!$B$5:$B$2004,MATCH($K216,'سجل التحفيز'!$U$5:$U$2004,0)))</f>
        <v/>
      </c>
      <c r="N216" s="9">
        <f>IF($K216="","",INDEX('سجل التحفيز'!$M$5:$M$2004,MATCH($K216,'سجل التحفيز'!$U$5:$U$2004,0)))</f>
        <v/>
      </c>
      <c r="O216" s="9">
        <f>IF($K216="","",INDEX('سجل التحفيز'!$C$5:$C$2004,MATCH($K216,'سجل التحفيز'!$U$5:$U$2004,0)))</f>
        <v/>
      </c>
      <c r="P216" s="36">
        <f>IF($K216="","",INDEX('سجل التحفيز'!$D$5:$D$2004,MATCH($K216,'سجل التحفيز'!$U$5:$U$2004,0)))</f>
        <v/>
      </c>
      <c r="Q216" s="9">
        <f>IF($K216="","",INDEX('سجل التحفيز'!$E$5:$E$2004,MATCH($K216,'سجل التحفيز'!$U$5:$U$2004,0)))</f>
        <v/>
      </c>
      <c r="R216" s="9">
        <f>IF($K216="","",INDEX('سجل التحفيز'!$F$5:$F$2004,MATCH($K216,'سجل التحفيز'!$U$5:$U$2004,0)))</f>
        <v/>
      </c>
      <c r="S216" s="35">
        <f>IF($K216="","",INDEX('سجل التحفيز'!$G$5:$G$2004,MATCH($K216,'سجل التحفيز'!$U$5:$U$2004,0)))</f>
        <v/>
      </c>
    </row>
    <row r="217">
      <c r="K217" s="36">
        <f>IF(164&gt;$B$10,"",164)</f>
        <v/>
      </c>
      <c r="L217" s="37">
        <f>IF($K217="","",INDEX('سجل التحفيز'!$A$5:$A$2004,MATCH($K217,'سجل التحفيز'!$U$5:$U$2004,0)))</f>
        <v/>
      </c>
      <c r="M217" s="9">
        <f>IF($K217="","",INDEX('سجل التحفيز'!$B$5:$B$2004,MATCH($K217,'سجل التحفيز'!$U$5:$U$2004,0)))</f>
        <v/>
      </c>
      <c r="N217" s="9">
        <f>IF($K217="","",INDEX('سجل التحفيز'!$M$5:$M$2004,MATCH($K217,'سجل التحفيز'!$U$5:$U$2004,0)))</f>
        <v/>
      </c>
      <c r="O217" s="9">
        <f>IF($K217="","",INDEX('سجل التحفيز'!$C$5:$C$2004,MATCH($K217,'سجل التحفيز'!$U$5:$U$2004,0)))</f>
        <v/>
      </c>
      <c r="P217" s="36">
        <f>IF($K217="","",INDEX('سجل التحفيز'!$D$5:$D$2004,MATCH($K217,'سجل التحفيز'!$U$5:$U$2004,0)))</f>
        <v/>
      </c>
      <c r="Q217" s="9">
        <f>IF($K217="","",INDEX('سجل التحفيز'!$E$5:$E$2004,MATCH($K217,'سجل التحفيز'!$U$5:$U$2004,0)))</f>
        <v/>
      </c>
      <c r="R217" s="9">
        <f>IF($K217="","",INDEX('سجل التحفيز'!$F$5:$F$2004,MATCH($K217,'سجل التحفيز'!$U$5:$U$2004,0)))</f>
        <v/>
      </c>
      <c r="S217" s="35">
        <f>IF($K217="","",INDEX('سجل التحفيز'!$G$5:$G$2004,MATCH($K217,'سجل التحفيز'!$U$5:$U$2004,0)))</f>
        <v/>
      </c>
    </row>
    <row r="218">
      <c r="K218" s="36">
        <f>IF(165&gt;$B$10,"",165)</f>
        <v/>
      </c>
      <c r="L218" s="37">
        <f>IF($K218="","",INDEX('سجل التحفيز'!$A$5:$A$2004,MATCH($K218,'سجل التحفيز'!$U$5:$U$2004,0)))</f>
        <v/>
      </c>
      <c r="M218" s="9">
        <f>IF($K218="","",INDEX('سجل التحفيز'!$B$5:$B$2004,MATCH($K218,'سجل التحفيز'!$U$5:$U$2004,0)))</f>
        <v/>
      </c>
      <c r="N218" s="9">
        <f>IF($K218="","",INDEX('سجل التحفيز'!$M$5:$M$2004,MATCH($K218,'سجل التحفيز'!$U$5:$U$2004,0)))</f>
        <v/>
      </c>
      <c r="O218" s="9">
        <f>IF($K218="","",INDEX('سجل التحفيز'!$C$5:$C$2004,MATCH($K218,'سجل التحفيز'!$U$5:$U$2004,0)))</f>
        <v/>
      </c>
      <c r="P218" s="36">
        <f>IF($K218="","",INDEX('سجل التحفيز'!$D$5:$D$2004,MATCH($K218,'سجل التحفيز'!$U$5:$U$2004,0)))</f>
        <v/>
      </c>
      <c r="Q218" s="9">
        <f>IF($K218="","",INDEX('سجل التحفيز'!$E$5:$E$2004,MATCH($K218,'سجل التحفيز'!$U$5:$U$2004,0)))</f>
        <v/>
      </c>
      <c r="R218" s="9">
        <f>IF($K218="","",INDEX('سجل التحفيز'!$F$5:$F$2004,MATCH($K218,'سجل التحفيز'!$U$5:$U$2004,0)))</f>
        <v/>
      </c>
      <c r="S218" s="35">
        <f>IF($K218="","",INDEX('سجل التحفيز'!$G$5:$G$2004,MATCH($K218,'سجل التحفيز'!$U$5:$U$2004,0)))</f>
        <v/>
      </c>
    </row>
    <row r="219">
      <c r="K219" s="36">
        <f>IF(166&gt;$B$10,"",166)</f>
        <v/>
      </c>
      <c r="L219" s="37">
        <f>IF($K219="","",INDEX('سجل التحفيز'!$A$5:$A$2004,MATCH($K219,'سجل التحفيز'!$U$5:$U$2004,0)))</f>
        <v/>
      </c>
      <c r="M219" s="9">
        <f>IF($K219="","",INDEX('سجل التحفيز'!$B$5:$B$2004,MATCH($K219,'سجل التحفيز'!$U$5:$U$2004,0)))</f>
        <v/>
      </c>
      <c r="N219" s="9">
        <f>IF($K219="","",INDEX('سجل التحفيز'!$M$5:$M$2004,MATCH($K219,'سجل التحفيز'!$U$5:$U$2004,0)))</f>
        <v/>
      </c>
      <c r="O219" s="9">
        <f>IF($K219="","",INDEX('سجل التحفيز'!$C$5:$C$2004,MATCH($K219,'سجل التحفيز'!$U$5:$U$2004,0)))</f>
        <v/>
      </c>
      <c r="P219" s="36">
        <f>IF($K219="","",INDEX('سجل التحفيز'!$D$5:$D$2004,MATCH($K219,'سجل التحفيز'!$U$5:$U$2004,0)))</f>
        <v/>
      </c>
      <c r="Q219" s="9">
        <f>IF($K219="","",INDEX('سجل التحفيز'!$E$5:$E$2004,MATCH($K219,'سجل التحفيز'!$U$5:$U$2004,0)))</f>
        <v/>
      </c>
      <c r="R219" s="9">
        <f>IF($K219="","",INDEX('سجل التحفيز'!$F$5:$F$2004,MATCH($K219,'سجل التحفيز'!$U$5:$U$2004,0)))</f>
        <v/>
      </c>
      <c r="S219" s="35">
        <f>IF($K219="","",INDEX('سجل التحفيز'!$G$5:$G$2004,MATCH($K219,'سجل التحفيز'!$U$5:$U$2004,0)))</f>
        <v/>
      </c>
    </row>
    <row r="220">
      <c r="K220" s="36">
        <f>IF(167&gt;$B$10,"",167)</f>
        <v/>
      </c>
      <c r="L220" s="37">
        <f>IF($K220="","",INDEX('سجل التحفيز'!$A$5:$A$2004,MATCH($K220,'سجل التحفيز'!$U$5:$U$2004,0)))</f>
        <v/>
      </c>
      <c r="M220" s="9">
        <f>IF($K220="","",INDEX('سجل التحفيز'!$B$5:$B$2004,MATCH($K220,'سجل التحفيز'!$U$5:$U$2004,0)))</f>
        <v/>
      </c>
      <c r="N220" s="9">
        <f>IF($K220="","",INDEX('سجل التحفيز'!$M$5:$M$2004,MATCH($K220,'سجل التحفيز'!$U$5:$U$2004,0)))</f>
        <v/>
      </c>
      <c r="O220" s="9">
        <f>IF($K220="","",INDEX('سجل التحفيز'!$C$5:$C$2004,MATCH($K220,'سجل التحفيز'!$U$5:$U$2004,0)))</f>
        <v/>
      </c>
      <c r="P220" s="36">
        <f>IF($K220="","",INDEX('سجل التحفيز'!$D$5:$D$2004,MATCH($K220,'سجل التحفيز'!$U$5:$U$2004,0)))</f>
        <v/>
      </c>
      <c r="Q220" s="9">
        <f>IF($K220="","",INDEX('سجل التحفيز'!$E$5:$E$2004,MATCH($K220,'سجل التحفيز'!$U$5:$U$2004,0)))</f>
        <v/>
      </c>
      <c r="R220" s="9">
        <f>IF($K220="","",INDEX('سجل التحفيز'!$F$5:$F$2004,MATCH($K220,'سجل التحفيز'!$U$5:$U$2004,0)))</f>
        <v/>
      </c>
      <c r="S220" s="35">
        <f>IF($K220="","",INDEX('سجل التحفيز'!$G$5:$G$2004,MATCH($K220,'سجل التحفيز'!$U$5:$U$2004,0)))</f>
        <v/>
      </c>
    </row>
    <row r="221">
      <c r="K221" s="36">
        <f>IF(168&gt;$B$10,"",168)</f>
        <v/>
      </c>
      <c r="L221" s="37">
        <f>IF($K221="","",INDEX('سجل التحفيز'!$A$5:$A$2004,MATCH($K221,'سجل التحفيز'!$U$5:$U$2004,0)))</f>
        <v/>
      </c>
      <c r="M221" s="9">
        <f>IF($K221="","",INDEX('سجل التحفيز'!$B$5:$B$2004,MATCH($K221,'سجل التحفيز'!$U$5:$U$2004,0)))</f>
        <v/>
      </c>
      <c r="N221" s="9">
        <f>IF($K221="","",INDEX('سجل التحفيز'!$M$5:$M$2004,MATCH($K221,'سجل التحفيز'!$U$5:$U$2004,0)))</f>
        <v/>
      </c>
      <c r="O221" s="9">
        <f>IF($K221="","",INDEX('سجل التحفيز'!$C$5:$C$2004,MATCH($K221,'سجل التحفيز'!$U$5:$U$2004,0)))</f>
        <v/>
      </c>
      <c r="P221" s="36">
        <f>IF($K221="","",INDEX('سجل التحفيز'!$D$5:$D$2004,MATCH($K221,'سجل التحفيز'!$U$5:$U$2004,0)))</f>
        <v/>
      </c>
      <c r="Q221" s="9">
        <f>IF($K221="","",INDEX('سجل التحفيز'!$E$5:$E$2004,MATCH($K221,'سجل التحفيز'!$U$5:$U$2004,0)))</f>
        <v/>
      </c>
      <c r="R221" s="9">
        <f>IF($K221="","",INDEX('سجل التحفيز'!$F$5:$F$2004,MATCH($K221,'سجل التحفيز'!$U$5:$U$2004,0)))</f>
        <v/>
      </c>
      <c r="S221" s="35">
        <f>IF($K221="","",INDEX('سجل التحفيز'!$G$5:$G$2004,MATCH($K221,'سجل التحفيز'!$U$5:$U$2004,0)))</f>
        <v/>
      </c>
    </row>
    <row r="222">
      <c r="K222" s="36">
        <f>IF(169&gt;$B$10,"",169)</f>
        <v/>
      </c>
      <c r="L222" s="37">
        <f>IF($K222="","",INDEX('سجل التحفيز'!$A$5:$A$2004,MATCH($K222,'سجل التحفيز'!$U$5:$U$2004,0)))</f>
        <v/>
      </c>
      <c r="M222" s="9">
        <f>IF($K222="","",INDEX('سجل التحفيز'!$B$5:$B$2004,MATCH($K222,'سجل التحفيز'!$U$5:$U$2004,0)))</f>
        <v/>
      </c>
      <c r="N222" s="9">
        <f>IF($K222="","",INDEX('سجل التحفيز'!$M$5:$M$2004,MATCH($K222,'سجل التحفيز'!$U$5:$U$2004,0)))</f>
        <v/>
      </c>
      <c r="O222" s="9">
        <f>IF($K222="","",INDEX('سجل التحفيز'!$C$5:$C$2004,MATCH($K222,'سجل التحفيز'!$U$5:$U$2004,0)))</f>
        <v/>
      </c>
      <c r="P222" s="36">
        <f>IF($K222="","",INDEX('سجل التحفيز'!$D$5:$D$2004,MATCH($K222,'سجل التحفيز'!$U$5:$U$2004,0)))</f>
        <v/>
      </c>
      <c r="Q222" s="9">
        <f>IF($K222="","",INDEX('سجل التحفيز'!$E$5:$E$2004,MATCH($K222,'سجل التحفيز'!$U$5:$U$2004,0)))</f>
        <v/>
      </c>
      <c r="R222" s="9">
        <f>IF($K222="","",INDEX('سجل التحفيز'!$F$5:$F$2004,MATCH($K222,'سجل التحفيز'!$U$5:$U$2004,0)))</f>
        <v/>
      </c>
      <c r="S222" s="35">
        <f>IF($K222="","",INDEX('سجل التحفيز'!$G$5:$G$2004,MATCH($K222,'سجل التحفيز'!$U$5:$U$2004,0)))</f>
        <v/>
      </c>
    </row>
    <row r="223">
      <c r="K223" s="36">
        <f>IF(170&gt;$B$10,"",170)</f>
        <v/>
      </c>
      <c r="L223" s="37">
        <f>IF($K223="","",INDEX('سجل التحفيز'!$A$5:$A$2004,MATCH($K223,'سجل التحفيز'!$U$5:$U$2004,0)))</f>
        <v/>
      </c>
      <c r="M223" s="9">
        <f>IF($K223="","",INDEX('سجل التحفيز'!$B$5:$B$2004,MATCH($K223,'سجل التحفيز'!$U$5:$U$2004,0)))</f>
        <v/>
      </c>
      <c r="N223" s="9">
        <f>IF($K223="","",INDEX('سجل التحفيز'!$M$5:$M$2004,MATCH($K223,'سجل التحفيز'!$U$5:$U$2004,0)))</f>
        <v/>
      </c>
      <c r="O223" s="9">
        <f>IF($K223="","",INDEX('سجل التحفيز'!$C$5:$C$2004,MATCH($K223,'سجل التحفيز'!$U$5:$U$2004,0)))</f>
        <v/>
      </c>
      <c r="P223" s="36">
        <f>IF($K223="","",INDEX('سجل التحفيز'!$D$5:$D$2004,MATCH($K223,'سجل التحفيز'!$U$5:$U$2004,0)))</f>
        <v/>
      </c>
      <c r="Q223" s="9">
        <f>IF($K223="","",INDEX('سجل التحفيز'!$E$5:$E$2004,MATCH($K223,'سجل التحفيز'!$U$5:$U$2004,0)))</f>
        <v/>
      </c>
      <c r="R223" s="9">
        <f>IF($K223="","",INDEX('سجل التحفيز'!$F$5:$F$2004,MATCH($K223,'سجل التحفيز'!$U$5:$U$2004,0)))</f>
        <v/>
      </c>
      <c r="S223" s="35">
        <f>IF($K223="","",INDEX('سجل التحفيز'!$G$5:$G$2004,MATCH($K223,'سجل التحفيز'!$U$5:$U$2004,0)))</f>
        <v/>
      </c>
    </row>
    <row r="224">
      <c r="K224" s="36">
        <f>IF(171&gt;$B$10,"",171)</f>
        <v/>
      </c>
      <c r="L224" s="37">
        <f>IF($K224="","",INDEX('سجل التحفيز'!$A$5:$A$2004,MATCH($K224,'سجل التحفيز'!$U$5:$U$2004,0)))</f>
        <v/>
      </c>
      <c r="M224" s="9">
        <f>IF($K224="","",INDEX('سجل التحفيز'!$B$5:$B$2004,MATCH($K224,'سجل التحفيز'!$U$5:$U$2004,0)))</f>
        <v/>
      </c>
      <c r="N224" s="9">
        <f>IF($K224="","",INDEX('سجل التحفيز'!$M$5:$M$2004,MATCH($K224,'سجل التحفيز'!$U$5:$U$2004,0)))</f>
        <v/>
      </c>
      <c r="O224" s="9">
        <f>IF($K224="","",INDEX('سجل التحفيز'!$C$5:$C$2004,MATCH($K224,'سجل التحفيز'!$U$5:$U$2004,0)))</f>
        <v/>
      </c>
      <c r="P224" s="36">
        <f>IF($K224="","",INDEX('سجل التحفيز'!$D$5:$D$2004,MATCH($K224,'سجل التحفيز'!$U$5:$U$2004,0)))</f>
        <v/>
      </c>
      <c r="Q224" s="9">
        <f>IF($K224="","",INDEX('سجل التحفيز'!$E$5:$E$2004,MATCH($K224,'سجل التحفيز'!$U$5:$U$2004,0)))</f>
        <v/>
      </c>
      <c r="R224" s="9">
        <f>IF($K224="","",INDEX('سجل التحفيز'!$F$5:$F$2004,MATCH($K224,'سجل التحفيز'!$U$5:$U$2004,0)))</f>
        <v/>
      </c>
      <c r="S224" s="35">
        <f>IF($K224="","",INDEX('سجل التحفيز'!$G$5:$G$2004,MATCH($K224,'سجل التحفيز'!$U$5:$U$2004,0)))</f>
        <v/>
      </c>
    </row>
    <row r="225">
      <c r="K225" s="36">
        <f>IF(172&gt;$B$10,"",172)</f>
        <v/>
      </c>
      <c r="L225" s="37">
        <f>IF($K225="","",INDEX('سجل التحفيز'!$A$5:$A$2004,MATCH($K225,'سجل التحفيز'!$U$5:$U$2004,0)))</f>
        <v/>
      </c>
      <c r="M225" s="9">
        <f>IF($K225="","",INDEX('سجل التحفيز'!$B$5:$B$2004,MATCH($K225,'سجل التحفيز'!$U$5:$U$2004,0)))</f>
        <v/>
      </c>
      <c r="N225" s="9">
        <f>IF($K225="","",INDEX('سجل التحفيز'!$M$5:$M$2004,MATCH($K225,'سجل التحفيز'!$U$5:$U$2004,0)))</f>
        <v/>
      </c>
      <c r="O225" s="9">
        <f>IF($K225="","",INDEX('سجل التحفيز'!$C$5:$C$2004,MATCH($K225,'سجل التحفيز'!$U$5:$U$2004,0)))</f>
        <v/>
      </c>
      <c r="P225" s="36">
        <f>IF($K225="","",INDEX('سجل التحفيز'!$D$5:$D$2004,MATCH($K225,'سجل التحفيز'!$U$5:$U$2004,0)))</f>
        <v/>
      </c>
      <c r="Q225" s="9">
        <f>IF($K225="","",INDEX('سجل التحفيز'!$E$5:$E$2004,MATCH($K225,'سجل التحفيز'!$U$5:$U$2004,0)))</f>
        <v/>
      </c>
      <c r="R225" s="9">
        <f>IF($K225="","",INDEX('سجل التحفيز'!$F$5:$F$2004,MATCH($K225,'سجل التحفيز'!$U$5:$U$2004,0)))</f>
        <v/>
      </c>
      <c r="S225" s="35">
        <f>IF($K225="","",INDEX('سجل التحفيز'!$G$5:$G$2004,MATCH($K225,'سجل التحفيز'!$U$5:$U$2004,0)))</f>
        <v/>
      </c>
    </row>
    <row r="226">
      <c r="K226" s="36">
        <f>IF(173&gt;$B$10,"",173)</f>
        <v/>
      </c>
      <c r="L226" s="37">
        <f>IF($K226="","",INDEX('سجل التحفيز'!$A$5:$A$2004,MATCH($K226,'سجل التحفيز'!$U$5:$U$2004,0)))</f>
        <v/>
      </c>
      <c r="M226" s="9">
        <f>IF($K226="","",INDEX('سجل التحفيز'!$B$5:$B$2004,MATCH($K226,'سجل التحفيز'!$U$5:$U$2004,0)))</f>
        <v/>
      </c>
      <c r="N226" s="9">
        <f>IF($K226="","",INDEX('سجل التحفيز'!$M$5:$M$2004,MATCH($K226,'سجل التحفيز'!$U$5:$U$2004,0)))</f>
        <v/>
      </c>
      <c r="O226" s="9">
        <f>IF($K226="","",INDEX('سجل التحفيز'!$C$5:$C$2004,MATCH($K226,'سجل التحفيز'!$U$5:$U$2004,0)))</f>
        <v/>
      </c>
      <c r="P226" s="36">
        <f>IF($K226="","",INDEX('سجل التحفيز'!$D$5:$D$2004,MATCH($K226,'سجل التحفيز'!$U$5:$U$2004,0)))</f>
        <v/>
      </c>
      <c r="Q226" s="9">
        <f>IF($K226="","",INDEX('سجل التحفيز'!$E$5:$E$2004,MATCH($K226,'سجل التحفيز'!$U$5:$U$2004,0)))</f>
        <v/>
      </c>
      <c r="R226" s="9">
        <f>IF($K226="","",INDEX('سجل التحفيز'!$F$5:$F$2004,MATCH($K226,'سجل التحفيز'!$U$5:$U$2004,0)))</f>
        <v/>
      </c>
      <c r="S226" s="35">
        <f>IF($K226="","",INDEX('سجل التحفيز'!$G$5:$G$2004,MATCH($K226,'سجل التحفيز'!$U$5:$U$2004,0)))</f>
        <v/>
      </c>
    </row>
    <row r="227">
      <c r="K227" s="36">
        <f>IF(174&gt;$B$10,"",174)</f>
        <v/>
      </c>
      <c r="L227" s="37">
        <f>IF($K227="","",INDEX('سجل التحفيز'!$A$5:$A$2004,MATCH($K227,'سجل التحفيز'!$U$5:$U$2004,0)))</f>
        <v/>
      </c>
      <c r="M227" s="9">
        <f>IF($K227="","",INDEX('سجل التحفيز'!$B$5:$B$2004,MATCH($K227,'سجل التحفيز'!$U$5:$U$2004,0)))</f>
        <v/>
      </c>
      <c r="N227" s="9">
        <f>IF($K227="","",INDEX('سجل التحفيز'!$M$5:$M$2004,MATCH($K227,'سجل التحفيز'!$U$5:$U$2004,0)))</f>
        <v/>
      </c>
      <c r="O227" s="9">
        <f>IF($K227="","",INDEX('سجل التحفيز'!$C$5:$C$2004,MATCH($K227,'سجل التحفيز'!$U$5:$U$2004,0)))</f>
        <v/>
      </c>
      <c r="P227" s="36">
        <f>IF($K227="","",INDEX('سجل التحفيز'!$D$5:$D$2004,MATCH($K227,'سجل التحفيز'!$U$5:$U$2004,0)))</f>
        <v/>
      </c>
      <c r="Q227" s="9">
        <f>IF($K227="","",INDEX('سجل التحفيز'!$E$5:$E$2004,MATCH($K227,'سجل التحفيز'!$U$5:$U$2004,0)))</f>
        <v/>
      </c>
      <c r="R227" s="9">
        <f>IF($K227="","",INDEX('سجل التحفيز'!$F$5:$F$2004,MATCH($K227,'سجل التحفيز'!$U$5:$U$2004,0)))</f>
        <v/>
      </c>
      <c r="S227" s="35">
        <f>IF($K227="","",INDEX('سجل التحفيز'!$G$5:$G$2004,MATCH($K227,'سجل التحفيز'!$U$5:$U$2004,0)))</f>
        <v/>
      </c>
    </row>
    <row r="228">
      <c r="K228" s="36">
        <f>IF(175&gt;$B$10,"",175)</f>
        <v/>
      </c>
      <c r="L228" s="37">
        <f>IF($K228="","",INDEX('سجل التحفيز'!$A$5:$A$2004,MATCH($K228,'سجل التحفيز'!$U$5:$U$2004,0)))</f>
        <v/>
      </c>
      <c r="M228" s="9">
        <f>IF($K228="","",INDEX('سجل التحفيز'!$B$5:$B$2004,MATCH($K228,'سجل التحفيز'!$U$5:$U$2004,0)))</f>
        <v/>
      </c>
      <c r="N228" s="9">
        <f>IF($K228="","",INDEX('سجل التحفيز'!$M$5:$M$2004,MATCH($K228,'سجل التحفيز'!$U$5:$U$2004,0)))</f>
        <v/>
      </c>
      <c r="O228" s="9">
        <f>IF($K228="","",INDEX('سجل التحفيز'!$C$5:$C$2004,MATCH($K228,'سجل التحفيز'!$U$5:$U$2004,0)))</f>
        <v/>
      </c>
      <c r="P228" s="36">
        <f>IF($K228="","",INDEX('سجل التحفيز'!$D$5:$D$2004,MATCH($K228,'سجل التحفيز'!$U$5:$U$2004,0)))</f>
        <v/>
      </c>
      <c r="Q228" s="9">
        <f>IF($K228="","",INDEX('سجل التحفيز'!$E$5:$E$2004,MATCH($K228,'سجل التحفيز'!$U$5:$U$2004,0)))</f>
        <v/>
      </c>
      <c r="R228" s="9">
        <f>IF($K228="","",INDEX('سجل التحفيز'!$F$5:$F$2004,MATCH($K228,'سجل التحفيز'!$U$5:$U$2004,0)))</f>
        <v/>
      </c>
      <c r="S228" s="35">
        <f>IF($K228="","",INDEX('سجل التحفيز'!$G$5:$G$2004,MATCH($K228,'سجل التحفيز'!$U$5:$U$2004,0)))</f>
        <v/>
      </c>
    </row>
    <row r="229">
      <c r="K229" s="36">
        <f>IF(176&gt;$B$10,"",176)</f>
        <v/>
      </c>
      <c r="L229" s="37">
        <f>IF($K229="","",INDEX('سجل التحفيز'!$A$5:$A$2004,MATCH($K229,'سجل التحفيز'!$U$5:$U$2004,0)))</f>
        <v/>
      </c>
      <c r="M229" s="9">
        <f>IF($K229="","",INDEX('سجل التحفيز'!$B$5:$B$2004,MATCH($K229,'سجل التحفيز'!$U$5:$U$2004,0)))</f>
        <v/>
      </c>
      <c r="N229" s="9">
        <f>IF($K229="","",INDEX('سجل التحفيز'!$M$5:$M$2004,MATCH($K229,'سجل التحفيز'!$U$5:$U$2004,0)))</f>
        <v/>
      </c>
      <c r="O229" s="9">
        <f>IF($K229="","",INDEX('سجل التحفيز'!$C$5:$C$2004,MATCH($K229,'سجل التحفيز'!$U$5:$U$2004,0)))</f>
        <v/>
      </c>
      <c r="P229" s="36">
        <f>IF($K229="","",INDEX('سجل التحفيز'!$D$5:$D$2004,MATCH($K229,'سجل التحفيز'!$U$5:$U$2004,0)))</f>
        <v/>
      </c>
      <c r="Q229" s="9">
        <f>IF($K229="","",INDEX('سجل التحفيز'!$E$5:$E$2004,MATCH($K229,'سجل التحفيز'!$U$5:$U$2004,0)))</f>
        <v/>
      </c>
      <c r="R229" s="9">
        <f>IF($K229="","",INDEX('سجل التحفيز'!$F$5:$F$2004,MATCH($K229,'سجل التحفيز'!$U$5:$U$2004,0)))</f>
        <v/>
      </c>
      <c r="S229" s="35">
        <f>IF($K229="","",INDEX('سجل التحفيز'!$G$5:$G$2004,MATCH($K229,'سجل التحفيز'!$U$5:$U$2004,0)))</f>
        <v/>
      </c>
    </row>
    <row r="230">
      <c r="K230" s="36">
        <f>IF(177&gt;$B$10,"",177)</f>
        <v/>
      </c>
      <c r="L230" s="37">
        <f>IF($K230="","",INDEX('سجل التحفيز'!$A$5:$A$2004,MATCH($K230,'سجل التحفيز'!$U$5:$U$2004,0)))</f>
        <v/>
      </c>
      <c r="M230" s="9">
        <f>IF($K230="","",INDEX('سجل التحفيز'!$B$5:$B$2004,MATCH($K230,'سجل التحفيز'!$U$5:$U$2004,0)))</f>
        <v/>
      </c>
      <c r="N230" s="9">
        <f>IF($K230="","",INDEX('سجل التحفيز'!$M$5:$M$2004,MATCH($K230,'سجل التحفيز'!$U$5:$U$2004,0)))</f>
        <v/>
      </c>
      <c r="O230" s="9">
        <f>IF($K230="","",INDEX('سجل التحفيز'!$C$5:$C$2004,MATCH($K230,'سجل التحفيز'!$U$5:$U$2004,0)))</f>
        <v/>
      </c>
      <c r="P230" s="36">
        <f>IF($K230="","",INDEX('سجل التحفيز'!$D$5:$D$2004,MATCH($K230,'سجل التحفيز'!$U$5:$U$2004,0)))</f>
        <v/>
      </c>
      <c r="Q230" s="9">
        <f>IF($K230="","",INDEX('سجل التحفيز'!$E$5:$E$2004,MATCH($K230,'سجل التحفيز'!$U$5:$U$2004,0)))</f>
        <v/>
      </c>
      <c r="R230" s="9">
        <f>IF($K230="","",INDEX('سجل التحفيز'!$F$5:$F$2004,MATCH($K230,'سجل التحفيز'!$U$5:$U$2004,0)))</f>
        <v/>
      </c>
      <c r="S230" s="35">
        <f>IF($K230="","",INDEX('سجل التحفيز'!$G$5:$G$2004,MATCH($K230,'سجل التحفيز'!$U$5:$U$2004,0)))</f>
        <v/>
      </c>
    </row>
    <row r="231">
      <c r="K231" s="36">
        <f>IF(178&gt;$B$10,"",178)</f>
        <v/>
      </c>
      <c r="L231" s="37">
        <f>IF($K231="","",INDEX('سجل التحفيز'!$A$5:$A$2004,MATCH($K231,'سجل التحفيز'!$U$5:$U$2004,0)))</f>
        <v/>
      </c>
      <c r="M231" s="9">
        <f>IF($K231="","",INDEX('سجل التحفيز'!$B$5:$B$2004,MATCH($K231,'سجل التحفيز'!$U$5:$U$2004,0)))</f>
        <v/>
      </c>
      <c r="N231" s="9">
        <f>IF($K231="","",INDEX('سجل التحفيز'!$M$5:$M$2004,MATCH($K231,'سجل التحفيز'!$U$5:$U$2004,0)))</f>
        <v/>
      </c>
      <c r="O231" s="9">
        <f>IF($K231="","",INDEX('سجل التحفيز'!$C$5:$C$2004,MATCH($K231,'سجل التحفيز'!$U$5:$U$2004,0)))</f>
        <v/>
      </c>
      <c r="P231" s="36">
        <f>IF($K231="","",INDEX('سجل التحفيز'!$D$5:$D$2004,MATCH($K231,'سجل التحفيز'!$U$5:$U$2004,0)))</f>
        <v/>
      </c>
      <c r="Q231" s="9">
        <f>IF($K231="","",INDEX('سجل التحفيز'!$E$5:$E$2004,MATCH($K231,'سجل التحفيز'!$U$5:$U$2004,0)))</f>
        <v/>
      </c>
      <c r="R231" s="9">
        <f>IF($K231="","",INDEX('سجل التحفيز'!$F$5:$F$2004,MATCH($K231,'سجل التحفيز'!$U$5:$U$2004,0)))</f>
        <v/>
      </c>
      <c r="S231" s="35">
        <f>IF($K231="","",INDEX('سجل التحفيز'!$G$5:$G$2004,MATCH($K231,'سجل التحفيز'!$U$5:$U$2004,0)))</f>
        <v/>
      </c>
    </row>
    <row r="232">
      <c r="K232" s="36">
        <f>IF(179&gt;$B$10,"",179)</f>
        <v/>
      </c>
      <c r="L232" s="37">
        <f>IF($K232="","",INDEX('سجل التحفيز'!$A$5:$A$2004,MATCH($K232,'سجل التحفيز'!$U$5:$U$2004,0)))</f>
        <v/>
      </c>
      <c r="M232" s="9">
        <f>IF($K232="","",INDEX('سجل التحفيز'!$B$5:$B$2004,MATCH($K232,'سجل التحفيز'!$U$5:$U$2004,0)))</f>
        <v/>
      </c>
      <c r="N232" s="9">
        <f>IF($K232="","",INDEX('سجل التحفيز'!$M$5:$M$2004,MATCH($K232,'سجل التحفيز'!$U$5:$U$2004,0)))</f>
        <v/>
      </c>
      <c r="O232" s="9">
        <f>IF($K232="","",INDEX('سجل التحفيز'!$C$5:$C$2004,MATCH($K232,'سجل التحفيز'!$U$5:$U$2004,0)))</f>
        <v/>
      </c>
      <c r="P232" s="36">
        <f>IF($K232="","",INDEX('سجل التحفيز'!$D$5:$D$2004,MATCH($K232,'سجل التحفيز'!$U$5:$U$2004,0)))</f>
        <v/>
      </c>
      <c r="Q232" s="9">
        <f>IF($K232="","",INDEX('سجل التحفيز'!$E$5:$E$2004,MATCH($K232,'سجل التحفيز'!$U$5:$U$2004,0)))</f>
        <v/>
      </c>
      <c r="R232" s="9">
        <f>IF($K232="","",INDEX('سجل التحفيز'!$F$5:$F$2004,MATCH($K232,'سجل التحفيز'!$U$5:$U$2004,0)))</f>
        <v/>
      </c>
      <c r="S232" s="35">
        <f>IF($K232="","",INDEX('سجل التحفيز'!$G$5:$G$2004,MATCH($K232,'سجل التحفيز'!$U$5:$U$2004,0)))</f>
        <v/>
      </c>
    </row>
    <row r="233">
      <c r="K233" s="36">
        <f>IF(180&gt;$B$10,"",180)</f>
        <v/>
      </c>
      <c r="L233" s="37">
        <f>IF($K233="","",INDEX('سجل التحفيز'!$A$5:$A$2004,MATCH($K233,'سجل التحفيز'!$U$5:$U$2004,0)))</f>
        <v/>
      </c>
      <c r="M233" s="9">
        <f>IF($K233="","",INDEX('سجل التحفيز'!$B$5:$B$2004,MATCH($K233,'سجل التحفيز'!$U$5:$U$2004,0)))</f>
        <v/>
      </c>
      <c r="N233" s="9">
        <f>IF($K233="","",INDEX('سجل التحفيز'!$M$5:$M$2004,MATCH($K233,'سجل التحفيز'!$U$5:$U$2004,0)))</f>
        <v/>
      </c>
      <c r="O233" s="9">
        <f>IF($K233="","",INDEX('سجل التحفيز'!$C$5:$C$2004,MATCH($K233,'سجل التحفيز'!$U$5:$U$2004,0)))</f>
        <v/>
      </c>
      <c r="P233" s="36">
        <f>IF($K233="","",INDEX('سجل التحفيز'!$D$5:$D$2004,MATCH($K233,'سجل التحفيز'!$U$5:$U$2004,0)))</f>
        <v/>
      </c>
      <c r="Q233" s="9">
        <f>IF($K233="","",INDEX('سجل التحفيز'!$E$5:$E$2004,MATCH($K233,'سجل التحفيز'!$U$5:$U$2004,0)))</f>
        <v/>
      </c>
      <c r="R233" s="9">
        <f>IF($K233="","",INDEX('سجل التحفيز'!$F$5:$F$2004,MATCH($K233,'سجل التحفيز'!$U$5:$U$2004,0)))</f>
        <v/>
      </c>
      <c r="S233" s="35">
        <f>IF($K233="","",INDEX('سجل التحفيز'!$G$5:$G$2004,MATCH($K233,'سجل التحفيز'!$U$5:$U$2004,0)))</f>
        <v/>
      </c>
    </row>
    <row r="234">
      <c r="K234" s="36">
        <f>IF(181&gt;$B$10,"",181)</f>
        <v/>
      </c>
      <c r="L234" s="37">
        <f>IF($K234="","",INDEX('سجل التحفيز'!$A$5:$A$2004,MATCH($K234,'سجل التحفيز'!$U$5:$U$2004,0)))</f>
        <v/>
      </c>
      <c r="M234" s="9">
        <f>IF($K234="","",INDEX('سجل التحفيز'!$B$5:$B$2004,MATCH($K234,'سجل التحفيز'!$U$5:$U$2004,0)))</f>
        <v/>
      </c>
      <c r="N234" s="9">
        <f>IF($K234="","",INDEX('سجل التحفيز'!$M$5:$M$2004,MATCH($K234,'سجل التحفيز'!$U$5:$U$2004,0)))</f>
        <v/>
      </c>
      <c r="O234" s="9">
        <f>IF($K234="","",INDEX('سجل التحفيز'!$C$5:$C$2004,MATCH($K234,'سجل التحفيز'!$U$5:$U$2004,0)))</f>
        <v/>
      </c>
      <c r="P234" s="36">
        <f>IF($K234="","",INDEX('سجل التحفيز'!$D$5:$D$2004,MATCH($K234,'سجل التحفيز'!$U$5:$U$2004,0)))</f>
        <v/>
      </c>
      <c r="Q234" s="9">
        <f>IF($K234="","",INDEX('سجل التحفيز'!$E$5:$E$2004,MATCH($K234,'سجل التحفيز'!$U$5:$U$2004,0)))</f>
        <v/>
      </c>
      <c r="R234" s="9">
        <f>IF($K234="","",INDEX('سجل التحفيز'!$F$5:$F$2004,MATCH($K234,'سجل التحفيز'!$U$5:$U$2004,0)))</f>
        <v/>
      </c>
      <c r="S234" s="35">
        <f>IF($K234="","",INDEX('سجل التحفيز'!$G$5:$G$2004,MATCH($K234,'سجل التحفيز'!$U$5:$U$2004,0)))</f>
        <v/>
      </c>
    </row>
    <row r="235">
      <c r="K235" s="36">
        <f>IF(182&gt;$B$10,"",182)</f>
        <v/>
      </c>
      <c r="L235" s="37">
        <f>IF($K235="","",INDEX('سجل التحفيز'!$A$5:$A$2004,MATCH($K235,'سجل التحفيز'!$U$5:$U$2004,0)))</f>
        <v/>
      </c>
      <c r="M235" s="9">
        <f>IF($K235="","",INDEX('سجل التحفيز'!$B$5:$B$2004,MATCH($K235,'سجل التحفيز'!$U$5:$U$2004,0)))</f>
        <v/>
      </c>
      <c r="N235" s="9">
        <f>IF($K235="","",INDEX('سجل التحفيز'!$M$5:$M$2004,MATCH($K235,'سجل التحفيز'!$U$5:$U$2004,0)))</f>
        <v/>
      </c>
      <c r="O235" s="9">
        <f>IF($K235="","",INDEX('سجل التحفيز'!$C$5:$C$2004,MATCH($K235,'سجل التحفيز'!$U$5:$U$2004,0)))</f>
        <v/>
      </c>
      <c r="P235" s="36">
        <f>IF($K235="","",INDEX('سجل التحفيز'!$D$5:$D$2004,MATCH($K235,'سجل التحفيز'!$U$5:$U$2004,0)))</f>
        <v/>
      </c>
      <c r="Q235" s="9">
        <f>IF($K235="","",INDEX('سجل التحفيز'!$E$5:$E$2004,MATCH($K235,'سجل التحفيز'!$U$5:$U$2004,0)))</f>
        <v/>
      </c>
      <c r="R235" s="9">
        <f>IF($K235="","",INDEX('سجل التحفيز'!$F$5:$F$2004,MATCH($K235,'سجل التحفيز'!$U$5:$U$2004,0)))</f>
        <v/>
      </c>
      <c r="S235" s="35">
        <f>IF($K235="","",INDEX('سجل التحفيز'!$G$5:$G$2004,MATCH($K235,'سجل التحفيز'!$U$5:$U$2004,0)))</f>
        <v/>
      </c>
    </row>
    <row r="236">
      <c r="K236" s="36">
        <f>IF(183&gt;$B$10,"",183)</f>
        <v/>
      </c>
      <c r="L236" s="37">
        <f>IF($K236="","",INDEX('سجل التحفيز'!$A$5:$A$2004,MATCH($K236,'سجل التحفيز'!$U$5:$U$2004,0)))</f>
        <v/>
      </c>
      <c r="M236" s="9">
        <f>IF($K236="","",INDEX('سجل التحفيز'!$B$5:$B$2004,MATCH($K236,'سجل التحفيز'!$U$5:$U$2004,0)))</f>
        <v/>
      </c>
      <c r="N236" s="9">
        <f>IF($K236="","",INDEX('سجل التحفيز'!$M$5:$M$2004,MATCH($K236,'سجل التحفيز'!$U$5:$U$2004,0)))</f>
        <v/>
      </c>
      <c r="O236" s="9">
        <f>IF($K236="","",INDEX('سجل التحفيز'!$C$5:$C$2004,MATCH($K236,'سجل التحفيز'!$U$5:$U$2004,0)))</f>
        <v/>
      </c>
      <c r="P236" s="36">
        <f>IF($K236="","",INDEX('سجل التحفيز'!$D$5:$D$2004,MATCH($K236,'سجل التحفيز'!$U$5:$U$2004,0)))</f>
        <v/>
      </c>
      <c r="Q236" s="9">
        <f>IF($K236="","",INDEX('سجل التحفيز'!$E$5:$E$2004,MATCH($K236,'سجل التحفيز'!$U$5:$U$2004,0)))</f>
        <v/>
      </c>
      <c r="R236" s="9">
        <f>IF($K236="","",INDEX('سجل التحفيز'!$F$5:$F$2004,MATCH($K236,'سجل التحفيز'!$U$5:$U$2004,0)))</f>
        <v/>
      </c>
      <c r="S236" s="35">
        <f>IF($K236="","",INDEX('سجل التحفيز'!$G$5:$G$2004,MATCH($K236,'سجل التحفيز'!$U$5:$U$2004,0)))</f>
        <v/>
      </c>
    </row>
    <row r="237">
      <c r="K237" s="36">
        <f>IF(184&gt;$B$10,"",184)</f>
        <v/>
      </c>
      <c r="L237" s="37">
        <f>IF($K237="","",INDEX('سجل التحفيز'!$A$5:$A$2004,MATCH($K237,'سجل التحفيز'!$U$5:$U$2004,0)))</f>
        <v/>
      </c>
      <c r="M237" s="9">
        <f>IF($K237="","",INDEX('سجل التحفيز'!$B$5:$B$2004,MATCH($K237,'سجل التحفيز'!$U$5:$U$2004,0)))</f>
        <v/>
      </c>
      <c r="N237" s="9">
        <f>IF($K237="","",INDEX('سجل التحفيز'!$M$5:$M$2004,MATCH($K237,'سجل التحفيز'!$U$5:$U$2004,0)))</f>
        <v/>
      </c>
      <c r="O237" s="9">
        <f>IF($K237="","",INDEX('سجل التحفيز'!$C$5:$C$2004,MATCH($K237,'سجل التحفيز'!$U$5:$U$2004,0)))</f>
        <v/>
      </c>
      <c r="P237" s="36">
        <f>IF($K237="","",INDEX('سجل التحفيز'!$D$5:$D$2004,MATCH($K237,'سجل التحفيز'!$U$5:$U$2004,0)))</f>
        <v/>
      </c>
      <c r="Q237" s="9">
        <f>IF($K237="","",INDEX('سجل التحفيز'!$E$5:$E$2004,MATCH($K237,'سجل التحفيز'!$U$5:$U$2004,0)))</f>
        <v/>
      </c>
      <c r="R237" s="9">
        <f>IF($K237="","",INDEX('سجل التحفيز'!$F$5:$F$2004,MATCH($K237,'سجل التحفيز'!$U$5:$U$2004,0)))</f>
        <v/>
      </c>
      <c r="S237" s="35">
        <f>IF($K237="","",INDEX('سجل التحفيز'!$G$5:$G$2004,MATCH($K237,'سجل التحفيز'!$U$5:$U$2004,0)))</f>
        <v/>
      </c>
    </row>
    <row r="238">
      <c r="K238" s="36">
        <f>IF(185&gt;$B$10,"",185)</f>
        <v/>
      </c>
      <c r="L238" s="37">
        <f>IF($K238="","",INDEX('سجل التحفيز'!$A$5:$A$2004,MATCH($K238,'سجل التحفيز'!$U$5:$U$2004,0)))</f>
        <v/>
      </c>
      <c r="M238" s="9">
        <f>IF($K238="","",INDEX('سجل التحفيز'!$B$5:$B$2004,MATCH($K238,'سجل التحفيز'!$U$5:$U$2004,0)))</f>
        <v/>
      </c>
      <c r="N238" s="9">
        <f>IF($K238="","",INDEX('سجل التحفيز'!$M$5:$M$2004,MATCH($K238,'سجل التحفيز'!$U$5:$U$2004,0)))</f>
        <v/>
      </c>
      <c r="O238" s="9">
        <f>IF($K238="","",INDEX('سجل التحفيز'!$C$5:$C$2004,MATCH($K238,'سجل التحفيز'!$U$5:$U$2004,0)))</f>
        <v/>
      </c>
      <c r="P238" s="36">
        <f>IF($K238="","",INDEX('سجل التحفيز'!$D$5:$D$2004,MATCH($K238,'سجل التحفيز'!$U$5:$U$2004,0)))</f>
        <v/>
      </c>
      <c r="Q238" s="9">
        <f>IF($K238="","",INDEX('سجل التحفيز'!$E$5:$E$2004,MATCH($K238,'سجل التحفيز'!$U$5:$U$2004,0)))</f>
        <v/>
      </c>
      <c r="R238" s="9">
        <f>IF($K238="","",INDEX('سجل التحفيز'!$F$5:$F$2004,MATCH($K238,'سجل التحفيز'!$U$5:$U$2004,0)))</f>
        <v/>
      </c>
      <c r="S238" s="35">
        <f>IF($K238="","",INDEX('سجل التحفيز'!$G$5:$G$2004,MATCH($K238,'سجل التحفيز'!$U$5:$U$2004,0)))</f>
        <v/>
      </c>
    </row>
    <row r="239">
      <c r="K239" s="36">
        <f>IF(186&gt;$B$10,"",186)</f>
        <v/>
      </c>
      <c r="L239" s="37">
        <f>IF($K239="","",INDEX('سجل التحفيز'!$A$5:$A$2004,MATCH($K239,'سجل التحفيز'!$U$5:$U$2004,0)))</f>
        <v/>
      </c>
      <c r="M239" s="9">
        <f>IF($K239="","",INDEX('سجل التحفيز'!$B$5:$B$2004,MATCH($K239,'سجل التحفيز'!$U$5:$U$2004,0)))</f>
        <v/>
      </c>
      <c r="N239" s="9">
        <f>IF($K239="","",INDEX('سجل التحفيز'!$M$5:$M$2004,MATCH($K239,'سجل التحفيز'!$U$5:$U$2004,0)))</f>
        <v/>
      </c>
      <c r="O239" s="9">
        <f>IF($K239="","",INDEX('سجل التحفيز'!$C$5:$C$2004,MATCH($K239,'سجل التحفيز'!$U$5:$U$2004,0)))</f>
        <v/>
      </c>
      <c r="P239" s="36">
        <f>IF($K239="","",INDEX('سجل التحفيز'!$D$5:$D$2004,MATCH($K239,'سجل التحفيز'!$U$5:$U$2004,0)))</f>
        <v/>
      </c>
      <c r="Q239" s="9">
        <f>IF($K239="","",INDEX('سجل التحفيز'!$E$5:$E$2004,MATCH($K239,'سجل التحفيز'!$U$5:$U$2004,0)))</f>
        <v/>
      </c>
      <c r="R239" s="9">
        <f>IF($K239="","",INDEX('سجل التحفيز'!$F$5:$F$2004,MATCH($K239,'سجل التحفيز'!$U$5:$U$2004,0)))</f>
        <v/>
      </c>
      <c r="S239" s="35">
        <f>IF($K239="","",INDEX('سجل التحفيز'!$G$5:$G$2004,MATCH($K239,'سجل التحفيز'!$U$5:$U$2004,0)))</f>
        <v/>
      </c>
    </row>
    <row r="240">
      <c r="K240" s="36">
        <f>IF(187&gt;$B$10,"",187)</f>
        <v/>
      </c>
      <c r="L240" s="37">
        <f>IF($K240="","",INDEX('سجل التحفيز'!$A$5:$A$2004,MATCH($K240,'سجل التحفيز'!$U$5:$U$2004,0)))</f>
        <v/>
      </c>
      <c r="M240" s="9">
        <f>IF($K240="","",INDEX('سجل التحفيز'!$B$5:$B$2004,MATCH($K240,'سجل التحفيز'!$U$5:$U$2004,0)))</f>
        <v/>
      </c>
      <c r="N240" s="9">
        <f>IF($K240="","",INDEX('سجل التحفيز'!$M$5:$M$2004,MATCH($K240,'سجل التحفيز'!$U$5:$U$2004,0)))</f>
        <v/>
      </c>
      <c r="O240" s="9">
        <f>IF($K240="","",INDEX('سجل التحفيز'!$C$5:$C$2004,MATCH($K240,'سجل التحفيز'!$U$5:$U$2004,0)))</f>
        <v/>
      </c>
      <c r="P240" s="36">
        <f>IF($K240="","",INDEX('سجل التحفيز'!$D$5:$D$2004,MATCH($K240,'سجل التحفيز'!$U$5:$U$2004,0)))</f>
        <v/>
      </c>
      <c r="Q240" s="9">
        <f>IF($K240="","",INDEX('سجل التحفيز'!$E$5:$E$2004,MATCH($K240,'سجل التحفيز'!$U$5:$U$2004,0)))</f>
        <v/>
      </c>
      <c r="R240" s="9">
        <f>IF($K240="","",INDEX('سجل التحفيز'!$F$5:$F$2004,MATCH($K240,'سجل التحفيز'!$U$5:$U$2004,0)))</f>
        <v/>
      </c>
      <c r="S240" s="35">
        <f>IF($K240="","",INDEX('سجل التحفيز'!$G$5:$G$2004,MATCH($K240,'سجل التحفيز'!$U$5:$U$2004,0)))</f>
        <v/>
      </c>
    </row>
    <row r="241">
      <c r="K241" s="36">
        <f>IF(188&gt;$B$10,"",188)</f>
        <v/>
      </c>
      <c r="L241" s="37">
        <f>IF($K241="","",INDEX('سجل التحفيز'!$A$5:$A$2004,MATCH($K241,'سجل التحفيز'!$U$5:$U$2004,0)))</f>
        <v/>
      </c>
      <c r="M241" s="9">
        <f>IF($K241="","",INDEX('سجل التحفيز'!$B$5:$B$2004,MATCH($K241,'سجل التحفيز'!$U$5:$U$2004,0)))</f>
        <v/>
      </c>
      <c r="N241" s="9">
        <f>IF($K241="","",INDEX('سجل التحفيز'!$M$5:$M$2004,MATCH($K241,'سجل التحفيز'!$U$5:$U$2004,0)))</f>
        <v/>
      </c>
      <c r="O241" s="9">
        <f>IF($K241="","",INDEX('سجل التحفيز'!$C$5:$C$2004,MATCH($K241,'سجل التحفيز'!$U$5:$U$2004,0)))</f>
        <v/>
      </c>
      <c r="P241" s="36">
        <f>IF($K241="","",INDEX('سجل التحفيز'!$D$5:$D$2004,MATCH($K241,'سجل التحفيز'!$U$5:$U$2004,0)))</f>
        <v/>
      </c>
      <c r="Q241" s="9">
        <f>IF($K241="","",INDEX('سجل التحفيز'!$E$5:$E$2004,MATCH($K241,'سجل التحفيز'!$U$5:$U$2004,0)))</f>
        <v/>
      </c>
      <c r="R241" s="9">
        <f>IF($K241="","",INDEX('سجل التحفيز'!$F$5:$F$2004,MATCH($K241,'سجل التحفيز'!$U$5:$U$2004,0)))</f>
        <v/>
      </c>
      <c r="S241" s="35">
        <f>IF($K241="","",INDEX('سجل التحفيز'!$G$5:$G$2004,MATCH($K241,'سجل التحفيز'!$U$5:$U$2004,0)))</f>
        <v/>
      </c>
    </row>
    <row r="242">
      <c r="K242" s="36">
        <f>IF(189&gt;$B$10,"",189)</f>
        <v/>
      </c>
      <c r="L242" s="37">
        <f>IF($K242="","",INDEX('سجل التحفيز'!$A$5:$A$2004,MATCH($K242,'سجل التحفيز'!$U$5:$U$2004,0)))</f>
        <v/>
      </c>
      <c r="M242" s="9">
        <f>IF($K242="","",INDEX('سجل التحفيز'!$B$5:$B$2004,MATCH($K242,'سجل التحفيز'!$U$5:$U$2004,0)))</f>
        <v/>
      </c>
      <c r="N242" s="9">
        <f>IF($K242="","",INDEX('سجل التحفيز'!$M$5:$M$2004,MATCH($K242,'سجل التحفيز'!$U$5:$U$2004,0)))</f>
        <v/>
      </c>
      <c r="O242" s="9">
        <f>IF($K242="","",INDEX('سجل التحفيز'!$C$5:$C$2004,MATCH($K242,'سجل التحفيز'!$U$5:$U$2004,0)))</f>
        <v/>
      </c>
      <c r="P242" s="36">
        <f>IF($K242="","",INDEX('سجل التحفيز'!$D$5:$D$2004,MATCH($K242,'سجل التحفيز'!$U$5:$U$2004,0)))</f>
        <v/>
      </c>
      <c r="Q242" s="9">
        <f>IF($K242="","",INDEX('سجل التحفيز'!$E$5:$E$2004,MATCH($K242,'سجل التحفيز'!$U$5:$U$2004,0)))</f>
        <v/>
      </c>
      <c r="R242" s="9">
        <f>IF($K242="","",INDEX('سجل التحفيز'!$F$5:$F$2004,MATCH($K242,'سجل التحفيز'!$U$5:$U$2004,0)))</f>
        <v/>
      </c>
      <c r="S242" s="35">
        <f>IF($K242="","",INDEX('سجل التحفيز'!$G$5:$G$2004,MATCH($K242,'سجل التحفيز'!$U$5:$U$2004,0)))</f>
        <v/>
      </c>
    </row>
    <row r="243">
      <c r="K243" s="36">
        <f>IF(190&gt;$B$10,"",190)</f>
        <v/>
      </c>
      <c r="L243" s="37">
        <f>IF($K243="","",INDEX('سجل التحفيز'!$A$5:$A$2004,MATCH($K243,'سجل التحفيز'!$U$5:$U$2004,0)))</f>
        <v/>
      </c>
      <c r="M243" s="9">
        <f>IF($K243="","",INDEX('سجل التحفيز'!$B$5:$B$2004,MATCH($K243,'سجل التحفيز'!$U$5:$U$2004,0)))</f>
        <v/>
      </c>
      <c r="N243" s="9">
        <f>IF($K243="","",INDEX('سجل التحفيز'!$M$5:$M$2004,MATCH($K243,'سجل التحفيز'!$U$5:$U$2004,0)))</f>
        <v/>
      </c>
      <c r="O243" s="9">
        <f>IF($K243="","",INDEX('سجل التحفيز'!$C$5:$C$2004,MATCH($K243,'سجل التحفيز'!$U$5:$U$2004,0)))</f>
        <v/>
      </c>
      <c r="P243" s="36">
        <f>IF($K243="","",INDEX('سجل التحفيز'!$D$5:$D$2004,MATCH($K243,'سجل التحفيز'!$U$5:$U$2004,0)))</f>
        <v/>
      </c>
      <c r="Q243" s="9">
        <f>IF($K243="","",INDEX('سجل التحفيز'!$E$5:$E$2004,MATCH($K243,'سجل التحفيز'!$U$5:$U$2004,0)))</f>
        <v/>
      </c>
      <c r="R243" s="9">
        <f>IF($K243="","",INDEX('سجل التحفيز'!$F$5:$F$2004,MATCH($K243,'سجل التحفيز'!$U$5:$U$2004,0)))</f>
        <v/>
      </c>
      <c r="S243" s="35">
        <f>IF($K243="","",INDEX('سجل التحفيز'!$G$5:$G$2004,MATCH($K243,'سجل التحفيز'!$U$5:$U$2004,0)))</f>
        <v/>
      </c>
    </row>
    <row r="244">
      <c r="K244" s="36">
        <f>IF(191&gt;$B$10,"",191)</f>
        <v/>
      </c>
      <c r="L244" s="37">
        <f>IF($K244="","",INDEX('سجل التحفيز'!$A$5:$A$2004,MATCH($K244,'سجل التحفيز'!$U$5:$U$2004,0)))</f>
        <v/>
      </c>
      <c r="M244" s="9">
        <f>IF($K244="","",INDEX('سجل التحفيز'!$B$5:$B$2004,MATCH($K244,'سجل التحفيز'!$U$5:$U$2004,0)))</f>
        <v/>
      </c>
      <c r="N244" s="9">
        <f>IF($K244="","",INDEX('سجل التحفيز'!$M$5:$M$2004,MATCH($K244,'سجل التحفيز'!$U$5:$U$2004,0)))</f>
        <v/>
      </c>
      <c r="O244" s="9">
        <f>IF($K244="","",INDEX('سجل التحفيز'!$C$5:$C$2004,MATCH($K244,'سجل التحفيز'!$U$5:$U$2004,0)))</f>
        <v/>
      </c>
      <c r="P244" s="36">
        <f>IF($K244="","",INDEX('سجل التحفيز'!$D$5:$D$2004,MATCH($K244,'سجل التحفيز'!$U$5:$U$2004,0)))</f>
        <v/>
      </c>
      <c r="Q244" s="9">
        <f>IF($K244="","",INDEX('سجل التحفيز'!$E$5:$E$2004,MATCH($K244,'سجل التحفيز'!$U$5:$U$2004,0)))</f>
        <v/>
      </c>
      <c r="R244" s="9">
        <f>IF($K244="","",INDEX('سجل التحفيز'!$F$5:$F$2004,MATCH($K244,'سجل التحفيز'!$U$5:$U$2004,0)))</f>
        <v/>
      </c>
      <c r="S244" s="35">
        <f>IF($K244="","",INDEX('سجل التحفيز'!$G$5:$G$2004,MATCH($K244,'سجل التحفيز'!$U$5:$U$2004,0)))</f>
        <v/>
      </c>
    </row>
    <row r="245">
      <c r="K245" s="36">
        <f>IF(192&gt;$B$10,"",192)</f>
        <v/>
      </c>
      <c r="L245" s="37">
        <f>IF($K245="","",INDEX('سجل التحفيز'!$A$5:$A$2004,MATCH($K245,'سجل التحفيز'!$U$5:$U$2004,0)))</f>
        <v/>
      </c>
      <c r="M245" s="9">
        <f>IF($K245="","",INDEX('سجل التحفيز'!$B$5:$B$2004,MATCH($K245,'سجل التحفيز'!$U$5:$U$2004,0)))</f>
        <v/>
      </c>
      <c r="N245" s="9">
        <f>IF($K245="","",INDEX('سجل التحفيز'!$M$5:$M$2004,MATCH($K245,'سجل التحفيز'!$U$5:$U$2004,0)))</f>
        <v/>
      </c>
      <c r="O245" s="9">
        <f>IF($K245="","",INDEX('سجل التحفيز'!$C$5:$C$2004,MATCH($K245,'سجل التحفيز'!$U$5:$U$2004,0)))</f>
        <v/>
      </c>
      <c r="P245" s="36">
        <f>IF($K245="","",INDEX('سجل التحفيز'!$D$5:$D$2004,MATCH($K245,'سجل التحفيز'!$U$5:$U$2004,0)))</f>
        <v/>
      </c>
      <c r="Q245" s="9">
        <f>IF($K245="","",INDEX('سجل التحفيز'!$E$5:$E$2004,MATCH($K245,'سجل التحفيز'!$U$5:$U$2004,0)))</f>
        <v/>
      </c>
      <c r="R245" s="9">
        <f>IF($K245="","",INDEX('سجل التحفيز'!$F$5:$F$2004,MATCH($K245,'سجل التحفيز'!$U$5:$U$2004,0)))</f>
        <v/>
      </c>
      <c r="S245" s="35">
        <f>IF($K245="","",INDEX('سجل التحفيز'!$G$5:$G$2004,MATCH($K245,'سجل التحفيز'!$U$5:$U$2004,0)))</f>
        <v/>
      </c>
    </row>
    <row r="246">
      <c r="K246" s="36">
        <f>IF(193&gt;$B$10,"",193)</f>
        <v/>
      </c>
      <c r="L246" s="37">
        <f>IF($K246="","",INDEX('سجل التحفيز'!$A$5:$A$2004,MATCH($K246,'سجل التحفيز'!$U$5:$U$2004,0)))</f>
        <v/>
      </c>
      <c r="M246" s="9">
        <f>IF($K246="","",INDEX('سجل التحفيز'!$B$5:$B$2004,MATCH($K246,'سجل التحفيز'!$U$5:$U$2004,0)))</f>
        <v/>
      </c>
      <c r="N246" s="9">
        <f>IF($K246="","",INDEX('سجل التحفيز'!$M$5:$M$2004,MATCH($K246,'سجل التحفيز'!$U$5:$U$2004,0)))</f>
        <v/>
      </c>
      <c r="O246" s="9">
        <f>IF($K246="","",INDEX('سجل التحفيز'!$C$5:$C$2004,MATCH($K246,'سجل التحفيز'!$U$5:$U$2004,0)))</f>
        <v/>
      </c>
      <c r="P246" s="36">
        <f>IF($K246="","",INDEX('سجل التحفيز'!$D$5:$D$2004,MATCH($K246,'سجل التحفيز'!$U$5:$U$2004,0)))</f>
        <v/>
      </c>
      <c r="Q246" s="9">
        <f>IF($K246="","",INDEX('سجل التحفيز'!$E$5:$E$2004,MATCH($K246,'سجل التحفيز'!$U$5:$U$2004,0)))</f>
        <v/>
      </c>
      <c r="R246" s="9">
        <f>IF($K246="","",INDEX('سجل التحفيز'!$F$5:$F$2004,MATCH($K246,'سجل التحفيز'!$U$5:$U$2004,0)))</f>
        <v/>
      </c>
      <c r="S246" s="35">
        <f>IF($K246="","",INDEX('سجل التحفيز'!$G$5:$G$2004,MATCH($K246,'سجل التحفيز'!$U$5:$U$2004,0)))</f>
        <v/>
      </c>
    </row>
    <row r="247">
      <c r="K247" s="36">
        <f>IF(194&gt;$B$10,"",194)</f>
        <v/>
      </c>
      <c r="L247" s="37">
        <f>IF($K247="","",INDEX('سجل التحفيز'!$A$5:$A$2004,MATCH($K247,'سجل التحفيز'!$U$5:$U$2004,0)))</f>
        <v/>
      </c>
      <c r="M247" s="9">
        <f>IF($K247="","",INDEX('سجل التحفيز'!$B$5:$B$2004,MATCH($K247,'سجل التحفيز'!$U$5:$U$2004,0)))</f>
        <v/>
      </c>
      <c r="N247" s="9">
        <f>IF($K247="","",INDEX('سجل التحفيز'!$M$5:$M$2004,MATCH($K247,'سجل التحفيز'!$U$5:$U$2004,0)))</f>
        <v/>
      </c>
      <c r="O247" s="9">
        <f>IF($K247="","",INDEX('سجل التحفيز'!$C$5:$C$2004,MATCH($K247,'سجل التحفيز'!$U$5:$U$2004,0)))</f>
        <v/>
      </c>
      <c r="P247" s="36">
        <f>IF($K247="","",INDEX('سجل التحفيز'!$D$5:$D$2004,MATCH($K247,'سجل التحفيز'!$U$5:$U$2004,0)))</f>
        <v/>
      </c>
      <c r="Q247" s="9">
        <f>IF($K247="","",INDEX('سجل التحفيز'!$E$5:$E$2004,MATCH($K247,'سجل التحفيز'!$U$5:$U$2004,0)))</f>
        <v/>
      </c>
      <c r="R247" s="9">
        <f>IF($K247="","",INDEX('سجل التحفيز'!$F$5:$F$2004,MATCH($K247,'سجل التحفيز'!$U$5:$U$2004,0)))</f>
        <v/>
      </c>
      <c r="S247" s="35">
        <f>IF($K247="","",INDEX('سجل التحفيز'!$G$5:$G$2004,MATCH($K247,'سجل التحفيز'!$U$5:$U$2004,0)))</f>
        <v/>
      </c>
    </row>
    <row r="248">
      <c r="K248" s="36">
        <f>IF(195&gt;$B$10,"",195)</f>
        <v/>
      </c>
      <c r="L248" s="37">
        <f>IF($K248="","",INDEX('سجل التحفيز'!$A$5:$A$2004,MATCH($K248,'سجل التحفيز'!$U$5:$U$2004,0)))</f>
        <v/>
      </c>
      <c r="M248" s="9">
        <f>IF($K248="","",INDEX('سجل التحفيز'!$B$5:$B$2004,MATCH($K248,'سجل التحفيز'!$U$5:$U$2004,0)))</f>
        <v/>
      </c>
      <c r="N248" s="9">
        <f>IF($K248="","",INDEX('سجل التحفيز'!$M$5:$M$2004,MATCH($K248,'سجل التحفيز'!$U$5:$U$2004,0)))</f>
        <v/>
      </c>
      <c r="O248" s="9">
        <f>IF($K248="","",INDEX('سجل التحفيز'!$C$5:$C$2004,MATCH($K248,'سجل التحفيز'!$U$5:$U$2004,0)))</f>
        <v/>
      </c>
      <c r="P248" s="36">
        <f>IF($K248="","",INDEX('سجل التحفيز'!$D$5:$D$2004,MATCH($K248,'سجل التحفيز'!$U$5:$U$2004,0)))</f>
        <v/>
      </c>
      <c r="Q248" s="9">
        <f>IF($K248="","",INDEX('سجل التحفيز'!$E$5:$E$2004,MATCH($K248,'سجل التحفيز'!$U$5:$U$2004,0)))</f>
        <v/>
      </c>
      <c r="R248" s="9">
        <f>IF($K248="","",INDEX('سجل التحفيز'!$F$5:$F$2004,MATCH($K248,'سجل التحفيز'!$U$5:$U$2004,0)))</f>
        <v/>
      </c>
      <c r="S248" s="35">
        <f>IF($K248="","",INDEX('سجل التحفيز'!$G$5:$G$2004,MATCH($K248,'سجل التحفيز'!$U$5:$U$2004,0)))</f>
        <v/>
      </c>
    </row>
    <row r="249">
      <c r="K249" s="36">
        <f>IF(196&gt;$B$10,"",196)</f>
        <v/>
      </c>
      <c r="L249" s="37">
        <f>IF($K249="","",INDEX('سجل التحفيز'!$A$5:$A$2004,MATCH($K249,'سجل التحفيز'!$U$5:$U$2004,0)))</f>
        <v/>
      </c>
      <c r="M249" s="9">
        <f>IF($K249="","",INDEX('سجل التحفيز'!$B$5:$B$2004,MATCH($K249,'سجل التحفيز'!$U$5:$U$2004,0)))</f>
        <v/>
      </c>
      <c r="N249" s="9">
        <f>IF($K249="","",INDEX('سجل التحفيز'!$M$5:$M$2004,MATCH($K249,'سجل التحفيز'!$U$5:$U$2004,0)))</f>
        <v/>
      </c>
      <c r="O249" s="9">
        <f>IF($K249="","",INDEX('سجل التحفيز'!$C$5:$C$2004,MATCH($K249,'سجل التحفيز'!$U$5:$U$2004,0)))</f>
        <v/>
      </c>
      <c r="P249" s="36">
        <f>IF($K249="","",INDEX('سجل التحفيز'!$D$5:$D$2004,MATCH($K249,'سجل التحفيز'!$U$5:$U$2004,0)))</f>
        <v/>
      </c>
      <c r="Q249" s="9">
        <f>IF($K249="","",INDEX('سجل التحفيز'!$E$5:$E$2004,MATCH($K249,'سجل التحفيز'!$U$5:$U$2004,0)))</f>
        <v/>
      </c>
      <c r="R249" s="9">
        <f>IF($K249="","",INDEX('سجل التحفيز'!$F$5:$F$2004,MATCH($K249,'سجل التحفيز'!$U$5:$U$2004,0)))</f>
        <v/>
      </c>
      <c r="S249" s="35">
        <f>IF($K249="","",INDEX('سجل التحفيز'!$G$5:$G$2004,MATCH($K249,'سجل التحفيز'!$U$5:$U$2004,0)))</f>
        <v/>
      </c>
    </row>
    <row r="250">
      <c r="K250" s="36">
        <f>IF(197&gt;$B$10,"",197)</f>
        <v/>
      </c>
      <c r="L250" s="37">
        <f>IF($K250="","",INDEX('سجل التحفيز'!$A$5:$A$2004,MATCH($K250,'سجل التحفيز'!$U$5:$U$2004,0)))</f>
        <v/>
      </c>
      <c r="M250" s="9">
        <f>IF($K250="","",INDEX('سجل التحفيز'!$B$5:$B$2004,MATCH($K250,'سجل التحفيز'!$U$5:$U$2004,0)))</f>
        <v/>
      </c>
      <c r="N250" s="9">
        <f>IF($K250="","",INDEX('سجل التحفيز'!$M$5:$M$2004,MATCH($K250,'سجل التحفيز'!$U$5:$U$2004,0)))</f>
        <v/>
      </c>
      <c r="O250" s="9">
        <f>IF($K250="","",INDEX('سجل التحفيز'!$C$5:$C$2004,MATCH($K250,'سجل التحفيز'!$U$5:$U$2004,0)))</f>
        <v/>
      </c>
      <c r="P250" s="36">
        <f>IF($K250="","",INDEX('سجل التحفيز'!$D$5:$D$2004,MATCH($K250,'سجل التحفيز'!$U$5:$U$2004,0)))</f>
        <v/>
      </c>
      <c r="Q250" s="9">
        <f>IF($K250="","",INDEX('سجل التحفيز'!$E$5:$E$2004,MATCH($K250,'سجل التحفيز'!$U$5:$U$2004,0)))</f>
        <v/>
      </c>
      <c r="R250" s="9">
        <f>IF($K250="","",INDEX('سجل التحفيز'!$F$5:$F$2004,MATCH($K250,'سجل التحفيز'!$U$5:$U$2004,0)))</f>
        <v/>
      </c>
      <c r="S250" s="35">
        <f>IF($K250="","",INDEX('سجل التحفيز'!$G$5:$G$2004,MATCH($K250,'سجل التحفيز'!$U$5:$U$2004,0)))</f>
        <v/>
      </c>
    </row>
    <row r="251">
      <c r="K251" s="36">
        <f>IF(198&gt;$B$10,"",198)</f>
        <v/>
      </c>
      <c r="L251" s="37">
        <f>IF($K251="","",INDEX('سجل التحفيز'!$A$5:$A$2004,MATCH($K251,'سجل التحفيز'!$U$5:$U$2004,0)))</f>
        <v/>
      </c>
      <c r="M251" s="9">
        <f>IF($K251="","",INDEX('سجل التحفيز'!$B$5:$B$2004,MATCH($K251,'سجل التحفيز'!$U$5:$U$2004,0)))</f>
        <v/>
      </c>
      <c r="N251" s="9">
        <f>IF($K251="","",INDEX('سجل التحفيز'!$M$5:$M$2004,MATCH($K251,'سجل التحفيز'!$U$5:$U$2004,0)))</f>
        <v/>
      </c>
      <c r="O251" s="9">
        <f>IF($K251="","",INDEX('سجل التحفيز'!$C$5:$C$2004,MATCH($K251,'سجل التحفيز'!$U$5:$U$2004,0)))</f>
        <v/>
      </c>
      <c r="P251" s="36">
        <f>IF($K251="","",INDEX('سجل التحفيز'!$D$5:$D$2004,MATCH($K251,'سجل التحفيز'!$U$5:$U$2004,0)))</f>
        <v/>
      </c>
      <c r="Q251" s="9">
        <f>IF($K251="","",INDEX('سجل التحفيز'!$E$5:$E$2004,MATCH($K251,'سجل التحفيز'!$U$5:$U$2004,0)))</f>
        <v/>
      </c>
      <c r="R251" s="9">
        <f>IF($K251="","",INDEX('سجل التحفيز'!$F$5:$F$2004,MATCH($K251,'سجل التحفيز'!$U$5:$U$2004,0)))</f>
        <v/>
      </c>
      <c r="S251" s="35">
        <f>IF($K251="","",INDEX('سجل التحفيز'!$G$5:$G$2004,MATCH($K251,'سجل التحفيز'!$U$5:$U$2004,0)))</f>
        <v/>
      </c>
    </row>
    <row r="252">
      <c r="K252" s="36">
        <f>IF(199&gt;$B$10,"",199)</f>
        <v/>
      </c>
      <c r="L252" s="37">
        <f>IF($K252="","",INDEX('سجل التحفيز'!$A$5:$A$2004,MATCH($K252,'سجل التحفيز'!$U$5:$U$2004,0)))</f>
        <v/>
      </c>
      <c r="M252" s="9">
        <f>IF($K252="","",INDEX('سجل التحفيز'!$B$5:$B$2004,MATCH($K252,'سجل التحفيز'!$U$5:$U$2004,0)))</f>
        <v/>
      </c>
      <c r="N252" s="9">
        <f>IF($K252="","",INDEX('سجل التحفيز'!$M$5:$M$2004,MATCH($K252,'سجل التحفيز'!$U$5:$U$2004,0)))</f>
        <v/>
      </c>
      <c r="O252" s="9">
        <f>IF($K252="","",INDEX('سجل التحفيز'!$C$5:$C$2004,MATCH($K252,'سجل التحفيز'!$U$5:$U$2004,0)))</f>
        <v/>
      </c>
      <c r="P252" s="36">
        <f>IF($K252="","",INDEX('سجل التحفيز'!$D$5:$D$2004,MATCH($K252,'سجل التحفيز'!$U$5:$U$2004,0)))</f>
        <v/>
      </c>
      <c r="Q252" s="9">
        <f>IF($K252="","",INDEX('سجل التحفيز'!$E$5:$E$2004,MATCH($K252,'سجل التحفيز'!$U$5:$U$2004,0)))</f>
        <v/>
      </c>
      <c r="R252" s="9">
        <f>IF($K252="","",INDEX('سجل التحفيز'!$F$5:$F$2004,MATCH($K252,'سجل التحفيز'!$U$5:$U$2004,0)))</f>
        <v/>
      </c>
      <c r="S252" s="35">
        <f>IF($K252="","",INDEX('سجل التحفيز'!$G$5:$G$2004,MATCH($K252,'سجل التحفيز'!$U$5:$U$2004,0)))</f>
        <v/>
      </c>
    </row>
    <row r="253">
      <c r="K253" s="36">
        <f>IF(200&gt;$B$10,"",200)</f>
        <v/>
      </c>
      <c r="L253" s="37">
        <f>IF($K253="","",INDEX('سجل التحفيز'!$A$5:$A$2004,MATCH($K253,'سجل التحفيز'!$U$5:$U$2004,0)))</f>
        <v/>
      </c>
      <c r="M253" s="9">
        <f>IF($K253="","",INDEX('سجل التحفيز'!$B$5:$B$2004,MATCH($K253,'سجل التحفيز'!$U$5:$U$2004,0)))</f>
        <v/>
      </c>
      <c r="N253" s="9">
        <f>IF($K253="","",INDEX('سجل التحفيز'!$M$5:$M$2004,MATCH($K253,'سجل التحفيز'!$U$5:$U$2004,0)))</f>
        <v/>
      </c>
      <c r="O253" s="9">
        <f>IF($K253="","",INDEX('سجل التحفيز'!$C$5:$C$2004,MATCH($K253,'سجل التحفيز'!$U$5:$U$2004,0)))</f>
        <v/>
      </c>
      <c r="P253" s="36">
        <f>IF($K253="","",INDEX('سجل التحفيز'!$D$5:$D$2004,MATCH($K253,'سجل التحفيز'!$U$5:$U$2004,0)))</f>
        <v/>
      </c>
      <c r="Q253" s="9">
        <f>IF($K253="","",INDEX('سجل التحفيز'!$E$5:$E$2004,MATCH($K253,'سجل التحفيز'!$U$5:$U$2004,0)))</f>
        <v/>
      </c>
      <c r="R253" s="9">
        <f>IF($K253="","",INDEX('سجل التحفيز'!$F$5:$F$2004,MATCH($K253,'سجل التحفيز'!$U$5:$U$2004,0)))</f>
        <v/>
      </c>
      <c r="S253" s="35">
        <f>IF($K253="","",INDEX('سجل التحفيز'!$G$5:$G$2004,MATCH($K253,'سجل التحفيز'!$U$5:$U$2004,0)))</f>
        <v/>
      </c>
    </row>
    <row r="254">
      <c r="K254" s="36">
        <f>IF(201&gt;$B$10,"",201)</f>
        <v/>
      </c>
      <c r="L254" s="37">
        <f>IF($K254="","",INDEX('سجل التحفيز'!$A$5:$A$2004,MATCH($K254,'سجل التحفيز'!$U$5:$U$2004,0)))</f>
        <v/>
      </c>
      <c r="M254" s="9">
        <f>IF($K254="","",INDEX('سجل التحفيز'!$B$5:$B$2004,MATCH($K254,'سجل التحفيز'!$U$5:$U$2004,0)))</f>
        <v/>
      </c>
      <c r="N254" s="9">
        <f>IF($K254="","",INDEX('سجل التحفيز'!$M$5:$M$2004,MATCH($K254,'سجل التحفيز'!$U$5:$U$2004,0)))</f>
        <v/>
      </c>
      <c r="O254" s="9">
        <f>IF($K254="","",INDEX('سجل التحفيز'!$C$5:$C$2004,MATCH($K254,'سجل التحفيز'!$U$5:$U$2004,0)))</f>
        <v/>
      </c>
      <c r="P254" s="36">
        <f>IF($K254="","",INDEX('سجل التحفيز'!$D$5:$D$2004,MATCH($K254,'سجل التحفيز'!$U$5:$U$2004,0)))</f>
        <v/>
      </c>
      <c r="Q254" s="9">
        <f>IF($K254="","",INDEX('سجل التحفيز'!$E$5:$E$2004,MATCH($K254,'سجل التحفيز'!$U$5:$U$2004,0)))</f>
        <v/>
      </c>
      <c r="R254" s="9">
        <f>IF($K254="","",INDEX('سجل التحفيز'!$F$5:$F$2004,MATCH($K254,'سجل التحفيز'!$U$5:$U$2004,0)))</f>
        <v/>
      </c>
      <c r="S254" s="35">
        <f>IF($K254="","",INDEX('سجل التحفيز'!$G$5:$G$2004,MATCH($K254,'سجل التحفيز'!$U$5:$U$2004,0)))</f>
        <v/>
      </c>
    </row>
    <row r="255">
      <c r="K255" s="36">
        <f>IF(202&gt;$B$10,"",202)</f>
        <v/>
      </c>
      <c r="L255" s="37">
        <f>IF($K255="","",INDEX('سجل التحفيز'!$A$5:$A$2004,MATCH($K255,'سجل التحفيز'!$U$5:$U$2004,0)))</f>
        <v/>
      </c>
      <c r="M255" s="9">
        <f>IF($K255="","",INDEX('سجل التحفيز'!$B$5:$B$2004,MATCH($K255,'سجل التحفيز'!$U$5:$U$2004,0)))</f>
        <v/>
      </c>
      <c r="N255" s="9">
        <f>IF($K255="","",INDEX('سجل التحفيز'!$M$5:$M$2004,MATCH($K255,'سجل التحفيز'!$U$5:$U$2004,0)))</f>
        <v/>
      </c>
      <c r="O255" s="9">
        <f>IF($K255="","",INDEX('سجل التحفيز'!$C$5:$C$2004,MATCH($K255,'سجل التحفيز'!$U$5:$U$2004,0)))</f>
        <v/>
      </c>
      <c r="P255" s="36">
        <f>IF($K255="","",INDEX('سجل التحفيز'!$D$5:$D$2004,MATCH($K255,'سجل التحفيز'!$U$5:$U$2004,0)))</f>
        <v/>
      </c>
      <c r="Q255" s="9">
        <f>IF($K255="","",INDEX('سجل التحفيز'!$E$5:$E$2004,MATCH($K255,'سجل التحفيز'!$U$5:$U$2004,0)))</f>
        <v/>
      </c>
      <c r="R255" s="9">
        <f>IF($K255="","",INDEX('سجل التحفيز'!$F$5:$F$2004,MATCH($K255,'سجل التحفيز'!$U$5:$U$2004,0)))</f>
        <v/>
      </c>
      <c r="S255" s="35">
        <f>IF($K255="","",INDEX('سجل التحفيز'!$G$5:$G$2004,MATCH($K255,'سجل التحفيز'!$U$5:$U$2004,0)))</f>
        <v/>
      </c>
    </row>
    <row r="256">
      <c r="K256" s="36">
        <f>IF(203&gt;$B$10,"",203)</f>
        <v/>
      </c>
      <c r="L256" s="37">
        <f>IF($K256="","",INDEX('سجل التحفيز'!$A$5:$A$2004,MATCH($K256,'سجل التحفيز'!$U$5:$U$2004,0)))</f>
        <v/>
      </c>
      <c r="M256" s="9">
        <f>IF($K256="","",INDEX('سجل التحفيز'!$B$5:$B$2004,MATCH($K256,'سجل التحفيز'!$U$5:$U$2004,0)))</f>
        <v/>
      </c>
      <c r="N256" s="9">
        <f>IF($K256="","",INDEX('سجل التحفيز'!$M$5:$M$2004,MATCH($K256,'سجل التحفيز'!$U$5:$U$2004,0)))</f>
        <v/>
      </c>
      <c r="O256" s="9">
        <f>IF($K256="","",INDEX('سجل التحفيز'!$C$5:$C$2004,MATCH($K256,'سجل التحفيز'!$U$5:$U$2004,0)))</f>
        <v/>
      </c>
      <c r="P256" s="36">
        <f>IF($K256="","",INDEX('سجل التحفيز'!$D$5:$D$2004,MATCH($K256,'سجل التحفيز'!$U$5:$U$2004,0)))</f>
        <v/>
      </c>
      <c r="Q256" s="9">
        <f>IF($K256="","",INDEX('سجل التحفيز'!$E$5:$E$2004,MATCH($K256,'سجل التحفيز'!$U$5:$U$2004,0)))</f>
        <v/>
      </c>
      <c r="R256" s="9">
        <f>IF($K256="","",INDEX('سجل التحفيز'!$F$5:$F$2004,MATCH($K256,'سجل التحفيز'!$U$5:$U$2004,0)))</f>
        <v/>
      </c>
      <c r="S256" s="35">
        <f>IF($K256="","",INDEX('سجل التحفيز'!$G$5:$G$2004,MATCH($K256,'سجل التحفيز'!$U$5:$U$2004,0)))</f>
        <v/>
      </c>
    </row>
    <row r="257">
      <c r="K257" s="36">
        <f>IF(204&gt;$B$10,"",204)</f>
        <v/>
      </c>
      <c r="L257" s="37">
        <f>IF($K257="","",INDEX('سجل التحفيز'!$A$5:$A$2004,MATCH($K257,'سجل التحفيز'!$U$5:$U$2004,0)))</f>
        <v/>
      </c>
      <c r="M257" s="9">
        <f>IF($K257="","",INDEX('سجل التحفيز'!$B$5:$B$2004,MATCH($K257,'سجل التحفيز'!$U$5:$U$2004,0)))</f>
        <v/>
      </c>
      <c r="N257" s="9">
        <f>IF($K257="","",INDEX('سجل التحفيز'!$M$5:$M$2004,MATCH($K257,'سجل التحفيز'!$U$5:$U$2004,0)))</f>
        <v/>
      </c>
      <c r="O257" s="9">
        <f>IF($K257="","",INDEX('سجل التحفيز'!$C$5:$C$2004,MATCH($K257,'سجل التحفيز'!$U$5:$U$2004,0)))</f>
        <v/>
      </c>
      <c r="P257" s="36">
        <f>IF($K257="","",INDEX('سجل التحفيز'!$D$5:$D$2004,MATCH($K257,'سجل التحفيز'!$U$5:$U$2004,0)))</f>
        <v/>
      </c>
      <c r="Q257" s="9">
        <f>IF($K257="","",INDEX('سجل التحفيز'!$E$5:$E$2004,MATCH($K257,'سجل التحفيز'!$U$5:$U$2004,0)))</f>
        <v/>
      </c>
      <c r="R257" s="9">
        <f>IF($K257="","",INDEX('سجل التحفيز'!$F$5:$F$2004,MATCH($K257,'سجل التحفيز'!$U$5:$U$2004,0)))</f>
        <v/>
      </c>
      <c r="S257" s="35">
        <f>IF($K257="","",INDEX('سجل التحفيز'!$G$5:$G$2004,MATCH($K257,'سجل التحفيز'!$U$5:$U$2004,0)))</f>
        <v/>
      </c>
    </row>
    <row r="258">
      <c r="K258" s="36">
        <f>IF(205&gt;$B$10,"",205)</f>
        <v/>
      </c>
      <c r="L258" s="37">
        <f>IF($K258="","",INDEX('سجل التحفيز'!$A$5:$A$2004,MATCH($K258,'سجل التحفيز'!$U$5:$U$2004,0)))</f>
        <v/>
      </c>
      <c r="M258" s="9">
        <f>IF($K258="","",INDEX('سجل التحفيز'!$B$5:$B$2004,MATCH($K258,'سجل التحفيز'!$U$5:$U$2004,0)))</f>
        <v/>
      </c>
      <c r="N258" s="9">
        <f>IF($K258="","",INDEX('سجل التحفيز'!$M$5:$M$2004,MATCH($K258,'سجل التحفيز'!$U$5:$U$2004,0)))</f>
        <v/>
      </c>
      <c r="O258" s="9">
        <f>IF($K258="","",INDEX('سجل التحفيز'!$C$5:$C$2004,MATCH($K258,'سجل التحفيز'!$U$5:$U$2004,0)))</f>
        <v/>
      </c>
      <c r="P258" s="36">
        <f>IF($K258="","",INDEX('سجل التحفيز'!$D$5:$D$2004,MATCH($K258,'سجل التحفيز'!$U$5:$U$2004,0)))</f>
        <v/>
      </c>
      <c r="Q258" s="9">
        <f>IF($K258="","",INDEX('سجل التحفيز'!$E$5:$E$2004,MATCH($K258,'سجل التحفيز'!$U$5:$U$2004,0)))</f>
        <v/>
      </c>
      <c r="R258" s="9">
        <f>IF($K258="","",INDEX('سجل التحفيز'!$F$5:$F$2004,MATCH($K258,'سجل التحفيز'!$U$5:$U$2004,0)))</f>
        <v/>
      </c>
      <c r="S258" s="35">
        <f>IF($K258="","",INDEX('سجل التحفيز'!$G$5:$G$2004,MATCH($K258,'سجل التحفيز'!$U$5:$U$2004,0)))</f>
        <v/>
      </c>
    </row>
    <row r="259">
      <c r="K259" s="36">
        <f>IF(206&gt;$B$10,"",206)</f>
        <v/>
      </c>
      <c r="L259" s="37">
        <f>IF($K259="","",INDEX('سجل التحفيز'!$A$5:$A$2004,MATCH($K259,'سجل التحفيز'!$U$5:$U$2004,0)))</f>
        <v/>
      </c>
      <c r="M259" s="9">
        <f>IF($K259="","",INDEX('سجل التحفيز'!$B$5:$B$2004,MATCH($K259,'سجل التحفيز'!$U$5:$U$2004,0)))</f>
        <v/>
      </c>
      <c r="N259" s="9">
        <f>IF($K259="","",INDEX('سجل التحفيز'!$M$5:$M$2004,MATCH($K259,'سجل التحفيز'!$U$5:$U$2004,0)))</f>
        <v/>
      </c>
      <c r="O259" s="9">
        <f>IF($K259="","",INDEX('سجل التحفيز'!$C$5:$C$2004,MATCH($K259,'سجل التحفيز'!$U$5:$U$2004,0)))</f>
        <v/>
      </c>
      <c r="P259" s="36">
        <f>IF($K259="","",INDEX('سجل التحفيز'!$D$5:$D$2004,MATCH($K259,'سجل التحفيز'!$U$5:$U$2004,0)))</f>
        <v/>
      </c>
      <c r="Q259" s="9">
        <f>IF($K259="","",INDEX('سجل التحفيز'!$E$5:$E$2004,MATCH($K259,'سجل التحفيز'!$U$5:$U$2004,0)))</f>
        <v/>
      </c>
      <c r="R259" s="9">
        <f>IF($K259="","",INDEX('سجل التحفيز'!$F$5:$F$2004,MATCH($K259,'سجل التحفيز'!$U$5:$U$2004,0)))</f>
        <v/>
      </c>
      <c r="S259" s="35">
        <f>IF($K259="","",INDEX('سجل التحفيز'!$G$5:$G$2004,MATCH($K259,'سجل التحفيز'!$U$5:$U$2004,0)))</f>
        <v/>
      </c>
    </row>
    <row r="260">
      <c r="K260" s="36">
        <f>IF(207&gt;$B$10,"",207)</f>
        <v/>
      </c>
      <c r="L260" s="37">
        <f>IF($K260="","",INDEX('سجل التحفيز'!$A$5:$A$2004,MATCH($K260,'سجل التحفيز'!$U$5:$U$2004,0)))</f>
        <v/>
      </c>
      <c r="M260" s="9">
        <f>IF($K260="","",INDEX('سجل التحفيز'!$B$5:$B$2004,MATCH($K260,'سجل التحفيز'!$U$5:$U$2004,0)))</f>
        <v/>
      </c>
      <c r="N260" s="9">
        <f>IF($K260="","",INDEX('سجل التحفيز'!$M$5:$M$2004,MATCH($K260,'سجل التحفيز'!$U$5:$U$2004,0)))</f>
        <v/>
      </c>
      <c r="O260" s="9">
        <f>IF($K260="","",INDEX('سجل التحفيز'!$C$5:$C$2004,MATCH($K260,'سجل التحفيز'!$U$5:$U$2004,0)))</f>
        <v/>
      </c>
      <c r="P260" s="36">
        <f>IF($K260="","",INDEX('سجل التحفيز'!$D$5:$D$2004,MATCH($K260,'سجل التحفيز'!$U$5:$U$2004,0)))</f>
        <v/>
      </c>
      <c r="Q260" s="9">
        <f>IF($K260="","",INDEX('سجل التحفيز'!$E$5:$E$2004,MATCH($K260,'سجل التحفيز'!$U$5:$U$2004,0)))</f>
        <v/>
      </c>
      <c r="R260" s="9">
        <f>IF($K260="","",INDEX('سجل التحفيز'!$F$5:$F$2004,MATCH($K260,'سجل التحفيز'!$U$5:$U$2004,0)))</f>
        <v/>
      </c>
      <c r="S260" s="35">
        <f>IF($K260="","",INDEX('سجل التحفيز'!$G$5:$G$2004,MATCH($K260,'سجل التحفيز'!$U$5:$U$2004,0)))</f>
        <v/>
      </c>
    </row>
    <row r="261">
      <c r="K261" s="36">
        <f>IF(208&gt;$B$10,"",208)</f>
        <v/>
      </c>
      <c r="L261" s="37">
        <f>IF($K261="","",INDEX('سجل التحفيز'!$A$5:$A$2004,MATCH($K261,'سجل التحفيز'!$U$5:$U$2004,0)))</f>
        <v/>
      </c>
      <c r="M261" s="9">
        <f>IF($K261="","",INDEX('سجل التحفيز'!$B$5:$B$2004,MATCH($K261,'سجل التحفيز'!$U$5:$U$2004,0)))</f>
        <v/>
      </c>
      <c r="N261" s="9">
        <f>IF($K261="","",INDEX('سجل التحفيز'!$M$5:$M$2004,MATCH($K261,'سجل التحفيز'!$U$5:$U$2004,0)))</f>
        <v/>
      </c>
      <c r="O261" s="9">
        <f>IF($K261="","",INDEX('سجل التحفيز'!$C$5:$C$2004,MATCH($K261,'سجل التحفيز'!$U$5:$U$2004,0)))</f>
        <v/>
      </c>
      <c r="P261" s="36">
        <f>IF($K261="","",INDEX('سجل التحفيز'!$D$5:$D$2004,MATCH($K261,'سجل التحفيز'!$U$5:$U$2004,0)))</f>
        <v/>
      </c>
      <c r="Q261" s="9">
        <f>IF($K261="","",INDEX('سجل التحفيز'!$E$5:$E$2004,MATCH($K261,'سجل التحفيز'!$U$5:$U$2004,0)))</f>
        <v/>
      </c>
      <c r="R261" s="9">
        <f>IF($K261="","",INDEX('سجل التحفيز'!$F$5:$F$2004,MATCH($K261,'سجل التحفيز'!$U$5:$U$2004,0)))</f>
        <v/>
      </c>
      <c r="S261" s="35">
        <f>IF($K261="","",INDEX('سجل التحفيز'!$G$5:$G$2004,MATCH($K261,'سجل التحفيز'!$U$5:$U$2004,0)))</f>
        <v/>
      </c>
    </row>
    <row r="262">
      <c r="K262" s="36">
        <f>IF(209&gt;$B$10,"",209)</f>
        <v/>
      </c>
      <c r="L262" s="37">
        <f>IF($K262="","",INDEX('سجل التحفيز'!$A$5:$A$2004,MATCH($K262,'سجل التحفيز'!$U$5:$U$2004,0)))</f>
        <v/>
      </c>
      <c r="M262" s="9">
        <f>IF($K262="","",INDEX('سجل التحفيز'!$B$5:$B$2004,MATCH($K262,'سجل التحفيز'!$U$5:$U$2004,0)))</f>
        <v/>
      </c>
      <c r="N262" s="9">
        <f>IF($K262="","",INDEX('سجل التحفيز'!$M$5:$M$2004,MATCH($K262,'سجل التحفيز'!$U$5:$U$2004,0)))</f>
        <v/>
      </c>
      <c r="O262" s="9">
        <f>IF($K262="","",INDEX('سجل التحفيز'!$C$5:$C$2004,MATCH($K262,'سجل التحفيز'!$U$5:$U$2004,0)))</f>
        <v/>
      </c>
      <c r="P262" s="36">
        <f>IF($K262="","",INDEX('سجل التحفيز'!$D$5:$D$2004,MATCH($K262,'سجل التحفيز'!$U$5:$U$2004,0)))</f>
        <v/>
      </c>
      <c r="Q262" s="9">
        <f>IF($K262="","",INDEX('سجل التحفيز'!$E$5:$E$2004,MATCH($K262,'سجل التحفيز'!$U$5:$U$2004,0)))</f>
        <v/>
      </c>
      <c r="R262" s="9">
        <f>IF($K262="","",INDEX('سجل التحفيز'!$F$5:$F$2004,MATCH($K262,'سجل التحفيز'!$U$5:$U$2004,0)))</f>
        <v/>
      </c>
      <c r="S262" s="35">
        <f>IF($K262="","",INDEX('سجل التحفيز'!$G$5:$G$2004,MATCH($K262,'سجل التحفيز'!$U$5:$U$2004,0)))</f>
        <v/>
      </c>
    </row>
    <row r="263">
      <c r="K263" s="36">
        <f>IF(210&gt;$B$10,"",210)</f>
        <v/>
      </c>
      <c r="L263" s="37">
        <f>IF($K263="","",INDEX('سجل التحفيز'!$A$5:$A$2004,MATCH($K263,'سجل التحفيز'!$U$5:$U$2004,0)))</f>
        <v/>
      </c>
      <c r="M263" s="9">
        <f>IF($K263="","",INDEX('سجل التحفيز'!$B$5:$B$2004,MATCH($K263,'سجل التحفيز'!$U$5:$U$2004,0)))</f>
        <v/>
      </c>
      <c r="N263" s="9">
        <f>IF($K263="","",INDEX('سجل التحفيز'!$M$5:$M$2004,MATCH($K263,'سجل التحفيز'!$U$5:$U$2004,0)))</f>
        <v/>
      </c>
      <c r="O263" s="9">
        <f>IF($K263="","",INDEX('سجل التحفيز'!$C$5:$C$2004,MATCH($K263,'سجل التحفيز'!$U$5:$U$2004,0)))</f>
        <v/>
      </c>
      <c r="P263" s="36">
        <f>IF($K263="","",INDEX('سجل التحفيز'!$D$5:$D$2004,MATCH($K263,'سجل التحفيز'!$U$5:$U$2004,0)))</f>
        <v/>
      </c>
      <c r="Q263" s="9">
        <f>IF($K263="","",INDEX('سجل التحفيز'!$E$5:$E$2004,MATCH($K263,'سجل التحفيز'!$U$5:$U$2004,0)))</f>
        <v/>
      </c>
      <c r="R263" s="9">
        <f>IF($K263="","",INDEX('سجل التحفيز'!$F$5:$F$2004,MATCH($K263,'سجل التحفيز'!$U$5:$U$2004,0)))</f>
        <v/>
      </c>
      <c r="S263" s="35">
        <f>IF($K263="","",INDEX('سجل التحفيز'!$G$5:$G$2004,MATCH($K263,'سجل التحفيز'!$U$5:$U$2004,0)))</f>
        <v/>
      </c>
    </row>
    <row r="264">
      <c r="K264" s="36">
        <f>IF(211&gt;$B$10,"",211)</f>
        <v/>
      </c>
      <c r="L264" s="37">
        <f>IF($K264="","",INDEX('سجل التحفيز'!$A$5:$A$2004,MATCH($K264,'سجل التحفيز'!$U$5:$U$2004,0)))</f>
        <v/>
      </c>
      <c r="M264" s="9">
        <f>IF($K264="","",INDEX('سجل التحفيز'!$B$5:$B$2004,MATCH($K264,'سجل التحفيز'!$U$5:$U$2004,0)))</f>
        <v/>
      </c>
      <c r="N264" s="9">
        <f>IF($K264="","",INDEX('سجل التحفيز'!$M$5:$M$2004,MATCH($K264,'سجل التحفيز'!$U$5:$U$2004,0)))</f>
        <v/>
      </c>
      <c r="O264" s="9">
        <f>IF($K264="","",INDEX('سجل التحفيز'!$C$5:$C$2004,MATCH($K264,'سجل التحفيز'!$U$5:$U$2004,0)))</f>
        <v/>
      </c>
      <c r="P264" s="36">
        <f>IF($K264="","",INDEX('سجل التحفيز'!$D$5:$D$2004,MATCH($K264,'سجل التحفيز'!$U$5:$U$2004,0)))</f>
        <v/>
      </c>
      <c r="Q264" s="9">
        <f>IF($K264="","",INDEX('سجل التحفيز'!$E$5:$E$2004,MATCH($K264,'سجل التحفيز'!$U$5:$U$2004,0)))</f>
        <v/>
      </c>
      <c r="R264" s="9">
        <f>IF($K264="","",INDEX('سجل التحفيز'!$F$5:$F$2004,MATCH($K264,'سجل التحفيز'!$U$5:$U$2004,0)))</f>
        <v/>
      </c>
      <c r="S264" s="35">
        <f>IF($K264="","",INDEX('سجل التحفيز'!$G$5:$G$2004,MATCH($K264,'سجل التحفيز'!$U$5:$U$2004,0)))</f>
        <v/>
      </c>
    </row>
    <row r="265">
      <c r="K265" s="36">
        <f>IF(212&gt;$B$10,"",212)</f>
        <v/>
      </c>
      <c r="L265" s="37">
        <f>IF($K265="","",INDEX('سجل التحفيز'!$A$5:$A$2004,MATCH($K265,'سجل التحفيز'!$U$5:$U$2004,0)))</f>
        <v/>
      </c>
      <c r="M265" s="9">
        <f>IF($K265="","",INDEX('سجل التحفيز'!$B$5:$B$2004,MATCH($K265,'سجل التحفيز'!$U$5:$U$2004,0)))</f>
        <v/>
      </c>
      <c r="N265" s="9">
        <f>IF($K265="","",INDEX('سجل التحفيز'!$M$5:$M$2004,MATCH($K265,'سجل التحفيز'!$U$5:$U$2004,0)))</f>
        <v/>
      </c>
      <c r="O265" s="9">
        <f>IF($K265="","",INDEX('سجل التحفيز'!$C$5:$C$2004,MATCH($K265,'سجل التحفيز'!$U$5:$U$2004,0)))</f>
        <v/>
      </c>
      <c r="P265" s="36">
        <f>IF($K265="","",INDEX('سجل التحفيز'!$D$5:$D$2004,MATCH($K265,'سجل التحفيز'!$U$5:$U$2004,0)))</f>
        <v/>
      </c>
      <c r="Q265" s="9">
        <f>IF($K265="","",INDEX('سجل التحفيز'!$E$5:$E$2004,MATCH($K265,'سجل التحفيز'!$U$5:$U$2004,0)))</f>
        <v/>
      </c>
      <c r="R265" s="9">
        <f>IF($K265="","",INDEX('سجل التحفيز'!$F$5:$F$2004,MATCH($K265,'سجل التحفيز'!$U$5:$U$2004,0)))</f>
        <v/>
      </c>
      <c r="S265" s="35">
        <f>IF($K265="","",INDEX('سجل التحفيز'!$G$5:$G$2004,MATCH($K265,'سجل التحفيز'!$U$5:$U$2004,0)))</f>
        <v/>
      </c>
    </row>
    <row r="266">
      <c r="K266" s="36">
        <f>IF(213&gt;$B$10,"",213)</f>
        <v/>
      </c>
      <c r="L266" s="37">
        <f>IF($K266="","",INDEX('سجل التحفيز'!$A$5:$A$2004,MATCH($K266,'سجل التحفيز'!$U$5:$U$2004,0)))</f>
        <v/>
      </c>
      <c r="M266" s="9">
        <f>IF($K266="","",INDEX('سجل التحفيز'!$B$5:$B$2004,MATCH($K266,'سجل التحفيز'!$U$5:$U$2004,0)))</f>
        <v/>
      </c>
      <c r="N266" s="9">
        <f>IF($K266="","",INDEX('سجل التحفيز'!$M$5:$M$2004,MATCH($K266,'سجل التحفيز'!$U$5:$U$2004,0)))</f>
        <v/>
      </c>
      <c r="O266" s="9">
        <f>IF($K266="","",INDEX('سجل التحفيز'!$C$5:$C$2004,MATCH($K266,'سجل التحفيز'!$U$5:$U$2004,0)))</f>
        <v/>
      </c>
      <c r="P266" s="36">
        <f>IF($K266="","",INDEX('سجل التحفيز'!$D$5:$D$2004,MATCH($K266,'سجل التحفيز'!$U$5:$U$2004,0)))</f>
        <v/>
      </c>
      <c r="Q266" s="9">
        <f>IF($K266="","",INDEX('سجل التحفيز'!$E$5:$E$2004,MATCH($K266,'سجل التحفيز'!$U$5:$U$2004,0)))</f>
        <v/>
      </c>
      <c r="R266" s="9">
        <f>IF($K266="","",INDEX('سجل التحفيز'!$F$5:$F$2004,MATCH($K266,'سجل التحفيز'!$U$5:$U$2004,0)))</f>
        <v/>
      </c>
      <c r="S266" s="35">
        <f>IF($K266="","",INDEX('سجل التحفيز'!$G$5:$G$2004,MATCH($K266,'سجل التحفيز'!$U$5:$U$2004,0)))</f>
        <v/>
      </c>
    </row>
    <row r="267">
      <c r="K267" s="36">
        <f>IF(214&gt;$B$10,"",214)</f>
        <v/>
      </c>
      <c r="L267" s="37">
        <f>IF($K267="","",INDEX('سجل التحفيز'!$A$5:$A$2004,MATCH($K267,'سجل التحفيز'!$U$5:$U$2004,0)))</f>
        <v/>
      </c>
      <c r="M267" s="9">
        <f>IF($K267="","",INDEX('سجل التحفيز'!$B$5:$B$2004,MATCH($K267,'سجل التحفيز'!$U$5:$U$2004,0)))</f>
        <v/>
      </c>
      <c r="N267" s="9">
        <f>IF($K267="","",INDEX('سجل التحفيز'!$M$5:$M$2004,MATCH($K267,'سجل التحفيز'!$U$5:$U$2004,0)))</f>
        <v/>
      </c>
      <c r="O267" s="9">
        <f>IF($K267="","",INDEX('سجل التحفيز'!$C$5:$C$2004,MATCH($K267,'سجل التحفيز'!$U$5:$U$2004,0)))</f>
        <v/>
      </c>
      <c r="P267" s="36">
        <f>IF($K267="","",INDEX('سجل التحفيز'!$D$5:$D$2004,MATCH($K267,'سجل التحفيز'!$U$5:$U$2004,0)))</f>
        <v/>
      </c>
      <c r="Q267" s="9">
        <f>IF($K267="","",INDEX('سجل التحفيز'!$E$5:$E$2004,MATCH($K267,'سجل التحفيز'!$U$5:$U$2004,0)))</f>
        <v/>
      </c>
      <c r="R267" s="9">
        <f>IF($K267="","",INDEX('سجل التحفيز'!$F$5:$F$2004,MATCH($K267,'سجل التحفيز'!$U$5:$U$2004,0)))</f>
        <v/>
      </c>
      <c r="S267" s="35">
        <f>IF($K267="","",INDEX('سجل التحفيز'!$G$5:$G$2004,MATCH($K267,'سجل التحفيز'!$U$5:$U$2004,0)))</f>
        <v/>
      </c>
    </row>
    <row r="268">
      <c r="K268" s="36">
        <f>IF(215&gt;$B$10,"",215)</f>
        <v/>
      </c>
      <c r="L268" s="37">
        <f>IF($K268="","",INDEX('سجل التحفيز'!$A$5:$A$2004,MATCH($K268,'سجل التحفيز'!$U$5:$U$2004,0)))</f>
        <v/>
      </c>
      <c r="M268" s="9">
        <f>IF($K268="","",INDEX('سجل التحفيز'!$B$5:$B$2004,MATCH($K268,'سجل التحفيز'!$U$5:$U$2004,0)))</f>
        <v/>
      </c>
      <c r="N268" s="9">
        <f>IF($K268="","",INDEX('سجل التحفيز'!$M$5:$M$2004,MATCH($K268,'سجل التحفيز'!$U$5:$U$2004,0)))</f>
        <v/>
      </c>
      <c r="O268" s="9">
        <f>IF($K268="","",INDEX('سجل التحفيز'!$C$5:$C$2004,MATCH($K268,'سجل التحفيز'!$U$5:$U$2004,0)))</f>
        <v/>
      </c>
      <c r="P268" s="36">
        <f>IF($K268="","",INDEX('سجل التحفيز'!$D$5:$D$2004,MATCH($K268,'سجل التحفيز'!$U$5:$U$2004,0)))</f>
        <v/>
      </c>
      <c r="Q268" s="9">
        <f>IF($K268="","",INDEX('سجل التحفيز'!$E$5:$E$2004,MATCH($K268,'سجل التحفيز'!$U$5:$U$2004,0)))</f>
        <v/>
      </c>
      <c r="R268" s="9">
        <f>IF($K268="","",INDEX('سجل التحفيز'!$F$5:$F$2004,MATCH($K268,'سجل التحفيز'!$U$5:$U$2004,0)))</f>
        <v/>
      </c>
      <c r="S268" s="35">
        <f>IF($K268="","",INDEX('سجل التحفيز'!$G$5:$G$2004,MATCH($K268,'سجل التحفيز'!$U$5:$U$2004,0)))</f>
        <v/>
      </c>
    </row>
    <row r="269">
      <c r="K269" s="36">
        <f>IF(216&gt;$B$10,"",216)</f>
        <v/>
      </c>
      <c r="L269" s="37">
        <f>IF($K269="","",INDEX('سجل التحفيز'!$A$5:$A$2004,MATCH($K269,'سجل التحفيز'!$U$5:$U$2004,0)))</f>
        <v/>
      </c>
      <c r="M269" s="9">
        <f>IF($K269="","",INDEX('سجل التحفيز'!$B$5:$B$2004,MATCH($K269,'سجل التحفيز'!$U$5:$U$2004,0)))</f>
        <v/>
      </c>
      <c r="N269" s="9">
        <f>IF($K269="","",INDEX('سجل التحفيز'!$M$5:$M$2004,MATCH($K269,'سجل التحفيز'!$U$5:$U$2004,0)))</f>
        <v/>
      </c>
      <c r="O269" s="9">
        <f>IF($K269="","",INDEX('سجل التحفيز'!$C$5:$C$2004,MATCH($K269,'سجل التحفيز'!$U$5:$U$2004,0)))</f>
        <v/>
      </c>
      <c r="P269" s="36">
        <f>IF($K269="","",INDEX('سجل التحفيز'!$D$5:$D$2004,MATCH($K269,'سجل التحفيز'!$U$5:$U$2004,0)))</f>
        <v/>
      </c>
      <c r="Q269" s="9">
        <f>IF($K269="","",INDEX('سجل التحفيز'!$E$5:$E$2004,MATCH($K269,'سجل التحفيز'!$U$5:$U$2004,0)))</f>
        <v/>
      </c>
      <c r="R269" s="9">
        <f>IF($K269="","",INDEX('سجل التحفيز'!$F$5:$F$2004,MATCH($K269,'سجل التحفيز'!$U$5:$U$2004,0)))</f>
        <v/>
      </c>
      <c r="S269" s="35">
        <f>IF($K269="","",INDEX('سجل التحفيز'!$G$5:$G$2004,MATCH($K269,'سجل التحفيز'!$U$5:$U$2004,0)))</f>
        <v/>
      </c>
    </row>
    <row r="270">
      <c r="K270" s="36">
        <f>IF(217&gt;$B$10,"",217)</f>
        <v/>
      </c>
      <c r="L270" s="37">
        <f>IF($K270="","",INDEX('سجل التحفيز'!$A$5:$A$2004,MATCH($K270,'سجل التحفيز'!$U$5:$U$2004,0)))</f>
        <v/>
      </c>
      <c r="M270" s="9">
        <f>IF($K270="","",INDEX('سجل التحفيز'!$B$5:$B$2004,MATCH($K270,'سجل التحفيز'!$U$5:$U$2004,0)))</f>
        <v/>
      </c>
      <c r="N270" s="9">
        <f>IF($K270="","",INDEX('سجل التحفيز'!$M$5:$M$2004,MATCH($K270,'سجل التحفيز'!$U$5:$U$2004,0)))</f>
        <v/>
      </c>
      <c r="O270" s="9">
        <f>IF($K270="","",INDEX('سجل التحفيز'!$C$5:$C$2004,MATCH($K270,'سجل التحفيز'!$U$5:$U$2004,0)))</f>
        <v/>
      </c>
      <c r="P270" s="36">
        <f>IF($K270="","",INDEX('سجل التحفيز'!$D$5:$D$2004,MATCH($K270,'سجل التحفيز'!$U$5:$U$2004,0)))</f>
        <v/>
      </c>
      <c r="Q270" s="9">
        <f>IF($K270="","",INDEX('سجل التحفيز'!$E$5:$E$2004,MATCH($K270,'سجل التحفيز'!$U$5:$U$2004,0)))</f>
        <v/>
      </c>
      <c r="R270" s="9">
        <f>IF($K270="","",INDEX('سجل التحفيز'!$F$5:$F$2004,MATCH($K270,'سجل التحفيز'!$U$5:$U$2004,0)))</f>
        <v/>
      </c>
      <c r="S270" s="35">
        <f>IF($K270="","",INDEX('سجل التحفيز'!$G$5:$G$2004,MATCH($K270,'سجل التحفيز'!$U$5:$U$2004,0)))</f>
        <v/>
      </c>
    </row>
    <row r="271">
      <c r="K271" s="36">
        <f>IF(218&gt;$B$10,"",218)</f>
        <v/>
      </c>
      <c r="L271" s="37">
        <f>IF($K271="","",INDEX('سجل التحفيز'!$A$5:$A$2004,MATCH($K271,'سجل التحفيز'!$U$5:$U$2004,0)))</f>
        <v/>
      </c>
      <c r="M271" s="9">
        <f>IF($K271="","",INDEX('سجل التحفيز'!$B$5:$B$2004,MATCH($K271,'سجل التحفيز'!$U$5:$U$2004,0)))</f>
        <v/>
      </c>
      <c r="N271" s="9">
        <f>IF($K271="","",INDEX('سجل التحفيز'!$M$5:$M$2004,MATCH($K271,'سجل التحفيز'!$U$5:$U$2004,0)))</f>
        <v/>
      </c>
      <c r="O271" s="9">
        <f>IF($K271="","",INDEX('سجل التحفيز'!$C$5:$C$2004,MATCH($K271,'سجل التحفيز'!$U$5:$U$2004,0)))</f>
        <v/>
      </c>
      <c r="P271" s="36">
        <f>IF($K271="","",INDEX('سجل التحفيز'!$D$5:$D$2004,MATCH($K271,'سجل التحفيز'!$U$5:$U$2004,0)))</f>
        <v/>
      </c>
      <c r="Q271" s="9">
        <f>IF($K271="","",INDEX('سجل التحفيز'!$E$5:$E$2004,MATCH($K271,'سجل التحفيز'!$U$5:$U$2004,0)))</f>
        <v/>
      </c>
      <c r="R271" s="9">
        <f>IF($K271="","",INDEX('سجل التحفيز'!$F$5:$F$2004,MATCH($K271,'سجل التحفيز'!$U$5:$U$2004,0)))</f>
        <v/>
      </c>
      <c r="S271" s="35">
        <f>IF($K271="","",INDEX('سجل التحفيز'!$G$5:$G$2004,MATCH($K271,'سجل التحفيز'!$U$5:$U$2004,0)))</f>
        <v/>
      </c>
    </row>
    <row r="272">
      <c r="K272" s="36">
        <f>IF(219&gt;$B$10,"",219)</f>
        <v/>
      </c>
      <c r="L272" s="37">
        <f>IF($K272="","",INDEX('سجل التحفيز'!$A$5:$A$2004,MATCH($K272,'سجل التحفيز'!$U$5:$U$2004,0)))</f>
        <v/>
      </c>
      <c r="M272" s="9">
        <f>IF($K272="","",INDEX('سجل التحفيز'!$B$5:$B$2004,MATCH($K272,'سجل التحفيز'!$U$5:$U$2004,0)))</f>
        <v/>
      </c>
      <c r="N272" s="9">
        <f>IF($K272="","",INDEX('سجل التحفيز'!$M$5:$M$2004,MATCH($K272,'سجل التحفيز'!$U$5:$U$2004,0)))</f>
        <v/>
      </c>
      <c r="O272" s="9">
        <f>IF($K272="","",INDEX('سجل التحفيز'!$C$5:$C$2004,MATCH($K272,'سجل التحفيز'!$U$5:$U$2004,0)))</f>
        <v/>
      </c>
      <c r="P272" s="36">
        <f>IF($K272="","",INDEX('سجل التحفيز'!$D$5:$D$2004,MATCH($K272,'سجل التحفيز'!$U$5:$U$2004,0)))</f>
        <v/>
      </c>
      <c r="Q272" s="9">
        <f>IF($K272="","",INDEX('سجل التحفيز'!$E$5:$E$2004,MATCH($K272,'سجل التحفيز'!$U$5:$U$2004,0)))</f>
        <v/>
      </c>
      <c r="R272" s="9">
        <f>IF($K272="","",INDEX('سجل التحفيز'!$F$5:$F$2004,MATCH($K272,'سجل التحفيز'!$U$5:$U$2004,0)))</f>
        <v/>
      </c>
      <c r="S272" s="35">
        <f>IF($K272="","",INDEX('سجل التحفيز'!$G$5:$G$2004,MATCH($K272,'سجل التحفيز'!$U$5:$U$2004,0)))</f>
        <v/>
      </c>
    </row>
    <row r="273">
      <c r="K273" s="36">
        <f>IF(220&gt;$B$10,"",220)</f>
        <v/>
      </c>
      <c r="L273" s="37">
        <f>IF($K273="","",INDEX('سجل التحفيز'!$A$5:$A$2004,MATCH($K273,'سجل التحفيز'!$U$5:$U$2004,0)))</f>
        <v/>
      </c>
      <c r="M273" s="9">
        <f>IF($K273="","",INDEX('سجل التحفيز'!$B$5:$B$2004,MATCH($K273,'سجل التحفيز'!$U$5:$U$2004,0)))</f>
        <v/>
      </c>
      <c r="N273" s="9">
        <f>IF($K273="","",INDEX('سجل التحفيز'!$M$5:$M$2004,MATCH($K273,'سجل التحفيز'!$U$5:$U$2004,0)))</f>
        <v/>
      </c>
      <c r="O273" s="9">
        <f>IF($K273="","",INDEX('سجل التحفيز'!$C$5:$C$2004,MATCH($K273,'سجل التحفيز'!$U$5:$U$2004,0)))</f>
        <v/>
      </c>
      <c r="P273" s="36">
        <f>IF($K273="","",INDEX('سجل التحفيز'!$D$5:$D$2004,MATCH($K273,'سجل التحفيز'!$U$5:$U$2004,0)))</f>
        <v/>
      </c>
      <c r="Q273" s="9">
        <f>IF($K273="","",INDEX('سجل التحفيز'!$E$5:$E$2004,MATCH($K273,'سجل التحفيز'!$U$5:$U$2004,0)))</f>
        <v/>
      </c>
      <c r="R273" s="9">
        <f>IF($K273="","",INDEX('سجل التحفيز'!$F$5:$F$2004,MATCH($K273,'سجل التحفيز'!$U$5:$U$2004,0)))</f>
        <v/>
      </c>
      <c r="S273" s="35">
        <f>IF($K273="","",INDEX('سجل التحفيز'!$G$5:$G$2004,MATCH($K273,'سجل التحفيز'!$U$5:$U$2004,0)))</f>
        <v/>
      </c>
    </row>
    <row r="274">
      <c r="K274" s="36">
        <f>IF(221&gt;$B$10,"",221)</f>
        <v/>
      </c>
      <c r="L274" s="37">
        <f>IF($K274="","",INDEX('سجل التحفيز'!$A$5:$A$2004,MATCH($K274,'سجل التحفيز'!$U$5:$U$2004,0)))</f>
        <v/>
      </c>
      <c r="M274" s="9">
        <f>IF($K274="","",INDEX('سجل التحفيز'!$B$5:$B$2004,MATCH($K274,'سجل التحفيز'!$U$5:$U$2004,0)))</f>
        <v/>
      </c>
      <c r="N274" s="9">
        <f>IF($K274="","",INDEX('سجل التحفيز'!$M$5:$M$2004,MATCH($K274,'سجل التحفيز'!$U$5:$U$2004,0)))</f>
        <v/>
      </c>
      <c r="O274" s="9">
        <f>IF($K274="","",INDEX('سجل التحفيز'!$C$5:$C$2004,MATCH($K274,'سجل التحفيز'!$U$5:$U$2004,0)))</f>
        <v/>
      </c>
      <c r="P274" s="36">
        <f>IF($K274="","",INDEX('سجل التحفيز'!$D$5:$D$2004,MATCH($K274,'سجل التحفيز'!$U$5:$U$2004,0)))</f>
        <v/>
      </c>
      <c r="Q274" s="9">
        <f>IF($K274="","",INDEX('سجل التحفيز'!$E$5:$E$2004,MATCH($K274,'سجل التحفيز'!$U$5:$U$2004,0)))</f>
        <v/>
      </c>
      <c r="R274" s="9">
        <f>IF($K274="","",INDEX('سجل التحفيز'!$F$5:$F$2004,MATCH($K274,'سجل التحفيز'!$U$5:$U$2004,0)))</f>
        <v/>
      </c>
      <c r="S274" s="35">
        <f>IF($K274="","",INDEX('سجل التحفيز'!$G$5:$G$2004,MATCH($K274,'سجل التحفيز'!$U$5:$U$2004,0)))</f>
        <v/>
      </c>
    </row>
    <row r="275">
      <c r="K275" s="36">
        <f>IF(222&gt;$B$10,"",222)</f>
        <v/>
      </c>
      <c r="L275" s="37">
        <f>IF($K275="","",INDEX('سجل التحفيز'!$A$5:$A$2004,MATCH($K275,'سجل التحفيز'!$U$5:$U$2004,0)))</f>
        <v/>
      </c>
      <c r="M275" s="9">
        <f>IF($K275="","",INDEX('سجل التحفيز'!$B$5:$B$2004,MATCH($K275,'سجل التحفيز'!$U$5:$U$2004,0)))</f>
        <v/>
      </c>
      <c r="N275" s="9">
        <f>IF($K275="","",INDEX('سجل التحفيز'!$M$5:$M$2004,MATCH($K275,'سجل التحفيز'!$U$5:$U$2004,0)))</f>
        <v/>
      </c>
      <c r="O275" s="9">
        <f>IF($K275="","",INDEX('سجل التحفيز'!$C$5:$C$2004,MATCH($K275,'سجل التحفيز'!$U$5:$U$2004,0)))</f>
        <v/>
      </c>
      <c r="P275" s="36">
        <f>IF($K275="","",INDEX('سجل التحفيز'!$D$5:$D$2004,MATCH($K275,'سجل التحفيز'!$U$5:$U$2004,0)))</f>
        <v/>
      </c>
      <c r="Q275" s="9">
        <f>IF($K275="","",INDEX('سجل التحفيز'!$E$5:$E$2004,MATCH($K275,'سجل التحفيز'!$U$5:$U$2004,0)))</f>
        <v/>
      </c>
      <c r="R275" s="9">
        <f>IF($K275="","",INDEX('سجل التحفيز'!$F$5:$F$2004,MATCH($K275,'سجل التحفيز'!$U$5:$U$2004,0)))</f>
        <v/>
      </c>
      <c r="S275" s="35">
        <f>IF($K275="","",INDEX('سجل التحفيز'!$G$5:$G$2004,MATCH($K275,'سجل التحفيز'!$U$5:$U$2004,0)))</f>
        <v/>
      </c>
    </row>
    <row r="276">
      <c r="K276" s="36">
        <f>IF(223&gt;$B$10,"",223)</f>
        <v/>
      </c>
      <c r="L276" s="37">
        <f>IF($K276="","",INDEX('سجل التحفيز'!$A$5:$A$2004,MATCH($K276,'سجل التحفيز'!$U$5:$U$2004,0)))</f>
        <v/>
      </c>
      <c r="M276" s="9">
        <f>IF($K276="","",INDEX('سجل التحفيز'!$B$5:$B$2004,MATCH($K276,'سجل التحفيز'!$U$5:$U$2004,0)))</f>
        <v/>
      </c>
      <c r="N276" s="9">
        <f>IF($K276="","",INDEX('سجل التحفيز'!$M$5:$M$2004,MATCH($K276,'سجل التحفيز'!$U$5:$U$2004,0)))</f>
        <v/>
      </c>
      <c r="O276" s="9">
        <f>IF($K276="","",INDEX('سجل التحفيز'!$C$5:$C$2004,MATCH($K276,'سجل التحفيز'!$U$5:$U$2004,0)))</f>
        <v/>
      </c>
      <c r="P276" s="36">
        <f>IF($K276="","",INDEX('سجل التحفيز'!$D$5:$D$2004,MATCH($K276,'سجل التحفيز'!$U$5:$U$2004,0)))</f>
        <v/>
      </c>
      <c r="Q276" s="9">
        <f>IF($K276="","",INDEX('سجل التحفيز'!$E$5:$E$2004,MATCH($K276,'سجل التحفيز'!$U$5:$U$2004,0)))</f>
        <v/>
      </c>
      <c r="R276" s="9">
        <f>IF($K276="","",INDEX('سجل التحفيز'!$F$5:$F$2004,MATCH($K276,'سجل التحفيز'!$U$5:$U$2004,0)))</f>
        <v/>
      </c>
      <c r="S276" s="35">
        <f>IF($K276="","",INDEX('سجل التحفيز'!$G$5:$G$2004,MATCH($K276,'سجل التحفيز'!$U$5:$U$2004,0)))</f>
        <v/>
      </c>
    </row>
    <row r="277">
      <c r="K277" s="36">
        <f>IF(224&gt;$B$10,"",224)</f>
        <v/>
      </c>
      <c r="L277" s="37">
        <f>IF($K277="","",INDEX('سجل التحفيز'!$A$5:$A$2004,MATCH($K277,'سجل التحفيز'!$U$5:$U$2004,0)))</f>
        <v/>
      </c>
      <c r="M277" s="9">
        <f>IF($K277="","",INDEX('سجل التحفيز'!$B$5:$B$2004,MATCH($K277,'سجل التحفيز'!$U$5:$U$2004,0)))</f>
        <v/>
      </c>
      <c r="N277" s="9">
        <f>IF($K277="","",INDEX('سجل التحفيز'!$M$5:$M$2004,MATCH($K277,'سجل التحفيز'!$U$5:$U$2004,0)))</f>
        <v/>
      </c>
      <c r="O277" s="9">
        <f>IF($K277="","",INDEX('سجل التحفيز'!$C$5:$C$2004,MATCH($K277,'سجل التحفيز'!$U$5:$U$2004,0)))</f>
        <v/>
      </c>
      <c r="P277" s="36">
        <f>IF($K277="","",INDEX('سجل التحفيز'!$D$5:$D$2004,MATCH($K277,'سجل التحفيز'!$U$5:$U$2004,0)))</f>
        <v/>
      </c>
      <c r="Q277" s="9">
        <f>IF($K277="","",INDEX('سجل التحفيز'!$E$5:$E$2004,MATCH($K277,'سجل التحفيز'!$U$5:$U$2004,0)))</f>
        <v/>
      </c>
      <c r="R277" s="9">
        <f>IF($K277="","",INDEX('سجل التحفيز'!$F$5:$F$2004,MATCH($K277,'سجل التحفيز'!$U$5:$U$2004,0)))</f>
        <v/>
      </c>
      <c r="S277" s="35">
        <f>IF($K277="","",INDEX('سجل التحفيز'!$G$5:$G$2004,MATCH($K277,'سجل التحفيز'!$U$5:$U$2004,0)))</f>
        <v/>
      </c>
    </row>
    <row r="278">
      <c r="K278" s="36">
        <f>IF(225&gt;$B$10,"",225)</f>
        <v/>
      </c>
      <c r="L278" s="37">
        <f>IF($K278="","",INDEX('سجل التحفيز'!$A$5:$A$2004,MATCH($K278,'سجل التحفيز'!$U$5:$U$2004,0)))</f>
        <v/>
      </c>
      <c r="M278" s="9">
        <f>IF($K278="","",INDEX('سجل التحفيز'!$B$5:$B$2004,MATCH($K278,'سجل التحفيز'!$U$5:$U$2004,0)))</f>
        <v/>
      </c>
      <c r="N278" s="9">
        <f>IF($K278="","",INDEX('سجل التحفيز'!$M$5:$M$2004,MATCH($K278,'سجل التحفيز'!$U$5:$U$2004,0)))</f>
        <v/>
      </c>
      <c r="O278" s="9">
        <f>IF($K278="","",INDEX('سجل التحفيز'!$C$5:$C$2004,MATCH($K278,'سجل التحفيز'!$U$5:$U$2004,0)))</f>
        <v/>
      </c>
      <c r="P278" s="36">
        <f>IF($K278="","",INDEX('سجل التحفيز'!$D$5:$D$2004,MATCH($K278,'سجل التحفيز'!$U$5:$U$2004,0)))</f>
        <v/>
      </c>
      <c r="Q278" s="9">
        <f>IF($K278="","",INDEX('سجل التحفيز'!$E$5:$E$2004,MATCH($K278,'سجل التحفيز'!$U$5:$U$2004,0)))</f>
        <v/>
      </c>
      <c r="R278" s="9">
        <f>IF($K278="","",INDEX('سجل التحفيز'!$F$5:$F$2004,MATCH($K278,'سجل التحفيز'!$U$5:$U$2004,0)))</f>
        <v/>
      </c>
      <c r="S278" s="35">
        <f>IF($K278="","",INDEX('سجل التحفيز'!$G$5:$G$2004,MATCH($K278,'سجل التحفيز'!$U$5:$U$2004,0)))</f>
        <v/>
      </c>
    </row>
    <row r="279">
      <c r="K279" s="36">
        <f>IF(226&gt;$B$10,"",226)</f>
        <v/>
      </c>
      <c r="L279" s="37">
        <f>IF($K279="","",INDEX('سجل التحفيز'!$A$5:$A$2004,MATCH($K279,'سجل التحفيز'!$U$5:$U$2004,0)))</f>
        <v/>
      </c>
      <c r="M279" s="9">
        <f>IF($K279="","",INDEX('سجل التحفيز'!$B$5:$B$2004,MATCH($K279,'سجل التحفيز'!$U$5:$U$2004,0)))</f>
        <v/>
      </c>
      <c r="N279" s="9">
        <f>IF($K279="","",INDEX('سجل التحفيز'!$M$5:$M$2004,MATCH($K279,'سجل التحفيز'!$U$5:$U$2004,0)))</f>
        <v/>
      </c>
      <c r="O279" s="9">
        <f>IF($K279="","",INDEX('سجل التحفيز'!$C$5:$C$2004,MATCH($K279,'سجل التحفيز'!$U$5:$U$2004,0)))</f>
        <v/>
      </c>
      <c r="P279" s="36">
        <f>IF($K279="","",INDEX('سجل التحفيز'!$D$5:$D$2004,MATCH($K279,'سجل التحفيز'!$U$5:$U$2004,0)))</f>
        <v/>
      </c>
      <c r="Q279" s="9">
        <f>IF($K279="","",INDEX('سجل التحفيز'!$E$5:$E$2004,MATCH($K279,'سجل التحفيز'!$U$5:$U$2004,0)))</f>
        <v/>
      </c>
      <c r="R279" s="9">
        <f>IF($K279="","",INDEX('سجل التحفيز'!$F$5:$F$2004,MATCH($K279,'سجل التحفيز'!$U$5:$U$2004,0)))</f>
        <v/>
      </c>
      <c r="S279" s="35">
        <f>IF($K279="","",INDEX('سجل التحفيز'!$G$5:$G$2004,MATCH($K279,'سجل التحفيز'!$U$5:$U$2004,0)))</f>
        <v/>
      </c>
    </row>
    <row r="280">
      <c r="K280" s="36">
        <f>IF(227&gt;$B$10,"",227)</f>
        <v/>
      </c>
      <c r="L280" s="37">
        <f>IF($K280="","",INDEX('سجل التحفيز'!$A$5:$A$2004,MATCH($K280,'سجل التحفيز'!$U$5:$U$2004,0)))</f>
        <v/>
      </c>
      <c r="M280" s="9">
        <f>IF($K280="","",INDEX('سجل التحفيز'!$B$5:$B$2004,MATCH($K280,'سجل التحفيز'!$U$5:$U$2004,0)))</f>
        <v/>
      </c>
      <c r="N280" s="9">
        <f>IF($K280="","",INDEX('سجل التحفيز'!$M$5:$M$2004,MATCH($K280,'سجل التحفيز'!$U$5:$U$2004,0)))</f>
        <v/>
      </c>
      <c r="O280" s="9">
        <f>IF($K280="","",INDEX('سجل التحفيز'!$C$5:$C$2004,MATCH($K280,'سجل التحفيز'!$U$5:$U$2004,0)))</f>
        <v/>
      </c>
      <c r="P280" s="36">
        <f>IF($K280="","",INDEX('سجل التحفيز'!$D$5:$D$2004,MATCH($K280,'سجل التحفيز'!$U$5:$U$2004,0)))</f>
        <v/>
      </c>
      <c r="Q280" s="9">
        <f>IF($K280="","",INDEX('سجل التحفيز'!$E$5:$E$2004,MATCH($K280,'سجل التحفيز'!$U$5:$U$2004,0)))</f>
        <v/>
      </c>
      <c r="R280" s="9">
        <f>IF($K280="","",INDEX('سجل التحفيز'!$F$5:$F$2004,MATCH($K280,'سجل التحفيز'!$U$5:$U$2004,0)))</f>
        <v/>
      </c>
      <c r="S280" s="35">
        <f>IF($K280="","",INDEX('سجل التحفيز'!$G$5:$G$2004,MATCH($K280,'سجل التحفيز'!$U$5:$U$2004,0)))</f>
        <v/>
      </c>
    </row>
    <row r="281">
      <c r="K281" s="36">
        <f>IF(228&gt;$B$10,"",228)</f>
        <v/>
      </c>
      <c r="L281" s="37">
        <f>IF($K281="","",INDEX('سجل التحفيز'!$A$5:$A$2004,MATCH($K281,'سجل التحفيز'!$U$5:$U$2004,0)))</f>
        <v/>
      </c>
      <c r="M281" s="9">
        <f>IF($K281="","",INDEX('سجل التحفيز'!$B$5:$B$2004,MATCH($K281,'سجل التحفيز'!$U$5:$U$2004,0)))</f>
        <v/>
      </c>
      <c r="N281" s="9">
        <f>IF($K281="","",INDEX('سجل التحفيز'!$M$5:$M$2004,MATCH($K281,'سجل التحفيز'!$U$5:$U$2004,0)))</f>
        <v/>
      </c>
      <c r="O281" s="9">
        <f>IF($K281="","",INDEX('سجل التحفيز'!$C$5:$C$2004,MATCH($K281,'سجل التحفيز'!$U$5:$U$2004,0)))</f>
        <v/>
      </c>
      <c r="P281" s="36">
        <f>IF($K281="","",INDEX('سجل التحفيز'!$D$5:$D$2004,MATCH($K281,'سجل التحفيز'!$U$5:$U$2004,0)))</f>
        <v/>
      </c>
      <c r="Q281" s="9">
        <f>IF($K281="","",INDEX('سجل التحفيز'!$E$5:$E$2004,MATCH($K281,'سجل التحفيز'!$U$5:$U$2004,0)))</f>
        <v/>
      </c>
      <c r="R281" s="9">
        <f>IF($K281="","",INDEX('سجل التحفيز'!$F$5:$F$2004,MATCH($K281,'سجل التحفيز'!$U$5:$U$2004,0)))</f>
        <v/>
      </c>
      <c r="S281" s="35">
        <f>IF($K281="","",INDEX('سجل التحفيز'!$G$5:$G$2004,MATCH($K281,'سجل التحفيز'!$U$5:$U$2004,0)))</f>
        <v/>
      </c>
    </row>
    <row r="282">
      <c r="K282" s="36">
        <f>IF(229&gt;$B$10,"",229)</f>
        <v/>
      </c>
      <c r="L282" s="37">
        <f>IF($K282="","",INDEX('سجل التحفيز'!$A$5:$A$2004,MATCH($K282,'سجل التحفيز'!$U$5:$U$2004,0)))</f>
        <v/>
      </c>
      <c r="M282" s="9">
        <f>IF($K282="","",INDEX('سجل التحفيز'!$B$5:$B$2004,MATCH($K282,'سجل التحفيز'!$U$5:$U$2004,0)))</f>
        <v/>
      </c>
      <c r="N282" s="9">
        <f>IF($K282="","",INDEX('سجل التحفيز'!$M$5:$M$2004,MATCH($K282,'سجل التحفيز'!$U$5:$U$2004,0)))</f>
        <v/>
      </c>
      <c r="O282" s="9">
        <f>IF($K282="","",INDEX('سجل التحفيز'!$C$5:$C$2004,MATCH($K282,'سجل التحفيز'!$U$5:$U$2004,0)))</f>
        <v/>
      </c>
      <c r="P282" s="36">
        <f>IF($K282="","",INDEX('سجل التحفيز'!$D$5:$D$2004,MATCH($K282,'سجل التحفيز'!$U$5:$U$2004,0)))</f>
        <v/>
      </c>
      <c r="Q282" s="9">
        <f>IF($K282="","",INDEX('سجل التحفيز'!$E$5:$E$2004,MATCH($K282,'سجل التحفيز'!$U$5:$U$2004,0)))</f>
        <v/>
      </c>
      <c r="R282" s="9">
        <f>IF($K282="","",INDEX('سجل التحفيز'!$F$5:$F$2004,MATCH($K282,'سجل التحفيز'!$U$5:$U$2004,0)))</f>
        <v/>
      </c>
      <c r="S282" s="35">
        <f>IF($K282="","",INDEX('سجل التحفيز'!$G$5:$G$2004,MATCH($K282,'سجل التحفيز'!$U$5:$U$2004,0)))</f>
        <v/>
      </c>
    </row>
    <row r="283">
      <c r="K283" s="36">
        <f>IF(230&gt;$B$10,"",230)</f>
        <v/>
      </c>
      <c r="L283" s="37">
        <f>IF($K283="","",INDEX('سجل التحفيز'!$A$5:$A$2004,MATCH($K283,'سجل التحفيز'!$U$5:$U$2004,0)))</f>
        <v/>
      </c>
      <c r="M283" s="9">
        <f>IF($K283="","",INDEX('سجل التحفيز'!$B$5:$B$2004,MATCH($K283,'سجل التحفيز'!$U$5:$U$2004,0)))</f>
        <v/>
      </c>
      <c r="N283" s="9">
        <f>IF($K283="","",INDEX('سجل التحفيز'!$M$5:$M$2004,MATCH($K283,'سجل التحفيز'!$U$5:$U$2004,0)))</f>
        <v/>
      </c>
      <c r="O283" s="9">
        <f>IF($K283="","",INDEX('سجل التحفيز'!$C$5:$C$2004,MATCH($K283,'سجل التحفيز'!$U$5:$U$2004,0)))</f>
        <v/>
      </c>
      <c r="P283" s="36">
        <f>IF($K283="","",INDEX('سجل التحفيز'!$D$5:$D$2004,MATCH($K283,'سجل التحفيز'!$U$5:$U$2004,0)))</f>
        <v/>
      </c>
      <c r="Q283" s="9">
        <f>IF($K283="","",INDEX('سجل التحفيز'!$E$5:$E$2004,MATCH($K283,'سجل التحفيز'!$U$5:$U$2004,0)))</f>
        <v/>
      </c>
      <c r="R283" s="9">
        <f>IF($K283="","",INDEX('سجل التحفيز'!$F$5:$F$2004,MATCH($K283,'سجل التحفيز'!$U$5:$U$2004,0)))</f>
        <v/>
      </c>
      <c r="S283" s="35">
        <f>IF($K283="","",INDEX('سجل التحفيز'!$G$5:$G$2004,MATCH($K283,'سجل التحفيز'!$U$5:$U$2004,0)))</f>
        <v/>
      </c>
    </row>
    <row r="284">
      <c r="K284" s="36">
        <f>IF(231&gt;$B$10,"",231)</f>
        <v/>
      </c>
      <c r="L284" s="37">
        <f>IF($K284="","",INDEX('سجل التحفيز'!$A$5:$A$2004,MATCH($K284,'سجل التحفيز'!$U$5:$U$2004,0)))</f>
        <v/>
      </c>
      <c r="M284" s="9">
        <f>IF($K284="","",INDEX('سجل التحفيز'!$B$5:$B$2004,MATCH($K284,'سجل التحفيز'!$U$5:$U$2004,0)))</f>
        <v/>
      </c>
      <c r="N284" s="9">
        <f>IF($K284="","",INDEX('سجل التحفيز'!$M$5:$M$2004,MATCH($K284,'سجل التحفيز'!$U$5:$U$2004,0)))</f>
        <v/>
      </c>
      <c r="O284" s="9">
        <f>IF($K284="","",INDEX('سجل التحفيز'!$C$5:$C$2004,MATCH($K284,'سجل التحفيز'!$U$5:$U$2004,0)))</f>
        <v/>
      </c>
      <c r="P284" s="36">
        <f>IF($K284="","",INDEX('سجل التحفيز'!$D$5:$D$2004,MATCH($K284,'سجل التحفيز'!$U$5:$U$2004,0)))</f>
        <v/>
      </c>
      <c r="Q284" s="9">
        <f>IF($K284="","",INDEX('سجل التحفيز'!$E$5:$E$2004,MATCH($K284,'سجل التحفيز'!$U$5:$U$2004,0)))</f>
        <v/>
      </c>
      <c r="R284" s="9">
        <f>IF($K284="","",INDEX('سجل التحفيز'!$F$5:$F$2004,MATCH($K284,'سجل التحفيز'!$U$5:$U$2004,0)))</f>
        <v/>
      </c>
      <c r="S284" s="35">
        <f>IF($K284="","",INDEX('سجل التحفيز'!$G$5:$G$2004,MATCH($K284,'سجل التحفيز'!$U$5:$U$2004,0)))</f>
        <v/>
      </c>
    </row>
    <row r="285">
      <c r="K285" s="36">
        <f>IF(232&gt;$B$10,"",232)</f>
        <v/>
      </c>
      <c r="L285" s="37">
        <f>IF($K285="","",INDEX('سجل التحفيز'!$A$5:$A$2004,MATCH($K285,'سجل التحفيز'!$U$5:$U$2004,0)))</f>
        <v/>
      </c>
      <c r="M285" s="9">
        <f>IF($K285="","",INDEX('سجل التحفيز'!$B$5:$B$2004,MATCH($K285,'سجل التحفيز'!$U$5:$U$2004,0)))</f>
        <v/>
      </c>
      <c r="N285" s="9">
        <f>IF($K285="","",INDEX('سجل التحفيز'!$M$5:$M$2004,MATCH($K285,'سجل التحفيز'!$U$5:$U$2004,0)))</f>
        <v/>
      </c>
      <c r="O285" s="9">
        <f>IF($K285="","",INDEX('سجل التحفيز'!$C$5:$C$2004,MATCH($K285,'سجل التحفيز'!$U$5:$U$2004,0)))</f>
        <v/>
      </c>
      <c r="P285" s="36">
        <f>IF($K285="","",INDEX('سجل التحفيز'!$D$5:$D$2004,MATCH($K285,'سجل التحفيز'!$U$5:$U$2004,0)))</f>
        <v/>
      </c>
      <c r="Q285" s="9">
        <f>IF($K285="","",INDEX('سجل التحفيز'!$E$5:$E$2004,MATCH($K285,'سجل التحفيز'!$U$5:$U$2004,0)))</f>
        <v/>
      </c>
      <c r="R285" s="9">
        <f>IF($K285="","",INDEX('سجل التحفيز'!$F$5:$F$2004,MATCH($K285,'سجل التحفيز'!$U$5:$U$2004,0)))</f>
        <v/>
      </c>
      <c r="S285" s="35">
        <f>IF($K285="","",INDEX('سجل التحفيز'!$G$5:$G$2004,MATCH($K285,'سجل التحفيز'!$U$5:$U$2004,0)))</f>
        <v/>
      </c>
    </row>
    <row r="286">
      <c r="K286" s="36">
        <f>IF(233&gt;$B$10,"",233)</f>
        <v/>
      </c>
      <c r="L286" s="37">
        <f>IF($K286="","",INDEX('سجل التحفيز'!$A$5:$A$2004,MATCH($K286,'سجل التحفيز'!$U$5:$U$2004,0)))</f>
        <v/>
      </c>
      <c r="M286" s="9">
        <f>IF($K286="","",INDEX('سجل التحفيز'!$B$5:$B$2004,MATCH($K286,'سجل التحفيز'!$U$5:$U$2004,0)))</f>
        <v/>
      </c>
      <c r="N286" s="9">
        <f>IF($K286="","",INDEX('سجل التحفيز'!$M$5:$M$2004,MATCH($K286,'سجل التحفيز'!$U$5:$U$2004,0)))</f>
        <v/>
      </c>
      <c r="O286" s="9">
        <f>IF($K286="","",INDEX('سجل التحفيز'!$C$5:$C$2004,MATCH($K286,'سجل التحفيز'!$U$5:$U$2004,0)))</f>
        <v/>
      </c>
      <c r="P286" s="36">
        <f>IF($K286="","",INDEX('سجل التحفيز'!$D$5:$D$2004,MATCH($K286,'سجل التحفيز'!$U$5:$U$2004,0)))</f>
        <v/>
      </c>
      <c r="Q286" s="9">
        <f>IF($K286="","",INDEX('سجل التحفيز'!$E$5:$E$2004,MATCH($K286,'سجل التحفيز'!$U$5:$U$2004,0)))</f>
        <v/>
      </c>
      <c r="R286" s="9">
        <f>IF($K286="","",INDEX('سجل التحفيز'!$F$5:$F$2004,MATCH($K286,'سجل التحفيز'!$U$5:$U$2004,0)))</f>
        <v/>
      </c>
      <c r="S286" s="35">
        <f>IF($K286="","",INDEX('سجل التحفيز'!$G$5:$G$2004,MATCH($K286,'سجل التحفيز'!$U$5:$U$2004,0)))</f>
        <v/>
      </c>
    </row>
    <row r="287">
      <c r="K287" s="36">
        <f>IF(234&gt;$B$10,"",234)</f>
        <v/>
      </c>
      <c r="L287" s="37">
        <f>IF($K287="","",INDEX('سجل التحفيز'!$A$5:$A$2004,MATCH($K287,'سجل التحفيز'!$U$5:$U$2004,0)))</f>
        <v/>
      </c>
      <c r="M287" s="9">
        <f>IF($K287="","",INDEX('سجل التحفيز'!$B$5:$B$2004,MATCH($K287,'سجل التحفيز'!$U$5:$U$2004,0)))</f>
        <v/>
      </c>
      <c r="N287" s="9">
        <f>IF($K287="","",INDEX('سجل التحفيز'!$M$5:$M$2004,MATCH($K287,'سجل التحفيز'!$U$5:$U$2004,0)))</f>
        <v/>
      </c>
      <c r="O287" s="9">
        <f>IF($K287="","",INDEX('سجل التحفيز'!$C$5:$C$2004,MATCH($K287,'سجل التحفيز'!$U$5:$U$2004,0)))</f>
        <v/>
      </c>
      <c r="P287" s="36">
        <f>IF($K287="","",INDEX('سجل التحفيز'!$D$5:$D$2004,MATCH($K287,'سجل التحفيز'!$U$5:$U$2004,0)))</f>
        <v/>
      </c>
      <c r="Q287" s="9">
        <f>IF($K287="","",INDEX('سجل التحفيز'!$E$5:$E$2004,MATCH($K287,'سجل التحفيز'!$U$5:$U$2004,0)))</f>
        <v/>
      </c>
      <c r="R287" s="9">
        <f>IF($K287="","",INDEX('سجل التحفيز'!$F$5:$F$2004,MATCH($K287,'سجل التحفيز'!$U$5:$U$2004,0)))</f>
        <v/>
      </c>
      <c r="S287" s="35">
        <f>IF($K287="","",INDEX('سجل التحفيز'!$G$5:$G$2004,MATCH($K287,'سجل التحفيز'!$U$5:$U$2004,0)))</f>
        <v/>
      </c>
    </row>
    <row r="288">
      <c r="K288" s="36">
        <f>IF(235&gt;$B$10,"",235)</f>
        <v/>
      </c>
      <c r="L288" s="37">
        <f>IF($K288="","",INDEX('سجل التحفيز'!$A$5:$A$2004,MATCH($K288,'سجل التحفيز'!$U$5:$U$2004,0)))</f>
        <v/>
      </c>
      <c r="M288" s="9">
        <f>IF($K288="","",INDEX('سجل التحفيز'!$B$5:$B$2004,MATCH($K288,'سجل التحفيز'!$U$5:$U$2004,0)))</f>
        <v/>
      </c>
      <c r="N288" s="9">
        <f>IF($K288="","",INDEX('سجل التحفيز'!$M$5:$M$2004,MATCH($K288,'سجل التحفيز'!$U$5:$U$2004,0)))</f>
        <v/>
      </c>
      <c r="O288" s="9">
        <f>IF($K288="","",INDEX('سجل التحفيز'!$C$5:$C$2004,MATCH($K288,'سجل التحفيز'!$U$5:$U$2004,0)))</f>
        <v/>
      </c>
      <c r="P288" s="36">
        <f>IF($K288="","",INDEX('سجل التحفيز'!$D$5:$D$2004,MATCH($K288,'سجل التحفيز'!$U$5:$U$2004,0)))</f>
        <v/>
      </c>
      <c r="Q288" s="9">
        <f>IF($K288="","",INDEX('سجل التحفيز'!$E$5:$E$2004,MATCH($K288,'سجل التحفيز'!$U$5:$U$2004,0)))</f>
        <v/>
      </c>
      <c r="R288" s="9">
        <f>IF($K288="","",INDEX('سجل التحفيز'!$F$5:$F$2004,MATCH($K288,'سجل التحفيز'!$U$5:$U$2004,0)))</f>
        <v/>
      </c>
      <c r="S288" s="35">
        <f>IF($K288="","",INDEX('سجل التحفيز'!$G$5:$G$2004,MATCH($K288,'سجل التحفيز'!$U$5:$U$2004,0)))</f>
        <v/>
      </c>
    </row>
    <row r="289">
      <c r="K289" s="36">
        <f>IF(236&gt;$B$10,"",236)</f>
        <v/>
      </c>
      <c r="L289" s="37">
        <f>IF($K289="","",INDEX('سجل التحفيز'!$A$5:$A$2004,MATCH($K289,'سجل التحفيز'!$U$5:$U$2004,0)))</f>
        <v/>
      </c>
      <c r="M289" s="9">
        <f>IF($K289="","",INDEX('سجل التحفيز'!$B$5:$B$2004,MATCH($K289,'سجل التحفيز'!$U$5:$U$2004,0)))</f>
        <v/>
      </c>
      <c r="N289" s="9">
        <f>IF($K289="","",INDEX('سجل التحفيز'!$M$5:$M$2004,MATCH($K289,'سجل التحفيز'!$U$5:$U$2004,0)))</f>
        <v/>
      </c>
      <c r="O289" s="9">
        <f>IF($K289="","",INDEX('سجل التحفيز'!$C$5:$C$2004,MATCH($K289,'سجل التحفيز'!$U$5:$U$2004,0)))</f>
        <v/>
      </c>
      <c r="P289" s="36">
        <f>IF($K289="","",INDEX('سجل التحفيز'!$D$5:$D$2004,MATCH($K289,'سجل التحفيز'!$U$5:$U$2004,0)))</f>
        <v/>
      </c>
      <c r="Q289" s="9">
        <f>IF($K289="","",INDEX('سجل التحفيز'!$E$5:$E$2004,MATCH($K289,'سجل التحفيز'!$U$5:$U$2004,0)))</f>
        <v/>
      </c>
      <c r="R289" s="9">
        <f>IF($K289="","",INDEX('سجل التحفيز'!$F$5:$F$2004,MATCH($K289,'سجل التحفيز'!$U$5:$U$2004,0)))</f>
        <v/>
      </c>
      <c r="S289" s="35">
        <f>IF($K289="","",INDEX('سجل التحفيز'!$G$5:$G$2004,MATCH($K289,'سجل التحفيز'!$U$5:$U$2004,0)))</f>
        <v/>
      </c>
    </row>
    <row r="290">
      <c r="K290" s="36">
        <f>IF(237&gt;$B$10,"",237)</f>
        <v/>
      </c>
      <c r="L290" s="37">
        <f>IF($K290="","",INDEX('سجل التحفيز'!$A$5:$A$2004,MATCH($K290,'سجل التحفيز'!$U$5:$U$2004,0)))</f>
        <v/>
      </c>
      <c r="M290" s="9">
        <f>IF($K290="","",INDEX('سجل التحفيز'!$B$5:$B$2004,MATCH($K290,'سجل التحفيز'!$U$5:$U$2004,0)))</f>
        <v/>
      </c>
      <c r="N290" s="9">
        <f>IF($K290="","",INDEX('سجل التحفيز'!$M$5:$M$2004,MATCH($K290,'سجل التحفيز'!$U$5:$U$2004,0)))</f>
        <v/>
      </c>
      <c r="O290" s="9">
        <f>IF($K290="","",INDEX('سجل التحفيز'!$C$5:$C$2004,MATCH($K290,'سجل التحفيز'!$U$5:$U$2004,0)))</f>
        <v/>
      </c>
      <c r="P290" s="36">
        <f>IF($K290="","",INDEX('سجل التحفيز'!$D$5:$D$2004,MATCH($K290,'سجل التحفيز'!$U$5:$U$2004,0)))</f>
        <v/>
      </c>
      <c r="Q290" s="9">
        <f>IF($K290="","",INDEX('سجل التحفيز'!$E$5:$E$2004,MATCH($K290,'سجل التحفيز'!$U$5:$U$2004,0)))</f>
        <v/>
      </c>
      <c r="R290" s="9">
        <f>IF($K290="","",INDEX('سجل التحفيز'!$F$5:$F$2004,MATCH($K290,'سجل التحفيز'!$U$5:$U$2004,0)))</f>
        <v/>
      </c>
      <c r="S290" s="35">
        <f>IF($K290="","",INDEX('سجل التحفيز'!$G$5:$G$2004,MATCH($K290,'سجل التحفيز'!$U$5:$U$2004,0)))</f>
        <v/>
      </c>
    </row>
    <row r="291">
      <c r="K291" s="36">
        <f>IF(238&gt;$B$10,"",238)</f>
        <v/>
      </c>
      <c r="L291" s="37">
        <f>IF($K291="","",INDEX('سجل التحفيز'!$A$5:$A$2004,MATCH($K291,'سجل التحفيز'!$U$5:$U$2004,0)))</f>
        <v/>
      </c>
      <c r="M291" s="9">
        <f>IF($K291="","",INDEX('سجل التحفيز'!$B$5:$B$2004,MATCH($K291,'سجل التحفيز'!$U$5:$U$2004,0)))</f>
        <v/>
      </c>
      <c r="N291" s="9">
        <f>IF($K291="","",INDEX('سجل التحفيز'!$M$5:$M$2004,MATCH($K291,'سجل التحفيز'!$U$5:$U$2004,0)))</f>
        <v/>
      </c>
      <c r="O291" s="9">
        <f>IF($K291="","",INDEX('سجل التحفيز'!$C$5:$C$2004,MATCH($K291,'سجل التحفيز'!$U$5:$U$2004,0)))</f>
        <v/>
      </c>
      <c r="P291" s="36">
        <f>IF($K291="","",INDEX('سجل التحفيز'!$D$5:$D$2004,MATCH($K291,'سجل التحفيز'!$U$5:$U$2004,0)))</f>
        <v/>
      </c>
      <c r="Q291" s="9">
        <f>IF($K291="","",INDEX('سجل التحفيز'!$E$5:$E$2004,MATCH($K291,'سجل التحفيز'!$U$5:$U$2004,0)))</f>
        <v/>
      </c>
      <c r="R291" s="9">
        <f>IF($K291="","",INDEX('سجل التحفيز'!$F$5:$F$2004,MATCH($K291,'سجل التحفيز'!$U$5:$U$2004,0)))</f>
        <v/>
      </c>
      <c r="S291" s="35">
        <f>IF($K291="","",INDEX('سجل التحفيز'!$G$5:$G$2004,MATCH($K291,'سجل التحفيز'!$U$5:$U$2004,0)))</f>
        <v/>
      </c>
    </row>
    <row r="292">
      <c r="K292" s="36">
        <f>IF(239&gt;$B$10,"",239)</f>
        <v/>
      </c>
      <c r="L292" s="37">
        <f>IF($K292="","",INDEX('سجل التحفيز'!$A$5:$A$2004,MATCH($K292,'سجل التحفيز'!$U$5:$U$2004,0)))</f>
        <v/>
      </c>
      <c r="M292" s="9">
        <f>IF($K292="","",INDEX('سجل التحفيز'!$B$5:$B$2004,MATCH($K292,'سجل التحفيز'!$U$5:$U$2004,0)))</f>
        <v/>
      </c>
      <c r="N292" s="9">
        <f>IF($K292="","",INDEX('سجل التحفيز'!$M$5:$M$2004,MATCH($K292,'سجل التحفيز'!$U$5:$U$2004,0)))</f>
        <v/>
      </c>
      <c r="O292" s="9">
        <f>IF($K292="","",INDEX('سجل التحفيز'!$C$5:$C$2004,MATCH($K292,'سجل التحفيز'!$U$5:$U$2004,0)))</f>
        <v/>
      </c>
      <c r="P292" s="36">
        <f>IF($K292="","",INDEX('سجل التحفيز'!$D$5:$D$2004,MATCH($K292,'سجل التحفيز'!$U$5:$U$2004,0)))</f>
        <v/>
      </c>
      <c r="Q292" s="9">
        <f>IF($K292="","",INDEX('سجل التحفيز'!$E$5:$E$2004,MATCH($K292,'سجل التحفيز'!$U$5:$U$2004,0)))</f>
        <v/>
      </c>
      <c r="R292" s="9">
        <f>IF($K292="","",INDEX('سجل التحفيز'!$F$5:$F$2004,MATCH($K292,'سجل التحفيز'!$U$5:$U$2004,0)))</f>
        <v/>
      </c>
      <c r="S292" s="35">
        <f>IF($K292="","",INDEX('سجل التحفيز'!$G$5:$G$2004,MATCH($K292,'سجل التحفيز'!$U$5:$U$2004,0)))</f>
        <v/>
      </c>
    </row>
    <row r="293">
      <c r="K293" s="36">
        <f>IF(240&gt;$B$10,"",240)</f>
        <v/>
      </c>
      <c r="L293" s="37">
        <f>IF($K293="","",INDEX('سجل التحفيز'!$A$5:$A$2004,MATCH($K293,'سجل التحفيز'!$U$5:$U$2004,0)))</f>
        <v/>
      </c>
      <c r="M293" s="9">
        <f>IF($K293="","",INDEX('سجل التحفيز'!$B$5:$B$2004,MATCH($K293,'سجل التحفيز'!$U$5:$U$2004,0)))</f>
        <v/>
      </c>
      <c r="N293" s="9">
        <f>IF($K293="","",INDEX('سجل التحفيز'!$M$5:$M$2004,MATCH($K293,'سجل التحفيز'!$U$5:$U$2004,0)))</f>
        <v/>
      </c>
      <c r="O293" s="9">
        <f>IF($K293="","",INDEX('سجل التحفيز'!$C$5:$C$2004,MATCH($K293,'سجل التحفيز'!$U$5:$U$2004,0)))</f>
        <v/>
      </c>
      <c r="P293" s="36">
        <f>IF($K293="","",INDEX('سجل التحفيز'!$D$5:$D$2004,MATCH($K293,'سجل التحفيز'!$U$5:$U$2004,0)))</f>
        <v/>
      </c>
      <c r="Q293" s="9">
        <f>IF($K293="","",INDEX('سجل التحفيز'!$E$5:$E$2004,MATCH($K293,'سجل التحفيز'!$U$5:$U$2004,0)))</f>
        <v/>
      </c>
      <c r="R293" s="9">
        <f>IF($K293="","",INDEX('سجل التحفيز'!$F$5:$F$2004,MATCH($K293,'سجل التحفيز'!$U$5:$U$2004,0)))</f>
        <v/>
      </c>
      <c r="S293" s="35">
        <f>IF($K293="","",INDEX('سجل التحفيز'!$G$5:$G$2004,MATCH($K293,'سجل التحفيز'!$U$5:$U$2004,0)))</f>
        <v/>
      </c>
    </row>
    <row r="294">
      <c r="K294" s="36">
        <f>IF(241&gt;$B$10,"",241)</f>
        <v/>
      </c>
      <c r="L294" s="37">
        <f>IF($K294="","",INDEX('سجل التحفيز'!$A$5:$A$2004,MATCH($K294,'سجل التحفيز'!$U$5:$U$2004,0)))</f>
        <v/>
      </c>
      <c r="M294" s="9">
        <f>IF($K294="","",INDEX('سجل التحفيز'!$B$5:$B$2004,MATCH($K294,'سجل التحفيز'!$U$5:$U$2004,0)))</f>
        <v/>
      </c>
      <c r="N294" s="9">
        <f>IF($K294="","",INDEX('سجل التحفيز'!$M$5:$M$2004,MATCH($K294,'سجل التحفيز'!$U$5:$U$2004,0)))</f>
        <v/>
      </c>
      <c r="O294" s="9">
        <f>IF($K294="","",INDEX('سجل التحفيز'!$C$5:$C$2004,MATCH($K294,'سجل التحفيز'!$U$5:$U$2004,0)))</f>
        <v/>
      </c>
      <c r="P294" s="36">
        <f>IF($K294="","",INDEX('سجل التحفيز'!$D$5:$D$2004,MATCH($K294,'سجل التحفيز'!$U$5:$U$2004,0)))</f>
        <v/>
      </c>
      <c r="Q294" s="9">
        <f>IF($K294="","",INDEX('سجل التحفيز'!$E$5:$E$2004,MATCH($K294,'سجل التحفيز'!$U$5:$U$2004,0)))</f>
        <v/>
      </c>
      <c r="R294" s="9">
        <f>IF($K294="","",INDEX('سجل التحفيز'!$F$5:$F$2004,MATCH($K294,'سجل التحفيز'!$U$5:$U$2004,0)))</f>
        <v/>
      </c>
      <c r="S294" s="35">
        <f>IF($K294="","",INDEX('سجل التحفيز'!$G$5:$G$2004,MATCH($K294,'سجل التحفيز'!$U$5:$U$2004,0)))</f>
        <v/>
      </c>
    </row>
    <row r="295">
      <c r="K295" s="36">
        <f>IF(242&gt;$B$10,"",242)</f>
        <v/>
      </c>
      <c r="L295" s="37">
        <f>IF($K295="","",INDEX('سجل التحفيز'!$A$5:$A$2004,MATCH($K295,'سجل التحفيز'!$U$5:$U$2004,0)))</f>
        <v/>
      </c>
      <c r="M295" s="9">
        <f>IF($K295="","",INDEX('سجل التحفيز'!$B$5:$B$2004,MATCH($K295,'سجل التحفيز'!$U$5:$U$2004,0)))</f>
        <v/>
      </c>
      <c r="N295" s="9">
        <f>IF($K295="","",INDEX('سجل التحفيز'!$M$5:$M$2004,MATCH($K295,'سجل التحفيز'!$U$5:$U$2004,0)))</f>
        <v/>
      </c>
      <c r="O295" s="9">
        <f>IF($K295="","",INDEX('سجل التحفيز'!$C$5:$C$2004,MATCH($K295,'سجل التحفيز'!$U$5:$U$2004,0)))</f>
        <v/>
      </c>
      <c r="P295" s="36">
        <f>IF($K295="","",INDEX('سجل التحفيز'!$D$5:$D$2004,MATCH($K295,'سجل التحفيز'!$U$5:$U$2004,0)))</f>
        <v/>
      </c>
      <c r="Q295" s="9">
        <f>IF($K295="","",INDEX('سجل التحفيز'!$E$5:$E$2004,MATCH($K295,'سجل التحفيز'!$U$5:$U$2004,0)))</f>
        <v/>
      </c>
      <c r="R295" s="9">
        <f>IF($K295="","",INDEX('سجل التحفيز'!$F$5:$F$2004,MATCH($K295,'سجل التحفيز'!$U$5:$U$2004,0)))</f>
        <v/>
      </c>
      <c r="S295" s="35">
        <f>IF($K295="","",INDEX('سجل التحفيز'!$G$5:$G$2004,MATCH($K295,'سجل التحفيز'!$U$5:$U$2004,0)))</f>
        <v/>
      </c>
    </row>
    <row r="296">
      <c r="K296" s="36">
        <f>IF(243&gt;$B$10,"",243)</f>
        <v/>
      </c>
      <c r="L296" s="37">
        <f>IF($K296="","",INDEX('سجل التحفيز'!$A$5:$A$2004,MATCH($K296,'سجل التحفيز'!$U$5:$U$2004,0)))</f>
        <v/>
      </c>
      <c r="M296" s="9">
        <f>IF($K296="","",INDEX('سجل التحفيز'!$B$5:$B$2004,MATCH($K296,'سجل التحفيز'!$U$5:$U$2004,0)))</f>
        <v/>
      </c>
      <c r="N296" s="9">
        <f>IF($K296="","",INDEX('سجل التحفيز'!$M$5:$M$2004,MATCH($K296,'سجل التحفيز'!$U$5:$U$2004,0)))</f>
        <v/>
      </c>
      <c r="O296" s="9">
        <f>IF($K296="","",INDEX('سجل التحفيز'!$C$5:$C$2004,MATCH($K296,'سجل التحفيز'!$U$5:$U$2004,0)))</f>
        <v/>
      </c>
      <c r="P296" s="36">
        <f>IF($K296="","",INDEX('سجل التحفيز'!$D$5:$D$2004,MATCH($K296,'سجل التحفيز'!$U$5:$U$2004,0)))</f>
        <v/>
      </c>
      <c r="Q296" s="9">
        <f>IF($K296="","",INDEX('سجل التحفيز'!$E$5:$E$2004,MATCH($K296,'سجل التحفيز'!$U$5:$U$2004,0)))</f>
        <v/>
      </c>
      <c r="R296" s="9">
        <f>IF($K296="","",INDEX('سجل التحفيز'!$F$5:$F$2004,MATCH($K296,'سجل التحفيز'!$U$5:$U$2004,0)))</f>
        <v/>
      </c>
      <c r="S296" s="35">
        <f>IF($K296="","",INDEX('سجل التحفيز'!$G$5:$G$2004,MATCH($K296,'سجل التحفيز'!$U$5:$U$2004,0)))</f>
        <v/>
      </c>
    </row>
    <row r="297">
      <c r="K297" s="36">
        <f>IF(244&gt;$B$10,"",244)</f>
        <v/>
      </c>
      <c r="L297" s="37">
        <f>IF($K297="","",INDEX('سجل التحفيز'!$A$5:$A$2004,MATCH($K297,'سجل التحفيز'!$U$5:$U$2004,0)))</f>
        <v/>
      </c>
      <c r="M297" s="9">
        <f>IF($K297="","",INDEX('سجل التحفيز'!$B$5:$B$2004,MATCH($K297,'سجل التحفيز'!$U$5:$U$2004,0)))</f>
        <v/>
      </c>
      <c r="N297" s="9">
        <f>IF($K297="","",INDEX('سجل التحفيز'!$M$5:$M$2004,MATCH($K297,'سجل التحفيز'!$U$5:$U$2004,0)))</f>
        <v/>
      </c>
      <c r="O297" s="9">
        <f>IF($K297="","",INDEX('سجل التحفيز'!$C$5:$C$2004,MATCH($K297,'سجل التحفيز'!$U$5:$U$2004,0)))</f>
        <v/>
      </c>
      <c r="P297" s="36">
        <f>IF($K297="","",INDEX('سجل التحفيز'!$D$5:$D$2004,MATCH($K297,'سجل التحفيز'!$U$5:$U$2004,0)))</f>
        <v/>
      </c>
      <c r="Q297" s="9">
        <f>IF($K297="","",INDEX('سجل التحفيز'!$E$5:$E$2004,MATCH($K297,'سجل التحفيز'!$U$5:$U$2004,0)))</f>
        <v/>
      </c>
      <c r="R297" s="9">
        <f>IF($K297="","",INDEX('سجل التحفيز'!$F$5:$F$2004,MATCH($K297,'سجل التحفيز'!$U$5:$U$2004,0)))</f>
        <v/>
      </c>
      <c r="S297" s="35">
        <f>IF($K297="","",INDEX('سجل التحفيز'!$G$5:$G$2004,MATCH($K297,'سجل التحفيز'!$U$5:$U$2004,0)))</f>
        <v/>
      </c>
    </row>
    <row r="298">
      <c r="K298" s="36">
        <f>IF(245&gt;$B$10,"",245)</f>
        <v/>
      </c>
      <c r="L298" s="37">
        <f>IF($K298="","",INDEX('سجل التحفيز'!$A$5:$A$2004,MATCH($K298,'سجل التحفيز'!$U$5:$U$2004,0)))</f>
        <v/>
      </c>
      <c r="M298" s="9">
        <f>IF($K298="","",INDEX('سجل التحفيز'!$B$5:$B$2004,MATCH($K298,'سجل التحفيز'!$U$5:$U$2004,0)))</f>
        <v/>
      </c>
      <c r="N298" s="9">
        <f>IF($K298="","",INDEX('سجل التحفيز'!$M$5:$M$2004,MATCH($K298,'سجل التحفيز'!$U$5:$U$2004,0)))</f>
        <v/>
      </c>
      <c r="O298" s="9">
        <f>IF($K298="","",INDEX('سجل التحفيز'!$C$5:$C$2004,MATCH($K298,'سجل التحفيز'!$U$5:$U$2004,0)))</f>
        <v/>
      </c>
      <c r="P298" s="36">
        <f>IF($K298="","",INDEX('سجل التحفيز'!$D$5:$D$2004,MATCH($K298,'سجل التحفيز'!$U$5:$U$2004,0)))</f>
        <v/>
      </c>
      <c r="Q298" s="9">
        <f>IF($K298="","",INDEX('سجل التحفيز'!$E$5:$E$2004,MATCH($K298,'سجل التحفيز'!$U$5:$U$2004,0)))</f>
        <v/>
      </c>
      <c r="R298" s="9">
        <f>IF($K298="","",INDEX('سجل التحفيز'!$F$5:$F$2004,MATCH($K298,'سجل التحفيز'!$U$5:$U$2004,0)))</f>
        <v/>
      </c>
      <c r="S298" s="35">
        <f>IF($K298="","",INDEX('سجل التحفيز'!$G$5:$G$2004,MATCH($K298,'سجل التحفيز'!$U$5:$U$2004,0)))</f>
        <v/>
      </c>
    </row>
    <row r="299">
      <c r="K299" s="36">
        <f>IF(246&gt;$B$10,"",246)</f>
        <v/>
      </c>
      <c r="L299" s="37">
        <f>IF($K299="","",INDEX('سجل التحفيز'!$A$5:$A$2004,MATCH($K299,'سجل التحفيز'!$U$5:$U$2004,0)))</f>
        <v/>
      </c>
      <c r="M299" s="9">
        <f>IF($K299="","",INDEX('سجل التحفيز'!$B$5:$B$2004,MATCH($K299,'سجل التحفيز'!$U$5:$U$2004,0)))</f>
        <v/>
      </c>
      <c r="N299" s="9">
        <f>IF($K299="","",INDEX('سجل التحفيز'!$M$5:$M$2004,MATCH($K299,'سجل التحفيز'!$U$5:$U$2004,0)))</f>
        <v/>
      </c>
      <c r="O299" s="9">
        <f>IF($K299="","",INDEX('سجل التحفيز'!$C$5:$C$2004,MATCH($K299,'سجل التحفيز'!$U$5:$U$2004,0)))</f>
        <v/>
      </c>
      <c r="P299" s="36">
        <f>IF($K299="","",INDEX('سجل التحفيز'!$D$5:$D$2004,MATCH($K299,'سجل التحفيز'!$U$5:$U$2004,0)))</f>
        <v/>
      </c>
      <c r="Q299" s="9">
        <f>IF($K299="","",INDEX('سجل التحفيز'!$E$5:$E$2004,MATCH($K299,'سجل التحفيز'!$U$5:$U$2004,0)))</f>
        <v/>
      </c>
      <c r="R299" s="9">
        <f>IF($K299="","",INDEX('سجل التحفيز'!$F$5:$F$2004,MATCH($K299,'سجل التحفيز'!$U$5:$U$2004,0)))</f>
        <v/>
      </c>
      <c r="S299" s="35">
        <f>IF($K299="","",INDEX('سجل التحفيز'!$G$5:$G$2004,MATCH($K299,'سجل التحفيز'!$U$5:$U$2004,0)))</f>
        <v/>
      </c>
    </row>
    <row r="300">
      <c r="K300" s="36">
        <f>IF(247&gt;$B$10,"",247)</f>
        <v/>
      </c>
      <c r="L300" s="37">
        <f>IF($K300="","",INDEX('سجل التحفيز'!$A$5:$A$2004,MATCH($K300,'سجل التحفيز'!$U$5:$U$2004,0)))</f>
        <v/>
      </c>
      <c r="M300" s="9">
        <f>IF($K300="","",INDEX('سجل التحفيز'!$B$5:$B$2004,MATCH($K300,'سجل التحفيز'!$U$5:$U$2004,0)))</f>
        <v/>
      </c>
      <c r="N300" s="9">
        <f>IF($K300="","",INDEX('سجل التحفيز'!$M$5:$M$2004,MATCH($K300,'سجل التحفيز'!$U$5:$U$2004,0)))</f>
        <v/>
      </c>
      <c r="O300" s="9">
        <f>IF($K300="","",INDEX('سجل التحفيز'!$C$5:$C$2004,MATCH($K300,'سجل التحفيز'!$U$5:$U$2004,0)))</f>
        <v/>
      </c>
      <c r="P300" s="36">
        <f>IF($K300="","",INDEX('سجل التحفيز'!$D$5:$D$2004,MATCH($K300,'سجل التحفيز'!$U$5:$U$2004,0)))</f>
        <v/>
      </c>
      <c r="Q300" s="9">
        <f>IF($K300="","",INDEX('سجل التحفيز'!$E$5:$E$2004,MATCH($K300,'سجل التحفيز'!$U$5:$U$2004,0)))</f>
        <v/>
      </c>
      <c r="R300" s="9">
        <f>IF($K300="","",INDEX('سجل التحفيز'!$F$5:$F$2004,MATCH($K300,'سجل التحفيز'!$U$5:$U$2004,0)))</f>
        <v/>
      </c>
      <c r="S300" s="35">
        <f>IF($K300="","",INDEX('سجل التحفيز'!$G$5:$G$2004,MATCH($K300,'سجل التحفيز'!$U$5:$U$2004,0)))</f>
        <v/>
      </c>
    </row>
    <row r="301">
      <c r="K301" s="36">
        <f>IF(248&gt;$B$10,"",248)</f>
        <v/>
      </c>
      <c r="L301" s="37">
        <f>IF($K301="","",INDEX('سجل التحفيز'!$A$5:$A$2004,MATCH($K301,'سجل التحفيز'!$U$5:$U$2004,0)))</f>
        <v/>
      </c>
      <c r="M301" s="9">
        <f>IF($K301="","",INDEX('سجل التحفيز'!$B$5:$B$2004,MATCH($K301,'سجل التحفيز'!$U$5:$U$2004,0)))</f>
        <v/>
      </c>
      <c r="N301" s="9">
        <f>IF($K301="","",INDEX('سجل التحفيز'!$M$5:$M$2004,MATCH($K301,'سجل التحفيز'!$U$5:$U$2004,0)))</f>
        <v/>
      </c>
      <c r="O301" s="9">
        <f>IF($K301="","",INDEX('سجل التحفيز'!$C$5:$C$2004,MATCH($K301,'سجل التحفيز'!$U$5:$U$2004,0)))</f>
        <v/>
      </c>
      <c r="P301" s="36">
        <f>IF($K301="","",INDEX('سجل التحفيز'!$D$5:$D$2004,MATCH($K301,'سجل التحفيز'!$U$5:$U$2004,0)))</f>
        <v/>
      </c>
      <c r="Q301" s="9">
        <f>IF($K301="","",INDEX('سجل التحفيز'!$E$5:$E$2004,MATCH($K301,'سجل التحفيز'!$U$5:$U$2004,0)))</f>
        <v/>
      </c>
      <c r="R301" s="9">
        <f>IF($K301="","",INDEX('سجل التحفيز'!$F$5:$F$2004,MATCH($K301,'سجل التحفيز'!$U$5:$U$2004,0)))</f>
        <v/>
      </c>
      <c r="S301" s="35">
        <f>IF($K301="","",INDEX('سجل التحفيز'!$G$5:$G$2004,MATCH($K301,'سجل التحفيز'!$U$5:$U$2004,0)))</f>
        <v/>
      </c>
    </row>
    <row r="302">
      <c r="K302" s="36">
        <f>IF(249&gt;$B$10,"",249)</f>
        <v/>
      </c>
      <c r="L302" s="37">
        <f>IF($K302="","",INDEX('سجل التحفيز'!$A$5:$A$2004,MATCH($K302,'سجل التحفيز'!$U$5:$U$2004,0)))</f>
        <v/>
      </c>
      <c r="M302" s="9">
        <f>IF($K302="","",INDEX('سجل التحفيز'!$B$5:$B$2004,MATCH($K302,'سجل التحفيز'!$U$5:$U$2004,0)))</f>
        <v/>
      </c>
      <c r="N302" s="9">
        <f>IF($K302="","",INDEX('سجل التحفيز'!$M$5:$M$2004,MATCH($K302,'سجل التحفيز'!$U$5:$U$2004,0)))</f>
        <v/>
      </c>
      <c r="O302" s="9">
        <f>IF($K302="","",INDEX('سجل التحفيز'!$C$5:$C$2004,MATCH($K302,'سجل التحفيز'!$U$5:$U$2004,0)))</f>
        <v/>
      </c>
      <c r="P302" s="36">
        <f>IF($K302="","",INDEX('سجل التحفيز'!$D$5:$D$2004,MATCH($K302,'سجل التحفيز'!$U$5:$U$2004,0)))</f>
        <v/>
      </c>
      <c r="Q302" s="9">
        <f>IF($K302="","",INDEX('سجل التحفيز'!$E$5:$E$2004,MATCH($K302,'سجل التحفيز'!$U$5:$U$2004,0)))</f>
        <v/>
      </c>
      <c r="R302" s="9">
        <f>IF($K302="","",INDEX('سجل التحفيز'!$F$5:$F$2004,MATCH($K302,'سجل التحفيز'!$U$5:$U$2004,0)))</f>
        <v/>
      </c>
      <c r="S302" s="35">
        <f>IF($K302="","",INDEX('سجل التحفيز'!$G$5:$G$2004,MATCH($K302,'سجل التحفيز'!$U$5:$U$2004,0)))</f>
        <v/>
      </c>
    </row>
    <row r="303">
      <c r="K303" s="36">
        <f>IF(250&gt;$B$10,"",250)</f>
        <v/>
      </c>
      <c r="L303" s="37">
        <f>IF($K303="","",INDEX('سجل التحفيز'!$A$5:$A$2004,MATCH($K303,'سجل التحفيز'!$U$5:$U$2004,0)))</f>
        <v/>
      </c>
      <c r="M303" s="9">
        <f>IF($K303="","",INDEX('سجل التحفيز'!$B$5:$B$2004,MATCH($K303,'سجل التحفيز'!$U$5:$U$2004,0)))</f>
        <v/>
      </c>
      <c r="N303" s="9">
        <f>IF($K303="","",INDEX('سجل التحفيز'!$M$5:$M$2004,MATCH($K303,'سجل التحفيز'!$U$5:$U$2004,0)))</f>
        <v/>
      </c>
      <c r="O303" s="9">
        <f>IF($K303="","",INDEX('سجل التحفيز'!$C$5:$C$2004,MATCH($K303,'سجل التحفيز'!$U$5:$U$2004,0)))</f>
        <v/>
      </c>
      <c r="P303" s="36">
        <f>IF($K303="","",INDEX('سجل التحفيز'!$D$5:$D$2004,MATCH($K303,'سجل التحفيز'!$U$5:$U$2004,0)))</f>
        <v/>
      </c>
      <c r="Q303" s="9">
        <f>IF($K303="","",INDEX('سجل التحفيز'!$E$5:$E$2004,MATCH($K303,'سجل التحفيز'!$U$5:$U$2004,0)))</f>
        <v/>
      </c>
      <c r="R303" s="9">
        <f>IF($K303="","",INDEX('سجل التحفيز'!$F$5:$F$2004,MATCH($K303,'سجل التحفيز'!$U$5:$U$2004,0)))</f>
        <v/>
      </c>
      <c r="S303" s="35">
        <f>IF($K303="","",INDEX('سجل التحفيز'!$G$5:$G$2004,MATCH($K303,'سجل التحفيز'!$U$5:$U$2004,0)))</f>
        <v/>
      </c>
    </row>
    <row r="304">
      <c r="K304" s="36">
        <f>IF(251&gt;$B$10,"",251)</f>
        <v/>
      </c>
      <c r="L304" s="37">
        <f>IF($K304="","",INDEX('سجل التحفيز'!$A$5:$A$2004,MATCH($K304,'سجل التحفيز'!$U$5:$U$2004,0)))</f>
        <v/>
      </c>
      <c r="M304" s="9">
        <f>IF($K304="","",INDEX('سجل التحفيز'!$B$5:$B$2004,MATCH($K304,'سجل التحفيز'!$U$5:$U$2004,0)))</f>
        <v/>
      </c>
      <c r="N304" s="9">
        <f>IF($K304="","",INDEX('سجل التحفيز'!$M$5:$M$2004,MATCH($K304,'سجل التحفيز'!$U$5:$U$2004,0)))</f>
        <v/>
      </c>
      <c r="O304" s="9">
        <f>IF($K304="","",INDEX('سجل التحفيز'!$C$5:$C$2004,MATCH($K304,'سجل التحفيز'!$U$5:$U$2004,0)))</f>
        <v/>
      </c>
      <c r="P304" s="36">
        <f>IF($K304="","",INDEX('سجل التحفيز'!$D$5:$D$2004,MATCH($K304,'سجل التحفيز'!$U$5:$U$2004,0)))</f>
        <v/>
      </c>
      <c r="Q304" s="9">
        <f>IF($K304="","",INDEX('سجل التحفيز'!$E$5:$E$2004,MATCH($K304,'سجل التحفيز'!$U$5:$U$2004,0)))</f>
        <v/>
      </c>
      <c r="R304" s="9">
        <f>IF($K304="","",INDEX('سجل التحفيز'!$F$5:$F$2004,MATCH($K304,'سجل التحفيز'!$U$5:$U$2004,0)))</f>
        <v/>
      </c>
      <c r="S304" s="35">
        <f>IF($K304="","",INDEX('سجل التحفيز'!$G$5:$G$2004,MATCH($K304,'سجل التحفيز'!$U$5:$U$2004,0)))</f>
        <v/>
      </c>
    </row>
    <row r="305">
      <c r="K305" s="36">
        <f>IF(252&gt;$B$10,"",252)</f>
        <v/>
      </c>
      <c r="L305" s="37">
        <f>IF($K305="","",INDEX('سجل التحفيز'!$A$5:$A$2004,MATCH($K305,'سجل التحفيز'!$U$5:$U$2004,0)))</f>
        <v/>
      </c>
      <c r="M305" s="9">
        <f>IF($K305="","",INDEX('سجل التحفيز'!$B$5:$B$2004,MATCH($K305,'سجل التحفيز'!$U$5:$U$2004,0)))</f>
        <v/>
      </c>
      <c r="N305" s="9">
        <f>IF($K305="","",INDEX('سجل التحفيز'!$M$5:$M$2004,MATCH($K305,'سجل التحفيز'!$U$5:$U$2004,0)))</f>
        <v/>
      </c>
      <c r="O305" s="9">
        <f>IF($K305="","",INDEX('سجل التحفيز'!$C$5:$C$2004,MATCH($K305,'سجل التحفيز'!$U$5:$U$2004,0)))</f>
        <v/>
      </c>
      <c r="P305" s="36">
        <f>IF($K305="","",INDEX('سجل التحفيز'!$D$5:$D$2004,MATCH($K305,'سجل التحفيز'!$U$5:$U$2004,0)))</f>
        <v/>
      </c>
      <c r="Q305" s="9">
        <f>IF($K305="","",INDEX('سجل التحفيز'!$E$5:$E$2004,MATCH($K305,'سجل التحفيز'!$U$5:$U$2004,0)))</f>
        <v/>
      </c>
      <c r="R305" s="9">
        <f>IF($K305="","",INDEX('سجل التحفيز'!$F$5:$F$2004,MATCH($K305,'سجل التحفيز'!$U$5:$U$2004,0)))</f>
        <v/>
      </c>
      <c r="S305" s="35">
        <f>IF($K305="","",INDEX('سجل التحفيز'!$G$5:$G$2004,MATCH($K305,'سجل التحفيز'!$U$5:$U$2004,0)))</f>
        <v/>
      </c>
    </row>
    <row r="306">
      <c r="K306" s="36">
        <f>IF(253&gt;$B$10,"",253)</f>
        <v/>
      </c>
      <c r="L306" s="37">
        <f>IF($K306="","",INDEX('سجل التحفيز'!$A$5:$A$2004,MATCH($K306,'سجل التحفيز'!$U$5:$U$2004,0)))</f>
        <v/>
      </c>
      <c r="M306" s="9">
        <f>IF($K306="","",INDEX('سجل التحفيز'!$B$5:$B$2004,MATCH($K306,'سجل التحفيز'!$U$5:$U$2004,0)))</f>
        <v/>
      </c>
      <c r="N306" s="9">
        <f>IF($K306="","",INDEX('سجل التحفيز'!$M$5:$M$2004,MATCH($K306,'سجل التحفيز'!$U$5:$U$2004,0)))</f>
        <v/>
      </c>
      <c r="O306" s="9">
        <f>IF($K306="","",INDEX('سجل التحفيز'!$C$5:$C$2004,MATCH($K306,'سجل التحفيز'!$U$5:$U$2004,0)))</f>
        <v/>
      </c>
      <c r="P306" s="36">
        <f>IF($K306="","",INDEX('سجل التحفيز'!$D$5:$D$2004,MATCH($K306,'سجل التحفيز'!$U$5:$U$2004,0)))</f>
        <v/>
      </c>
      <c r="Q306" s="9">
        <f>IF($K306="","",INDEX('سجل التحفيز'!$E$5:$E$2004,MATCH($K306,'سجل التحفيز'!$U$5:$U$2004,0)))</f>
        <v/>
      </c>
      <c r="R306" s="9">
        <f>IF($K306="","",INDEX('سجل التحفيز'!$F$5:$F$2004,MATCH($K306,'سجل التحفيز'!$U$5:$U$2004,0)))</f>
        <v/>
      </c>
      <c r="S306" s="35">
        <f>IF($K306="","",INDEX('سجل التحفيز'!$G$5:$G$2004,MATCH($K306,'سجل التحفيز'!$U$5:$U$2004,0)))</f>
        <v/>
      </c>
    </row>
    <row r="307">
      <c r="K307" s="36">
        <f>IF(254&gt;$B$10,"",254)</f>
        <v/>
      </c>
      <c r="L307" s="37">
        <f>IF($K307="","",INDEX('سجل التحفيز'!$A$5:$A$2004,MATCH($K307,'سجل التحفيز'!$U$5:$U$2004,0)))</f>
        <v/>
      </c>
      <c r="M307" s="9">
        <f>IF($K307="","",INDEX('سجل التحفيز'!$B$5:$B$2004,MATCH($K307,'سجل التحفيز'!$U$5:$U$2004,0)))</f>
        <v/>
      </c>
      <c r="N307" s="9">
        <f>IF($K307="","",INDEX('سجل التحفيز'!$M$5:$M$2004,MATCH($K307,'سجل التحفيز'!$U$5:$U$2004,0)))</f>
        <v/>
      </c>
      <c r="O307" s="9">
        <f>IF($K307="","",INDEX('سجل التحفيز'!$C$5:$C$2004,MATCH($K307,'سجل التحفيز'!$U$5:$U$2004,0)))</f>
        <v/>
      </c>
      <c r="P307" s="36">
        <f>IF($K307="","",INDEX('سجل التحفيز'!$D$5:$D$2004,MATCH($K307,'سجل التحفيز'!$U$5:$U$2004,0)))</f>
        <v/>
      </c>
      <c r="Q307" s="9">
        <f>IF($K307="","",INDEX('سجل التحفيز'!$E$5:$E$2004,MATCH($K307,'سجل التحفيز'!$U$5:$U$2004,0)))</f>
        <v/>
      </c>
      <c r="R307" s="9">
        <f>IF($K307="","",INDEX('سجل التحفيز'!$F$5:$F$2004,MATCH($K307,'سجل التحفيز'!$U$5:$U$2004,0)))</f>
        <v/>
      </c>
      <c r="S307" s="35">
        <f>IF($K307="","",INDEX('سجل التحفيز'!$G$5:$G$2004,MATCH($K307,'سجل التحفيز'!$U$5:$U$2004,0)))</f>
        <v/>
      </c>
    </row>
    <row r="308">
      <c r="K308" s="36">
        <f>IF(255&gt;$B$10,"",255)</f>
        <v/>
      </c>
      <c r="L308" s="37">
        <f>IF($K308="","",INDEX('سجل التحفيز'!$A$5:$A$2004,MATCH($K308,'سجل التحفيز'!$U$5:$U$2004,0)))</f>
        <v/>
      </c>
      <c r="M308" s="9">
        <f>IF($K308="","",INDEX('سجل التحفيز'!$B$5:$B$2004,MATCH($K308,'سجل التحفيز'!$U$5:$U$2004,0)))</f>
        <v/>
      </c>
      <c r="N308" s="9">
        <f>IF($K308="","",INDEX('سجل التحفيز'!$M$5:$M$2004,MATCH($K308,'سجل التحفيز'!$U$5:$U$2004,0)))</f>
        <v/>
      </c>
      <c r="O308" s="9">
        <f>IF($K308="","",INDEX('سجل التحفيز'!$C$5:$C$2004,MATCH($K308,'سجل التحفيز'!$U$5:$U$2004,0)))</f>
        <v/>
      </c>
      <c r="P308" s="36">
        <f>IF($K308="","",INDEX('سجل التحفيز'!$D$5:$D$2004,MATCH($K308,'سجل التحفيز'!$U$5:$U$2004,0)))</f>
        <v/>
      </c>
      <c r="Q308" s="9">
        <f>IF($K308="","",INDEX('سجل التحفيز'!$E$5:$E$2004,MATCH($K308,'سجل التحفيز'!$U$5:$U$2004,0)))</f>
        <v/>
      </c>
      <c r="R308" s="9">
        <f>IF($K308="","",INDEX('سجل التحفيز'!$F$5:$F$2004,MATCH($K308,'سجل التحفيز'!$U$5:$U$2004,0)))</f>
        <v/>
      </c>
      <c r="S308" s="35">
        <f>IF($K308="","",INDEX('سجل التحفيز'!$G$5:$G$2004,MATCH($K308,'سجل التحفيز'!$U$5:$U$2004,0)))</f>
        <v/>
      </c>
    </row>
    <row r="309">
      <c r="K309" s="36">
        <f>IF(256&gt;$B$10,"",256)</f>
        <v/>
      </c>
      <c r="L309" s="37">
        <f>IF($K309="","",INDEX('سجل التحفيز'!$A$5:$A$2004,MATCH($K309,'سجل التحفيز'!$U$5:$U$2004,0)))</f>
        <v/>
      </c>
      <c r="M309" s="9">
        <f>IF($K309="","",INDEX('سجل التحفيز'!$B$5:$B$2004,MATCH($K309,'سجل التحفيز'!$U$5:$U$2004,0)))</f>
        <v/>
      </c>
      <c r="N309" s="9">
        <f>IF($K309="","",INDEX('سجل التحفيز'!$M$5:$M$2004,MATCH($K309,'سجل التحفيز'!$U$5:$U$2004,0)))</f>
        <v/>
      </c>
      <c r="O309" s="9">
        <f>IF($K309="","",INDEX('سجل التحفيز'!$C$5:$C$2004,MATCH($K309,'سجل التحفيز'!$U$5:$U$2004,0)))</f>
        <v/>
      </c>
      <c r="P309" s="36">
        <f>IF($K309="","",INDEX('سجل التحفيز'!$D$5:$D$2004,MATCH($K309,'سجل التحفيز'!$U$5:$U$2004,0)))</f>
        <v/>
      </c>
      <c r="Q309" s="9">
        <f>IF($K309="","",INDEX('سجل التحفيز'!$E$5:$E$2004,MATCH($K309,'سجل التحفيز'!$U$5:$U$2004,0)))</f>
        <v/>
      </c>
      <c r="R309" s="9">
        <f>IF($K309="","",INDEX('سجل التحفيز'!$F$5:$F$2004,MATCH($K309,'سجل التحفيز'!$U$5:$U$2004,0)))</f>
        <v/>
      </c>
      <c r="S309" s="35">
        <f>IF($K309="","",INDEX('سجل التحفيز'!$G$5:$G$2004,MATCH($K309,'سجل التحفيز'!$U$5:$U$2004,0)))</f>
        <v/>
      </c>
    </row>
    <row r="310">
      <c r="K310" s="36">
        <f>IF(257&gt;$B$10,"",257)</f>
        <v/>
      </c>
      <c r="L310" s="37">
        <f>IF($K310="","",INDEX('سجل التحفيز'!$A$5:$A$2004,MATCH($K310,'سجل التحفيز'!$U$5:$U$2004,0)))</f>
        <v/>
      </c>
      <c r="M310" s="9">
        <f>IF($K310="","",INDEX('سجل التحفيز'!$B$5:$B$2004,MATCH($K310,'سجل التحفيز'!$U$5:$U$2004,0)))</f>
        <v/>
      </c>
      <c r="N310" s="9">
        <f>IF($K310="","",INDEX('سجل التحفيز'!$M$5:$M$2004,MATCH($K310,'سجل التحفيز'!$U$5:$U$2004,0)))</f>
        <v/>
      </c>
      <c r="O310" s="9">
        <f>IF($K310="","",INDEX('سجل التحفيز'!$C$5:$C$2004,MATCH($K310,'سجل التحفيز'!$U$5:$U$2004,0)))</f>
        <v/>
      </c>
      <c r="P310" s="36">
        <f>IF($K310="","",INDEX('سجل التحفيز'!$D$5:$D$2004,MATCH($K310,'سجل التحفيز'!$U$5:$U$2004,0)))</f>
        <v/>
      </c>
      <c r="Q310" s="9">
        <f>IF($K310="","",INDEX('سجل التحفيز'!$E$5:$E$2004,MATCH($K310,'سجل التحفيز'!$U$5:$U$2004,0)))</f>
        <v/>
      </c>
      <c r="R310" s="9">
        <f>IF($K310="","",INDEX('سجل التحفيز'!$F$5:$F$2004,MATCH($K310,'سجل التحفيز'!$U$5:$U$2004,0)))</f>
        <v/>
      </c>
      <c r="S310" s="35">
        <f>IF($K310="","",INDEX('سجل التحفيز'!$G$5:$G$2004,MATCH($K310,'سجل التحفيز'!$U$5:$U$2004,0)))</f>
        <v/>
      </c>
    </row>
    <row r="311">
      <c r="K311" s="36">
        <f>IF(258&gt;$B$10,"",258)</f>
        <v/>
      </c>
      <c r="L311" s="37">
        <f>IF($K311="","",INDEX('سجل التحفيز'!$A$5:$A$2004,MATCH($K311,'سجل التحفيز'!$U$5:$U$2004,0)))</f>
        <v/>
      </c>
      <c r="M311" s="9">
        <f>IF($K311="","",INDEX('سجل التحفيز'!$B$5:$B$2004,MATCH($K311,'سجل التحفيز'!$U$5:$U$2004,0)))</f>
        <v/>
      </c>
      <c r="N311" s="9">
        <f>IF($K311="","",INDEX('سجل التحفيز'!$M$5:$M$2004,MATCH($K311,'سجل التحفيز'!$U$5:$U$2004,0)))</f>
        <v/>
      </c>
      <c r="O311" s="9">
        <f>IF($K311="","",INDEX('سجل التحفيز'!$C$5:$C$2004,MATCH($K311,'سجل التحفيز'!$U$5:$U$2004,0)))</f>
        <v/>
      </c>
      <c r="P311" s="36">
        <f>IF($K311="","",INDEX('سجل التحفيز'!$D$5:$D$2004,MATCH($K311,'سجل التحفيز'!$U$5:$U$2004,0)))</f>
        <v/>
      </c>
      <c r="Q311" s="9">
        <f>IF($K311="","",INDEX('سجل التحفيز'!$E$5:$E$2004,MATCH($K311,'سجل التحفيز'!$U$5:$U$2004,0)))</f>
        <v/>
      </c>
      <c r="R311" s="9">
        <f>IF($K311="","",INDEX('سجل التحفيز'!$F$5:$F$2004,MATCH($K311,'سجل التحفيز'!$U$5:$U$2004,0)))</f>
        <v/>
      </c>
      <c r="S311" s="35">
        <f>IF($K311="","",INDEX('سجل التحفيز'!$G$5:$G$2004,MATCH($K311,'سجل التحفيز'!$U$5:$U$2004,0)))</f>
        <v/>
      </c>
    </row>
    <row r="312">
      <c r="K312" s="36">
        <f>IF(259&gt;$B$10,"",259)</f>
        <v/>
      </c>
      <c r="L312" s="37">
        <f>IF($K312="","",INDEX('سجل التحفيز'!$A$5:$A$2004,MATCH($K312,'سجل التحفيز'!$U$5:$U$2004,0)))</f>
        <v/>
      </c>
      <c r="M312" s="9">
        <f>IF($K312="","",INDEX('سجل التحفيز'!$B$5:$B$2004,MATCH($K312,'سجل التحفيز'!$U$5:$U$2004,0)))</f>
        <v/>
      </c>
      <c r="N312" s="9">
        <f>IF($K312="","",INDEX('سجل التحفيز'!$M$5:$M$2004,MATCH($K312,'سجل التحفيز'!$U$5:$U$2004,0)))</f>
        <v/>
      </c>
      <c r="O312" s="9">
        <f>IF($K312="","",INDEX('سجل التحفيز'!$C$5:$C$2004,MATCH($K312,'سجل التحفيز'!$U$5:$U$2004,0)))</f>
        <v/>
      </c>
      <c r="P312" s="36">
        <f>IF($K312="","",INDEX('سجل التحفيز'!$D$5:$D$2004,MATCH($K312,'سجل التحفيز'!$U$5:$U$2004,0)))</f>
        <v/>
      </c>
      <c r="Q312" s="9">
        <f>IF($K312="","",INDEX('سجل التحفيز'!$E$5:$E$2004,MATCH($K312,'سجل التحفيز'!$U$5:$U$2004,0)))</f>
        <v/>
      </c>
      <c r="R312" s="9">
        <f>IF($K312="","",INDEX('سجل التحفيز'!$F$5:$F$2004,MATCH($K312,'سجل التحفيز'!$U$5:$U$2004,0)))</f>
        <v/>
      </c>
      <c r="S312" s="35">
        <f>IF($K312="","",INDEX('سجل التحفيز'!$G$5:$G$2004,MATCH($K312,'سجل التحفيز'!$U$5:$U$2004,0)))</f>
        <v/>
      </c>
    </row>
    <row r="313">
      <c r="K313" s="36">
        <f>IF(260&gt;$B$10,"",260)</f>
        <v/>
      </c>
      <c r="L313" s="37">
        <f>IF($K313="","",INDEX('سجل التحفيز'!$A$5:$A$2004,MATCH($K313,'سجل التحفيز'!$U$5:$U$2004,0)))</f>
        <v/>
      </c>
      <c r="M313" s="9">
        <f>IF($K313="","",INDEX('سجل التحفيز'!$B$5:$B$2004,MATCH($K313,'سجل التحفيز'!$U$5:$U$2004,0)))</f>
        <v/>
      </c>
      <c r="N313" s="9">
        <f>IF($K313="","",INDEX('سجل التحفيز'!$M$5:$M$2004,MATCH($K313,'سجل التحفيز'!$U$5:$U$2004,0)))</f>
        <v/>
      </c>
      <c r="O313" s="9">
        <f>IF($K313="","",INDEX('سجل التحفيز'!$C$5:$C$2004,MATCH($K313,'سجل التحفيز'!$U$5:$U$2004,0)))</f>
        <v/>
      </c>
      <c r="P313" s="36">
        <f>IF($K313="","",INDEX('سجل التحفيز'!$D$5:$D$2004,MATCH($K313,'سجل التحفيز'!$U$5:$U$2004,0)))</f>
        <v/>
      </c>
      <c r="Q313" s="9">
        <f>IF($K313="","",INDEX('سجل التحفيز'!$E$5:$E$2004,MATCH($K313,'سجل التحفيز'!$U$5:$U$2004,0)))</f>
        <v/>
      </c>
      <c r="R313" s="9">
        <f>IF($K313="","",INDEX('سجل التحفيز'!$F$5:$F$2004,MATCH($K313,'سجل التحفيز'!$U$5:$U$2004,0)))</f>
        <v/>
      </c>
      <c r="S313" s="35">
        <f>IF($K313="","",INDEX('سجل التحفيز'!$G$5:$G$2004,MATCH($K313,'سجل التحفيز'!$U$5:$U$2004,0)))</f>
        <v/>
      </c>
    </row>
    <row r="314">
      <c r="K314" s="36">
        <f>IF(261&gt;$B$10,"",261)</f>
        <v/>
      </c>
      <c r="L314" s="37">
        <f>IF($K314="","",INDEX('سجل التحفيز'!$A$5:$A$2004,MATCH($K314,'سجل التحفيز'!$U$5:$U$2004,0)))</f>
        <v/>
      </c>
      <c r="M314" s="9">
        <f>IF($K314="","",INDEX('سجل التحفيز'!$B$5:$B$2004,MATCH($K314,'سجل التحفيز'!$U$5:$U$2004,0)))</f>
        <v/>
      </c>
      <c r="N314" s="9">
        <f>IF($K314="","",INDEX('سجل التحفيز'!$M$5:$M$2004,MATCH($K314,'سجل التحفيز'!$U$5:$U$2004,0)))</f>
        <v/>
      </c>
      <c r="O314" s="9">
        <f>IF($K314="","",INDEX('سجل التحفيز'!$C$5:$C$2004,MATCH($K314,'سجل التحفيز'!$U$5:$U$2004,0)))</f>
        <v/>
      </c>
      <c r="P314" s="36">
        <f>IF($K314="","",INDEX('سجل التحفيز'!$D$5:$D$2004,MATCH($K314,'سجل التحفيز'!$U$5:$U$2004,0)))</f>
        <v/>
      </c>
      <c r="Q314" s="9">
        <f>IF($K314="","",INDEX('سجل التحفيز'!$E$5:$E$2004,MATCH($K314,'سجل التحفيز'!$U$5:$U$2004,0)))</f>
        <v/>
      </c>
      <c r="R314" s="9">
        <f>IF($K314="","",INDEX('سجل التحفيز'!$F$5:$F$2004,MATCH($K314,'سجل التحفيز'!$U$5:$U$2004,0)))</f>
        <v/>
      </c>
      <c r="S314" s="35">
        <f>IF($K314="","",INDEX('سجل التحفيز'!$G$5:$G$2004,MATCH($K314,'سجل التحفيز'!$U$5:$U$2004,0)))</f>
        <v/>
      </c>
    </row>
    <row r="315">
      <c r="K315" s="36">
        <f>IF(262&gt;$B$10,"",262)</f>
        <v/>
      </c>
      <c r="L315" s="37">
        <f>IF($K315="","",INDEX('سجل التحفيز'!$A$5:$A$2004,MATCH($K315,'سجل التحفيز'!$U$5:$U$2004,0)))</f>
        <v/>
      </c>
      <c r="M315" s="9">
        <f>IF($K315="","",INDEX('سجل التحفيز'!$B$5:$B$2004,MATCH($K315,'سجل التحفيز'!$U$5:$U$2004,0)))</f>
        <v/>
      </c>
      <c r="N315" s="9">
        <f>IF($K315="","",INDEX('سجل التحفيز'!$M$5:$M$2004,MATCH($K315,'سجل التحفيز'!$U$5:$U$2004,0)))</f>
        <v/>
      </c>
      <c r="O315" s="9">
        <f>IF($K315="","",INDEX('سجل التحفيز'!$C$5:$C$2004,MATCH($K315,'سجل التحفيز'!$U$5:$U$2004,0)))</f>
        <v/>
      </c>
      <c r="P315" s="36">
        <f>IF($K315="","",INDEX('سجل التحفيز'!$D$5:$D$2004,MATCH($K315,'سجل التحفيز'!$U$5:$U$2004,0)))</f>
        <v/>
      </c>
      <c r="Q315" s="9">
        <f>IF($K315="","",INDEX('سجل التحفيز'!$E$5:$E$2004,MATCH($K315,'سجل التحفيز'!$U$5:$U$2004,0)))</f>
        <v/>
      </c>
      <c r="R315" s="9">
        <f>IF($K315="","",INDEX('سجل التحفيز'!$F$5:$F$2004,MATCH($K315,'سجل التحفيز'!$U$5:$U$2004,0)))</f>
        <v/>
      </c>
      <c r="S315" s="35">
        <f>IF($K315="","",INDEX('سجل التحفيز'!$G$5:$G$2004,MATCH($K315,'سجل التحفيز'!$U$5:$U$2004,0)))</f>
        <v/>
      </c>
    </row>
    <row r="316">
      <c r="K316" s="36">
        <f>IF(263&gt;$B$10,"",263)</f>
        <v/>
      </c>
      <c r="L316" s="37">
        <f>IF($K316="","",INDEX('سجل التحفيز'!$A$5:$A$2004,MATCH($K316,'سجل التحفيز'!$U$5:$U$2004,0)))</f>
        <v/>
      </c>
      <c r="M316" s="9">
        <f>IF($K316="","",INDEX('سجل التحفيز'!$B$5:$B$2004,MATCH($K316,'سجل التحفيز'!$U$5:$U$2004,0)))</f>
        <v/>
      </c>
      <c r="N316" s="9">
        <f>IF($K316="","",INDEX('سجل التحفيز'!$M$5:$M$2004,MATCH($K316,'سجل التحفيز'!$U$5:$U$2004,0)))</f>
        <v/>
      </c>
      <c r="O316" s="9">
        <f>IF($K316="","",INDEX('سجل التحفيز'!$C$5:$C$2004,MATCH($K316,'سجل التحفيز'!$U$5:$U$2004,0)))</f>
        <v/>
      </c>
      <c r="P316" s="36">
        <f>IF($K316="","",INDEX('سجل التحفيز'!$D$5:$D$2004,MATCH($K316,'سجل التحفيز'!$U$5:$U$2004,0)))</f>
        <v/>
      </c>
      <c r="Q316" s="9">
        <f>IF($K316="","",INDEX('سجل التحفيز'!$E$5:$E$2004,MATCH($K316,'سجل التحفيز'!$U$5:$U$2004,0)))</f>
        <v/>
      </c>
      <c r="R316" s="9">
        <f>IF($K316="","",INDEX('سجل التحفيز'!$F$5:$F$2004,MATCH($K316,'سجل التحفيز'!$U$5:$U$2004,0)))</f>
        <v/>
      </c>
      <c r="S316" s="35">
        <f>IF($K316="","",INDEX('سجل التحفيز'!$G$5:$G$2004,MATCH($K316,'سجل التحفيز'!$U$5:$U$2004,0)))</f>
        <v/>
      </c>
    </row>
    <row r="317">
      <c r="K317" s="36">
        <f>IF(264&gt;$B$10,"",264)</f>
        <v/>
      </c>
      <c r="L317" s="37">
        <f>IF($K317="","",INDEX('سجل التحفيز'!$A$5:$A$2004,MATCH($K317,'سجل التحفيز'!$U$5:$U$2004,0)))</f>
        <v/>
      </c>
      <c r="M317" s="9">
        <f>IF($K317="","",INDEX('سجل التحفيز'!$B$5:$B$2004,MATCH($K317,'سجل التحفيز'!$U$5:$U$2004,0)))</f>
        <v/>
      </c>
      <c r="N317" s="9">
        <f>IF($K317="","",INDEX('سجل التحفيز'!$M$5:$M$2004,MATCH($K317,'سجل التحفيز'!$U$5:$U$2004,0)))</f>
        <v/>
      </c>
      <c r="O317" s="9">
        <f>IF($K317="","",INDEX('سجل التحفيز'!$C$5:$C$2004,MATCH($K317,'سجل التحفيز'!$U$5:$U$2004,0)))</f>
        <v/>
      </c>
      <c r="P317" s="36">
        <f>IF($K317="","",INDEX('سجل التحفيز'!$D$5:$D$2004,MATCH($K317,'سجل التحفيز'!$U$5:$U$2004,0)))</f>
        <v/>
      </c>
      <c r="Q317" s="9">
        <f>IF($K317="","",INDEX('سجل التحفيز'!$E$5:$E$2004,MATCH($K317,'سجل التحفيز'!$U$5:$U$2004,0)))</f>
        <v/>
      </c>
      <c r="R317" s="9">
        <f>IF($K317="","",INDEX('سجل التحفيز'!$F$5:$F$2004,MATCH($K317,'سجل التحفيز'!$U$5:$U$2004,0)))</f>
        <v/>
      </c>
      <c r="S317" s="35">
        <f>IF($K317="","",INDEX('سجل التحفيز'!$G$5:$G$2004,MATCH($K317,'سجل التحفيز'!$U$5:$U$2004,0)))</f>
        <v/>
      </c>
    </row>
    <row r="318">
      <c r="K318" s="36">
        <f>IF(265&gt;$B$10,"",265)</f>
        <v/>
      </c>
      <c r="L318" s="37">
        <f>IF($K318="","",INDEX('سجل التحفيز'!$A$5:$A$2004,MATCH($K318,'سجل التحفيز'!$U$5:$U$2004,0)))</f>
        <v/>
      </c>
      <c r="M318" s="9">
        <f>IF($K318="","",INDEX('سجل التحفيز'!$B$5:$B$2004,MATCH($K318,'سجل التحفيز'!$U$5:$U$2004,0)))</f>
        <v/>
      </c>
      <c r="N318" s="9">
        <f>IF($K318="","",INDEX('سجل التحفيز'!$M$5:$M$2004,MATCH($K318,'سجل التحفيز'!$U$5:$U$2004,0)))</f>
        <v/>
      </c>
      <c r="O318" s="9">
        <f>IF($K318="","",INDEX('سجل التحفيز'!$C$5:$C$2004,MATCH($K318,'سجل التحفيز'!$U$5:$U$2004,0)))</f>
        <v/>
      </c>
      <c r="P318" s="36">
        <f>IF($K318="","",INDEX('سجل التحفيز'!$D$5:$D$2004,MATCH($K318,'سجل التحفيز'!$U$5:$U$2004,0)))</f>
        <v/>
      </c>
      <c r="Q318" s="9">
        <f>IF($K318="","",INDEX('سجل التحفيز'!$E$5:$E$2004,MATCH($K318,'سجل التحفيز'!$U$5:$U$2004,0)))</f>
        <v/>
      </c>
      <c r="R318" s="9">
        <f>IF($K318="","",INDEX('سجل التحفيز'!$F$5:$F$2004,MATCH($K318,'سجل التحفيز'!$U$5:$U$2004,0)))</f>
        <v/>
      </c>
      <c r="S318" s="35">
        <f>IF($K318="","",INDEX('سجل التحفيز'!$G$5:$G$2004,MATCH($K318,'سجل التحفيز'!$U$5:$U$2004,0)))</f>
        <v/>
      </c>
    </row>
    <row r="319">
      <c r="K319" s="36">
        <f>IF(266&gt;$B$10,"",266)</f>
        <v/>
      </c>
      <c r="L319" s="37">
        <f>IF($K319="","",INDEX('سجل التحفيز'!$A$5:$A$2004,MATCH($K319,'سجل التحفيز'!$U$5:$U$2004,0)))</f>
        <v/>
      </c>
      <c r="M319" s="9">
        <f>IF($K319="","",INDEX('سجل التحفيز'!$B$5:$B$2004,MATCH($K319,'سجل التحفيز'!$U$5:$U$2004,0)))</f>
        <v/>
      </c>
      <c r="N319" s="9">
        <f>IF($K319="","",INDEX('سجل التحفيز'!$M$5:$M$2004,MATCH($K319,'سجل التحفيز'!$U$5:$U$2004,0)))</f>
        <v/>
      </c>
      <c r="O319" s="9">
        <f>IF($K319="","",INDEX('سجل التحفيز'!$C$5:$C$2004,MATCH($K319,'سجل التحفيز'!$U$5:$U$2004,0)))</f>
        <v/>
      </c>
      <c r="P319" s="36">
        <f>IF($K319="","",INDEX('سجل التحفيز'!$D$5:$D$2004,MATCH($K319,'سجل التحفيز'!$U$5:$U$2004,0)))</f>
        <v/>
      </c>
      <c r="Q319" s="9">
        <f>IF($K319="","",INDEX('سجل التحفيز'!$E$5:$E$2004,MATCH($K319,'سجل التحفيز'!$U$5:$U$2004,0)))</f>
        <v/>
      </c>
      <c r="R319" s="9">
        <f>IF($K319="","",INDEX('سجل التحفيز'!$F$5:$F$2004,MATCH($K319,'سجل التحفيز'!$U$5:$U$2004,0)))</f>
        <v/>
      </c>
      <c r="S319" s="35">
        <f>IF($K319="","",INDEX('سجل التحفيز'!$G$5:$G$2004,MATCH($K319,'سجل التحفيز'!$U$5:$U$2004,0)))</f>
        <v/>
      </c>
    </row>
    <row r="320">
      <c r="K320" s="36">
        <f>IF(267&gt;$B$10,"",267)</f>
        <v/>
      </c>
      <c r="L320" s="37">
        <f>IF($K320="","",INDEX('سجل التحفيز'!$A$5:$A$2004,MATCH($K320,'سجل التحفيز'!$U$5:$U$2004,0)))</f>
        <v/>
      </c>
      <c r="M320" s="9">
        <f>IF($K320="","",INDEX('سجل التحفيز'!$B$5:$B$2004,MATCH($K320,'سجل التحفيز'!$U$5:$U$2004,0)))</f>
        <v/>
      </c>
      <c r="N320" s="9">
        <f>IF($K320="","",INDEX('سجل التحفيز'!$M$5:$M$2004,MATCH($K320,'سجل التحفيز'!$U$5:$U$2004,0)))</f>
        <v/>
      </c>
      <c r="O320" s="9">
        <f>IF($K320="","",INDEX('سجل التحفيز'!$C$5:$C$2004,MATCH($K320,'سجل التحفيز'!$U$5:$U$2004,0)))</f>
        <v/>
      </c>
      <c r="P320" s="36">
        <f>IF($K320="","",INDEX('سجل التحفيز'!$D$5:$D$2004,MATCH($K320,'سجل التحفيز'!$U$5:$U$2004,0)))</f>
        <v/>
      </c>
      <c r="Q320" s="9">
        <f>IF($K320="","",INDEX('سجل التحفيز'!$E$5:$E$2004,MATCH($K320,'سجل التحفيز'!$U$5:$U$2004,0)))</f>
        <v/>
      </c>
      <c r="R320" s="9">
        <f>IF($K320="","",INDEX('سجل التحفيز'!$F$5:$F$2004,MATCH($K320,'سجل التحفيز'!$U$5:$U$2004,0)))</f>
        <v/>
      </c>
      <c r="S320" s="35">
        <f>IF($K320="","",INDEX('سجل التحفيز'!$G$5:$G$2004,MATCH($K320,'سجل التحفيز'!$U$5:$U$2004,0)))</f>
        <v/>
      </c>
    </row>
    <row r="321">
      <c r="K321" s="36">
        <f>IF(268&gt;$B$10,"",268)</f>
        <v/>
      </c>
      <c r="L321" s="37">
        <f>IF($K321="","",INDEX('سجل التحفيز'!$A$5:$A$2004,MATCH($K321,'سجل التحفيز'!$U$5:$U$2004,0)))</f>
        <v/>
      </c>
      <c r="M321" s="9">
        <f>IF($K321="","",INDEX('سجل التحفيز'!$B$5:$B$2004,MATCH($K321,'سجل التحفيز'!$U$5:$U$2004,0)))</f>
        <v/>
      </c>
      <c r="N321" s="9">
        <f>IF($K321="","",INDEX('سجل التحفيز'!$M$5:$M$2004,MATCH($K321,'سجل التحفيز'!$U$5:$U$2004,0)))</f>
        <v/>
      </c>
      <c r="O321" s="9">
        <f>IF($K321="","",INDEX('سجل التحفيز'!$C$5:$C$2004,MATCH($K321,'سجل التحفيز'!$U$5:$U$2004,0)))</f>
        <v/>
      </c>
      <c r="P321" s="36">
        <f>IF($K321="","",INDEX('سجل التحفيز'!$D$5:$D$2004,MATCH($K321,'سجل التحفيز'!$U$5:$U$2004,0)))</f>
        <v/>
      </c>
      <c r="Q321" s="9">
        <f>IF($K321="","",INDEX('سجل التحفيز'!$E$5:$E$2004,MATCH($K321,'سجل التحفيز'!$U$5:$U$2004,0)))</f>
        <v/>
      </c>
      <c r="R321" s="9">
        <f>IF($K321="","",INDEX('سجل التحفيز'!$F$5:$F$2004,MATCH($K321,'سجل التحفيز'!$U$5:$U$2004,0)))</f>
        <v/>
      </c>
      <c r="S321" s="35">
        <f>IF($K321="","",INDEX('سجل التحفيز'!$G$5:$G$2004,MATCH($K321,'سجل التحفيز'!$U$5:$U$2004,0)))</f>
        <v/>
      </c>
    </row>
    <row r="322">
      <c r="K322" s="36">
        <f>IF(269&gt;$B$10,"",269)</f>
        <v/>
      </c>
      <c r="L322" s="37">
        <f>IF($K322="","",INDEX('سجل التحفيز'!$A$5:$A$2004,MATCH($K322,'سجل التحفيز'!$U$5:$U$2004,0)))</f>
        <v/>
      </c>
      <c r="M322" s="9">
        <f>IF($K322="","",INDEX('سجل التحفيز'!$B$5:$B$2004,MATCH($K322,'سجل التحفيز'!$U$5:$U$2004,0)))</f>
        <v/>
      </c>
      <c r="N322" s="9">
        <f>IF($K322="","",INDEX('سجل التحفيز'!$M$5:$M$2004,MATCH($K322,'سجل التحفيز'!$U$5:$U$2004,0)))</f>
        <v/>
      </c>
      <c r="O322" s="9">
        <f>IF($K322="","",INDEX('سجل التحفيز'!$C$5:$C$2004,MATCH($K322,'سجل التحفيز'!$U$5:$U$2004,0)))</f>
        <v/>
      </c>
      <c r="P322" s="36">
        <f>IF($K322="","",INDEX('سجل التحفيز'!$D$5:$D$2004,MATCH($K322,'سجل التحفيز'!$U$5:$U$2004,0)))</f>
        <v/>
      </c>
      <c r="Q322" s="9">
        <f>IF($K322="","",INDEX('سجل التحفيز'!$E$5:$E$2004,MATCH($K322,'سجل التحفيز'!$U$5:$U$2004,0)))</f>
        <v/>
      </c>
      <c r="R322" s="9">
        <f>IF($K322="","",INDEX('سجل التحفيز'!$F$5:$F$2004,MATCH($K322,'سجل التحفيز'!$U$5:$U$2004,0)))</f>
        <v/>
      </c>
      <c r="S322" s="35">
        <f>IF($K322="","",INDEX('سجل التحفيز'!$G$5:$G$2004,MATCH($K322,'سجل التحفيز'!$U$5:$U$2004,0)))</f>
        <v/>
      </c>
    </row>
    <row r="323">
      <c r="K323" s="36">
        <f>IF(270&gt;$B$10,"",270)</f>
        <v/>
      </c>
      <c r="L323" s="37">
        <f>IF($K323="","",INDEX('سجل التحفيز'!$A$5:$A$2004,MATCH($K323,'سجل التحفيز'!$U$5:$U$2004,0)))</f>
        <v/>
      </c>
      <c r="M323" s="9">
        <f>IF($K323="","",INDEX('سجل التحفيز'!$B$5:$B$2004,MATCH($K323,'سجل التحفيز'!$U$5:$U$2004,0)))</f>
        <v/>
      </c>
      <c r="N323" s="9">
        <f>IF($K323="","",INDEX('سجل التحفيز'!$M$5:$M$2004,MATCH($K323,'سجل التحفيز'!$U$5:$U$2004,0)))</f>
        <v/>
      </c>
      <c r="O323" s="9">
        <f>IF($K323="","",INDEX('سجل التحفيز'!$C$5:$C$2004,MATCH($K323,'سجل التحفيز'!$U$5:$U$2004,0)))</f>
        <v/>
      </c>
      <c r="P323" s="36">
        <f>IF($K323="","",INDEX('سجل التحفيز'!$D$5:$D$2004,MATCH($K323,'سجل التحفيز'!$U$5:$U$2004,0)))</f>
        <v/>
      </c>
      <c r="Q323" s="9">
        <f>IF($K323="","",INDEX('سجل التحفيز'!$E$5:$E$2004,MATCH($K323,'سجل التحفيز'!$U$5:$U$2004,0)))</f>
        <v/>
      </c>
      <c r="R323" s="9">
        <f>IF($K323="","",INDEX('سجل التحفيز'!$F$5:$F$2004,MATCH($K323,'سجل التحفيز'!$U$5:$U$2004,0)))</f>
        <v/>
      </c>
      <c r="S323" s="35">
        <f>IF($K323="","",INDEX('سجل التحفيز'!$G$5:$G$2004,MATCH($K323,'سجل التحفيز'!$U$5:$U$2004,0)))</f>
        <v/>
      </c>
    </row>
    <row r="324">
      <c r="K324" s="36">
        <f>IF(271&gt;$B$10,"",271)</f>
        <v/>
      </c>
      <c r="L324" s="37">
        <f>IF($K324="","",INDEX('سجل التحفيز'!$A$5:$A$2004,MATCH($K324,'سجل التحفيز'!$U$5:$U$2004,0)))</f>
        <v/>
      </c>
      <c r="M324" s="9">
        <f>IF($K324="","",INDEX('سجل التحفيز'!$B$5:$B$2004,MATCH($K324,'سجل التحفيز'!$U$5:$U$2004,0)))</f>
        <v/>
      </c>
      <c r="N324" s="9">
        <f>IF($K324="","",INDEX('سجل التحفيز'!$M$5:$M$2004,MATCH($K324,'سجل التحفيز'!$U$5:$U$2004,0)))</f>
        <v/>
      </c>
      <c r="O324" s="9">
        <f>IF($K324="","",INDEX('سجل التحفيز'!$C$5:$C$2004,MATCH($K324,'سجل التحفيز'!$U$5:$U$2004,0)))</f>
        <v/>
      </c>
      <c r="P324" s="36">
        <f>IF($K324="","",INDEX('سجل التحفيز'!$D$5:$D$2004,MATCH($K324,'سجل التحفيز'!$U$5:$U$2004,0)))</f>
        <v/>
      </c>
      <c r="Q324" s="9">
        <f>IF($K324="","",INDEX('سجل التحفيز'!$E$5:$E$2004,MATCH($K324,'سجل التحفيز'!$U$5:$U$2004,0)))</f>
        <v/>
      </c>
      <c r="R324" s="9">
        <f>IF($K324="","",INDEX('سجل التحفيز'!$F$5:$F$2004,MATCH($K324,'سجل التحفيز'!$U$5:$U$2004,0)))</f>
        <v/>
      </c>
      <c r="S324" s="35">
        <f>IF($K324="","",INDEX('سجل التحفيز'!$G$5:$G$2004,MATCH($K324,'سجل التحفيز'!$U$5:$U$2004,0)))</f>
        <v/>
      </c>
    </row>
    <row r="325">
      <c r="K325" s="36">
        <f>IF(272&gt;$B$10,"",272)</f>
        <v/>
      </c>
      <c r="L325" s="37">
        <f>IF($K325="","",INDEX('سجل التحفيز'!$A$5:$A$2004,MATCH($K325,'سجل التحفيز'!$U$5:$U$2004,0)))</f>
        <v/>
      </c>
      <c r="M325" s="9">
        <f>IF($K325="","",INDEX('سجل التحفيز'!$B$5:$B$2004,MATCH($K325,'سجل التحفيز'!$U$5:$U$2004,0)))</f>
        <v/>
      </c>
      <c r="N325" s="9">
        <f>IF($K325="","",INDEX('سجل التحفيز'!$M$5:$M$2004,MATCH($K325,'سجل التحفيز'!$U$5:$U$2004,0)))</f>
        <v/>
      </c>
      <c r="O325" s="9">
        <f>IF($K325="","",INDEX('سجل التحفيز'!$C$5:$C$2004,MATCH($K325,'سجل التحفيز'!$U$5:$U$2004,0)))</f>
        <v/>
      </c>
      <c r="P325" s="36">
        <f>IF($K325="","",INDEX('سجل التحفيز'!$D$5:$D$2004,MATCH($K325,'سجل التحفيز'!$U$5:$U$2004,0)))</f>
        <v/>
      </c>
      <c r="Q325" s="9">
        <f>IF($K325="","",INDEX('سجل التحفيز'!$E$5:$E$2004,MATCH($K325,'سجل التحفيز'!$U$5:$U$2004,0)))</f>
        <v/>
      </c>
      <c r="R325" s="9">
        <f>IF($K325="","",INDEX('سجل التحفيز'!$F$5:$F$2004,MATCH($K325,'سجل التحفيز'!$U$5:$U$2004,0)))</f>
        <v/>
      </c>
      <c r="S325" s="35">
        <f>IF($K325="","",INDEX('سجل التحفيز'!$G$5:$G$2004,MATCH($K325,'سجل التحفيز'!$U$5:$U$2004,0)))</f>
        <v/>
      </c>
    </row>
    <row r="326">
      <c r="K326" s="36">
        <f>IF(273&gt;$B$10,"",273)</f>
        <v/>
      </c>
      <c r="L326" s="37">
        <f>IF($K326="","",INDEX('سجل التحفيز'!$A$5:$A$2004,MATCH($K326,'سجل التحفيز'!$U$5:$U$2004,0)))</f>
        <v/>
      </c>
      <c r="M326" s="9">
        <f>IF($K326="","",INDEX('سجل التحفيز'!$B$5:$B$2004,MATCH($K326,'سجل التحفيز'!$U$5:$U$2004,0)))</f>
        <v/>
      </c>
      <c r="N326" s="9">
        <f>IF($K326="","",INDEX('سجل التحفيز'!$M$5:$M$2004,MATCH($K326,'سجل التحفيز'!$U$5:$U$2004,0)))</f>
        <v/>
      </c>
      <c r="O326" s="9">
        <f>IF($K326="","",INDEX('سجل التحفيز'!$C$5:$C$2004,MATCH($K326,'سجل التحفيز'!$U$5:$U$2004,0)))</f>
        <v/>
      </c>
      <c r="P326" s="36">
        <f>IF($K326="","",INDEX('سجل التحفيز'!$D$5:$D$2004,MATCH($K326,'سجل التحفيز'!$U$5:$U$2004,0)))</f>
        <v/>
      </c>
      <c r="Q326" s="9">
        <f>IF($K326="","",INDEX('سجل التحفيز'!$E$5:$E$2004,MATCH($K326,'سجل التحفيز'!$U$5:$U$2004,0)))</f>
        <v/>
      </c>
      <c r="R326" s="9">
        <f>IF($K326="","",INDEX('سجل التحفيز'!$F$5:$F$2004,MATCH($K326,'سجل التحفيز'!$U$5:$U$2004,0)))</f>
        <v/>
      </c>
      <c r="S326" s="35">
        <f>IF($K326="","",INDEX('سجل التحفيز'!$G$5:$G$2004,MATCH($K326,'سجل التحفيز'!$U$5:$U$2004,0)))</f>
        <v/>
      </c>
    </row>
    <row r="327">
      <c r="K327" s="36">
        <f>IF(274&gt;$B$10,"",274)</f>
        <v/>
      </c>
      <c r="L327" s="37">
        <f>IF($K327="","",INDEX('سجل التحفيز'!$A$5:$A$2004,MATCH($K327,'سجل التحفيز'!$U$5:$U$2004,0)))</f>
        <v/>
      </c>
      <c r="M327" s="9">
        <f>IF($K327="","",INDEX('سجل التحفيز'!$B$5:$B$2004,MATCH($K327,'سجل التحفيز'!$U$5:$U$2004,0)))</f>
        <v/>
      </c>
      <c r="N327" s="9">
        <f>IF($K327="","",INDEX('سجل التحفيز'!$M$5:$M$2004,MATCH($K327,'سجل التحفيز'!$U$5:$U$2004,0)))</f>
        <v/>
      </c>
      <c r="O327" s="9">
        <f>IF($K327="","",INDEX('سجل التحفيز'!$C$5:$C$2004,MATCH($K327,'سجل التحفيز'!$U$5:$U$2004,0)))</f>
        <v/>
      </c>
      <c r="P327" s="36">
        <f>IF($K327="","",INDEX('سجل التحفيز'!$D$5:$D$2004,MATCH($K327,'سجل التحفيز'!$U$5:$U$2004,0)))</f>
        <v/>
      </c>
      <c r="Q327" s="9">
        <f>IF($K327="","",INDEX('سجل التحفيز'!$E$5:$E$2004,MATCH($K327,'سجل التحفيز'!$U$5:$U$2004,0)))</f>
        <v/>
      </c>
      <c r="R327" s="9">
        <f>IF($K327="","",INDEX('سجل التحفيز'!$F$5:$F$2004,MATCH($K327,'سجل التحفيز'!$U$5:$U$2004,0)))</f>
        <v/>
      </c>
      <c r="S327" s="35">
        <f>IF($K327="","",INDEX('سجل التحفيز'!$G$5:$G$2004,MATCH($K327,'سجل التحفيز'!$U$5:$U$2004,0)))</f>
        <v/>
      </c>
    </row>
    <row r="328">
      <c r="K328" s="36">
        <f>IF(275&gt;$B$10,"",275)</f>
        <v/>
      </c>
      <c r="L328" s="37">
        <f>IF($K328="","",INDEX('سجل التحفيز'!$A$5:$A$2004,MATCH($K328,'سجل التحفيز'!$U$5:$U$2004,0)))</f>
        <v/>
      </c>
      <c r="M328" s="9">
        <f>IF($K328="","",INDEX('سجل التحفيز'!$B$5:$B$2004,MATCH($K328,'سجل التحفيز'!$U$5:$U$2004,0)))</f>
        <v/>
      </c>
      <c r="N328" s="9">
        <f>IF($K328="","",INDEX('سجل التحفيز'!$M$5:$M$2004,MATCH($K328,'سجل التحفيز'!$U$5:$U$2004,0)))</f>
        <v/>
      </c>
      <c r="O328" s="9">
        <f>IF($K328="","",INDEX('سجل التحفيز'!$C$5:$C$2004,MATCH($K328,'سجل التحفيز'!$U$5:$U$2004,0)))</f>
        <v/>
      </c>
      <c r="P328" s="36">
        <f>IF($K328="","",INDEX('سجل التحفيز'!$D$5:$D$2004,MATCH($K328,'سجل التحفيز'!$U$5:$U$2004,0)))</f>
        <v/>
      </c>
      <c r="Q328" s="9">
        <f>IF($K328="","",INDEX('سجل التحفيز'!$E$5:$E$2004,MATCH($K328,'سجل التحفيز'!$U$5:$U$2004,0)))</f>
        <v/>
      </c>
      <c r="R328" s="9">
        <f>IF($K328="","",INDEX('سجل التحفيز'!$F$5:$F$2004,MATCH($K328,'سجل التحفيز'!$U$5:$U$2004,0)))</f>
        <v/>
      </c>
      <c r="S328" s="35">
        <f>IF($K328="","",INDEX('سجل التحفيز'!$G$5:$G$2004,MATCH($K328,'سجل التحفيز'!$U$5:$U$2004,0)))</f>
        <v/>
      </c>
    </row>
    <row r="329">
      <c r="K329" s="36">
        <f>IF(276&gt;$B$10,"",276)</f>
        <v/>
      </c>
      <c r="L329" s="37">
        <f>IF($K329="","",INDEX('سجل التحفيز'!$A$5:$A$2004,MATCH($K329,'سجل التحفيز'!$U$5:$U$2004,0)))</f>
        <v/>
      </c>
      <c r="M329" s="9">
        <f>IF($K329="","",INDEX('سجل التحفيز'!$B$5:$B$2004,MATCH($K329,'سجل التحفيز'!$U$5:$U$2004,0)))</f>
        <v/>
      </c>
      <c r="N329" s="9">
        <f>IF($K329="","",INDEX('سجل التحفيز'!$M$5:$M$2004,MATCH($K329,'سجل التحفيز'!$U$5:$U$2004,0)))</f>
        <v/>
      </c>
      <c r="O329" s="9">
        <f>IF($K329="","",INDEX('سجل التحفيز'!$C$5:$C$2004,MATCH($K329,'سجل التحفيز'!$U$5:$U$2004,0)))</f>
        <v/>
      </c>
      <c r="P329" s="36">
        <f>IF($K329="","",INDEX('سجل التحفيز'!$D$5:$D$2004,MATCH($K329,'سجل التحفيز'!$U$5:$U$2004,0)))</f>
        <v/>
      </c>
      <c r="Q329" s="9">
        <f>IF($K329="","",INDEX('سجل التحفيز'!$E$5:$E$2004,MATCH($K329,'سجل التحفيز'!$U$5:$U$2004,0)))</f>
        <v/>
      </c>
      <c r="R329" s="9">
        <f>IF($K329="","",INDEX('سجل التحفيز'!$F$5:$F$2004,MATCH($K329,'سجل التحفيز'!$U$5:$U$2004,0)))</f>
        <v/>
      </c>
      <c r="S329" s="35">
        <f>IF($K329="","",INDEX('سجل التحفيز'!$G$5:$G$2004,MATCH($K329,'سجل التحفيز'!$U$5:$U$2004,0)))</f>
        <v/>
      </c>
    </row>
    <row r="330">
      <c r="K330" s="36">
        <f>IF(277&gt;$B$10,"",277)</f>
        <v/>
      </c>
      <c r="L330" s="37">
        <f>IF($K330="","",INDEX('سجل التحفيز'!$A$5:$A$2004,MATCH($K330,'سجل التحفيز'!$U$5:$U$2004,0)))</f>
        <v/>
      </c>
      <c r="M330" s="9">
        <f>IF($K330="","",INDEX('سجل التحفيز'!$B$5:$B$2004,MATCH($K330,'سجل التحفيز'!$U$5:$U$2004,0)))</f>
        <v/>
      </c>
      <c r="N330" s="9">
        <f>IF($K330="","",INDEX('سجل التحفيز'!$M$5:$M$2004,MATCH($K330,'سجل التحفيز'!$U$5:$U$2004,0)))</f>
        <v/>
      </c>
      <c r="O330" s="9">
        <f>IF($K330="","",INDEX('سجل التحفيز'!$C$5:$C$2004,MATCH($K330,'سجل التحفيز'!$U$5:$U$2004,0)))</f>
        <v/>
      </c>
      <c r="P330" s="36">
        <f>IF($K330="","",INDEX('سجل التحفيز'!$D$5:$D$2004,MATCH($K330,'سجل التحفيز'!$U$5:$U$2004,0)))</f>
        <v/>
      </c>
      <c r="Q330" s="9">
        <f>IF($K330="","",INDEX('سجل التحفيز'!$E$5:$E$2004,MATCH($K330,'سجل التحفيز'!$U$5:$U$2004,0)))</f>
        <v/>
      </c>
      <c r="R330" s="9">
        <f>IF($K330="","",INDEX('سجل التحفيز'!$F$5:$F$2004,MATCH($K330,'سجل التحفيز'!$U$5:$U$2004,0)))</f>
        <v/>
      </c>
      <c r="S330" s="35">
        <f>IF($K330="","",INDEX('سجل التحفيز'!$G$5:$G$2004,MATCH($K330,'سجل التحفيز'!$U$5:$U$2004,0)))</f>
        <v/>
      </c>
    </row>
    <row r="331">
      <c r="K331" s="36">
        <f>IF(278&gt;$B$10,"",278)</f>
        <v/>
      </c>
      <c r="L331" s="37">
        <f>IF($K331="","",INDEX('سجل التحفيز'!$A$5:$A$2004,MATCH($K331,'سجل التحفيز'!$U$5:$U$2004,0)))</f>
        <v/>
      </c>
      <c r="M331" s="9">
        <f>IF($K331="","",INDEX('سجل التحفيز'!$B$5:$B$2004,MATCH($K331,'سجل التحفيز'!$U$5:$U$2004,0)))</f>
        <v/>
      </c>
      <c r="N331" s="9">
        <f>IF($K331="","",INDEX('سجل التحفيز'!$M$5:$M$2004,MATCH($K331,'سجل التحفيز'!$U$5:$U$2004,0)))</f>
        <v/>
      </c>
      <c r="O331" s="9">
        <f>IF($K331="","",INDEX('سجل التحفيز'!$C$5:$C$2004,MATCH($K331,'سجل التحفيز'!$U$5:$U$2004,0)))</f>
        <v/>
      </c>
      <c r="P331" s="36">
        <f>IF($K331="","",INDEX('سجل التحفيز'!$D$5:$D$2004,MATCH($K331,'سجل التحفيز'!$U$5:$U$2004,0)))</f>
        <v/>
      </c>
      <c r="Q331" s="9">
        <f>IF($K331="","",INDEX('سجل التحفيز'!$E$5:$E$2004,MATCH($K331,'سجل التحفيز'!$U$5:$U$2004,0)))</f>
        <v/>
      </c>
      <c r="R331" s="9">
        <f>IF($K331="","",INDEX('سجل التحفيز'!$F$5:$F$2004,MATCH($K331,'سجل التحفيز'!$U$5:$U$2004,0)))</f>
        <v/>
      </c>
      <c r="S331" s="35">
        <f>IF($K331="","",INDEX('سجل التحفيز'!$G$5:$G$2004,MATCH($K331,'سجل التحفيز'!$U$5:$U$2004,0)))</f>
        <v/>
      </c>
    </row>
    <row r="332">
      <c r="K332" s="36">
        <f>IF(279&gt;$B$10,"",279)</f>
        <v/>
      </c>
      <c r="L332" s="37">
        <f>IF($K332="","",INDEX('سجل التحفيز'!$A$5:$A$2004,MATCH($K332,'سجل التحفيز'!$U$5:$U$2004,0)))</f>
        <v/>
      </c>
      <c r="M332" s="9">
        <f>IF($K332="","",INDEX('سجل التحفيز'!$B$5:$B$2004,MATCH($K332,'سجل التحفيز'!$U$5:$U$2004,0)))</f>
        <v/>
      </c>
      <c r="N332" s="9">
        <f>IF($K332="","",INDEX('سجل التحفيز'!$M$5:$M$2004,MATCH($K332,'سجل التحفيز'!$U$5:$U$2004,0)))</f>
        <v/>
      </c>
      <c r="O332" s="9">
        <f>IF($K332="","",INDEX('سجل التحفيز'!$C$5:$C$2004,MATCH($K332,'سجل التحفيز'!$U$5:$U$2004,0)))</f>
        <v/>
      </c>
      <c r="P332" s="36">
        <f>IF($K332="","",INDEX('سجل التحفيز'!$D$5:$D$2004,MATCH($K332,'سجل التحفيز'!$U$5:$U$2004,0)))</f>
        <v/>
      </c>
      <c r="Q332" s="9">
        <f>IF($K332="","",INDEX('سجل التحفيز'!$E$5:$E$2004,MATCH($K332,'سجل التحفيز'!$U$5:$U$2004,0)))</f>
        <v/>
      </c>
      <c r="R332" s="9">
        <f>IF($K332="","",INDEX('سجل التحفيز'!$F$5:$F$2004,MATCH($K332,'سجل التحفيز'!$U$5:$U$2004,0)))</f>
        <v/>
      </c>
      <c r="S332" s="35">
        <f>IF($K332="","",INDEX('سجل التحفيز'!$G$5:$G$2004,MATCH($K332,'سجل التحفيز'!$U$5:$U$2004,0)))</f>
        <v/>
      </c>
    </row>
    <row r="333">
      <c r="K333" s="36">
        <f>IF(280&gt;$B$10,"",280)</f>
        <v/>
      </c>
      <c r="L333" s="37">
        <f>IF($K333="","",INDEX('سجل التحفيز'!$A$5:$A$2004,MATCH($K333,'سجل التحفيز'!$U$5:$U$2004,0)))</f>
        <v/>
      </c>
      <c r="M333" s="9">
        <f>IF($K333="","",INDEX('سجل التحفيز'!$B$5:$B$2004,MATCH($K333,'سجل التحفيز'!$U$5:$U$2004,0)))</f>
        <v/>
      </c>
      <c r="N333" s="9">
        <f>IF($K333="","",INDEX('سجل التحفيز'!$M$5:$M$2004,MATCH($K333,'سجل التحفيز'!$U$5:$U$2004,0)))</f>
        <v/>
      </c>
      <c r="O333" s="9">
        <f>IF($K333="","",INDEX('سجل التحفيز'!$C$5:$C$2004,MATCH($K333,'سجل التحفيز'!$U$5:$U$2004,0)))</f>
        <v/>
      </c>
      <c r="P333" s="36">
        <f>IF($K333="","",INDEX('سجل التحفيز'!$D$5:$D$2004,MATCH($K333,'سجل التحفيز'!$U$5:$U$2004,0)))</f>
        <v/>
      </c>
      <c r="Q333" s="9">
        <f>IF($K333="","",INDEX('سجل التحفيز'!$E$5:$E$2004,MATCH($K333,'سجل التحفيز'!$U$5:$U$2004,0)))</f>
        <v/>
      </c>
      <c r="R333" s="9">
        <f>IF($K333="","",INDEX('سجل التحفيز'!$F$5:$F$2004,MATCH($K333,'سجل التحفيز'!$U$5:$U$2004,0)))</f>
        <v/>
      </c>
      <c r="S333" s="35">
        <f>IF($K333="","",INDEX('سجل التحفيز'!$G$5:$G$2004,MATCH($K333,'سجل التحفيز'!$U$5:$U$2004,0)))</f>
        <v/>
      </c>
    </row>
    <row r="334">
      <c r="K334" s="36">
        <f>IF(281&gt;$B$10,"",281)</f>
        <v/>
      </c>
      <c r="L334" s="37">
        <f>IF($K334="","",INDEX('سجل التحفيز'!$A$5:$A$2004,MATCH($K334,'سجل التحفيز'!$U$5:$U$2004,0)))</f>
        <v/>
      </c>
      <c r="M334" s="9">
        <f>IF($K334="","",INDEX('سجل التحفيز'!$B$5:$B$2004,MATCH($K334,'سجل التحفيز'!$U$5:$U$2004,0)))</f>
        <v/>
      </c>
      <c r="N334" s="9">
        <f>IF($K334="","",INDEX('سجل التحفيز'!$M$5:$M$2004,MATCH($K334,'سجل التحفيز'!$U$5:$U$2004,0)))</f>
        <v/>
      </c>
      <c r="O334" s="9">
        <f>IF($K334="","",INDEX('سجل التحفيز'!$C$5:$C$2004,MATCH($K334,'سجل التحفيز'!$U$5:$U$2004,0)))</f>
        <v/>
      </c>
      <c r="P334" s="36">
        <f>IF($K334="","",INDEX('سجل التحفيز'!$D$5:$D$2004,MATCH($K334,'سجل التحفيز'!$U$5:$U$2004,0)))</f>
        <v/>
      </c>
      <c r="Q334" s="9">
        <f>IF($K334="","",INDEX('سجل التحفيز'!$E$5:$E$2004,MATCH($K334,'سجل التحفيز'!$U$5:$U$2004,0)))</f>
        <v/>
      </c>
      <c r="R334" s="9">
        <f>IF($K334="","",INDEX('سجل التحفيز'!$F$5:$F$2004,MATCH($K334,'سجل التحفيز'!$U$5:$U$2004,0)))</f>
        <v/>
      </c>
      <c r="S334" s="35">
        <f>IF($K334="","",INDEX('سجل التحفيز'!$G$5:$G$2004,MATCH($K334,'سجل التحفيز'!$U$5:$U$2004,0)))</f>
        <v/>
      </c>
    </row>
    <row r="335">
      <c r="K335" s="36">
        <f>IF(282&gt;$B$10,"",282)</f>
        <v/>
      </c>
      <c r="L335" s="37">
        <f>IF($K335="","",INDEX('سجل التحفيز'!$A$5:$A$2004,MATCH($K335,'سجل التحفيز'!$U$5:$U$2004,0)))</f>
        <v/>
      </c>
      <c r="M335" s="9">
        <f>IF($K335="","",INDEX('سجل التحفيز'!$B$5:$B$2004,MATCH($K335,'سجل التحفيز'!$U$5:$U$2004,0)))</f>
        <v/>
      </c>
      <c r="N335" s="9">
        <f>IF($K335="","",INDEX('سجل التحفيز'!$M$5:$M$2004,MATCH($K335,'سجل التحفيز'!$U$5:$U$2004,0)))</f>
        <v/>
      </c>
      <c r="O335" s="9">
        <f>IF($K335="","",INDEX('سجل التحفيز'!$C$5:$C$2004,MATCH($K335,'سجل التحفيز'!$U$5:$U$2004,0)))</f>
        <v/>
      </c>
      <c r="P335" s="36">
        <f>IF($K335="","",INDEX('سجل التحفيز'!$D$5:$D$2004,MATCH($K335,'سجل التحفيز'!$U$5:$U$2004,0)))</f>
        <v/>
      </c>
      <c r="Q335" s="9">
        <f>IF($K335="","",INDEX('سجل التحفيز'!$E$5:$E$2004,MATCH($K335,'سجل التحفيز'!$U$5:$U$2004,0)))</f>
        <v/>
      </c>
      <c r="R335" s="9">
        <f>IF($K335="","",INDEX('سجل التحفيز'!$F$5:$F$2004,MATCH($K335,'سجل التحفيز'!$U$5:$U$2004,0)))</f>
        <v/>
      </c>
      <c r="S335" s="35">
        <f>IF($K335="","",INDEX('سجل التحفيز'!$G$5:$G$2004,MATCH($K335,'سجل التحفيز'!$U$5:$U$2004,0)))</f>
        <v/>
      </c>
    </row>
    <row r="336">
      <c r="K336" s="36">
        <f>IF(283&gt;$B$10,"",283)</f>
        <v/>
      </c>
      <c r="L336" s="37">
        <f>IF($K336="","",INDEX('سجل التحفيز'!$A$5:$A$2004,MATCH($K336,'سجل التحفيز'!$U$5:$U$2004,0)))</f>
        <v/>
      </c>
      <c r="M336" s="9">
        <f>IF($K336="","",INDEX('سجل التحفيز'!$B$5:$B$2004,MATCH($K336,'سجل التحفيز'!$U$5:$U$2004,0)))</f>
        <v/>
      </c>
      <c r="N336" s="9">
        <f>IF($K336="","",INDEX('سجل التحفيز'!$M$5:$M$2004,MATCH($K336,'سجل التحفيز'!$U$5:$U$2004,0)))</f>
        <v/>
      </c>
      <c r="O336" s="9">
        <f>IF($K336="","",INDEX('سجل التحفيز'!$C$5:$C$2004,MATCH($K336,'سجل التحفيز'!$U$5:$U$2004,0)))</f>
        <v/>
      </c>
      <c r="P336" s="36">
        <f>IF($K336="","",INDEX('سجل التحفيز'!$D$5:$D$2004,MATCH($K336,'سجل التحفيز'!$U$5:$U$2004,0)))</f>
        <v/>
      </c>
      <c r="Q336" s="9">
        <f>IF($K336="","",INDEX('سجل التحفيز'!$E$5:$E$2004,MATCH($K336,'سجل التحفيز'!$U$5:$U$2004,0)))</f>
        <v/>
      </c>
      <c r="R336" s="9">
        <f>IF($K336="","",INDEX('سجل التحفيز'!$F$5:$F$2004,MATCH($K336,'سجل التحفيز'!$U$5:$U$2004,0)))</f>
        <v/>
      </c>
      <c r="S336" s="35">
        <f>IF($K336="","",INDEX('سجل التحفيز'!$G$5:$G$2004,MATCH($K336,'سجل التحفيز'!$U$5:$U$2004,0)))</f>
        <v/>
      </c>
    </row>
    <row r="337">
      <c r="K337" s="36">
        <f>IF(284&gt;$B$10,"",284)</f>
        <v/>
      </c>
      <c r="L337" s="37">
        <f>IF($K337="","",INDEX('سجل التحفيز'!$A$5:$A$2004,MATCH($K337,'سجل التحفيز'!$U$5:$U$2004,0)))</f>
        <v/>
      </c>
      <c r="M337" s="9">
        <f>IF($K337="","",INDEX('سجل التحفيز'!$B$5:$B$2004,MATCH($K337,'سجل التحفيز'!$U$5:$U$2004,0)))</f>
        <v/>
      </c>
      <c r="N337" s="9">
        <f>IF($K337="","",INDEX('سجل التحفيز'!$M$5:$M$2004,MATCH($K337,'سجل التحفيز'!$U$5:$U$2004,0)))</f>
        <v/>
      </c>
      <c r="O337" s="9">
        <f>IF($K337="","",INDEX('سجل التحفيز'!$C$5:$C$2004,MATCH($K337,'سجل التحفيز'!$U$5:$U$2004,0)))</f>
        <v/>
      </c>
      <c r="P337" s="36">
        <f>IF($K337="","",INDEX('سجل التحفيز'!$D$5:$D$2004,MATCH($K337,'سجل التحفيز'!$U$5:$U$2004,0)))</f>
        <v/>
      </c>
      <c r="Q337" s="9">
        <f>IF($K337="","",INDEX('سجل التحفيز'!$E$5:$E$2004,MATCH($K337,'سجل التحفيز'!$U$5:$U$2004,0)))</f>
        <v/>
      </c>
      <c r="R337" s="9">
        <f>IF($K337="","",INDEX('سجل التحفيز'!$F$5:$F$2004,MATCH($K337,'سجل التحفيز'!$U$5:$U$2004,0)))</f>
        <v/>
      </c>
      <c r="S337" s="35">
        <f>IF($K337="","",INDEX('سجل التحفيز'!$G$5:$G$2004,MATCH($K337,'سجل التحفيز'!$U$5:$U$2004,0)))</f>
        <v/>
      </c>
    </row>
    <row r="338">
      <c r="K338" s="36">
        <f>IF(285&gt;$B$10,"",285)</f>
        <v/>
      </c>
      <c r="L338" s="37">
        <f>IF($K338="","",INDEX('سجل التحفيز'!$A$5:$A$2004,MATCH($K338,'سجل التحفيز'!$U$5:$U$2004,0)))</f>
        <v/>
      </c>
      <c r="M338" s="9">
        <f>IF($K338="","",INDEX('سجل التحفيز'!$B$5:$B$2004,MATCH($K338,'سجل التحفيز'!$U$5:$U$2004,0)))</f>
        <v/>
      </c>
      <c r="N338" s="9">
        <f>IF($K338="","",INDEX('سجل التحفيز'!$M$5:$M$2004,MATCH($K338,'سجل التحفيز'!$U$5:$U$2004,0)))</f>
        <v/>
      </c>
      <c r="O338" s="9">
        <f>IF($K338="","",INDEX('سجل التحفيز'!$C$5:$C$2004,MATCH($K338,'سجل التحفيز'!$U$5:$U$2004,0)))</f>
        <v/>
      </c>
      <c r="P338" s="36">
        <f>IF($K338="","",INDEX('سجل التحفيز'!$D$5:$D$2004,MATCH($K338,'سجل التحفيز'!$U$5:$U$2004,0)))</f>
        <v/>
      </c>
      <c r="Q338" s="9">
        <f>IF($K338="","",INDEX('سجل التحفيز'!$E$5:$E$2004,MATCH($K338,'سجل التحفيز'!$U$5:$U$2004,0)))</f>
        <v/>
      </c>
      <c r="R338" s="9">
        <f>IF($K338="","",INDEX('سجل التحفيز'!$F$5:$F$2004,MATCH($K338,'سجل التحفيز'!$U$5:$U$2004,0)))</f>
        <v/>
      </c>
      <c r="S338" s="35">
        <f>IF($K338="","",INDEX('سجل التحفيز'!$G$5:$G$2004,MATCH($K338,'سجل التحفيز'!$U$5:$U$2004,0)))</f>
        <v/>
      </c>
    </row>
    <row r="339">
      <c r="K339" s="36">
        <f>IF(286&gt;$B$10,"",286)</f>
        <v/>
      </c>
      <c r="L339" s="37">
        <f>IF($K339="","",INDEX('سجل التحفيز'!$A$5:$A$2004,MATCH($K339,'سجل التحفيز'!$U$5:$U$2004,0)))</f>
        <v/>
      </c>
      <c r="M339" s="9">
        <f>IF($K339="","",INDEX('سجل التحفيز'!$B$5:$B$2004,MATCH($K339,'سجل التحفيز'!$U$5:$U$2004,0)))</f>
        <v/>
      </c>
      <c r="N339" s="9">
        <f>IF($K339="","",INDEX('سجل التحفيز'!$M$5:$M$2004,MATCH($K339,'سجل التحفيز'!$U$5:$U$2004,0)))</f>
        <v/>
      </c>
      <c r="O339" s="9">
        <f>IF($K339="","",INDEX('سجل التحفيز'!$C$5:$C$2004,MATCH($K339,'سجل التحفيز'!$U$5:$U$2004,0)))</f>
        <v/>
      </c>
      <c r="P339" s="36">
        <f>IF($K339="","",INDEX('سجل التحفيز'!$D$5:$D$2004,MATCH($K339,'سجل التحفيز'!$U$5:$U$2004,0)))</f>
        <v/>
      </c>
      <c r="Q339" s="9">
        <f>IF($K339="","",INDEX('سجل التحفيز'!$E$5:$E$2004,MATCH($K339,'سجل التحفيز'!$U$5:$U$2004,0)))</f>
        <v/>
      </c>
      <c r="R339" s="9">
        <f>IF($K339="","",INDEX('سجل التحفيز'!$F$5:$F$2004,MATCH($K339,'سجل التحفيز'!$U$5:$U$2004,0)))</f>
        <v/>
      </c>
      <c r="S339" s="35">
        <f>IF($K339="","",INDEX('سجل التحفيز'!$G$5:$G$2004,MATCH($K339,'سجل التحفيز'!$U$5:$U$2004,0)))</f>
        <v/>
      </c>
    </row>
    <row r="340">
      <c r="K340" s="36">
        <f>IF(287&gt;$B$10,"",287)</f>
        <v/>
      </c>
      <c r="L340" s="37">
        <f>IF($K340="","",INDEX('سجل التحفيز'!$A$5:$A$2004,MATCH($K340,'سجل التحفيز'!$U$5:$U$2004,0)))</f>
        <v/>
      </c>
      <c r="M340" s="9">
        <f>IF($K340="","",INDEX('سجل التحفيز'!$B$5:$B$2004,MATCH($K340,'سجل التحفيز'!$U$5:$U$2004,0)))</f>
        <v/>
      </c>
      <c r="N340" s="9">
        <f>IF($K340="","",INDEX('سجل التحفيز'!$M$5:$M$2004,MATCH($K340,'سجل التحفيز'!$U$5:$U$2004,0)))</f>
        <v/>
      </c>
      <c r="O340" s="9">
        <f>IF($K340="","",INDEX('سجل التحفيز'!$C$5:$C$2004,MATCH($K340,'سجل التحفيز'!$U$5:$U$2004,0)))</f>
        <v/>
      </c>
      <c r="P340" s="36">
        <f>IF($K340="","",INDEX('سجل التحفيز'!$D$5:$D$2004,MATCH($K340,'سجل التحفيز'!$U$5:$U$2004,0)))</f>
        <v/>
      </c>
      <c r="Q340" s="9">
        <f>IF($K340="","",INDEX('سجل التحفيز'!$E$5:$E$2004,MATCH($K340,'سجل التحفيز'!$U$5:$U$2004,0)))</f>
        <v/>
      </c>
      <c r="R340" s="9">
        <f>IF($K340="","",INDEX('سجل التحفيز'!$F$5:$F$2004,MATCH($K340,'سجل التحفيز'!$U$5:$U$2004,0)))</f>
        <v/>
      </c>
      <c r="S340" s="35">
        <f>IF($K340="","",INDEX('سجل التحفيز'!$G$5:$G$2004,MATCH($K340,'سجل التحفيز'!$U$5:$U$2004,0)))</f>
        <v/>
      </c>
    </row>
    <row r="341">
      <c r="K341" s="36">
        <f>IF(288&gt;$B$10,"",288)</f>
        <v/>
      </c>
      <c r="L341" s="37">
        <f>IF($K341="","",INDEX('سجل التحفيز'!$A$5:$A$2004,MATCH($K341,'سجل التحفيز'!$U$5:$U$2004,0)))</f>
        <v/>
      </c>
      <c r="M341" s="9">
        <f>IF($K341="","",INDEX('سجل التحفيز'!$B$5:$B$2004,MATCH($K341,'سجل التحفيز'!$U$5:$U$2004,0)))</f>
        <v/>
      </c>
      <c r="N341" s="9">
        <f>IF($K341="","",INDEX('سجل التحفيز'!$M$5:$M$2004,MATCH($K341,'سجل التحفيز'!$U$5:$U$2004,0)))</f>
        <v/>
      </c>
      <c r="O341" s="9">
        <f>IF($K341="","",INDEX('سجل التحفيز'!$C$5:$C$2004,MATCH($K341,'سجل التحفيز'!$U$5:$U$2004,0)))</f>
        <v/>
      </c>
      <c r="P341" s="36">
        <f>IF($K341="","",INDEX('سجل التحفيز'!$D$5:$D$2004,MATCH($K341,'سجل التحفيز'!$U$5:$U$2004,0)))</f>
        <v/>
      </c>
      <c r="Q341" s="9">
        <f>IF($K341="","",INDEX('سجل التحفيز'!$E$5:$E$2004,MATCH($K341,'سجل التحفيز'!$U$5:$U$2004,0)))</f>
        <v/>
      </c>
      <c r="R341" s="9">
        <f>IF($K341="","",INDEX('سجل التحفيز'!$F$5:$F$2004,MATCH($K341,'سجل التحفيز'!$U$5:$U$2004,0)))</f>
        <v/>
      </c>
      <c r="S341" s="35">
        <f>IF($K341="","",INDEX('سجل التحفيز'!$G$5:$G$2004,MATCH($K341,'سجل التحفيز'!$U$5:$U$2004,0)))</f>
        <v/>
      </c>
    </row>
    <row r="342">
      <c r="K342" s="36">
        <f>IF(289&gt;$B$10,"",289)</f>
        <v/>
      </c>
      <c r="L342" s="37">
        <f>IF($K342="","",INDEX('سجل التحفيز'!$A$5:$A$2004,MATCH($K342,'سجل التحفيز'!$U$5:$U$2004,0)))</f>
        <v/>
      </c>
      <c r="M342" s="9">
        <f>IF($K342="","",INDEX('سجل التحفيز'!$B$5:$B$2004,MATCH($K342,'سجل التحفيز'!$U$5:$U$2004,0)))</f>
        <v/>
      </c>
      <c r="N342" s="9">
        <f>IF($K342="","",INDEX('سجل التحفيز'!$M$5:$M$2004,MATCH($K342,'سجل التحفيز'!$U$5:$U$2004,0)))</f>
        <v/>
      </c>
      <c r="O342" s="9">
        <f>IF($K342="","",INDEX('سجل التحفيز'!$C$5:$C$2004,MATCH($K342,'سجل التحفيز'!$U$5:$U$2004,0)))</f>
        <v/>
      </c>
      <c r="P342" s="36">
        <f>IF($K342="","",INDEX('سجل التحفيز'!$D$5:$D$2004,MATCH($K342,'سجل التحفيز'!$U$5:$U$2004,0)))</f>
        <v/>
      </c>
      <c r="Q342" s="9">
        <f>IF($K342="","",INDEX('سجل التحفيز'!$E$5:$E$2004,MATCH($K342,'سجل التحفيز'!$U$5:$U$2004,0)))</f>
        <v/>
      </c>
      <c r="R342" s="9">
        <f>IF($K342="","",INDEX('سجل التحفيز'!$F$5:$F$2004,MATCH($K342,'سجل التحفيز'!$U$5:$U$2004,0)))</f>
        <v/>
      </c>
      <c r="S342" s="35">
        <f>IF($K342="","",INDEX('سجل التحفيز'!$G$5:$G$2004,MATCH($K342,'سجل التحفيز'!$U$5:$U$2004,0)))</f>
        <v/>
      </c>
    </row>
    <row r="343">
      <c r="K343" s="36">
        <f>IF(290&gt;$B$10,"",290)</f>
        <v/>
      </c>
      <c r="L343" s="37">
        <f>IF($K343="","",INDEX('سجل التحفيز'!$A$5:$A$2004,MATCH($K343,'سجل التحفيز'!$U$5:$U$2004,0)))</f>
        <v/>
      </c>
      <c r="M343" s="9">
        <f>IF($K343="","",INDEX('سجل التحفيز'!$B$5:$B$2004,MATCH($K343,'سجل التحفيز'!$U$5:$U$2004,0)))</f>
        <v/>
      </c>
      <c r="N343" s="9">
        <f>IF($K343="","",INDEX('سجل التحفيز'!$M$5:$M$2004,MATCH($K343,'سجل التحفيز'!$U$5:$U$2004,0)))</f>
        <v/>
      </c>
      <c r="O343" s="9">
        <f>IF($K343="","",INDEX('سجل التحفيز'!$C$5:$C$2004,MATCH($K343,'سجل التحفيز'!$U$5:$U$2004,0)))</f>
        <v/>
      </c>
      <c r="P343" s="36">
        <f>IF($K343="","",INDEX('سجل التحفيز'!$D$5:$D$2004,MATCH($K343,'سجل التحفيز'!$U$5:$U$2004,0)))</f>
        <v/>
      </c>
      <c r="Q343" s="9">
        <f>IF($K343="","",INDEX('سجل التحفيز'!$E$5:$E$2004,MATCH($K343,'سجل التحفيز'!$U$5:$U$2004,0)))</f>
        <v/>
      </c>
      <c r="R343" s="9">
        <f>IF($K343="","",INDEX('سجل التحفيز'!$F$5:$F$2004,MATCH($K343,'سجل التحفيز'!$U$5:$U$2004,0)))</f>
        <v/>
      </c>
      <c r="S343" s="35">
        <f>IF($K343="","",INDEX('سجل التحفيز'!$G$5:$G$2004,MATCH($K343,'سجل التحفيز'!$U$5:$U$2004,0)))</f>
        <v/>
      </c>
    </row>
    <row r="344">
      <c r="K344" s="36">
        <f>IF(291&gt;$B$10,"",291)</f>
        <v/>
      </c>
      <c r="L344" s="37">
        <f>IF($K344="","",INDEX('سجل التحفيز'!$A$5:$A$2004,MATCH($K344,'سجل التحفيز'!$U$5:$U$2004,0)))</f>
        <v/>
      </c>
      <c r="M344" s="9">
        <f>IF($K344="","",INDEX('سجل التحفيز'!$B$5:$B$2004,MATCH($K344,'سجل التحفيز'!$U$5:$U$2004,0)))</f>
        <v/>
      </c>
      <c r="N344" s="9">
        <f>IF($K344="","",INDEX('سجل التحفيز'!$M$5:$M$2004,MATCH($K344,'سجل التحفيز'!$U$5:$U$2004,0)))</f>
        <v/>
      </c>
      <c r="O344" s="9">
        <f>IF($K344="","",INDEX('سجل التحفيز'!$C$5:$C$2004,MATCH($K344,'سجل التحفيز'!$U$5:$U$2004,0)))</f>
        <v/>
      </c>
      <c r="P344" s="36">
        <f>IF($K344="","",INDEX('سجل التحفيز'!$D$5:$D$2004,MATCH($K344,'سجل التحفيز'!$U$5:$U$2004,0)))</f>
        <v/>
      </c>
      <c r="Q344" s="9">
        <f>IF($K344="","",INDEX('سجل التحفيز'!$E$5:$E$2004,MATCH($K344,'سجل التحفيز'!$U$5:$U$2004,0)))</f>
        <v/>
      </c>
      <c r="R344" s="9">
        <f>IF($K344="","",INDEX('سجل التحفيز'!$F$5:$F$2004,MATCH($K344,'سجل التحفيز'!$U$5:$U$2004,0)))</f>
        <v/>
      </c>
      <c r="S344" s="35">
        <f>IF($K344="","",INDEX('سجل التحفيز'!$G$5:$G$2004,MATCH($K344,'سجل التحفيز'!$U$5:$U$2004,0)))</f>
        <v/>
      </c>
    </row>
    <row r="345">
      <c r="K345" s="36">
        <f>IF(292&gt;$B$10,"",292)</f>
        <v/>
      </c>
      <c r="L345" s="37">
        <f>IF($K345="","",INDEX('سجل التحفيز'!$A$5:$A$2004,MATCH($K345,'سجل التحفيز'!$U$5:$U$2004,0)))</f>
        <v/>
      </c>
      <c r="M345" s="9">
        <f>IF($K345="","",INDEX('سجل التحفيز'!$B$5:$B$2004,MATCH($K345,'سجل التحفيز'!$U$5:$U$2004,0)))</f>
        <v/>
      </c>
      <c r="N345" s="9">
        <f>IF($K345="","",INDEX('سجل التحفيز'!$M$5:$M$2004,MATCH($K345,'سجل التحفيز'!$U$5:$U$2004,0)))</f>
        <v/>
      </c>
      <c r="O345" s="9">
        <f>IF($K345="","",INDEX('سجل التحفيز'!$C$5:$C$2004,MATCH($K345,'سجل التحفيز'!$U$5:$U$2004,0)))</f>
        <v/>
      </c>
      <c r="P345" s="36">
        <f>IF($K345="","",INDEX('سجل التحفيز'!$D$5:$D$2004,MATCH($K345,'سجل التحفيز'!$U$5:$U$2004,0)))</f>
        <v/>
      </c>
      <c r="Q345" s="9">
        <f>IF($K345="","",INDEX('سجل التحفيز'!$E$5:$E$2004,MATCH($K345,'سجل التحفيز'!$U$5:$U$2004,0)))</f>
        <v/>
      </c>
      <c r="R345" s="9">
        <f>IF($K345="","",INDEX('سجل التحفيز'!$F$5:$F$2004,MATCH($K345,'سجل التحفيز'!$U$5:$U$2004,0)))</f>
        <v/>
      </c>
      <c r="S345" s="35">
        <f>IF($K345="","",INDEX('سجل التحفيز'!$G$5:$G$2004,MATCH($K345,'سجل التحفيز'!$U$5:$U$2004,0)))</f>
        <v/>
      </c>
    </row>
    <row r="346">
      <c r="K346" s="36">
        <f>IF(293&gt;$B$10,"",293)</f>
        <v/>
      </c>
      <c r="L346" s="37">
        <f>IF($K346="","",INDEX('سجل التحفيز'!$A$5:$A$2004,MATCH($K346,'سجل التحفيز'!$U$5:$U$2004,0)))</f>
        <v/>
      </c>
      <c r="M346" s="9">
        <f>IF($K346="","",INDEX('سجل التحفيز'!$B$5:$B$2004,MATCH($K346,'سجل التحفيز'!$U$5:$U$2004,0)))</f>
        <v/>
      </c>
      <c r="N346" s="9">
        <f>IF($K346="","",INDEX('سجل التحفيز'!$M$5:$M$2004,MATCH($K346,'سجل التحفيز'!$U$5:$U$2004,0)))</f>
        <v/>
      </c>
      <c r="O346" s="9">
        <f>IF($K346="","",INDEX('سجل التحفيز'!$C$5:$C$2004,MATCH($K346,'سجل التحفيز'!$U$5:$U$2004,0)))</f>
        <v/>
      </c>
      <c r="P346" s="36">
        <f>IF($K346="","",INDEX('سجل التحفيز'!$D$5:$D$2004,MATCH($K346,'سجل التحفيز'!$U$5:$U$2004,0)))</f>
        <v/>
      </c>
      <c r="Q346" s="9">
        <f>IF($K346="","",INDEX('سجل التحفيز'!$E$5:$E$2004,MATCH($K346,'سجل التحفيز'!$U$5:$U$2004,0)))</f>
        <v/>
      </c>
      <c r="R346" s="9">
        <f>IF($K346="","",INDEX('سجل التحفيز'!$F$5:$F$2004,MATCH($K346,'سجل التحفيز'!$U$5:$U$2004,0)))</f>
        <v/>
      </c>
      <c r="S346" s="35">
        <f>IF($K346="","",INDEX('سجل التحفيز'!$G$5:$G$2004,MATCH($K346,'سجل التحفيز'!$U$5:$U$2004,0)))</f>
        <v/>
      </c>
    </row>
    <row r="347">
      <c r="K347" s="36">
        <f>IF(294&gt;$B$10,"",294)</f>
        <v/>
      </c>
      <c r="L347" s="37">
        <f>IF($K347="","",INDEX('سجل التحفيز'!$A$5:$A$2004,MATCH($K347,'سجل التحفيز'!$U$5:$U$2004,0)))</f>
        <v/>
      </c>
      <c r="M347" s="9">
        <f>IF($K347="","",INDEX('سجل التحفيز'!$B$5:$B$2004,MATCH($K347,'سجل التحفيز'!$U$5:$U$2004,0)))</f>
        <v/>
      </c>
      <c r="N347" s="9">
        <f>IF($K347="","",INDEX('سجل التحفيز'!$M$5:$M$2004,MATCH($K347,'سجل التحفيز'!$U$5:$U$2004,0)))</f>
        <v/>
      </c>
      <c r="O347" s="9">
        <f>IF($K347="","",INDEX('سجل التحفيز'!$C$5:$C$2004,MATCH($K347,'سجل التحفيز'!$U$5:$U$2004,0)))</f>
        <v/>
      </c>
      <c r="P347" s="36">
        <f>IF($K347="","",INDEX('سجل التحفيز'!$D$5:$D$2004,MATCH($K347,'سجل التحفيز'!$U$5:$U$2004,0)))</f>
        <v/>
      </c>
      <c r="Q347" s="9">
        <f>IF($K347="","",INDEX('سجل التحفيز'!$E$5:$E$2004,MATCH($K347,'سجل التحفيز'!$U$5:$U$2004,0)))</f>
        <v/>
      </c>
      <c r="R347" s="9">
        <f>IF($K347="","",INDEX('سجل التحفيز'!$F$5:$F$2004,MATCH($K347,'سجل التحفيز'!$U$5:$U$2004,0)))</f>
        <v/>
      </c>
      <c r="S347" s="35">
        <f>IF($K347="","",INDEX('سجل التحفيز'!$G$5:$G$2004,MATCH($K347,'سجل التحفيز'!$U$5:$U$2004,0)))</f>
        <v/>
      </c>
    </row>
    <row r="348">
      <c r="K348" s="36">
        <f>IF(295&gt;$B$10,"",295)</f>
        <v/>
      </c>
      <c r="L348" s="37">
        <f>IF($K348="","",INDEX('سجل التحفيز'!$A$5:$A$2004,MATCH($K348,'سجل التحفيز'!$U$5:$U$2004,0)))</f>
        <v/>
      </c>
      <c r="M348" s="9">
        <f>IF($K348="","",INDEX('سجل التحفيز'!$B$5:$B$2004,MATCH($K348,'سجل التحفيز'!$U$5:$U$2004,0)))</f>
        <v/>
      </c>
      <c r="N348" s="9">
        <f>IF($K348="","",INDEX('سجل التحفيز'!$M$5:$M$2004,MATCH($K348,'سجل التحفيز'!$U$5:$U$2004,0)))</f>
        <v/>
      </c>
      <c r="O348" s="9">
        <f>IF($K348="","",INDEX('سجل التحفيز'!$C$5:$C$2004,MATCH($K348,'سجل التحفيز'!$U$5:$U$2004,0)))</f>
        <v/>
      </c>
      <c r="P348" s="36">
        <f>IF($K348="","",INDEX('سجل التحفيز'!$D$5:$D$2004,MATCH($K348,'سجل التحفيز'!$U$5:$U$2004,0)))</f>
        <v/>
      </c>
      <c r="Q348" s="9">
        <f>IF($K348="","",INDEX('سجل التحفيز'!$E$5:$E$2004,MATCH($K348,'سجل التحفيز'!$U$5:$U$2004,0)))</f>
        <v/>
      </c>
      <c r="R348" s="9">
        <f>IF($K348="","",INDEX('سجل التحفيز'!$F$5:$F$2004,MATCH($K348,'سجل التحفيز'!$U$5:$U$2004,0)))</f>
        <v/>
      </c>
      <c r="S348" s="35">
        <f>IF($K348="","",INDEX('سجل التحفيز'!$G$5:$G$2004,MATCH($K348,'سجل التحفيز'!$U$5:$U$2004,0)))</f>
        <v/>
      </c>
    </row>
    <row r="349">
      <c r="K349" s="36">
        <f>IF(296&gt;$B$10,"",296)</f>
        <v/>
      </c>
      <c r="L349" s="37">
        <f>IF($K349="","",INDEX('سجل التحفيز'!$A$5:$A$2004,MATCH($K349,'سجل التحفيز'!$U$5:$U$2004,0)))</f>
        <v/>
      </c>
      <c r="M349" s="9">
        <f>IF($K349="","",INDEX('سجل التحفيز'!$B$5:$B$2004,MATCH($K349,'سجل التحفيز'!$U$5:$U$2004,0)))</f>
        <v/>
      </c>
      <c r="N349" s="9">
        <f>IF($K349="","",INDEX('سجل التحفيز'!$M$5:$M$2004,MATCH($K349,'سجل التحفيز'!$U$5:$U$2004,0)))</f>
        <v/>
      </c>
      <c r="O349" s="9">
        <f>IF($K349="","",INDEX('سجل التحفيز'!$C$5:$C$2004,MATCH($K349,'سجل التحفيز'!$U$5:$U$2004,0)))</f>
        <v/>
      </c>
      <c r="P349" s="36">
        <f>IF($K349="","",INDEX('سجل التحفيز'!$D$5:$D$2004,MATCH($K349,'سجل التحفيز'!$U$5:$U$2004,0)))</f>
        <v/>
      </c>
      <c r="Q349" s="9">
        <f>IF($K349="","",INDEX('سجل التحفيز'!$E$5:$E$2004,MATCH($K349,'سجل التحفيز'!$U$5:$U$2004,0)))</f>
        <v/>
      </c>
      <c r="R349" s="9">
        <f>IF($K349="","",INDEX('سجل التحفيز'!$F$5:$F$2004,MATCH($K349,'سجل التحفيز'!$U$5:$U$2004,0)))</f>
        <v/>
      </c>
      <c r="S349" s="35">
        <f>IF($K349="","",INDEX('سجل التحفيز'!$G$5:$G$2004,MATCH($K349,'سجل التحفيز'!$U$5:$U$2004,0)))</f>
        <v/>
      </c>
    </row>
    <row r="350">
      <c r="K350" s="36">
        <f>IF(297&gt;$B$10,"",297)</f>
        <v/>
      </c>
      <c r="L350" s="37">
        <f>IF($K350="","",INDEX('سجل التحفيز'!$A$5:$A$2004,MATCH($K350,'سجل التحفيز'!$U$5:$U$2004,0)))</f>
        <v/>
      </c>
      <c r="M350" s="9">
        <f>IF($K350="","",INDEX('سجل التحفيز'!$B$5:$B$2004,MATCH($K350,'سجل التحفيز'!$U$5:$U$2004,0)))</f>
        <v/>
      </c>
      <c r="N350" s="9">
        <f>IF($K350="","",INDEX('سجل التحفيز'!$M$5:$M$2004,MATCH($K350,'سجل التحفيز'!$U$5:$U$2004,0)))</f>
        <v/>
      </c>
      <c r="O350" s="9">
        <f>IF($K350="","",INDEX('سجل التحفيز'!$C$5:$C$2004,MATCH($K350,'سجل التحفيز'!$U$5:$U$2004,0)))</f>
        <v/>
      </c>
      <c r="P350" s="36">
        <f>IF($K350="","",INDEX('سجل التحفيز'!$D$5:$D$2004,MATCH($K350,'سجل التحفيز'!$U$5:$U$2004,0)))</f>
        <v/>
      </c>
      <c r="Q350" s="9">
        <f>IF($K350="","",INDEX('سجل التحفيز'!$E$5:$E$2004,MATCH($K350,'سجل التحفيز'!$U$5:$U$2004,0)))</f>
        <v/>
      </c>
      <c r="R350" s="9">
        <f>IF($K350="","",INDEX('سجل التحفيز'!$F$5:$F$2004,MATCH($K350,'سجل التحفيز'!$U$5:$U$2004,0)))</f>
        <v/>
      </c>
      <c r="S350" s="35">
        <f>IF($K350="","",INDEX('سجل التحفيز'!$G$5:$G$2004,MATCH($K350,'سجل التحفيز'!$U$5:$U$2004,0)))</f>
        <v/>
      </c>
    </row>
    <row r="351">
      <c r="K351" s="36">
        <f>IF(298&gt;$B$10,"",298)</f>
        <v/>
      </c>
      <c r="L351" s="37">
        <f>IF($K351="","",INDEX('سجل التحفيز'!$A$5:$A$2004,MATCH($K351,'سجل التحفيز'!$U$5:$U$2004,0)))</f>
        <v/>
      </c>
      <c r="M351" s="9">
        <f>IF($K351="","",INDEX('سجل التحفيز'!$B$5:$B$2004,MATCH($K351,'سجل التحفيز'!$U$5:$U$2004,0)))</f>
        <v/>
      </c>
      <c r="N351" s="9">
        <f>IF($K351="","",INDEX('سجل التحفيز'!$M$5:$M$2004,MATCH($K351,'سجل التحفيز'!$U$5:$U$2004,0)))</f>
        <v/>
      </c>
      <c r="O351" s="9">
        <f>IF($K351="","",INDEX('سجل التحفيز'!$C$5:$C$2004,MATCH($K351,'سجل التحفيز'!$U$5:$U$2004,0)))</f>
        <v/>
      </c>
      <c r="P351" s="36">
        <f>IF($K351="","",INDEX('سجل التحفيز'!$D$5:$D$2004,MATCH($K351,'سجل التحفيز'!$U$5:$U$2004,0)))</f>
        <v/>
      </c>
      <c r="Q351" s="9">
        <f>IF($K351="","",INDEX('سجل التحفيز'!$E$5:$E$2004,MATCH($K351,'سجل التحفيز'!$U$5:$U$2004,0)))</f>
        <v/>
      </c>
      <c r="R351" s="9">
        <f>IF($K351="","",INDEX('سجل التحفيز'!$F$5:$F$2004,MATCH($K351,'سجل التحفيز'!$U$5:$U$2004,0)))</f>
        <v/>
      </c>
      <c r="S351" s="35">
        <f>IF($K351="","",INDEX('سجل التحفيز'!$G$5:$G$2004,MATCH($K351,'سجل التحفيز'!$U$5:$U$2004,0)))</f>
        <v/>
      </c>
    </row>
    <row r="352">
      <c r="K352" s="36">
        <f>IF(299&gt;$B$10,"",299)</f>
        <v/>
      </c>
      <c r="L352" s="37">
        <f>IF($K352="","",INDEX('سجل التحفيز'!$A$5:$A$2004,MATCH($K352,'سجل التحفيز'!$U$5:$U$2004,0)))</f>
        <v/>
      </c>
      <c r="M352" s="9">
        <f>IF($K352="","",INDEX('سجل التحفيز'!$B$5:$B$2004,MATCH($K352,'سجل التحفيز'!$U$5:$U$2004,0)))</f>
        <v/>
      </c>
      <c r="N352" s="9">
        <f>IF($K352="","",INDEX('سجل التحفيز'!$M$5:$M$2004,MATCH($K352,'سجل التحفيز'!$U$5:$U$2004,0)))</f>
        <v/>
      </c>
      <c r="O352" s="9">
        <f>IF($K352="","",INDEX('سجل التحفيز'!$C$5:$C$2004,MATCH($K352,'سجل التحفيز'!$U$5:$U$2004,0)))</f>
        <v/>
      </c>
      <c r="P352" s="36">
        <f>IF($K352="","",INDEX('سجل التحفيز'!$D$5:$D$2004,MATCH($K352,'سجل التحفيز'!$U$5:$U$2004,0)))</f>
        <v/>
      </c>
      <c r="Q352" s="9">
        <f>IF($K352="","",INDEX('سجل التحفيز'!$E$5:$E$2004,MATCH($K352,'سجل التحفيز'!$U$5:$U$2004,0)))</f>
        <v/>
      </c>
      <c r="R352" s="9">
        <f>IF($K352="","",INDEX('سجل التحفيز'!$F$5:$F$2004,MATCH($K352,'سجل التحفيز'!$U$5:$U$2004,0)))</f>
        <v/>
      </c>
      <c r="S352" s="35">
        <f>IF($K352="","",INDEX('سجل التحفيز'!$G$5:$G$2004,MATCH($K352,'سجل التحفيز'!$U$5:$U$2004,0)))</f>
        <v/>
      </c>
    </row>
    <row r="353">
      <c r="K353" s="36">
        <f>IF(300&gt;$B$10,"",300)</f>
        <v/>
      </c>
      <c r="L353" s="37">
        <f>IF($K353="","",INDEX('سجل التحفيز'!$A$5:$A$2004,MATCH($K353,'سجل التحفيز'!$U$5:$U$2004,0)))</f>
        <v/>
      </c>
      <c r="M353" s="9">
        <f>IF($K353="","",INDEX('سجل التحفيز'!$B$5:$B$2004,MATCH($K353,'سجل التحفيز'!$U$5:$U$2004,0)))</f>
        <v/>
      </c>
      <c r="N353" s="9">
        <f>IF($K353="","",INDEX('سجل التحفيز'!$M$5:$M$2004,MATCH($K353,'سجل التحفيز'!$U$5:$U$2004,0)))</f>
        <v/>
      </c>
      <c r="O353" s="9">
        <f>IF($K353="","",INDEX('سجل التحفيز'!$C$5:$C$2004,MATCH($K353,'سجل التحفيز'!$U$5:$U$2004,0)))</f>
        <v/>
      </c>
      <c r="P353" s="36">
        <f>IF($K353="","",INDEX('سجل التحفيز'!$D$5:$D$2004,MATCH($K353,'سجل التحفيز'!$U$5:$U$2004,0)))</f>
        <v/>
      </c>
      <c r="Q353" s="9">
        <f>IF($K353="","",INDEX('سجل التحفيز'!$E$5:$E$2004,MATCH($K353,'سجل التحفيز'!$U$5:$U$2004,0)))</f>
        <v/>
      </c>
      <c r="R353" s="9">
        <f>IF($K353="","",INDEX('سجل التحفيز'!$F$5:$F$2004,MATCH($K353,'سجل التحفيز'!$U$5:$U$2004,0)))</f>
        <v/>
      </c>
      <c r="S353" s="35">
        <f>IF($K353="","",INDEX('سجل التحفيز'!$G$5:$G$2004,MATCH($K353,'سجل التحفيز'!$U$5:$U$2004,0)))</f>
        <v/>
      </c>
    </row>
    <row r="355">
      <c r="K355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54:H203">
    <cfRule type="expression" priority="1" dxfId="3">
      <formula>$B54&lt;&gt;""</formula>
    </cfRule>
    <cfRule type="expression" priority="2" dxfId="1">
      <formula>AND($B54&lt;&gt;"",$G54=1)</formula>
    </cfRule>
  </conditionalFormatting>
  <conditionalFormatting sqref="K54:S353">
    <cfRule type="expression" priority="3" dxfId="3">
      <formula>$K54&lt;&gt;""</formula>
    </cfRule>
    <cfRule type="expression" priority="4" dxfId="4">
      <formula>AND($K54&lt;&gt;"",$P54="ذهبي")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S355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تقرير الفصل الثاني</t>
        </is>
      </c>
    </row>
    <row r="2" ht="30" customHeight="1">
      <c r="A2" s="2" t="inlineStr">
        <is>
          <t>يشمل: يناير – فبراير – مارس – أبريل – مايو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فصلي</t>
        </is>
      </c>
    </row>
    <row r="6">
      <c r="B6" s="22" t="inlineStr">
        <is>
          <t>الشهر</t>
        </is>
      </c>
      <c r="C6" s="25" t="inlineStr">
        <is>
          <t>—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الفصل الثاني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التحفيز'!$V$5:$V$2004)</f>
        <v/>
      </c>
      <c r="C10" s="28">
        <f>COUNT(الموظفات!$P$5:$P$304)</f>
        <v/>
      </c>
      <c r="D10" s="28">
        <f>COUNTIFS('سجل التحفيز'!$V$5:$V$2004,"&gt;0",'سجل التحفيز'!$D$5:$D$2004,"ذهبي")</f>
        <v/>
      </c>
      <c r="E10" s="28">
        <f>COUNTIFS('سجل التحفيز'!$V$5:$V$2004,"&gt;0",'سجل التحفيز'!$D$5:$D$2004,"أساسي")</f>
        <v/>
      </c>
      <c r="F10" s="28">
        <f>SUMIFS('سجل التحفيز'!$G$5:$G$2004,'سجل التحفيز'!$V$5:$V$2004,"&gt;0")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التحفيز'!$V$5:$V$2004,"&gt;0",'سجل التحفيز'!$C$5:$C$2004,B14,'سجل التحفيز'!$D$5:$D$2004,"أساسي")</f>
        <v/>
      </c>
      <c r="D14" s="31">
        <f>COUNTIFS('سجل التحفيز'!$V$5:$V$2004,"&gt;0",'سجل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التحفيز'!$V$5:$V$2004,"&gt;0",'سجل التحفيز'!$C$5:$C$2004,B14)</f>
        <v/>
      </c>
    </row>
    <row r="15">
      <c r="B15" s="30">
        <f>الإعدادات!A8</f>
        <v/>
      </c>
      <c r="C15" s="31">
        <f>COUNTIFS('سجل التحفيز'!$V$5:$V$2004,"&gt;0",'سجل التحفيز'!$C$5:$C$2004,B15,'سجل التحفيز'!$D$5:$D$2004,"أساسي")</f>
        <v/>
      </c>
      <c r="D15" s="31">
        <f>COUNTIFS('سجل التحفيز'!$V$5:$V$2004,"&gt;0",'سجل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التحفيز'!$V$5:$V$2004,"&gt;0",'سجل التحفيز'!$C$5:$C$2004,B15)</f>
        <v/>
      </c>
    </row>
    <row r="16">
      <c r="B16" s="30">
        <f>الإعدادات!A9</f>
        <v/>
      </c>
      <c r="C16" s="31">
        <f>COUNTIFS('سجل التحفيز'!$V$5:$V$2004,"&gt;0",'سجل التحفيز'!$C$5:$C$2004,B16,'سجل التحفيز'!$D$5:$D$2004,"أساسي")</f>
        <v/>
      </c>
      <c r="D16" s="31">
        <f>COUNTIFS('سجل التحفيز'!$V$5:$V$2004,"&gt;0",'سجل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التحفيز'!$V$5:$V$2004,"&gt;0",'سجل التحفيز'!$C$5:$C$2004,B16)</f>
        <v/>
      </c>
    </row>
    <row r="17">
      <c r="B17" s="30">
        <f>الإعدادات!A10</f>
        <v/>
      </c>
      <c r="C17" s="31">
        <f>COUNTIFS('سجل التحفيز'!$V$5:$V$2004,"&gt;0",'سجل التحفيز'!$C$5:$C$2004,B17,'سجل التحفيز'!$D$5:$D$2004,"أساسي")</f>
        <v/>
      </c>
      <c r="D17" s="31">
        <f>COUNTIFS('سجل التحفيز'!$V$5:$V$2004,"&gt;0",'سجل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التحفيز'!$V$5:$V$2004,"&gt;0",'سجل التحفيز'!$C$5:$C$2004,B17)</f>
        <v/>
      </c>
    </row>
    <row r="18">
      <c r="B18" s="30">
        <f>الإعدادات!A11</f>
        <v/>
      </c>
      <c r="C18" s="31">
        <f>COUNTIFS('سجل التحفيز'!$V$5:$V$2004,"&gt;0",'سجل التحفيز'!$C$5:$C$2004,B18,'سجل التحفيز'!$D$5:$D$2004,"أساسي")</f>
        <v/>
      </c>
      <c r="D18" s="31">
        <f>COUNTIFS('سجل التحفيز'!$V$5:$V$2004,"&gt;0",'سجل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التحفيز'!$V$5:$V$2004,"&gt;0",'سجل التحفيز'!$C$5:$C$2004,B18)</f>
        <v/>
      </c>
    </row>
    <row r="19">
      <c r="B19" s="30">
        <f>الإعدادات!A12</f>
        <v/>
      </c>
      <c r="C19" s="31">
        <f>COUNTIFS('سجل التحفيز'!$V$5:$V$2004,"&gt;0",'سجل التحفيز'!$C$5:$C$2004,B19,'سجل التحفيز'!$D$5:$D$2004,"أساسي")</f>
        <v/>
      </c>
      <c r="D19" s="31">
        <f>COUNTIFS('سجل التحفيز'!$V$5:$V$2004,"&gt;0",'سجل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التحفيز'!$V$5:$V$2004,"&gt;0",'سجل التحفيز'!$C$5:$C$2004,B19)</f>
        <v/>
      </c>
    </row>
    <row r="20">
      <c r="B20" s="30">
        <f>الإعدادات!A13</f>
        <v/>
      </c>
      <c r="C20" s="31">
        <f>COUNTIFS('سجل التحفيز'!$V$5:$V$2004,"&gt;0",'سجل التحفيز'!$C$5:$C$2004,B20,'سجل التحفيز'!$D$5:$D$2004,"أساسي")</f>
        <v/>
      </c>
      <c r="D20" s="31">
        <f>COUNTIFS('سجل التحفيز'!$V$5:$V$2004,"&gt;0",'سجل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التحفيز'!$V$5:$V$2004,"&gt;0",'سجل التحفيز'!$C$5:$C$2004,B20)</f>
        <v/>
      </c>
    </row>
    <row r="21">
      <c r="B21" s="30">
        <f>الإعدادات!A14</f>
        <v/>
      </c>
      <c r="C21" s="31">
        <f>COUNTIFS('سجل التحفيز'!$V$5:$V$2004,"&gt;0",'سجل التحفيز'!$C$5:$C$2004,B21,'سجل التحفيز'!$D$5:$D$2004,"أساسي")</f>
        <v/>
      </c>
      <c r="D21" s="31">
        <f>COUNTIFS('سجل التحفيز'!$V$5:$V$2004,"&gt;0",'سجل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التحفيز'!$V$5:$V$2004,"&gt;0",'سجل التحفيز'!$C$5:$C$2004,B21)</f>
        <v/>
      </c>
    </row>
    <row r="22">
      <c r="B22" s="30">
        <f>الإعدادات!A15</f>
        <v/>
      </c>
      <c r="C22" s="31">
        <f>COUNTIFS('سجل التحفيز'!$V$5:$V$2004,"&gt;0",'سجل التحفيز'!$C$5:$C$2004,B22,'سجل التحفيز'!$D$5:$D$2004,"أساسي")</f>
        <v/>
      </c>
      <c r="D22" s="31">
        <f>COUNTIFS('سجل التحفيز'!$V$5:$V$2004,"&gt;0",'سجل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التحفيز'!$V$5:$V$2004,"&gt;0",'سجل التحفيز'!$C$5:$C$2004,B22)</f>
        <v/>
      </c>
    </row>
    <row r="23">
      <c r="B23" s="30">
        <f>الإعدادات!A16</f>
        <v/>
      </c>
      <c r="C23" s="31">
        <f>COUNTIFS('سجل التحفيز'!$V$5:$V$2004,"&gt;0",'سجل التحفيز'!$C$5:$C$2004,B23,'سجل التحفيز'!$D$5:$D$2004,"أساسي")</f>
        <v/>
      </c>
      <c r="D23" s="31">
        <f>COUNTIFS('سجل التحفيز'!$V$5:$V$2004,"&gt;0",'سجل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التحفيز'!$V$5:$V$2004,"&gt;0",'سجل التحفيز'!$C$5:$C$2004,B23)</f>
        <v/>
      </c>
    </row>
    <row r="24">
      <c r="B24" s="30">
        <f>الإعدادات!A17</f>
        <v/>
      </c>
      <c r="C24" s="31">
        <f>COUNTIFS('سجل التحفيز'!$V$5:$V$2004,"&gt;0",'سجل التحفيز'!$C$5:$C$2004,B24,'سجل التحفيز'!$D$5:$D$2004,"أساسي")</f>
        <v/>
      </c>
      <c r="D24" s="31">
        <f>COUNTIFS('سجل التحفيز'!$V$5:$V$2004,"&gt;0",'سجل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التحفيز'!$V$5:$V$2004,"&gt;0",'سجل التحفيز'!$C$5:$C$2004,B24)</f>
        <v/>
      </c>
    </row>
    <row r="25">
      <c r="B25" s="30">
        <f>الإعدادات!A18</f>
        <v/>
      </c>
      <c r="C25" s="31">
        <f>COUNTIFS('سجل التحفيز'!$V$5:$V$2004,"&gt;0",'سجل التحفيز'!$C$5:$C$2004,B25,'سجل التحفيز'!$D$5:$D$2004,"أساسي")</f>
        <v/>
      </c>
      <c r="D25" s="31">
        <f>COUNTIFS('سجل التحفيز'!$V$5:$V$2004,"&gt;0",'سجل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التحفيز'!$V$5:$V$2004,"&gt;0",'سجل التحفيز'!$C$5:$C$2004,B25)</f>
        <v/>
      </c>
    </row>
    <row r="26">
      <c r="B26" s="30">
        <f>الإعدادات!A19</f>
        <v/>
      </c>
      <c r="C26" s="31">
        <f>COUNTIFS('سجل التحفيز'!$V$5:$V$2004,"&gt;0",'سجل التحفيز'!$C$5:$C$2004,B26,'سجل التحفيز'!$D$5:$D$2004,"أساسي")</f>
        <v/>
      </c>
      <c r="D26" s="31">
        <f>COUNTIFS('سجل التحفيز'!$V$5:$V$2004,"&gt;0",'سجل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التحفيز'!$V$5:$V$2004,"&gt;0",'سجل التحفيز'!$C$5:$C$2004,B26)</f>
        <v/>
      </c>
    </row>
    <row r="27">
      <c r="B27" s="30">
        <f>الإعدادات!A20</f>
        <v/>
      </c>
      <c r="C27" s="31">
        <f>COUNTIFS('سجل التحفيز'!$V$5:$V$2004,"&gt;0",'سجل التحفيز'!$C$5:$C$2004,B27,'سجل التحفيز'!$D$5:$D$2004,"أساسي")</f>
        <v/>
      </c>
      <c r="D27" s="31">
        <f>COUNTIFS('سجل التحفيز'!$V$5:$V$2004,"&gt;0",'سجل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التحفيز'!$V$5:$V$2004,"&gt;0",'سجل التحفيز'!$C$5:$C$2004,B27)</f>
        <v/>
      </c>
    </row>
    <row r="28">
      <c r="B28" s="30">
        <f>الإعدادات!A21</f>
        <v/>
      </c>
      <c r="C28" s="31">
        <f>COUNTIFS('سجل التحفيز'!$V$5:$V$2004,"&gt;0",'سجل التحفيز'!$C$5:$C$2004,B28,'سجل التحفيز'!$D$5:$D$2004,"أساسي")</f>
        <v/>
      </c>
      <c r="D28" s="31">
        <f>COUNTIFS('سجل التحفيز'!$V$5:$V$2004,"&gt;0",'سجل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التحفيز'!$V$5:$V$2004,"&gt;0",'سجل التحفيز'!$C$5:$C$2004,B28)</f>
        <v/>
      </c>
    </row>
    <row r="29">
      <c r="B29" s="30">
        <f>الإعدادات!A22</f>
        <v/>
      </c>
      <c r="C29" s="31">
        <f>COUNTIFS('سجل التحفيز'!$V$5:$V$2004,"&gt;0",'سجل التحفيز'!$C$5:$C$2004,B29,'سجل التحفيز'!$D$5:$D$2004,"أساسي")</f>
        <v/>
      </c>
      <c r="D29" s="31">
        <f>COUNTIFS('سجل التحفيز'!$V$5:$V$2004,"&gt;0",'سجل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التحفيز'!$V$5:$V$2004,"&gt;0",'سجل التحفيز'!$C$5:$C$2004,B29)</f>
        <v/>
      </c>
    </row>
    <row r="30">
      <c r="B30" s="30">
        <f>الإعدادات!A23</f>
        <v/>
      </c>
      <c r="C30" s="31">
        <f>COUNTIFS('سجل التحفيز'!$V$5:$V$2004,"&gt;0",'سجل التحفيز'!$C$5:$C$2004,B30,'سجل التحفيز'!$D$5:$D$2004,"أساسي")</f>
        <v/>
      </c>
      <c r="D30" s="31">
        <f>COUNTIFS('سجل التحفيز'!$V$5:$V$2004,"&gt;0",'سجل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التحفيز'!$V$5:$V$2004,"&gt;0",'سجل التحفيز'!$C$5:$C$2004,B30)</f>
        <v/>
      </c>
    </row>
    <row r="31">
      <c r="B31" s="30">
        <f>الإعدادات!A24</f>
        <v/>
      </c>
      <c r="C31" s="31">
        <f>COUNTIFS('سجل التحفيز'!$V$5:$V$2004,"&gt;0",'سجل التحفيز'!$C$5:$C$2004,B31,'سجل التحفيز'!$D$5:$D$2004,"أساسي")</f>
        <v/>
      </c>
      <c r="D31" s="31">
        <f>COUNTIFS('سجل التحفيز'!$V$5:$V$2004,"&gt;0",'سجل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التحفيز'!$V$5:$V$2004,"&gt;0",'سجل التحفيز'!$C$5:$C$2004,B31)</f>
        <v/>
      </c>
    </row>
    <row r="32">
      <c r="B32" s="30">
        <f>الإعدادات!A25</f>
        <v/>
      </c>
      <c r="C32" s="31">
        <f>COUNTIFS('سجل التحفيز'!$V$5:$V$2004,"&gt;0",'سجل التحفيز'!$C$5:$C$2004,B32,'سجل التحفيز'!$D$5:$D$2004,"أساسي")</f>
        <v/>
      </c>
      <c r="D32" s="31">
        <f>COUNTIFS('سجل التحفيز'!$V$5:$V$2004,"&gt;0",'سجل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التحفيز'!$V$5:$V$2004,"&gt;0",'سجل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التكريمات حسب الشهر</t>
        </is>
      </c>
    </row>
    <row r="37">
      <c r="B37" s="13" t="inlineStr">
        <is>
          <t>الشهر</t>
        </is>
      </c>
      <c r="C37" s="13" t="inlineStr">
        <is>
          <t>أساسي</t>
        </is>
      </c>
      <c r="D37" s="13" t="inlineStr">
        <is>
          <t>ذهبي</t>
        </is>
      </c>
      <c r="E37" s="13" t="inlineStr">
        <is>
          <t>الإجمالي</t>
        </is>
      </c>
      <c r="F37" s="13" t="inlineStr">
        <is>
          <t>القيمة (ر.ق)</t>
        </is>
      </c>
    </row>
    <row r="38">
      <c r="B38" s="30" t="inlineStr">
        <is>
          <t>يناير</t>
        </is>
      </c>
      <c r="C38" s="31">
        <f>COUNTIFS('سجل التحفيز'!$V$5:$V$2004,"&gt;0",'سجل التحفيز'!$P$5:$P$2004,B38,'سجل التحفيز'!$D$5:$D$2004,"أساسي")</f>
        <v/>
      </c>
      <c r="D38" s="31">
        <f>COUNTIFS('سجل التحفيز'!$V$5:$V$2004,"&gt;0",'سجل التحفيز'!$P$5:$P$2004,B38,'سجل التحفيز'!$D$5:$D$2004,"ذهبي")</f>
        <v/>
      </c>
      <c r="E38" s="32">
        <f>C38+D38</f>
        <v/>
      </c>
      <c r="F38" s="31">
        <f>SUMIFS('سجل التحفيز'!$G$5:$G$2004,'سجل التحفيز'!$V$5:$V$2004,"&gt;0",'سجل التحفيز'!$P$5:$P$2004,B38)</f>
        <v/>
      </c>
    </row>
    <row r="39">
      <c r="B39" s="30" t="inlineStr">
        <is>
          <t>فبراير</t>
        </is>
      </c>
      <c r="C39" s="31">
        <f>COUNTIFS('سجل التحفيز'!$V$5:$V$2004,"&gt;0",'سجل التحفيز'!$P$5:$P$2004,B39,'سجل التحفيز'!$D$5:$D$2004,"أساسي")</f>
        <v/>
      </c>
      <c r="D39" s="31">
        <f>COUNTIFS('سجل التحفيز'!$V$5:$V$2004,"&gt;0",'سجل التحفيز'!$P$5:$P$2004,B39,'سجل التحفيز'!$D$5:$D$2004,"ذهبي")</f>
        <v/>
      </c>
      <c r="E39" s="32">
        <f>C39+D39</f>
        <v/>
      </c>
      <c r="F39" s="31">
        <f>SUMIFS('سجل التحفيز'!$G$5:$G$2004,'سجل التحفيز'!$V$5:$V$2004,"&gt;0",'سجل التحفيز'!$P$5:$P$2004,B39)</f>
        <v/>
      </c>
    </row>
    <row r="40">
      <c r="B40" s="30" t="inlineStr">
        <is>
          <t>مارس</t>
        </is>
      </c>
      <c r="C40" s="31">
        <f>COUNTIFS('سجل التحفيز'!$V$5:$V$2004,"&gt;0",'سجل التحفيز'!$P$5:$P$2004,B40,'سجل التحفيز'!$D$5:$D$2004,"أساسي")</f>
        <v/>
      </c>
      <c r="D40" s="31">
        <f>COUNTIFS('سجل التحفيز'!$V$5:$V$2004,"&gt;0",'سجل التحفيز'!$P$5:$P$2004,B40,'سجل التحفيز'!$D$5:$D$2004,"ذهبي")</f>
        <v/>
      </c>
      <c r="E40" s="32">
        <f>C40+D40</f>
        <v/>
      </c>
      <c r="F40" s="31">
        <f>SUMIFS('سجل التحفيز'!$G$5:$G$2004,'سجل التحفيز'!$V$5:$V$2004,"&gt;0",'سجل التحفيز'!$P$5:$P$2004,B40)</f>
        <v/>
      </c>
    </row>
    <row r="41">
      <c r="B41" s="30" t="inlineStr">
        <is>
          <t>أبريل</t>
        </is>
      </c>
      <c r="C41" s="31">
        <f>COUNTIFS('سجل التحفيز'!$V$5:$V$2004,"&gt;0",'سجل التحفيز'!$P$5:$P$2004,B41,'سجل التحفيز'!$D$5:$D$2004,"أساسي")</f>
        <v/>
      </c>
      <c r="D41" s="31">
        <f>COUNTIFS('سجل التحفيز'!$V$5:$V$2004,"&gt;0",'سجل التحفيز'!$P$5:$P$2004,B41,'سجل التحفيز'!$D$5:$D$2004,"ذهبي")</f>
        <v/>
      </c>
      <c r="E41" s="32">
        <f>C41+D41</f>
        <v/>
      </c>
      <c r="F41" s="31">
        <f>SUMIFS('سجل التحفيز'!$G$5:$G$2004,'سجل التحفيز'!$V$5:$V$2004,"&gt;0",'سجل التحفيز'!$P$5:$P$2004,B41)</f>
        <v/>
      </c>
    </row>
    <row r="42">
      <c r="B42" s="30" t="inlineStr">
        <is>
          <t>مايو</t>
        </is>
      </c>
      <c r="C42" s="31">
        <f>COUNTIFS('سجل التحفيز'!$V$5:$V$2004,"&gt;0",'سجل التحفيز'!$P$5:$P$2004,B42,'سجل التحفيز'!$D$5:$D$2004,"أساسي")</f>
        <v/>
      </c>
      <c r="D42" s="31">
        <f>COUNTIFS('سجل التحفيز'!$V$5:$V$2004,"&gt;0",'سجل التحفيز'!$P$5:$P$2004,B42,'سجل التحفيز'!$D$5:$D$2004,"ذهبي")</f>
        <v/>
      </c>
      <c r="E42" s="32">
        <f>C42+D42</f>
        <v/>
      </c>
      <c r="F42" s="31">
        <f>SUMIFS('سجل التحفيز'!$G$5:$G$2004,'سجل التحفيز'!$V$5:$V$2004,"&gt;0",'سجل التحفيز'!$P$5:$P$2004,B42)</f>
        <v/>
      </c>
    </row>
    <row r="43">
      <c r="B43" s="33" t="inlineStr">
        <is>
          <t>الإجمالي</t>
        </is>
      </c>
      <c r="C43" s="33">
        <f>SUM(C38:C42)</f>
        <v/>
      </c>
      <c r="D43" s="33">
        <f>SUM(D38:D42)</f>
        <v/>
      </c>
      <c r="E43" s="33">
        <f>SUM(E38:E42)</f>
        <v/>
      </c>
      <c r="F43" s="33">
        <f>SUM(F38:F42)</f>
        <v/>
      </c>
    </row>
    <row r="52">
      <c r="B52" s="29" t="inlineStr">
        <is>
          <t>الموظفات المُكرَّمات ضمن فترة التقرير</t>
        </is>
      </c>
      <c r="K52" s="29" t="inlineStr">
        <is>
          <t>تفاصيل التكريمات ضمن فترة التقرير</t>
        </is>
      </c>
    </row>
    <row r="53">
      <c r="B53" s="13" t="inlineStr">
        <is>
          <t>اسم الموظفة</t>
        </is>
      </c>
      <c r="C53" s="13" t="inlineStr">
        <is>
          <t>القسم</t>
        </is>
      </c>
      <c r="D53" s="13" t="inlineStr">
        <is>
          <t>عدد التكريمات</t>
        </is>
      </c>
      <c r="E53" s="13" t="inlineStr">
        <is>
          <t>معايير ذهبية</t>
        </is>
      </c>
      <c r="F53" s="13" t="inlineStr">
        <is>
          <t>القيمة (ر.ق)</t>
        </is>
      </c>
      <c r="G53" s="13" t="inlineStr">
        <is>
          <t>الترتيب</t>
        </is>
      </c>
      <c r="H53" s="13" t="inlineStr">
        <is>
          <t>أمري تدللي (السنة)</t>
        </is>
      </c>
      <c r="K53" s="13" t="inlineStr">
        <is>
          <t>م</t>
        </is>
      </c>
      <c r="L53" s="13" t="inlineStr">
        <is>
          <t>التاريخ</t>
        </is>
      </c>
      <c r="M53" s="13" t="inlineStr">
        <is>
          <t>اسم الموظفة</t>
        </is>
      </c>
      <c r="N53" s="13" t="inlineStr">
        <is>
          <t>القسم</t>
        </is>
      </c>
      <c r="O53" s="13" t="inlineStr">
        <is>
          <t>المجال</t>
        </is>
      </c>
      <c r="P53" s="13" t="inlineStr">
        <is>
          <t>المستوى</t>
        </is>
      </c>
      <c r="Q53" s="13" t="inlineStr">
        <is>
          <t>المعيار المحقق</t>
        </is>
      </c>
      <c r="R53" s="13" t="inlineStr">
        <is>
          <t>المكافأة الممنوحة</t>
        </is>
      </c>
      <c r="S53" s="13" t="inlineStr">
        <is>
          <t>القيمة (ر.ق)</t>
        </is>
      </c>
    </row>
    <row r="54">
      <c r="B54" s="34">
        <f>IFERROR(INDEX(الموظفات!$B$5:$B$304,MATCH(1,الموظفات!$P$5:$P$304,0)),"")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التحفيز'!$V$5:$V$2004,"&gt;0",'سجل التحفيز'!$B$5:$B$2004,B54))</f>
        <v/>
      </c>
      <c r="E54" s="35">
        <f>IF(B54="","",COUNTIFS('سجل التحفيز'!$V$5:$V$2004,"&gt;0",'سجل التحفيز'!$B$5:$B$2004,B54,'سجل التحفيز'!$D$5:$D$2004,"ذهبي"))</f>
        <v/>
      </c>
      <c r="F54" s="35">
        <f>IF(B54="","",SUMIFS('سجل التحفيز'!$G$5:$G$2004,'سجل التحفيز'!$V$5:$V$2004,"&gt;0",'سجل التحفيز'!$B$5:$B$2004,B54))</f>
        <v/>
      </c>
      <c r="G54" s="35">
        <f>IF(B54="","",COUNTIF($D$54:$D$203,"&gt;"&amp;D54)+1)</f>
        <v/>
      </c>
      <c r="H54" s="35">
        <f>IF(B54="","",INDEX(الموظفات!$L$5:$L$304,MATCH(B54,الموظفات!$B$5:$B$304,0)))</f>
        <v/>
      </c>
      <c r="K54" s="36">
        <f>IF(1&gt;$B$10,"",1)</f>
        <v/>
      </c>
      <c r="L54" s="37">
        <f>IF($K54="","",INDEX('سجل التحفيز'!$A$5:$A$2004,MATCH($K54,'سجل التحفيز'!$V$5:$V$2004,0)))</f>
        <v/>
      </c>
      <c r="M54" s="9">
        <f>IF($K54="","",INDEX('سجل التحفيز'!$B$5:$B$2004,MATCH($K54,'سجل التحفيز'!$V$5:$V$2004,0)))</f>
        <v/>
      </c>
      <c r="N54" s="9">
        <f>IF($K54="","",INDEX('سجل التحفيز'!$M$5:$M$2004,MATCH($K54,'سجل التحفيز'!$V$5:$V$2004,0)))</f>
        <v/>
      </c>
      <c r="O54" s="9">
        <f>IF($K54="","",INDEX('سجل التحفيز'!$C$5:$C$2004,MATCH($K54,'سجل التحفيز'!$V$5:$V$2004,0)))</f>
        <v/>
      </c>
      <c r="P54" s="36">
        <f>IF($K54="","",INDEX('سجل التحفيز'!$D$5:$D$2004,MATCH($K54,'سجل التحفيز'!$V$5:$V$2004,0)))</f>
        <v/>
      </c>
      <c r="Q54" s="9">
        <f>IF($K54="","",INDEX('سجل التحفيز'!$E$5:$E$2004,MATCH($K54,'سجل التحفيز'!$V$5:$V$2004,0)))</f>
        <v/>
      </c>
      <c r="R54" s="9">
        <f>IF($K54="","",INDEX('سجل التحفيز'!$F$5:$F$2004,MATCH($K54,'سجل التحفيز'!$V$5:$V$2004,0)))</f>
        <v/>
      </c>
      <c r="S54" s="35">
        <f>IF($K54="","",INDEX('سجل التحفيز'!$G$5:$G$2004,MATCH($K54,'سجل التحفيز'!$V$5:$V$2004,0)))</f>
        <v/>
      </c>
    </row>
    <row r="55">
      <c r="B55" s="34">
        <f>IFERROR(INDEX(الموظفات!$B$5:$B$304,MATCH(2,الموظفات!$P$5:$P$304,0)),"")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التحفيز'!$V$5:$V$2004,"&gt;0",'سجل التحفيز'!$B$5:$B$2004,B55))</f>
        <v/>
      </c>
      <c r="E55" s="35">
        <f>IF(B55="","",COUNTIFS('سجل التحفيز'!$V$5:$V$2004,"&gt;0",'سجل التحفيز'!$B$5:$B$2004,B55,'سجل التحفيز'!$D$5:$D$2004,"ذهبي"))</f>
        <v/>
      </c>
      <c r="F55" s="35">
        <f>IF(B55="","",SUMIFS('سجل التحفيز'!$G$5:$G$2004,'سجل التحفيز'!$V$5:$V$2004,"&gt;0",'سجل التحفيز'!$B$5:$B$2004,B55))</f>
        <v/>
      </c>
      <c r="G55" s="35">
        <f>IF(B55="","",COUNTIF($D$54:$D$203,"&gt;"&amp;D55)+1)</f>
        <v/>
      </c>
      <c r="H55" s="35">
        <f>IF(B55="","",INDEX(الموظفات!$L$5:$L$304,MATCH(B55,الموظفات!$B$5:$B$304,0)))</f>
        <v/>
      </c>
      <c r="K55" s="36">
        <f>IF(2&gt;$B$10,"",2)</f>
        <v/>
      </c>
      <c r="L55" s="37">
        <f>IF($K55="","",INDEX('سجل التحفيز'!$A$5:$A$2004,MATCH($K55,'سجل التحفيز'!$V$5:$V$2004,0)))</f>
        <v/>
      </c>
      <c r="M55" s="9">
        <f>IF($K55="","",INDEX('سجل التحفيز'!$B$5:$B$2004,MATCH($K55,'سجل التحفيز'!$V$5:$V$2004,0)))</f>
        <v/>
      </c>
      <c r="N55" s="9">
        <f>IF($K55="","",INDEX('سجل التحفيز'!$M$5:$M$2004,MATCH($K55,'سجل التحفيز'!$V$5:$V$2004,0)))</f>
        <v/>
      </c>
      <c r="O55" s="9">
        <f>IF($K55="","",INDEX('سجل التحفيز'!$C$5:$C$2004,MATCH($K55,'سجل التحفيز'!$V$5:$V$2004,0)))</f>
        <v/>
      </c>
      <c r="P55" s="36">
        <f>IF($K55="","",INDEX('سجل التحفيز'!$D$5:$D$2004,MATCH($K55,'سجل التحفيز'!$V$5:$V$2004,0)))</f>
        <v/>
      </c>
      <c r="Q55" s="9">
        <f>IF($K55="","",INDEX('سجل التحفيز'!$E$5:$E$2004,MATCH($K55,'سجل التحفيز'!$V$5:$V$2004,0)))</f>
        <v/>
      </c>
      <c r="R55" s="9">
        <f>IF($K55="","",INDEX('سجل التحفيز'!$F$5:$F$2004,MATCH($K55,'سجل التحفيز'!$V$5:$V$2004,0)))</f>
        <v/>
      </c>
      <c r="S55" s="35">
        <f>IF($K55="","",INDEX('سجل التحفيز'!$G$5:$G$2004,MATCH($K55,'سجل التحفيز'!$V$5:$V$2004,0)))</f>
        <v/>
      </c>
    </row>
    <row r="56">
      <c r="B56" s="34">
        <f>IFERROR(INDEX(الموظفات!$B$5:$B$304,MATCH(3,الموظفات!$P$5:$P$304,0)),"")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التحفيز'!$V$5:$V$2004,"&gt;0",'سجل التحفيز'!$B$5:$B$2004,B56))</f>
        <v/>
      </c>
      <c r="E56" s="35">
        <f>IF(B56="","",COUNTIFS('سجل التحفيز'!$V$5:$V$2004,"&gt;0",'سجل التحفيز'!$B$5:$B$2004,B56,'سجل التحفيز'!$D$5:$D$2004,"ذهبي"))</f>
        <v/>
      </c>
      <c r="F56" s="35">
        <f>IF(B56="","",SUMIFS('سجل التحفيز'!$G$5:$G$2004,'سجل التحفيز'!$V$5:$V$2004,"&gt;0",'سجل التحفيز'!$B$5:$B$2004,B56))</f>
        <v/>
      </c>
      <c r="G56" s="35">
        <f>IF(B56="","",COUNTIF($D$54:$D$203,"&gt;"&amp;D56)+1)</f>
        <v/>
      </c>
      <c r="H56" s="35">
        <f>IF(B56="","",INDEX(الموظفات!$L$5:$L$304,MATCH(B56,الموظفات!$B$5:$B$304,0)))</f>
        <v/>
      </c>
      <c r="K56" s="36">
        <f>IF(3&gt;$B$10,"",3)</f>
        <v/>
      </c>
      <c r="L56" s="37">
        <f>IF($K56="","",INDEX('سجل التحفيز'!$A$5:$A$2004,MATCH($K56,'سجل التحفيز'!$V$5:$V$2004,0)))</f>
        <v/>
      </c>
      <c r="M56" s="9">
        <f>IF($K56="","",INDEX('سجل التحفيز'!$B$5:$B$2004,MATCH($K56,'سجل التحفيز'!$V$5:$V$2004,0)))</f>
        <v/>
      </c>
      <c r="N56" s="9">
        <f>IF($K56="","",INDEX('سجل التحفيز'!$M$5:$M$2004,MATCH($K56,'سجل التحفيز'!$V$5:$V$2004,0)))</f>
        <v/>
      </c>
      <c r="O56" s="9">
        <f>IF($K56="","",INDEX('سجل التحفيز'!$C$5:$C$2004,MATCH($K56,'سجل التحفيز'!$V$5:$V$2004,0)))</f>
        <v/>
      </c>
      <c r="P56" s="36">
        <f>IF($K56="","",INDEX('سجل التحفيز'!$D$5:$D$2004,MATCH($K56,'سجل التحفيز'!$V$5:$V$2004,0)))</f>
        <v/>
      </c>
      <c r="Q56" s="9">
        <f>IF($K56="","",INDEX('سجل التحفيز'!$E$5:$E$2004,MATCH($K56,'سجل التحفيز'!$V$5:$V$2004,0)))</f>
        <v/>
      </c>
      <c r="R56" s="9">
        <f>IF($K56="","",INDEX('سجل التحفيز'!$F$5:$F$2004,MATCH($K56,'سجل التحفيز'!$V$5:$V$2004,0)))</f>
        <v/>
      </c>
      <c r="S56" s="35">
        <f>IF($K56="","",INDEX('سجل التحفيز'!$G$5:$G$2004,MATCH($K56,'سجل التحفيز'!$V$5:$V$2004,0)))</f>
        <v/>
      </c>
    </row>
    <row r="57">
      <c r="B57" s="34">
        <f>IFERROR(INDEX(الموظفات!$B$5:$B$304,MATCH(4,الموظفات!$P$5:$P$304,0)),"")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التحفيز'!$V$5:$V$2004,"&gt;0",'سجل التحفيز'!$B$5:$B$2004,B57))</f>
        <v/>
      </c>
      <c r="E57" s="35">
        <f>IF(B57="","",COUNTIFS('سجل التحفيز'!$V$5:$V$2004,"&gt;0",'سجل التحفيز'!$B$5:$B$2004,B57,'سجل التحفيز'!$D$5:$D$2004,"ذهبي"))</f>
        <v/>
      </c>
      <c r="F57" s="35">
        <f>IF(B57="","",SUMIFS('سجل التحفيز'!$G$5:$G$2004,'سجل التحفيز'!$V$5:$V$2004,"&gt;0",'سجل التحفيز'!$B$5:$B$2004,B57))</f>
        <v/>
      </c>
      <c r="G57" s="35">
        <f>IF(B57="","",COUNTIF($D$54:$D$203,"&gt;"&amp;D57)+1)</f>
        <v/>
      </c>
      <c r="H57" s="35">
        <f>IF(B57="","",INDEX(الموظفات!$L$5:$L$304,MATCH(B57,الموظفات!$B$5:$B$304,0)))</f>
        <v/>
      </c>
      <c r="K57" s="36">
        <f>IF(4&gt;$B$10,"",4)</f>
        <v/>
      </c>
      <c r="L57" s="37">
        <f>IF($K57="","",INDEX('سجل التحفيز'!$A$5:$A$2004,MATCH($K57,'سجل التحفيز'!$V$5:$V$2004,0)))</f>
        <v/>
      </c>
      <c r="M57" s="9">
        <f>IF($K57="","",INDEX('سجل التحفيز'!$B$5:$B$2004,MATCH($K57,'سجل التحفيز'!$V$5:$V$2004,0)))</f>
        <v/>
      </c>
      <c r="N57" s="9">
        <f>IF($K57="","",INDEX('سجل التحفيز'!$M$5:$M$2004,MATCH($K57,'سجل التحفيز'!$V$5:$V$2004,0)))</f>
        <v/>
      </c>
      <c r="O57" s="9">
        <f>IF($K57="","",INDEX('سجل التحفيز'!$C$5:$C$2004,MATCH($K57,'سجل التحفيز'!$V$5:$V$2004,0)))</f>
        <v/>
      </c>
      <c r="P57" s="36">
        <f>IF($K57="","",INDEX('سجل التحفيز'!$D$5:$D$2004,MATCH($K57,'سجل التحفيز'!$V$5:$V$2004,0)))</f>
        <v/>
      </c>
      <c r="Q57" s="9">
        <f>IF($K57="","",INDEX('سجل التحفيز'!$E$5:$E$2004,MATCH($K57,'سجل التحفيز'!$V$5:$V$2004,0)))</f>
        <v/>
      </c>
      <c r="R57" s="9">
        <f>IF($K57="","",INDEX('سجل التحفيز'!$F$5:$F$2004,MATCH($K57,'سجل التحفيز'!$V$5:$V$2004,0)))</f>
        <v/>
      </c>
      <c r="S57" s="35">
        <f>IF($K57="","",INDEX('سجل التحفيز'!$G$5:$G$2004,MATCH($K57,'سجل التحفيز'!$V$5:$V$2004,0)))</f>
        <v/>
      </c>
    </row>
    <row r="58">
      <c r="B58" s="34">
        <f>IFERROR(INDEX(الموظفات!$B$5:$B$304,MATCH(5,الموظفات!$P$5:$P$304,0)),"")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التحفيز'!$V$5:$V$2004,"&gt;0",'سجل التحفيز'!$B$5:$B$2004,B58))</f>
        <v/>
      </c>
      <c r="E58" s="35">
        <f>IF(B58="","",COUNTIFS('سجل التحفيز'!$V$5:$V$2004,"&gt;0",'سجل التحفيز'!$B$5:$B$2004,B58,'سجل التحفيز'!$D$5:$D$2004,"ذهبي"))</f>
        <v/>
      </c>
      <c r="F58" s="35">
        <f>IF(B58="","",SUMIFS('سجل التحفيز'!$G$5:$G$2004,'سجل التحفيز'!$V$5:$V$2004,"&gt;0",'سجل التحفيز'!$B$5:$B$2004,B58))</f>
        <v/>
      </c>
      <c r="G58" s="35">
        <f>IF(B58="","",COUNTIF($D$54:$D$203,"&gt;"&amp;D58)+1)</f>
        <v/>
      </c>
      <c r="H58" s="35">
        <f>IF(B58="","",INDEX(الموظفات!$L$5:$L$304,MATCH(B58,الموظفات!$B$5:$B$304,0)))</f>
        <v/>
      </c>
      <c r="K58" s="36">
        <f>IF(5&gt;$B$10,"",5)</f>
        <v/>
      </c>
      <c r="L58" s="37">
        <f>IF($K58="","",INDEX('سجل التحفيز'!$A$5:$A$2004,MATCH($K58,'سجل التحفيز'!$V$5:$V$2004,0)))</f>
        <v/>
      </c>
      <c r="M58" s="9">
        <f>IF($K58="","",INDEX('سجل التحفيز'!$B$5:$B$2004,MATCH($K58,'سجل التحفيز'!$V$5:$V$2004,0)))</f>
        <v/>
      </c>
      <c r="N58" s="9">
        <f>IF($K58="","",INDEX('سجل التحفيز'!$M$5:$M$2004,MATCH($K58,'سجل التحفيز'!$V$5:$V$2004,0)))</f>
        <v/>
      </c>
      <c r="O58" s="9">
        <f>IF($K58="","",INDEX('سجل التحفيز'!$C$5:$C$2004,MATCH($K58,'سجل التحفيز'!$V$5:$V$2004,0)))</f>
        <v/>
      </c>
      <c r="P58" s="36">
        <f>IF($K58="","",INDEX('سجل التحفيز'!$D$5:$D$2004,MATCH($K58,'سجل التحفيز'!$V$5:$V$2004,0)))</f>
        <v/>
      </c>
      <c r="Q58" s="9">
        <f>IF($K58="","",INDEX('سجل التحفيز'!$E$5:$E$2004,MATCH($K58,'سجل التحفيز'!$V$5:$V$2004,0)))</f>
        <v/>
      </c>
      <c r="R58" s="9">
        <f>IF($K58="","",INDEX('سجل التحفيز'!$F$5:$F$2004,MATCH($K58,'سجل التحفيز'!$V$5:$V$2004,0)))</f>
        <v/>
      </c>
      <c r="S58" s="35">
        <f>IF($K58="","",INDEX('سجل التحفيز'!$G$5:$G$2004,MATCH($K58,'سجل التحفيز'!$V$5:$V$2004,0)))</f>
        <v/>
      </c>
    </row>
    <row r="59">
      <c r="B59" s="34">
        <f>IFERROR(INDEX(الموظفات!$B$5:$B$304,MATCH(6,الموظفات!$P$5:$P$304,0)),"")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التحفيز'!$V$5:$V$2004,"&gt;0",'سجل التحفيز'!$B$5:$B$2004,B59))</f>
        <v/>
      </c>
      <c r="E59" s="35">
        <f>IF(B59="","",COUNTIFS('سجل التحفيز'!$V$5:$V$2004,"&gt;0",'سجل التحفيز'!$B$5:$B$2004,B59,'سجل التحفيز'!$D$5:$D$2004,"ذهبي"))</f>
        <v/>
      </c>
      <c r="F59" s="35">
        <f>IF(B59="","",SUMIFS('سجل التحفيز'!$G$5:$G$2004,'سجل التحفيز'!$V$5:$V$2004,"&gt;0",'سجل التحفيز'!$B$5:$B$2004,B59))</f>
        <v/>
      </c>
      <c r="G59" s="35">
        <f>IF(B59="","",COUNTIF($D$54:$D$203,"&gt;"&amp;D59)+1)</f>
        <v/>
      </c>
      <c r="H59" s="35">
        <f>IF(B59="","",INDEX(الموظفات!$L$5:$L$304,MATCH(B59,الموظفات!$B$5:$B$304,0)))</f>
        <v/>
      </c>
      <c r="K59" s="36">
        <f>IF(6&gt;$B$10,"",6)</f>
        <v/>
      </c>
      <c r="L59" s="37">
        <f>IF($K59="","",INDEX('سجل التحفيز'!$A$5:$A$2004,MATCH($K59,'سجل التحفيز'!$V$5:$V$2004,0)))</f>
        <v/>
      </c>
      <c r="M59" s="9">
        <f>IF($K59="","",INDEX('سجل التحفيز'!$B$5:$B$2004,MATCH($K59,'سجل التحفيز'!$V$5:$V$2004,0)))</f>
        <v/>
      </c>
      <c r="N59" s="9">
        <f>IF($K59="","",INDEX('سجل التحفيز'!$M$5:$M$2004,MATCH($K59,'سجل التحفيز'!$V$5:$V$2004,0)))</f>
        <v/>
      </c>
      <c r="O59" s="9">
        <f>IF($K59="","",INDEX('سجل التحفيز'!$C$5:$C$2004,MATCH($K59,'سجل التحفيز'!$V$5:$V$2004,0)))</f>
        <v/>
      </c>
      <c r="P59" s="36">
        <f>IF($K59="","",INDEX('سجل التحفيز'!$D$5:$D$2004,MATCH($K59,'سجل التحفيز'!$V$5:$V$2004,0)))</f>
        <v/>
      </c>
      <c r="Q59" s="9">
        <f>IF($K59="","",INDEX('سجل التحفيز'!$E$5:$E$2004,MATCH($K59,'سجل التحفيز'!$V$5:$V$2004,0)))</f>
        <v/>
      </c>
      <c r="R59" s="9">
        <f>IF($K59="","",INDEX('سجل التحفيز'!$F$5:$F$2004,MATCH($K59,'سجل التحفيز'!$V$5:$V$2004,0)))</f>
        <v/>
      </c>
      <c r="S59" s="35">
        <f>IF($K59="","",INDEX('سجل التحفيز'!$G$5:$G$2004,MATCH($K59,'سجل التحفيز'!$V$5:$V$2004,0)))</f>
        <v/>
      </c>
    </row>
    <row r="60">
      <c r="B60" s="34">
        <f>IFERROR(INDEX(الموظفات!$B$5:$B$304,MATCH(7,الموظفات!$P$5:$P$304,0)),"")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التحفيز'!$V$5:$V$2004,"&gt;0",'سجل التحفيز'!$B$5:$B$2004,B60))</f>
        <v/>
      </c>
      <c r="E60" s="35">
        <f>IF(B60="","",COUNTIFS('سجل التحفيز'!$V$5:$V$2004,"&gt;0",'سجل التحفيز'!$B$5:$B$2004,B60,'سجل التحفيز'!$D$5:$D$2004,"ذهبي"))</f>
        <v/>
      </c>
      <c r="F60" s="35">
        <f>IF(B60="","",SUMIFS('سجل التحفيز'!$G$5:$G$2004,'سجل التحفيز'!$V$5:$V$2004,"&gt;0",'سجل التحفيز'!$B$5:$B$2004,B60))</f>
        <v/>
      </c>
      <c r="G60" s="35">
        <f>IF(B60="","",COUNTIF($D$54:$D$203,"&gt;"&amp;D60)+1)</f>
        <v/>
      </c>
      <c r="H60" s="35">
        <f>IF(B60="","",INDEX(الموظفات!$L$5:$L$304,MATCH(B60,الموظفات!$B$5:$B$304,0)))</f>
        <v/>
      </c>
      <c r="K60" s="36">
        <f>IF(7&gt;$B$10,"",7)</f>
        <v/>
      </c>
      <c r="L60" s="37">
        <f>IF($K60="","",INDEX('سجل التحفيز'!$A$5:$A$2004,MATCH($K60,'سجل التحفيز'!$V$5:$V$2004,0)))</f>
        <v/>
      </c>
      <c r="M60" s="9">
        <f>IF($K60="","",INDEX('سجل التحفيز'!$B$5:$B$2004,MATCH($K60,'سجل التحفيز'!$V$5:$V$2004,0)))</f>
        <v/>
      </c>
      <c r="N60" s="9">
        <f>IF($K60="","",INDEX('سجل التحفيز'!$M$5:$M$2004,MATCH($K60,'سجل التحفيز'!$V$5:$V$2004,0)))</f>
        <v/>
      </c>
      <c r="O60" s="9">
        <f>IF($K60="","",INDEX('سجل التحفيز'!$C$5:$C$2004,MATCH($K60,'سجل التحفيز'!$V$5:$V$2004,0)))</f>
        <v/>
      </c>
      <c r="P60" s="36">
        <f>IF($K60="","",INDEX('سجل التحفيز'!$D$5:$D$2004,MATCH($K60,'سجل التحفيز'!$V$5:$V$2004,0)))</f>
        <v/>
      </c>
      <c r="Q60" s="9">
        <f>IF($K60="","",INDEX('سجل التحفيز'!$E$5:$E$2004,MATCH($K60,'سجل التحفيز'!$V$5:$V$2004,0)))</f>
        <v/>
      </c>
      <c r="R60" s="9">
        <f>IF($K60="","",INDEX('سجل التحفيز'!$F$5:$F$2004,MATCH($K60,'سجل التحفيز'!$V$5:$V$2004,0)))</f>
        <v/>
      </c>
      <c r="S60" s="35">
        <f>IF($K60="","",INDEX('سجل التحفيز'!$G$5:$G$2004,MATCH($K60,'سجل التحفيز'!$V$5:$V$2004,0)))</f>
        <v/>
      </c>
    </row>
    <row r="61">
      <c r="B61" s="34">
        <f>IFERROR(INDEX(الموظفات!$B$5:$B$304,MATCH(8,الموظفات!$P$5:$P$304,0)),"")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التحفيز'!$V$5:$V$2004,"&gt;0",'سجل التحفيز'!$B$5:$B$2004,B61))</f>
        <v/>
      </c>
      <c r="E61" s="35">
        <f>IF(B61="","",COUNTIFS('سجل التحفيز'!$V$5:$V$2004,"&gt;0",'سجل التحفيز'!$B$5:$B$2004,B61,'سجل التحفيز'!$D$5:$D$2004,"ذهبي"))</f>
        <v/>
      </c>
      <c r="F61" s="35">
        <f>IF(B61="","",SUMIFS('سجل التحفيز'!$G$5:$G$2004,'سجل التحفيز'!$V$5:$V$2004,"&gt;0",'سجل التحفيز'!$B$5:$B$2004,B61))</f>
        <v/>
      </c>
      <c r="G61" s="35">
        <f>IF(B61="","",COUNTIF($D$54:$D$203,"&gt;"&amp;D61)+1)</f>
        <v/>
      </c>
      <c r="H61" s="35">
        <f>IF(B61="","",INDEX(الموظفات!$L$5:$L$304,MATCH(B61,الموظفات!$B$5:$B$304,0)))</f>
        <v/>
      </c>
      <c r="K61" s="36">
        <f>IF(8&gt;$B$10,"",8)</f>
        <v/>
      </c>
      <c r="L61" s="37">
        <f>IF($K61="","",INDEX('سجل التحفيز'!$A$5:$A$2004,MATCH($K61,'سجل التحفيز'!$V$5:$V$2004,0)))</f>
        <v/>
      </c>
      <c r="M61" s="9">
        <f>IF($K61="","",INDEX('سجل التحفيز'!$B$5:$B$2004,MATCH($K61,'سجل التحفيز'!$V$5:$V$2004,0)))</f>
        <v/>
      </c>
      <c r="N61" s="9">
        <f>IF($K61="","",INDEX('سجل التحفيز'!$M$5:$M$2004,MATCH($K61,'سجل التحفيز'!$V$5:$V$2004,0)))</f>
        <v/>
      </c>
      <c r="O61" s="9">
        <f>IF($K61="","",INDEX('سجل التحفيز'!$C$5:$C$2004,MATCH($K61,'سجل التحفيز'!$V$5:$V$2004,0)))</f>
        <v/>
      </c>
      <c r="P61" s="36">
        <f>IF($K61="","",INDEX('سجل التحفيز'!$D$5:$D$2004,MATCH($K61,'سجل التحفيز'!$V$5:$V$2004,0)))</f>
        <v/>
      </c>
      <c r="Q61" s="9">
        <f>IF($K61="","",INDEX('سجل التحفيز'!$E$5:$E$2004,MATCH($K61,'سجل التحفيز'!$V$5:$V$2004,0)))</f>
        <v/>
      </c>
      <c r="R61" s="9">
        <f>IF($K61="","",INDEX('سجل التحفيز'!$F$5:$F$2004,MATCH($K61,'سجل التحفيز'!$V$5:$V$2004,0)))</f>
        <v/>
      </c>
      <c r="S61" s="35">
        <f>IF($K61="","",INDEX('سجل التحفيز'!$G$5:$G$2004,MATCH($K61,'سجل التحفيز'!$V$5:$V$2004,0)))</f>
        <v/>
      </c>
    </row>
    <row r="62">
      <c r="B62" s="34">
        <f>IFERROR(INDEX(الموظفات!$B$5:$B$304,MATCH(9,الموظفات!$P$5:$P$304,0)),"")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التحفيز'!$V$5:$V$2004,"&gt;0",'سجل التحفيز'!$B$5:$B$2004,B62))</f>
        <v/>
      </c>
      <c r="E62" s="35">
        <f>IF(B62="","",COUNTIFS('سجل التحفيز'!$V$5:$V$2004,"&gt;0",'سجل التحفيز'!$B$5:$B$2004,B62,'سجل التحفيز'!$D$5:$D$2004,"ذهبي"))</f>
        <v/>
      </c>
      <c r="F62" s="35">
        <f>IF(B62="","",SUMIFS('سجل التحفيز'!$G$5:$G$2004,'سجل التحفيز'!$V$5:$V$2004,"&gt;0",'سجل التحفيز'!$B$5:$B$2004,B62))</f>
        <v/>
      </c>
      <c r="G62" s="35">
        <f>IF(B62="","",COUNTIF($D$54:$D$203,"&gt;"&amp;D62)+1)</f>
        <v/>
      </c>
      <c r="H62" s="35">
        <f>IF(B62="","",INDEX(الموظفات!$L$5:$L$304,MATCH(B62,الموظفات!$B$5:$B$304,0)))</f>
        <v/>
      </c>
      <c r="K62" s="36">
        <f>IF(9&gt;$B$10,"",9)</f>
        <v/>
      </c>
      <c r="L62" s="37">
        <f>IF($K62="","",INDEX('سجل التحفيز'!$A$5:$A$2004,MATCH($K62,'سجل التحفيز'!$V$5:$V$2004,0)))</f>
        <v/>
      </c>
      <c r="M62" s="9">
        <f>IF($K62="","",INDEX('سجل التحفيز'!$B$5:$B$2004,MATCH($K62,'سجل التحفيز'!$V$5:$V$2004,0)))</f>
        <v/>
      </c>
      <c r="N62" s="9">
        <f>IF($K62="","",INDEX('سجل التحفيز'!$M$5:$M$2004,MATCH($K62,'سجل التحفيز'!$V$5:$V$2004,0)))</f>
        <v/>
      </c>
      <c r="O62" s="9">
        <f>IF($K62="","",INDEX('سجل التحفيز'!$C$5:$C$2004,MATCH($K62,'سجل التحفيز'!$V$5:$V$2004,0)))</f>
        <v/>
      </c>
      <c r="P62" s="36">
        <f>IF($K62="","",INDEX('سجل التحفيز'!$D$5:$D$2004,MATCH($K62,'سجل التحفيز'!$V$5:$V$2004,0)))</f>
        <v/>
      </c>
      <c r="Q62" s="9">
        <f>IF($K62="","",INDEX('سجل التحفيز'!$E$5:$E$2004,MATCH($K62,'سجل التحفيز'!$V$5:$V$2004,0)))</f>
        <v/>
      </c>
      <c r="R62" s="9">
        <f>IF($K62="","",INDEX('سجل التحفيز'!$F$5:$F$2004,MATCH($K62,'سجل التحفيز'!$V$5:$V$2004,0)))</f>
        <v/>
      </c>
      <c r="S62" s="35">
        <f>IF($K62="","",INDEX('سجل التحفيز'!$G$5:$G$2004,MATCH($K62,'سجل التحفيز'!$V$5:$V$2004,0)))</f>
        <v/>
      </c>
    </row>
    <row r="63">
      <c r="B63" s="34">
        <f>IFERROR(INDEX(الموظفات!$B$5:$B$304,MATCH(10,الموظفات!$P$5:$P$304,0)),"")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التحفيز'!$V$5:$V$2004,"&gt;0",'سجل التحفيز'!$B$5:$B$2004,B63))</f>
        <v/>
      </c>
      <c r="E63" s="35">
        <f>IF(B63="","",COUNTIFS('سجل التحفيز'!$V$5:$V$2004,"&gt;0",'سجل التحفيز'!$B$5:$B$2004,B63,'سجل التحفيز'!$D$5:$D$2004,"ذهبي"))</f>
        <v/>
      </c>
      <c r="F63" s="35">
        <f>IF(B63="","",SUMIFS('سجل التحفيز'!$G$5:$G$2004,'سجل التحفيز'!$V$5:$V$2004,"&gt;0",'سجل التحفيز'!$B$5:$B$2004,B63))</f>
        <v/>
      </c>
      <c r="G63" s="35">
        <f>IF(B63="","",COUNTIF($D$54:$D$203,"&gt;"&amp;D63)+1)</f>
        <v/>
      </c>
      <c r="H63" s="35">
        <f>IF(B63="","",INDEX(الموظفات!$L$5:$L$304,MATCH(B63,الموظفات!$B$5:$B$304,0)))</f>
        <v/>
      </c>
      <c r="K63" s="36">
        <f>IF(10&gt;$B$10,"",10)</f>
        <v/>
      </c>
      <c r="L63" s="37">
        <f>IF($K63="","",INDEX('سجل التحفيز'!$A$5:$A$2004,MATCH($K63,'سجل التحفيز'!$V$5:$V$2004,0)))</f>
        <v/>
      </c>
      <c r="M63" s="9">
        <f>IF($K63="","",INDEX('سجل التحفيز'!$B$5:$B$2004,MATCH($K63,'سجل التحفيز'!$V$5:$V$2004,0)))</f>
        <v/>
      </c>
      <c r="N63" s="9">
        <f>IF($K63="","",INDEX('سجل التحفيز'!$M$5:$M$2004,MATCH($K63,'سجل التحفيز'!$V$5:$V$2004,0)))</f>
        <v/>
      </c>
      <c r="O63" s="9">
        <f>IF($K63="","",INDEX('سجل التحفيز'!$C$5:$C$2004,MATCH($K63,'سجل التحفيز'!$V$5:$V$2004,0)))</f>
        <v/>
      </c>
      <c r="P63" s="36">
        <f>IF($K63="","",INDEX('سجل التحفيز'!$D$5:$D$2004,MATCH($K63,'سجل التحفيز'!$V$5:$V$2004,0)))</f>
        <v/>
      </c>
      <c r="Q63" s="9">
        <f>IF($K63="","",INDEX('سجل التحفيز'!$E$5:$E$2004,MATCH($K63,'سجل التحفيز'!$V$5:$V$2004,0)))</f>
        <v/>
      </c>
      <c r="R63" s="9">
        <f>IF($K63="","",INDEX('سجل التحفيز'!$F$5:$F$2004,MATCH($K63,'سجل التحفيز'!$V$5:$V$2004,0)))</f>
        <v/>
      </c>
      <c r="S63" s="35">
        <f>IF($K63="","",INDEX('سجل التحفيز'!$G$5:$G$2004,MATCH($K63,'سجل التحفيز'!$V$5:$V$2004,0)))</f>
        <v/>
      </c>
    </row>
    <row r="64">
      <c r="B64" s="34">
        <f>IFERROR(INDEX(الموظفات!$B$5:$B$304,MATCH(11,الموظفات!$P$5:$P$304,0)),"")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التحفيز'!$V$5:$V$2004,"&gt;0",'سجل التحفيز'!$B$5:$B$2004,B64))</f>
        <v/>
      </c>
      <c r="E64" s="35">
        <f>IF(B64="","",COUNTIFS('سجل التحفيز'!$V$5:$V$2004,"&gt;0",'سجل التحفيز'!$B$5:$B$2004,B64,'سجل التحفيز'!$D$5:$D$2004,"ذهبي"))</f>
        <v/>
      </c>
      <c r="F64" s="35">
        <f>IF(B64="","",SUMIFS('سجل التحفيز'!$G$5:$G$2004,'سجل التحفيز'!$V$5:$V$2004,"&gt;0",'سجل التحفيز'!$B$5:$B$2004,B64))</f>
        <v/>
      </c>
      <c r="G64" s="35">
        <f>IF(B64="","",COUNTIF($D$54:$D$203,"&gt;"&amp;D64)+1)</f>
        <v/>
      </c>
      <c r="H64" s="35">
        <f>IF(B64="","",INDEX(الموظفات!$L$5:$L$304,MATCH(B64,الموظفات!$B$5:$B$304,0)))</f>
        <v/>
      </c>
      <c r="K64" s="36">
        <f>IF(11&gt;$B$10,"",11)</f>
        <v/>
      </c>
      <c r="L64" s="37">
        <f>IF($K64="","",INDEX('سجل التحفيز'!$A$5:$A$2004,MATCH($K64,'سجل التحفيز'!$V$5:$V$2004,0)))</f>
        <v/>
      </c>
      <c r="M64" s="9">
        <f>IF($K64="","",INDEX('سجل التحفيز'!$B$5:$B$2004,MATCH($K64,'سجل التحفيز'!$V$5:$V$2004,0)))</f>
        <v/>
      </c>
      <c r="N64" s="9">
        <f>IF($K64="","",INDEX('سجل التحفيز'!$M$5:$M$2004,MATCH($K64,'سجل التحفيز'!$V$5:$V$2004,0)))</f>
        <v/>
      </c>
      <c r="O64" s="9">
        <f>IF($K64="","",INDEX('سجل التحفيز'!$C$5:$C$2004,MATCH($K64,'سجل التحفيز'!$V$5:$V$2004,0)))</f>
        <v/>
      </c>
      <c r="P64" s="36">
        <f>IF($K64="","",INDEX('سجل التحفيز'!$D$5:$D$2004,MATCH($K64,'سجل التحفيز'!$V$5:$V$2004,0)))</f>
        <v/>
      </c>
      <c r="Q64" s="9">
        <f>IF($K64="","",INDEX('سجل التحفيز'!$E$5:$E$2004,MATCH($K64,'سجل التحفيز'!$V$5:$V$2004,0)))</f>
        <v/>
      </c>
      <c r="R64" s="9">
        <f>IF($K64="","",INDEX('سجل التحفيز'!$F$5:$F$2004,MATCH($K64,'سجل التحفيز'!$V$5:$V$2004,0)))</f>
        <v/>
      </c>
      <c r="S64" s="35">
        <f>IF($K64="","",INDEX('سجل التحفيز'!$G$5:$G$2004,MATCH($K64,'سجل التحفيز'!$V$5:$V$2004,0)))</f>
        <v/>
      </c>
    </row>
    <row r="65">
      <c r="B65" s="34">
        <f>IFERROR(INDEX(الموظفات!$B$5:$B$304,MATCH(12,الموظفات!$P$5:$P$304,0)),"")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التحفيز'!$V$5:$V$2004,"&gt;0",'سجل التحفيز'!$B$5:$B$2004,B65))</f>
        <v/>
      </c>
      <c r="E65" s="35">
        <f>IF(B65="","",COUNTIFS('سجل التحفيز'!$V$5:$V$2004,"&gt;0",'سجل التحفيز'!$B$5:$B$2004,B65,'سجل التحفيز'!$D$5:$D$2004,"ذهبي"))</f>
        <v/>
      </c>
      <c r="F65" s="35">
        <f>IF(B65="","",SUMIFS('سجل التحفيز'!$G$5:$G$2004,'سجل التحفيز'!$V$5:$V$2004,"&gt;0",'سجل التحفيز'!$B$5:$B$2004,B65))</f>
        <v/>
      </c>
      <c r="G65" s="35">
        <f>IF(B65="","",COUNTIF($D$54:$D$203,"&gt;"&amp;D65)+1)</f>
        <v/>
      </c>
      <c r="H65" s="35">
        <f>IF(B65="","",INDEX(الموظفات!$L$5:$L$304,MATCH(B65,الموظفات!$B$5:$B$304,0)))</f>
        <v/>
      </c>
      <c r="K65" s="36">
        <f>IF(12&gt;$B$10,"",12)</f>
        <v/>
      </c>
      <c r="L65" s="37">
        <f>IF($K65="","",INDEX('سجل التحفيز'!$A$5:$A$2004,MATCH($K65,'سجل التحفيز'!$V$5:$V$2004,0)))</f>
        <v/>
      </c>
      <c r="M65" s="9">
        <f>IF($K65="","",INDEX('سجل التحفيز'!$B$5:$B$2004,MATCH($K65,'سجل التحفيز'!$V$5:$V$2004,0)))</f>
        <v/>
      </c>
      <c r="N65" s="9">
        <f>IF($K65="","",INDEX('سجل التحفيز'!$M$5:$M$2004,MATCH($K65,'سجل التحفيز'!$V$5:$V$2004,0)))</f>
        <v/>
      </c>
      <c r="O65" s="9">
        <f>IF($K65="","",INDEX('سجل التحفيز'!$C$5:$C$2004,MATCH($K65,'سجل التحفيز'!$V$5:$V$2004,0)))</f>
        <v/>
      </c>
      <c r="P65" s="36">
        <f>IF($K65="","",INDEX('سجل التحفيز'!$D$5:$D$2004,MATCH($K65,'سجل التحفيز'!$V$5:$V$2004,0)))</f>
        <v/>
      </c>
      <c r="Q65" s="9">
        <f>IF($K65="","",INDEX('سجل التحفيز'!$E$5:$E$2004,MATCH($K65,'سجل التحفيز'!$V$5:$V$2004,0)))</f>
        <v/>
      </c>
      <c r="R65" s="9">
        <f>IF($K65="","",INDEX('سجل التحفيز'!$F$5:$F$2004,MATCH($K65,'سجل التحفيز'!$V$5:$V$2004,0)))</f>
        <v/>
      </c>
      <c r="S65" s="35">
        <f>IF($K65="","",INDEX('سجل التحفيز'!$G$5:$G$2004,MATCH($K65,'سجل التحفيز'!$V$5:$V$2004,0)))</f>
        <v/>
      </c>
    </row>
    <row r="66">
      <c r="B66" s="34">
        <f>IFERROR(INDEX(الموظفات!$B$5:$B$304,MATCH(13,الموظفات!$P$5:$P$304,0)),"")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التحفيز'!$V$5:$V$2004,"&gt;0",'سجل التحفيز'!$B$5:$B$2004,B66))</f>
        <v/>
      </c>
      <c r="E66" s="35">
        <f>IF(B66="","",COUNTIFS('سجل التحفيز'!$V$5:$V$2004,"&gt;0",'سجل التحفيز'!$B$5:$B$2004,B66,'سجل التحفيز'!$D$5:$D$2004,"ذهبي"))</f>
        <v/>
      </c>
      <c r="F66" s="35">
        <f>IF(B66="","",SUMIFS('سجل التحفيز'!$G$5:$G$2004,'سجل التحفيز'!$V$5:$V$2004,"&gt;0",'سجل التحفيز'!$B$5:$B$2004,B66))</f>
        <v/>
      </c>
      <c r="G66" s="35">
        <f>IF(B66="","",COUNTIF($D$54:$D$203,"&gt;"&amp;D66)+1)</f>
        <v/>
      </c>
      <c r="H66" s="35">
        <f>IF(B66="","",INDEX(الموظفات!$L$5:$L$304,MATCH(B66,الموظفات!$B$5:$B$304,0)))</f>
        <v/>
      </c>
      <c r="K66" s="36">
        <f>IF(13&gt;$B$10,"",13)</f>
        <v/>
      </c>
      <c r="L66" s="37">
        <f>IF($K66="","",INDEX('سجل التحفيز'!$A$5:$A$2004,MATCH($K66,'سجل التحفيز'!$V$5:$V$2004,0)))</f>
        <v/>
      </c>
      <c r="M66" s="9">
        <f>IF($K66="","",INDEX('سجل التحفيز'!$B$5:$B$2004,MATCH($K66,'سجل التحفيز'!$V$5:$V$2004,0)))</f>
        <v/>
      </c>
      <c r="N66" s="9">
        <f>IF($K66="","",INDEX('سجل التحفيز'!$M$5:$M$2004,MATCH($K66,'سجل التحفيز'!$V$5:$V$2004,0)))</f>
        <v/>
      </c>
      <c r="O66" s="9">
        <f>IF($K66="","",INDEX('سجل التحفيز'!$C$5:$C$2004,MATCH($K66,'سجل التحفيز'!$V$5:$V$2004,0)))</f>
        <v/>
      </c>
      <c r="P66" s="36">
        <f>IF($K66="","",INDEX('سجل التحفيز'!$D$5:$D$2004,MATCH($K66,'سجل التحفيز'!$V$5:$V$2004,0)))</f>
        <v/>
      </c>
      <c r="Q66" s="9">
        <f>IF($K66="","",INDEX('سجل التحفيز'!$E$5:$E$2004,MATCH($K66,'سجل التحفيز'!$V$5:$V$2004,0)))</f>
        <v/>
      </c>
      <c r="R66" s="9">
        <f>IF($K66="","",INDEX('سجل التحفيز'!$F$5:$F$2004,MATCH($K66,'سجل التحفيز'!$V$5:$V$2004,0)))</f>
        <v/>
      </c>
      <c r="S66" s="35">
        <f>IF($K66="","",INDEX('سجل التحفيز'!$G$5:$G$2004,MATCH($K66,'سجل التحفيز'!$V$5:$V$2004,0)))</f>
        <v/>
      </c>
    </row>
    <row r="67">
      <c r="B67" s="34">
        <f>IFERROR(INDEX(الموظفات!$B$5:$B$304,MATCH(14,الموظفات!$P$5:$P$304,0)),"")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التحفيز'!$V$5:$V$2004,"&gt;0",'سجل التحفيز'!$B$5:$B$2004,B67))</f>
        <v/>
      </c>
      <c r="E67" s="35">
        <f>IF(B67="","",COUNTIFS('سجل التحفيز'!$V$5:$V$2004,"&gt;0",'سجل التحفيز'!$B$5:$B$2004,B67,'سجل التحفيز'!$D$5:$D$2004,"ذهبي"))</f>
        <v/>
      </c>
      <c r="F67" s="35">
        <f>IF(B67="","",SUMIFS('سجل التحفيز'!$G$5:$G$2004,'سجل التحفيز'!$V$5:$V$2004,"&gt;0",'سجل التحفيز'!$B$5:$B$2004,B67))</f>
        <v/>
      </c>
      <c r="G67" s="35">
        <f>IF(B67="","",COUNTIF($D$54:$D$203,"&gt;"&amp;D67)+1)</f>
        <v/>
      </c>
      <c r="H67" s="35">
        <f>IF(B67="","",INDEX(الموظفات!$L$5:$L$304,MATCH(B67,الموظفات!$B$5:$B$304,0)))</f>
        <v/>
      </c>
      <c r="K67" s="36">
        <f>IF(14&gt;$B$10,"",14)</f>
        <v/>
      </c>
      <c r="L67" s="37">
        <f>IF($K67="","",INDEX('سجل التحفيز'!$A$5:$A$2004,MATCH($K67,'سجل التحفيز'!$V$5:$V$2004,0)))</f>
        <v/>
      </c>
      <c r="M67" s="9">
        <f>IF($K67="","",INDEX('سجل التحفيز'!$B$5:$B$2004,MATCH($K67,'سجل التحفيز'!$V$5:$V$2004,0)))</f>
        <v/>
      </c>
      <c r="N67" s="9">
        <f>IF($K67="","",INDEX('سجل التحفيز'!$M$5:$M$2004,MATCH($K67,'سجل التحفيز'!$V$5:$V$2004,0)))</f>
        <v/>
      </c>
      <c r="O67" s="9">
        <f>IF($K67="","",INDEX('سجل التحفيز'!$C$5:$C$2004,MATCH($K67,'سجل التحفيز'!$V$5:$V$2004,0)))</f>
        <v/>
      </c>
      <c r="P67" s="36">
        <f>IF($K67="","",INDEX('سجل التحفيز'!$D$5:$D$2004,MATCH($K67,'سجل التحفيز'!$V$5:$V$2004,0)))</f>
        <v/>
      </c>
      <c r="Q67" s="9">
        <f>IF($K67="","",INDEX('سجل التحفيز'!$E$5:$E$2004,MATCH($K67,'سجل التحفيز'!$V$5:$V$2004,0)))</f>
        <v/>
      </c>
      <c r="R67" s="9">
        <f>IF($K67="","",INDEX('سجل التحفيز'!$F$5:$F$2004,MATCH($K67,'سجل التحفيز'!$V$5:$V$2004,0)))</f>
        <v/>
      </c>
      <c r="S67" s="35">
        <f>IF($K67="","",INDEX('سجل التحفيز'!$G$5:$G$2004,MATCH($K67,'سجل التحفيز'!$V$5:$V$2004,0)))</f>
        <v/>
      </c>
    </row>
    <row r="68">
      <c r="B68" s="34">
        <f>IFERROR(INDEX(الموظفات!$B$5:$B$304,MATCH(15,الموظفات!$P$5:$P$304,0)),"")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التحفيز'!$V$5:$V$2004,"&gt;0",'سجل التحفيز'!$B$5:$B$2004,B68))</f>
        <v/>
      </c>
      <c r="E68" s="35">
        <f>IF(B68="","",COUNTIFS('سجل التحفيز'!$V$5:$V$2004,"&gt;0",'سجل التحفيز'!$B$5:$B$2004,B68,'سجل التحفيز'!$D$5:$D$2004,"ذهبي"))</f>
        <v/>
      </c>
      <c r="F68" s="35">
        <f>IF(B68="","",SUMIFS('سجل التحفيز'!$G$5:$G$2004,'سجل التحفيز'!$V$5:$V$2004,"&gt;0",'سجل التحفيز'!$B$5:$B$2004,B68))</f>
        <v/>
      </c>
      <c r="G68" s="35">
        <f>IF(B68="","",COUNTIF($D$54:$D$203,"&gt;"&amp;D68)+1)</f>
        <v/>
      </c>
      <c r="H68" s="35">
        <f>IF(B68="","",INDEX(الموظفات!$L$5:$L$304,MATCH(B68,الموظفات!$B$5:$B$304,0)))</f>
        <v/>
      </c>
      <c r="K68" s="36">
        <f>IF(15&gt;$B$10,"",15)</f>
        <v/>
      </c>
      <c r="L68" s="37">
        <f>IF($K68="","",INDEX('سجل التحفيز'!$A$5:$A$2004,MATCH($K68,'سجل التحفيز'!$V$5:$V$2004,0)))</f>
        <v/>
      </c>
      <c r="M68" s="9">
        <f>IF($K68="","",INDEX('سجل التحفيز'!$B$5:$B$2004,MATCH($K68,'سجل التحفيز'!$V$5:$V$2004,0)))</f>
        <v/>
      </c>
      <c r="N68" s="9">
        <f>IF($K68="","",INDEX('سجل التحفيز'!$M$5:$M$2004,MATCH($K68,'سجل التحفيز'!$V$5:$V$2004,0)))</f>
        <v/>
      </c>
      <c r="O68" s="9">
        <f>IF($K68="","",INDEX('سجل التحفيز'!$C$5:$C$2004,MATCH($K68,'سجل التحفيز'!$V$5:$V$2004,0)))</f>
        <v/>
      </c>
      <c r="P68" s="36">
        <f>IF($K68="","",INDEX('سجل التحفيز'!$D$5:$D$2004,MATCH($K68,'سجل التحفيز'!$V$5:$V$2004,0)))</f>
        <v/>
      </c>
      <c r="Q68" s="9">
        <f>IF($K68="","",INDEX('سجل التحفيز'!$E$5:$E$2004,MATCH($K68,'سجل التحفيز'!$V$5:$V$2004,0)))</f>
        <v/>
      </c>
      <c r="R68" s="9">
        <f>IF($K68="","",INDEX('سجل التحفيز'!$F$5:$F$2004,MATCH($K68,'سجل التحفيز'!$V$5:$V$2004,0)))</f>
        <v/>
      </c>
      <c r="S68" s="35">
        <f>IF($K68="","",INDEX('سجل التحفيز'!$G$5:$G$2004,MATCH($K68,'سجل التحفيز'!$V$5:$V$2004,0)))</f>
        <v/>
      </c>
    </row>
    <row r="69">
      <c r="B69" s="34">
        <f>IFERROR(INDEX(الموظفات!$B$5:$B$304,MATCH(16,الموظفات!$P$5:$P$304,0)),"")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التحفيز'!$V$5:$V$2004,"&gt;0",'سجل التحفيز'!$B$5:$B$2004,B69))</f>
        <v/>
      </c>
      <c r="E69" s="35">
        <f>IF(B69="","",COUNTIFS('سجل التحفيز'!$V$5:$V$2004,"&gt;0",'سجل التحفيز'!$B$5:$B$2004,B69,'سجل التحفيز'!$D$5:$D$2004,"ذهبي"))</f>
        <v/>
      </c>
      <c r="F69" s="35">
        <f>IF(B69="","",SUMIFS('سجل التحفيز'!$G$5:$G$2004,'سجل التحفيز'!$V$5:$V$2004,"&gt;0",'سجل التحفيز'!$B$5:$B$2004,B69))</f>
        <v/>
      </c>
      <c r="G69" s="35">
        <f>IF(B69="","",COUNTIF($D$54:$D$203,"&gt;"&amp;D69)+1)</f>
        <v/>
      </c>
      <c r="H69" s="35">
        <f>IF(B69="","",INDEX(الموظفات!$L$5:$L$304,MATCH(B69,الموظفات!$B$5:$B$304,0)))</f>
        <v/>
      </c>
      <c r="K69" s="36">
        <f>IF(16&gt;$B$10,"",16)</f>
        <v/>
      </c>
      <c r="L69" s="37">
        <f>IF($K69="","",INDEX('سجل التحفيز'!$A$5:$A$2004,MATCH($K69,'سجل التحفيز'!$V$5:$V$2004,0)))</f>
        <v/>
      </c>
      <c r="M69" s="9">
        <f>IF($K69="","",INDEX('سجل التحفيز'!$B$5:$B$2004,MATCH($K69,'سجل التحفيز'!$V$5:$V$2004,0)))</f>
        <v/>
      </c>
      <c r="N69" s="9">
        <f>IF($K69="","",INDEX('سجل التحفيز'!$M$5:$M$2004,MATCH($K69,'سجل التحفيز'!$V$5:$V$2004,0)))</f>
        <v/>
      </c>
      <c r="O69" s="9">
        <f>IF($K69="","",INDEX('سجل التحفيز'!$C$5:$C$2004,MATCH($K69,'سجل التحفيز'!$V$5:$V$2004,0)))</f>
        <v/>
      </c>
      <c r="P69" s="36">
        <f>IF($K69="","",INDEX('سجل التحفيز'!$D$5:$D$2004,MATCH($K69,'سجل التحفيز'!$V$5:$V$2004,0)))</f>
        <v/>
      </c>
      <c r="Q69" s="9">
        <f>IF($K69="","",INDEX('سجل التحفيز'!$E$5:$E$2004,MATCH($K69,'سجل التحفيز'!$V$5:$V$2004,0)))</f>
        <v/>
      </c>
      <c r="R69" s="9">
        <f>IF($K69="","",INDEX('سجل التحفيز'!$F$5:$F$2004,MATCH($K69,'سجل التحفيز'!$V$5:$V$2004,0)))</f>
        <v/>
      </c>
      <c r="S69" s="35">
        <f>IF($K69="","",INDEX('سجل التحفيز'!$G$5:$G$2004,MATCH($K69,'سجل التحفيز'!$V$5:$V$2004,0)))</f>
        <v/>
      </c>
    </row>
    <row r="70">
      <c r="B70" s="34">
        <f>IFERROR(INDEX(الموظفات!$B$5:$B$304,MATCH(17,الموظفات!$P$5:$P$304,0)),"")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التحفيز'!$V$5:$V$2004,"&gt;0",'سجل التحفيز'!$B$5:$B$2004,B70))</f>
        <v/>
      </c>
      <c r="E70" s="35">
        <f>IF(B70="","",COUNTIFS('سجل التحفيز'!$V$5:$V$2004,"&gt;0",'سجل التحفيز'!$B$5:$B$2004,B70,'سجل التحفيز'!$D$5:$D$2004,"ذهبي"))</f>
        <v/>
      </c>
      <c r="F70" s="35">
        <f>IF(B70="","",SUMIFS('سجل التحفيز'!$G$5:$G$2004,'سجل التحفيز'!$V$5:$V$2004,"&gt;0",'سجل التحفيز'!$B$5:$B$2004,B70))</f>
        <v/>
      </c>
      <c r="G70" s="35">
        <f>IF(B70="","",COUNTIF($D$54:$D$203,"&gt;"&amp;D70)+1)</f>
        <v/>
      </c>
      <c r="H70" s="35">
        <f>IF(B70="","",INDEX(الموظفات!$L$5:$L$304,MATCH(B70,الموظفات!$B$5:$B$304,0)))</f>
        <v/>
      </c>
      <c r="K70" s="36">
        <f>IF(17&gt;$B$10,"",17)</f>
        <v/>
      </c>
      <c r="L70" s="37">
        <f>IF($K70="","",INDEX('سجل التحفيز'!$A$5:$A$2004,MATCH($K70,'سجل التحفيز'!$V$5:$V$2004,0)))</f>
        <v/>
      </c>
      <c r="M70" s="9">
        <f>IF($K70="","",INDEX('سجل التحفيز'!$B$5:$B$2004,MATCH($K70,'سجل التحفيز'!$V$5:$V$2004,0)))</f>
        <v/>
      </c>
      <c r="N70" s="9">
        <f>IF($K70="","",INDEX('سجل التحفيز'!$M$5:$M$2004,MATCH($K70,'سجل التحفيز'!$V$5:$V$2004,0)))</f>
        <v/>
      </c>
      <c r="O70" s="9">
        <f>IF($K70="","",INDEX('سجل التحفيز'!$C$5:$C$2004,MATCH($K70,'سجل التحفيز'!$V$5:$V$2004,0)))</f>
        <v/>
      </c>
      <c r="P70" s="36">
        <f>IF($K70="","",INDEX('سجل التحفيز'!$D$5:$D$2004,MATCH($K70,'سجل التحفيز'!$V$5:$V$2004,0)))</f>
        <v/>
      </c>
      <c r="Q70" s="9">
        <f>IF($K70="","",INDEX('سجل التحفيز'!$E$5:$E$2004,MATCH($K70,'سجل التحفيز'!$V$5:$V$2004,0)))</f>
        <v/>
      </c>
      <c r="R70" s="9">
        <f>IF($K70="","",INDEX('سجل التحفيز'!$F$5:$F$2004,MATCH($K70,'سجل التحفيز'!$V$5:$V$2004,0)))</f>
        <v/>
      </c>
      <c r="S70" s="35">
        <f>IF($K70="","",INDEX('سجل التحفيز'!$G$5:$G$2004,MATCH($K70,'سجل التحفيز'!$V$5:$V$2004,0)))</f>
        <v/>
      </c>
    </row>
    <row r="71">
      <c r="B71" s="34">
        <f>IFERROR(INDEX(الموظفات!$B$5:$B$304,MATCH(18,الموظفات!$P$5:$P$304,0)),"")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التحفيز'!$V$5:$V$2004,"&gt;0",'سجل التحفيز'!$B$5:$B$2004,B71))</f>
        <v/>
      </c>
      <c r="E71" s="35">
        <f>IF(B71="","",COUNTIFS('سجل التحفيز'!$V$5:$V$2004,"&gt;0",'سجل التحفيز'!$B$5:$B$2004,B71,'سجل التحفيز'!$D$5:$D$2004,"ذهبي"))</f>
        <v/>
      </c>
      <c r="F71" s="35">
        <f>IF(B71="","",SUMIFS('سجل التحفيز'!$G$5:$G$2004,'سجل التحفيز'!$V$5:$V$2004,"&gt;0",'سجل التحفيز'!$B$5:$B$2004,B71))</f>
        <v/>
      </c>
      <c r="G71" s="35">
        <f>IF(B71="","",COUNTIF($D$54:$D$203,"&gt;"&amp;D71)+1)</f>
        <v/>
      </c>
      <c r="H71" s="35">
        <f>IF(B71="","",INDEX(الموظفات!$L$5:$L$304,MATCH(B71,الموظفات!$B$5:$B$304,0)))</f>
        <v/>
      </c>
      <c r="K71" s="36">
        <f>IF(18&gt;$B$10,"",18)</f>
        <v/>
      </c>
      <c r="L71" s="37">
        <f>IF($K71="","",INDEX('سجل التحفيز'!$A$5:$A$2004,MATCH($K71,'سجل التحفيز'!$V$5:$V$2004,0)))</f>
        <v/>
      </c>
      <c r="M71" s="9">
        <f>IF($K71="","",INDEX('سجل التحفيز'!$B$5:$B$2004,MATCH($K71,'سجل التحفيز'!$V$5:$V$2004,0)))</f>
        <v/>
      </c>
      <c r="N71" s="9">
        <f>IF($K71="","",INDEX('سجل التحفيز'!$M$5:$M$2004,MATCH($K71,'سجل التحفيز'!$V$5:$V$2004,0)))</f>
        <v/>
      </c>
      <c r="O71" s="9">
        <f>IF($K71="","",INDEX('سجل التحفيز'!$C$5:$C$2004,MATCH($K71,'سجل التحفيز'!$V$5:$V$2004,0)))</f>
        <v/>
      </c>
      <c r="P71" s="36">
        <f>IF($K71="","",INDEX('سجل التحفيز'!$D$5:$D$2004,MATCH($K71,'سجل التحفيز'!$V$5:$V$2004,0)))</f>
        <v/>
      </c>
      <c r="Q71" s="9">
        <f>IF($K71="","",INDEX('سجل التحفيز'!$E$5:$E$2004,MATCH($K71,'سجل التحفيز'!$V$5:$V$2004,0)))</f>
        <v/>
      </c>
      <c r="R71" s="9">
        <f>IF($K71="","",INDEX('سجل التحفيز'!$F$5:$F$2004,MATCH($K71,'سجل التحفيز'!$V$5:$V$2004,0)))</f>
        <v/>
      </c>
      <c r="S71" s="35">
        <f>IF($K71="","",INDEX('سجل التحفيز'!$G$5:$G$2004,MATCH($K71,'سجل التحفيز'!$V$5:$V$2004,0)))</f>
        <v/>
      </c>
    </row>
    <row r="72">
      <c r="B72" s="34">
        <f>IFERROR(INDEX(الموظفات!$B$5:$B$304,MATCH(19,الموظفات!$P$5:$P$304,0)),"")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التحفيز'!$V$5:$V$2004,"&gt;0",'سجل التحفيز'!$B$5:$B$2004,B72))</f>
        <v/>
      </c>
      <c r="E72" s="35">
        <f>IF(B72="","",COUNTIFS('سجل التحفيز'!$V$5:$V$2004,"&gt;0",'سجل التحفيز'!$B$5:$B$2004,B72,'سجل التحفيز'!$D$5:$D$2004,"ذهبي"))</f>
        <v/>
      </c>
      <c r="F72" s="35">
        <f>IF(B72="","",SUMIFS('سجل التحفيز'!$G$5:$G$2004,'سجل التحفيز'!$V$5:$V$2004,"&gt;0",'سجل التحفيز'!$B$5:$B$2004,B72))</f>
        <v/>
      </c>
      <c r="G72" s="35">
        <f>IF(B72="","",COUNTIF($D$54:$D$203,"&gt;"&amp;D72)+1)</f>
        <v/>
      </c>
      <c r="H72" s="35">
        <f>IF(B72="","",INDEX(الموظفات!$L$5:$L$304,MATCH(B72,الموظفات!$B$5:$B$304,0)))</f>
        <v/>
      </c>
      <c r="K72" s="36">
        <f>IF(19&gt;$B$10,"",19)</f>
        <v/>
      </c>
      <c r="L72" s="37">
        <f>IF($K72="","",INDEX('سجل التحفيز'!$A$5:$A$2004,MATCH($K72,'سجل التحفيز'!$V$5:$V$2004,0)))</f>
        <v/>
      </c>
      <c r="M72" s="9">
        <f>IF($K72="","",INDEX('سجل التحفيز'!$B$5:$B$2004,MATCH($K72,'سجل التحفيز'!$V$5:$V$2004,0)))</f>
        <v/>
      </c>
      <c r="N72" s="9">
        <f>IF($K72="","",INDEX('سجل التحفيز'!$M$5:$M$2004,MATCH($K72,'سجل التحفيز'!$V$5:$V$2004,0)))</f>
        <v/>
      </c>
      <c r="O72" s="9">
        <f>IF($K72="","",INDEX('سجل التحفيز'!$C$5:$C$2004,MATCH($K72,'سجل التحفيز'!$V$5:$V$2004,0)))</f>
        <v/>
      </c>
      <c r="P72" s="36">
        <f>IF($K72="","",INDEX('سجل التحفيز'!$D$5:$D$2004,MATCH($K72,'سجل التحفيز'!$V$5:$V$2004,0)))</f>
        <v/>
      </c>
      <c r="Q72" s="9">
        <f>IF($K72="","",INDEX('سجل التحفيز'!$E$5:$E$2004,MATCH($K72,'سجل التحفيز'!$V$5:$V$2004,0)))</f>
        <v/>
      </c>
      <c r="R72" s="9">
        <f>IF($K72="","",INDEX('سجل التحفيز'!$F$5:$F$2004,MATCH($K72,'سجل التحفيز'!$V$5:$V$2004,0)))</f>
        <v/>
      </c>
      <c r="S72" s="35">
        <f>IF($K72="","",INDEX('سجل التحفيز'!$G$5:$G$2004,MATCH($K72,'سجل التحفيز'!$V$5:$V$2004,0)))</f>
        <v/>
      </c>
    </row>
    <row r="73">
      <c r="B73" s="34">
        <f>IFERROR(INDEX(الموظفات!$B$5:$B$304,MATCH(20,الموظفات!$P$5:$P$304,0)),"")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التحفيز'!$V$5:$V$2004,"&gt;0",'سجل التحفيز'!$B$5:$B$2004,B73))</f>
        <v/>
      </c>
      <c r="E73" s="35">
        <f>IF(B73="","",COUNTIFS('سجل التحفيز'!$V$5:$V$2004,"&gt;0",'سجل التحفيز'!$B$5:$B$2004,B73,'سجل التحفيز'!$D$5:$D$2004,"ذهبي"))</f>
        <v/>
      </c>
      <c r="F73" s="35">
        <f>IF(B73="","",SUMIFS('سجل التحفيز'!$G$5:$G$2004,'سجل التحفيز'!$V$5:$V$2004,"&gt;0",'سجل التحفيز'!$B$5:$B$2004,B73))</f>
        <v/>
      </c>
      <c r="G73" s="35">
        <f>IF(B73="","",COUNTIF($D$54:$D$203,"&gt;"&amp;D73)+1)</f>
        <v/>
      </c>
      <c r="H73" s="35">
        <f>IF(B73="","",INDEX(الموظفات!$L$5:$L$304,MATCH(B73,الموظفات!$B$5:$B$304,0)))</f>
        <v/>
      </c>
      <c r="K73" s="36">
        <f>IF(20&gt;$B$10,"",20)</f>
        <v/>
      </c>
      <c r="L73" s="37">
        <f>IF($K73="","",INDEX('سجل التحفيز'!$A$5:$A$2004,MATCH($K73,'سجل التحفيز'!$V$5:$V$2004,0)))</f>
        <v/>
      </c>
      <c r="M73" s="9">
        <f>IF($K73="","",INDEX('سجل التحفيز'!$B$5:$B$2004,MATCH($K73,'سجل التحفيز'!$V$5:$V$2004,0)))</f>
        <v/>
      </c>
      <c r="N73" s="9">
        <f>IF($K73="","",INDEX('سجل التحفيز'!$M$5:$M$2004,MATCH($K73,'سجل التحفيز'!$V$5:$V$2004,0)))</f>
        <v/>
      </c>
      <c r="O73" s="9">
        <f>IF($K73="","",INDEX('سجل التحفيز'!$C$5:$C$2004,MATCH($K73,'سجل التحفيز'!$V$5:$V$2004,0)))</f>
        <v/>
      </c>
      <c r="P73" s="36">
        <f>IF($K73="","",INDEX('سجل التحفيز'!$D$5:$D$2004,MATCH($K73,'سجل التحفيز'!$V$5:$V$2004,0)))</f>
        <v/>
      </c>
      <c r="Q73" s="9">
        <f>IF($K73="","",INDEX('سجل التحفيز'!$E$5:$E$2004,MATCH($K73,'سجل التحفيز'!$V$5:$V$2004,0)))</f>
        <v/>
      </c>
      <c r="R73" s="9">
        <f>IF($K73="","",INDEX('سجل التحفيز'!$F$5:$F$2004,MATCH($K73,'سجل التحفيز'!$V$5:$V$2004,0)))</f>
        <v/>
      </c>
      <c r="S73" s="35">
        <f>IF($K73="","",INDEX('سجل التحفيز'!$G$5:$G$2004,MATCH($K73,'سجل التحفيز'!$V$5:$V$2004,0)))</f>
        <v/>
      </c>
    </row>
    <row r="74">
      <c r="B74" s="34">
        <f>IFERROR(INDEX(الموظفات!$B$5:$B$304,MATCH(21,الموظفات!$P$5:$P$304,0)),"")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التحفيز'!$V$5:$V$2004,"&gt;0",'سجل التحفيز'!$B$5:$B$2004,B74))</f>
        <v/>
      </c>
      <c r="E74" s="35">
        <f>IF(B74="","",COUNTIFS('سجل التحفيز'!$V$5:$V$2004,"&gt;0",'سجل التحفيز'!$B$5:$B$2004,B74,'سجل التحفيز'!$D$5:$D$2004,"ذهبي"))</f>
        <v/>
      </c>
      <c r="F74" s="35">
        <f>IF(B74="","",SUMIFS('سجل التحفيز'!$G$5:$G$2004,'سجل التحفيز'!$V$5:$V$2004,"&gt;0",'سجل التحفيز'!$B$5:$B$2004,B74))</f>
        <v/>
      </c>
      <c r="G74" s="35">
        <f>IF(B74="","",COUNTIF($D$54:$D$203,"&gt;"&amp;D74)+1)</f>
        <v/>
      </c>
      <c r="H74" s="35">
        <f>IF(B74="","",INDEX(الموظفات!$L$5:$L$304,MATCH(B74,الموظفات!$B$5:$B$304,0)))</f>
        <v/>
      </c>
      <c r="K74" s="36">
        <f>IF(21&gt;$B$10,"",21)</f>
        <v/>
      </c>
      <c r="L74" s="37">
        <f>IF($K74="","",INDEX('سجل التحفيز'!$A$5:$A$2004,MATCH($K74,'سجل التحفيز'!$V$5:$V$2004,0)))</f>
        <v/>
      </c>
      <c r="M74" s="9">
        <f>IF($K74="","",INDEX('سجل التحفيز'!$B$5:$B$2004,MATCH($K74,'سجل التحفيز'!$V$5:$V$2004,0)))</f>
        <v/>
      </c>
      <c r="N74" s="9">
        <f>IF($K74="","",INDEX('سجل التحفيز'!$M$5:$M$2004,MATCH($K74,'سجل التحفيز'!$V$5:$V$2004,0)))</f>
        <v/>
      </c>
      <c r="O74" s="9">
        <f>IF($K74="","",INDEX('سجل التحفيز'!$C$5:$C$2004,MATCH($K74,'سجل التحفيز'!$V$5:$V$2004,0)))</f>
        <v/>
      </c>
      <c r="P74" s="36">
        <f>IF($K74="","",INDEX('سجل التحفيز'!$D$5:$D$2004,MATCH($K74,'سجل التحفيز'!$V$5:$V$2004,0)))</f>
        <v/>
      </c>
      <c r="Q74" s="9">
        <f>IF($K74="","",INDEX('سجل التحفيز'!$E$5:$E$2004,MATCH($K74,'سجل التحفيز'!$V$5:$V$2004,0)))</f>
        <v/>
      </c>
      <c r="R74" s="9">
        <f>IF($K74="","",INDEX('سجل التحفيز'!$F$5:$F$2004,MATCH($K74,'سجل التحفيز'!$V$5:$V$2004,0)))</f>
        <v/>
      </c>
      <c r="S74" s="35">
        <f>IF($K74="","",INDEX('سجل التحفيز'!$G$5:$G$2004,MATCH($K74,'سجل التحفيز'!$V$5:$V$2004,0)))</f>
        <v/>
      </c>
    </row>
    <row r="75">
      <c r="B75" s="34">
        <f>IFERROR(INDEX(الموظفات!$B$5:$B$304,MATCH(22,الموظفات!$P$5:$P$304,0)),"")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التحفيز'!$V$5:$V$2004,"&gt;0",'سجل التحفيز'!$B$5:$B$2004,B75))</f>
        <v/>
      </c>
      <c r="E75" s="35">
        <f>IF(B75="","",COUNTIFS('سجل التحفيز'!$V$5:$V$2004,"&gt;0",'سجل التحفيز'!$B$5:$B$2004,B75,'سجل التحفيز'!$D$5:$D$2004,"ذهبي"))</f>
        <v/>
      </c>
      <c r="F75" s="35">
        <f>IF(B75="","",SUMIFS('سجل التحفيز'!$G$5:$G$2004,'سجل التحفيز'!$V$5:$V$2004,"&gt;0",'سجل التحفيز'!$B$5:$B$2004,B75))</f>
        <v/>
      </c>
      <c r="G75" s="35">
        <f>IF(B75="","",COUNTIF($D$54:$D$203,"&gt;"&amp;D75)+1)</f>
        <v/>
      </c>
      <c r="H75" s="35">
        <f>IF(B75="","",INDEX(الموظفات!$L$5:$L$304,MATCH(B75,الموظفات!$B$5:$B$304,0)))</f>
        <v/>
      </c>
      <c r="K75" s="36">
        <f>IF(22&gt;$B$10,"",22)</f>
        <v/>
      </c>
      <c r="L75" s="37">
        <f>IF($K75="","",INDEX('سجل التحفيز'!$A$5:$A$2004,MATCH($K75,'سجل التحفيز'!$V$5:$V$2004,0)))</f>
        <v/>
      </c>
      <c r="M75" s="9">
        <f>IF($K75="","",INDEX('سجل التحفيز'!$B$5:$B$2004,MATCH($K75,'سجل التحفيز'!$V$5:$V$2004,0)))</f>
        <v/>
      </c>
      <c r="N75" s="9">
        <f>IF($K75="","",INDEX('سجل التحفيز'!$M$5:$M$2004,MATCH($K75,'سجل التحفيز'!$V$5:$V$2004,0)))</f>
        <v/>
      </c>
      <c r="O75" s="9">
        <f>IF($K75="","",INDEX('سجل التحفيز'!$C$5:$C$2004,MATCH($K75,'سجل التحفيز'!$V$5:$V$2004,0)))</f>
        <v/>
      </c>
      <c r="P75" s="36">
        <f>IF($K75="","",INDEX('سجل التحفيز'!$D$5:$D$2004,MATCH($K75,'سجل التحفيز'!$V$5:$V$2004,0)))</f>
        <v/>
      </c>
      <c r="Q75" s="9">
        <f>IF($K75="","",INDEX('سجل التحفيز'!$E$5:$E$2004,MATCH($K75,'سجل التحفيز'!$V$5:$V$2004,0)))</f>
        <v/>
      </c>
      <c r="R75" s="9">
        <f>IF($K75="","",INDEX('سجل التحفيز'!$F$5:$F$2004,MATCH($K75,'سجل التحفيز'!$V$5:$V$2004,0)))</f>
        <v/>
      </c>
      <c r="S75" s="35">
        <f>IF($K75="","",INDEX('سجل التحفيز'!$G$5:$G$2004,MATCH($K75,'سجل التحفيز'!$V$5:$V$2004,0)))</f>
        <v/>
      </c>
    </row>
    <row r="76">
      <c r="B76" s="34">
        <f>IFERROR(INDEX(الموظفات!$B$5:$B$304,MATCH(23,الموظفات!$P$5:$P$304,0)),"")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التحفيز'!$V$5:$V$2004,"&gt;0",'سجل التحفيز'!$B$5:$B$2004,B76))</f>
        <v/>
      </c>
      <c r="E76" s="35">
        <f>IF(B76="","",COUNTIFS('سجل التحفيز'!$V$5:$V$2004,"&gt;0",'سجل التحفيز'!$B$5:$B$2004,B76,'سجل التحفيز'!$D$5:$D$2004,"ذهبي"))</f>
        <v/>
      </c>
      <c r="F76" s="35">
        <f>IF(B76="","",SUMIFS('سجل التحفيز'!$G$5:$G$2004,'سجل التحفيز'!$V$5:$V$2004,"&gt;0",'سجل التحفيز'!$B$5:$B$2004,B76))</f>
        <v/>
      </c>
      <c r="G76" s="35">
        <f>IF(B76="","",COUNTIF($D$54:$D$203,"&gt;"&amp;D76)+1)</f>
        <v/>
      </c>
      <c r="H76" s="35">
        <f>IF(B76="","",INDEX(الموظفات!$L$5:$L$304,MATCH(B76,الموظفات!$B$5:$B$304,0)))</f>
        <v/>
      </c>
      <c r="K76" s="36">
        <f>IF(23&gt;$B$10,"",23)</f>
        <v/>
      </c>
      <c r="L76" s="37">
        <f>IF($K76="","",INDEX('سجل التحفيز'!$A$5:$A$2004,MATCH($K76,'سجل التحفيز'!$V$5:$V$2004,0)))</f>
        <v/>
      </c>
      <c r="M76" s="9">
        <f>IF($K76="","",INDEX('سجل التحفيز'!$B$5:$B$2004,MATCH($K76,'سجل التحفيز'!$V$5:$V$2004,0)))</f>
        <v/>
      </c>
      <c r="N76" s="9">
        <f>IF($K76="","",INDEX('سجل التحفيز'!$M$5:$M$2004,MATCH($K76,'سجل التحفيز'!$V$5:$V$2004,0)))</f>
        <v/>
      </c>
      <c r="O76" s="9">
        <f>IF($K76="","",INDEX('سجل التحفيز'!$C$5:$C$2004,MATCH($K76,'سجل التحفيز'!$V$5:$V$2004,0)))</f>
        <v/>
      </c>
      <c r="P76" s="36">
        <f>IF($K76="","",INDEX('سجل التحفيز'!$D$5:$D$2004,MATCH($K76,'سجل التحفيز'!$V$5:$V$2004,0)))</f>
        <v/>
      </c>
      <c r="Q76" s="9">
        <f>IF($K76="","",INDEX('سجل التحفيز'!$E$5:$E$2004,MATCH($K76,'سجل التحفيز'!$V$5:$V$2004,0)))</f>
        <v/>
      </c>
      <c r="R76" s="9">
        <f>IF($K76="","",INDEX('سجل التحفيز'!$F$5:$F$2004,MATCH($K76,'سجل التحفيز'!$V$5:$V$2004,0)))</f>
        <v/>
      </c>
      <c r="S76" s="35">
        <f>IF($K76="","",INDEX('سجل التحفيز'!$G$5:$G$2004,MATCH($K76,'سجل التحفيز'!$V$5:$V$2004,0)))</f>
        <v/>
      </c>
    </row>
    <row r="77">
      <c r="B77" s="34">
        <f>IFERROR(INDEX(الموظفات!$B$5:$B$304,MATCH(24,الموظفات!$P$5:$P$304,0)),"")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التحفيز'!$V$5:$V$2004,"&gt;0",'سجل التحفيز'!$B$5:$B$2004,B77))</f>
        <v/>
      </c>
      <c r="E77" s="35">
        <f>IF(B77="","",COUNTIFS('سجل التحفيز'!$V$5:$V$2004,"&gt;0",'سجل التحفيز'!$B$5:$B$2004,B77,'سجل التحفيز'!$D$5:$D$2004,"ذهبي"))</f>
        <v/>
      </c>
      <c r="F77" s="35">
        <f>IF(B77="","",SUMIFS('سجل التحفيز'!$G$5:$G$2004,'سجل التحفيز'!$V$5:$V$2004,"&gt;0",'سجل التحفيز'!$B$5:$B$2004,B77))</f>
        <v/>
      </c>
      <c r="G77" s="35">
        <f>IF(B77="","",COUNTIF($D$54:$D$203,"&gt;"&amp;D77)+1)</f>
        <v/>
      </c>
      <c r="H77" s="35">
        <f>IF(B77="","",INDEX(الموظفات!$L$5:$L$304,MATCH(B77,الموظفات!$B$5:$B$304,0)))</f>
        <v/>
      </c>
      <c r="K77" s="36">
        <f>IF(24&gt;$B$10,"",24)</f>
        <v/>
      </c>
      <c r="L77" s="37">
        <f>IF($K77="","",INDEX('سجل التحفيز'!$A$5:$A$2004,MATCH($K77,'سجل التحفيز'!$V$5:$V$2004,0)))</f>
        <v/>
      </c>
      <c r="M77" s="9">
        <f>IF($K77="","",INDEX('سجل التحفيز'!$B$5:$B$2004,MATCH($K77,'سجل التحفيز'!$V$5:$V$2004,0)))</f>
        <v/>
      </c>
      <c r="N77" s="9">
        <f>IF($K77="","",INDEX('سجل التحفيز'!$M$5:$M$2004,MATCH($K77,'سجل التحفيز'!$V$5:$V$2004,0)))</f>
        <v/>
      </c>
      <c r="O77" s="9">
        <f>IF($K77="","",INDEX('سجل التحفيز'!$C$5:$C$2004,MATCH($K77,'سجل التحفيز'!$V$5:$V$2004,0)))</f>
        <v/>
      </c>
      <c r="P77" s="36">
        <f>IF($K77="","",INDEX('سجل التحفيز'!$D$5:$D$2004,MATCH($K77,'سجل التحفيز'!$V$5:$V$2004,0)))</f>
        <v/>
      </c>
      <c r="Q77" s="9">
        <f>IF($K77="","",INDEX('سجل التحفيز'!$E$5:$E$2004,MATCH($K77,'سجل التحفيز'!$V$5:$V$2004,0)))</f>
        <v/>
      </c>
      <c r="R77" s="9">
        <f>IF($K77="","",INDEX('سجل التحفيز'!$F$5:$F$2004,MATCH($K77,'سجل التحفيز'!$V$5:$V$2004,0)))</f>
        <v/>
      </c>
      <c r="S77" s="35">
        <f>IF($K77="","",INDEX('سجل التحفيز'!$G$5:$G$2004,MATCH($K77,'سجل التحفيز'!$V$5:$V$2004,0)))</f>
        <v/>
      </c>
    </row>
    <row r="78">
      <c r="B78" s="34">
        <f>IFERROR(INDEX(الموظفات!$B$5:$B$304,MATCH(25,الموظفات!$P$5:$P$304,0)),"")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التحفيز'!$V$5:$V$2004,"&gt;0",'سجل التحفيز'!$B$5:$B$2004,B78))</f>
        <v/>
      </c>
      <c r="E78" s="35">
        <f>IF(B78="","",COUNTIFS('سجل التحفيز'!$V$5:$V$2004,"&gt;0",'سجل التحفيز'!$B$5:$B$2004,B78,'سجل التحفيز'!$D$5:$D$2004,"ذهبي"))</f>
        <v/>
      </c>
      <c r="F78" s="35">
        <f>IF(B78="","",SUMIFS('سجل التحفيز'!$G$5:$G$2004,'سجل التحفيز'!$V$5:$V$2004,"&gt;0",'سجل التحفيز'!$B$5:$B$2004,B78))</f>
        <v/>
      </c>
      <c r="G78" s="35">
        <f>IF(B78="","",COUNTIF($D$54:$D$203,"&gt;"&amp;D78)+1)</f>
        <v/>
      </c>
      <c r="H78" s="35">
        <f>IF(B78="","",INDEX(الموظفات!$L$5:$L$304,MATCH(B78,الموظفات!$B$5:$B$304,0)))</f>
        <v/>
      </c>
      <c r="K78" s="36">
        <f>IF(25&gt;$B$10,"",25)</f>
        <v/>
      </c>
      <c r="L78" s="37">
        <f>IF($K78="","",INDEX('سجل التحفيز'!$A$5:$A$2004,MATCH($K78,'سجل التحفيز'!$V$5:$V$2004,0)))</f>
        <v/>
      </c>
      <c r="M78" s="9">
        <f>IF($K78="","",INDEX('سجل التحفيز'!$B$5:$B$2004,MATCH($K78,'سجل التحفيز'!$V$5:$V$2004,0)))</f>
        <v/>
      </c>
      <c r="N78" s="9">
        <f>IF($K78="","",INDEX('سجل التحفيز'!$M$5:$M$2004,MATCH($K78,'سجل التحفيز'!$V$5:$V$2004,0)))</f>
        <v/>
      </c>
      <c r="O78" s="9">
        <f>IF($K78="","",INDEX('سجل التحفيز'!$C$5:$C$2004,MATCH($K78,'سجل التحفيز'!$V$5:$V$2004,0)))</f>
        <v/>
      </c>
      <c r="P78" s="36">
        <f>IF($K78="","",INDEX('سجل التحفيز'!$D$5:$D$2004,MATCH($K78,'سجل التحفيز'!$V$5:$V$2004,0)))</f>
        <v/>
      </c>
      <c r="Q78" s="9">
        <f>IF($K78="","",INDEX('سجل التحفيز'!$E$5:$E$2004,MATCH($K78,'سجل التحفيز'!$V$5:$V$2004,0)))</f>
        <v/>
      </c>
      <c r="R78" s="9">
        <f>IF($K78="","",INDEX('سجل التحفيز'!$F$5:$F$2004,MATCH($K78,'سجل التحفيز'!$V$5:$V$2004,0)))</f>
        <v/>
      </c>
      <c r="S78" s="35">
        <f>IF($K78="","",INDEX('سجل التحفيز'!$G$5:$G$2004,MATCH($K78,'سجل التحفيز'!$V$5:$V$2004,0)))</f>
        <v/>
      </c>
    </row>
    <row r="79">
      <c r="B79" s="34">
        <f>IFERROR(INDEX(الموظفات!$B$5:$B$304,MATCH(26,الموظفات!$P$5:$P$304,0)),"")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التحفيز'!$V$5:$V$2004,"&gt;0",'سجل التحفيز'!$B$5:$B$2004,B79))</f>
        <v/>
      </c>
      <c r="E79" s="35">
        <f>IF(B79="","",COUNTIFS('سجل التحفيز'!$V$5:$V$2004,"&gt;0",'سجل التحفيز'!$B$5:$B$2004,B79,'سجل التحفيز'!$D$5:$D$2004,"ذهبي"))</f>
        <v/>
      </c>
      <c r="F79" s="35">
        <f>IF(B79="","",SUMIFS('سجل التحفيز'!$G$5:$G$2004,'سجل التحفيز'!$V$5:$V$2004,"&gt;0",'سجل التحفيز'!$B$5:$B$2004,B79))</f>
        <v/>
      </c>
      <c r="G79" s="35">
        <f>IF(B79="","",COUNTIF($D$54:$D$203,"&gt;"&amp;D79)+1)</f>
        <v/>
      </c>
      <c r="H79" s="35">
        <f>IF(B79="","",INDEX(الموظفات!$L$5:$L$304,MATCH(B79,الموظفات!$B$5:$B$304,0)))</f>
        <v/>
      </c>
      <c r="K79" s="36">
        <f>IF(26&gt;$B$10,"",26)</f>
        <v/>
      </c>
      <c r="L79" s="37">
        <f>IF($K79="","",INDEX('سجل التحفيز'!$A$5:$A$2004,MATCH($K79,'سجل التحفيز'!$V$5:$V$2004,0)))</f>
        <v/>
      </c>
      <c r="M79" s="9">
        <f>IF($K79="","",INDEX('سجل التحفيز'!$B$5:$B$2004,MATCH($K79,'سجل التحفيز'!$V$5:$V$2004,0)))</f>
        <v/>
      </c>
      <c r="N79" s="9">
        <f>IF($K79="","",INDEX('سجل التحفيز'!$M$5:$M$2004,MATCH($K79,'سجل التحفيز'!$V$5:$V$2004,0)))</f>
        <v/>
      </c>
      <c r="O79" s="9">
        <f>IF($K79="","",INDEX('سجل التحفيز'!$C$5:$C$2004,MATCH($K79,'سجل التحفيز'!$V$5:$V$2004,0)))</f>
        <v/>
      </c>
      <c r="P79" s="36">
        <f>IF($K79="","",INDEX('سجل التحفيز'!$D$5:$D$2004,MATCH($K79,'سجل التحفيز'!$V$5:$V$2004,0)))</f>
        <v/>
      </c>
      <c r="Q79" s="9">
        <f>IF($K79="","",INDEX('سجل التحفيز'!$E$5:$E$2004,MATCH($K79,'سجل التحفيز'!$V$5:$V$2004,0)))</f>
        <v/>
      </c>
      <c r="R79" s="9">
        <f>IF($K79="","",INDEX('سجل التحفيز'!$F$5:$F$2004,MATCH($K79,'سجل التحفيز'!$V$5:$V$2004,0)))</f>
        <v/>
      </c>
      <c r="S79" s="35">
        <f>IF($K79="","",INDEX('سجل التحفيز'!$G$5:$G$2004,MATCH($K79,'سجل التحفيز'!$V$5:$V$2004,0)))</f>
        <v/>
      </c>
    </row>
    <row r="80">
      <c r="B80" s="34">
        <f>IFERROR(INDEX(الموظفات!$B$5:$B$304,MATCH(27,الموظفات!$P$5:$P$304,0)),"")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التحفيز'!$V$5:$V$2004,"&gt;0",'سجل التحفيز'!$B$5:$B$2004,B80))</f>
        <v/>
      </c>
      <c r="E80" s="35">
        <f>IF(B80="","",COUNTIFS('سجل التحفيز'!$V$5:$V$2004,"&gt;0",'سجل التحفيز'!$B$5:$B$2004,B80,'سجل التحفيز'!$D$5:$D$2004,"ذهبي"))</f>
        <v/>
      </c>
      <c r="F80" s="35">
        <f>IF(B80="","",SUMIFS('سجل التحفيز'!$G$5:$G$2004,'سجل التحفيز'!$V$5:$V$2004,"&gt;0",'سجل التحفيز'!$B$5:$B$2004,B80))</f>
        <v/>
      </c>
      <c r="G80" s="35">
        <f>IF(B80="","",COUNTIF($D$54:$D$203,"&gt;"&amp;D80)+1)</f>
        <v/>
      </c>
      <c r="H80" s="35">
        <f>IF(B80="","",INDEX(الموظفات!$L$5:$L$304,MATCH(B80,الموظفات!$B$5:$B$304,0)))</f>
        <v/>
      </c>
      <c r="K80" s="36">
        <f>IF(27&gt;$B$10,"",27)</f>
        <v/>
      </c>
      <c r="L80" s="37">
        <f>IF($K80="","",INDEX('سجل التحفيز'!$A$5:$A$2004,MATCH($K80,'سجل التحفيز'!$V$5:$V$2004,0)))</f>
        <v/>
      </c>
      <c r="M80" s="9">
        <f>IF($K80="","",INDEX('سجل التحفيز'!$B$5:$B$2004,MATCH($K80,'سجل التحفيز'!$V$5:$V$2004,0)))</f>
        <v/>
      </c>
      <c r="N80" s="9">
        <f>IF($K80="","",INDEX('سجل التحفيز'!$M$5:$M$2004,MATCH($K80,'سجل التحفيز'!$V$5:$V$2004,0)))</f>
        <v/>
      </c>
      <c r="O80" s="9">
        <f>IF($K80="","",INDEX('سجل التحفيز'!$C$5:$C$2004,MATCH($K80,'سجل التحفيز'!$V$5:$V$2004,0)))</f>
        <v/>
      </c>
      <c r="P80" s="36">
        <f>IF($K80="","",INDEX('سجل التحفيز'!$D$5:$D$2004,MATCH($K80,'سجل التحفيز'!$V$5:$V$2004,0)))</f>
        <v/>
      </c>
      <c r="Q80" s="9">
        <f>IF($K80="","",INDEX('سجل التحفيز'!$E$5:$E$2004,MATCH($K80,'سجل التحفيز'!$V$5:$V$2004,0)))</f>
        <v/>
      </c>
      <c r="R80" s="9">
        <f>IF($K80="","",INDEX('سجل التحفيز'!$F$5:$F$2004,MATCH($K80,'سجل التحفيز'!$V$5:$V$2004,0)))</f>
        <v/>
      </c>
      <c r="S80" s="35">
        <f>IF($K80="","",INDEX('سجل التحفيز'!$G$5:$G$2004,MATCH($K80,'سجل التحفيز'!$V$5:$V$2004,0)))</f>
        <v/>
      </c>
    </row>
    <row r="81">
      <c r="B81" s="34">
        <f>IFERROR(INDEX(الموظفات!$B$5:$B$304,MATCH(28,الموظفات!$P$5:$P$304,0)),"")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التحفيز'!$V$5:$V$2004,"&gt;0",'سجل التحفيز'!$B$5:$B$2004,B81))</f>
        <v/>
      </c>
      <c r="E81" s="35">
        <f>IF(B81="","",COUNTIFS('سجل التحفيز'!$V$5:$V$2004,"&gt;0",'سجل التحفيز'!$B$5:$B$2004,B81,'سجل التحفيز'!$D$5:$D$2004,"ذهبي"))</f>
        <v/>
      </c>
      <c r="F81" s="35">
        <f>IF(B81="","",SUMIFS('سجل التحفيز'!$G$5:$G$2004,'سجل التحفيز'!$V$5:$V$2004,"&gt;0",'سجل التحفيز'!$B$5:$B$2004,B81))</f>
        <v/>
      </c>
      <c r="G81" s="35">
        <f>IF(B81="","",COUNTIF($D$54:$D$203,"&gt;"&amp;D81)+1)</f>
        <v/>
      </c>
      <c r="H81" s="35">
        <f>IF(B81="","",INDEX(الموظفات!$L$5:$L$304,MATCH(B81,الموظفات!$B$5:$B$304,0)))</f>
        <v/>
      </c>
      <c r="K81" s="36">
        <f>IF(28&gt;$B$10,"",28)</f>
        <v/>
      </c>
      <c r="L81" s="37">
        <f>IF($K81="","",INDEX('سجل التحفيز'!$A$5:$A$2004,MATCH($K81,'سجل التحفيز'!$V$5:$V$2004,0)))</f>
        <v/>
      </c>
      <c r="M81" s="9">
        <f>IF($K81="","",INDEX('سجل التحفيز'!$B$5:$B$2004,MATCH($K81,'سجل التحفيز'!$V$5:$V$2004,0)))</f>
        <v/>
      </c>
      <c r="N81" s="9">
        <f>IF($K81="","",INDEX('سجل التحفيز'!$M$5:$M$2004,MATCH($K81,'سجل التحفيز'!$V$5:$V$2004,0)))</f>
        <v/>
      </c>
      <c r="O81" s="9">
        <f>IF($K81="","",INDEX('سجل التحفيز'!$C$5:$C$2004,MATCH($K81,'سجل التحفيز'!$V$5:$V$2004,0)))</f>
        <v/>
      </c>
      <c r="P81" s="36">
        <f>IF($K81="","",INDEX('سجل التحفيز'!$D$5:$D$2004,MATCH($K81,'سجل التحفيز'!$V$5:$V$2004,0)))</f>
        <v/>
      </c>
      <c r="Q81" s="9">
        <f>IF($K81="","",INDEX('سجل التحفيز'!$E$5:$E$2004,MATCH($K81,'سجل التحفيز'!$V$5:$V$2004,0)))</f>
        <v/>
      </c>
      <c r="R81" s="9">
        <f>IF($K81="","",INDEX('سجل التحفيز'!$F$5:$F$2004,MATCH($K81,'سجل التحفيز'!$V$5:$V$2004,0)))</f>
        <v/>
      </c>
      <c r="S81" s="35">
        <f>IF($K81="","",INDEX('سجل التحفيز'!$G$5:$G$2004,MATCH($K81,'سجل التحفيز'!$V$5:$V$2004,0)))</f>
        <v/>
      </c>
    </row>
    <row r="82">
      <c r="B82" s="34">
        <f>IFERROR(INDEX(الموظفات!$B$5:$B$304,MATCH(29,الموظفات!$P$5:$P$304,0)),"")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التحفيز'!$V$5:$V$2004,"&gt;0",'سجل التحفيز'!$B$5:$B$2004,B82))</f>
        <v/>
      </c>
      <c r="E82" s="35">
        <f>IF(B82="","",COUNTIFS('سجل التحفيز'!$V$5:$V$2004,"&gt;0",'سجل التحفيز'!$B$5:$B$2004,B82,'سجل التحفيز'!$D$5:$D$2004,"ذهبي"))</f>
        <v/>
      </c>
      <c r="F82" s="35">
        <f>IF(B82="","",SUMIFS('سجل التحفيز'!$G$5:$G$2004,'سجل التحفيز'!$V$5:$V$2004,"&gt;0",'سجل التحفيز'!$B$5:$B$2004,B82))</f>
        <v/>
      </c>
      <c r="G82" s="35">
        <f>IF(B82="","",COUNTIF($D$54:$D$203,"&gt;"&amp;D82)+1)</f>
        <v/>
      </c>
      <c r="H82" s="35">
        <f>IF(B82="","",INDEX(الموظفات!$L$5:$L$304,MATCH(B82,الموظفات!$B$5:$B$304,0)))</f>
        <v/>
      </c>
      <c r="K82" s="36">
        <f>IF(29&gt;$B$10,"",29)</f>
        <v/>
      </c>
      <c r="L82" s="37">
        <f>IF($K82="","",INDEX('سجل التحفيز'!$A$5:$A$2004,MATCH($K82,'سجل التحفيز'!$V$5:$V$2004,0)))</f>
        <v/>
      </c>
      <c r="M82" s="9">
        <f>IF($K82="","",INDEX('سجل التحفيز'!$B$5:$B$2004,MATCH($K82,'سجل التحفيز'!$V$5:$V$2004,0)))</f>
        <v/>
      </c>
      <c r="N82" s="9">
        <f>IF($K82="","",INDEX('سجل التحفيز'!$M$5:$M$2004,MATCH($K82,'سجل التحفيز'!$V$5:$V$2004,0)))</f>
        <v/>
      </c>
      <c r="O82" s="9">
        <f>IF($K82="","",INDEX('سجل التحفيز'!$C$5:$C$2004,MATCH($K82,'سجل التحفيز'!$V$5:$V$2004,0)))</f>
        <v/>
      </c>
      <c r="P82" s="36">
        <f>IF($K82="","",INDEX('سجل التحفيز'!$D$5:$D$2004,MATCH($K82,'سجل التحفيز'!$V$5:$V$2004,0)))</f>
        <v/>
      </c>
      <c r="Q82" s="9">
        <f>IF($K82="","",INDEX('سجل التحفيز'!$E$5:$E$2004,MATCH($K82,'سجل التحفيز'!$V$5:$V$2004,0)))</f>
        <v/>
      </c>
      <c r="R82" s="9">
        <f>IF($K82="","",INDEX('سجل التحفيز'!$F$5:$F$2004,MATCH($K82,'سجل التحفيز'!$V$5:$V$2004,0)))</f>
        <v/>
      </c>
      <c r="S82" s="35">
        <f>IF($K82="","",INDEX('سجل التحفيز'!$G$5:$G$2004,MATCH($K82,'سجل التحفيز'!$V$5:$V$2004,0)))</f>
        <v/>
      </c>
    </row>
    <row r="83">
      <c r="B83" s="34">
        <f>IFERROR(INDEX(الموظفات!$B$5:$B$304,MATCH(30,الموظفات!$P$5:$P$304,0)),"")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التحفيز'!$V$5:$V$2004,"&gt;0",'سجل التحفيز'!$B$5:$B$2004,B83))</f>
        <v/>
      </c>
      <c r="E83" s="35">
        <f>IF(B83="","",COUNTIFS('سجل التحفيز'!$V$5:$V$2004,"&gt;0",'سجل التحفيز'!$B$5:$B$2004,B83,'سجل التحفيز'!$D$5:$D$2004,"ذهبي"))</f>
        <v/>
      </c>
      <c r="F83" s="35">
        <f>IF(B83="","",SUMIFS('سجل التحفيز'!$G$5:$G$2004,'سجل التحفيز'!$V$5:$V$2004,"&gt;0",'سجل التحفيز'!$B$5:$B$2004,B83))</f>
        <v/>
      </c>
      <c r="G83" s="35">
        <f>IF(B83="","",COUNTIF($D$54:$D$203,"&gt;"&amp;D83)+1)</f>
        <v/>
      </c>
      <c r="H83" s="35">
        <f>IF(B83="","",INDEX(الموظفات!$L$5:$L$304,MATCH(B83,الموظفات!$B$5:$B$304,0)))</f>
        <v/>
      </c>
      <c r="K83" s="36">
        <f>IF(30&gt;$B$10,"",30)</f>
        <v/>
      </c>
      <c r="L83" s="37">
        <f>IF($K83="","",INDEX('سجل التحفيز'!$A$5:$A$2004,MATCH($K83,'سجل التحفيز'!$V$5:$V$2004,0)))</f>
        <v/>
      </c>
      <c r="M83" s="9">
        <f>IF($K83="","",INDEX('سجل التحفيز'!$B$5:$B$2004,MATCH($K83,'سجل التحفيز'!$V$5:$V$2004,0)))</f>
        <v/>
      </c>
      <c r="N83" s="9">
        <f>IF($K83="","",INDEX('سجل التحفيز'!$M$5:$M$2004,MATCH($K83,'سجل التحفيز'!$V$5:$V$2004,0)))</f>
        <v/>
      </c>
      <c r="O83" s="9">
        <f>IF($K83="","",INDEX('سجل التحفيز'!$C$5:$C$2004,MATCH($K83,'سجل التحفيز'!$V$5:$V$2004,0)))</f>
        <v/>
      </c>
      <c r="P83" s="36">
        <f>IF($K83="","",INDEX('سجل التحفيز'!$D$5:$D$2004,MATCH($K83,'سجل التحفيز'!$V$5:$V$2004,0)))</f>
        <v/>
      </c>
      <c r="Q83" s="9">
        <f>IF($K83="","",INDEX('سجل التحفيز'!$E$5:$E$2004,MATCH($K83,'سجل التحفيز'!$V$5:$V$2004,0)))</f>
        <v/>
      </c>
      <c r="R83" s="9">
        <f>IF($K83="","",INDEX('سجل التحفيز'!$F$5:$F$2004,MATCH($K83,'سجل التحفيز'!$V$5:$V$2004,0)))</f>
        <v/>
      </c>
      <c r="S83" s="35">
        <f>IF($K83="","",INDEX('سجل التحفيز'!$G$5:$G$2004,MATCH($K83,'سجل التحفيز'!$V$5:$V$2004,0)))</f>
        <v/>
      </c>
    </row>
    <row r="84">
      <c r="B84" s="34">
        <f>IFERROR(INDEX(الموظفات!$B$5:$B$304,MATCH(31,الموظفات!$P$5:$P$304,0)),"")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التحفيز'!$V$5:$V$2004,"&gt;0",'سجل التحفيز'!$B$5:$B$2004,B84))</f>
        <v/>
      </c>
      <c r="E84" s="35">
        <f>IF(B84="","",COUNTIFS('سجل التحفيز'!$V$5:$V$2004,"&gt;0",'سجل التحفيز'!$B$5:$B$2004,B84,'سجل التحفيز'!$D$5:$D$2004,"ذهبي"))</f>
        <v/>
      </c>
      <c r="F84" s="35">
        <f>IF(B84="","",SUMIFS('سجل التحفيز'!$G$5:$G$2004,'سجل التحفيز'!$V$5:$V$2004,"&gt;0",'سجل التحفيز'!$B$5:$B$2004,B84))</f>
        <v/>
      </c>
      <c r="G84" s="35">
        <f>IF(B84="","",COUNTIF($D$54:$D$203,"&gt;"&amp;D84)+1)</f>
        <v/>
      </c>
      <c r="H84" s="35">
        <f>IF(B84="","",INDEX(الموظفات!$L$5:$L$304,MATCH(B84,الموظفات!$B$5:$B$304,0)))</f>
        <v/>
      </c>
      <c r="K84" s="36">
        <f>IF(31&gt;$B$10,"",31)</f>
        <v/>
      </c>
      <c r="L84" s="37">
        <f>IF($K84="","",INDEX('سجل التحفيز'!$A$5:$A$2004,MATCH($K84,'سجل التحفيز'!$V$5:$V$2004,0)))</f>
        <v/>
      </c>
      <c r="M84" s="9">
        <f>IF($K84="","",INDEX('سجل التحفيز'!$B$5:$B$2004,MATCH($K84,'سجل التحفيز'!$V$5:$V$2004,0)))</f>
        <v/>
      </c>
      <c r="N84" s="9">
        <f>IF($K84="","",INDEX('سجل التحفيز'!$M$5:$M$2004,MATCH($K84,'سجل التحفيز'!$V$5:$V$2004,0)))</f>
        <v/>
      </c>
      <c r="O84" s="9">
        <f>IF($K84="","",INDEX('سجل التحفيز'!$C$5:$C$2004,MATCH($K84,'سجل التحفيز'!$V$5:$V$2004,0)))</f>
        <v/>
      </c>
      <c r="P84" s="36">
        <f>IF($K84="","",INDEX('سجل التحفيز'!$D$5:$D$2004,MATCH($K84,'سجل التحفيز'!$V$5:$V$2004,0)))</f>
        <v/>
      </c>
      <c r="Q84" s="9">
        <f>IF($K84="","",INDEX('سجل التحفيز'!$E$5:$E$2004,MATCH($K84,'سجل التحفيز'!$V$5:$V$2004,0)))</f>
        <v/>
      </c>
      <c r="R84" s="9">
        <f>IF($K84="","",INDEX('سجل التحفيز'!$F$5:$F$2004,MATCH($K84,'سجل التحفيز'!$V$5:$V$2004,0)))</f>
        <v/>
      </c>
      <c r="S84" s="35">
        <f>IF($K84="","",INDEX('سجل التحفيز'!$G$5:$G$2004,MATCH($K84,'سجل التحفيز'!$V$5:$V$2004,0)))</f>
        <v/>
      </c>
    </row>
    <row r="85">
      <c r="B85" s="34">
        <f>IFERROR(INDEX(الموظفات!$B$5:$B$304,MATCH(32,الموظفات!$P$5:$P$304,0)),"")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التحفيز'!$V$5:$V$2004,"&gt;0",'سجل التحفيز'!$B$5:$B$2004,B85))</f>
        <v/>
      </c>
      <c r="E85" s="35">
        <f>IF(B85="","",COUNTIFS('سجل التحفيز'!$V$5:$V$2004,"&gt;0",'سجل التحفيز'!$B$5:$B$2004,B85,'سجل التحفيز'!$D$5:$D$2004,"ذهبي"))</f>
        <v/>
      </c>
      <c r="F85" s="35">
        <f>IF(B85="","",SUMIFS('سجل التحفيز'!$G$5:$G$2004,'سجل التحفيز'!$V$5:$V$2004,"&gt;0",'سجل التحفيز'!$B$5:$B$2004,B85))</f>
        <v/>
      </c>
      <c r="G85" s="35">
        <f>IF(B85="","",COUNTIF($D$54:$D$203,"&gt;"&amp;D85)+1)</f>
        <v/>
      </c>
      <c r="H85" s="35">
        <f>IF(B85="","",INDEX(الموظفات!$L$5:$L$304,MATCH(B85,الموظفات!$B$5:$B$304,0)))</f>
        <v/>
      </c>
      <c r="K85" s="36">
        <f>IF(32&gt;$B$10,"",32)</f>
        <v/>
      </c>
      <c r="L85" s="37">
        <f>IF($K85="","",INDEX('سجل التحفيز'!$A$5:$A$2004,MATCH($K85,'سجل التحفيز'!$V$5:$V$2004,0)))</f>
        <v/>
      </c>
      <c r="M85" s="9">
        <f>IF($K85="","",INDEX('سجل التحفيز'!$B$5:$B$2004,MATCH($K85,'سجل التحفيز'!$V$5:$V$2004,0)))</f>
        <v/>
      </c>
      <c r="N85" s="9">
        <f>IF($K85="","",INDEX('سجل التحفيز'!$M$5:$M$2004,MATCH($K85,'سجل التحفيز'!$V$5:$V$2004,0)))</f>
        <v/>
      </c>
      <c r="O85" s="9">
        <f>IF($K85="","",INDEX('سجل التحفيز'!$C$5:$C$2004,MATCH($K85,'سجل التحفيز'!$V$5:$V$2004,0)))</f>
        <v/>
      </c>
      <c r="P85" s="36">
        <f>IF($K85="","",INDEX('سجل التحفيز'!$D$5:$D$2004,MATCH($K85,'سجل التحفيز'!$V$5:$V$2004,0)))</f>
        <v/>
      </c>
      <c r="Q85" s="9">
        <f>IF($K85="","",INDEX('سجل التحفيز'!$E$5:$E$2004,MATCH($K85,'سجل التحفيز'!$V$5:$V$2004,0)))</f>
        <v/>
      </c>
      <c r="R85" s="9">
        <f>IF($K85="","",INDEX('سجل التحفيز'!$F$5:$F$2004,MATCH($K85,'سجل التحفيز'!$V$5:$V$2004,0)))</f>
        <v/>
      </c>
      <c r="S85" s="35">
        <f>IF($K85="","",INDEX('سجل التحفيز'!$G$5:$G$2004,MATCH($K85,'سجل التحفيز'!$V$5:$V$2004,0)))</f>
        <v/>
      </c>
    </row>
    <row r="86">
      <c r="B86" s="34">
        <f>IFERROR(INDEX(الموظفات!$B$5:$B$304,MATCH(33,الموظفات!$P$5:$P$304,0)),"")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التحفيز'!$V$5:$V$2004,"&gt;0",'سجل التحفيز'!$B$5:$B$2004,B86))</f>
        <v/>
      </c>
      <c r="E86" s="35">
        <f>IF(B86="","",COUNTIFS('سجل التحفيز'!$V$5:$V$2004,"&gt;0",'سجل التحفيز'!$B$5:$B$2004,B86,'سجل التحفيز'!$D$5:$D$2004,"ذهبي"))</f>
        <v/>
      </c>
      <c r="F86" s="35">
        <f>IF(B86="","",SUMIFS('سجل التحفيز'!$G$5:$G$2004,'سجل التحفيز'!$V$5:$V$2004,"&gt;0",'سجل التحفيز'!$B$5:$B$2004,B86))</f>
        <v/>
      </c>
      <c r="G86" s="35">
        <f>IF(B86="","",COUNTIF($D$54:$D$203,"&gt;"&amp;D86)+1)</f>
        <v/>
      </c>
      <c r="H86" s="35">
        <f>IF(B86="","",INDEX(الموظفات!$L$5:$L$304,MATCH(B86,الموظفات!$B$5:$B$304,0)))</f>
        <v/>
      </c>
      <c r="K86" s="36">
        <f>IF(33&gt;$B$10,"",33)</f>
        <v/>
      </c>
      <c r="L86" s="37">
        <f>IF($K86="","",INDEX('سجل التحفيز'!$A$5:$A$2004,MATCH($K86,'سجل التحفيز'!$V$5:$V$2004,0)))</f>
        <v/>
      </c>
      <c r="M86" s="9">
        <f>IF($K86="","",INDEX('سجل التحفيز'!$B$5:$B$2004,MATCH($K86,'سجل التحفيز'!$V$5:$V$2004,0)))</f>
        <v/>
      </c>
      <c r="N86" s="9">
        <f>IF($K86="","",INDEX('سجل التحفيز'!$M$5:$M$2004,MATCH($K86,'سجل التحفيز'!$V$5:$V$2004,0)))</f>
        <v/>
      </c>
      <c r="O86" s="9">
        <f>IF($K86="","",INDEX('سجل التحفيز'!$C$5:$C$2004,MATCH($K86,'سجل التحفيز'!$V$5:$V$2004,0)))</f>
        <v/>
      </c>
      <c r="P86" s="36">
        <f>IF($K86="","",INDEX('سجل التحفيز'!$D$5:$D$2004,MATCH($K86,'سجل التحفيز'!$V$5:$V$2004,0)))</f>
        <v/>
      </c>
      <c r="Q86" s="9">
        <f>IF($K86="","",INDEX('سجل التحفيز'!$E$5:$E$2004,MATCH($K86,'سجل التحفيز'!$V$5:$V$2004,0)))</f>
        <v/>
      </c>
      <c r="R86" s="9">
        <f>IF($K86="","",INDEX('سجل التحفيز'!$F$5:$F$2004,MATCH($K86,'سجل التحفيز'!$V$5:$V$2004,0)))</f>
        <v/>
      </c>
      <c r="S86" s="35">
        <f>IF($K86="","",INDEX('سجل التحفيز'!$G$5:$G$2004,MATCH($K86,'سجل التحفيز'!$V$5:$V$2004,0)))</f>
        <v/>
      </c>
    </row>
    <row r="87">
      <c r="B87" s="34">
        <f>IFERROR(INDEX(الموظفات!$B$5:$B$304,MATCH(34,الموظفات!$P$5:$P$304,0)),"")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التحفيز'!$V$5:$V$2004,"&gt;0",'سجل التحفيز'!$B$5:$B$2004,B87))</f>
        <v/>
      </c>
      <c r="E87" s="35">
        <f>IF(B87="","",COUNTIFS('سجل التحفيز'!$V$5:$V$2004,"&gt;0",'سجل التحفيز'!$B$5:$B$2004,B87,'سجل التحفيز'!$D$5:$D$2004,"ذهبي"))</f>
        <v/>
      </c>
      <c r="F87" s="35">
        <f>IF(B87="","",SUMIFS('سجل التحفيز'!$G$5:$G$2004,'سجل التحفيز'!$V$5:$V$2004,"&gt;0",'سجل التحفيز'!$B$5:$B$2004,B87))</f>
        <v/>
      </c>
      <c r="G87" s="35">
        <f>IF(B87="","",COUNTIF($D$54:$D$203,"&gt;"&amp;D87)+1)</f>
        <v/>
      </c>
      <c r="H87" s="35">
        <f>IF(B87="","",INDEX(الموظفات!$L$5:$L$304,MATCH(B87,الموظفات!$B$5:$B$304,0)))</f>
        <v/>
      </c>
      <c r="K87" s="36">
        <f>IF(34&gt;$B$10,"",34)</f>
        <v/>
      </c>
      <c r="L87" s="37">
        <f>IF($K87="","",INDEX('سجل التحفيز'!$A$5:$A$2004,MATCH($K87,'سجل التحفيز'!$V$5:$V$2004,0)))</f>
        <v/>
      </c>
      <c r="M87" s="9">
        <f>IF($K87="","",INDEX('سجل التحفيز'!$B$5:$B$2004,MATCH($K87,'سجل التحفيز'!$V$5:$V$2004,0)))</f>
        <v/>
      </c>
      <c r="N87" s="9">
        <f>IF($K87="","",INDEX('سجل التحفيز'!$M$5:$M$2004,MATCH($K87,'سجل التحفيز'!$V$5:$V$2004,0)))</f>
        <v/>
      </c>
      <c r="O87" s="9">
        <f>IF($K87="","",INDEX('سجل التحفيز'!$C$5:$C$2004,MATCH($K87,'سجل التحفيز'!$V$5:$V$2004,0)))</f>
        <v/>
      </c>
      <c r="P87" s="36">
        <f>IF($K87="","",INDEX('سجل التحفيز'!$D$5:$D$2004,MATCH($K87,'سجل التحفيز'!$V$5:$V$2004,0)))</f>
        <v/>
      </c>
      <c r="Q87" s="9">
        <f>IF($K87="","",INDEX('سجل التحفيز'!$E$5:$E$2004,MATCH($K87,'سجل التحفيز'!$V$5:$V$2004,0)))</f>
        <v/>
      </c>
      <c r="R87" s="9">
        <f>IF($K87="","",INDEX('سجل التحفيز'!$F$5:$F$2004,MATCH($K87,'سجل التحفيز'!$V$5:$V$2004,0)))</f>
        <v/>
      </c>
      <c r="S87" s="35">
        <f>IF($K87="","",INDEX('سجل التحفيز'!$G$5:$G$2004,MATCH($K87,'سجل التحفيز'!$V$5:$V$2004,0)))</f>
        <v/>
      </c>
    </row>
    <row r="88">
      <c r="B88" s="34">
        <f>IFERROR(INDEX(الموظفات!$B$5:$B$304,MATCH(35,الموظفات!$P$5:$P$304,0)),"")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التحفيز'!$V$5:$V$2004,"&gt;0",'سجل التحفيز'!$B$5:$B$2004,B88))</f>
        <v/>
      </c>
      <c r="E88" s="35">
        <f>IF(B88="","",COUNTIFS('سجل التحفيز'!$V$5:$V$2004,"&gt;0",'سجل التحفيز'!$B$5:$B$2004,B88,'سجل التحفيز'!$D$5:$D$2004,"ذهبي"))</f>
        <v/>
      </c>
      <c r="F88" s="35">
        <f>IF(B88="","",SUMIFS('سجل التحفيز'!$G$5:$G$2004,'سجل التحفيز'!$V$5:$V$2004,"&gt;0",'سجل التحفيز'!$B$5:$B$2004,B88))</f>
        <v/>
      </c>
      <c r="G88" s="35">
        <f>IF(B88="","",COUNTIF($D$54:$D$203,"&gt;"&amp;D88)+1)</f>
        <v/>
      </c>
      <c r="H88" s="35">
        <f>IF(B88="","",INDEX(الموظفات!$L$5:$L$304,MATCH(B88,الموظفات!$B$5:$B$304,0)))</f>
        <v/>
      </c>
      <c r="K88" s="36">
        <f>IF(35&gt;$B$10,"",35)</f>
        <v/>
      </c>
      <c r="L88" s="37">
        <f>IF($K88="","",INDEX('سجل التحفيز'!$A$5:$A$2004,MATCH($K88,'سجل التحفيز'!$V$5:$V$2004,0)))</f>
        <v/>
      </c>
      <c r="M88" s="9">
        <f>IF($K88="","",INDEX('سجل التحفيز'!$B$5:$B$2004,MATCH($K88,'سجل التحفيز'!$V$5:$V$2004,0)))</f>
        <v/>
      </c>
      <c r="N88" s="9">
        <f>IF($K88="","",INDEX('سجل التحفيز'!$M$5:$M$2004,MATCH($K88,'سجل التحفيز'!$V$5:$V$2004,0)))</f>
        <v/>
      </c>
      <c r="O88" s="9">
        <f>IF($K88="","",INDEX('سجل التحفيز'!$C$5:$C$2004,MATCH($K88,'سجل التحفيز'!$V$5:$V$2004,0)))</f>
        <v/>
      </c>
      <c r="P88" s="36">
        <f>IF($K88="","",INDEX('سجل التحفيز'!$D$5:$D$2004,MATCH($K88,'سجل التحفيز'!$V$5:$V$2004,0)))</f>
        <v/>
      </c>
      <c r="Q88" s="9">
        <f>IF($K88="","",INDEX('سجل التحفيز'!$E$5:$E$2004,MATCH($K88,'سجل التحفيز'!$V$5:$V$2004,0)))</f>
        <v/>
      </c>
      <c r="R88" s="9">
        <f>IF($K88="","",INDEX('سجل التحفيز'!$F$5:$F$2004,MATCH($K88,'سجل التحفيز'!$V$5:$V$2004,0)))</f>
        <v/>
      </c>
      <c r="S88" s="35">
        <f>IF($K88="","",INDEX('سجل التحفيز'!$G$5:$G$2004,MATCH($K88,'سجل التحفيز'!$V$5:$V$2004,0)))</f>
        <v/>
      </c>
    </row>
    <row r="89">
      <c r="B89" s="34">
        <f>IFERROR(INDEX(الموظفات!$B$5:$B$304,MATCH(36,الموظفات!$P$5:$P$304,0)),"")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التحفيز'!$V$5:$V$2004,"&gt;0",'سجل التحفيز'!$B$5:$B$2004,B89))</f>
        <v/>
      </c>
      <c r="E89" s="35">
        <f>IF(B89="","",COUNTIFS('سجل التحفيز'!$V$5:$V$2004,"&gt;0",'سجل التحفيز'!$B$5:$B$2004,B89,'سجل التحفيز'!$D$5:$D$2004,"ذهبي"))</f>
        <v/>
      </c>
      <c r="F89" s="35">
        <f>IF(B89="","",SUMIFS('سجل التحفيز'!$G$5:$G$2004,'سجل التحفيز'!$V$5:$V$2004,"&gt;0",'سجل التحفيز'!$B$5:$B$2004,B89))</f>
        <v/>
      </c>
      <c r="G89" s="35">
        <f>IF(B89="","",COUNTIF($D$54:$D$203,"&gt;"&amp;D89)+1)</f>
        <v/>
      </c>
      <c r="H89" s="35">
        <f>IF(B89="","",INDEX(الموظفات!$L$5:$L$304,MATCH(B89,الموظفات!$B$5:$B$304,0)))</f>
        <v/>
      </c>
      <c r="K89" s="36">
        <f>IF(36&gt;$B$10,"",36)</f>
        <v/>
      </c>
      <c r="L89" s="37">
        <f>IF($K89="","",INDEX('سجل التحفيز'!$A$5:$A$2004,MATCH($K89,'سجل التحفيز'!$V$5:$V$2004,0)))</f>
        <v/>
      </c>
      <c r="M89" s="9">
        <f>IF($K89="","",INDEX('سجل التحفيز'!$B$5:$B$2004,MATCH($K89,'سجل التحفيز'!$V$5:$V$2004,0)))</f>
        <v/>
      </c>
      <c r="N89" s="9">
        <f>IF($K89="","",INDEX('سجل التحفيز'!$M$5:$M$2004,MATCH($K89,'سجل التحفيز'!$V$5:$V$2004,0)))</f>
        <v/>
      </c>
      <c r="O89" s="9">
        <f>IF($K89="","",INDEX('سجل التحفيز'!$C$5:$C$2004,MATCH($K89,'سجل التحفيز'!$V$5:$V$2004,0)))</f>
        <v/>
      </c>
      <c r="P89" s="36">
        <f>IF($K89="","",INDEX('سجل التحفيز'!$D$5:$D$2004,MATCH($K89,'سجل التحفيز'!$V$5:$V$2004,0)))</f>
        <v/>
      </c>
      <c r="Q89" s="9">
        <f>IF($K89="","",INDEX('سجل التحفيز'!$E$5:$E$2004,MATCH($K89,'سجل التحفيز'!$V$5:$V$2004,0)))</f>
        <v/>
      </c>
      <c r="R89" s="9">
        <f>IF($K89="","",INDEX('سجل التحفيز'!$F$5:$F$2004,MATCH($K89,'سجل التحفيز'!$V$5:$V$2004,0)))</f>
        <v/>
      </c>
      <c r="S89" s="35">
        <f>IF($K89="","",INDEX('سجل التحفيز'!$G$5:$G$2004,MATCH($K89,'سجل التحفيز'!$V$5:$V$2004,0)))</f>
        <v/>
      </c>
    </row>
    <row r="90">
      <c r="B90" s="34">
        <f>IFERROR(INDEX(الموظفات!$B$5:$B$304,MATCH(37,الموظفات!$P$5:$P$304,0)),"")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التحفيز'!$V$5:$V$2004,"&gt;0",'سجل التحفيز'!$B$5:$B$2004,B90))</f>
        <v/>
      </c>
      <c r="E90" s="35">
        <f>IF(B90="","",COUNTIFS('سجل التحفيز'!$V$5:$V$2004,"&gt;0",'سجل التحفيز'!$B$5:$B$2004,B90,'سجل التحفيز'!$D$5:$D$2004,"ذهبي"))</f>
        <v/>
      </c>
      <c r="F90" s="35">
        <f>IF(B90="","",SUMIFS('سجل التحفيز'!$G$5:$G$2004,'سجل التحفيز'!$V$5:$V$2004,"&gt;0",'سجل التحفيز'!$B$5:$B$2004,B90))</f>
        <v/>
      </c>
      <c r="G90" s="35">
        <f>IF(B90="","",COUNTIF($D$54:$D$203,"&gt;"&amp;D90)+1)</f>
        <v/>
      </c>
      <c r="H90" s="35">
        <f>IF(B90="","",INDEX(الموظفات!$L$5:$L$304,MATCH(B90,الموظفات!$B$5:$B$304,0)))</f>
        <v/>
      </c>
      <c r="K90" s="36">
        <f>IF(37&gt;$B$10,"",37)</f>
        <v/>
      </c>
      <c r="L90" s="37">
        <f>IF($K90="","",INDEX('سجل التحفيز'!$A$5:$A$2004,MATCH($K90,'سجل التحفيز'!$V$5:$V$2004,0)))</f>
        <v/>
      </c>
      <c r="M90" s="9">
        <f>IF($K90="","",INDEX('سجل التحفيز'!$B$5:$B$2004,MATCH($K90,'سجل التحفيز'!$V$5:$V$2004,0)))</f>
        <v/>
      </c>
      <c r="N90" s="9">
        <f>IF($K90="","",INDEX('سجل التحفيز'!$M$5:$M$2004,MATCH($K90,'سجل التحفيز'!$V$5:$V$2004,0)))</f>
        <v/>
      </c>
      <c r="O90" s="9">
        <f>IF($K90="","",INDEX('سجل التحفيز'!$C$5:$C$2004,MATCH($K90,'سجل التحفيز'!$V$5:$V$2004,0)))</f>
        <v/>
      </c>
      <c r="P90" s="36">
        <f>IF($K90="","",INDEX('سجل التحفيز'!$D$5:$D$2004,MATCH($K90,'سجل التحفيز'!$V$5:$V$2004,0)))</f>
        <v/>
      </c>
      <c r="Q90" s="9">
        <f>IF($K90="","",INDEX('سجل التحفيز'!$E$5:$E$2004,MATCH($K90,'سجل التحفيز'!$V$5:$V$2004,0)))</f>
        <v/>
      </c>
      <c r="R90" s="9">
        <f>IF($K90="","",INDEX('سجل التحفيز'!$F$5:$F$2004,MATCH($K90,'سجل التحفيز'!$V$5:$V$2004,0)))</f>
        <v/>
      </c>
      <c r="S90" s="35">
        <f>IF($K90="","",INDEX('سجل التحفيز'!$G$5:$G$2004,MATCH($K90,'سجل التحفيز'!$V$5:$V$2004,0)))</f>
        <v/>
      </c>
    </row>
    <row r="91">
      <c r="B91" s="34">
        <f>IFERROR(INDEX(الموظفات!$B$5:$B$304,MATCH(38,الموظفات!$P$5:$P$304,0)),"")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التحفيز'!$V$5:$V$2004,"&gt;0",'سجل التحفيز'!$B$5:$B$2004,B91))</f>
        <v/>
      </c>
      <c r="E91" s="35">
        <f>IF(B91="","",COUNTIFS('سجل التحفيز'!$V$5:$V$2004,"&gt;0",'سجل التحفيز'!$B$5:$B$2004,B91,'سجل التحفيز'!$D$5:$D$2004,"ذهبي"))</f>
        <v/>
      </c>
      <c r="F91" s="35">
        <f>IF(B91="","",SUMIFS('سجل التحفيز'!$G$5:$G$2004,'سجل التحفيز'!$V$5:$V$2004,"&gt;0",'سجل التحفيز'!$B$5:$B$2004,B91))</f>
        <v/>
      </c>
      <c r="G91" s="35">
        <f>IF(B91="","",COUNTIF($D$54:$D$203,"&gt;"&amp;D91)+1)</f>
        <v/>
      </c>
      <c r="H91" s="35">
        <f>IF(B91="","",INDEX(الموظفات!$L$5:$L$304,MATCH(B91,الموظفات!$B$5:$B$304,0)))</f>
        <v/>
      </c>
      <c r="K91" s="36">
        <f>IF(38&gt;$B$10,"",38)</f>
        <v/>
      </c>
      <c r="L91" s="37">
        <f>IF($K91="","",INDEX('سجل التحفيز'!$A$5:$A$2004,MATCH($K91,'سجل التحفيز'!$V$5:$V$2004,0)))</f>
        <v/>
      </c>
      <c r="M91" s="9">
        <f>IF($K91="","",INDEX('سجل التحفيز'!$B$5:$B$2004,MATCH($K91,'سجل التحفيز'!$V$5:$V$2004,0)))</f>
        <v/>
      </c>
      <c r="N91" s="9">
        <f>IF($K91="","",INDEX('سجل التحفيز'!$M$5:$M$2004,MATCH($K91,'سجل التحفيز'!$V$5:$V$2004,0)))</f>
        <v/>
      </c>
      <c r="O91" s="9">
        <f>IF($K91="","",INDEX('سجل التحفيز'!$C$5:$C$2004,MATCH($K91,'سجل التحفيز'!$V$5:$V$2004,0)))</f>
        <v/>
      </c>
      <c r="P91" s="36">
        <f>IF($K91="","",INDEX('سجل التحفيز'!$D$5:$D$2004,MATCH($K91,'سجل التحفيز'!$V$5:$V$2004,0)))</f>
        <v/>
      </c>
      <c r="Q91" s="9">
        <f>IF($K91="","",INDEX('سجل التحفيز'!$E$5:$E$2004,MATCH($K91,'سجل التحفيز'!$V$5:$V$2004,0)))</f>
        <v/>
      </c>
      <c r="R91" s="9">
        <f>IF($K91="","",INDEX('سجل التحفيز'!$F$5:$F$2004,MATCH($K91,'سجل التحفيز'!$V$5:$V$2004,0)))</f>
        <v/>
      </c>
      <c r="S91" s="35">
        <f>IF($K91="","",INDEX('سجل التحفيز'!$G$5:$G$2004,MATCH($K91,'سجل التحفيز'!$V$5:$V$2004,0)))</f>
        <v/>
      </c>
    </row>
    <row r="92">
      <c r="B92" s="34">
        <f>IFERROR(INDEX(الموظفات!$B$5:$B$304,MATCH(39,الموظفات!$P$5:$P$304,0)),"")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التحفيز'!$V$5:$V$2004,"&gt;0",'سجل التحفيز'!$B$5:$B$2004,B92))</f>
        <v/>
      </c>
      <c r="E92" s="35">
        <f>IF(B92="","",COUNTIFS('سجل التحفيز'!$V$5:$V$2004,"&gt;0",'سجل التحفيز'!$B$5:$B$2004,B92,'سجل التحفيز'!$D$5:$D$2004,"ذهبي"))</f>
        <v/>
      </c>
      <c r="F92" s="35">
        <f>IF(B92="","",SUMIFS('سجل التحفيز'!$G$5:$G$2004,'سجل التحفيز'!$V$5:$V$2004,"&gt;0",'سجل التحفيز'!$B$5:$B$2004,B92))</f>
        <v/>
      </c>
      <c r="G92" s="35">
        <f>IF(B92="","",COUNTIF($D$54:$D$203,"&gt;"&amp;D92)+1)</f>
        <v/>
      </c>
      <c r="H92" s="35">
        <f>IF(B92="","",INDEX(الموظفات!$L$5:$L$304,MATCH(B92,الموظفات!$B$5:$B$304,0)))</f>
        <v/>
      </c>
      <c r="K92" s="36">
        <f>IF(39&gt;$B$10,"",39)</f>
        <v/>
      </c>
      <c r="L92" s="37">
        <f>IF($K92="","",INDEX('سجل التحفيز'!$A$5:$A$2004,MATCH($K92,'سجل التحفيز'!$V$5:$V$2004,0)))</f>
        <v/>
      </c>
      <c r="M92" s="9">
        <f>IF($K92="","",INDEX('سجل التحفيز'!$B$5:$B$2004,MATCH($K92,'سجل التحفيز'!$V$5:$V$2004,0)))</f>
        <v/>
      </c>
      <c r="N92" s="9">
        <f>IF($K92="","",INDEX('سجل التحفيز'!$M$5:$M$2004,MATCH($K92,'سجل التحفيز'!$V$5:$V$2004,0)))</f>
        <v/>
      </c>
      <c r="O92" s="9">
        <f>IF($K92="","",INDEX('سجل التحفيز'!$C$5:$C$2004,MATCH($K92,'سجل التحفيز'!$V$5:$V$2004,0)))</f>
        <v/>
      </c>
      <c r="P92" s="36">
        <f>IF($K92="","",INDEX('سجل التحفيز'!$D$5:$D$2004,MATCH($K92,'سجل التحفيز'!$V$5:$V$2004,0)))</f>
        <v/>
      </c>
      <c r="Q92" s="9">
        <f>IF($K92="","",INDEX('سجل التحفيز'!$E$5:$E$2004,MATCH($K92,'سجل التحفيز'!$V$5:$V$2004,0)))</f>
        <v/>
      </c>
      <c r="R92" s="9">
        <f>IF($K92="","",INDEX('سجل التحفيز'!$F$5:$F$2004,MATCH($K92,'سجل التحفيز'!$V$5:$V$2004,0)))</f>
        <v/>
      </c>
      <c r="S92" s="35">
        <f>IF($K92="","",INDEX('سجل التحفيز'!$G$5:$G$2004,MATCH($K92,'سجل التحفيز'!$V$5:$V$2004,0)))</f>
        <v/>
      </c>
    </row>
    <row r="93">
      <c r="B93" s="34">
        <f>IFERROR(INDEX(الموظفات!$B$5:$B$304,MATCH(40,الموظفات!$P$5:$P$304,0)),"")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التحفيز'!$V$5:$V$2004,"&gt;0",'سجل التحفيز'!$B$5:$B$2004,B93))</f>
        <v/>
      </c>
      <c r="E93" s="35">
        <f>IF(B93="","",COUNTIFS('سجل التحفيز'!$V$5:$V$2004,"&gt;0",'سجل التحفيز'!$B$5:$B$2004,B93,'سجل التحفيز'!$D$5:$D$2004,"ذهبي"))</f>
        <v/>
      </c>
      <c r="F93" s="35">
        <f>IF(B93="","",SUMIFS('سجل التحفيز'!$G$5:$G$2004,'سجل التحفيز'!$V$5:$V$2004,"&gt;0",'سجل التحفيز'!$B$5:$B$2004,B93))</f>
        <v/>
      </c>
      <c r="G93" s="35">
        <f>IF(B93="","",COUNTIF($D$54:$D$203,"&gt;"&amp;D93)+1)</f>
        <v/>
      </c>
      <c r="H93" s="35">
        <f>IF(B93="","",INDEX(الموظفات!$L$5:$L$304,MATCH(B93,الموظفات!$B$5:$B$304,0)))</f>
        <v/>
      </c>
      <c r="K93" s="36">
        <f>IF(40&gt;$B$10,"",40)</f>
        <v/>
      </c>
      <c r="L93" s="37">
        <f>IF($K93="","",INDEX('سجل التحفيز'!$A$5:$A$2004,MATCH($K93,'سجل التحفيز'!$V$5:$V$2004,0)))</f>
        <v/>
      </c>
      <c r="M93" s="9">
        <f>IF($K93="","",INDEX('سجل التحفيز'!$B$5:$B$2004,MATCH($K93,'سجل التحفيز'!$V$5:$V$2004,0)))</f>
        <v/>
      </c>
      <c r="N93" s="9">
        <f>IF($K93="","",INDEX('سجل التحفيز'!$M$5:$M$2004,MATCH($K93,'سجل التحفيز'!$V$5:$V$2004,0)))</f>
        <v/>
      </c>
      <c r="O93" s="9">
        <f>IF($K93="","",INDEX('سجل التحفيز'!$C$5:$C$2004,MATCH($K93,'سجل التحفيز'!$V$5:$V$2004,0)))</f>
        <v/>
      </c>
      <c r="P93" s="36">
        <f>IF($K93="","",INDEX('سجل التحفيز'!$D$5:$D$2004,MATCH($K93,'سجل التحفيز'!$V$5:$V$2004,0)))</f>
        <v/>
      </c>
      <c r="Q93" s="9">
        <f>IF($K93="","",INDEX('سجل التحفيز'!$E$5:$E$2004,MATCH($K93,'سجل التحفيز'!$V$5:$V$2004,0)))</f>
        <v/>
      </c>
      <c r="R93" s="9">
        <f>IF($K93="","",INDEX('سجل التحفيز'!$F$5:$F$2004,MATCH($K93,'سجل التحفيز'!$V$5:$V$2004,0)))</f>
        <v/>
      </c>
      <c r="S93" s="35">
        <f>IF($K93="","",INDEX('سجل التحفيز'!$G$5:$G$2004,MATCH($K93,'سجل التحفيز'!$V$5:$V$2004,0)))</f>
        <v/>
      </c>
    </row>
    <row r="94">
      <c r="B94" s="34">
        <f>IFERROR(INDEX(الموظفات!$B$5:$B$304,MATCH(41,الموظفات!$P$5:$P$304,0)),"")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التحفيز'!$V$5:$V$2004,"&gt;0",'سجل التحفيز'!$B$5:$B$2004,B94))</f>
        <v/>
      </c>
      <c r="E94" s="35">
        <f>IF(B94="","",COUNTIFS('سجل التحفيز'!$V$5:$V$2004,"&gt;0",'سجل التحفيز'!$B$5:$B$2004,B94,'سجل التحفيز'!$D$5:$D$2004,"ذهبي"))</f>
        <v/>
      </c>
      <c r="F94" s="35">
        <f>IF(B94="","",SUMIFS('سجل التحفيز'!$G$5:$G$2004,'سجل التحفيز'!$V$5:$V$2004,"&gt;0",'سجل التحفيز'!$B$5:$B$2004,B94))</f>
        <v/>
      </c>
      <c r="G94" s="35">
        <f>IF(B94="","",COUNTIF($D$54:$D$203,"&gt;"&amp;D94)+1)</f>
        <v/>
      </c>
      <c r="H94" s="35">
        <f>IF(B94="","",INDEX(الموظفات!$L$5:$L$304,MATCH(B94,الموظفات!$B$5:$B$304,0)))</f>
        <v/>
      </c>
      <c r="K94" s="36">
        <f>IF(41&gt;$B$10,"",41)</f>
        <v/>
      </c>
      <c r="L94" s="37">
        <f>IF($K94="","",INDEX('سجل التحفيز'!$A$5:$A$2004,MATCH($K94,'سجل التحفيز'!$V$5:$V$2004,0)))</f>
        <v/>
      </c>
      <c r="M94" s="9">
        <f>IF($K94="","",INDEX('سجل التحفيز'!$B$5:$B$2004,MATCH($K94,'سجل التحفيز'!$V$5:$V$2004,0)))</f>
        <v/>
      </c>
      <c r="N94" s="9">
        <f>IF($K94="","",INDEX('سجل التحفيز'!$M$5:$M$2004,MATCH($K94,'سجل التحفيز'!$V$5:$V$2004,0)))</f>
        <v/>
      </c>
      <c r="O94" s="9">
        <f>IF($K94="","",INDEX('سجل التحفيز'!$C$5:$C$2004,MATCH($K94,'سجل التحفيز'!$V$5:$V$2004,0)))</f>
        <v/>
      </c>
      <c r="P94" s="36">
        <f>IF($K94="","",INDEX('سجل التحفيز'!$D$5:$D$2004,MATCH($K94,'سجل التحفيز'!$V$5:$V$2004,0)))</f>
        <v/>
      </c>
      <c r="Q94" s="9">
        <f>IF($K94="","",INDEX('سجل التحفيز'!$E$5:$E$2004,MATCH($K94,'سجل التحفيز'!$V$5:$V$2004,0)))</f>
        <v/>
      </c>
      <c r="R94" s="9">
        <f>IF($K94="","",INDEX('سجل التحفيز'!$F$5:$F$2004,MATCH($K94,'سجل التحفيز'!$V$5:$V$2004,0)))</f>
        <v/>
      </c>
      <c r="S94" s="35">
        <f>IF($K94="","",INDEX('سجل التحفيز'!$G$5:$G$2004,MATCH($K94,'سجل التحفيز'!$V$5:$V$2004,0)))</f>
        <v/>
      </c>
    </row>
    <row r="95">
      <c r="B95" s="34">
        <f>IFERROR(INDEX(الموظفات!$B$5:$B$304,MATCH(42,الموظفات!$P$5:$P$304,0)),"")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التحفيز'!$V$5:$V$2004,"&gt;0",'سجل التحفيز'!$B$5:$B$2004,B95))</f>
        <v/>
      </c>
      <c r="E95" s="35">
        <f>IF(B95="","",COUNTIFS('سجل التحفيز'!$V$5:$V$2004,"&gt;0",'سجل التحفيز'!$B$5:$B$2004,B95,'سجل التحفيز'!$D$5:$D$2004,"ذهبي"))</f>
        <v/>
      </c>
      <c r="F95" s="35">
        <f>IF(B95="","",SUMIFS('سجل التحفيز'!$G$5:$G$2004,'سجل التحفيز'!$V$5:$V$2004,"&gt;0",'سجل التحفيز'!$B$5:$B$2004,B95))</f>
        <v/>
      </c>
      <c r="G95" s="35">
        <f>IF(B95="","",COUNTIF($D$54:$D$203,"&gt;"&amp;D95)+1)</f>
        <v/>
      </c>
      <c r="H95" s="35">
        <f>IF(B95="","",INDEX(الموظفات!$L$5:$L$304,MATCH(B95,الموظفات!$B$5:$B$304,0)))</f>
        <v/>
      </c>
      <c r="K95" s="36">
        <f>IF(42&gt;$B$10,"",42)</f>
        <v/>
      </c>
      <c r="L95" s="37">
        <f>IF($K95="","",INDEX('سجل التحفيز'!$A$5:$A$2004,MATCH($K95,'سجل التحفيز'!$V$5:$V$2004,0)))</f>
        <v/>
      </c>
      <c r="M95" s="9">
        <f>IF($K95="","",INDEX('سجل التحفيز'!$B$5:$B$2004,MATCH($K95,'سجل التحفيز'!$V$5:$V$2004,0)))</f>
        <v/>
      </c>
      <c r="N95" s="9">
        <f>IF($K95="","",INDEX('سجل التحفيز'!$M$5:$M$2004,MATCH($K95,'سجل التحفيز'!$V$5:$V$2004,0)))</f>
        <v/>
      </c>
      <c r="O95" s="9">
        <f>IF($K95="","",INDEX('سجل التحفيز'!$C$5:$C$2004,MATCH($K95,'سجل التحفيز'!$V$5:$V$2004,0)))</f>
        <v/>
      </c>
      <c r="P95" s="36">
        <f>IF($K95="","",INDEX('سجل التحفيز'!$D$5:$D$2004,MATCH($K95,'سجل التحفيز'!$V$5:$V$2004,0)))</f>
        <v/>
      </c>
      <c r="Q95" s="9">
        <f>IF($K95="","",INDEX('سجل التحفيز'!$E$5:$E$2004,MATCH($K95,'سجل التحفيز'!$V$5:$V$2004,0)))</f>
        <v/>
      </c>
      <c r="R95" s="9">
        <f>IF($K95="","",INDEX('سجل التحفيز'!$F$5:$F$2004,MATCH($K95,'سجل التحفيز'!$V$5:$V$2004,0)))</f>
        <v/>
      </c>
      <c r="S95" s="35">
        <f>IF($K95="","",INDEX('سجل التحفيز'!$G$5:$G$2004,MATCH($K95,'سجل التحفيز'!$V$5:$V$2004,0)))</f>
        <v/>
      </c>
    </row>
    <row r="96">
      <c r="B96" s="34">
        <f>IFERROR(INDEX(الموظفات!$B$5:$B$304,MATCH(43,الموظفات!$P$5:$P$304,0)),"")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التحفيز'!$V$5:$V$2004,"&gt;0",'سجل التحفيز'!$B$5:$B$2004,B96))</f>
        <v/>
      </c>
      <c r="E96" s="35">
        <f>IF(B96="","",COUNTIFS('سجل التحفيز'!$V$5:$V$2004,"&gt;0",'سجل التحفيز'!$B$5:$B$2004,B96,'سجل التحفيز'!$D$5:$D$2004,"ذهبي"))</f>
        <v/>
      </c>
      <c r="F96" s="35">
        <f>IF(B96="","",SUMIFS('سجل التحفيز'!$G$5:$G$2004,'سجل التحفيز'!$V$5:$V$2004,"&gt;0",'سجل التحفيز'!$B$5:$B$2004,B96))</f>
        <v/>
      </c>
      <c r="G96" s="35">
        <f>IF(B96="","",COUNTIF($D$54:$D$203,"&gt;"&amp;D96)+1)</f>
        <v/>
      </c>
      <c r="H96" s="35">
        <f>IF(B96="","",INDEX(الموظفات!$L$5:$L$304,MATCH(B96,الموظفات!$B$5:$B$304,0)))</f>
        <v/>
      </c>
      <c r="K96" s="36">
        <f>IF(43&gt;$B$10,"",43)</f>
        <v/>
      </c>
      <c r="L96" s="37">
        <f>IF($K96="","",INDEX('سجل التحفيز'!$A$5:$A$2004,MATCH($K96,'سجل التحفيز'!$V$5:$V$2004,0)))</f>
        <v/>
      </c>
      <c r="M96" s="9">
        <f>IF($K96="","",INDEX('سجل التحفيز'!$B$5:$B$2004,MATCH($K96,'سجل التحفيز'!$V$5:$V$2004,0)))</f>
        <v/>
      </c>
      <c r="N96" s="9">
        <f>IF($K96="","",INDEX('سجل التحفيز'!$M$5:$M$2004,MATCH($K96,'سجل التحفيز'!$V$5:$V$2004,0)))</f>
        <v/>
      </c>
      <c r="O96" s="9">
        <f>IF($K96="","",INDEX('سجل التحفيز'!$C$5:$C$2004,MATCH($K96,'سجل التحفيز'!$V$5:$V$2004,0)))</f>
        <v/>
      </c>
      <c r="P96" s="36">
        <f>IF($K96="","",INDEX('سجل التحفيز'!$D$5:$D$2004,MATCH($K96,'سجل التحفيز'!$V$5:$V$2004,0)))</f>
        <v/>
      </c>
      <c r="Q96" s="9">
        <f>IF($K96="","",INDEX('سجل التحفيز'!$E$5:$E$2004,MATCH($K96,'سجل التحفيز'!$V$5:$V$2004,0)))</f>
        <v/>
      </c>
      <c r="R96" s="9">
        <f>IF($K96="","",INDEX('سجل التحفيز'!$F$5:$F$2004,MATCH($K96,'سجل التحفيز'!$V$5:$V$2004,0)))</f>
        <v/>
      </c>
      <c r="S96" s="35">
        <f>IF($K96="","",INDEX('سجل التحفيز'!$G$5:$G$2004,MATCH($K96,'سجل التحفيز'!$V$5:$V$2004,0)))</f>
        <v/>
      </c>
    </row>
    <row r="97">
      <c r="B97" s="34">
        <f>IFERROR(INDEX(الموظفات!$B$5:$B$304,MATCH(44,الموظفات!$P$5:$P$304,0)),"")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التحفيز'!$V$5:$V$2004,"&gt;0",'سجل التحفيز'!$B$5:$B$2004,B97))</f>
        <v/>
      </c>
      <c r="E97" s="35">
        <f>IF(B97="","",COUNTIFS('سجل التحفيز'!$V$5:$V$2004,"&gt;0",'سجل التحفيز'!$B$5:$B$2004,B97,'سجل التحفيز'!$D$5:$D$2004,"ذهبي"))</f>
        <v/>
      </c>
      <c r="F97" s="35">
        <f>IF(B97="","",SUMIFS('سجل التحفيز'!$G$5:$G$2004,'سجل التحفيز'!$V$5:$V$2004,"&gt;0",'سجل التحفيز'!$B$5:$B$2004,B97))</f>
        <v/>
      </c>
      <c r="G97" s="35">
        <f>IF(B97="","",COUNTIF($D$54:$D$203,"&gt;"&amp;D97)+1)</f>
        <v/>
      </c>
      <c r="H97" s="35">
        <f>IF(B97="","",INDEX(الموظفات!$L$5:$L$304,MATCH(B97,الموظفات!$B$5:$B$304,0)))</f>
        <v/>
      </c>
      <c r="K97" s="36">
        <f>IF(44&gt;$B$10,"",44)</f>
        <v/>
      </c>
      <c r="L97" s="37">
        <f>IF($K97="","",INDEX('سجل التحفيز'!$A$5:$A$2004,MATCH($K97,'سجل التحفيز'!$V$5:$V$2004,0)))</f>
        <v/>
      </c>
      <c r="M97" s="9">
        <f>IF($K97="","",INDEX('سجل التحفيز'!$B$5:$B$2004,MATCH($K97,'سجل التحفيز'!$V$5:$V$2004,0)))</f>
        <v/>
      </c>
      <c r="N97" s="9">
        <f>IF($K97="","",INDEX('سجل التحفيز'!$M$5:$M$2004,MATCH($K97,'سجل التحفيز'!$V$5:$V$2004,0)))</f>
        <v/>
      </c>
      <c r="O97" s="9">
        <f>IF($K97="","",INDEX('سجل التحفيز'!$C$5:$C$2004,MATCH($K97,'سجل التحفيز'!$V$5:$V$2004,0)))</f>
        <v/>
      </c>
      <c r="P97" s="36">
        <f>IF($K97="","",INDEX('سجل التحفيز'!$D$5:$D$2004,MATCH($K97,'سجل التحفيز'!$V$5:$V$2004,0)))</f>
        <v/>
      </c>
      <c r="Q97" s="9">
        <f>IF($K97="","",INDEX('سجل التحفيز'!$E$5:$E$2004,MATCH($K97,'سجل التحفيز'!$V$5:$V$2004,0)))</f>
        <v/>
      </c>
      <c r="R97" s="9">
        <f>IF($K97="","",INDEX('سجل التحفيز'!$F$5:$F$2004,MATCH($K97,'سجل التحفيز'!$V$5:$V$2004,0)))</f>
        <v/>
      </c>
      <c r="S97" s="35">
        <f>IF($K97="","",INDEX('سجل التحفيز'!$G$5:$G$2004,MATCH($K97,'سجل التحفيز'!$V$5:$V$2004,0)))</f>
        <v/>
      </c>
    </row>
    <row r="98">
      <c r="B98" s="34">
        <f>IFERROR(INDEX(الموظفات!$B$5:$B$304,MATCH(45,الموظفات!$P$5:$P$304,0)),"")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التحفيز'!$V$5:$V$2004,"&gt;0",'سجل التحفيز'!$B$5:$B$2004,B98))</f>
        <v/>
      </c>
      <c r="E98" s="35">
        <f>IF(B98="","",COUNTIFS('سجل التحفيز'!$V$5:$V$2004,"&gt;0",'سجل التحفيز'!$B$5:$B$2004,B98,'سجل التحفيز'!$D$5:$D$2004,"ذهبي"))</f>
        <v/>
      </c>
      <c r="F98" s="35">
        <f>IF(B98="","",SUMIFS('سجل التحفيز'!$G$5:$G$2004,'سجل التحفيز'!$V$5:$V$2004,"&gt;0",'سجل التحفيز'!$B$5:$B$2004,B98))</f>
        <v/>
      </c>
      <c r="G98" s="35">
        <f>IF(B98="","",COUNTIF($D$54:$D$203,"&gt;"&amp;D98)+1)</f>
        <v/>
      </c>
      <c r="H98" s="35">
        <f>IF(B98="","",INDEX(الموظفات!$L$5:$L$304,MATCH(B98,الموظفات!$B$5:$B$304,0)))</f>
        <v/>
      </c>
      <c r="K98" s="36">
        <f>IF(45&gt;$B$10,"",45)</f>
        <v/>
      </c>
      <c r="L98" s="37">
        <f>IF($K98="","",INDEX('سجل التحفيز'!$A$5:$A$2004,MATCH($K98,'سجل التحفيز'!$V$5:$V$2004,0)))</f>
        <v/>
      </c>
      <c r="M98" s="9">
        <f>IF($K98="","",INDEX('سجل التحفيز'!$B$5:$B$2004,MATCH($K98,'سجل التحفيز'!$V$5:$V$2004,0)))</f>
        <v/>
      </c>
      <c r="N98" s="9">
        <f>IF($K98="","",INDEX('سجل التحفيز'!$M$5:$M$2004,MATCH($K98,'سجل التحفيز'!$V$5:$V$2004,0)))</f>
        <v/>
      </c>
      <c r="O98" s="9">
        <f>IF($K98="","",INDEX('سجل التحفيز'!$C$5:$C$2004,MATCH($K98,'سجل التحفيز'!$V$5:$V$2004,0)))</f>
        <v/>
      </c>
      <c r="P98" s="36">
        <f>IF($K98="","",INDEX('سجل التحفيز'!$D$5:$D$2004,MATCH($K98,'سجل التحفيز'!$V$5:$V$2004,0)))</f>
        <v/>
      </c>
      <c r="Q98" s="9">
        <f>IF($K98="","",INDEX('سجل التحفيز'!$E$5:$E$2004,MATCH($K98,'سجل التحفيز'!$V$5:$V$2004,0)))</f>
        <v/>
      </c>
      <c r="R98" s="9">
        <f>IF($K98="","",INDEX('سجل التحفيز'!$F$5:$F$2004,MATCH($K98,'سجل التحفيز'!$V$5:$V$2004,0)))</f>
        <v/>
      </c>
      <c r="S98" s="35">
        <f>IF($K98="","",INDEX('سجل التحفيز'!$G$5:$G$2004,MATCH($K98,'سجل التحفيز'!$V$5:$V$2004,0)))</f>
        <v/>
      </c>
    </row>
    <row r="99">
      <c r="B99" s="34">
        <f>IFERROR(INDEX(الموظفات!$B$5:$B$304,MATCH(46,الموظفات!$P$5:$P$304,0)),"")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التحفيز'!$V$5:$V$2004,"&gt;0",'سجل التحفيز'!$B$5:$B$2004,B99))</f>
        <v/>
      </c>
      <c r="E99" s="35">
        <f>IF(B99="","",COUNTIFS('سجل التحفيز'!$V$5:$V$2004,"&gt;0",'سجل التحفيز'!$B$5:$B$2004,B99,'سجل التحفيز'!$D$5:$D$2004,"ذهبي"))</f>
        <v/>
      </c>
      <c r="F99" s="35">
        <f>IF(B99="","",SUMIFS('سجل التحفيز'!$G$5:$G$2004,'سجل التحفيز'!$V$5:$V$2004,"&gt;0",'سجل التحفيز'!$B$5:$B$2004,B99))</f>
        <v/>
      </c>
      <c r="G99" s="35">
        <f>IF(B99="","",COUNTIF($D$54:$D$203,"&gt;"&amp;D99)+1)</f>
        <v/>
      </c>
      <c r="H99" s="35">
        <f>IF(B99="","",INDEX(الموظفات!$L$5:$L$304,MATCH(B99,الموظفات!$B$5:$B$304,0)))</f>
        <v/>
      </c>
      <c r="K99" s="36">
        <f>IF(46&gt;$B$10,"",46)</f>
        <v/>
      </c>
      <c r="L99" s="37">
        <f>IF($K99="","",INDEX('سجل التحفيز'!$A$5:$A$2004,MATCH($K99,'سجل التحفيز'!$V$5:$V$2004,0)))</f>
        <v/>
      </c>
      <c r="M99" s="9">
        <f>IF($K99="","",INDEX('سجل التحفيز'!$B$5:$B$2004,MATCH($K99,'سجل التحفيز'!$V$5:$V$2004,0)))</f>
        <v/>
      </c>
      <c r="N99" s="9">
        <f>IF($K99="","",INDEX('سجل التحفيز'!$M$5:$M$2004,MATCH($K99,'سجل التحفيز'!$V$5:$V$2004,0)))</f>
        <v/>
      </c>
      <c r="O99" s="9">
        <f>IF($K99="","",INDEX('سجل التحفيز'!$C$5:$C$2004,MATCH($K99,'سجل التحفيز'!$V$5:$V$2004,0)))</f>
        <v/>
      </c>
      <c r="P99" s="36">
        <f>IF($K99="","",INDEX('سجل التحفيز'!$D$5:$D$2004,MATCH($K99,'سجل التحفيز'!$V$5:$V$2004,0)))</f>
        <v/>
      </c>
      <c r="Q99" s="9">
        <f>IF($K99="","",INDEX('سجل التحفيز'!$E$5:$E$2004,MATCH($K99,'سجل التحفيز'!$V$5:$V$2004,0)))</f>
        <v/>
      </c>
      <c r="R99" s="9">
        <f>IF($K99="","",INDEX('سجل التحفيز'!$F$5:$F$2004,MATCH($K99,'سجل التحفيز'!$V$5:$V$2004,0)))</f>
        <v/>
      </c>
      <c r="S99" s="35">
        <f>IF($K99="","",INDEX('سجل التحفيز'!$G$5:$G$2004,MATCH($K99,'سجل التحفيز'!$V$5:$V$2004,0)))</f>
        <v/>
      </c>
    </row>
    <row r="100">
      <c r="B100" s="34">
        <f>IFERROR(INDEX(الموظفات!$B$5:$B$304,MATCH(47,الموظفات!$P$5:$P$304,0)),"")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التحفيز'!$V$5:$V$2004,"&gt;0",'سجل التحفيز'!$B$5:$B$2004,B100))</f>
        <v/>
      </c>
      <c r="E100" s="35">
        <f>IF(B100="","",COUNTIFS('سجل التحفيز'!$V$5:$V$2004,"&gt;0",'سجل التحفيز'!$B$5:$B$2004,B100,'سجل التحفيز'!$D$5:$D$2004,"ذهبي"))</f>
        <v/>
      </c>
      <c r="F100" s="35">
        <f>IF(B100="","",SUMIFS('سجل التحفيز'!$G$5:$G$2004,'سجل التحفيز'!$V$5:$V$2004,"&gt;0",'سجل التحفيز'!$B$5:$B$2004,B100))</f>
        <v/>
      </c>
      <c r="G100" s="35">
        <f>IF(B100="","",COUNTIF($D$54:$D$203,"&gt;"&amp;D100)+1)</f>
        <v/>
      </c>
      <c r="H100" s="35">
        <f>IF(B100="","",INDEX(الموظفات!$L$5:$L$304,MATCH(B100,الموظفات!$B$5:$B$304,0)))</f>
        <v/>
      </c>
      <c r="K100" s="36">
        <f>IF(47&gt;$B$10,"",47)</f>
        <v/>
      </c>
      <c r="L100" s="37">
        <f>IF($K100="","",INDEX('سجل التحفيز'!$A$5:$A$2004,MATCH($K100,'سجل التحفيز'!$V$5:$V$2004,0)))</f>
        <v/>
      </c>
      <c r="M100" s="9">
        <f>IF($K100="","",INDEX('سجل التحفيز'!$B$5:$B$2004,MATCH($K100,'سجل التحفيز'!$V$5:$V$2004,0)))</f>
        <v/>
      </c>
      <c r="N100" s="9">
        <f>IF($K100="","",INDEX('سجل التحفيز'!$M$5:$M$2004,MATCH($K100,'سجل التحفيز'!$V$5:$V$2004,0)))</f>
        <v/>
      </c>
      <c r="O100" s="9">
        <f>IF($K100="","",INDEX('سجل التحفيز'!$C$5:$C$2004,MATCH($K100,'سجل التحفيز'!$V$5:$V$2004,0)))</f>
        <v/>
      </c>
      <c r="P100" s="36">
        <f>IF($K100="","",INDEX('سجل التحفيز'!$D$5:$D$2004,MATCH($K100,'سجل التحفيز'!$V$5:$V$2004,0)))</f>
        <v/>
      </c>
      <c r="Q100" s="9">
        <f>IF($K100="","",INDEX('سجل التحفيز'!$E$5:$E$2004,MATCH($K100,'سجل التحفيز'!$V$5:$V$2004,0)))</f>
        <v/>
      </c>
      <c r="R100" s="9">
        <f>IF($K100="","",INDEX('سجل التحفيز'!$F$5:$F$2004,MATCH($K100,'سجل التحفيز'!$V$5:$V$2004,0)))</f>
        <v/>
      </c>
      <c r="S100" s="35">
        <f>IF($K100="","",INDEX('سجل التحفيز'!$G$5:$G$2004,MATCH($K100,'سجل التحفيز'!$V$5:$V$2004,0)))</f>
        <v/>
      </c>
    </row>
    <row r="101">
      <c r="B101" s="34">
        <f>IFERROR(INDEX(الموظفات!$B$5:$B$304,MATCH(48,الموظفات!$P$5:$P$304,0)),"")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التحفيز'!$V$5:$V$2004,"&gt;0",'سجل التحفيز'!$B$5:$B$2004,B101))</f>
        <v/>
      </c>
      <c r="E101" s="35">
        <f>IF(B101="","",COUNTIFS('سجل التحفيز'!$V$5:$V$2004,"&gt;0",'سجل التحفيز'!$B$5:$B$2004,B101,'سجل التحفيز'!$D$5:$D$2004,"ذهبي"))</f>
        <v/>
      </c>
      <c r="F101" s="35">
        <f>IF(B101="","",SUMIFS('سجل التحفيز'!$G$5:$G$2004,'سجل التحفيز'!$V$5:$V$2004,"&gt;0",'سجل التحفيز'!$B$5:$B$2004,B101))</f>
        <v/>
      </c>
      <c r="G101" s="35">
        <f>IF(B101="","",COUNTIF($D$54:$D$203,"&gt;"&amp;D101)+1)</f>
        <v/>
      </c>
      <c r="H101" s="35">
        <f>IF(B101="","",INDEX(الموظفات!$L$5:$L$304,MATCH(B101,الموظفات!$B$5:$B$304,0)))</f>
        <v/>
      </c>
      <c r="K101" s="36">
        <f>IF(48&gt;$B$10,"",48)</f>
        <v/>
      </c>
      <c r="L101" s="37">
        <f>IF($K101="","",INDEX('سجل التحفيز'!$A$5:$A$2004,MATCH($K101,'سجل التحفيز'!$V$5:$V$2004,0)))</f>
        <v/>
      </c>
      <c r="M101" s="9">
        <f>IF($K101="","",INDEX('سجل التحفيز'!$B$5:$B$2004,MATCH($K101,'سجل التحفيز'!$V$5:$V$2004,0)))</f>
        <v/>
      </c>
      <c r="N101" s="9">
        <f>IF($K101="","",INDEX('سجل التحفيز'!$M$5:$M$2004,MATCH($K101,'سجل التحفيز'!$V$5:$V$2004,0)))</f>
        <v/>
      </c>
      <c r="O101" s="9">
        <f>IF($K101="","",INDEX('سجل التحفيز'!$C$5:$C$2004,MATCH($K101,'سجل التحفيز'!$V$5:$V$2004,0)))</f>
        <v/>
      </c>
      <c r="P101" s="36">
        <f>IF($K101="","",INDEX('سجل التحفيز'!$D$5:$D$2004,MATCH($K101,'سجل التحفيز'!$V$5:$V$2004,0)))</f>
        <v/>
      </c>
      <c r="Q101" s="9">
        <f>IF($K101="","",INDEX('سجل التحفيز'!$E$5:$E$2004,MATCH($K101,'سجل التحفيز'!$V$5:$V$2004,0)))</f>
        <v/>
      </c>
      <c r="R101" s="9">
        <f>IF($K101="","",INDEX('سجل التحفيز'!$F$5:$F$2004,MATCH($K101,'سجل التحفيز'!$V$5:$V$2004,0)))</f>
        <v/>
      </c>
      <c r="S101" s="35">
        <f>IF($K101="","",INDEX('سجل التحفيز'!$G$5:$G$2004,MATCH($K101,'سجل التحفيز'!$V$5:$V$2004,0)))</f>
        <v/>
      </c>
    </row>
    <row r="102">
      <c r="B102" s="34">
        <f>IFERROR(INDEX(الموظفات!$B$5:$B$304,MATCH(49,الموظفات!$P$5:$P$304,0)),"")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التحفيز'!$V$5:$V$2004,"&gt;0",'سجل التحفيز'!$B$5:$B$2004,B102))</f>
        <v/>
      </c>
      <c r="E102" s="35">
        <f>IF(B102="","",COUNTIFS('سجل التحفيز'!$V$5:$V$2004,"&gt;0",'سجل التحفيز'!$B$5:$B$2004,B102,'سجل التحفيز'!$D$5:$D$2004,"ذهبي"))</f>
        <v/>
      </c>
      <c r="F102" s="35">
        <f>IF(B102="","",SUMIFS('سجل التحفيز'!$G$5:$G$2004,'سجل التحفيز'!$V$5:$V$2004,"&gt;0",'سجل التحفيز'!$B$5:$B$2004,B102))</f>
        <v/>
      </c>
      <c r="G102" s="35">
        <f>IF(B102="","",COUNTIF($D$54:$D$203,"&gt;"&amp;D102)+1)</f>
        <v/>
      </c>
      <c r="H102" s="35">
        <f>IF(B102="","",INDEX(الموظفات!$L$5:$L$304,MATCH(B102,الموظفات!$B$5:$B$304,0)))</f>
        <v/>
      </c>
      <c r="K102" s="36">
        <f>IF(49&gt;$B$10,"",49)</f>
        <v/>
      </c>
      <c r="L102" s="37">
        <f>IF($K102="","",INDEX('سجل التحفيز'!$A$5:$A$2004,MATCH($K102,'سجل التحفيز'!$V$5:$V$2004,0)))</f>
        <v/>
      </c>
      <c r="M102" s="9">
        <f>IF($K102="","",INDEX('سجل التحفيز'!$B$5:$B$2004,MATCH($K102,'سجل التحفيز'!$V$5:$V$2004,0)))</f>
        <v/>
      </c>
      <c r="N102" s="9">
        <f>IF($K102="","",INDEX('سجل التحفيز'!$M$5:$M$2004,MATCH($K102,'سجل التحفيز'!$V$5:$V$2004,0)))</f>
        <v/>
      </c>
      <c r="O102" s="9">
        <f>IF($K102="","",INDEX('سجل التحفيز'!$C$5:$C$2004,MATCH($K102,'سجل التحفيز'!$V$5:$V$2004,0)))</f>
        <v/>
      </c>
      <c r="P102" s="36">
        <f>IF($K102="","",INDEX('سجل التحفيز'!$D$5:$D$2004,MATCH($K102,'سجل التحفيز'!$V$5:$V$2004,0)))</f>
        <v/>
      </c>
      <c r="Q102" s="9">
        <f>IF($K102="","",INDEX('سجل التحفيز'!$E$5:$E$2004,MATCH($K102,'سجل التحفيز'!$V$5:$V$2004,0)))</f>
        <v/>
      </c>
      <c r="R102" s="9">
        <f>IF($K102="","",INDEX('سجل التحفيز'!$F$5:$F$2004,MATCH($K102,'سجل التحفيز'!$V$5:$V$2004,0)))</f>
        <v/>
      </c>
      <c r="S102" s="35">
        <f>IF($K102="","",INDEX('سجل التحفيز'!$G$5:$G$2004,MATCH($K102,'سجل التحفيز'!$V$5:$V$2004,0)))</f>
        <v/>
      </c>
    </row>
    <row r="103">
      <c r="B103" s="34">
        <f>IFERROR(INDEX(الموظفات!$B$5:$B$304,MATCH(50,الموظفات!$P$5:$P$304,0)),"")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التحفيز'!$V$5:$V$2004,"&gt;0",'سجل التحفيز'!$B$5:$B$2004,B103))</f>
        <v/>
      </c>
      <c r="E103" s="35">
        <f>IF(B103="","",COUNTIFS('سجل التحفيز'!$V$5:$V$2004,"&gt;0",'سجل التحفيز'!$B$5:$B$2004,B103,'سجل التحفيز'!$D$5:$D$2004,"ذهبي"))</f>
        <v/>
      </c>
      <c r="F103" s="35">
        <f>IF(B103="","",SUMIFS('سجل التحفيز'!$G$5:$G$2004,'سجل التحفيز'!$V$5:$V$2004,"&gt;0",'سجل التحفيز'!$B$5:$B$2004,B103))</f>
        <v/>
      </c>
      <c r="G103" s="35">
        <f>IF(B103="","",COUNTIF($D$54:$D$203,"&gt;"&amp;D103)+1)</f>
        <v/>
      </c>
      <c r="H103" s="35">
        <f>IF(B103="","",INDEX(الموظفات!$L$5:$L$304,MATCH(B103,الموظفات!$B$5:$B$304,0)))</f>
        <v/>
      </c>
      <c r="K103" s="36">
        <f>IF(50&gt;$B$10,"",50)</f>
        <v/>
      </c>
      <c r="L103" s="37">
        <f>IF($K103="","",INDEX('سجل التحفيز'!$A$5:$A$2004,MATCH($K103,'سجل التحفيز'!$V$5:$V$2004,0)))</f>
        <v/>
      </c>
      <c r="M103" s="9">
        <f>IF($K103="","",INDEX('سجل التحفيز'!$B$5:$B$2004,MATCH($K103,'سجل التحفيز'!$V$5:$V$2004,0)))</f>
        <v/>
      </c>
      <c r="N103" s="9">
        <f>IF($K103="","",INDEX('سجل التحفيز'!$M$5:$M$2004,MATCH($K103,'سجل التحفيز'!$V$5:$V$2004,0)))</f>
        <v/>
      </c>
      <c r="O103" s="9">
        <f>IF($K103="","",INDEX('سجل التحفيز'!$C$5:$C$2004,MATCH($K103,'سجل التحفيز'!$V$5:$V$2004,0)))</f>
        <v/>
      </c>
      <c r="P103" s="36">
        <f>IF($K103="","",INDEX('سجل التحفيز'!$D$5:$D$2004,MATCH($K103,'سجل التحفيز'!$V$5:$V$2004,0)))</f>
        <v/>
      </c>
      <c r="Q103" s="9">
        <f>IF($K103="","",INDEX('سجل التحفيز'!$E$5:$E$2004,MATCH($K103,'سجل التحفيز'!$V$5:$V$2004,0)))</f>
        <v/>
      </c>
      <c r="R103" s="9">
        <f>IF($K103="","",INDEX('سجل التحفيز'!$F$5:$F$2004,MATCH($K103,'سجل التحفيز'!$V$5:$V$2004,0)))</f>
        <v/>
      </c>
      <c r="S103" s="35">
        <f>IF($K103="","",INDEX('سجل التحفيز'!$G$5:$G$2004,MATCH($K103,'سجل التحفيز'!$V$5:$V$2004,0)))</f>
        <v/>
      </c>
    </row>
    <row r="104">
      <c r="B104" s="34">
        <f>IFERROR(INDEX(الموظفات!$B$5:$B$304,MATCH(51,الموظفات!$P$5:$P$304,0)),"")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التحفيز'!$V$5:$V$2004,"&gt;0",'سجل التحفيز'!$B$5:$B$2004,B104))</f>
        <v/>
      </c>
      <c r="E104" s="35">
        <f>IF(B104="","",COUNTIFS('سجل التحفيز'!$V$5:$V$2004,"&gt;0",'سجل التحفيز'!$B$5:$B$2004,B104,'سجل التحفيز'!$D$5:$D$2004,"ذهبي"))</f>
        <v/>
      </c>
      <c r="F104" s="35">
        <f>IF(B104="","",SUMIFS('سجل التحفيز'!$G$5:$G$2004,'سجل التحفيز'!$V$5:$V$2004,"&gt;0",'سجل التحفيز'!$B$5:$B$2004,B104))</f>
        <v/>
      </c>
      <c r="G104" s="35">
        <f>IF(B104="","",COUNTIF($D$54:$D$203,"&gt;"&amp;D104)+1)</f>
        <v/>
      </c>
      <c r="H104" s="35">
        <f>IF(B104="","",INDEX(الموظفات!$L$5:$L$304,MATCH(B104,الموظفات!$B$5:$B$304,0)))</f>
        <v/>
      </c>
      <c r="K104" s="36">
        <f>IF(51&gt;$B$10,"",51)</f>
        <v/>
      </c>
      <c r="L104" s="37">
        <f>IF($K104="","",INDEX('سجل التحفيز'!$A$5:$A$2004,MATCH($K104,'سجل التحفيز'!$V$5:$V$2004,0)))</f>
        <v/>
      </c>
      <c r="M104" s="9">
        <f>IF($K104="","",INDEX('سجل التحفيز'!$B$5:$B$2004,MATCH($K104,'سجل التحفيز'!$V$5:$V$2004,0)))</f>
        <v/>
      </c>
      <c r="N104" s="9">
        <f>IF($K104="","",INDEX('سجل التحفيز'!$M$5:$M$2004,MATCH($K104,'سجل التحفيز'!$V$5:$V$2004,0)))</f>
        <v/>
      </c>
      <c r="O104" s="9">
        <f>IF($K104="","",INDEX('سجل التحفيز'!$C$5:$C$2004,MATCH($K104,'سجل التحفيز'!$V$5:$V$2004,0)))</f>
        <v/>
      </c>
      <c r="P104" s="36">
        <f>IF($K104="","",INDEX('سجل التحفيز'!$D$5:$D$2004,MATCH($K104,'سجل التحفيز'!$V$5:$V$2004,0)))</f>
        <v/>
      </c>
      <c r="Q104" s="9">
        <f>IF($K104="","",INDEX('سجل التحفيز'!$E$5:$E$2004,MATCH($K104,'سجل التحفيز'!$V$5:$V$2004,0)))</f>
        <v/>
      </c>
      <c r="R104" s="9">
        <f>IF($K104="","",INDEX('سجل التحفيز'!$F$5:$F$2004,MATCH($K104,'سجل التحفيز'!$V$5:$V$2004,0)))</f>
        <v/>
      </c>
      <c r="S104" s="35">
        <f>IF($K104="","",INDEX('سجل التحفيز'!$G$5:$G$2004,MATCH($K104,'سجل التحفيز'!$V$5:$V$2004,0)))</f>
        <v/>
      </c>
    </row>
    <row r="105">
      <c r="B105" s="34">
        <f>IFERROR(INDEX(الموظفات!$B$5:$B$304,MATCH(52,الموظفات!$P$5:$P$304,0)),"")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التحفيز'!$V$5:$V$2004,"&gt;0",'سجل التحفيز'!$B$5:$B$2004,B105))</f>
        <v/>
      </c>
      <c r="E105" s="35">
        <f>IF(B105="","",COUNTIFS('سجل التحفيز'!$V$5:$V$2004,"&gt;0",'سجل التحفيز'!$B$5:$B$2004,B105,'سجل التحفيز'!$D$5:$D$2004,"ذهبي"))</f>
        <v/>
      </c>
      <c r="F105" s="35">
        <f>IF(B105="","",SUMIFS('سجل التحفيز'!$G$5:$G$2004,'سجل التحفيز'!$V$5:$V$2004,"&gt;0",'سجل التحفيز'!$B$5:$B$2004,B105))</f>
        <v/>
      </c>
      <c r="G105" s="35">
        <f>IF(B105="","",COUNTIF($D$54:$D$203,"&gt;"&amp;D105)+1)</f>
        <v/>
      </c>
      <c r="H105" s="35">
        <f>IF(B105="","",INDEX(الموظفات!$L$5:$L$304,MATCH(B105,الموظفات!$B$5:$B$304,0)))</f>
        <v/>
      </c>
      <c r="K105" s="36">
        <f>IF(52&gt;$B$10,"",52)</f>
        <v/>
      </c>
      <c r="L105" s="37">
        <f>IF($K105="","",INDEX('سجل التحفيز'!$A$5:$A$2004,MATCH($K105,'سجل التحفيز'!$V$5:$V$2004,0)))</f>
        <v/>
      </c>
      <c r="M105" s="9">
        <f>IF($K105="","",INDEX('سجل التحفيز'!$B$5:$B$2004,MATCH($K105,'سجل التحفيز'!$V$5:$V$2004,0)))</f>
        <v/>
      </c>
      <c r="N105" s="9">
        <f>IF($K105="","",INDEX('سجل التحفيز'!$M$5:$M$2004,MATCH($K105,'سجل التحفيز'!$V$5:$V$2004,0)))</f>
        <v/>
      </c>
      <c r="O105" s="9">
        <f>IF($K105="","",INDEX('سجل التحفيز'!$C$5:$C$2004,MATCH($K105,'سجل التحفيز'!$V$5:$V$2004,0)))</f>
        <v/>
      </c>
      <c r="P105" s="36">
        <f>IF($K105="","",INDEX('سجل التحفيز'!$D$5:$D$2004,MATCH($K105,'سجل التحفيز'!$V$5:$V$2004,0)))</f>
        <v/>
      </c>
      <c r="Q105" s="9">
        <f>IF($K105="","",INDEX('سجل التحفيز'!$E$5:$E$2004,MATCH($K105,'سجل التحفيز'!$V$5:$V$2004,0)))</f>
        <v/>
      </c>
      <c r="R105" s="9">
        <f>IF($K105="","",INDEX('سجل التحفيز'!$F$5:$F$2004,MATCH($K105,'سجل التحفيز'!$V$5:$V$2004,0)))</f>
        <v/>
      </c>
      <c r="S105" s="35">
        <f>IF($K105="","",INDEX('سجل التحفيز'!$G$5:$G$2004,MATCH($K105,'سجل التحفيز'!$V$5:$V$2004,0)))</f>
        <v/>
      </c>
    </row>
    <row r="106">
      <c r="B106" s="34">
        <f>IFERROR(INDEX(الموظفات!$B$5:$B$304,MATCH(53,الموظفات!$P$5:$P$304,0)),"")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التحفيز'!$V$5:$V$2004,"&gt;0",'سجل التحفيز'!$B$5:$B$2004,B106))</f>
        <v/>
      </c>
      <c r="E106" s="35">
        <f>IF(B106="","",COUNTIFS('سجل التحفيز'!$V$5:$V$2004,"&gt;0",'سجل التحفيز'!$B$5:$B$2004,B106,'سجل التحفيز'!$D$5:$D$2004,"ذهبي"))</f>
        <v/>
      </c>
      <c r="F106" s="35">
        <f>IF(B106="","",SUMIFS('سجل التحفيز'!$G$5:$G$2004,'سجل التحفيز'!$V$5:$V$2004,"&gt;0",'سجل التحفيز'!$B$5:$B$2004,B106))</f>
        <v/>
      </c>
      <c r="G106" s="35">
        <f>IF(B106="","",COUNTIF($D$54:$D$203,"&gt;"&amp;D106)+1)</f>
        <v/>
      </c>
      <c r="H106" s="35">
        <f>IF(B106="","",INDEX(الموظفات!$L$5:$L$304,MATCH(B106,الموظفات!$B$5:$B$304,0)))</f>
        <v/>
      </c>
      <c r="K106" s="36">
        <f>IF(53&gt;$B$10,"",53)</f>
        <v/>
      </c>
      <c r="L106" s="37">
        <f>IF($K106="","",INDEX('سجل التحفيز'!$A$5:$A$2004,MATCH($K106,'سجل التحفيز'!$V$5:$V$2004,0)))</f>
        <v/>
      </c>
      <c r="M106" s="9">
        <f>IF($K106="","",INDEX('سجل التحفيز'!$B$5:$B$2004,MATCH($K106,'سجل التحفيز'!$V$5:$V$2004,0)))</f>
        <v/>
      </c>
      <c r="N106" s="9">
        <f>IF($K106="","",INDEX('سجل التحفيز'!$M$5:$M$2004,MATCH($K106,'سجل التحفيز'!$V$5:$V$2004,0)))</f>
        <v/>
      </c>
      <c r="O106" s="9">
        <f>IF($K106="","",INDEX('سجل التحفيز'!$C$5:$C$2004,MATCH($K106,'سجل التحفيز'!$V$5:$V$2004,0)))</f>
        <v/>
      </c>
      <c r="P106" s="36">
        <f>IF($K106="","",INDEX('سجل التحفيز'!$D$5:$D$2004,MATCH($K106,'سجل التحفيز'!$V$5:$V$2004,0)))</f>
        <v/>
      </c>
      <c r="Q106" s="9">
        <f>IF($K106="","",INDEX('سجل التحفيز'!$E$5:$E$2004,MATCH($K106,'سجل التحفيز'!$V$5:$V$2004,0)))</f>
        <v/>
      </c>
      <c r="R106" s="9">
        <f>IF($K106="","",INDEX('سجل التحفيز'!$F$5:$F$2004,MATCH($K106,'سجل التحفيز'!$V$5:$V$2004,0)))</f>
        <v/>
      </c>
      <c r="S106" s="35">
        <f>IF($K106="","",INDEX('سجل التحفيز'!$G$5:$G$2004,MATCH($K106,'سجل التحفيز'!$V$5:$V$2004,0)))</f>
        <v/>
      </c>
    </row>
    <row r="107">
      <c r="B107" s="34">
        <f>IFERROR(INDEX(الموظفات!$B$5:$B$304,MATCH(54,الموظفات!$P$5:$P$304,0)),"")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التحفيز'!$V$5:$V$2004,"&gt;0",'سجل التحفيز'!$B$5:$B$2004,B107))</f>
        <v/>
      </c>
      <c r="E107" s="35">
        <f>IF(B107="","",COUNTIFS('سجل التحفيز'!$V$5:$V$2004,"&gt;0",'سجل التحفيز'!$B$5:$B$2004,B107,'سجل التحفيز'!$D$5:$D$2004,"ذهبي"))</f>
        <v/>
      </c>
      <c r="F107" s="35">
        <f>IF(B107="","",SUMIFS('سجل التحفيز'!$G$5:$G$2004,'سجل التحفيز'!$V$5:$V$2004,"&gt;0",'سجل التحفيز'!$B$5:$B$2004,B107))</f>
        <v/>
      </c>
      <c r="G107" s="35">
        <f>IF(B107="","",COUNTIF($D$54:$D$203,"&gt;"&amp;D107)+1)</f>
        <v/>
      </c>
      <c r="H107" s="35">
        <f>IF(B107="","",INDEX(الموظفات!$L$5:$L$304,MATCH(B107,الموظفات!$B$5:$B$304,0)))</f>
        <v/>
      </c>
      <c r="K107" s="36">
        <f>IF(54&gt;$B$10,"",54)</f>
        <v/>
      </c>
      <c r="L107" s="37">
        <f>IF($K107="","",INDEX('سجل التحفيز'!$A$5:$A$2004,MATCH($K107,'سجل التحفيز'!$V$5:$V$2004,0)))</f>
        <v/>
      </c>
      <c r="M107" s="9">
        <f>IF($K107="","",INDEX('سجل التحفيز'!$B$5:$B$2004,MATCH($K107,'سجل التحفيز'!$V$5:$V$2004,0)))</f>
        <v/>
      </c>
      <c r="N107" s="9">
        <f>IF($K107="","",INDEX('سجل التحفيز'!$M$5:$M$2004,MATCH($K107,'سجل التحفيز'!$V$5:$V$2004,0)))</f>
        <v/>
      </c>
      <c r="O107" s="9">
        <f>IF($K107="","",INDEX('سجل التحفيز'!$C$5:$C$2004,MATCH($K107,'سجل التحفيز'!$V$5:$V$2004,0)))</f>
        <v/>
      </c>
      <c r="P107" s="36">
        <f>IF($K107="","",INDEX('سجل التحفيز'!$D$5:$D$2004,MATCH($K107,'سجل التحفيز'!$V$5:$V$2004,0)))</f>
        <v/>
      </c>
      <c r="Q107" s="9">
        <f>IF($K107="","",INDEX('سجل التحفيز'!$E$5:$E$2004,MATCH($K107,'سجل التحفيز'!$V$5:$V$2004,0)))</f>
        <v/>
      </c>
      <c r="R107" s="9">
        <f>IF($K107="","",INDEX('سجل التحفيز'!$F$5:$F$2004,MATCH($K107,'سجل التحفيز'!$V$5:$V$2004,0)))</f>
        <v/>
      </c>
      <c r="S107" s="35">
        <f>IF($K107="","",INDEX('سجل التحفيز'!$G$5:$G$2004,MATCH($K107,'سجل التحفيز'!$V$5:$V$2004,0)))</f>
        <v/>
      </c>
    </row>
    <row r="108">
      <c r="B108" s="34">
        <f>IFERROR(INDEX(الموظفات!$B$5:$B$304,MATCH(55,الموظفات!$P$5:$P$304,0)),"")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التحفيز'!$V$5:$V$2004,"&gt;0",'سجل التحفيز'!$B$5:$B$2004,B108))</f>
        <v/>
      </c>
      <c r="E108" s="35">
        <f>IF(B108="","",COUNTIFS('سجل التحفيز'!$V$5:$V$2004,"&gt;0",'سجل التحفيز'!$B$5:$B$2004,B108,'سجل التحفيز'!$D$5:$D$2004,"ذهبي"))</f>
        <v/>
      </c>
      <c r="F108" s="35">
        <f>IF(B108="","",SUMIFS('سجل التحفيز'!$G$5:$G$2004,'سجل التحفيز'!$V$5:$V$2004,"&gt;0",'سجل التحفيز'!$B$5:$B$2004,B108))</f>
        <v/>
      </c>
      <c r="G108" s="35">
        <f>IF(B108="","",COUNTIF($D$54:$D$203,"&gt;"&amp;D108)+1)</f>
        <v/>
      </c>
      <c r="H108" s="35">
        <f>IF(B108="","",INDEX(الموظفات!$L$5:$L$304,MATCH(B108,الموظفات!$B$5:$B$304,0)))</f>
        <v/>
      </c>
      <c r="K108" s="36">
        <f>IF(55&gt;$B$10,"",55)</f>
        <v/>
      </c>
      <c r="L108" s="37">
        <f>IF($K108="","",INDEX('سجل التحفيز'!$A$5:$A$2004,MATCH($K108,'سجل التحفيز'!$V$5:$V$2004,0)))</f>
        <v/>
      </c>
      <c r="M108" s="9">
        <f>IF($K108="","",INDEX('سجل التحفيز'!$B$5:$B$2004,MATCH($K108,'سجل التحفيز'!$V$5:$V$2004,0)))</f>
        <v/>
      </c>
      <c r="N108" s="9">
        <f>IF($K108="","",INDEX('سجل التحفيز'!$M$5:$M$2004,MATCH($K108,'سجل التحفيز'!$V$5:$V$2004,0)))</f>
        <v/>
      </c>
      <c r="O108" s="9">
        <f>IF($K108="","",INDEX('سجل التحفيز'!$C$5:$C$2004,MATCH($K108,'سجل التحفيز'!$V$5:$V$2004,0)))</f>
        <v/>
      </c>
      <c r="P108" s="36">
        <f>IF($K108="","",INDEX('سجل التحفيز'!$D$5:$D$2004,MATCH($K108,'سجل التحفيز'!$V$5:$V$2004,0)))</f>
        <v/>
      </c>
      <c r="Q108" s="9">
        <f>IF($K108="","",INDEX('سجل التحفيز'!$E$5:$E$2004,MATCH($K108,'سجل التحفيز'!$V$5:$V$2004,0)))</f>
        <v/>
      </c>
      <c r="R108" s="9">
        <f>IF($K108="","",INDEX('سجل التحفيز'!$F$5:$F$2004,MATCH($K108,'سجل التحفيز'!$V$5:$V$2004,0)))</f>
        <v/>
      </c>
      <c r="S108" s="35">
        <f>IF($K108="","",INDEX('سجل التحفيز'!$G$5:$G$2004,MATCH($K108,'سجل التحفيز'!$V$5:$V$2004,0)))</f>
        <v/>
      </c>
    </row>
    <row r="109">
      <c r="B109" s="34">
        <f>IFERROR(INDEX(الموظفات!$B$5:$B$304,MATCH(56,الموظفات!$P$5:$P$304,0)),"")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التحفيز'!$V$5:$V$2004,"&gt;0",'سجل التحفيز'!$B$5:$B$2004,B109))</f>
        <v/>
      </c>
      <c r="E109" s="35">
        <f>IF(B109="","",COUNTIFS('سجل التحفيز'!$V$5:$V$2004,"&gt;0",'سجل التحفيز'!$B$5:$B$2004,B109,'سجل التحفيز'!$D$5:$D$2004,"ذهبي"))</f>
        <v/>
      </c>
      <c r="F109" s="35">
        <f>IF(B109="","",SUMIFS('سجل التحفيز'!$G$5:$G$2004,'سجل التحفيز'!$V$5:$V$2004,"&gt;0",'سجل التحفيز'!$B$5:$B$2004,B109))</f>
        <v/>
      </c>
      <c r="G109" s="35">
        <f>IF(B109="","",COUNTIF($D$54:$D$203,"&gt;"&amp;D109)+1)</f>
        <v/>
      </c>
      <c r="H109" s="35">
        <f>IF(B109="","",INDEX(الموظفات!$L$5:$L$304,MATCH(B109,الموظفات!$B$5:$B$304,0)))</f>
        <v/>
      </c>
      <c r="K109" s="36">
        <f>IF(56&gt;$B$10,"",56)</f>
        <v/>
      </c>
      <c r="L109" s="37">
        <f>IF($K109="","",INDEX('سجل التحفيز'!$A$5:$A$2004,MATCH($K109,'سجل التحفيز'!$V$5:$V$2004,0)))</f>
        <v/>
      </c>
      <c r="M109" s="9">
        <f>IF($K109="","",INDEX('سجل التحفيز'!$B$5:$B$2004,MATCH($K109,'سجل التحفيز'!$V$5:$V$2004,0)))</f>
        <v/>
      </c>
      <c r="N109" s="9">
        <f>IF($K109="","",INDEX('سجل التحفيز'!$M$5:$M$2004,MATCH($K109,'سجل التحفيز'!$V$5:$V$2004,0)))</f>
        <v/>
      </c>
      <c r="O109" s="9">
        <f>IF($K109="","",INDEX('سجل التحفيز'!$C$5:$C$2004,MATCH($K109,'سجل التحفيز'!$V$5:$V$2004,0)))</f>
        <v/>
      </c>
      <c r="P109" s="36">
        <f>IF($K109="","",INDEX('سجل التحفيز'!$D$5:$D$2004,MATCH($K109,'سجل التحفيز'!$V$5:$V$2004,0)))</f>
        <v/>
      </c>
      <c r="Q109" s="9">
        <f>IF($K109="","",INDEX('سجل التحفيز'!$E$5:$E$2004,MATCH($K109,'سجل التحفيز'!$V$5:$V$2004,0)))</f>
        <v/>
      </c>
      <c r="R109" s="9">
        <f>IF($K109="","",INDEX('سجل التحفيز'!$F$5:$F$2004,MATCH($K109,'سجل التحفيز'!$V$5:$V$2004,0)))</f>
        <v/>
      </c>
      <c r="S109" s="35">
        <f>IF($K109="","",INDEX('سجل التحفيز'!$G$5:$G$2004,MATCH($K109,'سجل التحفيز'!$V$5:$V$2004,0)))</f>
        <v/>
      </c>
    </row>
    <row r="110">
      <c r="B110" s="34">
        <f>IFERROR(INDEX(الموظفات!$B$5:$B$304,MATCH(57,الموظفات!$P$5:$P$304,0)),"")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التحفيز'!$V$5:$V$2004,"&gt;0",'سجل التحفيز'!$B$5:$B$2004,B110))</f>
        <v/>
      </c>
      <c r="E110" s="35">
        <f>IF(B110="","",COUNTIFS('سجل التحفيز'!$V$5:$V$2004,"&gt;0",'سجل التحفيز'!$B$5:$B$2004,B110,'سجل التحفيز'!$D$5:$D$2004,"ذهبي"))</f>
        <v/>
      </c>
      <c r="F110" s="35">
        <f>IF(B110="","",SUMIFS('سجل التحفيز'!$G$5:$G$2004,'سجل التحفيز'!$V$5:$V$2004,"&gt;0",'سجل التحفيز'!$B$5:$B$2004,B110))</f>
        <v/>
      </c>
      <c r="G110" s="35">
        <f>IF(B110="","",COUNTIF($D$54:$D$203,"&gt;"&amp;D110)+1)</f>
        <v/>
      </c>
      <c r="H110" s="35">
        <f>IF(B110="","",INDEX(الموظفات!$L$5:$L$304,MATCH(B110,الموظفات!$B$5:$B$304,0)))</f>
        <v/>
      </c>
      <c r="K110" s="36">
        <f>IF(57&gt;$B$10,"",57)</f>
        <v/>
      </c>
      <c r="L110" s="37">
        <f>IF($K110="","",INDEX('سجل التحفيز'!$A$5:$A$2004,MATCH($K110,'سجل التحفيز'!$V$5:$V$2004,0)))</f>
        <v/>
      </c>
      <c r="M110" s="9">
        <f>IF($K110="","",INDEX('سجل التحفيز'!$B$5:$B$2004,MATCH($K110,'سجل التحفيز'!$V$5:$V$2004,0)))</f>
        <v/>
      </c>
      <c r="N110" s="9">
        <f>IF($K110="","",INDEX('سجل التحفيز'!$M$5:$M$2004,MATCH($K110,'سجل التحفيز'!$V$5:$V$2004,0)))</f>
        <v/>
      </c>
      <c r="O110" s="9">
        <f>IF($K110="","",INDEX('سجل التحفيز'!$C$5:$C$2004,MATCH($K110,'سجل التحفيز'!$V$5:$V$2004,0)))</f>
        <v/>
      </c>
      <c r="P110" s="36">
        <f>IF($K110="","",INDEX('سجل التحفيز'!$D$5:$D$2004,MATCH($K110,'سجل التحفيز'!$V$5:$V$2004,0)))</f>
        <v/>
      </c>
      <c r="Q110" s="9">
        <f>IF($K110="","",INDEX('سجل التحفيز'!$E$5:$E$2004,MATCH($K110,'سجل التحفيز'!$V$5:$V$2004,0)))</f>
        <v/>
      </c>
      <c r="R110" s="9">
        <f>IF($K110="","",INDEX('سجل التحفيز'!$F$5:$F$2004,MATCH($K110,'سجل التحفيز'!$V$5:$V$2004,0)))</f>
        <v/>
      </c>
      <c r="S110" s="35">
        <f>IF($K110="","",INDEX('سجل التحفيز'!$G$5:$G$2004,MATCH($K110,'سجل التحفيز'!$V$5:$V$2004,0)))</f>
        <v/>
      </c>
    </row>
    <row r="111">
      <c r="B111" s="34">
        <f>IFERROR(INDEX(الموظفات!$B$5:$B$304,MATCH(58,الموظفات!$P$5:$P$304,0)),"")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التحفيز'!$V$5:$V$2004,"&gt;0",'سجل التحفيز'!$B$5:$B$2004,B111))</f>
        <v/>
      </c>
      <c r="E111" s="35">
        <f>IF(B111="","",COUNTIFS('سجل التحفيز'!$V$5:$V$2004,"&gt;0",'سجل التحفيز'!$B$5:$B$2004,B111,'سجل التحفيز'!$D$5:$D$2004,"ذهبي"))</f>
        <v/>
      </c>
      <c r="F111" s="35">
        <f>IF(B111="","",SUMIFS('سجل التحفيز'!$G$5:$G$2004,'سجل التحفيز'!$V$5:$V$2004,"&gt;0",'سجل التحفيز'!$B$5:$B$2004,B111))</f>
        <v/>
      </c>
      <c r="G111" s="35">
        <f>IF(B111="","",COUNTIF($D$54:$D$203,"&gt;"&amp;D111)+1)</f>
        <v/>
      </c>
      <c r="H111" s="35">
        <f>IF(B111="","",INDEX(الموظفات!$L$5:$L$304,MATCH(B111,الموظفات!$B$5:$B$304,0)))</f>
        <v/>
      </c>
      <c r="K111" s="36">
        <f>IF(58&gt;$B$10,"",58)</f>
        <v/>
      </c>
      <c r="L111" s="37">
        <f>IF($K111="","",INDEX('سجل التحفيز'!$A$5:$A$2004,MATCH($K111,'سجل التحفيز'!$V$5:$V$2004,0)))</f>
        <v/>
      </c>
      <c r="M111" s="9">
        <f>IF($K111="","",INDEX('سجل التحفيز'!$B$5:$B$2004,MATCH($K111,'سجل التحفيز'!$V$5:$V$2004,0)))</f>
        <v/>
      </c>
      <c r="N111" s="9">
        <f>IF($K111="","",INDEX('سجل التحفيز'!$M$5:$M$2004,MATCH($K111,'سجل التحفيز'!$V$5:$V$2004,0)))</f>
        <v/>
      </c>
      <c r="O111" s="9">
        <f>IF($K111="","",INDEX('سجل التحفيز'!$C$5:$C$2004,MATCH($K111,'سجل التحفيز'!$V$5:$V$2004,0)))</f>
        <v/>
      </c>
      <c r="P111" s="36">
        <f>IF($K111="","",INDEX('سجل التحفيز'!$D$5:$D$2004,MATCH($K111,'سجل التحفيز'!$V$5:$V$2004,0)))</f>
        <v/>
      </c>
      <c r="Q111" s="9">
        <f>IF($K111="","",INDEX('سجل التحفيز'!$E$5:$E$2004,MATCH($K111,'سجل التحفيز'!$V$5:$V$2004,0)))</f>
        <v/>
      </c>
      <c r="R111" s="9">
        <f>IF($K111="","",INDEX('سجل التحفيز'!$F$5:$F$2004,MATCH($K111,'سجل التحفيز'!$V$5:$V$2004,0)))</f>
        <v/>
      </c>
      <c r="S111" s="35">
        <f>IF($K111="","",INDEX('سجل التحفيز'!$G$5:$G$2004,MATCH($K111,'سجل التحفيز'!$V$5:$V$2004,0)))</f>
        <v/>
      </c>
    </row>
    <row r="112">
      <c r="B112" s="34">
        <f>IFERROR(INDEX(الموظفات!$B$5:$B$304,MATCH(59,الموظفات!$P$5:$P$304,0)),"")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التحفيز'!$V$5:$V$2004,"&gt;0",'سجل التحفيز'!$B$5:$B$2004,B112))</f>
        <v/>
      </c>
      <c r="E112" s="35">
        <f>IF(B112="","",COUNTIFS('سجل التحفيز'!$V$5:$V$2004,"&gt;0",'سجل التحفيز'!$B$5:$B$2004,B112,'سجل التحفيز'!$D$5:$D$2004,"ذهبي"))</f>
        <v/>
      </c>
      <c r="F112" s="35">
        <f>IF(B112="","",SUMIFS('سجل التحفيز'!$G$5:$G$2004,'سجل التحفيز'!$V$5:$V$2004,"&gt;0",'سجل التحفيز'!$B$5:$B$2004,B112))</f>
        <v/>
      </c>
      <c r="G112" s="35">
        <f>IF(B112="","",COUNTIF($D$54:$D$203,"&gt;"&amp;D112)+1)</f>
        <v/>
      </c>
      <c r="H112" s="35">
        <f>IF(B112="","",INDEX(الموظفات!$L$5:$L$304,MATCH(B112,الموظفات!$B$5:$B$304,0)))</f>
        <v/>
      </c>
      <c r="K112" s="36">
        <f>IF(59&gt;$B$10,"",59)</f>
        <v/>
      </c>
      <c r="L112" s="37">
        <f>IF($K112="","",INDEX('سجل التحفيز'!$A$5:$A$2004,MATCH($K112,'سجل التحفيز'!$V$5:$V$2004,0)))</f>
        <v/>
      </c>
      <c r="M112" s="9">
        <f>IF($K112="","",INDEX('سجل التحفيز'!$B$5:$B$2004,MATCH($K112,'سجل التحفيز'!$V$5:$V$2004,0)))</f>
        <v/>
      </c>
      <c r="N112" s="9">
        <f>IF($K112="","",INDEX('سجل التحفيز'!$M$5:$M$2004,MATCH($K112,'سجل التحفيز'!$V$5:$V$2004,0)))</f>
        <v/>
      </c>
      <c r="O112" s="9">
        <f>IF($K112="","",INDEX('سجل التحفيز'!$C$5:$C$2004,MATCH($K112,'سجل التحفيز'!$V$5:$V$2004,0)))</f>
        <v/>
      </c>
      <c r="P112" s="36">
        <f>IF($K112="","",INDEX('سجل التحفيز'!$D$5:$D$2004,MATCH($K112,'سجل التحفيز'!$V$5:$V$2004,0)))</f>
        <v/>
      </c>
      <c r="Q112" s="9">
        <f>IF($K112="","",INDEX('سجل التحفيز'!$E$5:$E$2004,MATCH($K112,'سجل التحفيز'!$V$5:$V$2004,0)))</f>
        <v/>
      </c>
      <c r="R112" s="9">
        <f>IF($K112="","",INDEX('سجل التحفيز'!$F$5:$F$2004,MATCH($K112,'سجل التحفيز'!$V$5:$V$2004,0)))</f>
        <v/>
      </c>
      <c r="S112" s="35">
        <f>IF($K112="","",INDEX('سجل التحفيز'!$G$5:$G$2004,MATCH($K112,'سجل التحفيز'!$V$5:$V$2004,0)))</f>
        <v/>
      </c>
    </row>
    <row r="113">
      <c r="B113" s="34">
        <f>IFERROR(INDEX(الموظفات!$B$5:$B$304,MATCH(60,الموظفات!$P$5:$P$304,0)),"")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التحفيز'!$V$5:$V$2004,"&gt;0",'سجل التحفيز'!$B$5:$B$2004,B113))</f>
        <v/>
      </c>
      <c r="E113" s="35">
        <f>IF(B113="","",COUNTIFS('سجل التحفيز'!$V$5:$V$2004,"&gt;0",'سجل التحفيز'!$B$5:$B$2004,B113,'سجل التحفيز'!$D$5:$D$2004,"ذهبي"))</f>
        <v/>
      </c>
      <c r="F113" s="35">
        <f>IF(B113="","",SUMIFS('سجل التحفيز'!$G$5:$G$2004,'سجل التحفيز'!$V$5:$V$2004,"&gt;0",'سجل التحفيز'!$B$5:$B$2004,B113))</f>
        <v/>
      </c>
      <c r="G113" s="35">
        <f>IF(B113="","",COUNTIF($D$54:$D$203,"&gt;"&amp;D113)+1)</f>
        <v/>
      </c>
      <c r="H113" s="35">
        <f>IF(B113="","",INDEX(الموظفات!$L$5:$L$304,MATCH(B113,الموظفات!$B$5:$B$304,0)))</f>
        <v/>
      </c>
      <c r="K113" s="36">
        <f>IF(60&gt;$B$10,"",60)</f>
        <v/>
      </c>
      <c r="L113" s="37">
        <f>IF($K113="","",INDEX('سجل التحفيز'!$A$5:$A$2004,MATCH($K113,'سجل التحفيز'!$V$5:$V$2004,0)))</f>
        <v/>
      </c>
      <c r="M113" s="9">
        <f>IF($K113="","",INDEX('سجل التحفيز'!$B$5:$B$2004,MATCH($K113,'سجل التحفيز'!$V$5:$V$2004,0)))</f>
        <v/>
      </c>
      <c r="N113" s="9">
        <f>IF($K113="","",INDEX('سجل التحفيز'!$M$5:$M$2004,MATCH($K113,'سجل التحفيز'!$V$5:$V$2004,0)))</f>
        <v/>
      </c>
      <c r="O113" s="9">
        <f>IF($K113="","",INDEX('سجل التحفيز'!$C$5:$C$2004,MATCH($K113,'سجل التحفيز'!$V$5:$V$2004,0)))</f>
        <v/>
      </c>
      <c r="P113" s="36">
        <f>IF($K113="","",INDEX('سجل التحفيز'!$D$5:$D$2004,MATCH($K113,'سجل التحفيز'!$V$5:$V$2004,0)))</f>
        <v/>
      </c>
      <c r="Q113" s="9">
        <f>IF($K113="","",INDEX('سجل التحفيز'!$E$5:$E$2004,MATCH($K113,'سجل التحفيز'!$V$5:$V$2004,0)))</f>
        <v/>
      </c>
      <c r="R113" s="9">
        <f>IF($K113="","",INDEX('سجل التحفيز'!$F$5:$F$2004,MATCH($K113,'سجل التحفيز'!$V$5:$V$2004,0)))</f>
        <v/>
      </c>
      <c r="S113" s="35">
        <f>IF($K113="","",INDEX('سجل التحفيز'!$G$5:$G$2004,MATCH($K113,'سجل التحفيز'!$V$5:$V$2004,0)))</f>
        <v/>
      </c>
    </row>
    <row r="114">
      <c r="B114" s="34">
        <f>IFERROR(INDEX(الموظفات!$B$5:$B$304,MATCH(61,الموظفات!$P$5:$P$304,0)),"")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التحفيز'!$V$5:$V$2004,"&gt;0",'سجل التحفيز'!$B$5:$B$2004,B114))</f>
        <v/>
      </c>
      <c r="E114" s="35">
        <f>IF(B114="","",COUNTIFS('سجل التحفيز'!$V$5:$V$2004,"&gt;0",'سجل التحفيز'!$B$5:$B$2004,B114,'سجل التحفيز'!$D$5:$D$2004,"ذهبي"))</f>
        <v/>
      </c>
      <c r="F114" s="35">
        <f>IF(B114="","",SUMIFS('سجل التحفيز'!$G$5:$G$2004,'سجل التحفيز'!$V$5:$V$2004,"&gt;0",'سجل التحفيز'!$B$5:$B$2004,B114))</f>
        <v/>
      </c>
      <c r="G114" s="35">
        <f>IF(B114="","",COUNTIF($D$54:$D$203,"&gt;"&amp;D114)+1)</f>
        <v/>
      </c>
      <c r="H114" s="35">
        <f>IF(B114="","",INDEX(الموظفات!$L$5:$L$304,MATCH(B114,الموظفات!$B$5:$B$304,0)))</f>
        <v/>
      </c>
      <c r="K114" s="36">
        <f>IF(61&gt;$B$10,"",61)</f>
        <v/>
      </c>
      <c r="L114" s="37">
        <f>IF($K114="","",INDEX('سجل التحفيز'!$A$5:$A$2004,MATCH($K114,'سجل التحفيز'!$V$5:$V$2004,0)))</f>
        <v/>
      </c>
      <c r="M114" s="9">
        <f>IF($K114="","",INDEX('سجل التحفيز'!$B$5:$B$2004,MATCH($K114,'سجل التحفيز'!$V$5:$V$2004,0)))</f>
        <v/>
      </c>
      <c r="N114" s="9">
        <f>IF($K114="","",INDEX('سجل التحفيز'!$M$5:$M$2004,MATCH($K114,'سجل التحفيز'!$V$5:$V$2004,0)))</f>
        <v/>
      </c>
      <c r="O114" s="9">
        <f>IF($K114="","",INDEX('سجل التحفيز'!$C$5:$C$2004,MATCH($K114,'سجل التحفيز'!$V$5:$V$2004,0)))</f>
        <v/>
      </c>
      <c r="P114" s="36">
        <f>IF($K114="","",INDEX('سجل التحفيز'!$D$5:$D$2004,MATCH($K114,'سجل التحفيز'!$V$5:$V$2004,0)))</f>
        <v/>
      </c>
      <c r="Q114" s="9">
        <f>IF($K114="","",INDEX('سجل التحفيز'!$E$5:$E$2004,MATCH($K114,'سجل التحفيز'!$V$5:$V$2004,0)))</f>
        <v/>
      </c>
      <c r="R114" s="9">
        <f>IF($K114="","",INDEX('سجل التحفيز'!$F$5:$F$2004,MATCH($K114,'سجل التحفيز'!$V$5:$V$2004,0)))</f>
        <v/>
      </c>
      <c r="S114" s="35">
        <f>IF($K114="","",INDEX('سجل التحفيز'!$G$5:$G$2004,MATCH($K114,'سجل التحفيز'!$V$5:$V$2004,0)))</f>
        <v/>
      </c>
    </row>
    <row r="115">
      <c r="B115" s="34">
        <f>IFERROR(INDEX(الموظفات!$B$5:$B$304,MATCH(62,الموظفات!$P$5:$P$304,0)),"")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التحفيز'!$V$5:$V$2004,"&gt;0",'سجل التحفيز'!$B$5:$B$2004,B115))</f>
        <v/>
      </c>
      <c r="E115" s="35">
        <f>IF(B115="","",COUNTIFS('سجل التحفيز'!$V$5:$V$2004,"&gt;0",'سجل التحفيز'!$B$5:$B$2004,B115,'سجل التحفيز'!$D$5:$D$2004,"ذهبي"))</f>
        <v/>
      </c>
      <c r="F115" s="35">
        <f>IF(B115="","",SUMIFS('سجل التحفيز'!$G$5:$G$2004,'سجل التحفيز'!$V$5:$V$2004,"&gt;0",'سجل التحفيز'!$B$5:$B$2004,B115))</f>
        <v/>
      </c>
      <c r="G115" s="35">
        <f>IF(B115="","",COUNTIF($D$54:$D$203,"&gt;"&amp;D115)+1)</f>
        <v/>
      </c>
      <c r="H115" s="35">
        <f>IF(B115="","",INDEX(الموظفات!$L$5:$L$304,MATCH(B115,الموظفات!$B$5:$B$304,0)))</f>
        <v/>
      </c>
      <c r="K115" s="36">
        <f>IF(62&gt;$B$10,"",62)</f>
        <v/>
      </c>
      <c r="L115" s="37">
        <f>IF($K115="","",INDEX('سجل التحفيز'!$A$5:$A$2004,MATCH($K115,'سجل التحفيز'!$V$5:$V$2004,0)))</f>
        <v/>
      </c>
      <c r="M115" s="9">
        <f>IF($K115="","",INDEX('سجل التحفيز'!$B$5:$B$2004,MATCH($K115,'سجل التحفيز'!$V$5:$V$2004,0)))</f>
        <v/>
      </c>
      <c r="N115" s="9">
        <f>IF($K115="","",INDEX('سجل التحفيز'!$M$5:$M$2004,MATCH($K115,'سجل التحفيز'!$V$5:$V$2004,0)))</f>
        <v/>
      </c>
      <c r="O115" s="9">
        <f>IF($K115="","",INDEX('سجل التحفيز'!$C$5:$C$2004,MATCH($K115,'سجل التحفيز'!$V$5:$V$2004,0)))</f>
        <v/>
      </c>
      <c r="P115" s="36">
        <f>IF($K115="","",INDEX('سجل التحفيز'!$D$5:$D$2004,MATCH($K115,'سجل التحفيز'!$V$5:$V$2004,0)))</f>
        <v/>
      </c>
      <c r="Q115" s="9">
        <f>IF($K115="","",INDEX('سجل التحفيز'!$E$5:$E$2004,MATCH($K115,'سجل التحفيز'!$V$5:$V$2004,0)))</f>
        <v/>
      </c>
      <c r="R115" s="9">
        <f>IF($K115="","",INDEX('سجل التحفيز'!$F$5:$F$2004,MATCH($K115,'سجل التحفيز'!$V$5:$V$2004,0)))</f>
        <v/>
      </c>
      <c r="S115" s="35">
        <f>IF($K115="","",INDEX('سجل التحفيز'!$G$5:$G$2004,MATCH($K115,'سجل التحفيز'!$V$5:$V$2004,0)))</f>
        <v/>
      </c>
    </row>
    <row r="116">
      <c r="B116" s="34">
        <f>IFERROR(INDEX(الموظفات!$B$5:$B$304,MATCH(63,الموظفات!$P$5:$P$304,0)),"")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التحفيز'!$V$5:$V$2004,"&gt;0",'سجل التحفيز'!$B$5:$B$2004,B116))</f>
        <v/>
      </c>
      <c r="E116" s="35">
        <f>IF(B116="","",COUNTIFS('سجل التحفيز'!$V$5:$V$2004,"&gt;0",'سجل التحفيز'!$B$5:$B$2004,B116,'سجل التحفيز'!$D$5:$D$2004,"ذهبي"))</f>
        <v/>
      </c>
      <c r="F116" s="35">
        <f>IF(B116="","",SUMIFS('سجل التحفيز'!$G$5:$G$2004,'سجل التحفيز'!$V$5:$V$2004,"&gt;0",'سجل التحفيز'!$B$5:$B$2004,B116))</f>
        <v/>
      </c>
      <c r="G116" s="35">
        <f>IF(B116="","",COUNTIF($D$54:$D$203,"&gt;"&amp;D116)+1)</f>
        <v/>
      </c>
      <c r="H116" s="35">
        <f>IF(B116="","",INDEX(الموظفات!$L$5:$L$304,MATCH(B116,الموظفات!$B$5:$B$304,0)))</f>
        <v/>
      </c>
      <c r="K116" s="36">
        <f>IF(63&gt;$B$10,"",63)</f>
        <v/>
      </c>
      <c r="L116" s="37">
        <f>IF($K116="","",INDEX('سجل التحفيز'!$A$5:$A$2004,MATCH($K116,'سجل التحفيز'!$V$5:$V$2004,0)))</f>
        <v/>
      </c>
      <c r="M116" s="9">
        <f>IF($K116="","",INDEX('سجل التحفيز'!$B$5:$B$2004,MATCH($K116,'سجل التحفيز'!$V$5:$V$2004,0)))</f>
        <v/>
      </c>
      <c r="N116" s="9">
        <f>IF($K116="","",INDEX('سجل التحفيز'!$M$5:$M$2004,MATCH($K116,'سجل التحفيز'!$V$5:$V$2004,0)))</f>
        <v/>
      </c>
      <c r="O116" s="9">
        <f>IF($K116="","",INDEX('سجل التحفيز'!$C$5:$C$2004,MATCH($K116,'سجل التحفيز'!$V$5:$V$2004,0)))</f>
        <v/>
      </c>
      <c r="P116" s="36">
        <f>IF($K116="","",INDEX('سجل التحفيز'!$D$5:$D$2004,MATCH($K116,'سجل التحفيز'!$V$5:$V$2004,0)))</f>
        <v/>
      </c>
      <c r="Q116" s="9">
        <f>IF($K116="","",INDEX('سجل التحفيز'!$E$5:$E$2004,MATCH($K116,'سجل التحفيز'!$V$5:$V$2004,0)))</f>
        <v/>
      </c>
      <c r="R116" s="9">
        <f>IF($K116="","",INDEX('سجل التحفيز'!$F$5:$F$2004,MATCH($K116,'سجل التحفيز'!$V$5:$V$2004,0)))</f>
        <v/>
      </c>
      <c r="S116" s="35">
        <f>IF($K116="","",INDEX('سجل التحفيز'!$G$5:$G$2004,MATCH($K116,'سجل التحفيز'!$V$5:$V$2004,0)))</f>
        <v/>
      </c>
    </row>
    <row r="117">
      <c r="B117" s="34">
        <f>IFERROR(INDEX(الموظفات!$B$5:$B$304,MATCH(64,الموظفات!$P$5:$P$304,0)),"")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التحفيز'!$V$5:$V$2004,"&gt;0",'سجل التحفيز'!$B$5:$B$2004,B117))</f>
        <v/>
      </c>
      <c r="E117" s="35">
        <f>IF(B117="","",COUNTIFS('سجل التحفيز'!$V$5:$V$2004,"&gt;0",'سجل التحفيز'!$B$5:$B$2004,B117,'سجل التحفيز'!$D$5:$D$2004,"ذهبي"))</f>
        <v/>
      </c>
      <c r="F117" s="35">
        <f>IF(B117="","",SUMIFS('سجل التحفيز'!$G$5:$G$2004,'سجل التحفيز'!$V$5:$V$2004,"&gt;0",'سجل التحفيز'!$B$5:$B$2004,B117))</f>
        <v/>
      </c>
      <c r="G117" s="35">
        <f>IF(B117="","",COUNTIF($D$54:$D$203,"&gt;"&amp;D117)+1)</f>
        <v/>
      </c>
      <c r="H117" s="35">
        <f>IF(B117="","",INDEX(الموظفات!$L$5:$L$304,MATCH(B117,الموظفات!$B$5:$B$304,0)))</f>
        <v/>
      </c>
      <c r="K117" s="36">
        <f>IF(64&gt;$B$10,"",64)</f>
        <v/>
      </c>
      <c r="L117" s="37">
        <f>IF($K117="","",INDEX('سجل التحفيز'!$A$5:$A$2004,MATCH($K117,'سجل التحفيز'!$V$5:$V$2004,0)))</f>
        <v/>
      </c>
      <c r="M117" s="9">
        <f>IF($K117="","",INDEX('سجل التحفيز'!$B$5:$B$2004,MATCH($K117,'سجل التحفيز'!$V$5:$V$2004,0)))</f>
        <v/>
      </c>
      <c r="N117" s="9">
        <f>IF($K117="","",INDEX('سجل التحفيز'!$M$5:$M$2004,MATCH($K117,'سجل التحفيز'!$V$5:$V$2004,0)))</f>
        <v/>
      </c>
      <c r="O117" s="9">
        <f>IF($K117="","",INDEX('سجل التحفيز'!$C$5:$C$2004,MATCH($K117,'سجل التحفيز'!$V$5:$V$2004,0)))</f>
        <v/>
      </c>
      <c r="P117" s="36">
        <f>IF($K117="","",INDEX('سجل التحفيز'!$D$5:$D$2004,MATCH($K117,'سجل التحفيز'!$V$5:$V$2004,0)))</f>
        <v/>
      </c>
      <c r="Q117" s="9">
        <f>IF($K117="","",INDEX('سجل التحفيز'!$E$5:$E$2004,MATCH($K117,'سجل التحفيز'!$V$5:$V$2004,0)))</f>
        <v/>
      </c>
      <c r="R117" s="9">
        <f>IF($K117="","",INDEX('سجل التحفيز'!$F$5:$F$2004,MATCH($K117,'سجل التحفيز'!$V$5:$V$2004,0)))</f>
        <v/>
      </c>
      <c r="S117" s="35">
        <f>IF($K117="","",INDEX('سجل التحفيز'!$G$5:$G$2004,MATCH($K117,'سجل التحفيز'!$V$5:$V$2004,0)))</f>
        <v/>
      </c>
    </row>
    <row r="118">
      <c r="B118" s="34">
        <f>IFERROR(INDEX(الموظفات!$B$5:$B$304,MATCH(65,الموظفات!$P$5:$P$304,0)),"")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التحفيز'!$V$5:$V$2004,"&gt;0",'سجل التحفيز'!$B$5:$B$2004,B118))</f>
        <v/>
      </c>
      <c r="E118" s="35">
        <f>IF(B118="","",COUNTIFS('سجل التحفيز'!$V$5:$V$2004,"&gt;0",'سجل التحفيز'!$B$5:$B$2004,B118,'سجل التحفيز'!$D$5:$D$2004,"ذهبي"))</f>
        <v/>
      </c>
      <c r="F118" s="35">
        <f>IF(B118="","",SUMIFS('سجل التحفيز'!$G$5:$G$2004,'سجل التحفيز'!$V$5:$V$2004,"&gt;0",'سجل التحفيز'!$B$5:$B$2004,B118))</f>
        <v/>
      </c>
      <c r="G118" s="35">
        <f>IF(B118="","",COUNTIF($D$54:$D$203,"&gt;"&amp;D118)+1)</f>
        <v/>
      </c>
      <c r="H118" s="35">
        <f>IF(B118="","",INDEX(الموظفات!$L$5:$L$304,MATCH(B118,الموظفات!$B$5:$B$304,0)))</f>
        <v/>
      </c>
      <c r="K118" s="36">
        <f>IF(65&gt;$B$10,"",65)</f>
        <v/>
      </c>
      <c r="L118" s="37">
        <f>IF($K118="","",INDEX('سجل التحفيز'!$A$5:$A$2004,MATCH($K118,'سجل التحفيز'!$V$5:$V$2004,0)))</f>
        <v/>
      </c>
      <c r="M118" s="9">
        <f>IF($K118="","",INDEX('سجل التحفيز'!$B$5:$B$2004,MATCH($K118,'سجل التحفيز'!$V$5:$V$2004,0)))</f>
        <v/>
      </c>
      <c r="N118" s="9">
        <f>IF($K118="","",INDEX('سجل التحفيز'!$M$5:$M$2004,MATCH($K118,'سجل التحفيز'!$V$5:$V$2004,0)))</f>
        <v/>
      </c>
      <c r="O118" s="9">
        <f>IF($K118="","",INDEX('سجل التحفيز'!$C$5:$C$2004,MATCH($K118,'سجل التحفيز'!$V$5:$V$2004,0)))</f>
        <v/>
      </c>
      <c r="P118" s="36">
        <f>IF($K118="","",INDEX('سجل التحفيز'!$D$5:$D$2004,MATCH($K118,'سجل التحفيز'!$V$5:$V$2004,0)))</f>
        <v/>
      </c>
      <c r="Q118" s="9">
        <f>IF($K118="","",INDEX('سجل التحفيز'!$E$5:$E$2004,MATCH($K118,'سجل التحفيز'!$V$5:$V$2004,0)))</f>
        <v/>
      </c>
      <c r="R118" s="9">
        <f>IF($K118="","",INDEX('سجل التحفيز'!$F$5:$F$2004,MATCH($K118,'سجل التحفيز'!$V$5:$V$2004,0)))</f>
        <v/>
      </c>
      <c r="S118" s="35">
        <f>IF($K118="","",INDEX('سجل التحفيز'!$G$5:$G$2004,MATCH($K118,'سجل التحفيز'!$V$5:$V$2004,0)))</f>
        <v/>
      </c>
    </row>
    <row r="119">
      <c r="B119" s="34">
        <f>IFERROR(INDEX(الموظفات!$B$5:$B$304,MATCH(66,الموظفات!$P$5:$P$304,0)),"")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التحفيز'!$V$5:$V$2004,"&gt;0",'سجل التحفيز'!$B$5:$B$2004,B119))</f>
        <v/>
      </c>
      <c r="E119" s="35">
        <f>IF(B119="","",COUNTIFS('سجل التحفيز'!$V$5:$V$2004,"&gt;0",'سجل التحفيز'!$B$5:$B$2004,B119,'سجل التحفيز'!$D$5:$D$2004,"ذهبي"))</f>
        <v/>
      </c>
      <c r="F119" s="35">
        <f>IF(B119="","",SUMIFS('سجل التحفيز'!$G$5:$G$2004,'سجل التحفيز'!$V$5:$V$2004,"&gt;0",'سجل التحفيز'!$B$5:$B$2004,B119))</f>
        <v/>
      </c>
      <c r="G119" s="35">
        <f>IF(B119="","",COUNTIF($D$54:$D$203,"&gt;"&amp;D119)+1)</f>
        <v/>
      </c>
      <c r="H119" s="35">
        <f>IF(B119="","",INDEX(الموظفات!$L$5:$L$304,MATCH(B119,الموظفات!$B$5:$B$304,0)))</f>
        <v/>
      </c>
      <c r="K119" s="36">
        <f>IF(66&gt;$B$10,"",66)</f>
        <v/>
      </c>
      <c r="L119" s="37">
        <f>IF($K119="","",INDEX('سجل التحفيز'!$A$5:$A$2004,MATCH($K119,'سجل التحفيز'!$V$5:$V$2004,0)))</f>
        <v/>
      </c>
      <c r="M119" s="9">
        <f>IF($K119="","",INDEX('سجل التحفيز'!$B$5:$B$2004,MATCH($K119,'سجل التحفيز'!$V$5:$V$2004,0)))</f>
        <v/>
      </c>
      <c r="N119" s="9">
        <f>IF($K119="","",INDEX('سجل التحفيز'!$M$5:$M$2004,MATCH($K119,'سجل التحفيز'!$V$5:$V$2004,0)))</f>
        <v/>
      </c>
      <c r="O119" s="9">
        <f>IF($K119="","",INDEX('سجل التحفيز'!$C$5:$C$2004,MATCH($K119,'سجل التحفيز'!$V$5:$V$2004,0)))</f>
        <v/>
      </c>
      <c r="P119" s="36">
        <f>IF($K119="","",INDEX('سجل التحفيز'!$D$5:$D$2004,MATCH($K119,'سجل التحفيز'!$V$5:$V$2004,0)))</f>
        <v/>
      </c>
      <c r="Q119" s="9">
        <f>IF($K119="","",INDEX('سجل التحفيز'!$E$5:$E$2004,MATCH($K119,'سجل التحفيز'!$V$5:$V$2004,0)))</f>
        <v/>
      </c>
      <c r="R119" s="9">
        <f>IF($K119="","",INDEX('سجل التحفيز'!$F$5:$F$2004,MATCH($K119,'سجل التحفيز'!$V$5:$V$2004,0)))</f>
        <v/>
      </c>
      <c r="S119" s="35">
        <f>IF($K119="","",INDEX('سجل التحفيز'!$G$5:$G$2004,MATCH($K119,'سجل التحفيز'!$V$5:$V$2004,0)))</f>
        <v/>
      </c>
    </row>
    <row r="120">
      <c r="B120" s="34">
        <f>IFERROR(INDEX(الموظفات!$B$5:$B$304,MATCH(67,الموظفات!$P$5:$P$304,0)),"")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التحفيز'!$V$5:$V$2004,"&gt;0",'سجل التحفيز'!$B$5:$B$2004,B120))</f>
        <v/>
      </c>
      <c r="E120" s="35">
        <f>IF(B120="","",COUNTIFS('سجل التحفيز'!$V$5:$V$2004,"&gt;0",'سجل التحفيز'!$B$5:$B$2004,B120,'سجل التحفيز'!$D$5:$D$2004,"ذهبي"))</f>
        <v/>
      </c>
      <c r="F120" s="35">
        <f>IF(B120="","",SUMIFS('سجل التحفيز'!$G$5:$G$2004,'سجل التحفيز'!$V$5:$V$2004,"&gt;0",'سجل التحفيز'!$B$5:$B$2004,B120))</f>
        <v/>
      </c>
      <c r="G120" s="35">
        <f>IF(B120="","",COUNTIF($D$54:$D$203,"&gt;"&amp;D120)+1)</f>
        <v/>
      </c>
      <c r="H120" s="35">
        <f>IF(B120="","",INDEX(الموظفات!$L$5:$L$304,MATCH(B120,الموظفات!$B$5:$B$304,0)))</f>
        <v/>
      </c>
      <c r="K120" s="36">
        <f>IF(67&gt;$B$10,"",67)</f>
        <v/>
      </c>
      <c r="L120" s="37">
        <f>IF($K120="","",INDEX('سجل التحفيز'!$A$5:$A$2004,MATCH($K120,'سجل التحفيز'!$V$5:$V$2004,0)))</f>
        <v/>
      </c>
      <c r="M120" s="9">
        <f>IF($K120="","",INDEX('سجل التحفيز'!$B$5:$B$2004,MATCH($K120,'سجل التحفيز'!$V$5:$V$2004,0)))</f>
        <v/>
      </c>
      <c r="N120" s="9">
        <f>IF($K120="","",INDEX('سجل التحفيز'!$M$5:$M$2004,MATCH($K120,'سجل التحفيز'!$V$5:$V$2004,0)))</f>
        <v/>
      </c>
      <c r="O120" s="9">
        <f>IF($K120="","",INDEX('سجل التحفيز'!$C$5:$C$2004,MATCH($K120,'سجل التحفيز'!$V$5:$V$2004,0)))</f>
        <v/>
      </c>
      <c r="P120" s="36">
        <f>IF($K120="","",INDEX('سجل التحفيز'!$D$5:$D$2004,MATCH($K120,'سجل التحفيز'!$V$5:$V$2004,0)))</f>
        <v/>
      </c>
      <c r="Q120" s="9">
        <f>IF($K120="","",INDEX('سجل التحفيز'!$E$5:$E$2004,MATCH($K120,'سجل التحفيز'!$V$5:$V$2004,0)))</f>
        <v/>
      </c>
      <c r="R120" s="9">
        <f>IF($K120="","",INDEX('سجل التحفيز'!$F$5:$F$2004,MATCH($K120,'سجل التحفيز'!$V$5:$V$2004,0)))</f>
        <v/>
      </c>
      <c r="S120" s="35">
        <f>IF($K120="","",INDEX('سجل التحفيز'!$G$5:$G$2004,MATCH($K120,'سجل التحفيز'!$V$5:$V$2004,0)))</f>
        <v/>
      </c>
    </row>
    <row r="121">
      <c r="B121" s="34">
        <f>IFERROR(INDEX(الموظفات!$B$5:$B$304,MATCH(68,الموظفات!$P$5:$P$304,0)),"")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التحفيز'!$V$5:$V$2004,"&gt;0",'سجل التحفيز'!$B$5:$B$2004,B121))</f>
        <v/>
      </c>
      <c r="E121" s="35">
        <f>IF(B121="","",COUNTIFS('سجل التحفيز'!$V$5:$V$2004,"&gt;0",'سجل التحفيز'!$B$5:$B$2004,B121,'سجل التحفيز'!$D$5:$D$2004,"ذهبي"))</f>
        <v/>
      </c>
      <c r="F121" s="35">
        <f>IF(B121="","",SUMIFS('سجل التحفيز'!$G$5:$G$2004,'سجل التحفيز'!$V$5:$V$2004,"&gt;0",'سجل التحفيز'!$B$5:$B$2004,B121))</f>
        <v/>
      </c>
      <c r="G121" s="35">
        <f>IF(B121="","",COUNTIF($D$54:$D$203,"&gt;"&amp;D121)+1)</f>
        <v/>
      </c>
      <c r="H121" s="35">
        <f>IF(B121="","",INDEX(الموظفات!$L$5:$L$304,MATCH(B121,الموظفات!$B$5:$B$304,0)))</f>
        <v/>
      </c>
      <c r="K121" s="36">
        <f>IF(68&gt;$B$10,"",68)</f>
        <v/>
      </c>
      <c r="L121" s="37">
        <f>IF($K121="","",INDEX('سجل التحفيز'!$A$5:$A$2004,MATCH($K121,'سجل التحفيز'!$V$5:$V$2004,0)))</f>
        <v/>
      </c>
      <c r="M121" s="9">
        <f>IF($K121="","",INDEX('سجل التحفيز'!$B$5:$B$2004,MATCH($K121,'سجل التحفيز'!$V$5:$V$2004,0)))</f>
        <v/>
      </c>
      <c r="N121" s="9">
        <f>IF($K121="","",INDEX('سجل التحفيز'!$M$5:$M$2004,MATCH($K121,'سجل التحفيز'!$V$5:$V$2004,0)))</f>
        <v/>
      </c>
      <c r="O121" s="9">
        <f>IF($K121="","",INDEX('سجل التحفيز'!$C$5:$C$2004,MATCH($K121,'سجل التحفيز'!$V$5:$V$2004,0)))</f>
        <v/>
      </c>
      <c r="P121" s="36">
        <f>IF($K121="","",INDEX('سجل التحفيز'!$D$5:$D$2004,MATCH($K121,'سجل التحفيز'!$V$5:$V$2004,0)))</f>
        <v/>
      </c>
      <c r="Q121" s="9">
        <f>IF($K121="","",INDEX('سجل التحفيز'!$E$5:$E$2004,MATCH($K121,'سجل التحفيز'!$V$5:$V$2004,0)))</f>
        <v/>
      </c>
      <c r="R121" s="9">
        <f>IF($K121="","",INDEX('سجل التحفيز'!$F$5:$F$2004,MATCH($K121,'سجل التحفيز'!$V$5:$V$2004,0)))</f>
        <v/>
      </c>
      <c r="S121" s="35">
        <f>IF($K121="","",INDEX('سجل التحفيز'!$G$5:$G$2004,MATCH($K121,'سجل التحفيز'!$V$5:$V$2004,0)))</f>
        <v/>
      </c>
    </row>
    <row r="122">
      <c r="B122" s="34">
        <f>IFERROR(INDEX(الموظفات!$B$5:$B$304,MATCH(69,الموظفات!$P$5:$P$304,0)),"")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التحفيز'!$V$5:$V$2004,"&gt;0",'سجل التحفيز'!$B$5:$B$2004,B122))</f>
        <v/>
      </c>
      <c r="E122" s="35">
        <f>IF(B122="","",COUNTIFS('سجل التحفيز'!$V$5:$V$2004,"&gt;0",'سجل التحفيز'!$B$5:$B$2004,B122,'سجل التحفيز'!$D$5:$D$2004,"ذهبي"))</f>
        <v/>
      </c>
      <c r="F122" s="35">
        <f>IF(B122="","",SUMIFS('سجل التحفيز'!$G$5:$G$2004,'سجل التحفيز'!$V$5:$V$2004,"&gt;0",'سجل التحفيز'!$B$5:$B$2004,B122))</f>
        <v/>
      </c>
      <c r="G122" s="35">
        <f>IF(B122="","",COUNTIF($D$54:$D$203,"&gt;"&amp;D122)+1)</f>
        <v/>
      </c>
      <c r="H122" s="35">
        <f>IF(B122="","",INDEX(الموظفات!$L$5:$L$304,MATCH(B122,الموظفات!$B$5:$B$304,0)))</f>
        <v/>
      </c>
      <c r="K122" s="36">
        <f>IF(69&gt;$B$10,"",69)</f>
        <v/>
      </c>
      <c r="L122" s="37">
        <f>IF($K122="","",INDEX('سجل التحفيز'!$A$5:$A$2004,MATCH($K122,'سجل التحفيز'!$V$5:$V$2004,0)))</f>
        <v/>
      </c>
      <c r="M122" s="9">
        <f>IF($K122="","",INDEX('سجل التحفيز'!$B$5:$B$2004,MATCH($K122,'سجل التحفيز'!$V$5:$V$2004,0)))</f>
        <v/>
      </c>
      <c r="N122" s="9">
        <f>IF($K122="","",INDEX('سجل التحفيز'!$M$5:$M$2004,MATCH($K122,'سجل التحفيز'!$V$5:$V$2004,0)))</f>
        <v/>
      </c>
      <c r="O122" s="9">
        <f>IF($K122="","",INDEX('سجل التحفيز'!$C$5:$C$2004,MATCH($K122,'سجل التحفيز'!$V$5:$V$2004,0)))</f>
        <v/>
      </c>
      <c r="P122" s="36">
        <f>IF($K122="","",INDEX('سجل التحفيز'!$D$5:$D$2004,MATCH($K122,'سجل التحفيز'!$V$5:$V$2004,0)))</f>
        <v/>
      </c>
      <c r="Q122" s="9">
        <f>IF($K122="","",INDEX('سجل التحفيز'!$E$5:$E$2004,MATCH($K122,'سجل التحفيز'!$V$5:$V$2004,0)))</f>
        <v/>
      </c>
      <c r="R122" s="9">
        <f>IF($K122="","",INDEX('سجل التحفيز'!$F$5:$F$2004,MATCH($K122,'سجل التحفيز'!$V$5:$V$2004,0)))</f>
        <v/>
      </c>
      <c r="S122" s="35">
        <f>IF($K122="","",INDEX('سجل التحفيز'!$G$5:$G$2004,MATCH($K122,'سجل التحفيز'!$V$5:$V$2004,0)))</f>
        <v/>
      </c>
    </row>
    <row r="123">
      <c r="B123" s="34">
        <f>IFERROR(INDEX(الموظفات!$B$5:$B$304,MATCH(70,الموظفات!$P$5:$P$304,0)),"")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التحفيز'!$V$5:$V$2004,"&gt;0",'سجل التحفيز'!$B$5:$B$2004,B123))</f>
        <v/>
      </c>
      <c r="E123" s="35">
        <f>IF(B123="","",COUNTIFS('سجل التحفيز'!$V$5:$V$2004,"&gt;0",'سجل التحفيز'!$B$5:$B$2004,B123,'سجل التحفيز'!$D$5:$D$2004,"ذهبي"))</f>
        <v/>
      </c>
      <c r="F123" s="35">
        <f>IF(B123="","",SUMIFS('سجل التحفيز'!$G$5:$G$2004,'سجل التحفيز'!$V$5:$V$2004,"&gt;0",'سجل التحفيز'!$B$5:$B$2004,B123))</f>
        <v/>
      </c>
      <c r="G123" s="35">
        <f>IF(B123="","",COUNTIF($D$54:$D$203,"&gt;"&amp;D123)+1)</f>
        <v/>
      </c>
      <c r="H123" s="35">
        <f>IF(B123="","",INDEX(الموظفات!$L$5:$L$304,MATCH(B123,الموظفات!$B$5:$B$304,0)))</f>
        <v/>
      </c>
      <c r="K123" s="36">
        <f>IF(70&gt;$B$10,"",70)</f>
        <v/>
      </c>
      <c r="L123" s="37">
        <f>IF($K123="","",INDEX('سجل التحفيز'!$A$5:$A$2004,MATCH($K123,'سجل التحفيز'!$V$5:$V$2004,0)))</f>
        <v/>
      </c>
      <c r="M123" s="9">
        <f>IF($K123="","",INDEX('سجل التحفيز'!$B$5:$B$2004,MATCH($K123,'سجل التحفيز'!$V$5:$V$2004,0)))</f>
        <v/>
      </c>
      <c r="N123" s="9">
        <f>IF($K123="","",INDEX('سجل التحفيز'!$M$5:$M$2004,MATCH($K123,'سجل التحفيز'!$V$5:$V$2004,0)))</f>
        <v/>
      </c>
      <c r="O123" s="9">
        <f>IF($K123="","",INDEX('سجل التحفيز'!$C$5:$C$2004,MATCH($K123,'سجل التحفيز'!$V$5:$V$2004,0)))</f>
        <v/>
      </c>
      <c r="P123" s="36">
        <f>IF($K123="","",INDEX('سجل التحفيز'!$D$5:$D$2004,MATCH($K123,'سجل التحفيز'!$V$5:$V$2004,0)))</f>
        <v/>
      </c>
      <c r="Q123" s="9">
        <f>IF($K123="","",INDEX('سجل التحفيز'!$E$5:$E$2004,MATCH($K123,'سجل التحفيز'!$V$5:$V$2004,0)))</f>
        <v/>
      </c>
      <c r="R123" s="9">
        <f>IF($K123="","",INDEX('سجل التحفيز'!$F$5:$F$2004,MATCH($K123,'سجل التحفيز'!$V$5:$V$2004,0)))</f>
        <v/>
      </c>
      <c r="S123" s="35">
        <f>IF($K123="","",INDEX('سجل التحفيز'!$G$5:$G$2004,MATCH($K123,'سجل التحفيز'!$V$5:$V$2004,0)))</f>
        <v/>
      </c>
    </row>
    <row r="124">
      <c r="B124" s="34">
        <f>IFERROR(INDEX(الموظفات!$B$5:$B$304,MATCH(71,الموظفات!$P$5:$P$304,0)),"")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التحفيز'!$V$5:$V$2004,"&gt;0",'سجل التحفيز'!$B$5:$B$2004,B124))</f>
        <v/>
      </c>
      <c r="E124" s="35">
        <f>IF(B124="","",COUNTIFS('سجل التحفيز'!$V$5:$V$2004,"&gt;0",'سجل التحفيز'!$B$5:$B$2004,B124,'سجل التحفيز'!$D$5:$D$2004,"ذهبي"))</f>
        <v/>
      </c>
      <c r="F124" s="35">
        <f>IF(B124="","",SUMIFS('سجل التحفيز'!$G$5:$G$2004,'سجل التحفيز'!$V$5:$V$2004,"&gt;0",'سجل التحفيز'!$B$5:$B$2004,B124))</f>
        <v/>
      </c>
      <c r="G124" s="35">
        <f>IF(B124="","",COUNTIF($D$54:$D$203,"&gt;"&amp;D124)+1)</f>
        <v/>
      </c>
      <c r="H124" s="35">
        <f>IF(B124="","",INDEX(الموظفات!$L$5:$L$304,MATCH(B124,الموظفات!$B$5:$B$304,0)))</f>
        <v/>
      </c>
      <c r="K124" s="36">
        <f>IF(71&gt;$B$10,"",71)</f>
        <v/>
      </c>
      <c r="L124" s="37">
        <f>IF($K124="","",INDEX('سجل التحفيز'!$A$5:$A$2004,MATCH($K124,'سجل التحفيز'!$V$5:$V$2004,0)))</f>
        <v/>
      </c>
      <c r="M124" s="9">
        <f>IF($K124="","",INDEX('سجل التحفيز'!$B$5:$B$2004,MATCH($K124,'سجل التحفيز'!$V$5:$V$2004,0)))</f>
        <v/>
      </c>
      <c r="N124" s="9">
        <f>IF($K124="","",INDEX('سجل التحفيز'!$M$5:$M$2004,MATCH($K124,'سجل التحفيز'!$V$5:$V$2004,0)))</f>
        <v/>
      </c>
      <c r="O124" s="9">
        <f>IF($K124="","",INDEX('سجل التحفيز'!$C$5:$C$2004,MATCH($K124,'سجل التحفيز'!$V$5:$V$2004,0)))</f>
        <v/>
      </c>
      <c r="P124" s="36">
        <f>IF($K124="","",INDEX('سجل التحفيز'!$D$5:$D$2004,MATCH($K124,'سجل التحفيز'!$V$5:$V$2004,0)))</f>
        <v/>
      </c>
      <c r="Q124" s="9">
        <f>IF($K124="","",INDEX('سجل التحفيز'!$E$5:$E$2004,MATCH($K124,'سجل التحفيز'!$V$5:$V$2004,0)))</f>
        <v/>
      </c>
      <c r="R124" s="9">
        <f>IF($K124="","",INDEX('سجل التحفيز'!$F$5:$F$2004,MATCH($K124,'سجل التحفيز'!$V$5:$V$2004,0)))</f>
        <v/>
      </c>
      <c r="S124" s="35">
        <f>IF($K124="","",INDEX('سجل التحفيز'!$G$5:$G$2004,MATCH($K124,'سجل التحفيز'!$V$5:$V$2004,0)))</f>
        <v/>
      </c>
    </row>
    <row r="125">
      <c r="B125" s="34">
        <f>IFERROR(INDEX(الموظفات!$B$5:$B$304,MATCH(72,الموظفات!$P$5:$P$304,0)),"")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التحفيز'!$V$5:$V$2004,"&gt;0",'سجل التحفيز'!$B$5:$B$2004,B125))</f>
        <v/>
      </c>
      <c r="E125" s="35">
        <f>IF(B125="","",COUNTIFS('سجل التحفيز'!$V$5:$V$2004,"&gt;0",'سجل التحفيز'!$B$5:$B$2004,B125,'سجل التحفيز'!$D$5:$D$2004,"ذهبي"))</f>
        <v/>
      </c>
      <c r="F125" s="35">
        <f>IF(B125="","",SUMIFS('سجل التحفيز'!$G$5:$G$2004,'سجل التحفيز'!$V$5:$V$2004,"&gt;0",'سجل التحفيز'!$B$5:$B$2004,B125))</f>
        <v/>
      </c>
      <c r="G125" s="35">
        <f>IF(B125="","",COUNTIF($D$54:$D$203,"&gt;"&amp;D125)+1)</f>
        <v/>
      </c>
      <c r="H125" s="35">
        <f>IF(B125="","",INDEX(الموظفات!$L$5:$L$304,MATCH(B125,الموظفات!$B$5:$B$304,0)))</f>
        <v/>
      </c>
      <c r="K125" s="36">
        <f>IF(72&gt;$B$10,"",72)</f>
        <v/>
      </c>
      <c r="L125" s="37">
        <f>IF($K125="","",INDEX('سجل التحفيز'!$A$5:$A$2004,MATCH($K125,'سجل التحفيز'!$V$5:$V$2004,0)))</f>
        <v/>
      </c>
      <c r="M125" s="9">
        <f>IF($K125="","",INDEX('سجل التحفيز'!$B$5:$B$2004,MATCH($K125,'سجل التحفيز'!$V$5:$V$2004,0)))</f>
        <v/>
      </c>
      <c r="N125" s="9">
        <f>IF($K125="","",INDEX('سجل التحفيز'!$M$5:$M$2004,MATCH($K125,'سجل التحفيز'!$V$5:$V$2004,0)))</f>
        <v/>
      </c>
      <c r="O125" s="9">
        <f>IF($K125="","",INDEX('سجل التحفيز'!$C$5:$C$2004,MATCH($K125,'سجل التحفيز'!$V$5:$V$2004,0)))</f>
        <v/>
      </c>
      <c r="P125" s="36">
        <f>IF($K125="","",INDEX('سجل التحفيز'!$D$5:$D$2004,MATCH($K125,'سجل التحفيز'!$V$5:$V$2004,0)))</f>
        <v/>
      </c>
      <c r="Q125" s="9">
        <f>IF($K125="","",INDEX('سجل التحفيز'!$E$5:$E$2004,MATCH($K125,'سجل التحفيز'!$V$5:$V$2004,0)))</f>
        <v/>
      </c>
      <c r="R125" s="9">
        <f>IF($K125="","",INDEX('سجل التحفيز'!$F$5:$F$2004,MATCH($K125,'سجل التحفيز'!$V$5:$V$2004,0)))</f>
        <v/>
      </c>
      <c r="S125" s="35">
        <f>IF($K125="","",INDEX('سجل التحفيز'!$G$5:$G$2004,MATCH($K125,'سجل التحفيز'!$V$5:$V$2004,0)))</f>
        <v/>
      </c>
    </row>
    <row r="126">
      <c r="B126" s="34">
        <f>IFERROR(INDEX(الموظفات!$B$5:$B$304,MATCH(73,الموظفات!$P$5:$P$304,0)),"")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التحفيز'!$V$5:$V$2004,"&gt;0",'سجل التحفيز'!$B$5:$B$2004,B126))</f>
        <v/>
      </c>
      <c r="E126" s="35">
        <f>IF(B126="","",COUNTIFS('سجل التحفيز'!$V$5:$V$2004,"&gt;0",'سجل التحفيز'!$B$5:$B$2004,B126,'سجل التحفيز'!$D$5:$D$2004,"ذهبي"))</f>
        <v/>
      </c>
      <c r="F126" s="35">
        <f>IF(B126="","",SUMIFS('سجل التحفيز'!$G$5:$G$2004,'سجل التحفيز'!$V$5:$V$2004,"&gt;0",'سجل التحفيز'!$B$5:$B$2004,B126))</f>
        <v/>
      </c>
      <c r="G126" s="35">
        <f>IF(B126="","",COUNTIF($D$54:$D$203,"&gt;"&amp;D126)+1)</f>
        <v/>
      </c>
      <c r="H126" s="35">
        <f>IF(B126="","",INDEX(الموظفات!$L$5:$L$304,MATCH(B126,الموظفات!$B$5:$B$304,0)))</f>
        <v/>
      </c>
      <c r="K126" s="36">
        <f>IF(73&gt;$B$10,"",73)</f>
        <v/>
      </c>
      <c r="L126" s="37">
        <f>IF($K126="","",INDEX('سجل التحفيز'!$A$5:$A$2004,MATCH($K126,'سجل التحفيز'!$V$5:$V$2004,0)))</f>
        <v/>
      </c>
      <c r="M126" s="9">
        <f>IF($K126="","",INDEX('سجل التحفيز'!$B$5:$B$2004,MATCH($K126,'سجل التحفيز'!$V$5:$V$2004,0)))</f>
        <v/>
      </c>
      <c r="N126" s="9">
        <f>IF($K126="","",INDEX('سجل التحفيز'!$M$5:$M$2004,MATCH($K126,'سجل التحفيز'!$V$5:$V$2004,0)))</f>
        <v/>
      </c>
      <c r="O126" s="9">
        <f>IF($K126="","",INDEX('سجل التحفيز'!$C$5:$C$2004,MATCH($K126,'سجل التحفيز'!$V$5:$V$2004,0)))</f>
        <v/>
      </c>
      <c r="P126" s="36">
        <f>IF($K126="","",INDEX('سجل التحفيز'!$D$5:$D$2004,MATCH($K126,'سجل التحفيز'!$V$5:$V$2004,0)))</f>
        <v/>
      </c>
      <c r="Q126" s="9">
        <f>IF($K126="","",INDEX('سجل التحفيز'!$E$5:$E$2004,MATCH($K126,'سجل التحفيز'!$V$5:$V$2004,0)))</f>
        <v/>
      </c>
      <c r="R126" s="9">
        <f>IF($K126="","",INDEX('سجل التحفيز'!$F$5:$F$2004,MATCH($K126,'سجل التحفيز'!$V$5:$V$2004,0)))</f>
        <v/>
      </c>
      <c r="S126" s="35">
        <f>IF($K126="","",INDEX('سجل التحفيز'!$G$5:$G$2004,MATCH($K126,'سجل التحفيز'!$V$5:$V$2004,0)))</f>
        <v/>
      </c>
    </row>
    <row r="127">
      <c r="B127" s="34">
        <f>IFERROR(INDEX(الموظفات!$B$5:$B$304,MATCH(74,الموظفات!$P$5:$P$304,0)),"")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التحفيز'!$V$5:$V$2004,"&gt;0",'سجل التحفيز'!$B$5:$B$2004,B127))</f>
        <v/>
      </c>
      <c r="E127" s="35">
        <f>IF(B127="","",COUNTIFS('سجل التحفيز'!$V$5:$V$2004,"&gt;0",'سجل التحفيز'!$B$5:$B$2004,B127,'سجل التحفيز'!$D$5:$D$2004,"ذهبي"))</f>
        <v/>
      </c>
      <c r="F127" s="35">
        <f>IF(B127="","",SUMIFS('سجل التحفيز'!$G$5:$G$2004,'سجل التحفيز'!$V$5:$V$2004,"&gt;0",'سجل التحفيز'!$B$5:$B$2004,B127))</f>
        <v/>
      </c>
      <c r="G127" s="35">
        <f>IF(B127="","",COUNTIF($D$54:$D$203,"&gt;"&amp;D127)+1)</f>
        <v/>
      </c>
      <c r="H127" s="35">
        <f>IF(B127="","",INDEX(الموظفات!$L$5:$L$304,MATCH(B127,الموظفات!$B$5:$B$304,0)))</f>
        <v/>
      </c>
      <c r="K127" s="36">
        <f>IF(74&gt;$B$10,"",74)</f>
        <v/>
      </c>
      <c r="L127" s="37">
        <f>IF($K127="","",INDEX('سجل التحفيز'!$A$5:$A$2004,MATCH($K127,'سجل التحفيز'!$V$5:$V$2004,0)))</f>
        <v/>
      </c>
      <c r="M127" s="9">
        <f>IF($K127="","",INDEX('سجل التحفيز'!$B$5:$B$2004,MATCH($K127,'سجل التحفيز'!$V$5:$V$2004,0)))</f>
        <v/>
      </c>
      <c r="N127" s="9">
        <f>IF($K127="","",INDEX('سجل التحفيز'!$M$5:$M$2004,MATCH($K127,'سجل التحفيز'!$V$5:$V$2004,0)))</f>
        <v/>
      </c>
      <c r="O127" s="9">
        <f>IF($K127="","",INDEX('سجل التحفيز'!$C$5:$C$2004,MATCH($K127,'سجل التحفيز'!$V$5:$V$2004,0)))</f>
        <v/>
      </c>
      <c r="P127" s="36">
        <f>IF($K127="","",INDEX('سجل التحفيز'!$D$5:$D$2004,MATCH($K127,'سجل التحفيز'!$V$5:$V$2004,0)))</f>
        <v/>
      </c>
      <c r="Q127" s="9">
        <f>IF($K127="","",INDEX('سجل التحفيز'!$E$5:$E$2004,MATCH($K127,'سجل التحفيز'!$V$5:$V$2004,0)))</f>
        <v/>
      </c>
      <c r="R127" s="9">
        <f>IF($K127="","",INDEX('سجل التحفيز'!$F$5:$F$2004,MATCH($K127,'سجل التحفيز'!$V$5:$V$2004,0)))</f>
        <v/>
      </c>
      <c r="S127" s="35">
        <f>IF($K127="","",INDEX('سجل التحفيز'!$G$5:$G$2004,MATCH($K127,'سجل التحفيز'!$V$5:$V$2004,0)))</f>
        <v/>
      </c>
    </row>
    <row r="128">
      <c r="B128" s="34">
        <f>IFERROR(INDEX(الموظفات!$B$5:$B$304,MATCH(75,الموظفات!$P$5:$P$304,0)),"")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التحفيز'!$V$5:$V$2004,"&gt;0",'سجل التحفيز'!$B$5:$B$2004,B128))</f>
        <v/>
      </c>
      <c r="E128" s="35">
        <f>IF(B128="","",COUNTIFS('سجل التحفيز'!$V$5:$V$2004,"&gt;0",'سجل التحفيز'!$B$5:$B$2004,B128,'سجل التحفيز'!$D$5:$D$2004,"ذهبي"))</f>
        <v/>
      </c>
      <c r="F128" s="35">
        <f>IF(B128="","",SUMIFS('سجل التحفيز'!$G$5:$G$2004,'سجل التحفيز'!$V$5:$V$2004,"&gt;0",'سجل التحفيز'!$B$5:$B$2004,B128))</f>
        <v/>
      </c>
      <c r="G128" s="35">
        <f>IF(B128="","",COUNTIF($D$54:$D$203,"&gt;"&amp;D128)+1)</f>
        <v/>
      </c>
      <c r="H128" s="35">
        <f>IF(B128="","",INDEX(الموظفات!$L$5:$L$304,MATCH(B128,الموظفات!$B$5:$B$304,0)))</f>
        <v/>
      </c>
      <c r="K128" s="36">
        <f>IF(75&gt;$B$10,"",75)</f>
        <v/>
      </c>
      <c r="L128" s="37">
        <f>IF($K128="","",INDEX('سجل التحفيز'!$A$5:$A$2004,MATCH($K128,'سجل التحفيز'!$V$5:$V$2004,0)))</f>
        <v/>
      </c>
      <c r="M128" s="9">
        <f>IF($K128="","",INDEX('سجل التحفيز'!$B$5:$B$2004,MATCH($K128,'سجل التحفيز'!$V$5:$V$2004,0)))</f>
        <v/>
      </c>
      <c r="N128" s="9">
        <f>IF($K128="","",INDEX('سجل التحفيز'!$M$5:$M$2004,MATCH($K128,'سجل التحفيز'!$V$5:$V$2004,0)))</f>
        <v/>
      </c>
      <c r="O128" s="9">
        <f>IF($K128="","",INDEX('سجل التحفيز'!$C$5:$C$2004,MATCH($K128,'سجل التحفيز'!$V$5:$V$2004,0)))</f>
        <v/>
      </c>
      <c r="P128" s="36">
        <f>IF($K128="","",INDEX('سجل التحفيز'!$D$5:$D$2004,MATCH($K128,'سجل التحفيز'!$V$5:$V$2004,0)))</f>
        <v/>
      </c>
      <c r="Q128" s="9">
        <f>IF($K128="","",INDEX('سجل التحفيز'!$E$5:$E$2004,MATCH($K128,'سجل التحفيز'!$V$5:$V$2004,0)))</f>
        <v/>
      </c>
      <c r="R128" s="9">
        <f>IF($K128="","",INDEX('سجل التحفيز'!$F$5:$F$2004,MATCH($K128,'سجل التحفيز'!$V$5:$V$2004,0)))</f>
        <v/>
      </c>
      <c r="S128" s="35">
        <f>IF($K128="","",INDEX('سجل التحفيز'!$G$5:$G$2004,MATCH($K128,'سجل التحفيز'!$V$5:$V$2004,0)))</f>
        <v/>
      </c>
    </row>
    <row r="129">
      <c r="B129" s="34">
        <f>IFERROR(INDEX(الموظفات!$B$5:$B$304,MATCH(76,الموظفات!$P$5:$P$304,0)),"")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التحفيز'!$V$5:$V$2004,"&gt;0",'سجل التحفيز'!$B$5:$B$2004,B129))</f>
        <v/>
      </c>
      <c r="E129" s="35">
        <f>IF(B129="","",COUNTIFS('سجل التحفيز'!$V$5:$V$2004,"&gt;0",'سجل التحفيز'!$B$5:$B$2004,B129,'سجل التحفيز'!$D$5:$D$2004,"ذهبي"))</f>
        <v/>
      </c>
      <c r="F129" s="35">
        <f>IF(B129="","",SUMIFS('سجل التحفيز'!$G$5:$G$2004,'سجل التحفيز'!$V$5:$V$2004,"&gt;0",'سجل التحفيز'!$B$5:$B$2004,B129))</f>
        <v/>
      </c>
      <c r="G129" s="35">
        <f>IF(B129="","",COUNTIF($D$54:$D$203,"&gt;"&amp;D129)+1)</f>
        <v/>
      </c>
      <c r="H129" s="35">
        <f>IF(B129="","",INDEX(الموظفات!$L$5:$L$304,MATCH(B129,الموظفات!$B$5:$B$304,0)))</f>
        <v/>
      </c>
      <c r="K129" s="36">
        <f>IF(76&gt;$B$10,"",76)</f>
        <v/>
      </c>
      <c r="L129" s="37">
        <f>IF($K129="","",INDEX('سجل التحفيز'!$A$5:$A$2004,MATCH($K129,'سجل التحفيز'!$V$5:$V$2004,0)))</f>
        <v/>
      </c>
      <c r="M129" s="9">
        <f>IF($K129="","",INDEX('سجل التحفيز'!$B$5:$B$2004,MATCH($K129,'سجل التحفيز'!$V$5:$V$2004,0)))</f>
        <v/>
      </c>
      <c r="N129" s="9">
        <f>IF($K129="","",INDEX('سجل التحفيز'!$M$5:$M$2004,MATCH($K129,'سجل التحفيز'!$V$5:$V$2004,0)))</f>
        <v/>
      </c>
      <c r="O129" s="9">
        <f>IF($K129="","",INDEX('سجل التحفيز'!$C$5:$C$2004,MATCH($K129,'سجل التحفيز'!$V$5:$V$2004,0)))</f>
        <v/>
      </c>
      <c r="P129" s="36">
        <f>IF($K129="","",INDEX('سجل التحفيز'!$D$5:$D$2004,MATCH($K129,'سجل التحفيز'!$V$5:$V$2004,0)))</f>
        <v/>
      </c>
      <c r="Q129" s="9">
        <f>IF($K129="","",INDEX('سجل التحفيز'!$E$5:$E$2004,MATCH($K129,'سجل التحفيز'!$V$5:$V$2004,0)))</f>
        <v/>
      </c>
      <c r="R129" s="9">
        <f>IF($K129="","",INDEX('سجل التحفيز'!$F$5:$F$2004,MATCH($K129,'سجل التحفيز'!$V$5:$V$2004,0)))</f>
        <v/>
      </c>
      <c r="S129" s="35">
        <f>IF($K129="","",INDEX('سجل التحفيز'!$G$5:$G$2004,MATCH($K129,'سجل التحفيز'!$V$5:$V$2004,0)))</f>
        <v/>
      </c>
    </row>
    <row r="130">
      <c r="B130" s="34">
        <f>IFERROR(INDEX(الموظفات!$B$5:$B$304,MATCH(77,الموظفات!$P$5:$P$304,0)),"")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التحفيز'!$V$5:$V$2004,"&gt;0",'سجل التحفيز'!$B$5:$B$2004,B130))</f>
        <v/>
      </c>
      <c r="E130" s="35">
        <f>IF(B130="","",COUNTIFS('سجل التحفيز'!$V$5:$V$2004,"&gt;0",'سجل التحفيز'!$B$5:$B$2004,B130,'سجل التحفيز'!$D$5:$D$2004,"ذهبي"))</f>
        <v/>
      </c>
      <c r="F130" s="35">
        <f>IF(B130="","",SUMIFS('سجل التحفيز'!$G$5:$G$2004,'سجل التحفيز'!$V$5:$V$2004,"&gt;0",'سجل التحفيز'!$B$5:$B$2004,B130))</f>
        <v/>
      </c>
      <c r="G130" s="35">
        <f>IF(B130="","",COUNTIF($D$54:$D$203,"&gt;"&amp;D130)+1)</f>
        <v/>
      </c>
      <c r="H130" s="35">
        <f>IF(B130="","",INDEX(الموظفات!$L$5:$L$304,MATCH(B130,الموظفات!$B$5:$B$304,0)))</f>
        <v/>
      </c>
      <c r="K130" s="36">
        <f>IF(77&gt;$B$10,"",77)</f>
        <v/>
      </c>
      <c r="L130" s="37">
        <f>IF($K130="","",INDEX('سجل التحفيز'!$A$5:$A$2004,MATCH($K130,'سجل التحفيز'!$V$5:$V$2004,0)))</f>
        <v/>
      </c>
      <c r="M130" s="9">
        <f>IF($K130="","",INDEX('سجل التحفيز'!$B$5:$B$2004,MATCH($K130,'سجل التحفيز'!$V$5:$V$2004,0)))</f>
        <v/>
      </c>
      <c r="N130" s="9">
        <f>IF($K130="","",INDEX('سجل التحفيز'!$M$5:$M$2004,MATCH($K130,'سجل التحفيز'!$V$5:$V$2004,0)))</f>
        <v/>
      </c>
      <c r="O130" s="9">
        <f>IF($K130="","",INDEX('سجل التحفيز'!$C$5:$C$2004,MATCH($K130,'سجل التحفيز'!$V$5:$V$2004,0)))</f>
        <v/>
      </c>
      <c r="P130" s="36">
        <f>IF($K130="","",INDEX('سجل التحفيز'!$D$5:$D$2004,MATCH($K130,'سجل التحفيز'!$V$5:$V$2004,0)))</f>
        <v/>
      </c>
      <c r="Q130" s="9">
        <f>IF($K130="","",INDEX('سجل التحفيز'!$E$5:$E$2004,MATCH($K130,'سجل التحفيز'!$V$5:$V$2004,0)))</f>
        <v/>
      </c>
      <c r="R130" s="9">
        <f>IF($K130="","",INDEX('سجل التحفيز'!$F$5:$F$2004,MATCH($K130,'سجل التحفيز'!$V$5:$V$2004,0)))</f>
        <v/>
      </c>
      <c r="S130" s="35">
        <f>IF($K130="","",INDEX('سجل التحفيز'!$G$5:$G$2004,MATCH($K130,'سجل التحفيز'!$V$5:$V$2004,0)))</f>
        <v/>
      </c>
    </row>
    <row r="131">
      <c r="B131" s="34">
        <f>IFERROR(INDEX(الموظفات!$B$5:$B$304,MATCH(78,الموظفات!$P$5:$P$304,0)),"")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التحفيز'!$V$5:$V$2004,"&gt;0",'سجل التحفيز'!$B$5:$B$2004,B131))</f>
        <v/>
      </c>
      <c r="E131" s="35">
        <f>IF(B131="","",COUNTIFS('سجل التحفيز'!$V$5:$V$2004,"&gt;0",'سجل التحفيز'!$B$5:$B$2004,B131,'سجل التحفيز'!$D$5:$D$2004,"ذهبي"))</f>
        <v/>
      </c>
      <c r="F131" s="35">
        <f>IF(B131="","",SUMIFS('سجل التحفيز'!$G$5:$G$2004,'سجل التحفيز'!$V$5:$V$2004,"&gt;0",'سجل التحفيز'!$B$5:$B$2004,B131))</f>
        <v/>
      </c>
      <c r="G131" s="35">
        <f>IF(B131="","",COUNTIF($D$54:$D$203,"&gt;"&amp;D131)+1)</f>
        <v/>
      </c>
      <c r="H131" s="35">
        <f>IF(B131="","",INDEX(الموظفات!$L$5:$L$304,MATCH(B131,الموظفات!$B$5:$B$304,0)))</f>
        <v/>
      </c>
      <c r="K131" s="36">
        <f>IF(78&gt;$B$10,"",78)</f>
        <v/>
      </c>
      <c r="L131" s="37">
        <f>IF($K131="","",INDEX('سجل التحفيز'!$A$5:$A$2004,MATCH($K131,'سجل التحفيز'!$V$5:$V$2004,0)))</f>
        <v/>
      </c>
      <c r="M131" s="9">
        <f>IF($K131="","",INDEX('سجل التحفيز'!$B$5:$B$2004,MATCH($K131,'سجل التحفيز'!$V$5:$V$2004,0)))</f>
        <v/>
      </c>
      <c r="N131" s="9">
        <f>IF($K131="","",INDEX('سجل التحفيز'!$M$5:$M$2004,MATCH($K131,'سجل التحفيز'!$V$5:$V$2004,0)))</f>
        <v/>
      </c>
      <c r="O131" s="9">
        <f>IF($K131="","",INDEX('سجل التحفيز'!$C$5:$C$2004,MATCH($K131,'سجل التحفيز'!$V$5:$V$2004,0)))</f>
        <v/>
      </c>
      <c r="P131" s="36">
        <f>IF($K131="","",INDEX('سجل التحفيز'!$D$5:$D$2004,MATCH($K131,'سجل التحفيز'!$V$5:$V$2004,0)))</f>
        <v/>
      </c>
      <c r="Q131" s="9">
        <f>IF($K131="","",INDEX('سجل التحفيز'!$E$5:$E$2004,MATCH($K131,'سجل التحفيز'!$V$5:$V$2004,0)))</f>
        <v/>
      </c>
      <c r="R131" s="9">
        <f>IF($K131="","",INDEX('سجل التحفيز'!$F$5:$F$2004,MATCH($K131,'سجل التحفيز'!$V$5:$V$2004,0)))</f>
        <v/>
      </c>
      <c r="S131" s="35">
        <f>IF($K131="","",INDEX('سجل التحفيز'!$G$5:$G$2004,MATCH($K131,'سجل التحفيز'!$V$5:$V$2004,0)))</f>
        <v/>
      </c>
    </row>
    <row r="132">
      <c r="B132" s="34">
        <f>IFERROR(INDEX(الموظفات!$B$5:$B$304,MATCH(79,الموظفات!$P$5:$P$304,0)),"")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التحفيز'!$V$5:$V$2004,"&gt;0",'سجل التحفيز'!$B$5:$B$2004,B132))</f>
        <v/>
      </c>
      <c r="E132" s="35">
        <f>IF(B132="","",COUNTIFS('سجل التحفيز'!$V$5:$V$2004,"&gt;0",'سجل التحفيز'!$B$5:$B$2004,B132,'سجل التحفيز'!$D$5:$D$2004,"ذهبي"))</f>
        <v/>
      </c>
      <c r="F132" s="35">
        <f>IF(B132="","",SUMIFS('سجل التحفيز'!$G$5:$G$2004,'سجل التحفيز'!$V$5:$V$2004,"&gt;0",'سجل التحفيز'!$B$5:$B$2004,B132))</f>
        <v/>
      </c>
      <c r="G132" s="35">
        <f>IF(B132="","",COUNTIF($D$54:$D$203,"&gt;"&amp;D132)+1)</f>
        <v/>
      </c>
      <c r="H132" s="35">
        <f>IF(B132="","",INDEX(الموظفات!$L$5:$L$304,MATCH(B132,الموظفات!$B$5:$B$304,0)))</f>
        <v/>
      </c>
      <c r="K132" s="36">
        <f>IF(79&gt;$B$10,"",79)</f>
        <v/>
      </c>
      <c r="L132" s="37">
        <f>IF($K132="","",INDEX('سجل التحفيز'!$A$5:$A$2004,MATCH($K132,'سجل التحفيز'!$V$5:$V$2004,0)))</f>
        <v/>
      </c>
      <c r="M132" s="9">
        <f>IF($K132="","",INDEX('سجل التحفيز'!$B$5:$B$2004,MATCH($K132,'سجل التحفيز'!$V$5:$V$2004,0)))</f>
        <v/>
      </c>
      <c r="N132" s="9">
        <f>IF($K132="","",INDEX('سجل التحفيز'!$M$5:$M$2004,MATCH($K132,'سجل التحفيز'!$V$5:$V$2004,0)))</f>
        <v/>
      </c>
      <c r="O132" s="9">
        <f>IF($K132="","",INDEX('سجل التحفيز'!$C$5:$C$2004,MATCH($K132,'سجل التحفيز'!$V$5:$V$2004,0)))</f>
        <v/>
      </c>
      <c r="P132" s="36">
        <f>IF($K132="","",INDEX('سجل التحفيز'!$D$5:$D$2004,MATCH($K132,'سجل التحفيز'!$V$5:$V$2004,0)))</f>
        <v/>
      </c>
      <c r="Q132" s="9">
        <f>IF($K132="","",INDEX('سجل التحفيز'!$E$5:$E$2004,MATCH($K132,'سجل التحفيز'!$V$5:$V$2004,0)))</f>
        <v/>
      </c>
      <c r="R132" s="9">
        <f>IF($K132="","",INDEX('سجل التحفيز'!$F$5:$F$2004,MATCH($K132,'سجل التحفيز'!$V$5:$V$2004,0)))</f>
        <v/>
      </c>
      <c r="S132" s="35">
        <f>IF($K132="","",INDEX('سجل التحفيز'!$G$5:$G$2004,MATCH($K132,'سجل التحفيز'!$V$5:$V$2004,0)))</f>
        <v/>
      </c>
    </row>
    <row r="133">
      <c r="B133" s="34">
        <f>IFERROR(INDEX(الموظفات!$B$5:$B$304,MATCH(80,الموظفات!$P$5:$P$304,0)),"")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التحفيز'!$V$5:$V$2004,"&gt;0",'سجل التحفيز'!$B$5:$B$2004,B133))</f>
        <v/>
      </c>
      <c r="E133" s="35">
        <f>IF(B133="","",COUNTIFS('سجل التحفيز'!$V$5:$V$2004,"&gt;0",'سجل التحفيز'!$B$5:$B$2004,B133,'سجل التحفيز'!$D$5:$D$2004,"ذهبي"))</f>
        <v/>
      </c>
      <c r="F133" s="35">
        <f>IF(B133="","",SUMIFS('سجل التحفيز'!$G$5:$G$2004,'سجل التحفيز'!$V$5:$V$2004,"&gt;0",'سجل التحفيز'!$B$5:$B$2004,B133))</f>
        <v/>
      </c>
      <c r="G133" s="35">
        <f>IF(B133="","",COUNTIF($D$54:$D$203,"&gt;"&amp;D133)+1)</f>
        <v/>
      </c>
      <c r="H133" s="35">
        <f>IF(B133="","",INDEX(الموظفات!$L$5:$L$304,MATCH(B133,الموظفات!$B$5:$B$304,0)))</f>
        <v/>
      </c>
      <c r="K133" s="36">
        <f>IF(80&gt;$B$10,"",80)</f>
        <v/>
      </c>
      <c r="L133" s="37">
        <f>IF($K133="","",INDEX('سجل التحفيز'!$A$5:$A$2004,MATCH($K133,'سجل التحفيز'!$V$5:$V$2004,0)))</f>
        <v/>
      </c>
      <c r="M133" s="9">
        <f>IF($K133="","",INDEX('سجل التحفيز'!$B$5:$B$2004,MATCH($K133,'سجل التحفيز'!$V$5:$V$2004,0)))</f>
        <v/>
      </c>
      <c r="N133" s="9">
        <f>IF($K133="","",INDEX('سجل التحفيز'!$M$5:$M$2004,MATCH($K133,'سجل التحفيز'!$V$5:$V$2004,0)))</f>
        <v/>
      </c>
      <c r="O133" s="9">
        <f>IF($K133="","",INDEX('سجل التحفيز'!$C$5:$C$2004,MATCH($K133,'سجل التحفيز'!$V$5:$V$2004,0)))</f>
        <v/>
      </c>
      <c r="P133" s="36">
        <f>IF($K133="","",INDEX('سجل التحفيز'!$D$5:$D$2004,MATCH($K133,'سجل التحفيز'!$V$5:$V$2004,0)))</f>
        <v/>
      </c>
      <c r="Q133" s="9">
        <f>IF($K133="","",INDEX('سجل التحفيز'!$E$5:$E$2004,MATCH($K133,'سجل التحفيز'!$V$5:$V$2004,0)))</f>
        <v/>
      </c>
      <c r="R133" s="9">
        <f>IF($K133="","",INDEX('سجل التحفيز'!$F$5:$F$2004,MATCH($K133,'سجل التحفيز'!$V$5:$V$2004,0)))</f>
        <v/>
      </c>
      <c r="S133" s="35">
        <f>IF($K133="","",INDEX('سجل التحفيز'!$G$5:$G$2004,MATCH($K133,'سجل التحفيز'!$V$5:$V$2004,0)))</f>
        <v/>
      </c>
    </row>
    <row r="134">
      <c r="B134" s="34">
        <f>IFERROR(INDEX(الموظفات!$B$5:$B$304,MATCH(81,الموظفات!$P$5:$P$304,0)),"")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التحفيز'!$V$5:$V$2004,"&gt;0",'سجل التحفيز'!$B$5:$B$2004,B134))</f>
        <v/>
      </c>
      <c r="E134" s="35">
        <f>IF(B134="","",COUNTIFS('سجل التحفيز'!$V$5:$V$2004,"&gt;0",'سجل التحفيز'!$B$5:$B$2004,B134,'سجل التحفيز'!$D$5:$D$2004,"ذهبي"))</f>
        <v/>
      </c>
      <c r="F134" s="35">
        <f>IF(B134="","",SUMIFS('سجل التحفيز'!$G$5:$G$2004,'سجل التحفيز'!$V$5:$V$2004,"&gt;0",'سجل التحفيز'!$B$5:$B$2004,B134))</f>
        <v/>
      </c>
      <c r="G134" s="35">
        <f>IF(B134="","",COUNTIF($D$54:$D$203,"&gt;"&amp;D134)+1)</f>
        <v/>
      </c>
      <c r="H134" s="35">
        <f>IF(B134="","",INDEX(الموظفات!$L$5:$L$304,MATCH(B134,الموظفات!$B$5:$B$304,0)))</f>
        <v/>
      </c>
      <c r="K134" s="36">
        <f>IF(81&gt;$B$10,"",81)</f>
        <v/>
      </c>
      <c r="L134" s="37">
        <f>IF($K134="","",INDEX('سجل التحفيز'!$A$5:$A$2004,MATCH($K134,'سجل التحفيز'!$V$5:$V$2004,0)))</f>
        <v/>
      </c>
      <c r="M134" s="9">
        <f>IF($K134="","",INDEX('سجل التحفيز'!$B$5:$B$2004,MATCH($K134,'سجل التحفيز'!$V$5:$V$2004,0)))</f>
        <v/>
      </c>
      <c r="N134" s="9">
        <f>IF($K134="","",INDEX('سجل التحفيز'!$M$5:$M$2004,MATCH($K134,'سجل التحفيز'!$V$5:$V$2004,0)))</f>
        <v/>
      </c>
      <c r="O134" s="9">
        <f>IF($K134="","",INDEX('سجل التحفيز'!$C$5:$C$2004,MATCH($K134,'سجل التحفيز'!$V$5:$V$2004,0)))</f>
        <v/>
      </c>
      <c r="P134" s="36">
        <f>IF($K134="","",INDEX('سجل التحفيز'!$D$5:$D$2004,MATCH($K134,'سجل التحفيز'!$V$5:$V$2004,0)))</f>
        <v/>
      </c>
      <c r="Q134" s="9">
        <f>IF($K134="","",INDEX('سجل التحفيز'!$E$5:$E$2004,MATCH($K134,'سجل التحفيز'!$V$5:$V$2004,0)))</f>
        <v/>
      </c>
      <c r="R134" s="9">
        <f>IF($K134="","",INDEX('سجل التحفيز'!$F$5:$F$2004,MATCH($K134,'سجل التحفيز'!$V$5:$V$2004,0)))</f>
        <v/>
      </c>
      <c r="S134" s="35">
        <f>IF($K134="","",INDEX('سجل التحفيز'!$G$5:$G$2004,MATCH($K134,'سجل التحفيز'!$V$5:$V$2004,0)))</f>
        <v/>
      </c>
    </row>
    <row r="135">
      <c r="B135" s="34">
        <f>IFERROR(INDEX(الموظفات!$B$5:$B$304,MATCH(82,الموظفات!$P$5:$P$304,0)),"")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التحفيز'!$V$5:$V$2004,"&gt;0",'سجل التحفيز'!$B$5:$B$2004,B135))</f>
        <v/>
      </c>
      <c r="E135" s="35">
        <f>IF(B135="","",COUNTIFS('سجل التحفيز'!$V$5:$V$2004,"&gt;0",'سجل التحفيز'!$B$5:$B$2004,B135,'سجل التحفيز'!$D$5:$D$2004,"ذهبي"))</f>
        <v/>
      </c>
      <c r="F135" s="35">
        <f>IF(B135="","",SUMIFS('سجل التحفيز'!$G$5:$G$2004,'سجل التحفيز'!$V$5:$V$2004,"&gt;0",'سجل التحفيز'!$B$5:$B$2004,B135))</f>
        <v/>
      </c>
      <c r="G135" s="35">
        <f>IF(B135="","",COUNTIF($D$54:$D$203,"&gt;"&amp;D135)+1)</f>
        <v/>
      </c>
      <c r="H135" s="35">
        <f>IF(B135="","",INDEX(الموظفات!$L$5:$L$304,MATCH(B135,الموظفات!$B$5:$B$304,0)))</f>
        <v/>
      </c>
      <c r="K135" s="36">
        <f>IF(82&gt;$B$10,"",82)</f>
        <v/>
      </c>
      <c r="L135" s="37">
        <f>IF($K135="","",INDEX('سجل التحفيز'!$A$5:$A$2004,MATCH($K135,'سجل التحفيز'!$V$5:$V$2004,0)))</f>
        <v/>
      </c>
      <c r="M135" s="9">
        <f>IF($K135="","",INDEX('سجل التحفيز'!$B$5:$B$2004,MATCH($K135,'سجل التحفيز'!$V$5:$V$2004,0)))</f>
        <v/>
      </c>
      <c r="N135" s="9">
        <f>IF($K135="","",INDEX('سجل التحفيز'!$M$5:$M$2004,MATCH($K135,'سجل التحفيز'!$V$5:$V$2004,0)))</f>
        <v/>
      </c>
      <c r="O135" s="9">
        <f>IF($K135="","",INDEX('سجل التحفيز'!$C$5:$C$2004,MATCH($K135,'سجل التحفيز'!$V$5:$V$2004,0)))</f>
        <v/>
      </c>
      <c r="P135" s="36">
        <f>IF($K135="","",INDEX('سجل التحفيز'!$D$5:$D$2004,MATCH($K135,'سجل التحفيز'!$V$5:$V$2004,0)))</f>
        <v/>
      </c>
      <c r="Q135" s="9">
        <f>IF($K135="","",INDEX('سجل التحفيز'!$E$5:$E$2004,MATCH($K135,'سجل التحفيز'!$V$5:$V$2004,0)))</f>
        <v/>
      </c>
      <c r="R135" s="9">
        <f>IF($K135="","",INDEX('سجل التحفيز'!$F$5:$F$2004,MATCH($K135,'سجل التحفيز'!$V$5:$V$2004,0)))</f>
        <v/>
      </c>
      <c r="S135" s="35">
        <f>IF($K135="","",INDEX('سجل التحفيز'!$G$5:$G$2004,MATCH($K135,'سجل التحفيز'!$V$5:$V$2004,0)))</f>
        <v/>
      </c>
    </row>
    <row r="136">
      <c r="B136" s="34">
        <f>IFERROR(INDEX(الموظفات!$B$5:$B$304,MATCH(83,الموظفات!$P$5:$P$304,0)),"")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التحفيز'!$V$5:$V$2004,"&gt;0",'سجل التحفيز'!$B$5:$B$2004,B136))</f>
        <v/>
      </c>
      <c r="E136" s="35">
        <f>IF(B136="","",COUNTIFS('سجل التحفيز'!$V$5:$V$2004,"&gt;0",'سجل التحفيز'!$B$5:$B$2004,B136,'سجل التحفيز'!$D$5:$D$2004,"ذهبي"))</f>
        <v/>
      </c>
      <c r="F136" s="35">
        <f>IF(B136="","",SUMIFS('سجل التحفيز'!$G$5:$G$2004,'سجل التحفيز'!$V$5:$V$2004,"&gt;0",'سجل التحفيز'!$B$5:$B$2004,B136))</f>
        <v/>
      </c>
      <c r="G136" s="35">
        <f>IF(B136="","",COUNTIF($D$54:$D$203,"&gt;"&amp;D136)+1)</f>
        <v/>
      </c>
      <c r="H136" s="35">
        <f>IF(B136="","",INDEX(الموظفات!$L$5:$L$304,MATCH(B136,الموظفات!$B$5:$B$304,0)))</f>
        <v/>
      </c>
      <c r="K136" s="36">
        <f>IF(83&gt;$B$10,"",83)</f>
        <v/>
      </c>
      <c r="L136" s="37">
        <f>IF($K136="","",INDEX('سجل التحفيز'!$A$5:$A$2004,MATCH($K136,'سجل التحفيز'!$V$5:$V$2004,0)))</f>
        <v/>
      </c>
      <c r="M136" s="9">
        <f>IF($K136="","",INDEX('سجل التحفيز'!$B$5:$B$2004,MATCH($K136,'سجل التحفيز'!$V$5:$V$2004,0)))</f>
        <v/>
      </c>
      <c r="N136" s="9">
        <f>IF($K136="","",INDEX('سجل التحفيز'!$M$5:$M$2004,MATCH($K136,'سجل التحفيز'!$V$5:$V$2004,0)))</f>
        <v/>
      </c>
      <c r="O136" s="9">
        <f>IF($K136="","",INDEX('سجل التحفيز'!$C$5:$C$2004,MATCH($K136,'سجل التحفيز'!$V$5:$V$2004,0)))</f>
        <v/>
      </c>
      <c r="P136" s="36">
        <f>IF($K136="","",INDEX('سجل التحفيز'!$D$5:$D$2004,MATCH($K136,'سجل التحفيز'!$V$5:$V$2004,0)))</f>
        <v/>
      </c>
      <c r="Q136" s="9">
        <f>IF($K136="","",INDEX('سجل التحفيز'!$E$5:$E$2004,MATCH($K136,'سجل التحفيز'!$V$5:$V$2004,0)))</f>
        <v/>
      </c>
      <c r="R136" s="9">
        <f>IF($K136="","",INDEX('سجل التحفيز'!$F$5:$F$2004,MATCH($K136,'سجل التحفيز'!$V$5:$V$2004,0)))</f>
        <v/>
      </c>
      <c r="S136" s="35">
        <f>IF($K136="","",INDEX('سجل التحفيز'!$G$5:$G$2004,MATCH($K136,'سجل التحفيز'!$V$5:$V$2004,0)))</f>
        <v/>
      </c>
    </row>
    <row r="137">
      <c r="B137" s="34">
        <f>IFERROR(INDEX(الموظفات!$B$5:$B$304,MATCH(84,الموظفات!$P$5:$P$304,0)),"")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التحفيز'!$V$5:$V$2004,"&gt;0",'سجل التحفيز'!$B$5:$B$2004,B137))</f>
        <v/>
      </c>
      <c r="E137" s="35">
        <f>IF(B137="","",COUNTIFS('سجل التحفيز'!$V$5:$V$2004,"&gt;0",'سجل التحفيز'!$B$5:$B$2004,B137,'سجل التحفيز'!$D$5:$D$2004,"ذهبي"))</f>
        <v/>
      </c>
      <c r="F137" s="35">
        <f>IF(B137="","",SUMIFS('سجل التحفيز'!$G$5:$G$2004,'سجل التحفيز'!$V$5:$V$2004,"&gt;0",'سجل التحفيز'!$B$5:$B$2004,B137))</f>
        <v/>
      </c>
      <c r="G137" s="35">
        <f>IF(B137="","",COUNTIF($D$54:$D$203,"&gt;"&amp;D137)+1)</f>
        <v/>
      </c>
      <c r="H137" s="35">
        <f>IF(B137="","",INDEX(الموظفات!$L$5:$L$304,MATCH(B137,الموظفات!$B$5:$B$304,0)))</f>
        <v/>
      </c>
      <c r="K137" s="36">
        <f>IF(84&gt;$B$10,"",84)</f>
        <v/>
      </c>
      <c r="L137" s="37">
        <f>IF($K137="","",INDEX('سجل التحفيز'!$A$5:$A$2004,MATCH($K137,'سجل التحفيز'!$V$5:$V$2004,0)))</f>
        <v/>
      </c>
      <c r="M137" s="9">
        <f>IF($K137="","",INDEX('سجل التحفيز'!$B$5:$B$2004,MATCH($K137,'سجل التحفيز'!$V$5:$V$2004,0)))</f>
        <v/>
      </c>
      <c r="N137" s="9">
        <f>IF($K137="","",INDEX('سجل التحفيز'!$M$5:$M$2004,MATCH($K137,'سجل التحفيز'!$V$5:$V$2004,0)))</f>
        <v/>
      </c>
      <c r="O137" s="9">
        <f>IF($K137="","",INDEX('سجل التحفيز'!$C$5:$C$2004,MATCH($K137,'سجل التحفيز'!$V$5:$V$2004,0)))</f>
        <v/>
      </c>
      <c r="P137" s="36">
        <f>IF($K137="","",INDEX('سجل التحفيز'!$D$5:$D$2004,MATCH($K137,'سجل التحفيز'!$V$5:$V$2004,0)))</f>
        <v/>
      </c>
      <c r="Q137" s="9">
        <f>IF($K137="","",INDEX('سجل التحفيز'!$E$5:$E$2004,MATCH($K137,'سجل التحفيز'!$V$5:$V$2004,0)))</f>
        <v/>
      </c>
      <c r="R137" s="9">
        <f>IF($K137="","",INDEX('سجل التحفيز'!$F$5:$F$2004,MATCH($K137,'سجل التحفيز'!$V$5:$V$2004,0)))</f>
        <v/>
      </c>
      <c r="S137" s="35">
        <f>IF($K137="","",INDEX('سجل التحفيز'!$G$5:$G$2004,MATCH($K137,'سجل التحفيز'!$V$5:$V$2004,0)))</f>
        <v/>
      </c>
    </row>
    <row r="138">
      <c r="B138" s="34">
        <f>IFERROR(INDEX(الموظفات!$B$5:$B$304,MATCH(85,الموظفات!$P$5:$P$304,0)),"")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التحفيز'!$V$5:$V$2004,"&gt;0",'سجل التحفيز'!$B$5:$B$2004,B138))</f>
        <v/>
      </c>
      <c r="E138" s="35">
        <f>IF(B138="","",COUNTIFS('سجل التحفيز'!$V$5:$V$2004,"&gt;0",'سجل التحفيز'!$B$5:$B$2004,B138,'سجل التحفيز'!$D$5:$D$2004,"ذهبي"))</f>
        <v/>
      </c>
      <c r="F138" s="35">
        <f>IF(B138="","",SUMIFS('سجل التحفيز'!$G$5:$G$2004,'سجل التحفيز'!$V$5:$V$2004,"&gt;0",'سجل التحفيز'!$B$5:$B$2004,B138))</f>
        <v/>
      </c>
      <c r="G138" s="35">
        <f>IF(B138="","",COUNTIF($D$54:$D$203,"&gt;"&amp;D138)+1)</f>
        <v/>
      </c>
      <c r="H138" s="35">
        <f>IF(B138="","",INDEX(الموظفات!$L$5:$L$304,MATCH(B138,الموظفات!$B$5:$B$304,0)))</f>
        <v/>
      </c>
      <c r="K138" s="36">
        <f>IF(85&gt;$B$10,"",85)</f>
        <v/>
      </c>
      <c r="L138" s="37">
        <f>IF($K138="","",INDEX('سجل التحفيز'!$A$5:$A$2004,MATCH($K138,'سجل التحفيز'!$V$5:$V$2004,0)))</f>
        <v/>
      </c>
      <c r="M138" s="9">
        <f>IF($K138="","",INDEX('سجل التحفيز'!$B$5:$B$2004,MATCH($K138,'سجل التحفيز'!$V$5:$V$2004,0)))</f>
        <v/>
      </c>
      <c r="N138" s="9">
        <f>IF($K138="","",INDEX('سجل التحفيز'!$M$5:$M$2004,MATCH($K138,'سجل التحفيز'!$V$5:$V$2004,0)))</f>
        <v/>
      </c>
      <c r="O138" s="9">
        <f>IF($K138="","",INDEX('سجل التحفيز'!$C$5:$C$2004,MATCH($K138,'سجل التحفيز'!$V$5:$V$2004,0)))</f>
        <v/>
      </c>
      <c r="P138" s="36">
        <f>IF($K138="","",INDEX('سجل التحفيز'!$D$5:$D$2004,MATCH($K138,'سجل التحفيز'!$V$5:$V$2004,0)))</f>
        <v/>
      </c>
      <c r="Q138" s="9">
        <f>IF($K138="","",INDEX('سجل التحفيز'!$E$5:$E$2004,MATCH($K138,'سجل التحفيز'!$V$5:$V$2004,0)))</f>
        <v/>
      </c>
      <c r="R138" s="9">
        <f>IF($K138="","",INDEX('سجل التحفيز'!$F$5:$F$2004,MATCH($K138,'سجل التحفيز'!$V$5:$V$2004,0)))</f>
        <v/>
      </c>
      <c r="S138" s="35">
        <f>IF($K138="","",INDEX('سجل التحفيز'!$G$5:$G$2004,MATCH($K138,'سجل التحفيز'!$V$5:$V$2004,0)))</f>
        <v/>
      </c>
    </row>
    <row r="139">
      <c r="B139" s="34">
        <f>IFERROR(INDEX(الموظفات!$B$5:$B$304,MATCH(86,الموظفات!$P$5:$P$304,0)),"")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التحفيز'!$V$5:$V$2004,"&gt;0",'سجل التحفيز'!$B$5:$B$2004,B139))</f>
        <v/>
      </c>
      <c r="E139" s="35">
        <f>IF(B139="","",COUNTIFS('سجل التحفيز'!$V$5:$V$2004,"&gt;0",'سجل التحفيز'!$B$5:$B$2004,B139,'سجل التحفيز'!$D$5:$D$2004,"ذهبي"))</f>
        <v/>
      </c>
      <c r="F139" s="35">
        <f>IF(B139="","",SUMIFS('سجل التحفيز'!$G$5:$G$2004,'سجل التحفيز'!$V$5:$V$2004,"&gt;0",'سجل التحفيز'!$B$5:$B$2004,B139))</f>
        <v/>
      </c>
      <c r="G139" s="35">
        <f>IF(B139="","",COUNTIF($D$54:$D$203,"&gt;"&amp;D139)+1)</f>
        <v/>
      </c>
      <c r="H139" s="35">
        <f>IF(B139="","",INDEX(الموظفات!$L$5:$L$304,MATCH(B139,الموظفات!$B$5:$B$304,0)))</f>
        <v/>
      </c>
      <c r="K139" s="36">
        <f>IF(86&gt;$B$10,"",86)</f>
        <v/>
      </c>
      <c r="L139" s="37">
        <f>IF($K139="","",INDEX('سجل التحفيز'!$A$5:$A$2004,MATCH($K139,'سجل التحفيز'!$V$5:$V$2004,0)))</f>
        <v/>
      </c>
      <c r="M139" s="9">
        <f>IF($K139="","",INDEX('سجل التحفيز'!$B$5:$B$2004,MATCH($K139,'سجل التحفيز'!$V$5:$V$2004,0)))</f>
        <v/>
      </c>
      <c r="N139" s="9">
        <f>IF($K139="","",INDEX('سجل التحفيز'!$M$5:$M$2004,MATCH($K139,'سجل التحفيز'!$V$5:$V$2004,0)))</f>
        <v/>
      </c>
      <c r="O139" s="9">
        <f>IF($K139="","",INDEX('سجل التحفيز'!$C$5:$C$2004,MATCH($K139,'سجل التحفيز'!$V$5:$V$2004,0)))</f>
        <v/>
      </c>
      <c r="P139" s="36">
        <f>IF($K139="","",INDEX('سجل التحفيز'!$D$5:$D$2004,MATCH($K139,'سجل التحفيز'!$V$5:$V$2004,0)))</f>
        <v/>
      </c>
      <c r="Q139" s="9">
        <f>IF($K139="","",INDEX('سجل التحفيز'!$E$5:$E$2004,MATCH($K139,'سجل التحفيز'!$V$5:$V$2004,0)))</f>
        <v/>
      </c>
      <c r="R139" s="9">
        <f>IF($K139="","",INDEX('سجل التحفيز'!$F$5:$F$2004,MATCH($K139,'سجل التحفيز'!$V$5:$V$2004,0)))</f>
        <v/>
      </c>
      <c r="S139" s="35">
        <f>IF($K139="","",INDEX('سجل التحفيز'!$G$5:$G$2004,MATCH($K139,'سجل التحفيز'!$V$5:$V$2004,0)))</f>
        <v/>
      </c>
    </row>
    <row r="140">
      <c r="B140" s="34">
        <f>IFERROR(INDEX(الموظفات!$B$5:$B$304,MATCH(87,الموظفات!$P$5:$P$304,0)),"")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التحفيز'!$V$5:$V$2004,"&gt;0",'سجل التحفيز'!$B$5:$B$2004,B140))</f>
        <v/>
      </c>
      <c r="E140" s="35">
        <f>IF(B140="","",COUNTIFS('سجل التحفيز'!$V$5:$V$2004,"&gt;0",'سجل التحفيز'!$B$5:$B$2004,B140,'سجل التحفيز'!$D$5:$D$2004,"ذهبي"))</f>
        <v/>
      </c>
      <c r="F140" s="35">
        <f>IF(B140="","",SUMIFS('سجل التحفيز'!$G$5:$G$2004,'سجل التحفيز'!$V$5:$V$2004,"&gt;0",'سجل التحفيز'!$B$5:$B$2004,B140))</f>
        <v/>
      </c>
      <c r="G140" s="35">
        <f>IF(B140="","",COUNTIF($D$54:$D$203,"&gt;"&amp;D140)+1)</f>
        <v/>
      </c>
      <c r="H140" s="35">
        <f>IF(B140="","",INDEX(الموظفات!$L$5:$L$304,MATCH(B140,الموظفات!$B$5:$B$304,0)))</f>
        <v/>
      </c>
      <c r="K140" s="36">
        <f>IF(87&gt;$B$10,"",87)</f>
        <v/>
      </c>
      <c r="L140" s="37">
        <f>IF($K140="","",INDEX('سجل التحفيز'!$A$5:$A$2004,MATCH($K140,'سجل التحفيز'!$V$5:$V$2004,0)))</f>
        <v/>
      </c>
      <c r="M140" s="9">
        <f>IF($K140="","",INDEX('سجل التحفيز'!$B$5:$B$2004,MATCH($K140,'سجل التحفيز'!$V$5:$V$2004,0)))</f>
        <v/>
      </c>
      <c r="N140" s="9">
        <f>IF($K140="","",INDEX('سجل التحفيز'!$M$5:$M$2004,MATCH($K140,'سجل التحفيز'!$V$5:$V$2004,0)))</f>
        <v/>
      </c>
      <c r="O140" s="9">
        <f>IF($K140="","",INDEX('سجل التحفيز'!$C$5:$C$2004,MATCH($K140,'سجل التحفيز'!$V$5:$V$2004,0)))</f>
        <v/>
      </c>
      <c r="P140" s="36">
        <f>IF($K140="","",INDEX('سجل التحفيز'!$D$5:$D$2004,MATCH($K140,'سجل التحفيز'!$V$5:$V$2004,0)))</f>
        <v/>
      </c>
      <c r="Q140" s="9">
        <f>IF($K140="","",INDEX('سجل التحفيز'!$E$5:$E$2004,MATCH($K140,'سجل التحفيز'!$V$5:$V$2004,0)))</f>
        <v/>
      </c>
      <c r="R140" s="9">
        <f>IF($K140="","",INDEX('سجل التحفيز'!$F$5:$F$2004,MATCH($K140,'سجل التحفيز'!$V$5:$V$2004,0)))</f>
        <v/>
      </c>
      <c r="S140" s="35">
        <f>IF($K140="","",INDEX('سجل التحفيز'!$G$5:$G$2004,MATCH($K140,'سجل التحفيز'!$V$5:$V$2004,0)))</f>
        <v/>
      </c>
    </row>
    <row r="141">
      <c r="B141" s="34">
        <f>IFERROR(INDEX(الموظفات!$B$5:$B$304,MATCH(88,الموظفات!$P$5:$P$304,0)),"")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التحفيز'!$V$5:$V$2004,"&gt;0",'سجل التحفيز'!$B$5:$B$2004,B141))</f>
        <v/>
      </c>
      <c r="E141" s="35">
        <f>IF(B141="","",COUNTIFS('سجل التحفيز'!$V$5:$V$2004,"&gt;0",'سجل التحفيز'!$B$5:$B$2004,B141,'سجل التحفيز'!$D$5:$D$2004,"ذهبي"))</f>
        <v/>
      </c>
      <c r="F141" s="35">
        <f>IF(B141="","",SUMIFS('سجل التحفيز'!$G$5:$G$2004,'سجل التحفيز'!$V$5:$V$2004,"&gt;0",'سجل التحفيز'!$B$5:$B$2004,B141))</f>
        <v/>
      </c>
      <c r="G141" s="35">
        <f>IF(B141="","",COUNTIF($D$54:$D$203,"&gt;"&amp;D141)+1)</f>
        <v/>
      </c>
      <c r="H141" s="35">
        <f>IF(B141="","",INDEX(الموظفات!$L$5:$L$304,MATCH(B141,الموظفات!$B$5:$B$304,0)))</f>
        <v/>
      </c>
      <c r="K141" s="36">
        <f>IF(88&gt;$B$10,"",88)</f>
        <v/>
      </c>
      <c r="L141" s="37">
        <f>IF($K141="","",INDEX('سجل التحفيز'!$A$5:$A$2004,MATCH($K141,'سجل التحفيز'!$V$5:$V$2004,0)))</f>
        <v/>
      </c>
      <c r="M141" s="9">
        <f>IF($K141="","",INDEX('سجل التحفيز'!$B$5:$B$2004,MATCH($K141,'سجل التحفيز'!$V$5:$V$2004,0)))</f>
        <v/>
      </c>
      <c r="N141" s="9">
        <f>IF($K141="","",INDEX('سجل التحفيز'!$M$5:$M$2004,MATCH($K141,'سجل التحفيز'!$V$5:$V$2004,0)))</f>
        <v/>
      </c>
      <c r="O141" s="9">
        <f>IF($K141="","",INDEX('سجل التحفيز'!$C$5:$C$2004,MATCH($K141,'سجل التحفيز'!$V$5:$V$2004,0)))</f>
        <v/>
      </c>
      <c r="P141" s="36">
        <f>IF($K141="","",INDEX('سجل التحفيز'!$D$5:$D$2004,MATCH($K141,'سجل التحفيز'!$V$5:$V$2004,0)))</f>
        <v/>
      </c>
      <c r="Q141" s="9">
        <f>IF($K141="","",INDEX('سجل التحفيز'!$E$5:$E$2004,MATCH($K141,'سجل التحفيز'!$V$5:$V$2004,0)))</f>
        <v/>
      </c>
      <c r="R141" s="9">
        <f>IF($K141="","",INDEX('سجل التحفيز'!$F$5:$F$2004,MATCH($K141,'سجل التحفيز'!$V$5:$V$2004,0)))</f>
        <v/>
      </c>
      <c r="S141" s="35">
        <f>IF($K141="","",INDEX('سجل التحفيز'!$G$5:$G$2004,MATCH($K141,'سجل التحفيز'!$V$5:$V$2004,0)))</f>
        <v/>
      </c>
    </row>
    <row r="142">
      <c r="B142" s="34">
        <f>IFERROR(INDEX(الموظفات!$B$5:$B$304,MATCH(89,الموظفات!$P$5:$P$304,0)),"")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التحفيز'!$V$5:$V$2004,"&gt;0",'سجل التحفيز'!$B$5:$B$2004,B142))</f>
        <v/>
      </c>
      <c r="E142" s="35">
        <f>IF(B142="","",COUNTIFS('سجل التحفيز'!$V$5:$V$2004,"&gt;0",'سجل التحفيز'!$B$5:$B$2004,B142,'سجل التحفيز'!$D$5:$D$2004,"ذهبي"))</f>
        <v/>
      </c>
      <c r="F142" s="35">
        <f>IF(B142="","",SUMIFS('سجل التحفيز'!$G$5:$G$2004,'سجل التحفيز'!$V$5:$V$2004,"&gt;0",'سجل التحفيز'!$B$5:$B$2004,B142))</f>
        <v/>
      </c>
      <c r="G142" s="35">
        <f>IF(B142="","",COUNTIF($D$54:$D$203,"&gt;"&amp;D142)+1)</f>
        <v/>
      </c>
      <c r="H142" s="35">
        <f>IF(B142="","",INDEX(الموظفات!$L$5:$L$304,MATCH(B142,الموظفات!$B$5:$B$304,0)))</f>
        <v/>
      </c>
      <c r="K142" s="36">
        <f>IF(89&gt;$B$10,"",89)</f>
        <v/>
      </c>
      <c r="L142" s="37">
        <f>IF($K142="","",INDEX('سجل التحفيز'!$A$5:$A$2004,MATCH($K142,'سجل التحفيز'!$V$5:$V$2004,0)))</f>
        <v/>
      </c>
      <c r="M142" s="9">
        <f>IF($K142="","",INDEX('سجل التحفيز'!$B$5:$B$2004,MATCH($K142,'سجل التحفيز'!$V$5:$V$2004,0)))</f>
        <v/>
      </c>
      <c r="N142" s="9">
        <f>IF($K142="","",INDEX('سجل التحفيز'!$M$5:$M$2004,MATCH($K142,'سجل التحفيز'!$V$5:$V$2004,0)))</f>
        <v/>
      </c>
      <c r="O142" s="9">
        <f>IF($K142="","",INDEX('سجل التحفيز'!$C$5:$C$2004,MATCH($K142,'سجل التحفيز'!$V$5:$V$2004,0)))</f>
        <v/>
      </c>
      <c r="P142" s="36">
        <f>IF($K142="","",INDEX('سجل التحفيز'!$D$5:$D$2004,MATCH($K142,'سجل التحفيز'!$V$5:$V$2004,0)))</f>
        <v/>
      </c>
      <c r="Q142" s="9">
        <f>IF($K142="","",INDEX('سجل التحفيز'!$E$5:$E$2004,MATCH($K142,'سجل التحفيز'!$V$5:$V$2004,0)))</f>
        <v/>
      </c>
      <c r="R142" s="9">
        <f>IF($K142="","",INDEX('سجل التحفيز'!$F$5:$F$2004,MATCH($K142,'سجل التحفيز'!$V$5:$V$2004,0)))</f>
        <v/>
      </c>
      <c r="S142" s="35">
        <f>IF($K142="","",INDEX('سجل التحفيز'!$G$5:$G$2004,MATCH($K142,'سجل التحفيز'!$V$5:$V$2004,0)))</f>
        <v/>
      </c>
    </row>
    <row r="143">
      <c r="B143" s="34">
        <f>IFERROR(INDEX(الموظفات!$B$5:$B$304,MATCH(90,الموظفات!$P$5:$P$304,0)),"")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التحفيز'!$V$5:$V$2004,"&gt;0",'سجل التحفيز'!$B$5:$B$2004,B143))</f>
        <v/>
      </c>
      <c r="E143" s="35">
        <f>IF(B143="","",COUNTIFS('سجل التحفيز'!$V$5:$V$2004,"&gt;0",'سجل التحفيز'!$B$5:$B$2004,B143,'سجل التحفيز'!$D$5:$D$2004,"ذهبي"))</f>
        <v/>
      </c>
      <c r="F143" s="35">
        <f>IF(B143="","",SUMIFS('سجل التحفيز'!$G$5:$G$2004,'سجل التحفيز'!$V$5:$V$2004,"&gt;0",'سجل التحفيز'!$B$5:$B$2004,B143))</f>
        <v/>
      </c>
      <c r="G143" s="35">
        <f>IF(B143="","",COUNTIF($D$54:$D$203,"&gt;"&amp;D143)+1)</f>
        <v/>
      </c>
      <c r="H143" s="35">
        <f>IF(B143="","",INDEX(الموظفات!$L$5:$L$304,MATCH(B143,الموظفات!$B$5:$B$304,0)))</f>
        <v/>
      </c>
      <c r="K143" s="36">
        <f>IF(90&gt;$B$10,"",90)</f>
        <v/>
      </c>
      <c r="L143" s="37">
        <f>IF($K143="","",INDEX('سجل التحفيز'!$A$5:$A$2004,MATCH($K143,'سجل التحفيز'!$V$5:$V$2004,0)))</f>
        <v/>
      </c>
      <c r="M143" s="9">
        <f>IF($K143="","",INDEX('سجل التحفيز'!$B$5:$B$2004,MATCH($K143,'سجل التحفيز'!$V$5:$V$2004,0)))</f>
        <v/>
      </c>
      <c r="N143" s="9">
        <f>IF($K143="","",INDEX('سجل التحفيز'!$M$5:$M$2004,MATCH($K143,'سجل التحفيز'!$V$5:$V$2004,0)))</f>
        <v/>
      </c>
      <c r="O143" s="9">
        <f>IF($K143="","",INDEX('سجل التحفيز'!$C$5:$C$2004,MATCH($K143,'سجل التحفيز'!$V$5:$V$2004,0)))</f>
        <v/>
      </c>
      <c r="P143" s="36">
        <f>IF($K143="","",INDEX('سجل التحفيز'!$D$5:$D$2004,MATCH($K143,'سجل التحفيز'!$V$5:$V$2004,0)))</f>
        <v/>
      </c>
      <c r="Q143" s="9">
        <f>IF($K143="","",INDEX('سجل التحفيز'!$E$5:$E$2004,MATCH($K143,'سجل التحفيز'!$V$5:$V$2004,0)))</f>
        <v/>
      </c>
      <c r="R143" s="9">
        <f>IF($K143="","",INDEX('سجل التحفيز'!$F$5:$F$2004,MATCH($K143,'سجل التحفيز'!$V$5:$V$2004,0)))</f>
        <v/>
      </c>
      <c r="S143" s="35">
        <f>IF($K143="","",INDEX('سجل التحفيز'!$G$5:$G$2004,MATCH($K143,'سجل التحفيز'!$V$5:$V$2004,0)))</f>
        <v/>
      </c>
    </row>
    <row r="144">
      <c r="B144" s="34">
        <f>IFERROR(INDEX(الموظفات!$B$5:$B$304,MATCH(91,الموظفات!$P$5:$P$304,0)),"")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التحفيز'!$V$5:$V$2004,"&gt;0",'سجل التحفيز'!$B$5:$B$2004,B144))</f>
        <v/>
      </c>
      <c r="E144" s="35">
        <f>IF(B144="","",COUNTIFS('سجل التحفيز'!$V$5:$V$2004,"&gt;0",'سجل التحفيز'!$B$5:$B$2004,B144,'سجل التحفيز'!$D$5:$D$2004,"ذهبي"))</f>
        <v/>
      </c>
      <c r="F144" s="35">
        <f>IF(B144="","",SUMIFS('سجل التحفيز'!$G$5:$G$2004,'سجل التحفيز'!$V$5:$V$2004,"&gt;0",'سجل التحفيز'!$B$5:$B$2004,B144))</f>
        <v/>
      </c>
      <c r="G144" s="35">
        <f>IF(B144="","",COUNTIF($D$54:$D$203,"&gt;"&amp;D144)+1)</f>
        <v/>
      </c>
      <c r="H144" s="35">
        <f>IF(B144="","",INDEX(الموظفات!$L$5:$L$304,MATCH(B144,الموظفات!$B$5:$B$304,0)))</f>
        <v/>
      </c>
      <c r="K144" s="36">
        <f>IF(91&gt;$B$10,"",91)</f>
        <v/>
      </c>
      <c r="L144" s="37">
        <f>IF($K144="","",INDEX('سجل التحفيز'!$A$5:$A$2004,MATCH($K144,'سجل التحفيز'!$V$5:$V$2004,0)))</f>
        <v/>
      </c>
      <c r="M144" s="9">
        <f>IF($K144="","",INDEX('سجل التحفيز'!$B$5:$B$2004,MATCH($K144,'سجل التحفيز'!$V$5:$V$2004,0)))</f>
        <v/>
      </c>
      <c r="N144" s="9">
        <f>IF($K144="","",INDEX('سجل التحفيز'!$M$5:$M$2004,MATCH($K144,'سجل التحفيز'!$V$5:$V$2004,0)))</f>
        <v/>
      </c>
      <c r="O144" s="9">
        <f>IF($K144="","",INDEX('سجل التحفيز'!$C$5:$C$2004,MATCH($K144,'سجل التحفيز'!$V$5:$V$2004,0)))</f>
        <v/>
      </c>
      <c r="P144" s="36">
        <f>IF($K144="","",INDEX('سجل التحفيز'!$D$5:$D$2004,MATCH($K144,'سجل التحفيز'!$V$5:$V$2004,0)))</f>
        <v/>
      </c>
      <c r="Q144" s="9">
        <f>IF($K144="","",INDEX('سجل التحفيز'!$E$5:$E$2004,MATCH($K144,'سجل التحفيز'!$V$5:$V$2004,0)))</f>
        <v/>
      </c>
      <c r="R144" s="9">
        <f>IF($K144="","",INDEX('سجل التحفيز'!$F$5:$F$2004,MATCH($K144,'سجل التحفيز'!$V$5:$V$2004,0)))</f>
        <v/>
      </c>
      <c r="S144" s="35">
        <f>IF($K144="","",INDEX('سجل التحفيز'!$G$5:$G$2004,MATCH($K144,'سجل التحفيز'!$V$5:$V$2004,0)))</f>
        <v/>
      </c>
    </row>
    <row r="145">
      <c r="B145" s="34">
        <f>IFERROR(INDEX(الموظفات!$B$5:$B$304,MATCH(92,الموظفات!$P$5:$P$304,0)),"")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التحفيز'!$V$5:$V$2004,"&gt;0",'سجل التحفيز'!$B$5:$B$2004,B145))</f>
        <v/>
      </c>
      <c r="E145" s="35">
        <f>IF(B145="","",COUNTIFS('سجل التحفيز'!$V$5:$V$2004,"&gt;0",'سجل التحفيز'!$B$5:$B$2004,B145,'سجل التحفيز'!$D$5:$D$2004,"ذهبي"))</f>
        <v/>
      </c>
      <c r="F145" s="35">
        <f>IF(B145="","",SUMIFS('سجل التحفيز'!$G$5:$G$2004,'سجل التحفيز'!$V$5:$V$2004,"&gt;0",'سجل التحفيز'!$B$5:$B$2004,B145))</f>
        <v/>
      </c>
      <c r="G145" s="35">
        <f>IF(B145="","",COUNTIF($D$54:$D$203,"&gt;"&amp;D145)+1)</f>
        <v/>
      </c>
      <c r="H145" s="35">
        <f>IF(B145="","",INDEX(الموظفات!$L$5:$L$304,MATCH(B145,الموظفات!$B$5:$B$304,0)))</f>
        <v/>
      </c>
      <c r="K145" s="36">
        <f>IF(92&gt;$B$10,"",92)</f>
        <v/>
      </c>
      <c r="L145" s="37">
        <f>IF($K145="","",INDEX('سجل التحفيز'!$A$5:$A$2004,MATCH($K145,'سجل التحفيز'!$V$5:$V$2004,0)))</f>
        <v/>
      </c>
      <c r="M145" s="9">
        <f>IF($K145="","",INDEX('سجل التحفيز'!$B$5:$B$2004,MATCH($K145,'سجل التحفيز'!$V$5:$V$2004,0)))</f>
        <v/>
      </c>
      <c r="N145" s="9">
        <f>IF($K145="","",INDEX('سجل التحفيز'!$M$5:$M$2004,MATCH($K145,'سجل التحفيز'!$V$5:$V$2004,0)))</f>
        <v/>
      </c>
      <c r="O145" s="9">
        <f>IF($K145="","",INDEX('سجل التحفيز'!$C$5:$C$2004,MATCH($K145,'سجل التحفيز'!$V$5:$V$2004,0)))</f>
        <v/>
      </c>
      <c r="P145" s="36">
        <f>IF($K145="","",INDEX('سجل التحفيز'!$D$5:$D$2004,MATCH($K145,'سجل التحفيز'!$V$5:$V$2004,0)))</f>
        <v/>
      </c>
      <c r="Q145" s="9">
        <f>IF($K145="","",INDEX('سجل التحفيز'!$E$5:$E$2004,MATCH($K145,'سجل التحفيز'!$V$5:$V$2004,0)))</f>
        <v/>
      </c>
      <c r="R145" s="9">
        <f>IF($K145="","",INDEX('سجل التحفيز'!$F$5:$F$2004,MATCH($K145,'سجل التحفيز'!$V$5:$V$2004,0)))</f>
        <v/>
      </c>
      <c r="S145" s="35">
        <f>IF($K145="","",INDEX('سجل التحفيز'!$G$5:$G$2004,MATCH($K145,'سجل التحفيز'!$V$5:$V$2004,0)))</f>
        <v/>
      </c>
    </row>
    <row r="146">
      <c r="B146" s="34">
        <f>IFERROR(INDEX(الموظفات!$B$5:$B$304,MATCH(93,الموظفات!$P$5:$P$304,0)),"")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التحفيز'!$V$5:$V$2004,"&gt;0",'سجل التحفيز'!$B$5:$B$2004,B146))</f>
        <v/>
      </c>
      <c r="E146" s="35">
        <f>IF(B146="","",COUNTIFS('سجل التحفيز'!$V$5:$V$2004,"&gt;0",'سجل التحفيز'!$B$5:$B$2004,B146,'سجل التحفيز'!$D$5:$D$2004,"ذهبي"))</f>
        <v/>
      </c>
      <c r="F146" s="35">
        <f>IF(B146="","",SUMIFS('سجل التحفيز'!$G$5:$G$2004,'سجل التحفيز'!$V$5:$V$2004,"&gt;0",'سجل التحفيز'!$B$5:$B$2004,B146))</f>
        <v/>
      </c>
      <c r="G146" s="35">
        <f>IF(B146="","",COUNTIF($D$54:$D$203,"&gt;"&amp;D146)+1)</f>
        <v/>
      </c>
      <c r="H146" s="35">
        <f>IF(B146="","",INDEX(الموظفات!$L$5:$L$304,MATCH(B146,الموظفات!$B$5:$B$304,0)))</f>
        <v/>
      </c>
      <c r="K146" s="36">
        <f>IF(93&gt;$B$10,"",93)</f>
        <v/>
      </c>
      <c r="L146" s="37">
        <f>IF($K146="","",INDEX('سجل التحفيز'!$A$5:$A$2004,MATCH($K146,'سجل التحفيز'!$V$5:$V$2004,0)))</f>
        <v/>
      </c>
      <c r="M146" s="9">
        <f>IF($K146="","",INDEX('سجل التحفيز'!$B$5:$B$2004,MATCH($K146,'سجل التحفيز'!$V$5:$V$2004,0)))</f>
        <v/>
      </c>
      <c r="N146" s="9">
        <f>IF($K146="","",INDEX('سجل التحفيز'!$M$5:$M$2004,MATCH($K146,'سجل التحفيز'!$V$5:$V$2004,0)))</f>
        <v/>
      </c>
      <c r="O146" s="9">
        <f>IF($K146="","",INDEX('سجل التحفيز'!$C$5:$C$2004,MATCH($K146,'سجل التحفيز'!$V$5:$V$2004,0)))</f>
        <v/>
      </c>
      <c r="P146" s="36">
        <f>IF($K146="","",INDEX('سجل التحفيز'!$D$5:$D$2004,MATCH($K146,'سجل التحفيز'!$V$5:$V$2004,0)))</f>
        <v/>
      </c>
      <c r="Q146" s="9">
        <f>IF($K146="","",INDEX('سجل التحفيز'!$E$5:$E$2004,MATCH($K146,'سجل التحفيز'!$V$5:$V$2004,0)))</f>
        <v/>
      </c>
      <c r="R146" s="9">
        <f>IF($K146="","",INDEX('سجل التحفيز'!$F$5:$F$2004,MATCH($K146,'سجل التحفيز'!$V$5:$V$2004,0)))</f>
        <v/>
      </c>
      <c r="S146" s="35">
        <f>IF($K146="","",INDEX('سجل التحفيز'!$G$5:$G$2004,MATCH($K146,'سجل التحفيز'!$V$5:$V$2004,0)))</f>
        <v/>
      </c>
    </row>
    <row r="147">
      <c r="B147" s="34">
        <f>IFERROR(INDEX(الموظفات!$B$5:$B$304,MATCH(94,الموظفات!$P$5:$P$304,0)),"")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التحفيز'!$V$5:$V$2004,"&gt;0",'سجل التحفيز'!$B$5:$B$2004,B147))</f>
        <v/>
      </c>
      <c r="E147" s="35">
        <f>IF(B147="","",COUNTIFS('سجل التحفيز'!$V$5:$V$2004,"&gt;0",'سجل التحفيز'!$B$5:$B$2004,B147,'سجل التحفيز'!$D$5:$D$2004,"ذهبي"))</f>
        <v/>
      </c>
      <c r="F147" s="35">
        <f>IF(B147="","",SUMIFS('سجل التحفيز'!$G$5:$G$2004,'سجل التحفيز'!$V$5:$V$2004,"&gt;0",'سجل التحفيز'!$B$5:$B$2004,B147))</f>
        <v/>
      </c>
      <c r="G147" s="35">
        <f>IF(B147="","",COUNTIF($D$54:$D$203,"&gt;"&amp;D147)+1)</f>
        <v/>
      </c>
      <c r="H147" s="35">
        <f>IF(B147="","",INDEX(الموظفات!$L$5:$L$304,MATCH(B147,الموظفات!$B$5:$B$304,0)))</f>
        <v/>
      </c>
      <c r="K147" s="36">
        <f>IF(94&gt;$B$10,"",94)</f>
        <v/>
      </c>
      <c r="L147" s="37">
        <f>IF($K147="","",INDEX('سجل التحفيز'!$A$5:$A$2004,MATCH($K147,'سجل التحفيز'!$V$5:$V$2004,0)))</f>
        <v/>
      </c>
      <c r="M147" s="9">
        <f>IF($K147="","",INDEX('سجل التحفيز'!$B$5:$B$2004,MATCH($K147,'سجل التحفيز'!$V$5:$V$2004,0)))</f>
        <v/>
      </c>
      <c r="N147" s="9">
        <f>IF($K147="","",INDEX('سجل التحفيز'!$M$5:$M$2004,MATCH($K147,'سجل التحفيز'!$V$5:$V$2004,0)))</f>
        <v/>
      </c>
      <c r="O147" s="9">
        <f>IF($K147="","",INDEX('سجل التحفيز'!$C$5:$C$2004,MATCH($K147,'سجل التحفيز'!$V$5:$V$2004,0)))</f>
        <v/>
      </c>
      <c r="P147" s="36">
        <f>IF($K147="","",INDEX('سجل التحفيز'!$D$5:$D$2004,MATCH($K147,'سجل التحفيز'!$V$5:$V$2004,0)))</f>
        <v/>
      </c>
      <c r="Q147" s="9">
        <f>IF($K147="","",INDEX('سجل التحفيز'!$E$5:$E$2004,MATCH($K147,'سجل التحفيز'!$V$5:$V$2004,0)))</f>
        <v/>
      </c>
      <c r="R147" s="9">
        <f>IF($K147="","",INDEX('سجل التحفيز'!$F$5:$F$2004,MATCH($K147,'سجل التحفيز'!$V$5:$V$2004,0)))</f>
        <v/>
      </c>
      <c r="S147" s="35">
        <f>IF($K147="","",INDEX('سجل التحفيز'!$G$5:$G$2004,MATCH($K147,'سجل التحفيز'!$V$5:$V$2004,0)))</f>
        <v/>
      </c>
    </row>
    <row r="148">
      <c r="B148" s="34">
        <f>IFERROR(INDEX(الموظفات!$B$5:$B$304,MATCH(95,الموظفات!$P$5:$P$304,0)),"")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التحفيز'!$V$5:$V$2004,"&gt;0",'سجل التحفيز'!$B$5:$B$2004,B148))</f>
        <v/>
      </c>
      <c r="E148" s="35">
        <f>IF(B148="","",COUNTIFS('سجل التحفيز'!$V$5:$V$2004,"&gt;0",'سجل التحفيز'!$B$5:$B$2004,B148,'سجل التحفيز'!$D$5:$D$2004,"ذهبي"))</f>
        <v/>
      </c>
      <c r="F148" s="35">
        <f>IF(B148="","",SUMIFS('سجل التحفيز'!$G$5:$G$2004,'سجل التحفيز'!$V$5:$V$2004,"&gt;0",'سجل التحفيز'!$B$5:$B$2004,B148))</f>
        <v/>
      </c>
      <c r="G148" s="35">
        <f>IF(B148="","",COUNTIF($D$54:$D$203,"&gt;"&amp;D148)+1)</f>
        <v/>
      </c>
      <c r="H148" s="35">
        <f>IF(B148="","",INDEX(الموظفات!$L$5:$L$304,MATCH(B148,الموظفات!$B$5:$B$304,0)))</f>
        <v/>
      </c>
      <c r="K148" s="36">
        <f>IF(95&gt;$B$10,"",95)</f>
        <v/>
      </c>
      <c r="L148" s="37">
        <f>IF($K148="","",INDEX('سجل التحفيز'!$A$5:$A$2004,MATCH($K148,'سجل التحفيز'!$V$5:$V$2004,0)))</f>
        <v/>
      </c>
      <c r="M148" s="9">
        <f>IF($K148="","",INDEX('سجل التحفيز'!$B$5:$B$2004,MATCH($K148,'سجل التحفيز'!$V$5:$V$2004,0)))</f>
        <v/>
      </c>
      <c r="N148" s="9">
        <f>IF($K148="","",INDEX('سجل التحفيز'!$M$5:$M$2004,MATCH($K148,'سجل التحفيز'!$V$5:$V$2004,0)))</f>
        <v/>
      </c>
      <c r="O148" s="9">
        <f>IF($K148="","",INDEX('سجل التحفيز'!$C$5:$C$2004,MATCH($K148,'سجل التحفيز'!$V$5:$V$2004,0)))</f>
        <v/>
      </c>
      <c r="P148" s="36">
        <f>IF($K148="","",INDEX('سجل التحفيز'!$D$5:$D$2004,MATCH($K148,'سجل التحفيز'!$V$5:$V$2004,0)))</f>
        <v/>
      </c>
      <c r="Q148" s="9">
        <f>IF($K148="","",INDEX('سجل التحفيز'!$E$5:$E$2004,MATCH($K148,'سجل التحفيز'!$V$5:$V$2004,0)))</f>
        <v/>
      </c>
      <c r="R148" s="9">
        <f>IF($K148="","",INDEX('سجل التحفيز'!$F$5:$F$2004,MATCH($K148,'سجل التحفيز'!$V$5:$V$2004,0)))</f>
        <v/>
      </c>
      <c r="S148" s="35">
        <f>IF($K148="","",INDEX('سجل التحفيز'!$G$5:$G$2004,MATCH($K148,'سجل التحفيز'!$V$5:$V$2004,0)))</f>
        <v/>
      </c>
    </row>
    <row r="149">
      <c r="B149" s="34">
        <f>IFERROR(INDEX(الموظفات!$B$5:$B$304,MATCH(96,الموظفات!$P$5:$P$304,0)),"")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التحفيز'!$V$5:$V$2004,"&gt;0",'سجل التحفيز'!$B$5:$B$2004,B149))</f>
        <v/>
      </c>
      <c r="E149" s="35">
        <f>IF(B149="","",COUNTIFS('سجل التحفيز'!$V$5:$V$2004,"&gt;0",'سجل التحفيز'!$B$5:$B$2004,B149,'سجل التحفيز'!$D$5:$D$2004,"ذهبي"))</f>
        <v/>
      </c>
      <c r="F149" s="35">
        <f>IF(B149="","",SUMIFS('سجل التحفيز'!$G$5:$G$2004,'سجل التحفيز'!$V$5:$V$2004,"&gt;0",'سجل التحفيز'!$B$5:$B$2004,B149))</f>
        <v/>
      </c>
      <c r="G149" s="35">
        <f>IF(B149="","",COUNTIF($D$54:$D$203,"&gt;"&amp;D149)+1)</f>
        <v/>
      </c>
      <c r="H149" s="35">
        <f>IF(B149="","",INDEX(الموظفات!$L$5:$L$304,MATCH(B149,الموظفات!$B$5:$B$304,0)))</f>
        <v/>
      </c>
      <c r="K149" s="36">
        <f>IF(96&gt;$B$10,"",96)</f>
        <v/>
      </c>
      <c r="L149" s="37">
        <f>IF($K149="","",INDEX('سجل التحفيز'!$A$5:$A$2004,MATCH($K149,'سجل التحفيز'!$V$5:$V$2004,0)))</f>
        <v/>
      </c>
      <c r="M149" s="9">
        <f>IF($K149="","",INDEX('سجل التحفيز'!$B$5:$B$2004,MATCH($K149,'سجل التحفيز'!$V$5:$V$2004,0)))</f>
        <v/>
      </c>
      <c r="N149" s="9">
        <f>IF($K149="","",INDEX('سجل التحفيز'!$M$5:$M$2004,MATCH($K149,'سجل التحفيز'!$V$5:$V$2004,0)))</f>
        <v/>
      </c>
      <c r="O149" s="9">
        <f>IF($K149="","",INDEX('سجل التحفيز'!$C$5:$C$2004,MATCH($K149,'سجل التحفيز'!$V$5:$V$2004,0)))</f>
        <v/>
      </c>
      <c r="P149" s="36">
        <f>IF($K149="","",INDEX('سجل التحفيز'!$D$5:$D$2004,MATCH($K149,'سجل التحفيز'!$V$5:$V$2004,0)))</f>
        <v/>
      </c>
      <c r="Q149" s="9">
        <f>IF($K149="","",INDEX('سجل التحفيز'!$E$5:$E$2004,MATCH($K149,'سجل التحفيز'!$V$5:$V$2004,0)))</f>
        <v/>
      </c>
      <c r="R149" s="9">
        <f>IF($K149="","",INDEX('سجل التحفيز'!$F$5:$F$2004,MATCH($K149,'سجل التحفيز'!$V$5:$V$2004,0)))</f>
        <v/>
      </c>
      <c r="S149" s="35">
        <f>IF($K149="","",INDEX('سجل التحفيز'!$G$5:$G$2004,MATCH($K149,'سجل التحفيز'!$V$5:$V$2004,0)))</f>
        <v/>
      </c>
    </row>
    <row r="150">
      <c r="B150" s="34">
        <f>IFERROR(INDEX(الموظفات!$B$5:$B$304,MATCH(97,الموظفات!$P$5:$P$304,0)),"")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التحفيز'!$V$5:$V$2004,"&gt;0",'سجل التحفيز'!$B$5:$B$2004,B150))</f>
        <v/>
      </c>
      <c r="E150" s="35">
        <f>IF(B150="","",COUNTIFS('سجل التحفيز'!$V$5:$V$2004,"&gt;0",'سجل التحفيز'!$B$5:$B$2004,B150,'سجل التحفيز'!$D$5:$D$2004,"ذهبي"))</f>
        <v/>
      </c>
      <c r="F150" s="35">
        <f>IF(B150="","",SUMIFS('سجل التحفيز'!$G$5:$G$2004,'سجل التحفيز'!$V$5:$V$2004,"&gt;0",'سجل التحفيز'!$B$5:$B$2004,B150))</f>
        <v/>
      </c>
      <c r="G150" s="35">
        <f>IF(B150="","",COUNTIF($D$54:$D$203,"&gt;"&amp;D150)+1)</f>
        <v/>
      </c>
      <c r="H150" s="35">
        <f>IF(B150="","",INDEX(الموظفات!$L$5:$L$304,MATCH(B150,الموظفات!$B$5:$B$304,0)))</f>
        <v/>
      </c>
      <c r="K150" s="36">
        <f>IF(97&gt;$B$10,"",97)</f>
        <v/>
      </c>
      <c r="L150" s="37">
        <f>IF($K150="","",INDEX('سجل التحفيز'!$A$5:$A$2004,MATCH($K150,'سجل التحفيز'!$V$5:$V$2004,0)))</f>
        <v/>
      </c>
      <c r="M150" s="9">
        <f>IF($K150="","",INDEX('سجل التحفيز'!$B$5:$B$2004,MATCH($K150,'سجل التحفيز'!$V$5:$V$2004,0)))</f>
        <v/>
      </c>
      <c r="N150" s="9">
        <f>IF($K150="","",INDEX('سجل التحفيز'!$M$5:$M$2004,MATCH($K150,'سجل التحفيز'!$V$5:$V$2004,0)))</f>
        <v/>
      </c>
      <c r="O150" s="9">
        <f>IF($K150="","",INDEX('سجل التحفيز'!$C$5:$C$2004,MATCH($K150,'سجل التحفيز'!$V$5:$V$2004,0)))</f>
        <v/>
      </c>
      <c r="P150" s="36">
        <f>IF($K150="","",INDEX('سجل التحفيز'!$D$5:$D$2004,MATCH($K150,'سجل التحفيز'!$V$5:$V$2004,0)))</f>
        <v/>
      </c>
      <c r="Q150" s="9">
        <f>IF($K150="","",INDEX('سجل التحفيز'!$E$5:$E$2004,MATCH($K150,'سجل التحفيز'!$V$5:$V$2004,0)))</f>
        <v/>
      </c>
      <c r="R150" s="9">
        <f>IF($K150="","",INDEX('سجل التحفيز'!$F$5:$F$2004,MATCH($K150,'سجل التحفيز'!$V$5:$V$2004,0)))</f>
        <v/>
      </c>
      <c r="S150" s="35">
        <f>IF($K150="","",INDEX('سجل التحفيز'!$G$5:$G$2004,MATCH($K150,'سجل التحفيز'!$V$5:$V$2004,0)))</f>
        <v/>
      </c>
    </row>
    <row r="151">
      <c r="B151" s="34">
        <f>IFERROR(INDEX(الموظفات!$B$5:$B$304,MATCH(98,الموظفات!$P$5:$P$304,0)),"")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التحفيز'!$V$5:$V$2004,"&gt;0",'سجل التحفيز'!$B$5:$B$2004,B151))</f>
        <v/>
      </c>
      <c r="E151" s="35">
        <f>IF(B151="","",COUNTIFS('سجل التحفيز'!$V$5:$V$2004,"&gt;0",'سجل التحفيز'!$B$5:$B$2004,B151,'سجل التحفيز'!$D$5:$D$2004,"ذهبي"))</f>
        <v/>
      </c>
      <c r="F151" s="35">
        <f>IF(B151="","",SUMIFS('سجل التحفيز'!$G$5:$G$2004,'سجل التحفيز'!$V$5:$V$2004,"&gt;0",'سجل التحفيز'!$B$5:$B$2004,B151))</f>
        <v/>
      </c>
      <c r="G151" s="35">
        <f>IF(B151="","",COUNTIF($D$54:$D$203,"&gt;"&amp;D151)+1)</f>
        <v/>
      </c>
      <c r="H151" s="35">
        <f>IF(B151="","",INDEX(الموظفات!$L$5:$L$304,MATCH(B151,الموظفات!$B$5:$B$304,0)))</f>
        <v/>
      </c>
      <c r="K151" s="36">
        <f>IF(98&gt;$B$10,"",98)</f>
        <v/>
      </c>
      <c r="L151" s="37">
        <f>IF($K151="","",INDEX('سجل التحفيز'!$A$5:$A$2004,MATCH($K151,'سجل التحفيز'!$V$5:$V$2004,0)))</f>
        <v/>
      </c>
      <c r="M151" s="9">
        <f>IF($K151="","",INDEX('سجل التحفيز'!$B$5:$B$2004,MATCH($K151,'سجل التحفيز'!$V$5:$V$2004,0)))</f>
        <v/>
      </c>
      <c r="N151" s="9">
        <f>IF($K151="","",INDEX('سجل التحفيز'!$M$5:$M$2004,MATCH($K151,'سجل التحفيز'!$V$5:$V$2004,0)))</f>
        <v/>
      </c>
      <c r="O151" s="9">
        <f>IF($K151="","",INDEX('سجل التحفيز'!$C$5:$C$2004,MATCH($K151,'سجل التحفيز'!$V$5:$V$2004,0)))</f>
        <v/>
      </c>
      <c r="P151" s="36">
        <f>IF($K151="","",INDEX('سجل التحفيز'!$D$5:$D$2004,MATCH($K151,'سجل التحفيز'!$V$5:$V$2004,0)))</f>
        <v/>
      </c>
      <c r="Q151" s="9">
        <f>IF($K151="","",INDEX('سجل التحفيز'!$E$5:$E$2004,MATCH($K151,'سجل التحفيز'!$V$5:$V$2004,0)))</f>
        <v/>
      </c>
      <c r="R151" s="9">
        <f>IF($K151="","",INDEX('سجل التحفيز'!$F$5:$F$2004,MATCH($K151,'سجل التحفيز'!$V$5:$V$2004,0)))</f>
        <v/>
      </c>
      <c r="S151" s="35">
        <f>IF($K151="","",INDEX('سجل التحفيز'!$G$5:$G$2004,MATCH($K151,'سجل التحفيز'!$V$5:$V$2004,0)))</f>
        <v/>
      </c>
    </row>
    <row r="152">
      <c r="B152" s="34">
        <f>IFERROR(INDEX(الموظفات!$B$5:$B$304,MATCH(99,الموظفات!$P$5:$P$304,0)),"")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التحفيز'!$V$5:$V$2004,"&gt;0",'سجل التحفيز'!$B$5:$B$2004,B152))</f>
        <v/>
      </c>
      <c r="E152" s="35">
        <f>IF(B152="","",COUNTIFS('سجل التحفيز'!$V$5:$V$2004,"&gt;0",'سجل التحفيز'!$B$5:$B$2004,B152,'سجل التحفيز'!$D$5:$D$2004,"ذهبي"))</f>
        <v/>
      </c>
      <c r="F152" s="35">
        <f>IF(B152="","",SUMIFS('سجل التحفيز'!$G$5:$G$2004,'سجل التحفيز'!$V$5:$V$2004,"&gt;0",'سجل التحفيز'!$B$5:$B$2004,B152))</f>
        <v/>
      </c>
      <c r="G152" s="35">
        <f>IF(B152="","",COUNTIF($D$54:$D$203,"&gt;"&amp;D152)+1)</f>
        <v/>
      </c>
      <c r="H152" s="35">
        <f>IF(B152="","",INDEX(الموظفات!$L$5:$L$304,MATCH(B152,الموظفات!$B$5:$B$304,0)))</f>
        <v/>
      </c>
      <c r="K152" s="36">
        <f>IF(99&gt;$B$10,"",99)</f>
        <v/>
      </c>
      <c r="L152" s="37">
        <f>IF($K152="","",INDEX('سجل التحفيز'!$A$5:$A$2004,MATCH($K152,'سجل التحفيز'!$V$5:$V$2004,0)))</f>
        <v/>
      </c>
      <c r="M152" s="9">
        <f>IF($K152="","",INDEX('سجل التحفيز'!$B$5:$B$2004,MATCH($K152,'سجل التحفيز'!$V$5:$V$2004,0)))</f>
        <v/>
      </c>
      <c r="N152" s="9">
        <f>IF($K152="","",INDEX('سجل التحفيز'!$M$5:$M$2004,MATCH($K152,'سجل التحفيز'!$V$5:$V$2004,0)))</f>
        <v/>
      </c>
      <c r="O152" s="9">
        <f>IF($K152="","",INDEX('سجل التحفيز'!$C$5:$C$2004,MATCH($K152,'سجل التحفيز'!$V$5:$V$2004,0)))</f>
        <v/>
      </c>
      <c r="P152" s="36">
        <f>IF($K152="","",INDEX('سجل التحفيز'!$D$5:$D$2004,MATCH($K152,'سجل التحفيز'!$V$5:$V$2004,0)))</f>
        <v/>
      </c>
      <c r="Q152" s="9">
        <f>IF($K152="","",INDEX('سجل التحفيز'!$E$5:$E$2004,MATCH($K152,'سجل التحفيز'!$V$5:$V$2004,0)))</f>
        <v/>
      </c>
      <c r="R152" s="9">
        <f>IF($K152="","",INDEX('سجل التحفيز'!$F$5:$F$2004,MATCH($K152,'سجل التحفيز'!$V$5:$V$2004,0)))</f>
        <v/>
      </c>
      <c r="S152" s="35">
        <f>IF($K152="","",INDEX('سجل التحفيز'!$G$5:$G$2004,MATCH($K152,'سجل التحفيز'!$V$5:$V$2004,0)))</f>
        <v/>
      </c>
    </row>
    <row r="153">
      <c r="B153" s="34">
        <f>IFERROR(INDEX(الموظفات!$B$5:$B$304,MATCH(100,الموظفات!$P$5:$P$304,0)),"")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التحفيز'!$V$5:$V$2004,"&gt;0",'سجل التحفيز'!$B$5:$B$2004,B153))</f>
        <v/>
      </c>
      <c r="E153" s="35">
        <f>IF(B153="","",COUNTIFS('سجل التحفيز'!$V$5:$V$2004,"&gt;0",'سجل التحفيز'!$B$5:$B$2004,B153,'سجل التحفيز'!$D$5:$D$2004,"ذهبي"))</f>
        <v/>
      </c>
      <c r="F153" s="35">
        <f>IF(B153="","",SUMIFS('سجل التحفيز'!$G$5:$G$2004,'سجل التحفيز'!$V$5:$V$2004,"&gt;0",'سجل التحفيز'!$B$5:$B$2004,B153))</f>
        <v/>
      </c>
      <c r="G153" s="35">
        <f>IF(B153="","",COUNTIF($D$54:$D$203,"&gt;"&amp;D153)+1)</f>
        <v/>
      </c>
      <c r="H153" s="35">
        <f>IF(B153="","",INDEX(الموظفات!$L$5:$L$304,MATCH(B153,الموظفات!$B$5:$B$304,0)))</f>
        <v/>
      </c>
      <c r="K153" s="36">
        <f>IF(100&gt;$B$10,"",100)</f>
        <v/>
      </c>
      <c r="L153" s="37">
        <f>IF($K153="","",INDEX('سجل التحفيز'!$A$5:$A$2004,MATCH($K153,'سجل التحفيز'!$V$5:$V$2004,0)))</f>
        <v/>
      </c>
      <c r="M153" s="9">
        <f>IF($K153="","",INDEX('سجل التحفيز'!$B$5:$B$2004,MATCH($K153,'سجل التحفيز'!$V$5:$V$2004,0)))</f>
        <v/>
      </c>
      <c r="N153" s="9">
        <f>IF($K153="","",INDEX('سجل التحفيز'!$M$5:$M$2004,MATCH($K153,'سجل التحفيز'!$V$5:$V$2004,0)))</f>
        <v/>
      </c>
      <c r="O153" s="9">
        <f>IF($K153="","",INDEX('سجل التحفيز'!$C$5:$C$2004,MATCH($K153,'سجل التحفيز'!$V$5:$V$2004,0)))</f>
        <v/>
      </c>
      <c r="P153" s="36">
        <f>IF($K153="","",INDEX('سجل التحفيز'!$D$5:$D$2004,MATCH($K153,'سجل التحفيز'!$V$5:$V$2004,0)))</f>
        <v/>
      </c>
      <c r="Q153" s="9">
        <f>IF($K153="","",INDEX('سجل التحفيز'!$E$5:$E$2004,MATCH($K153,'سجل التحفيز'!$V$5:$V$2004,0)))</f>
        <v/>
      </c>
      <c r="R153" s="9">
        <f>IF($K153="","",INDEX('سجل التحفيز'!$F$5:$F$2004,MATCH($K153,'سجل التحفيز'!$V$5:$V$2004,0)))</f>
        <v/>
      </c>
      <c r="S153" s="35">
        <f>IF($K153="","",INDEX('سجل التحفيز'!$G$5:$G$2004,MATCH($K153,'سجل التحفيز'!$V$5:$V$2004,0)))</f>
        <v/>
      </c>
    </row>
    <row r="154">
      <c r="B154" s="34">
        <f>IFERROR(INDEX(الموظفات!$B$5:$B$304,MATCH(101,الموظفات!$P$5:$P$304,0)),"")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التحفيز'!$V$5:$V$2004,"&gt;0",'سجل التحفيز'!$B$5:$B$2004,B154))</f>
        <v/>
      </c>
      <c r="E154" s="35">
        <f>IF(B154="","",COUNTIFS('سجل التحفيز'!$V$5:$V$2004,"&gt;0",'سجل التحفيز'!$B$5:$B$2004,B154,'سجل التحفيز'!$D$5:$D$2004,"ذهبي"))</f>
        <v/>
      </c>
      <c r="F154" s="35">
        <f>IF(B154="","",SUMIFS('سجل التحفيز'!$G$5:$G$2004,'سجل التحفيز'!$V$5:$V$2004,"&gt;0",'سجل التحفيز'!$B$5:$B$2004,B154))</f>
        <v/>
      </c>
      <c r="G154" s="35">
        <f>IF(B154="","",COUNTIF($D$54:$D$203,"&gt;"&amp;D154)+1)</f>
        <v/>
      </c>
      <c r="H154" s="35">
        <f>IF(B154="","",INDEX(الموظفات!$L$5:$L$304,MATCH(B154,الموظفات!$B$5:$B$304,0)))</f>
        <v/>
      </c>
      <c r="K154" s="36">
        <f>IF(101&gt;$B$10,"",101)</f>
        <v/>
      </c>
      <c r="L154" s="37">
        <f>IF($K154="","",INDEX('سجل التحفيز'!$A$5:$A$2004,MATCH($K154,'سجل التحفيز'!$V$5:$V$2004,0)))</f>
        <v/>
      </c>
      <c r="M154" s="9">
        <f>IF($K154="","",INDEX('سجل التحفيز'!$B$5:$B$2004,MATCH($K154,'سجل التحفيز'!$V$5:$V$2004,0)))</f>
        <v/>
      </c>
      <c r="N154" s="9">
        <f>IF($K154="","",INDEX('سجل التحفيز'!$M$5:$M$2004,MATCH($K154,'سجل التحفيز'!$V$5:$V$2004,0)))</f>
        <v/>
      </c>
      <c r="O154" s="9">
        <f>IF($K154="","",INDEX('سجل التحفيز'!$C$5:$C$2004,MATCH($K154,'سجل التحفيز'!$V$5:$V$2004,0)))</f>
        <v/>
      </c>
      <c r="P154" s="36">
        <f>IF($K154="","",INDEX('سجل التحفيز'!$D$5:$D$2004,MATCH($K154,'سجل التحفيز'!$V$5:$V$2004,0)))</f>
        <v/>
      </c>
      <c r="Q154" s="9">
        <f>IF($K154="","",INDEX('سجل التحفيز'!$E$5:$E$2004,MATCH($K154,'سجل التحفيز'!$V$5:$V$2004,0)))</f>
        <v/>
      </c>
      <c r="R154" s="9">
        <f>IF($K154="","",INDEX('سجل التحفيز'!$F$5:$F$2004,MATCH($K154,'سجل التحفيز'!$V$5:$V$2004,0)))</f>
        <v/>
      </c>
      <c r="S154" s="35">
        <f>IF($K154="","",INDEX('سجل التحفيز'!$G$5:$G$2004,MATCH($K154,'سجل التحفيز'!$V$5:$V$2004,0)))</f>
        <v/>
      </c>
    </row>
    <row r="155">
      <c r="B155" s="34">
        <f>IFERROR(INDEX(الموظفات!$B$5:$B$304,MATCH(102,الموظفات!$P$5:$P$304,0)),"")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التحفيز'!$V$5:$V$2004,"&gt;0",'سجل التحفيز'!$B$5:$B$2004,B155))</f>
        <v/>
      </c>
      <c r="E155" s="35">
        <f>IF(B155="","",COUNTIFS('سجل التحفيز'!$V$5:$V$2004,"&gt;0",'سجل التحفيز'!$B$5:$B$2004,B155,'سجل التحفيز'!$D$5:$D$2004,"ذهبي"))</f>
        <v/>
      </c>
      <c r="F155" s="35">
        <f>IF(B155="","",SUMIFS('سجل التحفيز'!$G$5:$G$2004,'سجل التحفيز'!$V$5:$V$2004,"&gt;0",'سجل التحفيز'!$B$5:$B$2004,B155))</f>
        <v/>
      </c>
      <c r="G155" s="35">
        <f>IF(B155="","",COUNTIF($D$54:$D$203,"&gt;"&amp;D155)+1)</f>
        <v/>
      </c>
      <c r="H155" s="35">
        <f>IF(B155="","",INDEX(الموظفات!$L$5:$L$304,MATCH(B155,الموظفات!$B$5:$B$304,0)))</f>
        <v/>
      </c>
      <c r="K155" s="36">
        <f>IF(102&gt;$B$10,"",102)</f>
        <v/>
      </c>
      <c r="L155" s="37">
        <f>IF($K155="","",INDEX('سجل التحفيز'!$A$5:$A$2004,MATCH($K155,'سجل التحفيز'!$V$5:$V$2004,0)))</f>
        <v/>
      </c>
      <c r="M155" s="9">
        <f>IF($K155="","",INDEX('سجل التحفيز'!$B$5:$B$2004,MATCH($K155,'سجل التحفيز'!$V$5:$V$2004,0)))</f>
        <v/>
      </c>
      <c r="N155" s="9">
        <f>IF($K155="","",INDEX('سجل التحفيز'!$M$5:$M$2004,MATCH($K155,'سجل التحفيز'!$V$5:$V$2004,0)))</f>
        <v/>
      </c>
      <c r="O155" s="9">
        <f>IF($K155="","",INDEX('سجل التحفيز'!$C$5:$C$2004,MATCH($K155,'سجل التحفيز'!$V$5:$V$2004,0)))</f>
        <v/>
      </c>
      <c r="P155" s="36">
        <f>IF($K155="","",INDEX('سجل التحفيز'!$D$5:$D$2004,MATCH($K155,'سجل التحفيز'!$V$5:$V$2004,0)))</f>
        <v/>
      </c>
      <c r="Q155" s="9">
        <f>IF($K155="","",INDEX('سجل التحفيز'!$E$5:$E$2004,MATCH($K155,'سجل التحفيز'!$V$5:$V$2004,0)))</f>
        <v/>
      </c>
      <c r="R155" s="9">
        <f>IF($K155="","",INDEX('سجل التحفيز'!$F$5:$F$2004,MATCH($K155,'سجل التحفيز'!$V$5:$V$2004,0)))</f>
        <v/>
      </c>
      <c r="S155" s="35">
        <f>IF($K155="","",INDEX('سجل التحفيز'!$G$5:$G$2004,MATCH($K155,'سجل التحفيز'!$V$5:$V$2004,0)))</f>
        <v/>
      </c>
    </row>
    <row r="156">
      <c r="B156" s="34">
        <f>IFERROR(INDEX(الموظفات!$B$5:$B$304,MATCH(103,الموظفات!$P$5:$P$304,0)),"")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التحفيز'!$V$5:$V$2004,"&gt;0",'سجل التحفيز'!$B$5:$B$2004,B156))</f>
        <v/>
      </c>
      <c r="E156" s="35">
        <f>IF(B156="","",COUNTIFS('سجل التحفيز'!$V$5:$V$2004,"&gt;0",'سجل التحفيز'!$B$5:$B$2004,B156,'سجل التحفيز'!$D$5:$D$2004,"ذهبي"))</f>
        <v/>
      </c>
      <c r="F156" s="35">
        <f>IF(B156="","",SUMIFS('سجل التحفيز'!$G$5:$G$2004,'سجل التحفيز'!$V$5:$V$2004,"&gt;0",'سجل التحفيز'!$B$5:$B$2004,B156))</f>
        <v/>
      </c>
      <c r="G156" s="35">
        <f>IF(B156="","",COUNTIF($D$54:$D$203,"&gt;"&amp;D156)+1)</f>
        <v/>
      </c>
      <c r="H156" s="35">
        <f>IF(B156="","",INDEX(الموظفات!$L$5:$L$304,MATCH(B156,الموظفات!$B$5:$B$304,0)))</f>
        <v/>
      </c>
      <c r="K156" s="36">
        <f>IF(103&gt;$B$10,"",103)</f>
        <v/>
      </c>
      <c r="L156" s="37">
        <f>IF($K156="","",INDEX('سجل التحفيز'!$A$5:$A$2004,MATCH($K156,'سجل التحفيز'!$V$5:$V$2004,0)))</f>
        <v/>
      </c>
      <c r="M156" s="9">
        <f>IF($K156="","",INDEX('سجل التحفيز'!$B$5:$B$2004,MATCH($K156,'سجل التحفيز'!$V$5:$V$2004,0)))</f>
        <v/>
      </c>
      <c r="N156" s="9">
        <f>IF($K156="","",INDEX('سجل التحفيز'!$M$5:$M$2004,MATCH($K156,'سجل التحفيز'!$V$5:$V$2004,0)))</f>
        <v/>
      </c>
      <c r="O156" s="9">
        <f>IF($K156="","",INDEX('سجل التحفيز'!$C$5:$C$2004,MATCH($K156,'سجل التحفيز'!$V$5:$V$2004,0)))</f>
        <v/>
      </c>
      <c r="P156" s="36">
        <f>IF($K156="","",INDEX('سجل التحفيز'!$D$5:$D$2004,MATCH($K156,'سجل التحفيز'!$V$5:$V$2004,0)))</f>
        <v/>
      </c>
      <c r="Q156" s="9">
        <f>IF($K156="","",INDEX('سجل التحفيز'!$E$5:$E$2004,MATCH($K156,'سجل التحفيز'!$V$5:$V$2004,0)))</f>
        <v/>
      </c>
      <c r="R156" s="9">
        <f>IF($K156="","",INDEX('سجل التحفيز'!$F$5:$F$2004,MATCH($K156,'سجل التحفيز'!$V$5:$V$2004,0)))</f>
        <v/>
      </c>
      <c r="S156" s="35">
        <f>IF($K156="","",INDEX('سجل التحفيز'!$G$5:$G$2004,MATCH($K156,'سجل التحفيز'!$V$5:$V$2004,0)))</f>
        <v/>
      </c>
    </row>
    <row r="157">
      <c r="B157" s="34">
        <f>IFERROR(INDEX(الموظفات!$B$5:$B$304,MATCH(104,الموظفات!$P$5:$P$304,0)),"")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التحفيز'!$V$5:$V$2004,"&gt;0",'سجل التحفيز'!$B$5:$B$2004,B157))</f>
        <v/>
      </c>
      <c r="E157" s="35">
        <f>IF(B157="","",COUNTIFS('سجل التحفيز'!$V$5:$V$2004,"&gt;0",'سجل التحفيز'!$B$5:$B$2004,B157,'سجل التحفيز'!$D$5:$D$2004,"ذهبي"))</f>
        <v/>
      </c>
      <c r="F157" s="35">
        <f>IF(B157="","",SUMIFS('سجل التحفيز'!$G$5:$G$2004,'سجل التحفيز'!$V$5:$V$2004,"&gt;0",'سجل التحفيز'!$B$5:$B$2004,B157))</f>
        <v/>
      </c>
      <c r="G157" s="35">
        <f>IF(B157="","",COUNTIF($D$54:$D$203,"&gt;"&amp;D157)+1)</f>
        <v/>
      </c>
      <c r="H157" s="35">
        <f>IF(B157="","",INDEX(الموظفات!$L$5:$L$304,MATCH(B157,الموظفات!$B$5:$B$304,0)))</f>
        <v/>
      </c>
      <c r="K157" s="36">
        <f>IF(104&gt;$B$10,"",104)</f>
        <v/>
      </c>
      <c r="L157" s="37">
        <f>IF($K157="","",INDEX('سجل التحفيز'!$A$5:$A$2004,MATCH($K157,'سجل التحفيز'!$V$5:$V$2004,0)))</f>
        <v/>
      </c>
      <c r="M157" s="9">
        <f>IF($K157="","",INDEX('سجل التحفيز'!$B$5:$B$2004,MATCH($K157,'سجل التحفيز'!$V$5:$V$2004,0)))</f>
        <v/>
      </c>
      <c r="N157" s="9">
        <f>IF($K157="","",INDEX('سجل التحفيز'!$M$5:$M$2004,MATCH($K157,'سجل التحفيز'!$V$5:$V$2004,0)))</f>
        <v/>
      </c>
      <c r="O157" s="9">
        <f>IF($K157="","",INDEX('سجل التحفيز'!$C$5:$C$2004,MATCH($K157,'سجل التحفيز'!$V$5:$V$2004,0)))</f>
        <v/>
      </c>
      <c r="P157" s="36">
        <f>IF($K157="","",INDEX('سجل التحفيز'!$D$5:$D$2004,MATCH($K157,'سجل التحفيز'!$V$5:$V$2004,0)))</f>
        <v/>
      </c>
      <c r="Q157" s="9">
        <f>IF($K157="","",INDEX('سجل التحفيز'!$E$5:$E$2004,MATCH($K157,'سجل التحفيز'!$V$5:$V$2004,0)))</f>
        <v/>
      </c>
      <c r="R157" s="9">
        <f>IF($K157="","",INDEX('سجل التحفيز'!$F$5:$F$2004,MATCH($K157,'سجل التحفيز'!$V$5:$V$2004,0)))</f>
        <v/>
      </c>
      <c r="S157" s="35">
        <f>IF($K157="","",INDEX('سجل التحفيز'!$G$5:$G$2004,MATCH($K157,'سجل التحفيز'!$V$5:$V$2004,0)))</f>
        <v/>
      </c>
    </row>
    <row r="158">
      <c r="B158" s="34">
        <f>IFERROR(INDEX(الموظفات!$B$5:$B$304,MATCH(105,الموظفات!$P$5:$P$304,0)),"")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التحفيز'!$V$5:$V$2004,"&gt;0",'سجل التحفيز'!$B$5:$B$2004,B158))</f>
        <v/>
      </c>
      <c r="E158" s="35">
        <f>IF(B158="","",COUNTIFS('سجل التحفيز'!$V$5:$V$2004,"&gt;0",'سجل التحفيز'!$B$5:$B$2004,B158,'سجل التحفيز'!$D$5:$D$2004,"ذهبي"))</f>
        <v/>
      </c>
      <c r="F158" s="35">
        <f>IF(B158="","",SUMIFS('سجل التحفيز'!$G$5:$G$2004,'سجل التحفيز'!$V$5:$V$2004,"&gt;0",'سجل التحفيز'!$B$5:$B$2004,B158))</f>
        <v/>
      </c>
      <c r="G158" s="35">
        <f>IF(B158="","",COUNTIF($D$54:$D$203,"&gt;"&amp;D158)+1)</f>
        <v/>
      </c>
      <c r="H158" s="35">
        <f>IF(B158="","",INDEX(الموظفات!$L$5:$L$304,MATCH(B158,الموظفات!$B$5:$B$304,0)))</f>
        <v/>
      </c>
      <c r="K158" s="36">
        <f>IF(105&gt;$B$10,"",105)</f>
        <v/>
      </c>
      <c r="L158" s="37">
        <f>IF($K158="","",INDEX('سجل التحفيز'!$A$5:$A$2004,MATCH($K158,'سجل التحفيز'!$V$5:$V$2004,0)))</f>
        <v/>
      </c>
      <c r="M158" s="9">
        <f>IF($K158="","",INDEX('سجل التحفيز'!$B$5:$B$2004,MATCH($K158,'سجل التحفيز'!$V$5:$V$2004,0)))</f>
        <v/>
      </c>
      <c r="N158" s="9">
        <f>IF($K158="","",INDEX('سجل التحفيز'!$M$5:$M$2004,MATCH($K158,'سجل التحفيز'!$V$5:$V$2004,0)))</f>
        <v/>
      </c>
      <c r="O158" s="9">
        <f>IF($K158="","",INDEX('سجل التحفيز'!$C$5:$C$2004,MATCH($K158,'سجل التحفيز'!$V$5:$V$2004,0)))</f>
        <v/>
      </c>
      <c r="P158" s="36">
        <f>IF($K158="","",INDEX('سجل التحفيز'!$D$5:$D$2004,MATCH($K158,'سجل التحفيز'!$V$5:$V$2004,0)))</f>
        <v/>
      </c>
      <c r="Q158" s="9">
        <f>IF($K158="","",INDEX('سجل التحفيز'!$E$5:$E$2004,MATCH($K158,'سجل التحفيز'!$V$5:$V$2004,0)))</f>
        <v/>
      </c>
      <c r="R158" s="9">
        <f>IF($K158="","",INDEX('سجل التحفيز'!$F$5:$F$2004,MATCH($K158,'سجل التحفيز'!$V$5:$V$2004,0)))</f>
        <v/>
      </c>
      <c r="S158" s="35">
        <f>IF($K158="","",INDEX('سجل التحفيز'!$G$5:$G$2004,MATCH($K158,'سجل التحفيز'!$V$5:$V$2004,0)))</f>
        <v/>
      </c>
    </row>
    <row r="159">
      <c r="B159" s="34">
        <f>IFERROR(INDEX(الموظفات!$B$5:$B$304,MATCH(106,الموظفات!$P$5:$P$304,0)),"")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التحفيز'!$V$5:$V$2004,"&gt;0",'سجل التحفيز'!$B$5:$B$2004,B159))</f>
        <v/>
      </c>
      <c r="E159" s="35">
        <f>IF(B159="","",COUNTIFS('سجل التحفيز'!$V$5:$V$2004,"&gt;0",'سجل التحفيز'!$B$5:$B$2004,B159,'سجل التحفيز'!$D$5:$D$2004,"ذهبي"))</f>
        <v/>
      </c>
      <c r="F159" s="35">
        <f>IF(B159="","",SUMIFS('سجل التحفيز'!$G$5:$G$2004,'سجل التحفيز'!$V$5:$V$2004,"&gt;0",'سجل التحفيز'!$B$5:$B$2004,B159))</f>
        <v/>
      </c>
      <c r="G159" s="35">
        <f>IF(B159="","",COUNTIF($D$54:$D$203,"&gt;"&amp;D159)+1)</f>
        <v/>
      </c>
      <c r="H159" s="35">
        <f>IF(B159="","",INDEX(الموظفات!$L$5:$L$304,MATCH(B159,الموظفات!$B$5:$B$304,0)))</f>
        <v/>
      </c>
      <c r="K159" s="36">
        <f>IF(106&gt;$B$10,"",106)</f>
        <v/>
      </c>
      <c r="L159" s="37">
        <f>IF($K159="","",INDEX('سجل التحفيز'!$A$5:$A$2004,MATCH($K159,'سجل التحفيز'!$V$5:$V$2004,0)))</f>
        <v/>
      </c>
      <c r="M159" s="9">
        <f>IF($K159="","",INDEX('سجل التحفيز'!$B$5:$B$2004,MATCH($K159,'سجل التحفيز'!$V$5:$V$2004,0)))</f>
        <v/>
      </c>
      <c r="N159" s="9">
        <f>IF($K159="","",INDEX('سجل التحفيز'!$M$5:$M$2004,MATCH($K159,'سجل التحفيز'!$V$5:$V$2004,0)))</f>
        <v/>
      </c>
      <c r="O159" s="9">
        <f>IF($K159="","",INDEX('سجل التحفيز'!$C$5:$C$2004,MATCH($K159,'سجل التحفيز'!$V$5:$V$2004,0)))</f>
        <v/>
      </c>
      <c r="P159" s="36">
        <f>IF($K159="","",INDEX('سجل التحفيز'!$D$5:$D$2004,MATCH($K159,'سجل التحفيز'!$V$5:$V$2004,0)))</f>
        <v/>
      </c>
      <c r="Q159" s="9">
        <f>IF($K159="","",INDEX('سجل التحفيز'!$E$5:$E$2004,MATCH($K159,'سجل التحفيز'!$V$5:$V$2004,0)))</f>
        <v/>
      </c>
      <c r="R159" s="9">
        <f>IF($K159="","",INDEX('سجل التحفيز'!$F$5:$F$2004,MATCH($K159,'سجل التحفيز'!$V$5:$V$2004,0)))</f>
        <v/>
      </c>
      <c r="S159" s="35">
        <f>IF($K159="","",INDEX('سجل التحفيز'!$G$5:$G$2004,MATCH($K159,'سجل التحفيز'!$V$5:$V$2004,0)))</f>
        <v/>
      </c>
    </row>
    <row r="160">
      <c r="B160" s="34">
        <f>IFERROR(INDEX(الموظفات!$B$5:$B$304,MATCH(107,الموظفات!$P$5:$P$304,0)),"")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التحفيز'!$V$5:$V$2004,"&gt;0",'سجل التحفيز'!$B$5:$B$2004,B160))</f>
        <v/>
      </c>
      <c r="E160" s="35">
        <f>IF(B160="","",COUNTIFS('سجل التحفيز'!$V$5:$V$2004,"&gt;0",'سجل التحفيز'!$B$5:$B$2004,B160,'سجل التحفيز'!$D$5:$D$2004,"ذهبي"))</f>
        <v/>
      </c>
      <c r="F160" s="35">
        <f>IF(B160="","",SUMIFS('سجل التحفيز'!$G$5:$G$2004,'سجل التحفيز'!$V$5:$V$2004,"&gt;0",'سجل التحفيز'!$B$5:$B$2004,B160))</f>
        <v/>
      </c>
      <c r="G160" s="35">
        <f>IF(B160="","",COUNTIF($D$54:$D$203,"&gt;"&amp;D160)+1)</f>
        <v/>
      </c>
      <c r="H160" s="35">
        <f>IF(B160="","",INDEX(الموظفات!$L$5:$L$304,MATCH(B160,الموظفات!$B$5:$B$304,0)))</f>
        <v/>
      </c>
      <c r="K160" s="36">
        <f>IF(107&gt;$B$10,"",107)</f>
        <v/>
      </c>
      <c r="L160" s="37">
        <f>IF($K160="","",INDEX('سجل التحفيز'!$A$5:$A$2004,MATCH($K160,'سجل التحفيز'!$V$5:$V$2004,0)))</f>
        <v/>
      </c>
      <c r="M160" s="9">
        <f>IF($K160="","",INDEX('سجل التحفيز'!$B$5:$B$2004,MATCH($K160,'سجل التحفيز'!$V$5:$V$2004,0)))</f>
        <v/>
      </c>
      <c r="N160" s="9">
        <f>IF($K160="","",INDEX('سجل التحفيز'!$M$5:$M$2004,MATCH($K160,'سجل التحفيز'!$V$5:$V$2004,0)))</f>
        <v/>
      </c>
      <c r="O160" s="9">
        <f>IF($K160="","",INDEX('سجل التحفيز'!$C$5:$C$2004,MATCH($K160,'سجل التحفيز'!$V$5:$V$2004,0)))</f>
        <v/>
      </c>
      <c r="P160" s="36">
        <f>IF($K160="","",INDEX('سجل التحفيز'!$D$5:$D$2004,MATCH($K160,'سجل التحفيز'!$V$5:$V$2004,0)))</f>
        <v/>
      </c>
      <c r="Q160" s="9">
        <f>IF($K160="","",INDEX('سجل التحفيز'!$E$5:$E$2004,MATCH($K160,'سجل التحفيز'!$V$5:$V$2004,0)))</f>
        <v/>
      </c>
      <c r="R160" s="9">
        <f>IF($K160="","",INDEX('سجل التحفيز'!$F$5:$F$2004,MATCH($K160,'سجل التحفيز'!$V$5:$V$2004,0)))</f>
        <v/>
      </c>
      <c r="S160" s="35">
        <f>IF($K160="","",INDEX('سجل التحفيز'!$G$5:$G$2004,MATCH($K160,'سجل التحفيز'!$V$5:$V$2004,0)))</f>
        <v/>
      </c>
    </row>
    <row r="161">
      <c r="B161" s="34">
        <f>IFERROR(INDEX(الموظفات!$B$5:$B$304,MATCH(108,الموظفات!$P$5:$P$304,0)),"")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التحفيز'!$V$5:$V$2004,"&gt;0",'سجل التحفيز'!$B$5:$B$2004,B161))</f>
        <v/>
      </c>
      <c r="E161" s="35">
        <f>IF(B161="","",COUNTIFS('سجل التحفيز'!$V$5:$V$2004,"&gt;0",'سجل التحفيز'!$B$5:$B$2004,B161,'سجل التحفيز'!$D$5:$D$2004,"ذهبي"))</f>
        <v/>
      </c>
      <c r="F161" s="35">
        <f>IF(B161="","",SUMIFS('سجل التحفيز'!$G$5:$G$2004,'سجل التحفيز'!$V$5:$V$2004,"&gt;0",'سجل التحفيز'!$B$5:$B$2004,B161))</f>
        <v/>
      </c>
      <c r="G161" s="35">
        <f>IF(B161="","",COUNTIF($D$54:$D$203,"&gt;"&amp;D161)+1)</f>
        <v/>
      </c>
      <c r="H161" s="35">
        <f>IF(B161="","",INDEX(الموظفات!$L$5:$L$304,MATCH(B161,الموظفات!$B$5:$B$304,0)))</f>
        <v/>
      </c>
      <c r="K161" s="36">
        <f>IF(108&gt;$B$10,"",108)</f>
        <v/>
      </c>
      <c r="L161" s="37">
        <f>IF($K161="","",INDEX('سجل التحفيز'!$A$5:$A$2004,MATCH($K161,'سجل التحفيز'!$V$5:$V$2004,0)))</f>
        <v/>
      </c>
      <c r="M161" s="9">
        <f>IF($K161="","",INDEX('سجل التحفيز'!$B$5:$B$2004,MATCH($K161,'سجل التحفيز'!$V$5:$V$2004,0)))</f>
        <v/>
      </c>
      <c r="N161" s="9">
        <f>IF($K161="","",INDEX('سجل التحفيز'!$M$5:$M$2004,MATCH($K161,'سجل التحفيز'!$V$5:$V$2004,0)))</f>
        <v/>
      </c>
      <c r="O161" s="9">
        <f>IF($K161="","",INDEX('سجل التحفيز'!$C$5:$C$2004,MATCH($K161,'سجل التحفيز'!$V$5:$V$2004,0)))</f>
        <v/>
      </c>
      <c r="P161" s="36">
        <f>IF($K161="","",INDEX('سجل التحفيز'!$D$5:$D$2004,MATCH($K161,'سجل التحفيز'!$V$5:$V$2004,0)))</f>
        <v/>
      </c>
      <c r="Q161" s="9">
        <f>IF($K161="","",INDEX('سجل التحفيز'!$E$5:$E$2004,MATCH($K161,'سجل التحفيز'!$V$5:$V$2004,0)))</f>
        <v/>
      </c>
      <c r="R161" s="9">
        <f>IF($K161="","",INDEX('سجل التحفيز'!$F$5:$F$2004,MATCH($K161,'سجل التحفيز'!$V$5:$V$2004,0)))</f>
        <v/>
      </c>
      <c r="S161" s="35">
        <f>IF($K161="","",INDEX('سجل التحفيز'!$G$5:$G$2004,MATCH($K161,'سجل التحفيز'!$V$5:$V$2004,0)))</f>
        <v/>
      </c>
    </row>
    <row r="162">
      <c r="B162" s="34">
        <f>IFERROR(INDEX(الموظفات!$B$5:$B$304,MATCH(109,الموظفات!$P$5:$P$304,0)),"")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التحفيز'!$V$5:$V$2004,"&gt;0",'سجل التحفيز'!$B$5:$B$2004,B162))</f>
        <v/>
      </c>
      <c r="E162" s="35">
        <f>IF(B162="","",COUNTIFS('سجل التحفيز'!$V$5:$V$2004,"&gt;0",'سجل التحفيز'!$B$5:$B$2004,B162,'سجل التحفيز'!$D$5:$D$2004,"ذهبي"))</f>
        <v/>
      </c>
      <c r="F162" s="35">
        <f>IF(B162="","",SUMIFS('سجل التحفيز'!$G$5:$G$2004,'سجل التحفيز'!$V$5:$V$2004,"&gt;0",'سجل التحفيز'!$B$5:$B$2004,B162))</f>
        <v/>
      </c>
      <c r="G162" s="35">
        <f>IF(B162="","",COUNTIF($D$54:$D$203,"&gt;"&amp;D162)+1)</f>
        <v/>
      </c>
      <c r="H162" s="35">
        <f>IF(B162="","",INDEX(الموظفات!$L$5:$L$304,MATCH(B162,الموظفات!$B$5:$B$304,0)))</f>
        <v/>
      </c>
      <c r="K162" s="36">
        <f>IF(109&gt;$B$10,"",109)</f>
        <v/>
      </c>
      <c r="L162" s="37">
        <f>IF($K162="","",INDEX('سجل التحفيز'!$A$5:$A$2004,MATCH($K162,'سجل التحفيز'!$V$5:$V$2004,0)))</f>
        <v/>
      </c>
      <c r="M162" s="9">
        <f>IF($K162="","",INDEX('سجل التحفيز'!$B$5:$B$2004,MATCH($K162,'سجل التحفيز'!$V$5:$V$2004,0)))</f>
        <v/>
      </c>
      <c r="N162" s="9">
        <f>IF($K162="","",INDEX('سجل التحفيز'!$M$5:$M$2004,MATCH($K162,'سجل التحفيز'!$V$5:$V$2004,0)))</f>
        <v/>
      </c>
      <c r="O162" s="9">
        <f>IF($K162="","",INDEX('سجل التحفيز'!$C$5:$C$2004,MATCH($K162,'سجل التحفيز'!$V$5:$V$2004,0)))</f>
        <v/>
      </c>
      <c r="P162" s="36">
        <f>IF($K162="","",INDEX('سجل التحفيز'!$D$5:$D$2004,MATCH($K162,'سجل التحفيز'!$V$5:$V$2004,0)))</f>
        <v/>
      </c>
      <c r="Q162" s="9">
        <f>IF($K162="","",INDEX('سجل التحفيز'!$E$5:$E$2004,MATCH($K162,'سجل التحفيز'!$V$5:$V$2004,0)))</f>
        <v/>
      </c>
      <c r="R162" s="9">
        <f>IF($K162="","",INDEX('سجل التحفيز'!$F$5:$F$2004,MATCH($K162,'سجل التحفيز'!$V$5:$V$2004,0)))</f>
        <v/>
      </c>
      <c r="S162" s="35">
        <f>IF($K162="","",INDEX('سجل التحفيز'!$G$5:$G$2004,MATCH($K162,'سجل التحفيز'!$V$5:$V$2004,0)))</f>
        <v/>
      </c>
    </row>
    <row r="163">
      <c r="B163" s="34">
        <f>IFERROR(INDEX(الموظفات!$B$5:$B$304,MATCH(110,الموظفات!$P$5:$P$304,0)),"")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التحفيز'!$V$5:$V$2004,"&gt;0",'سجل التحفيز'!$B$5:$B$2004,B163))</f>
        <v/>
      </c>
      <c r="E163" s="35">
        <f>IF(B163="","",COUNTIFS('سجل التحفيز'!$V$5:$V$2004,"&gt;0",'سجل التحفيز'!$B$5:$B$2004,B163,'سجل التحفيز'!$D$5:$D$2004,"ذهبي"))</f>
        <v/>
      </c>
      <c r="F163" s="35">
        <f>IF(B163="","",SUMIFS('سجل التحفيز'!$G$5:$G$2004,'سجل التحفيز'!$V$5:$V$2004,"&gt;0",'سجل التحفيز'!$B$5:$B$2004,B163))</f>
        <v/>
      </c>
      <c r="G163" s="35">
        <f>IF(B163="","",COUNTIF($D$54:$D$203,"&gt;"&amp;D163)+1)</f>
        <v/>
      </c>
      <c r="H163" s="35">
        <f>IF(B163="","",INDEX(الموظفات!$L$5:$L$304,MATCH(B163,الموظفات!$B$5:$B$304,0)))</f>
        <v/>
      </c>
      <c r="K163" s="36">
        <f>IF(110&gt;$B$10,"",110)</f>
        <v/>
      </c>
      <c r="L163" s="37">
        <f>IF($K163="","",INDEX('سجل التحفيز'!$A$5:$A$2004,MATCH($K163,'سجل التحفيز'!$V$5:$V$2004,0)))</f>
        <v/>
      </c>
      <c r="M163" s="9">
        <f>IF($K163="","",INDEX('سجل التحفيز'!$B$5:$B$2004,MATCH($K163,'سجل التحفيز'!$V$5:$V$2004,0)))</f>
        <v/>
      </c>
      <c r="N163" s="9">
        <f>IF($K163="","",INDEX('سجل التحفيز'!$M$5:$M$2004,MATCH($K163,'سجل التحفيز'!$V$5:$V$2004,0)))</f>
        <v/>
      </c>
      <c r="O163" s="9">
        <f>IF($K163="","",INDEX('سجل التحفيز'!$C$5:$C$2004,MATCH($K163,'سجل التحفيز'!$V$5:$V$2004,0)))</f>
        <v/>
      </c>
      <c r="P163" s="36">
        <f>IF($K163="","",INDEX('سجل التحفيز'!$D$5:$D$2004,MATCH($K163,'سجل التحفيز'!$V$5:$V$2004,0)))</f>
        <v/>
      </c>
      <c r="Q163" s="9">
        <f>IF($K163="","",INDEX('سجل التحفيز'!$E$5:$E$2004,MATCH($K163,'سجل التحفيز'!$V$5:$V$2004,0)))</f>
        <v/>
      </c>
      <c r="R163" s="9">
        <f>IF($K163="","",INDEX('سجل التحفيز'!$F$5:$F$2004,MATCH($K163,'سجل التحفيز'!$V$5:$V$2004,0)))</f>
        <v/>
      </c>
      <c r="S163" s="35">
        <f>IF($K163="","",INDEX('سجل التحفيز'!$G$5:$G$2004,MATCH($K163,'سجل التحفيز'!$V$5:$V$2004,0)))</f>
        <v/>
      </c>
    </row>
    <row r="164">
      <c r="B164" s="34">
        <f>IFERROR(INDEX(الموظفات!$B$5:$B$304,MATCH(111,الموظفات!$P$5:$P$304,0)),"")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التحفيز'!$V$5:$V$2004,"&gt;0",'سجل التحفيز'!$B$5:$B$2004,B164))</f>
        <v/>
      </c>
      <c r="E164" s="35">
        <f>IF(B164="","",COUNTIFS('سجل التحفيز'!$V$5:$V$2004,"&gt;0",'سجل التحفيز'!$B$5:$B$2004,B164,'سجل التحفيز'!$D$5:$D$2004,"ذهبي"))</f>
        <v/>
      </c>
      <c r="F164" s="35">
        <f>IF(B164="","",SUMIFS('سجل التحفيز'!$G$5:$G$2004,'سجل التحفيز'!$V$5:$V$2004,"&gt;0",'سجل التحفيز'!$B$5:$B$2004,B164))</f>
        <v/>
      </c>
      <c r="G164" s="35">
        <f>IF(B164="","",COUNTIF($D$54:$D$203,"&gt;"&amp;D164)+1)</f>
        <v/>
      </c>
      <c r="H164" s="35">
        <f>IF(B164="","",INDEX(الموظفات!$L$5:$L$304,MATCH(B164,الموظفات!$B$5:$B$304,0)))</f>
        <v/>
      </c>
      <c r="K164" s="36">
        <f>IF(111&gt;$B$10,"",111)</f>
        <v/>
      </c>
      <c r="L164" s="37">
        <f>IF($K164="","",INDEX('سجل التحفيز'!$A$5:$A$2004,MATCH($K164,'سجل التحفيز'!$V$5:$V$2004,0)))</f>
        <v/>
      </c>
      <c r="M164" s="9">
        <f>IF($K164="","",INDEX('سجل التحفيز'!$B$5:$B$2004,MATCH($K164,'سجل التحفيز'!$V$5:$V$2004,0)))</f>
        <v/>
      </c>
      <c r="N164" s="9">
        <f>IF($K164="","",INDEX('سجل التحفيز'!$M$5:$M$2004,MATCH($K164,'سجل التحفيز'!$V$5:$V$2004,0)))</f>
        <v/>
      </c>
      <c r="O164" s="9">
        <f>IF($K164="","",INDEX('سجل التحفيز'!$C$5:$C$2004,MATCH($K164,'سجل التحفيز'!$V$5:$V$2004,0)))</f>
        <v/>
      </c>
      <c r="P164" s="36">
        <f>IF($K164="","",INDEX('سجل التحفيز'!$D$5:$D$2004,MATCH($K164,'سجل التحفيز'!$V$5:$V$2004,0)))</f>
        <v/>
      </c>
      <c r="Q164" s="9">
        <f>IF($K164="","",INDEX('سجل التحفيز'!$E$5:$E$2004,MATCH($K164,'سجل التحفيز'!$V$5:$V$2004,0)))</f>
        <v/>
      </c>
      <c r="R164" s="9">
        <f>IF($K164="","",INDEX('سجل التحفيز'!$F$5:$F$2004,MATCH($K164,'سجل التحفيز'!$V$5:$V$2004,0)))</f>
        <v/>
      </c>
      <c r="S164" s="35">
        <f>IF($K164="","",INDEX('سجل التحفيز'!$G$5:$G$2004,MATCH($K164,'سجل التحفيز'!$V$5:$V$2004,0)))</f>
        <v/>
      </c>
    </row>
    <row r="165">
      <c r="B165" s="34">
        <f>IFERROR(INDEX(الموظفات!$B$5:$B$304,MATCH(112,الموظفات!$P$5:$P$304,0)),"")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التحفيز'!$V$5:$V$2004,"&gt;0",'سجل التحفيز'!$B$5:$B$2004,B165))</f>
        <v/>
      </c>
      <c r="E165" s="35">
        <f>IF(B165="","",COUNTIFS('سجل التحفيز'!$V$5:$V$2004,"&gt;0",'سجل التحفيز'!$B$5:$B$2004,B165,'سجل التحفيز'!$D$5:$D$2004,"ذهبي"))</f>
        <v/>
      </c>
      <c r="F165" s="35">
        <f>IF(B165="","",SUMIFS('سجل التحفيز'!$G$5:$G$2004,'سجل التحفيز'!$V$5:$V$2004,"&gt;0",'سجل التحفيز'!$B$5:$B$2004,B165))</f>
        <v/>
      </c>
      <c r="G165" s="35">
        <f>IF(B165="","",COUNTIF($D$54:$D$203,"&gt;"&amp;D165)+1)</f>
        <v/>
      </c>
      <c r="H165" s="35">
        <f>IF(B165="","",INDEX(الموظفات!$L$5:$L$304,MATCH(B165,الموظفات!$B$5:$B$304,0)))</f>
        <v/>
      </c>
      <c r="K165" s="36">
        <f>IF(112&gt;$B$10,"",112)</f>
        <v/>
      </c>
      <c r="L165" s="37">
        <f>IF($K165="","",INDEX('سجل التحفيز'!$A$5:$A$2004,MATCH($K165,'سجل التحفيز'!$V$5:$V$2004,0)))</f>
        <v/>
      </c>
      <c r="M165" s="9">
        <f>IF($K165="","",INDEX('سجل التحفيز'!$B$5:$B$2004,MATCH($K165,'سجل التحفيز'!$V$5:$V$2004,0)))</f>
        <v/>
      </c>
      <c r="N165" s="9">
        <f>IF($K165="","",INDEX('سجل التحفيز'!$M$5:$M$2004,MATCH($K165,'سجل التحفيز'!$V$5:$V$2004,0)))</f>
        <v/>
      </c>
      <c r="O165" s="9">
        <f>IF($K165="","",INDEX('سجل التحفيز'!$C$5:$C$2004,MATCH($K165,'سجل التحفيز'!$V$5:$V$2004,0)))</f>
        <v/>
      </c>
      <c r="P165" s="36">
        <f>IF($K165="","",INDEX('سجل التحفيز'!$D$5:$D$2004,MATCH($K165,'سجل التحفيز'!$V$5:$V$2004,0)))</f>
        <v/>
      </c>
      <c r="Q165" s="9">
        <f>IF($K165="","",INDEX('سجل التحفيز'!$E$5:$E$2004,MATCH($K165,'سجل التحفيز'!$V$5:$V$2004,0)))</f>
        <v/>
      </c>
      <c r="R165" s="9">
        <f>IF($K165="","",INDEX('سجل التحفيز'!$F$5:$F$2004,MATCH($K165,'سجل التحفيز'!$V$5:$V$2004,0)))</f>
        <v/>
      </c>
      <c r="S165" s="35">
        <f>IF($K165="","",INDEX('سجل التحفيز'!$G$5:$G$2004,MATCH($K165,'سجل التحفيز'!$V$5:$V$2004,0)))</f>
        <v/>
      </c>
    </row>
    <row r="166">
      <c r="B166" s="34">
        <f>IFERROR(INDEX(الموظفات!$B$5:$B$304,MATCH(113,الموظفات!$P$5:$P$304,0)),"")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التحفيز'!$V$5:$V$2004,"&gt;0",'سجل التحفيز'!$B$5:$B$2004,B166))</f>
        <v/>
      </c>
      <c r="E166" s="35">
        <f>IF(B166="","",COUNTIFS('سجل التحفيز'!$V$5:$V$2004,"&gt;0",'سجل التحفيز'!$B$5:$B$2004,B166,'سجل التحفيز'!$D$5:$D$2004,"ذهبي"))</f>
        <v/>
      </c>
      <c r="F166" s="35">
        <f>IF(B166="","",SUMIFS('سجل التحفيز'!$G$5:$G$2004,'سجل التحفيز'!$V$5:$V$2004,"&gt;0",'سجل التحفيز'!$B$5:$B$2004,B166))</f>
        <v/>
      </c>
      <c r="G166" s="35">
        <f>IF(B166="","",COUNTIF($D$54:$D$203,"&gt;"&amp;D166)+1)</f>
        <v/>
      </c>
      <c r="H166" s="35">
        <f>IF(B166="","",INDEX(الموظفات!$L$5:$L$304,MATCH(B166,الموظفات!$B$5:$B$304,0)))</f>
        <v/>
      </c>
      <c r="K166" s="36">
        <f>IF(113&gt;$B$10,"",113)</f>
        <v/>
      </c>
      <c r="L166" s="37">
        <f>IF($K166="","",INDEX('سجل التحفيز'!$A$5:$A$2004,MATCH($K166,'سجل التحفيز'!$V$5:$V$2004,0)))</f>
        <v/>
      </c>
      <c r="M166" s="9">
        <f>IF($K166="","",INDEX('سجل التحفيز'!$B$5:$B$2004,MATCH($K166,'سجل التحفيز'!$V$5:$V$2004,0)))</f>
        <v/>
      </c>
      <c r="N166" s="9">
        <f>IF($K166="","",INDEX('سجل التحفيز'!$M$5:$M$2004,MATCH($K166,'سجل التحفيز'!$V$5:$V$2004,0)))</f>
        <v/>
      </c>
      <c r="O166" s="9">
        <f>IF($K166="","",INDEX('سجل التحفيز'!$C$5:$C$2004,MATCH($K166,'سجل التحفيز'!$V$5:$V$2004,0)))</f>
        <v/>
      </c>
      <c r="P166" s="36">
        <f>IF($K166="","",INDEX('سجل التحفيز'!$D$5:$D$2004,MATCH($K166,'سجل التحفيز'!$V$5:$V$2004,0)))</f>
        <v/>
      </c>
      <c r="Q166" s="9">
        <f>IF($K166="","",INDEX('سجل التحفيز'!$E$5:$E$2004,MATCH($K166,'سجل التحفيز'!$V$5:$V$2004,0)))</f>
        <v/>
      </c>
      <c r="R166" s="9">
        <f>IF($K166="","",INDEX('سجل التحفيز'!$F$5:$F$2004,MATCH($K166,'سجل التحفيز'!$V$5:$V$2004,0)))</f>
        <v/>
      </c>
      <c r="S166" s="35">
        <f>IF($K166="","",INDEX('سجل التحفيز'!$G$5:$G$2004,MATCH($K166,'سجل التحفيز'!$V$5:$V$2004,0)))</f>
        <v/>
      </c>
    </row>
    <row r="167">
      <c r="B167" s="34">
        <f>IFERROR(INDEX(الموظفات!$B$5:$B$304,MATCH(114,الموظفات!$P$5:$P$304,0)),"")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التحفيز'!$V$5:$V$2004,"&gt;0",'سجل التحفيز'!$B$5:$B$2004,B167))</f>
        <v/>
      </c>
      <c r="E167" s="35">
        <f>IF(B167="","",COUNTIFS('سجل التحفيز'!$V$5:$V$2004,"&gt;0",'سجل التحفيز'!$B$5:$B$2004,B167,'سجل التحفيز'!$D$5:$D$2004,"ذهبي"))</f>
        <v/>
      </c>
      <c r="F167" s="35">
        <f>IF(B167="","",SUMIFS('سجل التحفيز'!$G$5:$G$2004,'سجل التحفيز'!$V$5:$V$2004,"&gt;0",'سجل التحفيز'!$B$5:$B$2004,B167))</f>
        <v/>
      </c>
      <c r="G167" s="35">
        <f>IF(B167="","",COUNTIF($D$54:$D$203,"&gt;"&amp;D167)+1)</f>
        <v/>
      </c>
      <c r="H167" s="35">
        <f>IF(B167="","",INDEX(الموظفات!$L$5:$L$304,MATCH(B167,الموظفات!$B$5:$B$304,0)))</f>
        <v/>
      </c>
      <c r="K167" s="36">
        <f>IF(114&gt;$B$10,"",114)</f>
        <v/>
      </c>
      <c r="L167" s="37">
        <f>IF($K167="","",INDEX('سجل التحفيز'!$A$5:$A$2004,MATCH($K167,'سجل التحفيز'!$V$5:$V$2004,0)))</f>
        <v/>
      </c>
      <c r="M167" s="9">
        <f>IF($K167="","",INDEX('سجل التحفيز'!$B$5:$B$2004,MATCH($K167,'سجل التحفيز'!$V$5:$V$2004,0)))</f>
        <v/>
      </c>
      <c r="N167" s="9">
        <f>IF($K167="","",INDEX('سجل التحفيز'!$M$5:$M$2004,MATCH($K167,'سجل التحفيز'!$V$5:$V$2004,0)))</f>
        <v/>
      </c>
      <c r="O167" s="9">
        <f>IF($K167="","",INDEX('سجل التحفيز'!$C$5:$C$2004,MATCH($K167,'سجل التحفيز'!$V$5:$V$2004,0)))</f>
        <v/>
      </c>
      <c r="P167" s="36">
        <f>IF($K167="","",INDEX('سجل التحفيز'!$D$5:$D$2004,MATCH($K167,'سجل التحفيز'!$V$5:$V$2004,0)))</f>
        <v/>
      </c>
      <c r="Q167" s="9">
        <f>IF($K167="","",INDEX('سجل التحفيز'!$E$5:$E$2004,MATCH($K167,'سجل التحفيز'!$V$5:$V$2004,0)))</f>
        <v/>
      </c>
      <c r="R167" s="9">
        <f>IF($K167="","",INDEX('سجل التحفيز'!$F$5:$F$2004,MATCH($K167,'سجل التحفيز'!$V$5:$V$2004,0)))</f>
        <v/>
      </c>
      <c r="S167" s="35">
        <f>IF($K167="","",INDEX('سجل التحفيز'!$G$5:$G$2004,MATCH($K167,'سجل التحفيز'!$V$5:$V$2004,0)))</f>
        <v/>
      </c>
    </row>
    <row r="168">
      <c r="B168" s="34">
        <f>IFERROR(INDEX(الموظفات!$B$5:$B$304,MATCH(115,الموظفات!$P$5:$P$304,0)),"")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التحفيز'!$V$5:$V$2004,"&gt;0",'سجل التحفيز'!$B$5:$B$2004,B168))</f>
        <v/>
      </c>
      <c r="E168" s="35">
        <f>IF(B168="","",COUNTIFS('سجل التحفيز'!$V$5:$V$2004,"&gt;0",'سجل التحفيز'!$B$5:$B$2004,B168,'سجل التحفيز'!$D$5:$D$2004,"ذهبي"))</f>
        <v/>
      </c>
      <c r="F168" s="35">
        <f>IF(B168="","",SUMIFS('سجل التحفيز'!$G$5:$G$2004,'سجل التحفيز'!$V$5:$V$2004,"&gt;0",'سجل التحفيز'!$B$5:$B$2004,B168))</f>
        <v/>
      </c>
      <c r="G168" s="35">
        <f>IF(B168="","",COUNTIF($D$54:$D$203,"&gt;"&amp;D168)+1)</f>
        <v/>
      </c>
      <c r="H168" s="35">
        <f>IF(B168="","",INDEX(الموظفات!$L$5:$L$304,MATCH(B168,الموظفات!$B$5:$B$304,0)))</f>
        <v/>
      </c>
      <c r="K168" s="36">
        <f>IF(115&gt;$B$10,"",115)</f>
        <v/>
      </c>
      <c r="L168" s="37">
        <f>IF($K168="","",INDEX('سجل التحفيز'!$A$5:$A$2004,MATCH($K168,'سجل التحفيز'!$V$5:$V$2004,0)))</f>
        <v/>
      </c>
      <c r="M168" s="9">
        <f>IF($K168="","",INDEX('سجل التحفيز'!$B$5:$B$2004,MATCH($K168,'سجل التحفيز'!$V$5:$V$2004,0)))</f>
        <v/>
      </c>
      <c r="N168" s="9">
        <f>IF($K168="","",INDEX('سجل التحفيز'!$M$5:$M$2004,MATCH($K168,'سجل التحفيز'!$V$5:$V$2004,0)))</f>
        <v/>
      </c>
      <c r="O168" s="9">
        <f>IF($K168="","",INDEX('سجل التحفيز'!$C$5:$C$2004,MATCH($K168,'سجل التحفيز'!$V$5:$V$2004,0)))</f>
        <v/>
      </c>
      <c r="P168" s="36">
        <f>IF($K168="","",INDEX('سجل التحفيز'!$D$5:$D$2004,MATCH($K168,'سجل التحفيز'!$V$5:$V$2004,0)))</f>
        <v/>
      </c>
      <c r="Q168" s="9">
        <f>IF($K168="","",INDEX('سجل التحفيز'!$E$5:$E$2004,MATCH($K168,'سجل التحفيز'!$V$5:$V$2004,0)))</f>
        <v/>
      </c>
      <c r="R168" s="9">
        <f>IF($K168="","",INDEX('سجل التحفيز'!$F$5:$F$2004,MATCH($K168,'سجل التحفيز'!$V$5:$V$2004,0)))</f>
        <v/>
      </c>
      <c r="S168" s="35">
        <f>IF($K168="","",INDEX('سجل التحفيز'!$G$5:$G$2004,MATCH($K168,'سجل التحفيز'!$V$5:$V$2004,0)))</f>
        <v/>
      </c>
    </row>
    <row r="169">
      <c r="B169" s="34">
        <f>IFERROR(INDEX(الموظفات!$B$5:$B$304,MATCH(116,الموظفات!$P$5:$P$304,0)),"")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التحفيز'!$V$5:$V$2004,"&gt;0",'سجل التحفيز'!$B$5:$B$2004,B169))</f>
        <v/>
      </c>
      <c r="E169" s="35">
        <f>IF(B169="","",COUNTIFS('سجل التحفيز'!$V$5:$V$2004,"&gt;0",'سجل التحفيز'!$B$5:$B$2004,B169,'سجل التحفيز'!$D$5:$D$2004,"ذهبي"))</f>
        <v/>
      </c>
      <c r="F169" s="35">
        <f>IF(B169="","",SUMIFS('سجل التحفيز'!$G$5:$G$2004,'سجل التحفيز'!$V$5:$V$2004,"&gt;0",'سجل التحفيز'!$B$5:$B$2004,B169))</f>
        <v/>
      </c>
      <c r="G169" s="35">
        <f>IF(B169="","",COUNTIF($D$54:$D$203,"&gt;"&amp;D169)+1)</f>
        <v/>
      </c>
      <c r="H169" s="35">
        <f>IF(B169="","",INDEX(الموظفات!$L$5:$L$304,MATCH(B169,الموظفات!$B$5:$B$304,0)))</f>
        <v/>
      </c>
      <c r="K169" s="36">
        <f>IF(116&gt;$B$10,"",116)</f>
        <v/>
      </c>
      <c r="L169" s="37">
        <f>IF($K169="","",INDEX('سجل التحفيز'!$A$5:$A$2004,MATCH($K169,'سجل التحفيز'!$V$5:$V$2004,0)))</f>
        <v/>
      </c>
      <c r="M169" s="9">
        <f>IF($K169="","",INDEX('سجل التحفيز'!$B$5:$B$2004,MATCH($K169,'سجل التحفيز'!$V$5:$V$2004,0)))</f>
        <v/>
      </c>
      <c r="N169" s="9">
        <f>IF($K169="","",INDEX('سجل التحفيز'!$M$5:$M$2004,MATCH($K169,'سجل التحفيز'!$V$5:$V$2004,0)))</f>
        <v/>
      </c>
      <c r="O169" s="9">
        <f>IF($K169="","",INDEX('سجل التحفيز'!$C$5:$C$2004,MATCH($K169,'سجل التحفيز'!$V$5:$V$2004,0)))</f>
        <v/>
      </c>
      <c r="P169" s="36">
        <f>IF($K169="","",INDEX('سجل التحفيز'!$D$5:$D$2004,MATCH($K169,'سجل التحفيز'!$V$5:$V$2004,0)))</f>
        <v/>
      </c>
      <c r="Q169" s="9">
        <f>IF($K169="","",INDEX('سجل التحفيز'!$E$5:$E$2004,MATCH($K169,'سجل التحفيز'!$V$5:$V$2004,0)))</f>
        <v/>
      </c>
      <c r="R169" s="9">
        <f>IF($K169="","",INDEX('سجل التحفيز'!$F$5:$F$2004,MATCH($K169,'سجل التحفيز'!$V$5:$V$2004,0)))</f>
        <v/>
      </c>
      <c r="S169" s="35">
        <f>IF($K169="","",INDEX('سجل التحفيز'!$G$5:$G$2004,MATCH($K169,'سجل التحفيز'!$V$5:$V$2004,0)))</f>
        <v/>
      </c>
    </row>
    <row r="170">
      <c r="B170" s="34">
        <f>IFERROR(INDEX(الموظفات!$B$5:$B$304,MATCH(117,الموظفات!$P$5:$P$304,0)),"")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التحفيز'!$V$5:$V$2004,"&gt;0",'سجل التحفيز'!$B$5:$B$2004,B170))</f>
        <v/>
      </c>
      <c r="E170" s="35">
        <f>IF(B170="","",COUNTIFS('سجل التحفيز'!$V$5:$V$2004,"&gt;0",'سجل التحفيز'!$B$5:$B$2004,B170,'سجل التحفيز'!$D$5:$D$2004,"ذهبي"))</f>
        <v/>
      </c>
      <c r="F170" s="35">
        <f>IF(B170="","",SUMIFS('سجل التحفيز'!$G$5:$G$2004,'سجل التحفيز'!$V$5:$V$2004,"&gt;0",'سجل التحفيز'!$B$5:$B$2004,B170))</f>
        <v/>
      </c>
      <c r="G170" s="35">
        <f>IF(B170="","",COUNTIF($D$54:$D$203,"&gt;"&amp;D170)+1)</f>
        <v/>
      </c>
      <c r="H170" s="35">
        <f>IF(B170="","",INDEX(الموظفات!$L$5:$L$304,MATCH(B170,الموظفات!$B$5:$B$304,0)))</f>
        <v/>
      </c>
      <c r="K170" s="36">
        <f>IF(117&gt;$B$10,"",117)</f>
        <v/>
      </c>
      <c r="L170" s="37">
        <f>IF($K170="","",INDEX('سجل التحفيز'!$A$5:$A$2004,MATCH($K170,'سجل التحفيز'!$V$5:$V$2004,0)))</f>
        <v/>
      </c>
      <c r="M170" s="9">
        <f>IF($K170="","",INDEX('سجل التحفيز'!$B$5:$B$2004,MATCH($K170,'سجل التحفيز'!$V$5:$V$2004,0)))</f>
        <v/>
      </c>
      <c r="N170" s="9">
        <f>IF($K170="","",INDEX('سجل التحفيز'!$M$5:$M$2004,MATCH($K170,'سجل التحفيز'!$V$5:$V$2004,0)))</f>
        <v/>
      </c>
      <c r="O170" s="9">
        <f>IF($K170="","",INDEX('سجل التحفيز'!$C$5:$C$2004,MATCH($K170,'سجل التحفيز'!$V$5:$V$2004,0)))</f>
        <v/>
      </c>
      <c r="P170" s="36">
        <f>IF($K170="","",INDEX('سجل التحفيز'!$D$5:$D$2004,MATCH($K170,'سجل التحفيز'!$V$5:$V$2004,0)))</f>
        <v/>
      </c>
      <c r="Q170" s="9">
        <f>IF($K170="","",INDEX('سجل التحفيز'!$E$5:$E$2004,MATCH($K170,'سجل التحفيز'!$V$5:$V$2004,0)))</f>
        <v/>
      </c>
      <c r="R170" s="9">
        <f>IF($K170="","",INDEX('سجل التحفيز'!$F$5:$F$2004,MATCH($K170,'سجل التحفيز'!$V$5:$V$2004,0)))</f>
        <v/>
      </c>
      <c r="S170" s="35">
        <f>IF($K170="","",INDEX('سجل التحفيز'!$G$5:$G$2004,MATCH($K170,'سجل التحفيز'!$V$5:$V$2004,0)))</f>
        <v/>
      </c>
    </row>
    <row r="171">
      <c r="B171" s="34">
        <f>IFERROR(INDEX(الموظفات!$B$5:$B$304,MATCH(118,الموظفات!$P$5:$P$304,0)),"")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التحفيز'!$V$5:$V$2004,"&gt;0",'سجل التحفيز'!$B$5:$B$2004,B171))</f>
        <v/>
      </c>
      <c r="E171" s="35">
        <f>IF(B171="","",COUNTIFS('سجل التحفيز'!$V$5:$V$2004,"&gt;0",'سجل التحفيز'!$B$5:$B$2004,B171,'سجل التحفيز'!$D$5:$D$2004,"ذهبي"))</f>
        <v/>
      </c>
      <c r="F171" s="35">
        <f>IF(B171="","",SUMIFS('سجل التحفيز'!$G$5:$G$2004,'سجل التحفيز'!$V$5:$V$2004,"&gt;0",'سجل التحفيز'!$B$5:$B$2004,B171))</f>
        <v/>
      </c>
      <c r="G171" s="35">
        <f>IF(B171="","",COUNTIF($D$54:$D$203,"&gt;"&amp;D171)+1)</f>
        <v/>
      </c>
      <c r="H171" s="35">
        <f>IF(B171="","",INDEX(الموظفات!$L$5:$L$304,MATCH(B171,الموظفات!$B$5:$B$304,0)))</f>
        <v/>
      </c>
      <c r="K171" s="36">
        <f>IF(118&gt;$B$10,"",118)</f>
        <v/>
      </c>
      <c r="L171" s="37">
        <f>IF($K171="","",INDEX('سجل التحفيز'!$A$5:$A$2004,MATCH($K171,'سجل التحفيز'!$V$5:$V$2004,0)))</f>
        <v/>
      </c>
      <c r="M171" s="9">
        <f>IF($K171="","",INDEX('سجل التحفيز'!$B$5:$B$2004,MATCH($K171,'سجل التحفيز'!$V$5:$V$2004,0)))</f>
        <v/>
      </c>
      <c r="N171" s="9">
        <f>IF($K171="","",INDEX('سجل التحفيز'!$M$5:$M$2004,MATCH($K171,'سجل التحفيز'!$V$5:$V$2004,0)))</f>
        <v/>
      </c>
      <c r="O171" s="9">
        <f>IF($K171="","",INDEX('سجل التحفيز'!$C$5:$C$2004,MATCH($K171,'سجل التحفيز'!$V$5:$V$2004,0)))</f>
        <v/>
      </c>
      <c r="P171" s="36">
        <f>IF($K171="","",INDEX('سجل التحفيز'!$D$5:$D$2004,MATCH($K171,'سجل التحفيز'!$V$5:$V$2004,0)))</f>
        <v/>
      </c>
      <c r="Q171" s="9">
        <f>IF($K171="","",INDEX('سجل التحفيز'!$E$5:$E$2004,MATCH($K171,'سجل التحفيز'!$V$5:$V$2004,0)))</f>
        <v/>
      </c>
      <c r="R171" s="9">
        <f>IF($K171="","",INDEX('سجل التحفيز'!$F$5:$F$2004,MATCH($K171,'سجل التحفيز'!$V$5:$V$2004,0)))</f>
        <v/>
      </c>
      <c r="S171" s="35">
        <f>IF($K171="","",INDEX('سجل التحفيز'!$G$5:$G$2004,MATCH($K171,'سجل التحفيز'!$V$5:$V$2004,0)))</f>
        <v/>
      </c>
    </row>
    <row r="172">
      <c r="B172" s="34">
        <f>IFERROR(INDEX(الموظفات!$B$5:$B$304,MATCH(119,الموظفات!$P$5:$P$304,0)),"")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التحفيز'!$V$5:$V$2004,"&gt;0",'سجل التحفيز'!$B$5:$B$2004,B172))</f>
        <v/>
      </c>
      <c r="E172" s="35">
        <f>IF(B172="","",COUNTIFS('سجل التحفيز'!$V$5:$V$2004,"&gt;0",'سجل التحفيز'!$B$5:$B$2004,B172,'سجل التحفيز'!$D$5:$D$2004,"ذهبي"))</f>
        <v/>
      </c>
      <c r="F172" s="35">
        <f>IF(B172="","",SUMIFS('سجل التحفيز'!$G$5:$G$2004,'سجل التحفيز'!$V$5:$V$2004,"&gt;0",'سجل التحفيز'!$B$5:$B$2004,B172))</f>
        <v/>
      </c>
      <c r="G172" s="35">
        <f>IF(B172="","",COUNTIF($D$54:$D$203,"&gt;"&amp;D172)+1)</f>
        <v/>
      </c>
      <c r="H172" s="35">
        <f>IF(B172="","",INDEX(الموظفات!$L$5:$L$304,MATCH(B172,الموظفات!$B$5:$B$304,0)))</f>
        <v/>
      </c>
      <c r="K172" s="36">
        <f>IF(119&gt;$B$10,"",119)</f>
        <v/>
      </c>
      <c r="L172" s="37">
        <f>IF($K172="","",INDEX('سجل التحفيز'!$A$5:$A$2004,MATCH($K172,'سجل التحفيز'!$V$5:$V$2004,0)))</f>
        <v/>
      </c>
      <c r="M172" s="9">
        <f>IF($K172="","",INDEX('سجل التحفيز'!$B$5:$B$2004,MATCH($K172,'سجل التحفيز'!$V$5:$V$2004,0)))</f>
        <v/>
      </c>
      <c r="N172" s="9">
        <f>IF($K172="","",INDEX('سجل التحفيز'!$M$5:$M$2004,MATCH($K172,'سجل التحفيز'!$V$5:$V$2004,0)))</f>
        <v/>
      </c>
      <c r="O172" s="9">
        <f>IF($K172="","",INDEX('سجل التحفيز'!$C$5:$C$2004,MATCH($K172,'سجل التحفيز'!$V$5:$V$2004,0)))</f>
        <v/>
      </c>
      <c r="P172" s="36">
        <f>IF($K172="","",INDEX('سجل التحفيز'!$D$5:$D$2004,MATCH($K172,'سجل التحفيز'!$V$5:$V$2004,0)))</f>
        <v/>
      </c>
      <c r="Q172" s="9">
        <f>IF($K172="","",INDEX('سجل التحفيز'!$E$5:$E$2004,MATCH($K172,'سجل التحفيز'!$V$5:$V$2004,0)))</f>
        <v/>
      </c>
      <c r="R172" s="9">
        <f>IF($K172="","",INDEX('سجل التحفيز'!$F$5:$F$2004,MATCH($K172,'سجل التحفيز'!$V$5:$V$2004,0)))</f>
        <v/>
      </c>
      <c r="S172" s="35">
        <f>IF($K172="","",INDEX('سجل التحفيز'!$G$5:$G$2004,MATCH($K172,'سجل التحفيز'!$V$5:$V$2004,0)))</f>
        <v/>
      </c>
    </row>
    <row r="173">
      <c r="B173" s="34">
        <f>IFERROR(INDEX(الموظفات!$B$5:$B$304,MATCH(120,الموظفات!$P$5:$P$304,0)),"")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التحفيز'!$V$5:$V$2004,"&gt;0",'سجل التحفيز'!$B$5:$B$2004,B173))</f>
        <v/>
      </c>
      <c r="E173" s="35">
        <f>IF(B173="","",COUNTIFS('سجل التحفيز'!$V$5:$V$2004,"&gt;0",'سجل التحفيز'!$B$5:$B$2004,B173,'سجل التحفيز'!$D$5:$D$2004,"ذهبي"))</f>
        <v/>
      </c>
      <c r="F173" s="35">
        <f>IF(B173="","",SUMIFS('سجل التحفيز'!$G$5:$G$2004,'سجل التحفيز'!$V$5:$V$2004,"&gt;0",'سجل التحفيز'!$B$5:$B$2004,B173))</f>
        <v/>
      </c>
      <c r="G173" s="35">
        <f>IF(B173="","",COUNTIF($D$54:$D$203,"&gt;"&amp;D173)+1)</f>
        <v/>
      </c>
      <c r="H173" s="35">
        <f>IF(B173="","",INDEX(الموظفات!$L$5:$L$304,MATCH(B173,الموظفات!$B$5:$B$304,0)))</f>
        <v/>
      </c>
      <c r="K173" s="36">
        <f>IF(120&gt;$B$10,"",120)</f>
        <v/>
      </c>
      <c r="L173" s="37">
        <f>IF($K173="","",INDEX('سجل التحفيز'!$A$5:$A$2004,MATCH($K173,'سجل التحفيز'!$V$5:$V$2004,0)))</f>
        <v/>
      </c>
      <c r="M173" s="9">
        <f>IF($K173="","",INDEX('سجل التحفيز'!$B$5:$B$2004,MATCH($K173,'سجل التحفيز'!$V$5:$V$2004,0)))</f>
        <v/>
      </c>
      <c r="N173" s="9">
        <f>IF($K173="","",INDEX('سجل التحفيز'!$M$5:$M$2004,MATCH($K173,'سجل التحفيز'!$V$5:$V$2004,0)))</f>
        <v/>
      </c>
      <c r="O173" s="9">
        <f>IF($K173="","",INDEX('سجل التحفيز'!$C$5:$C$2004,MATCH($K173,'سجل التحفيز'!$V$5:$V$2004,0)))</f>
        <v/>
      </c>
      <c r="P173" s="36">
        <f>IF($K173="","",INDEX('سجل التحفيز'!$D$5:$D$2004,MATCH($K173,'سجل التحفيز'!$V$5:$V$2004,0)))</f>
        <v/>
      </c>
      <c r="Q173" s="9">
        <f>IF($K173="","",INDEX('سجل التحفيز'!$E$5:$E$2004,MATCH($K173,'سجل التحفيز'!$V$5:$V$2004,0)))</f>
        <v/>
      </c>
      <c r="R173" s="9">
        <f>IF($K173="","",INDEX('سجل التحفيز'!$F$5:$F$2004,MATCH($K173,'سجل التحفيز'!$V$5:$V$2004,0)))</f>
        <v/>
      </c>
      <c r="S173" s="35">
        <f>IF($K173="","",INDEX('سجل التحفيز'!$G$5:$G$2004,MATCH($K173,'سجل التحفيز'!$V$5:$V$2004,0)))</f>
        <v/>
      </c>
    </row>
    <row r="174">
      <c r="B174" s="34">
        <f>IFERROR(INDEX(الموظفات!$B$5:$B$304,MATCH(121,الموظفات!$P$5:$P$304,0)),"")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التحفيز'!$V$5:$V$2004,"&gt;0",'سجل التحفيز'!$B$5:$B$2004,B174))</f>
        <v/>
      </c>
      <c r="E174" s="35">
        <f>IF(B174="","",COUNTIFS('سجل التحفيز'!$V$5:$V$2004,"&gt;0",'سجل التحفيز'!$B$5:$B$2004,B174,'سجل التحفيز'!$D$5:$D$2004,"ذهبي"))</f>
        <v/>
      </c>
      <c r="F174" s="35">
        <f>IF(B174="","",SUMIFS('سجل التحفيز'!$G$5:$G$2004,'سجل التحفيز'!$V$5:$V$2004,"&gt;0",'سجل التحفيز'!$B$5:$B$2004,B174))</f>
        <v/>
      </c>
      <c r="G174" s="35">
        <f>IF(B174="","",COUNTIF($D$54:$D$203,"&gt;"&amp;D174)+1)</f>
        <v/>
      </c>
      <c r="H174" s="35">
        <f>IF(B174="","",INDEX(الموظفات!$L$5:$L$304,MATCH(B174,الموظفات!$B$5:$B$304,0)))</f>
        <v/>
      </c>
      <c r="K174" s="36">
        <f>IF(121&gt;$B$10,"",121)</f>
        <v/>
      </c>
      <c r="L174" s="37">
        <f>IF($K174="","",INDEX('سجل التحفيز'!$A$5:$A$2004,MATCH($K174,'سجل التحفيز'!$V$5:$V$2004,0)))</f>
        <v/>
      </c>
      <c r="M174" s="9">
        <f>IF($K174="","",INDEX('سجل التحفيز'!$B$5:$B$2004,MATCH($K174,'سجل التحفيز'!$V$5:$V$2004,0)))</f>
        <v/>
      </c>
      <c r="N174" s="9">
        <f>IF($K174="","",INDEX('سجل التحفيز'!$M$5:$M$2004,MATCH($K174,'سجل التحفيز'!$V$5:$V$2004,0)))</f>
        <v/>
      </c>
      <c r="O174" s="9">
        <f>IF($K174="","",INDEX('سجل التحفيز'!$C$5:$C$2004,MATCH($K174,'سجل التحفيز'!$V$5:$V$2004,0)))</f>
        <v/>
      </c>
      <c r="P174" s="36">
        <f>IF($K174="","",INDEX('سجل التحفيز'!$D$5:$D$2004,MATCH($K174,'سجل التحفيز'!$V$5:$V$2004,0)))</f>
        <v/>
      </c>
      <c r="Q174" s="9">
        <f>IF($K174="","",INDEX('سجل التحفيز'!$E$5:$E$2004,MATCH($K174,'سجل التحفيز'!$V$5:$V$2004,0)))</f>
        <v/>
      </c>
      <c r="R174" s="9">
        <f>IF($K174="","",INDEX('سجل التحفيز'!$F$5:$F$2004,MATCH($K174,'سجل التحفيز'!$V$5:$V$2004,0)))</f>
        <v/>
      </c>
      <c r="S174" s="35">
        <f>IF($K174="","",INDEX('سجل التحفيز'!$G$5:$G$2004,MATCH($K174,'سجل التحفيز'!$V$5:$V$2004,0)))</f>
        <v/>
      </c>
    </row>
    <row r="175">
      <c r="B175" s="34">
        <f>IFERROR(INDEX(الموظفات!$B$5:$B$304,MATCH(122,الموظفات!$P$5:$P$304,0)),"")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التحفيز'!$V$5:$V$2004,"&gt;0",'سجل التحفيز'!$B$5:$B$2004,B175))</f>
        <v/>
      </c>
      <c r="E175" s="35">
        <f>IF(B175="","",COUNTIFS('سجل التحفيز'!$V$5:$V$2004,"&gt;0",'سجل التحفيز'!$B$5:$B$2004,B175,'سجل التحفيز'!$D$5:$D$2004,"ذهبي"))</f>
        <v/>
      </c>
      <c r="F175" s="35">
        <f>IF(B175="","",SUMIFS('سجل التحفيز'!$G$5:$G$2004,'سجل التحفيز'!$V$5:$V$2004,"&gt;0",'سجل التحفيز'!$B$5:$B$2004,B175))</f>
        <v/>
      </c>
      <c r="G175" s="35">
        <f>IF(B175="","",COUNTIF($D$54:$D$203,"&gt;"&amp;D175)+1)</f>
        <v/>
      </c>
      <c r="H175" s="35">
        <f>IF(B175="","",INDEX(الموظفات!$L$5:$L$304,MATCH(B175,الموظفات!$B$5:$B$304,0)))</f>
        <v/>
      </c>
      <c r="K175" s="36">
        <f>IF(122&gt;$B$10,"",122)</f>
        <v/>
      </c>
      <c r="L175" s="37">
        <f>IF($K175="","",INDEX('سجل التحفيز'!$A$5:$A$2004,MATCH($K175,'سجل التحفيز'!$V$5:$V$2004,0)))</f>
        <v/>
      </c>
      <c r="M175" s="9">
        <f>IF($K175="","",INDEX('سجل التحفيز'!$B$5:$B$2004,MATCH($K175,'سجل التحفيز'!$V$5:$V$2004,0)))</f>
        <v/>
      </c>
      <c r="N175" s="9">
        <f>IF($K175="","",INDEX('سجل التحفيز'!$M$5:$M$2004,MATCH($K175,'سجل التحفيز'!$V$5:$V$2004,0)))</f>
        <v/>
      </c>
      <c r="O175" s="9">
        <f>IF($K175="","",INDEX('سجل التحفيز'!$C$5:$C$2004,MATCH($K175,'سجل التحفيز'!$V$5:$V$2004,0)))</f>
        <v/>
      </c>
      <c r="P175" s="36">
        <f>IF($K175="","",INDEX('سجل التحفيز'!$D$5:$D$2004,MATCH($K175,'سجل التحفيز'!$V$5:$V$2004,0)))</f>
        <v/>
      </c>
      <c r="Q175" s="9">
        <f>IF($K175="","",INDEX('سجل التحفيز'!$E$5:$E$2004,MATCH($K175,'سجل التحفيز'!$V$5:$V$2004,0)))</f>
        <v/>
      </c>
      <c r="R175" s="9">
        <f>IF($K175="","",INDEX('سجل التحفيز'!$F$5:$F$2004,MATCH($K175,'سجل التحفيز'!$V$5:$V$2004,0)))</f>
        <v/>
      </c>
      <c r="S175" s="35">
        <f>IF($K175="","",INDEX('سجل التحفيز'!$G$5:$G$2004,MATCH($K175,'سجل التحفيز'!$V$5:$V$2004,0)))</f>
        <v/>
      </c>
    </row>
    <row r="176">
      <c r="B176" s="34">
        <f>IFERROR(INDEX(الموظفات!$B$5:$B$304,MATCH(123,الموظفات!$P$5:$P$304,0)),"")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التحفيز'!$V$5:$V$2004,"&gt;0",'سجل التحفيز'!$B$5:$B$2004,B176))</f>
        <v/>
      </c>
      <c r="E176" s="35">
        <f>IF(B176="","",COUNTIFS('سجل التحفيز'!$V$5:$V$2004,"&gt;0",'سجل التحفيز'!$B$5:$B$2004,B176,'سجل التحفيز'!$D$5:$D$2004,"ذهبي"))</f>
        <v/>
      </c>
      <c r="F176" s="35">
        <f>IF(B176="","",SUMIFS('سجل التحفيز'!$G$5:$G$2004,'سجل التحفيز'!$V$5:$V$2004,"&gt;0",'سجل التحفيز'!$B$5:$B$2004,B176))</f>
        <v/>
      </c>
      <c r="G176" s="35">
        <f>IF(B176="","",COUNTIF($D$54:$D$203,"&gt;"&amp;D176)+1)</f>
        <v/>
      </c>
      <c r="H176" s="35">
        <f>IF(B176="","",INDEX(الموظفات!$L$5:$L$304,MATCH(B176,الموظفات!$B$5:$B$304,0)))</f>
        <v/>
      </c>
      <c r="K176" s="36">
        <f>IF(123&gt;$B$10,"",123)</f>
        <v/>
      </c>
      <c r="L176" s="37">
        <f>IF($K176="","",INDEX('سجل التحفيز'!$A$5:$A$2004,MATCH($K176,'سجل التحفيز'!$V$5:$V$2004,0)))</f>
        <v/>
      </c>
      <c r="M176" s="9">
        <f>IF($K176="","",INDEX('سجل التحفيز'!$B$5:$B$2004,MATCH($K176,'سجل التحفيز'!$V$5:$V$2004,0)))</f>
        <v/>
      </c>
      <c r="N176" s="9">
        <f>IF($K176="","",INDEX('سجل التحفيز'!$M$5:$M$2004,MATCH($K176,'سجل التحفيز'!$V$5:$V$2004,0)))</f>
        <v/>
      </c>
      <c r="O176" s="9">
        <f>IF($K176="","",INDEX('سجل التحفيز'!$C$5:$C$2004,MATCH($K176,'سجل التحفيز'!$V$5:$V$2004,0)))</f>
        <v/>
      </c>
      <c r="P176" s="36">
        <f>IF($K176="","",INDEX('سجل التحفيز'!$D$5:$D$2004,MATCH($K176,'سجل التحفيز'!$V$5:$V$2004,0)))</f>
        <v/>
      </c>
      <c r="Q176" s="9">
        <f>IF($K176="","",INDEX('سجل التحفيز'!$E$5:$E$2004,MATCH($K176,'سجل التحفيز'!$V$5:$V$2004,0)))</f>
        <v/>
      </c>
      <c r="R176" s="9">
        <f>IF($K176="","",INDEX('سجل التحفيز'!$F$5:$F$2004,MATCH($K176,'سجل التحفيز'!$V$5:$V$2004,0)))</f>
        <v/>
      </c>
      <c r="S176" s="35">
        <f>IF($K176="","",INDEX('سجل التحفيز'!$G$5:$G$2004,MATCH($K176,'سجل التحفيز'!$V$5:$V$2004,0)))</f>
        <v/>
      </c>
    </row>
    <row r="177">
      <c r="B177" s="34">
        <f>IFERROR(INDEX(الموظفات!$B$5:$B$304,MATCH(124,الموظفات!$P$5:$P$304,0)),"")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التحفيز'!$V$5:$V$2004,"&gt;0",'سجل التحفيز'!$B$5:$B$2004,B177))</f>
        <v/>
      </c>
      <c r="E177" s="35">
        <f>IF(B177="","",COUNTIFS('سجل التحفيز'!$V$5:$V$2004,"&gt;0",'سجل التحفيز'!$B$5:$B$2004,B177,'سجل التحفيز'!$D$5:$D$2004,"ذهبي"))</f>
        <v/>
      </c>
      <c r="F177" s="35">
        <f>IF(B177="","",SUMIFS('سجل التحفيز'!$G$5:$G$2004,'سجل التحفيز'!$V$5:$V$2004,"&gt;0",'سجل التحفيز'!$B$5:$B$2004,B177))</f>
        <v/>
      </c>
      <c r="G177" s="35">
        <f>IF(B177="","",COUNTIF($D$54:$D$203,"&gt;"&amp;D177)+1)</f>
        <v/>
      </c>
      <c r="H177" s="35">
        <f>IF(B177="","",INDEX(الموظفات!$L$5:$L$304,MATCH(B177,الموظفات!$B$5:$B$304,0)))</f>
        <v/>
      </c>
      <c r="K177" s="36">
        <f>IF(124&gt;$B$10,"",124)</f>
        <v/>
      </c>
      <c r="L177" s="37">
        <f>IF($K177="","",INDEX('سجل التحفيز'!$A$5:$A$2004,MATCH($K177,'سجل التحفيز'!$V$5:$V$2004,0)))</f>
        <v/>
      </c>
      <c r="M177" s="9">
        <f>IF($K177="","",INDEX('سجل التحفيز'!$B$5:$B$2004,MATCH($K177,'سجل التحفيز'!$V$5:$V$2004,0)))</f>
        <v/>
      </c>
      <c r="N177" s="9">
        <f>IF($K177="","",INDEX('سجل التحفيز'!$M$5:$M$2004,MATCH($K177,'سجل التحفيز'!$V$5:$V$2004,0)))</f>
        <v/>
      </c>
      <c r="O177" s="9">
        <f>IF($K177="","",INDEX('سجل التحفيز'!$C$5:$C$2004,MATCH($K177,'سجل التحفيز'!$V$5:$V$2004,0)))</f>
        <v/>
      </c>
      <c r="P177" s="36">
        <f>IF($K177="","",INDEX('سجل التحفيز'!$D$5:$D$2004,MATCH($K177,'سجل التحفيز'!$V$5:$V$2004,0)))</f>
        <v/>
      </c>
      <c r="Q177" s="9">
        <f>IF($K177="","",INDEX('سجل التحفيز'!$E$5:$E$2004,MATCH($K177,'سجل التحفيز'!$V$5:$V$2004,0)))</f>
        <v/>
      </c>
      <c r="R177" s="9">
        <f>IF($K177="","",INDEX('سجل التحفيز'!$F$5:$F$2004,MATCH($K177,'سجل التحفيز'!$V$5:$V$2004,0)))</f>
        <v/>
      </c>
      <c r="S177" s="35">
        <f>IF($K177="","",INDEX('سجل التحفيز'!$G$5:$G$2004,MATCH($K177,'سجل التحفيز'!$V$5:$V$2004,0)))</f>
        <v/>
      </c>
    </row>
    <row r="178">
      <c r="B178" s="34">
        <f>IFERROR(INDEX(الموظفات!$B$5:$B$304,MATCH(125,الموظفات!$P$5:$P$304,0)),"")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التحفيز'!$V$5:$V$2004,"&gt;0",'سجل التحفيز'!$B$5:$B$2004,B178))</f>
        <v/>
      </c>
      <c r="E178" s="35">
        <f>IF(B178="","",COUNTIFS('سجل التحفيز'!$V$5:$V$2004,"&gt;0",'سجل التحفيز'!$B$5:$B$2004,B178,'سجل التحفيز'!$D$5:$D$2004,"ذهبي"))</f>
        <v/>
      </c>
      <c r="F178" s="35">
        <f>IF(B178="","",SUMIFS('سجل التحفيز'!$G$5:$G$2004,'سجل التحفيز'!$V$5:$V$2004,"&gt;0",'سجل التحفيز'!$B$5:$B$2004,B178))</f>
        <v/>
      </c>
      <c r="G178" s="35">
        <f>IF(B178="","",COUNTIF($D$54:$D$203,"&gt;"&amp;D178)+1)</f>
        <v/>
      </c>
      <c r="H178" s="35">
        <f>IF(B178="","",INDEX(الموظفات!$L$5:$L$304,MATCH(B178,الموظفات!$B$5:$B$304,0)))</f>
        <v/>
      </c>
      <c r="K178" s="36">
        <f>IF(125&gt;$B$10,"",125)</f>
        <v/>
      </c>
      <c r="L178" s="37">
        <f>IF($K178="","",INDEX('سجل التحفيز'!$A$5:$A$2004,MATCH($K178,'سجل التحفيز'!$V$5:$V$2004,0)))</f>
        <v/>
      </c>
      <c r="M178" s="9">
        <f>IF($K178="","",INDEX('سجل التحفيز'!$B$5:$B$2004,MATCH($K178,'سجل التحفيز'!$V$5:$V$2004,0)))</f>
        <v/>
      </c>
      <c r="N178" s="9">
        <f>IF($K178="","",INDEX('سجل التحفيز'!$M$5:$M$2004,MATCH($K178,'سجل التحفيز'!$V$5:$V$2004,0)))</f>
        <v/>
      </c>
      <c r="O178" s="9">
        <f>IF($K178="","",INDEX('سجل التحفيز'!$C$5:$C$2004,MATCH($K178,'سجل التحفيز'!$V$5:$V$2004,0)))</f>
        <v/>
      </c>
      <c r="P178" s="36">
        <f>IF($K178="","",INDEX('سجل التحفيز'!$D$5:$D$2004,MATCH($K178,'سجل التحفيز'!$V$5:$V$2004,0)))</f>
        <v/>
      </c>
      <c r="Q178" s="9">
        <f>IF($K178="","",INDEX('سجل التحفيز'!$E$5:$E$2004,MATCH($K178,'سجل التحفيز'!$V$5:$V$2004,0)))</f>
        <v/>
      </c>
      <c r="R178" s="9">
        <f>IF($K178="","",INDEX('سجل التحفيز'!$F$5:$F$2004,MATCH($K178,'سجل التحفيز'!$V$5:$V$2004,0)))</f>
        <v/>
      </c>
      <c r="S178" s="35">
        <f>IF($K178="","",INDEX('سجل التحفيز'!$G$5:$G$2004,MATCH($K178,'سجل التحفيز'!$V$5:$V$2004,0)))</f>
        <v/>
      </c>
    </row>
    <row r="179">
      <c r="B179" s="34">
        <f>IFERROR(INDEX(الموظفات!$B$5:$B$304,MATCH(126,الموظفات!$P$5:$P$304,0)),"")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التحفيز'!$V$5:$V$2004,"&gt;0",'سجل التحفيز'!$B$5:$B$2004,B179))</f>
        <v/>
      </c>
      <c r="E179" s="35">
        <f>IF(B179="","",COUNTIFS('سجل التحفيز'!$V$5:$V$2004,"&gt;0",'سجل التحفيز'!$B$5:$B$2004,B179,'سجل التحفيز'!$D$5:$D$2004,"ذهبي"))</f>
        <v/>
      </c>
      <c r="F179" s="35">
        <f>IF(B179="","",SUMIFS('سجل التحفيز'!$G$5:$G$2004,'سجل التحفيز'!$V$5:$V$2004,"&gt;0",'سجل التحفيز'!$B$5:$B$2004,B179))</f>
        <v/>
      </c>
      <c r="G179" s="35">
        <f>IF(B179="","",COUNTIF($D$54:$D$203,"&gt;"&amp;D179)+1)</f>
        <v/>
      </c>
      <c r="H179" s="35">
        <f>IF(B179="","",INDEX(الموظفات!$L$5:$L$304,MATCH(B179,الموظفات!$B$5:$B$304,0)))</f>
        <v/>
      </c>
      <c r="K179" s="36">
        <f>IF(126&gt;$B$10,"",126)</f>
        <v/>
      </c>
      <c r="L179" s="37">
        <f>IF($K179="","",INDEX('سجل التحفيز'!$A$5:$A$2004,MATCH($K179,'سجل التحفيز'!$V$5:$V$2004,0)))</f>
        <v/>
      </c>
      <c r="M179" s="9">
        <f>IF($K179="","",INDEX('سجل التحفيز'!$B$5:$B$2004,MATCH($K179,'سجل التحفيز'!$V$5:$V$2004,0)))</f>
        <v/>
      </c>
      <c r="N179" s="9">
        <f>IF($K179="","",INDEX('سجل التحفيز'!$M$5:$M$2004,MATCH($K179,'سجل التحفيز'!$V$5:$V$2004,0)))</f>
        <v/>
      </c>
      <c r="O179" s="9">
        <f>IF($K179="","",INDEX('سجل التحفيز'!$C$5:$C$2004,MATCH($K179,'سجل التحفيز'!$V$5:$V$2004,0)))</f>
        <v/>
      </c>
      <c r="P179" s="36">
        <f>IF($K179="","",INDEX('سجل التحفيز'!$D$5:$D$2004,MATCH($K179,'سجل التحفيز'!$V$5:$V$2004,0)))</f>
        <v/>
      </c>
      <c r="Q179" s="9">
        <f>IF($K179="","",INDEX('سجل التحفيز'!$E$5:$E$2004,MATCH($K179,'سجل التحفيز'!$V$5:$V$2004,0)))</f>
        <v/>
      </c>
      <c r="R179" s="9">
        <f>IF($K179="","",INDEX('سجل التحفيز'!$F$5:$F$2004,MATCH($K179,'سجل التحفيز'!$V$5:$V$2004,0)))</f>
        <v/>
      </c>
      <c r="S179" s="35">
        <f>IF($K179="","",INDEX('سجل التحفيز'!$G$5:$G$2004,MATCH($K179,'سجل التحفيز'!$V$5:$V$2004,0)))</f>
        <v/>
      </c>
    </row>
    <row r="180">
      <c r="B180" s="34">
        <f>IFERROR(INDEX(الموظفات!$B$5:$B$304,MATCH(127,الموظفات!$P$5:$P$304,0)),"")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التحفيز'!$V$5:$V$2004,"&gt;0",'سجل التحفيز'!$B$5:$B$2004,B180))</f>
        <v/>
      </c>
      <c r="E180" s="35">
        <f>IF(B180="","",COUNTIFS('سجل التحفيز'!$V$5:$V$2004,"&gt;0",'سجل التحفيز'!$B$5:$B$2004,B180,'سجل التحفيز'!$D$5:$D$2004,"ذهبي"))</f>
        <v/>
      </c>
      <c r="F180" s="35">
        <f>IF(B180="","",SUMIFS('سجل التحفيز'!$G$5:$G$2004,'سجل التحفيز'!$V$5:$V$2004,"&gt;0",'سجل التحفيز'!$B$5:$B$2004,B180))</f>
        <v/>
      </c>
      <c r="G180" s="35">
        <f>IF(B180="","",COUNTIF($D$54:$D$203,"&gt;"&amp;D180)+1)</f>
        <v/>
      </c>
      <c r="H180" s="35">
        <f>IF(B180="","",INDEX(الموظفات!$L$5:$L$304,MATCH(B180,الموظفات!$B$5:$B$304,0)))</f>
        <v/>
      </c>
      <c r="K180" s="36">
        <f>IF(127&gt;$B$10,"",127)</f>
        <v/>
      </c>
      <c r="L180" s="37">
        <f>IF($K180="","",INDEX('سجل التحفيز'!$A$5:$A$2004,MATCH($K180,'سجل التحفيز'!$V$5:$V$2004,0)))</f>
        <v/>
      </c>
      <c r="M180" s="9">
        <f>IF($K180="","",INDEX('سجل التحفيز'!$B$5:$B$2004,MATCH($K180,'سجل التحفيز'!$V$5:$V$2004,0)))</f>
        <v/>
      </c>
      <c r="N180" s="9">
        <f>IF($K180="","",INDEX('سجل التحفيز'!$M$5:$M$2004,MATCH($K180,'سجل التحفيز'!$V$5:$V$2004,0)))</f>
        <v/>
      </c>
      <c r="O180" s="9">
        <f>IF($K180="","",INDEX('سجل التحفيز'!$C$5:$C$2004,MATCH($K180,'سجل التحفيز'!$V$5:$V$2004,0)))</f>
        <v/>
      </c>
      <c r="P180" s="36">
        <f>IF($K180="","",INDEX('سجل التحفيز'!$D$5:$D$2004,MATCH($K180,'سجل التحفيز'!$V$5:$V$2004,0)))</f>
        <v/>
      </c>
      <c r="Q180" s="9">
        <f>IF($K180="","",INDEX('سجل التحفيز'!$E$5:$E$2004,MATCH($K180,'سجل التحفيز'!$V$5:$V$2004,0)))</f>
        <v/>
      </c>
      <c r="R180" s="9">
        <f>IF($K180="","",INDEX('سجل التحفيز'!$F$5:$F$2004,MATCH($K180,'سجل التحفيز'!$V$5:$V$2004,0)))</f>
        <v/>
      </c>
      <c r="S180" s="35">
        <f>IF($K180="","",INDEX('سجل التحفيز'!$G$5:$G$2004,MATCH($K180,'سجل التحفيز'!$V$5:$V$2004,0)))</f>
        <v/>
      </c>
    </row>
    <row r="181">
      <c r="B181" s="34">
        <f>IFERROR(INDEX(الموظفات!$B$5:$B$304,MATCH(128,الموظفات!$P$5:$P$304,0)),"")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التحفيز'!$V$5:$V$2004,"&gt;0",'سجل التحفيز'!$B$5:$B$2004,B181))</f>
        <v/>
      </c>
      <c r="E181" s="35">
        <f>IF(B181="","",COUNTIFS('سجل التحفيز'!$V$5:$V$2004,"&gt;0",'سجل التحفيز'!$B$5:$B$2004,B181,'سجل التحفيز'!$D$5:$D$2004,"ذهبي"))</f>
        <v/>
      </c>
      <c r="F181" s="35">
        <f>IF(B181="","",SUMIFS('سجل التحفيز'!$G$5:$G$2004,'سجل التحفيز'!$V$5:$V$2004,"&gt;0",'سجل التحفيز'!$B$5:$B$2004,B181))</f>
        <v/>
      </c>
      <c r="G181" s="35">
        <f>IF(B181="","",COUNTIF($D$54:$D$203,"&gt;"&amp;D181)+1)</f>
        <v/>
      </c>
      <c r="H181" s="35">
        <f>IF(B181="","",INDEX(الموظفات!$L$5:$L$304,MATCH(B181,الموظفات!$B$5:$B$304,0)))</f>
        <v/>
      </c>
      <c r="K181" s="36">
        <f>IF(128&gt;$B$10,"",128)</f>
        <v/>
      </c>
      <c r="L181" s="37">
        <f>IF($K181="","",INDEX('سجل التحفيز'!$A$5:$A$2004,MATCH($K181,'سجل التحفيز'!$V$5:$V$2004,0)))</f>
        <v/>
      </c>
      <c r="M181" s="9">
        <f>IF($K181="","",INDEX('سجل التحفيز'!$B$5:$B$2004,MATCH($K181,'سجل التحفيز'!$V$5:$V$2004,0)))</f>
        <v/>
      </c>
      <c r="N181" s="9">
        <f>IF($K181="","",INDEX('سجل التحفيز'!$M$5:$M$2004,MATCH($K181,'سجل التحفيز'!$V$5:$V$2004,0)))</f>
        <v/>
      </c>
      <c r="O181" s="9">
        <f>IF($K181="","",INDEX('سجل التحفيز'!$C$5:$C$2004,MATCH($K181,'سجل التحفيز'!$V$5:$V$2004,0)))</f>
        <v/>
      </c>
      <c r="P181" s="36">
        <f>IF($K181="","",INDEX('سجل التحفيز'!$D$5:$D$2004,MATCH($K181,'سجل التحفيز'!$V$5:$V$2004,0)))</f>
        <v/>
      </c>
      <c r="Q181" s="9">
        <f>IF($K181="","",INDEX('سجل التحفيز'!$E$5:$E$2004,MATCH($K181,'سجل التحفيز'!$V$5:$V$2004,0)))</f>
        <v/>
      </c>
      <c r="R181" s="9">
        <f>IF($K181="","",INDEX('سجل التحفيز'!$F$5:$F$2004,MATCH($K181,'سجل التحفيز'!$V$5:$V$2004,0)))</f>
        <v/>
      </c>
      <c r="S181" s="35">
        <f>IF($K181="","",INDEX('سجل التحفيز'!$G$5:$G$2004,MATCH($K181,'سجل التحفيز'!$V$5:$V$2004,0)))</f>
        <v/>
      </c>
    </row>
    <row r="182">
      <c r="B182" s="34">
        <f>IFERROR(INDEX(الموظفات!$B$5:$B$304,MATCH(129,الموظفات!$P$5:$P$304,0)),"")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التحفيز'!$V$5:$V$2004,"&gt;0",'سجل التحفيز'!$B$5:$B$2004,B182))</f>
        <v/>
      </c>
      <c r="E182" s="35">
        <f>IF(B182="","",COUNTIFS('سجل التحفيز'!$V$5:$V$2004,"&gt;0",'سجل التحفيز'!$B$5:$B$2004,B182,'سجل التحفيز'!$D$5:$D$2004,"ذهبي"))</f>
        <v/>
      </c>
      <c r="F182" s="35">
        <f>IF(B182="","",SUMIFS('سجل التحفيز'!$G$5:$G$2004,'سجل التحفيز'!$V$5:$V$2004,"&gt;0",'سجل التحفيز'!$B$5:$B$2004,B182))</f>
        <v/>
      </c>
      <c r="G182" s="35">
        <f>IF(B182="","",COUNTIF($D$54:$D$203,"&gt;"&amp;D182)+1)</f>
        <v/>
      </c>
      <c r="H182" s="35">
        <f>IF(B182="","",INDEX(الموظفات!$L$5:$L$304,MATCH(B182,الموظفات!$B$5:$B$304,0)))</f>
        <v/>
      </c>
      <c r="K182" s="36">
        <f>IF(129&gt;$B$10,"",129)</f>
        <v/>
      </c>
      <c r="L182" s="37">
        <f>IF($K182="","",INDEX('سجل التحفيز'!$A$5:$A$2004,MATCH($K182,'سجل التحفيز'!$V$5:$V$2004,0)))</f>
        <v/>
      </c>
      <c r="M182" s="9">
        <f>IF($K182="","",INDEX('سجل التحفيز'!$B$5:$B$2004,MATCH($K182,'سجل التحفيز'!$V$5:$V$2004,0)))</f>
        <v/>
      </c>
      <c r="N182" s="9">
        <f>IF($K182="","",INDEX('سجل التحفيز'!$M$5:$M$2004,MATCH($K182,'سجل التحفيز'!$V$5:$V$2004,0)))</f>
        <v/>
      </c>
      <c r="O182" s="9">
        <f>IF($K182="","",INDEX('سجل التحفيز'!$C$5:$C$2004,MATCH($K182,'سجل التحفيز'!$V$5:$V$2004,0)))</f>
        <v/>
      </c>
      <c r="P182" s="36">
        <f>IF($K182="","",INDEX('سجل التحفيز'!$D$5:$D$2004,MATCH($K182,'سجل التحفيز'!$V$5:$V$2004,0)))</f>
        <v/>
      </c>
      <c r="Q182" s="9">
        <f>IF($K182="","",INDEX('سجل التحفيز'!$E$5:$E$2004,MATCH($K182,'سجل التحفيز'!$V$5:$V$2004,0)))</f>
        <v/>
      </c>
      <c r="R182" s="9">
        <f>IF($K182="","",INDEX('سجل التحفيز'!$F$5:$F$2004,MATCH($K182,'سجل التحفيز'!$V$5:$V$2004,0)))</f>
        <v/>
      </c>
      <c r="S182" s="35">
        <f>IF($K182="","",INDEX('سجل التحفيز'!$G$5:$G$2004,MATCH($K182,'سجل التحفيز'!$V$5:$V$2004,0)))</f>
        <v/>
      </c>
    </row>
    <row r="183">
      <c r="B183" s="34">
        <f>IFERROR(INDEX(الموظفات!$B$5:$B$304,MATCH(130,الموظفات!$P$5:$P$304,0)),"")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التحفيز'!$V$5:$V$2004,"&gt;0",'سجل التحفيز'!$B$5:$B$2004,B183))</f>
        <v/>
      </c>
      <c r="E183" s="35">
        <f>IF(B183="","",COUNTIFS('سجل التحفيز'!$V$5:$V$2004,"&gt;0",'سجل التحفيز'!$B$5:$B$2004,B183,'سجل التحفيز'!$D$5:$D$2004,"ذهبي"))</f>
        <v/>
      </c>
      <c r="F183" s="35">
        <f>IF(B183="","",SUMIFS('سجل التحفيز'!$G$5:$G$2004,'سجل التحفيز'!$V$5:$V$2004,"&gt;0",'سجل التحفيز'!$B$5:$B$2004,B183))</f>
        <v/>
      </c>
      <c r="G183" s="35">
        <f>IF(B183="","",COUNTIF($D$54:$D$203,"&gt;"&amp;D183)+1)</f>
        <v/>
      </c>
      <c r="H183" s="35">
        <f>IF(B183="","",INDEX(الموظفات!$L$5:$L$304,MATCH(B183,الموظفات!$B$5:$B$304,0)))</f>
        <v/>
      </c>
      <c r="K183" s="36">
        <f>IF(130&gt;$B$10,"",130)</f>
        <v/>
      </c>
      <c r="L183" s="37">
        <f>IF($K183="","",INDEX('سجل التحفيز'!$A$5:$A$2004,MATCH($K183,'سجل التحفيز'!$V$5:$V$2004,0)))</f>
        <v/>
      </c>
      <c r="M183" s="9">
        <f>IF($K183="","",INDEX('سجل التحفيز'!$B$5:$B$2004,MATCH($K183,'سجل التحفيز'!$V$5:$V$2004,0)))</f>
        <v/>
      </c>
      <c r="N183" s="9">
        <f>IF($K183="","",INDEX('سجل التحفيز'!$M$5:$M$2004,MATCH($K183,'سجل التحفيز'!$V$5:$V$2004,0)))</f>
        <v/>
      </c>
      <c r="O183" s="9">
        <f>IF($K183="","",INDEX('سجل التحفيز'!$C$5:$C$2004,MATCH($K183,'سجل التحفيز'!$V$5:$V$2004,0)))</f>
        <v/>
      </c>
      <c r="P183" s="36">
        <f>IF($K183="","",INDEX('سجل التحفيز'!$D$5:$D$2004,MATCH($K183,'سجل التحفيز'!$V$5:$V$2004,0)))</f>
        <v/>
      </c>
      <c r="Q183" s="9">
        <f>IF($K183="","",INDEX('سجل التحفيز'!$E$5:$E$2004,MATCH($K183,'سجل التحفيز'!$V$5:$V$2004,0)))</f>
        <v/>
      </c>
      <c r="R183" s="9">
        <f>IF($K183="","",INDEX('سجل التحفيز'!$F$5:$F$2004,MATCH($K183,'سجل التحفيز'!$V$5:$V$2004,0)))</f>
        <v/>
      </c>
      <c r="S183" s="35">
        <f>IF($K183="","",INDEX('سجل التحفيز'!$G$5:$G$2004,MATCH($K183,'سجل التحفيز'!$V$5:$V$2004,0)))</f>
        <v/>
      </c>
    </row>
    <row r="184">
      <c r="B184" s="34">
        <f>IFERROR(INDEX(الموظفات!$B$5:$B$304,MATCH(131,الموظفات!$P$5:$P$304,0)),"")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التحفيز'!$V$5:$V$2004,"&gt;0",'سجل التحفيز'!$B$5:$B$2004,B184))</f>
        <v/>
      </c>
      <c r="E184" s="35">
        <f>IF(B184="","",COUNTIFS('سجل التحفيز'!$V$5:$V$2004,"&gt;0",'سجل التحفيز'!$B$5:$B$2004,B184,'سجل التحفيز'!$D$5:$D$2004,"ذهبي"))</f>
        <v/>
      </c>
      <c r="F184" s="35">
        <f>IF(B184="","",SUMIFS('سجل التحفيز'!$G$5:$G$2004,'سجل التحفيز'!$V$5:$V$2004,"&gt;0",'سجل التحفيز'!$B$5:$B$2004,B184))</f>
        <v/>
      </c>
      <c r="G184" s="35">
        <f>IF(B184="","",COUNTIF($D$54:$D$203,"&gt;"&amp;D184)+1)</f>
        <v/>
      </c>
      <c r="H184" s="35">
        <f>IF(B184="","",INDEX(الموظفات!$L$5:$L$304,MATCH(B184,الموظفات!$B$5:$B$304,0)))</f>
        <v/>
      </c>
      <c r="K184" s="36">
        <f>IF(131&gt;$B$10,"",131)</f>
        <v/>
      </c>
      <c r="L184" s="37">
        <f>IF($K184="","",INDEX('سجل التحفيز'!$A$5:$A$2004,MATCH($K184,'سجل التحفيز'!$V$5:$V$2004,0)))</f>
        <v/>
      </c>
      <c r="M184" s="9">
        <f>IF($K184="","",INDEX('سجل التحفيز'!$B$5:$B$2004,MATCH($K184,'سجل التحفيز'!$V$5:$V$2004,0)))</f>
        <v/>
      </c>
      <c r="N184" s="9">
        <f>IF($K184="","",INDEX('سجل التحفيز'!$M$5:$M$2004,MATCH($K184,'سجل التحفيز'!$V$5:$V$2004,0)))</f>
        <v/>
      </c>
      <c r="O184" s="9">
        <f>IF($K184="","",INDEX('سجل التحفيز'!$C$5:$C$2004,MATCH($K184,'سجل التحفيز'!$V$5:$V$2004,0)))</f>
        <v/>
      </c>
      <c r="P184" s="36">
        <f>IF($K184="","",INDEX('سجل التحفيز'!$D$5:$D$2004,MATCH($K184,'سجل التحفيز'!$V$5:$V$2004,0)))</f>
        <v/>
      </c>
      <c r="Q184" s="9">
        <f>IF($K184="","",INDEX('سجل التحفيز'!$E$5:$E$2004,MATCH($K184,'سجل التحفيز'!$V$5:$V$2004,0)))</f>
        <v/>
      </c>
      <c r="R184" s="9">
        <f>IF($K184="","",INDEX('سجل التحفيز'!$F$5:$F$2004,MATCH($K184,'سجل التحفيز'!$V$5:$V$2004,0)))</f>
        <v/>
      </c>
      <c r="S184" s="35">
        <f>IF($K184="","",INDEX('سجل التحفيز'!$G$5:$G$2004,MATCH($K184,'سجل التحفيز'!$V$5:$V$2004,0)))</f>
        <v/>
      </c>
    </row>
    <row r="185">
      <c r="B185" s="34">
        <f>IFERROR(INDEX(الموظفات!$B$5:$B$304,MATCH(132,الموظفات!$P$5:$P$304,0)),"")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التحفيز'!$V$5:$V$2004,"&gt;0",'سجل التحفيز'!$B$5:$B$2004,B185))</f>
        <v/>
      </c>
      <c r="E185" s="35">
        <f>IF(B185="","",COUNTIFS('سجل التحفيز'!$V$5:$V$2004,"&gt;0",'سجل التحفيز'!$B$5:$B$2004,B185,'سجل التحفيز'!$D$5:$D$2004,"ذهبي"))</f>
        <v/>
      </c>
      <c r="F185" s="35">
        <f>IF(B185="","",SUMIFS('سجل التحفيز'!$G$5:$G$2004,'سجل التحفيز'!$V$5:$V$2004,"&gt;0",'سجل التحفيز'!$B$5:$B$2004,B185))</f>
        <v/>
      </c>
      <c r="G185" s="35">
        <f>IF(B185="","",COUNTIF($D$54:$D$203,"&gt;"&amp;D185)+1)</f>
        <v/>
      </c>
      <c r="H185" s="35">
        <f>IF(B185="","",INDEX(الموظفات!$L$5:$L$304,MATCH(B185,الموظفات!$B$5:$B$304,0)))</f>
        <v/>
      </c>
      <c r="K185" s="36">
        <f>IF(132&gt;$B$10,"",132)</f>
        <v/>
      </c>
      <c r="L185" s="37">
        <f>IF($K185="","",INDEX('سجل التحفيز'!$A$5:$A$2004,MATCH($K185,'سجل التحفيز'!$V$5:$V$2004,0)))</f>
        <v/>
      </c>
      <c r="M185" s="9">
        <f>IF($K185="","",INDEX('سجل التحفيز'!$B$5:$B$2004,MATCH($K185,'سجل التحفيز'!$V$5:$V$2004,0)))</f>
        <v/>
      </c>
      <c r="N185" s="9">
        <f>IF($K185="","",INDEX('سجل التحفيز'!$M$5:$M$2004,MATCH($K185,'سجل التحفيز'!$V$5:$V$2004,0)))</f>
        <v/>
      </c>
      <c r="O185" s="9">
        <f>IF($K185="","",INDEX('سجل التحفيز'!$C$5:$C$2004,MATCH($K185,'سجل التحفيز'!$V$5:$V$2004,0)))</f>
        <v/>
      </c>
      <c r="P185" s="36">
        <f>IF($K185="","",INDEX('سجل التحفيز'!$D$5:$D$2004,MATCH($K185,'سجل التحفيز'!$V$5:$V$2004,0)))</f>
        <v/>
      </c>
      <c r="Q185" s="9">
        <f>IF($K185="","",INDEX('سجل التحفيز'!$E$5:$E$2004,MATCH($K185,'سجل التحفيز'!$V$5:$V$2004,0)))</f>
        <v/>
      </c>
      <c r="R185" s="9">
        <f>IF($K185="","",INDEX('سجل التحفيز'!$F$5:$F$2004,MATCH($K185,'سجل التحفيز'!$V$5:$V$2004,0)))</f>
        <v/>
      </c>
      <c r="S185" s="35">
        <f>IF($K185="","",INDEX('سجل التحفيز'!$G$5:$G$2004,MATCH($K185,'سجل التحفيز'!$V$5:$V$2004,0)))</f>
        <v/>
      </c>
    </row>
    <row r="186">
      <c r="B186" s="34">
        <f>IFERROR(INDEX(الموظفات!$B$5:$B$304,MATCH(133,الموظفات!$P$5:$P$304,0)),"")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التحفيز'!$V$5:$V$2004,"&gt;0",'سجل التحفيز'!$B$5:$B$2004,B186))</f>
        <v/>
      </c>
      <c r="E186" s="35">
        <f>IF(B186="","",COUNTIFS('سجل التحفيز'!$V$5:$V$2004,"&gt;0",'سجل التحفيز'!$B$5:$B$2004,B186,'سجل التحفيز'!$D$5:$D$2004,"ذهبي"))</f>
        <v/>
      </c>
      <c r="F186" s="35">
        <f>IF(B186="","",SUMIFS('سجل التحفيز'!$G$5:$G$2004,'سجل التحفيز'!$V$5:$V$2004,"&gt;0",'سجل التحفيز'!$B$5:$B$2004,B186))</f>
        <v/>
      </c>
      <c r="G186" s="35">
        <f>IF(B186="","",COUNTIF($D$54:$D$203,"&gt;"&amp;D186)+1)</f>
        <v/>
      </c>
      <c r="H186" s="35">
        <f>IF(B186="","",INDEX(الموظفات!$L$5:$L$304,MATCH(B186,الموظفات!$B$5:$B$304,0)))</f>
        <v/>
      </c>
      <c r="K186" s="36">
        <f>IF(133&gt;$B$10,"",133)</f>
        <v/>
      </c>
      <c r="L186" s="37">
        <f>IF($K186="","",INDEX('سجل التحفيز'!$A$5:$A$2004,MATCH($K186,'سجل التحفيز'!$V$5:$V$2004,0)))</f>
        <v/>
      </c>
      <c r="M186" s="9">
        <f>IF($K186="","",INDEX('سجل التحفيز'!$B$5:$B$2004,MATCH($K186,'سجل التحفيز'!$V$5:$V$2004,0)))</f>
        <v/>
      </c>
      <c r="N186" s="9">
        <f>IF($K186="","",INDEX('سجل التحفيز'!$M$5:$M$2004,MATCH($K186,'سجل التحفيز'!$V$5:$V$2004,0)))</f>
        <v/>
      </c>
      <c r="O186" s="9">
        <f>IF($K186="","",INDEX('سجل التحفيز'!$C$5:$C$2004,MATCH($K186,'سجل التحفيز'!$V$5:$V$2004,0)))</f>
        <v/>
      </c>
      <c r="P186" s="36">
        <f>IF($K186="","",INDEX('سجل التحفيز'!$D$5:$D$2004,MATCH($K186,'سجل التحفيز'!$V$5:$V$2004,0)))</f>
        <v/>
      </c>
      <c r="Q186" s="9">
        <f>IF($K186="","",INDEX('سجل التحفيز'!$E$5:$E$2004,MATCH($K186,'سجل التحفيز'!$V$5:$V$2004,0)))</f>
        <v/>
      </c>
      <c r="R186" s="9">
        <f>IF($K186="","",INDEX('سجل التحفيز'!$F$5:$F$2004,MATCH($K186,'سجل التحفيز'!$V$5:$V$2004,0)))</f>
        <v/>
      </c>
      <c r="S186" s="35">
        <f>IF($K186="","",INDEX('سجل التحفيز'!$G$5:$G$2004,MATCH($K186,'سجل التحفيز'!$V$5:$V$2004,0)))</f>
        <v/>
      </c>
    </row>
    <row r="187">
      <c r="B187" s="34">
        <f>IFERROR(INDEX(الموظفات!$B$5:$B$304,MATCH(134,الموظفات!$P$5:$P$304,0)),"")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التحفيز'!$V$5:$V$2004,"&gt;0",'سجل التحفيز'!$B$5:$B$2004,B187))</f>
        <v/>
      </c>
      <c r="E187" s="35">
        <f>IF(B187="","",COUNTIFS('سجل التحفيز'!$V$5:$V$2004,"&gt;0",'سجل التحفيز'!$B$5:$B$2004,B187,'سجل التحفيز'!$D$5:$D$2004,"ذهبي"))</f>
        <v/>
      </c>
      <c r="F187" s="35">
        <f>IF(B187="","",SUMIFS('سجل التحفيز'!$G$5:$G$2004,'سجل التحفيز'!$V$5:$V$2004,"&gt;0",'سجل التحفيز'!$B$5:$B$2004,B187))</f>
        <v/>
      </c>
      <c r="G187" s="35">
        <f>IF(B187="","",COUNTIF($D$54:$D$203,"&gt;"&amp;D187)+1)</f>
        <v/>
      </c>
      <c r="H187" s="35">
        <f>IF(B187="","",INDEX(الموظفات!$L$5:$L$304,MATCH(B187,الموظفات!$B$5:$B$304,0)))</f>
        <v/>
      </c>
      <c r="K187" s="36">
        <f>IF(134&gt;$B$10,"",134)</f>
        <v/>
      </c>
      <c r="L187" s="37">
        <f>IF($K187="","",INDEX('سجل التحفيز'!$A$5:$A$2004,MATCH($K187,'سجل التحفيز'!$V$5:$V$2004,0)))</f>
        <v/>
      </c>
      <c r="M187" s="9">
        <f>IF($K187="","",INDEX('سجل التحفيز'!$B$5:$B$2004,MATCH($K187,'سجل التحفيز'!$V$5:$V$2004,0)))</f>
        <v/>
      </c>
      <c r="N187" s="9">
        <f>IF($K187="","",INDEX('سجل التحفيز'!$M$5:$M$2004,MATCH($K187,'سجل التحفيز'!$V$5:$V$2004,0)))</f>
        <v/>
      </c>
      <c r="O187" s="9">
        <f>IF($K187="","",INDEX('سجل التحفيز'!$C$5:$C$2004,MATCH($K187,'سجل التحفيز'!$V$5:$V$2004,0)))</f>
        <v/>
      </c>
      <c r="P187" s="36">
        <f>IF($K187="","",INDEX('سجل التحفيز'!$D$5:$D$2004,MATCH($K187,'سجل التحفيز'!$V$5:$V$2004,0)))</f>
        <v/>
      </c>
      <c r="Q187" s="9">
        <f>IF($K187="","",INDEX('سجل التحفيز'!$E$5:$E$2004,MATCH($K187,'سجل التحفيز'!$V$5:$V$2004,0)))</f>
        <v/>
      </c>
      <c r="R187" s="9">
        <f>IF($K187="","",INDEX('سجل التحفيز'!$F$5:$F$2004,MATCH($K187,'سجل التحفيز'!$V$5:$V$2004,0)))</f>
        <v/>
      </c>
      <c r="S187" s="35">
        <f>IF($K187="","",INDEX('سجل التحفيز'!$G$5:$G$2004,MATCH($K187,'سجل التحفيز'!$V$5:$V$2004,0)))</f>
        <v/>
      </c>
    </row>
    <row r="188">
      <c r="B188" s="34">
        <f>IFERROR(INDEX(الموظفات!$B$5:$B$304,MATCH(135,الموظفات!$P$5:$P$304,0)),"")</f>
        <v/>
      </c>
      <c r="C188" s="34">
        <f>IF(B188="","",INDEX(الموظفات!$D$5:$D$304,MATCH(B188,الموظفات!$B$5:$B$304,0))&amp;"")</f>
        <v/>
      </c>
      <c r="D188" s="35">
        <f>IF(B188="","",COUNTIFS('سجل التحفيز'!$V$5:$V$2004,"&gt;0",'سجل التحفيز'!$B$5:$B$2004,B188))</f>
        <v/>
      </c>
      <c r="E188" s="35">
        <f>IF(B188="","",COUNTIFS('سجل التحفيز'!$V$5:$V$2004,"&gt;0",'سجل التحفيز'!$B$5:$B$2004,B188,'سجل التحفيز'!$D$5:$D$2004,"ذهبي"))</f>
        <v/>
      </c>
      <c r="F188" s="35">
        <f>IF(B188="","",SUMIFS('سجل التحفيز'!$G$5:$G$2004,'سجل التحفيز'!$V$5:$V$2004,"&gt;0",'سجل التحفيز'!$B$5:$B$2004,B188))</f>
        <v/>
      </c>
      <c r="G188" s="35">
        <f>IF(B188="","",COUNTIF($D$54:$D$203,"&gt;"&amp;D188)+1)</f>
        <v/>
      </c>
      <c r="H188" s="35">
        <f>IF(B188="","",INDEX(الموظفات!$L$5:$L$304,MATCH(B188,الموظفات!$B$5:$B$304,0)))</f>
        <v/>
      </c>
      <c r="K188" s="36">
        <f>IF(135&gt;$B$10,"",135)</f>
        <v/>
      </c>
      <c r="L188" s="37">
        <f>IF($K188="","",INDEX('سجل التحفيز'!$A$5:$A$2004,MATCH($K188,'سجل التحفيز'!$V$5:$V$2004,0)))</f>
        <v/>
      </c>
      <c r="M188" s="9">
        <f>IF($K188="","",INDEX('سجل التحفيز'!$B$5:$B$2004,MATCH($K188,'سجل التحفيز'!$V$5:$V$2004,0)))</f>
        <v/>
      </c>
      <c r="N188" s="9">
        <f>IF($K188="","",INDEX('سجل التحفيز'!$M$5:$M$2004,MATCH($K188,'سجل التحفيز'!$V$5:$V$2004,0)))</f>
        <v/>
      </c>
      <c r="O188" s="9">
        <f>IF($K188="","",INDEX('سجل التحفيز'!$C$5:$C$2004,MATCH($K188,'سجل التحفيز'!$V$5:$V$2004,0)))</f>
        <v/>
      </c>
      <c r="P188" s="36">
        <f>IF($K188="","",INDEX('سجل التحفيز'!$D$5:$D$2004,MATCH($K188,'سجل التحفيز'!$V$5:$V$2004,0)))</f>
        <v/>
      </c>
      <c r="Q188" s="9">
        <f>IF($K188="","",INDEX('سجل التحفيز'!$E$5:$E$2004,MATCH($K188,'سجل التحفيز'!$V$5:$V$2004,0)))</f>
        <v/>
      </c>
      <c r="R188" s="9">
        <f>IF($K188="","",INDEX('سجل التحفيز'!$F$5:$F$2004,MATCH($K188,'سجل التحفيز'!$V$5:$V$2004,0)))</f>
        <v/>
      </c>
      <c r="S188" s="35">
        <f>IF($K188="","",INDEX('سجل التحفيز'!$G$5:$G$2004,MATCH($K188,'سجل التحفيز'!$V$5:$V$2004,0)))</f>
        <v/>
      </c>
    </row>
    <row r="189">
      <c r="B189" s="34">
        <f>IFERROR(INDEX(الموظفات!$B$5:$B$304,MATCH(136,الموظفات!$P$5:$P$304,0)),"")</f>
        <v/>
      </c>
      <c r="C189" s="34">
        <f>IF(B189="","",INDEX(الموظفات!$D$5:$D$304,MATCH(B189,الموظفات!$B$5:$B$304,0))&amp;"")</f>
        <v/>
      </c>
      <c r="D189" s="35">
        <f>IF(B189="","",COUNTIFS('سجل التحفيز'!$V$5:$V$2004,"&gt;0",'سجل التحفيز'!$B$5:$B$2004,B189))</f>
        <v/>
      </c>
      <c r="E189" s="35">
        <f>IF(B189="","",COUNTIFS('سجل التحفيز'!$V$5:$V$2004,"&gt;0",'سجل التحفيز'!$B$5:$B$2004,B189,'سجل التحفيز'!$D$5:$D$2004,"ذهبي"))</f>
        <v/>
      </c>
      <c r="F189" s="35">
        <f>IF(B189="","",SUMIFS('سجل التحفيز'!$G$5:$G$2004,'سجل التحفيز'!$V$5:$V$2004,"&gt;0",'سجل التحفيز'!$B$5:$B$2004,B189))</f>
        <v/>
      </c>
      <c r="G189" s="35">
        <f>IF(B189="","",COUNTIF($D$54:$D$203,"&gt;"&amp;D189)+1)</f>
        <v/>
      </c>
      <c r="H189" s="35">
        <f>IF(B189="","",INDEX(الموظفات!$L$5:$L$304,MATCH(B189,الموظفات!$B$5:$B$304,0)))</f>
        <v/>
      </c>
      <c r="K189" s="36">
        <f>IF(136&gt;$B$10,"",136)</f>
        <v/>
      </c>
      <c r="L189" s="37">
        <f>IF($K189="","",INDEX('سجل التحفيز'!$A$5:$A$2004,MATCH($K189,'سجل التحفيز'!$V$5:$V$2004,0)))</f>
        <v/>
      </c>
      <c r="M189" s="9">
        <f>IF($K189="","",INDEX('سجل التحفيز'!$B$5:$B$2004,MATCH($K189,'سجل التحفيز'!$V$5:$V$2004,0)))</f>
        <v/>
      </c>
      <c r="N189" s="9">
        <f>IF($K189="","",INDEX('سجل التحفيز'!$M$5:$M$2004,MATCH($K189,'سجل التحفيز'!$V$5:$V$2004,0)))</f>
        <v/>
      </c>
      <c r="O189" s="9">
        <f>IF($K189="","",INDEX('سجل التحفيز'!$C$5:$C$2004,MATCH($K189,'سجل التحفيز'!$V$5:$V$2004,0)))</f>
        <v/>
      </c>
      <c r="P189" s="36">
        <f>IF($K189="","",INDEX('سجل التحفيز'!$D$5:$D$2004,MATCH($K189,'سجل التحفيز'!$V$5:$V$2004,0)))</f>
        <v/>
      </c>
      <c r="Q189" s="9">
        <f>IF($K189="","",INDEX('سجل التحفيز'!$E$5:$E$2004,MATCH($K189,'سجل التحفيز'!$V$5:$V$2004,0)))</f>
        <v/>
      </c>
      <c r="R189" s="9">
        <f>IF($K189="","",INDEX('سجل التحفيز'!$F$5:$F$2004,MATCH($K189,'سجل التحفيز'!$V$5:$V$2004,0)))</f>
        <v/>
      </c>
      <c r="S189" s="35">
        <f>IF($K189="","",INDEX('سجل التحفيز'!$G$5:$G$2004,MATCH($K189,'سجل التحفيز'!$V$5:$V$2004,0)))</f>
        <v/>
      </c>
    </row>
    <row r="190">
      <c r="B190" s="34">
        <f>IFERROR(INDEX(الموظفات!$B$5:$B$304,MATCH(137,الموظفات!$P$5:$P$304,0)),"")</f>
        <v/>
      </c>
      <c r="C190" s="34">
        <f>IF(B190="","",INDEX(الموظفات!$D$5:$D$304,MATCH(B190,الموظفات!$B$5:$B$304,0))&amp;"")</f>
        <v/>
      </c>
      <c r="D190" s="35">
        <f>IF(B190="","",COUNTIFS('سجل التحفيز'!$V$5:$V$2004,"&gt;0",'سجل التحفيز'!$B$5:$B$2004,B190))</f>
        <v/>
      </c>
      <c r="E190" s="35">
        <f>IF(B190="","",COUNTIFS('سجل التحفيز'!$V$5:$V$2004,"&gt;0",'سجل التحفيز'!$B$5:$B$2004,B190,'سجل التحفيز'!$D$5:$D$2004,"ذهبي"))</f>
        <v/>
      </c>
      <c r="F190" s="35">
        <f>IF(B190="","",SUMIFS('سجل التحفيز'!$G$5:$G$2004,'سجل التحفيز'!$V$5:$V$2004,"&gt;0",'سجل التحفيز'!$B$5:$B$2004,B190))</f>
        <v/>
      </c>
      <c r="G190" s="35">
        <f>IF(B190="","",COUNTIF($D$54:$D$203,"&gt;"&amp;D190)+1)</f>
        <v/>
      </c>
      <c r="H190" s="35">
        <f>IF(B190="","",INDEX(الموظفات!$L$5:$L$304,MATCH(B190,الموظفات!$B$5:$B$304,0)))</f>
        <v/>
      </c>
      <c r="K190" s="36">
        <f>IF(137&gt;$B$10,"",137)</f>
        <v/>
      </c>
      <c r="L190" s="37">
        <f>IF($K190="","",INDEX('سجل التحفيز'!$A$5:$A$2004,MATCH($K190,'سجل التحفيز'!$V$5:$V$2004,0)))</f>
        <v/>
      </c>
      <c r="M190" s="9">
        <f>IF($K190="","",INDEX('سجل التحفيز'!$B$5:$B$2004,MATCH($K190,'سجل التحفيز'!$V$5:$V$2004,0)))</f>
        <v/>
      </c>
      <c r="N190" s="9">
        <f>IF($K190="","",INDEX('سجل التحفيز'!$M$5:$M$2004,MATCH($K190,'سجل التحفيز'!$V$5:$V$2004,0)))</f>
        <v/>
      </c>
      <c r="O190" s="9">
        <f>IF($K190="","",INDEX('سجل التحفيز'!$C$5:$C$2004,MATCH($K190,'سجل التحفيز'!$V$5:$V$2004,0)))</f>
        <v/>
      </c>
      <c r="P190" s="36">
        <f>IF($K190="","",INDEX('سجل التحفيز'!$D$5:$D$2004,MATCH($K190,'سجل التحفيز'!$V$5:$V$2004,0)))</f>
        <v/>
      </c>
      <c r="Q190" s="9">
        <f>IF($K190="","",INDEX('سجل التحفيز'!$E$5:$E$2004,MATCH($K190,'سجل التحفيز'!$V$5:$V$2004,0)))</f>
        <v/>
      </c>
      <c r="R190" s="9">
        <f>IF($K190="","",INDEX('سجل التحفيز'!$F$5:$F$2004,MATCH($K190,'سجل التحفيز'!$V$5:$V$2004,0)))</f>
        <v/>
      </c>
      <c r="S190" s="35">
        <f>IF($K190="","",INDEX('سجل التحفيز'!$G$5:$G$2004,MATCH($K190,'سجل التحفيز'!$V$5:$V$2004,0)))</f>
        <v/>
      </c>
    </row>
    <row r="191">
      <c r="B191" s="34">
        <f>IFERROR(INDEX(الموظفات!$B$5:$B$304,MATCH(138,الموظفات!$P$5:$P$304,0)),"")</f>
        <v/>
      </c>
      <c r="C191" s="34">
        <f>IF(B191="","",INDEX(الموظفات!$D$5:$D$304,MATCH(B191,الموظفات!$B$5:$B$304,0))&amp;"")</f>
        <v/>
      </c>
      <c r="D191" s="35">
        <f>IF(B191="","",COUNTIFS('سجل التحفيز'!$V$5:$V$2004,"&gt;0",'سجل التحفيز'!$B$5:$B$2004,B191))</f>
        <v/>
      </c>
      <c r="E191" s="35">
        <f>IF(B191="","",COUNTIFS('سجل التحفيز'!$V$5:$V$2004,"&gt;0",'سجل التحفيز'!$B$5:$B$2004,B191,'سجل التحفيز'!$D$5:$D$2004,"ذهبي"))</f>
        <v/>
      </c>
      <c r="F191" s="35">
        <f>IF(B191="","",SUMIFS('سجل التحفيز'!$G$5:$G$2004,'سجل التحفيز'!$V$5:$V$2004,"&gt;0",'سجل التحفيز'!$B$5:$B$2004,B191))</f>
        <v/>
      </c>
      <c r="G191" s="35">
        <f>IF(B191="","",COUNTIF($D$54:$D$203,"&gt;"&amp;D191)+1)</f>
        <v/>
      </c>
      <c r="H191" s="35">
        <f>IF(B191="","",INDEX(الموظفات!$L$5:$L$304,MATCH(B191,الموظفات!$B$5:$B$304,0)))</f>
        <v/>
      </c>
      <c r="K191" s="36">
        <f>IF(138&gt;$B$10,"",138)</f>
        <v/>
      </c>
      <c r="L191" s="37">
        <f>IF($K191="","",INDEX('سجل التحفيز'!$A$5:$A$2004,MATCH($K191,'سجل التحفيز'!$V$5:$V$2004,0)))</f>
        <v/>
      </c>
      <c r="M191" s="9">
        <f>IF($K191="","",INDEX('سجل التحفيز'!$B$5:$B$2004,MATCH($K191,'سجل التحفيز'!$V$5:$V$2004,0)))</f>
        <v/>
      </c>
      <c r="N191" s="9">
        <f>IF($K191="","",INDEX('سجل التحفيز'!$M$5:$M$2004,MATCH($K191,'سجل التحفيز'!$V$5:$V$2004,0)))</f>
        <v/>
      </c>
      <c r="O191" s="9">
        <f>IF($K191="","",INDEX('سجل التحفيز'!$C$5:$C$2004,MATCH($K191,'سجل التحفيز'!$V$5:$V$2004,0)))</f>
        <v/>
      </c>
      <c r="P191" s="36">
        <f>IF($K191="","",INDEX('سجل التحفيز'!$D$5:$D$2004,MATCH($K191,'سجل التحفيز'!$V$5:$V$2004,0)))</f>
        <v/>
      </c>
      <c r="Q191" s="9">
        <f>IF($K191="","",INDEX('سجل التحفيز'!$E$5:$E$2004,MATCH($K191,'سجل التحفيز'!$V$5:$V$2004,0)))</f>
        <v/>
      </c>
      <c r="R191" s="9">
        <f>IF($K191="","",INDEX('سجل التحفيز'!$F$5:$F$2004,MATCH($K191,'سجل التحفيز'!$V$5:$V$2004,0)))</f>
        <v/>
      </c>
      <c r="S191" s="35">
        <f>IF($K191="","",INDEX('سجل التحفيز'!$G$5:$G$2004,MATCH($K191,'سجل التحفيز'!$V$5:$V$2004,0)))</f>
        <v/>
      </c>
    </row>
    <row r="192">
      <c r="B192" s="34">
        <f>IFERROR(INDEX(الموظفات!$B$5:$B$304,MATCH(139,الموظفات!$P$5:$P$304,0)),"")</f>
        <v/>
      </c>
      <c r="C192" s="34">
        <f>IF(B192="","",INDEX(الموظفات!$D$5:$D$304,MATCH(B192,الموظفات!$B$5:$B$304,0))&amp;"")</f>
        <v/>
      </c>
      <c r="D192" s="35">
        <f>IF(B192="","",COUNTIFS('سجل التحفيز'!$V$5:$V$2004,"&gt;0",'سجل التحفيز'!$B$5:$B$2004,B192))</f>
        <v/>
      </c>
      <c r="E192" s="35">
        <f>IF(B192="","",COUNTIFS('سجل التحفيز'!$V$5:$V$2004,"&gt;0",'سجل التحفيز'!$B$5:$B$2004,B192,'سجل التحفيز'!$D$5:$D$2004,"ذهبي"))</f>
        <v/>
      </c>
      <c r="F192" s="35">
        <f>IF(B192="","",SUMIFS('سجل التحفيز'!$G$5:$G$2004,'سجل التحفيز'!$V$5:$V$2004,"&gt;0",'سجل التحفيز'!$B$5:$B$2004,B192))</f>
        <v/>
      </c>
      <c r="G192" s="35">
        <f>IF(B192="","",COUNTIF($D$54:$D$203,"&gt;"&amp;D192)+1)</f>
        <v/>
      </c>
      <c r="H192" s="35">
        <f>IF(B192="","",INDEX(الموظفات!$L$5:$L$304,MATCH(B192,الموظفات!$B$5:$B$304,0)))</f>
        <v/>
      </c>
      <c r="K192" s="36">
        <f>IF(139&gt;$B$10,"",139)</f>
        <v/>
      </c>
      <c r="L192" s="37">
        <f>IF($K192="","",INDEX('سجل التحفيز'!$A$5:$A$2004,MATCH($K192,'سجل التحفيز'!$V$5:$V$2004,0)))</f>
        <v/>
      </c>
      <c r="M192" s="9">
        <f>IF($K192="","",INDEX('سجل التحفيز'!$B$5:$B$2004,MATCH($K192,'سجل التحفيز'!$V$5:$V$2004,0)))</f>
        <v/>
      </c>
      <c r="N192" s="9">
        <f>IF($K192="","",INDEX('سجل التحفيز'!$M$5:$M$2004,MATCH($K192,'سجل التحفيز'!$V$5:$V$2004,0)))</f>
        <v/>
      </c>
      <c r="O192" s="9">
        <f>IF($K192="","",INDEX('سجل التحفيز'!$C$5:$C$2004,MATCH($K192,'سجل التحفيز'!$V$5:$V$2004,0)))</f>
        <v/>
      </c>
      <c r="P192" s="36">
        <f>IF($K192="","",INDEX('سجل التحفيز'!$D$5:$D$2004,MATCH($K192,'سجل التحفيز'!$V$5:$V$2004,0)))</f>
        <v/>
      </c>
      <c r="Q192" s="9">
        <f>IF($K192="","",INDEX('سجل التحفيز'!$E$5:$E$2004,MATCH($K192,'سجل التحفيز'!$V$5:$V$2004,0)))</f>
        <v/>
      </c>
      <c r="R192" s="9">
        <f>IF($K192="","",INDEX('سجل التحفيز'!$F$5:$F$2004,MATCH($K192,'سجل التحفيز'!$V$5:$V$2004,0)))</f>
        <v/>
      </c>
      <c r="S192" s="35">
        <f>IF($K192="","",INDEX('سجل التحفيز'!$G$5:$G$2004,MATCH($K192,'سجل التحفيز'!$V$5:$V$2004,0)))</f>
        <v/>
      </c>
    </row>
    <row r="193">
      <c r="B193" s="34">
        <f>IFERROR(INDEX(الموظفات!$B$5:$B$304,MATCH(140,الموظفات!$P$5:$P$304,0)),"")</f>
        <v/>
      </c>
      <c r="C193" s="34">
        <f>IF(B193="","",INDEX(الموظفات!$D$5:$D$304,MATCH(B193,الموظفات!$B$5:$B$304,0))&amp;"")</f>
        <v/>
      </c>
      <c r="D193" s="35">
        <f>IF(B193="","",COUNTIFS('سجل التحفيز'!$V$5:$V$2004,"&gt;0",'سجل التحفيز'!$B$5:$B$2004,B193))</f>
        <v/>
      </c>
      <c r="E193" s="35">
        <f>IF(B193="","",COUNTIFS('سجل التحفيز'!$V$5:$V$2004,"&gt;0",'سجل التحفيز'!$B$5:$B$2004,B193,'سجل التحفيز'!$D$5:$D$2004,"ذهبي"))</f>
        <v/>
      </c>
      <c r="F193" s="35">
        <f>IF(B193="","",SUMIFS('سجل التحفيز'!$G$5:$G$2004,'سجل التحفيز'!$V$5:$V$2004,"&gt;0",'سجل التحفيز'!$B$5:$B$2004,B193))</f>
        <v/>
      </c>
      <c r="G193" s="35">
        <f>IF(B193="","",COUNTIF($D$54:$D$203,"&gt;"&amp;D193)+1)</f>
        <v/>
      </c>
      <c r="H193" s="35">
        <f>IF(B193="","",INDEX(الموظفات!$L$5:$L$304,MATCH(B193,الموظفات!$B$5:$B$304,0)))</f>
        <v/>
      </c>
      <c r="K193" s="36">
        <f>IF(140&gt;$B$10,"",140)</f>
        <v/>
      </c>
      <c r="L193" s="37">
        <f>IF($K193="","",INDEX('سجل التحفيز'!$A$5:$A$2004,MATCH($K193,'سجل التحفيز'!$V$5:$V$2004,0)))</f>
        <v/>
      </c>
      <c r="M193" s="9">
        <f>IF($K193="","",INDEX('سجل التحفيز'!$B$5:$B$2004,MATCH($K193,'سجل التحفيز'!$V$5:$V$2004,0)))</f>
        <v/>
      </c>
      <c r="N193" s="9">
        <f>IF($K193="","",INDEX('سجل التحفيز'!$M$5:$M$2004,MATCH($K193,'سجل التحفيز'!$V$5:$V$2004,0)))</f>
        <v/>
      </c>
      <c r="O193" s="9">
        <f>IF($K193="","",INDEX('سجل التحفيز'!$C$5:$C$2004,MATCH($K193,'سجل التحفيز'!$V$5:$V$2004,0)))</f>
        <v/>
      </c>
      <c r="P193" s="36">
        <f>IF($K193="","",INDEX('سجل التحفيز'!$D$5:$D$2004,MATCH($K193,'سجل التحفيز'!$V$5:$V$2004,0)))</f>
        <v/>
      </c>
      <c r="Q193" s="9">
        <f>IF($K193="","",INDEX('سجل التحفيز'!$E$5:$E$2004,MATCH($K193,'سجل التحفيز'!$V$5:$V$2004,0)))</f>
        <v/>
      </c>
      <c r="R193" s="9">
        <f>IF($K193="","",INDEX('سجل التحفيز'!$F$5:$F$2004,MATCH($K193,'سجل التحفيز'!$V$5:$V$2004,0)))</f>
        <v/>
      </c>
      <c r="S193" s="35">
        <f>IF($K193="","",INDEX('سجل التحفيز'!$G$5:$G$2004,MATCH($K193,'سجل التحفيز'!$V$5:$V$2004,0)))</f>
        <v/>
      </c>
    </row>
    <row r="194">
      <c r="B194" s="34">
        <f>IFERROR(INDEX(الموظفات!$B$5:$B$304,MATCH(141,الموظفات!$P$5:$P$304,0)),"")</f>
        <v/>
      </c>
      <c r="C194" s="34">
        <f>IF(B194="","",INDEX(الموظفات!$D$5:$D$304,MATCH(B194,الموظفات!$B$5:$B$304,0))&amp;"")</f>
        <v/>
      </c>
      <c r="D194" s="35">
        <f>IF(B194="","",COUNTIFS('سجل التحفيز'!$V$5:$V$2004,"&gt;0",'سجل التحفيز'!$B$5:$B$2004,B194))</f>
        <v/>
      </c>
      <c r="E194" s="35">
        <f>IF(B194="","",COUNTIFS('سجل التحفيز'!$V$5:$V$2004,"&gt;0",'سجل التحفيز'!$B$5:$B$2004,B194,'سجل التحفيز'!$D$5:$D$2004,"ذهبي"))</f>
        <v/>
      </c>
      <c r="F194" s="35">
        <f>IF(B194="","",SUMIFS('سجل التحفيز'!$G$5:$G$2004,'سجل التحفيز'!$V$5:$V$2004,"&gt;0",'سجل التحفيز'!$B$5:$B$2004,B194))</f>
        <v/>
      </c>
      <c r="G194" s="35">
        <f>IF(B194="","",COUNTIF($D$54:$D$203,"&gt;"&amp;D194)+1)</f>
        <v/>
      </c>
      <c r="H194" s="35">
        <f>IF(B194="","",INDEX(الموظفات!$L$5:$L$304,MATCH(B194,الموظفات!$B$5:$B$304,0)))</f>
        <v/>
      </c>
      <c r="K194" s="36">
        <f>IF(141&gt;$B$10,"",141)</f>
        <v/>
      </c>
      <c r="L194" s="37">
        <f>IF($K194="","",INDEX('سجل التحفيز'!$A$5:$A$2004,MATCH($K194,'سجل التحفيز'!$V$5:$V$2004,0)))</f>
        <v/>
      </c>
      <c r="M194" s="9">
        <f>IF($K194="","",INDEX('سجل التحفيز'!$B$5:$B$2004,MATCH($K194,'سجل التحفيز'!$V$5:$V$2004,0)))</f>
        <v/>
      </c>
      <c r="N194" s="9">
        <f>IF($K194="","",INDEX('سجل التحفيز'!$M$5:$M$2004,MATCH($K194,'سجل التحفيز'!$V$5:$V$2004,0)))</f>
        <v/>
      </c>
      <c r="O194" s="9">
        <f>IF($K194="","",INDEX('سجل التحفيز'!$C$5:$C$2004,MATCH($K194,'سجل التحفيز'!$V$5:$V$2004,0)))</f>
        <v/>
      </c>
      <c r="P194" s="36">
        <f>IF($K194="","",INDEX('سجل التحفيز'!$D$5:$D$2004,MATCH($K194,'سجل التحفيز'!$V$5:$V$2004,0)))</f>
        <v/>
      </c>
      <c r="Q194" s="9">
        <f>IF($K194="","",INDEX('سجل التحفيز'!$E$5:$E$2004,MATCH($K194,'سجل التحفيز'!$V$5:$V$2004,0)))</f>
        <v/>
      </c>
      <c r="R194" s="9">
        <f>IF($K194="","",INDEX('سجل التحفيز'!$F$5:$F$2004,MATCH($K194,'سجل التحفيز'!$V$5:$V$2004,0)))</f>
        <v/>
      </c>
      <c r="S194" s="35">
        <f>IF($K194="","",INDEX('سجل التحفيز'!$G$5:$G$2004,MATCH($K194,'سجل التحفيز'!$V$5:$V$2004,0)))</f>
        <v/>
      </c>
    </row>
    <row r="195">
      <c r="B195" s="34">
        <f>IFERROR(INDEX(الموظفات!$B$5:$B$304,MATCH(142,الموظفات!$P$5:$P$304,0)),"")</f>
        <v/>
      </c>
      <c r="C195" s="34">
        <f>IF(B195="","",INDEX(الموظفات!$D$5:$D$304,MATCH(B195,الموظفات!$B$5:$B$304,0))&amp;"")</f>
        <v/>
      </c>
      <c r="D195" s="35">
        <f>IF(B195="","",COUNTIFS('سجل التحفيز'!$V$5:$V$2004,"&gt;0",'سجل التحفيز'!$B$5:$B$2004,B195))</f>
        <v/>
      </c>
      <c r="E195" s="35">
        <f>IF(B195="","",COUNTIFS('سجل التحفيز'!$V$5:$V$2004,"&gt;0",'سجل التحفيز'!$B$5:$B$2004,B195,'سجل التحفيز'!$D$5:$D$2004,"ذهبي"))</f>
        <v/>
      </c>
      <c r="F195" s="35">
        <f>IF(B195="","",SUMIFS('سجل التحفيز'!$G$5:$G$2004,'سجل التحفيز'!$V$5:$V$2004,"&gt;0",'سجل التحفيز'!$B$5:$B$2004,B195))</f>
        <v/>
      </c>
      <c r="G195" s="35">
        <f>IF(B195="","",COUNTIF($D$54:$D$203,"&gt;"&amp;D195)+1)</f>
        <v/>
      </c>
      <c r="H195" s="35">
        <f>IF(B195="","",INDEX(الموظفات!$L$5:$L$304,MATCH(B195,الموظفات!$B$5:$B$304,0)))</f>
        <v/>
      </c>
      <c r="K195" s="36">
        <f>IF(142&gt;$B$10,"",142)</f>
        <v/>
      </c>
      <c r="L195" s="37">
        <f>IF($K195="","",INDEX('سجل التحفيز'!$A$5:$A$2004,MATCH($K195,'سجل التحفيز'!$V$5:$V$2004,0)))</f>
        <v/>
      </c>
      <c r="M195" s="9">
        <f>IF($K195="","",INDEX('سجل التحفيز'!$B$5:$B$2004,MATCH($K195,'سجل التحفيز'!$V$5:$V$2004,0)))</f>
        <v/>
      </c>
      <c r="N195" s="9">
        <f>IF($K195="","",INDEX('سجل التحفيز'!$M$5:$M$2004,MATCH($K195,'سجل التحفيز'!$V$5:$V$2004,0)))</f>
        <v/>
      </c>
      <c r="O195" s="9">
        <f>IF($K195="","",INDEX('سجل التحفيز'!$C$5:$C$2004,MATCH($K195,'سجل التحفيز'!$V$5:$V$2004,0)))</f>
        <v/>
      </c>
      <c r="P195" s="36">
        <f>IF($K195="","",INDEX('سجل التحفيز'!$D$5:$D$2004,MATCH($K195,'سجل التحفيز'!$V$5:$V$2004,0)))</f>
        <v/>
      </c>
      <c r="Q195" s="9">
        <f>IF($K195="","",INDEX('سجل التحفيز'!$E$5:$E$2004,MATCH($K195,'سجل التحفيز'!$V$5:$V$2004,0)))</f>
        <v/>
      </c>
      <c r="R195" s="9">
        <f>IF($K195="","",INDEX('سجل التحفيز'!$F$5:$F$2004,MATCH($K195,'سجل التحفيز'!$V$5:$V$2004,0)))</f>
        <v/>
      </c>
      <c r="S195" s="35">
        <f>IF($K195="","",INDEX('سجل التحفيز'!$G$5:$G$2004,MATCH($K195,'سجل التحفيز'!$V$5:$V$2004,0)))</f>
        <v/>
      </c>
    </row>
    <row r="196">
      <c r="B196" s="34">
        <f>IFERROR(INDEX(الموظفات!$B$5:$B$304,MATCH(143,الموظفات!$P$5:$P$304,0)),"")</f>
        <v/>
      </c>
      <c r="C196" s="34">
        <f>IF(B196="","",INDEX(الموظفات!$D$5:$D$304,MATCH(B196,الموظفات!$B$5:$B$304,0))&amp;"")</f>
        <v/>
      </c>
      <c r="D196" s="35">
        <f>IF(B196="","",COUNTIFS('سجل التحفيز'!$V$5:$V$2004,"&gt;0",'سجل التحفيز'!$B$5:$B$2004,B196))</f>
        <v/>
      </c>
      <c r="E196" s="35">
        <f>IF(B196="","",COUNTIFS('سجل التحفيز'!$V$5:$V$2004,"&gt;0",'سجل التحفيز'!$B$5:$B$2004,B196,'سجل التحفيز'!$D$5:$D$2004,"ذهبي"))</f>
        <v/>
      </c>
      <c r="F196" s="35">
        <f>IF(B196="","",SUMIFS('سجل التحفيز'!$G$5:$G$2004,'سجل التحفيز'!$V$5:$V$2004,"&gt;0",'سجل التحفيز'!$B$5:$B$2004,B196))</f>
        <v/>
      </c>
      <c r="G196" s="35">
        <f>IF(B196="","",COUNTIF($D$54:$D$203,"&gt;"&amp;D196)+1)</f>
        <v/>
      </c>
      <c r="H196" s="35">
        <f>IF(B196="","",INDEX(الموظفات!$L$5:$L$304,MATCH(B196,الموظفات!$B$5:$B$304,0)))</f>
        <v/>
      </c>
      <c r="K196" s="36">
        <f>IF(143&gt;$B$10,"",143)</f>
        <v/>
      </c>
      <c r="L196" s="37">
        <f>IF($K196="","",INDEX('سجل التحفيز'!$A$5:$A$2004,MATCH($K196,'سجل التحفيز'!$V$5:$V$2004,0)))</f>
        <v/>
      </c>
      <c r="M196" s="9">
        <f>IF($K196="","",INDEX('سجل التحفيز'!$B$5:$B$2004,MATCH($K196,'سجل التحفيز'!$V$5:$V$2004,0)))</f>
        <v/>
      </c>
      <c r="N196" s="9">
        <f>IF($K196="","",INDEX('سجل التحفيز'!$M$5:$M$2004,MATCH($K196,'سجل التحفيز'!$V$5:$V$2004,0)))</f>
        <v/>
      </c>
      <c r="O196" s="9">
        <f>IF($K196="","",INDEX('سجل التحفيز'!$C$5:$C$2004,MATCH($K196,'سجل التحفيز'!$V$5:$V$2004,0)))</f>
        <v/>
      </c>
      <c r="P196" s="36">
        <f>IF($K196="","",INDEX('سجل التحفيز'!$D$5:$D$2004,MATCH($K196,'سجل التحفيز'!$V$5:$V$2004,0)))</f>
        <v/>
      </c>
      <c r="Q196" s="9">
        <f>IF($K196="","",INDEX('سجل التحفيز'!$E$5:$E$2004,MATCH($K196,'سجل التحفيز'!$V$5:$V$2004,0)))</f>
        <v/>
      </c>
      <c r="R196" s="9">
        <f>IF($K196="","",INDEX('سجل التحفيز'!$F$5:$F$2004,MATCH($K196,'سجل التحفيز'!$V$5:$V$2004,0)))</f>
        <v/>
      </c>
      <c r="S196" s="35">
        <f>IF($K196="","",INDEX('سجل التحفيز'!$G$5:$G$2004,MATCH($K196,'سجل التحفيز'!$V$5:$V$2004,0)))</f>
        <v/>
      </c>
    </row>
    <row r="197">
      <c r="B197" s="34">
        <f>IFERROR(INDEX(الموظفات!$B$5:$B$304,MATCH(144,الموظفات!$P$5:$P$304,0)),"")</f>
        <v/>
      </c>
      <c r="C197" s="34">
        <f>IF(B197="","",INDEX(الموظفات!$D$5:$D$304,MATCH(B197,الموظفات!$B$5:$B$304,0))&amp;"")</f>
        <v/>
      </c>
      <c r="D197" s="35">
        <f>IF(B197="","",COUNTIFS('سجل التحفيز'!$V$5:$V$2004,"&gt;0",'سجل التحفيز'!$B$5:$B$2004,B197))</f>
        <v/>
      </c>
      <c r="E197" s="35">
        <f>IF(B197="","",COUNTIFS('سجل التحفيز'!$V$5:$V$2004,"&gt;0",'سجل التحفيز'!$B$5:$B$2004,B197,'سجل التحفيز'!$D$5:$D$2004,"ذهبي"))</f>
        <v/>
      </c>
      <c r="F197" s="35">
        <f>IF(B197="","",SUMIFS('سجل التحفيز'!$G$5:$G$2004,'سجل التحفيز'!$V$5:$V$2004,"&gt;0",'سجل التحفيز'!$B$5:$B$2004,B197))</f>
        <v/>
      </c>
      <c r="G197" s="35">
        <f>IF(B197="","",COUNTIF($D$54:$D$203,"&gt;"&amp;D197)+1)</f>
        <v/>
      </c>
      <c r="H197" s="35">
        <f>IF(B197="","",INDEX(الموظفات!$L$5:$L$304,MATCH(B197,الموظفات!$B$5:$B$304,0)))</f>
        <v/>
      </c>
      <c r="K197" s="36">
        <f>IF(144&gt;$B$10,"",144)</f>
        <v/>
      </c>
      <c r="L197" s="37">
        <f>IF($K197="","",INDEX('سجل التحفيز'!$A$5:$A$2004,MATCH($K197,'سجل التحفيز'!$V$5:$V$2004,0)))</f>
        <v/>
      </c>
      <c r="M197" s="9">
        <f>IF($K197="","",INDEX('سجل التحفيز'!$B$5:$B$2004,MATCH($K197,'سجل التحفيز'!$V$5:$V$2004,0)))</f>
        <v/>
      </c>
      <c r="N197" s="9">
        <f>IF($K197="","",INDEX('سجل التحفيز'!$M$5:$M$2004,MATCH($K197,'سجل التحفيز'!$V$5:$V$2004,0)))</f>
        <v/>
      </c>
      <c r="O197" s="9">
        <f>IF($K197="","",INDEX('سجل التحفيز'!$C$5:$C$2004,MATCH($K197,'سجل التحفيز'!$V$5:$V$2004,0)))</f>
        <v/>
      </c>
      <c r="P197" s="36">
        <f>IF($K197="","",INDEX('سجل التحفيز'!$D$5:$D$2004,MATCH($K197,'سجل التحفيز'!$V$5:$V$2004,0)))</f>
        <v/>
      </c>
      <c r="Q197" s="9">
        <f>IF($K197="","",INDEX('سجل التحفيز'!$E$5:$E$2004,MATCH($K197,'سجل التحفيز'!$V$5:$V$2004,0)))</f>
        <v/>
      </c>
      <c r="R197" s="9">
        <f>IF($K197="","",INDEX('سجل التحفيز'!$F$5:$F$2004,MATCH($K197,'سجل التحفيز'!$V$5:$V$2004,0)))</f>
        <v/>
      </c>
      <c r="S197" s="35">
        <f>IF($K197="","",INDEX('سجل التحفيز'!$G$5:$G$2004,MATCH($K197,'سجل التحفيز'!$V$5:$V$2004,0)))</f>
        <v/>
      </c>
    </row>
    <row r="198">
      <c r="B198" s="34">
        <f>IFERROR(INDEX(الموظفات!$B$5:$B$304,MATCH(145,الموظفات!$P$5:$P$304,0)),"")</f>
        <v/>
      </c>
      <c r="C198" s="34">
        <f>IF(B198="","",INDEX(الموظفات!$D$5:$D$304,MATCH(B198,الموظفات!$B$5:$B$304,0))&amp;"")</f>
        <v/>
      </c>
      <c r="D198" s="35">
        <f>IF(B198="","",COUNTIFS('سجل التحفيز'!$V$5:$V$2004,"&gt;0",'سجل التحفيز'!$B$5:$B$2004,B198))</f>
        <v/>
      </c>
      <c r="E198" s="35">
        <f>IF(B198="","",COUNTIFS('سجل التحفيز'!$V$5:$V$2004,"&gt;0",'سجل التحفيز'!$B$5:$B$2004,B198,'سجل التحفيز'!$D$5:$D$2004,"ذهبي"))</f>
        <v/>
      </c>
      <c r="F198" s="35">
        <f>IF(B198="","",SUMIFS('سجل التحفيز'!$G$5:$G$2004,'سجل التحفيز'!$V$5:$V$2004,"&gt;0",'سجل التحفيز'!$B$5:$B$2004,B198))</f>
        <v/>
      </c>
      <c r="G198" s="35">
        <f>IF(B198="","",COUNTIF($D$54:$D$203,"&gt;"&amp;D198)+1)</f>
        <v/>
      </c>
      <c r="H198" s="35">
        <f>IF(B198="","",INDEX(الموظفات!$L$5:$L$304,MATCH(B198,الموظفات!$B$5:$B$304,0)))</f>
        <v/>
      </c>
      <c r="K198" s="36">
        <f>IF(145&gt;$B$10,"",145)</f>
        <v/>
      </c>
      <c r="L198" s="37">
        <f>IF($K198="","",INDEX('سجل التحفيز'!$A$5:$A$2004,MATCH($K198,'سجل التحفيز'!$V$5:$V$2004,0)))</f>
        <v/>
      </c>
      <c r="M198" s="9">
        <f>IF($K198="","",INDEX('سجل التحفيز'!$B$5:$B$2004,MATCH($K198,'سجل التحفيز'!$V$5:$V$2004,0)))</f>
        <v/>
      </c>
      <c r="N198" s="9">
        <f>IF($K198="","",INDEX('سجل التحفيز'!$M$5:$M$2004,MATCH($K198,'سجل التحفيز'!$V$5:$V$2004,0)))</f>
        <v/>
      </c>
      <c r="O198" s="9">
        <f>IF($K198="","",INDEX('سجل التحفيز'!$C$5:$C$2004,MATCH($K198,'سجل التحفيز'!$V$5:$V$2004,0)))</f>
        <v/>
      </c>
      <c r="P198" s="36">
        <f>IF($K198="","",INDEX('سجل التحفيز'!$D$5:$D$2004,MATCH($K198,'سجل التحفيز'!$V$5:$V$2004,0)))</f>
        <v/>
      </c>
      <c r="Q198" s="9">
        <f>IF($K198="","",INDEX('سجل التحفيز'!$E$5:$E$2004,MATCH($K198,'سجل التحفيز'!$V$5:$V$2004,0)))</f>
        <v/>
      </c>
      <c r="R198" s="9">
        <f>IF($K198="","",INDEX('سجل التحفيز'!$F$5:$F$2004,MATCH($K198,'سجل التحفيز'!$V$5:$V$2004,0)))</f>
        <v/>
      </c>
      <c r="S198" s="35">
        <f>IF($K198="","",INDEX('سجل التحفيز'!$G$5:$G$2004,MATCH($K198,'سجل التحفيز'!$V$5:$V$2004,0)))</f>
        <v/>
      </c>
    </row>
    <row r="199">
      <c r="B199" s="34">
        <f>IFERROR(INDEX(الموظفات!$B$5:$B$304,MATCH(146,الموظفات!$P$5:$P$304,0)),"")</f>
        <v/>
      </c>
      <c r="C199" s="34">
        <f>IF(B199="","",INDEX(الموظفات!$D$5:$D$304,MATCH(B199,الموظفات!$B$5:$B$304,0))&amp;"")</f>
        <v/>
      </c>
      <c r="D199" s="35">
        <f>IF(B199="","",COUNTIFS('سجل التحفيز'!$V$5:$V$2004,"&gt;0",'سجل التحفيز'!$B$5:$B$2004,B199))</f>
        <v/>
      </c>
      <c r="E199" s="35">
        <f>IF(B199="","",COUNTIFS('سجل التحفيز'!$V$5:$V$2004,"&gt;0",'سجل التحفيز'!$B$5:$B$2004,B199,'سجل التحفيز'!$D$5:$D$2004,"ذهبي"))</f>
        <v/>
      </c>
      <c r="F199" s="35">
        <f>IF(B199="","",SUMIFS('سجل التحفيز'!$G$5:$G$2004,'سجل التحفيز'!$V$5:$V$2004,"&gt;0",'سجل التحفيز'!$B$5:$B$2004,B199))</f>
        <v/>
      </c>
      <c r="G199" s="35">
        <f>IF(B199="","",COUNTIF($D$54:$D$203,"&gt;"&amp;D199)+1)</f>
        <v/>
      </c>
      <c r="H199" s="35">
        <f>IF(B199="","",INDEX(الموظفات!$L$5:$L$304,MATCH(B199,الموظفات!$B$5:$B$304,0)))</f>
        <v/>
      </c>
      <c r="K199" s="36">
        <f>IF(146&gt;$B$10,"",146)</f>
        <v/>
      </c>
      <c r="L199" s="37">
        <f>IF($K199="","",INDEX('سجل التحفيز'!$A$5:$A$2004,MATCH($K199,'سجل التحفيز'!$V$5:$V$2004,0)))</f>
        <v/>
      </c>
      <c r="M199" s="9">
        <f>IF($K199="","",INDEX('سجل التحفيز'!$B$5:$B$2004,MATCH($K199,'سجل التحفيز'!$V$5:$V$2004,0)))</f>
        <v/>
      </c>
      <c r="N199" s="9">
        <f>IF($K199="","",INDEX('سجل التحفيز'!$M$5:$M$2004,MATCH($K199,'سجل التحفيز'!$V$5:$V$2004,0)))</f>
        <v/>
      </c>
      <c r="O199" s="9">
        <f>IF($K199="","",INDEX('سجل التحفيز'!$C$5:$C$2004,MATCH($K199,'سجل التحفيز'!$V$5:$V$2004,0)))</f>
        <v/>
      </c>
      <c r="P199" s="36">
        <f>IF($K199="","",INDEX('سجل التحفيز'!$D$5:$D$2004,MATCH($K199,'سجل التحفيز'!$V$5:$V$2004,0)))</f>
        <v/>
      </c>
      <c r="Q199" s="9">
        <f>IF($K199="","",INDEX('سجل التحفيز'!$E$5:$E$2004,MATCH($K199,'سجل التحفيز'!$V$5:$V$2004,0)))</f>
        <v/>
      </c>
      <c r="R199" s="9">
        <f>IF($K199="","",INDEX('سجل التحفيز'!$F$5:$F$2004,MATCH($K199,'سجل التحفيز'!$V$5:$V$2004,0)))</f>
        <v/>
      </c>
      <c r="S199" s="35">
        <f>IF($K199="","",INDEX('سجل التحفيز'!$G$5:$G$2004,MATCH($K199,'سجل التحفيز'!$V$5:$V$2004,0)))</f>
        <v/>
      </c>
    </row>
    <row r="200">
      <c r="B200" s="34">
        <f>IFERROR(INDEX(الموظفات!$B$5:$B$304,MATCH(147,الموظفات!$P$5:$P$304,0)),"")</f>
        <v/>
      </c>
      <c r="C200" s="34">
        <f>IF(B200="","",INDEX(الموظفات!$D$5:$D$304,MATCH(B200,الموظفات!$B$5:$B$304,0))&amp;"")</f>
        <v/>
      </c>
      <c r="D200" s="35">
        <f>IF(B200="","",COUNTIFS('سجل التحفيز'!$V$5:$V$2004,"&gt;0",'سجل التحفيز'!$B$5:$B$2004,B200))</f>
        <v/>
      </c>
      <c r="E200" s="35">
        <f>IF(B200="","",COUNTIFS('سجل التحفيز'!$V$5:$V$2004,"&gt;0",'سجل التحفيز'!$B$5:$B$2004,B200,'سجل التحفيز'!$D$5:$D$2004,"ذهبي"))</f>
        <v/>
      </c>
      <c r="F200" s="35">
        <f>IF(B200="","",SUMIFS('سجل التحفيز'!$G$5:$G$2004,'سجل التحفيز'!$V$5:$V$2004,"&gt;0",'سجل التحفيز'!$B$5:$B$2004,B200))</f>
        <v/>
      </c>
      <c r="G200" s="35">
        <f>IF(B200="","",COUNTIF($D$54:$D$203,"&gt;"&amp;D200)+1)</f>
        <v/>
      </c>
      <c r="H200" s="35">
        <f>IF(B200="","",INDEX(الموظفات!$L$5:$L$304,MATCH(B200,الموظفات!$B$5:$B$304,0)))</f>
        <v/>
      </c>
      <c r="K200" s="36">
        <f>IF(147&gt;$B$10,"",147)</f>
        <v/>
      </c>
      <c r="L200" s="37">
        <f>IF($K200="","",INDEX('سجل التحفيز'!$A$5:$A$2004,MATCH($K200,'سجل التحفيز'!$V$5:$V$2004,0)))</f>
        <v/>
      </c>
      <c r="M200" s="9">
        <f>IF($K200="","",INDEX('سجل التحفيز'!$B$5:$B$2004,MATCH($K200,'سجل التحفيز'!$V$5:$V$2004,0)))</f>
        <v/>
      </c>
      <c r="N200" s="9">
        <f>IF($K200="","",INDEX('سجل التحفيز'!$M$5:$M$2004,MATCH($K200,'سجل التحفيز'!$V$5:$V$2004,0)))</f>
        <v/>
      </c>
      <c r="O200" s="9">
        <f>IF($K200="","",INDEX('سجل التحفيز'!$C$5:$C$2004,MATCH($K200,'سجل التحفيز'!$V$5:$V$2004,0)))</f>
        <v/>
      </c>
      <c r="P200" s="36">
        <f>IF($K200="","",INDEX('سجل التحفيز'!$D$5:$D$2004,MATCH($K200,'سجل التحفيز'!$V$5:$V$2004,0)))</f>
        <v/>
      </c>
      <c r="Q200" s="9">
        <f>IF($K200="","",INDEX('سجل التحفيز'!$E$5:$E$2004,MATCH($K200,'سجل التحفيز'!$V$5:$V$2004,0)))</f>
        <v/>
      </c>
      <c r="R200" s="9">
        <f>IF($K200="","",INDEX('سجل التحفيز'!$F$5:$F$2004,MATCH($K200,'سجل التحفيز'!$V$5:$V$2004,0)))</f>
        <v/>
      </c>
      <c r="S200" s="35">
        <f>IF($K200="","",INDEX('سجل التحفيز'!$G$5:$G$2004,MATCH($K200,'سجل التحفيز'!$V$5:$V$2004,0)))</f>
        <v/>
      </c>
    </row>
    <row r="201">
      <c r="B201" s="34">
        <f>IFERROR(INDEX(الموظفات!$B$5:$B$304,MATCH(148,الموظفات!$P$5:$P$304,0)),"")</f>
        <v/>
      </c>
      <c r="C201" s="34">
        <f>IF(B201="","",INDEX(الموظفات!$D$5:$D$304,MATCH(B201,الموظفات!$B$5:$B$304,0))&amp;"")</f>
        <v/>
      </c>
      <c r="D201" s="35">
        <f>IF(B201="","",COUNTIFS('سجل التحفيز'!$V$5:$V$2004,"&gt;0",'سجل التحفيز'!$B$5:$B$2004,B201))</f>
        <v/>
      </c>
      <c r="E201" s="35">
        <f>IF(B201="","",COUNTIFS('سجل التحفيز'!$V$5:$V$2004,"&gt;0",'سجل التحفيز'!$B$5:$B$2004,B201,'سجل التحفيز'!$D$5:$D$2004,"ذهبي"))</f>
        <v/>
      </c>
      <c r="F201" s="35">
        <f>IF(B201="","",SUMIFS('سجل التحفيز'!$G$5:$G$2004,'سجل التحفيز'!$V$5:$V$2004,"&gt;0",'سجل التحفيز'!$B$5:$B$2004,B201))</f>
        <v/>
      </c>
      <c r="G201" s="35">
        <f>IF(B201="","",COUNTIF($D$54:$D$203,"&gt;"&amp;D201)+1)</f>
        <v/>
      </c>
      <c r="H201" s="35">
        <f>IF(B201="","",INDEX(الموظفات!$L$5:$L$304,MATCH(B201,الموظفات!$B$5:$B$304,0)))</f>
        <v/>
      </c>
      <c r="K201" s="36">
        <f>IF(148&gt;$B$10,"",148)</f>
        <v/>
      </c>
      <c r="L201" s="37">
        <f>IF($K201="","",INDEX('سجل التحفيز'!$A$5:$A$2004,MATCH($K201,'سجل التحفيز'!$V$5:$V$2004,0)))</f>
        <v/>
      </c>
      <c r="M201" s="9">
        <f>IF($K201="","",INDEX('سجل التحفيز'!$B$5:$B$2004,MATCH($K201,'سجل التحفيز'!$V$5:$V$2004,0)))</f>
        <v/>
      </c>
      <c r="N201" s="9">
        <f>IF($K201="","",INDEX('سجل التحفيز'!$M$5:$M$2004,MATCH($K201,'سجل التحفيز'!$V$5:$V$2004,0)))</f>
        <v/>
      </c>
      <c r="O201" s="9">
        <f>IF($K201="","",INDEX('سجل التحفيز'!$C$5:$C$2004,MATCH($K201,'سجل التحفيز'!$V$5:$V$2004,0)))</f>
        <v/>
      </c>
      <c r="P201" s="36">
        <f>IF($K201="","",INDEX('سجل التحفيز'!$D$5:$D$2004,MATCH($K201,'سجل التحفيز'!$V$5:$V$2004,0)))</f>
        <v/>
      </c>
      <c r="Q201" s="9">
        <f>IF($K201="","",INDEX('سجل التحفيز'!$E$5:$E$2004,MATCH($K201,'سجل التحفيز'!$V$5:$V$2004,0)))</f>
        <v/>
      </c>
      <c r="R201" s="9">
        <f>IF($K201="","",INDEX('سجل التحفيز'!$F$5:$F$2004,MATCH($K201,'سجل التحفيز'!$V$5:$V$2004,0)))</f>
        <v/>
      </c>
      <c r="S201" s="35">
        <f>IF($K201="","",INDEX('سجل التحفيز'!$G$5:$G$2004,MATCH($K201,'سجل التحفيز'!$V$5:$V$2004,0)))</f>
        <v/>
      </c>
    </row>
    <row r="202">
      <c r="B202" s="34">
        <f>IFERROR(INDEX(الموظفات!$B$5:$B$304,MATCH(149,الموظفات!$P$5:$P$304,0)),"")</f>
        <v/>
      </c>
      <c r="C202" s="34">
        <f>IF(B202="","",INDEX(الموظفات!$D$5:$D$304,MATCH(B202,الموظفات!$B$5:$B$304,0))&amp;"")</f>
        <v/>
      </c>
      <c r="D202" s="35">
        <f>IF(B202="","",COUNTIFS('سجل التحفيز'!$V$5:$V$2004,"&gt;0",'سجل التحفيز'!$B$5:$B$2004,B202))</f>
        <v/>
      </c>
      <c r="E202" s="35">
        <f>IF(B202="","",COUNTIFS('سجل التحفيز'!$V$5:$V$2004,"&gt;0",'سجل التحفيز'!$B$5:$B$2004,B202,'سجل التحفيز'!$D$5:$D$2004,"ذهبي"))</f>
        <v/>
      </c>
      <c r="F202" s="35">
        <f>IF(B202="","",SUMIFS('سجل التحفيز'!$G$5:$G$2004,'سجل التحفيز'!$V$5:$V$2004,"&gt;0",'سجل التحفيز'!$B$5:$B$2004,B202))</f>
        <v/>
      </c>
      <c r="G202" s="35">
        <f>IF(B202="","",COUNTIF($D$54:$D$203,"&gt;"&amp;D202)+1)</f>
        <v/>
      </c>
      <c r="H202" s="35">
        <f>IF(B202="","",INDEX(الموظفات!$L$5:$L$304,MATCH(B202,الموظفات!$B$5:$B$304,0)))</f>
        <v/>
      </c>
      <c r="K202" s="36">
        <f>IF(149&gt;$B$10,"",149)</f>
        <v/>
      </c>
      <c r="L202" s="37">
        <f>IF($K202="","",INDEX('سجل التحفيز'!$A$5:$A$2004,MATCH($K202,'سجل التحفيز'!$V$5:$V$2004,0)))</f>
        <v/>
      </c>
      <c r="M202" s="9">
        <f>IF($K202="","",INDEX('سجل التحفيز'!$B$5:$B$2004,MATCH($K202,'سجل التحفيز'!$V$5:$V$2004,0)))</f>
        <v/>
      </c>
      <c r="N202" s="9">
        <f>IF($K202="","",INDEX('سجل التحفيز'!$M$5:$M$2004,MATCH($K202,'سجل التحفيز'!$V$5:$V$2004,0)))</f>
        <v/>
      </c>
      <c r="O202" s="9">
        <f>IF($K202="","",INDEX('سجل التحفيز'!$C$5:$C$2004,MATCH($K202,'سجل التحفيز'!$V$5:$V$2004,0)))</f>
        <v/>
      </c>
      <c r="P202" s="36">
        <f>IF($K202="","",INDEX('سجل التحفيز'!$D$5:$D$2004,MATCH($K202,'سجل التحفيز'!$V$5:$V$2004,0)))</f>
        <v/>
      </c>
      <c r="Q202" s="9">
        <f>IF($K202="","",INDEX('سجل التحفيز'!$E$5:$E$2004,MATCH($K202,'سجل التحفيز'!$V$5:$V$2004,0)))</f>
        <v/>
      </c>
      <c r="R202" s="9">
        <f>IF($K202="","",INDEX('سجل التحفيز'!$F$5:$F$2004,MATCH($K202,'سجل التحفيز'!$V$5:$V$2004,0)))</f>
        <v/>
      </c>
      <c r="S202" s="35">
        <f>IF($K202="","",INDEX('سجل التحفيز'!$G$5:$G$2004,MATCH($K202,'سجل التحفيز'!$V$5:$V$2004,0)))</f>
        <v/>
      </c>
    </row>
    <row r="203">
      <c r="B203" s="34">
        <f>IFERROR(INDEX(الموظفات!$B$5:$B$304,MATCH(150,الموظفات!$P$5:$P$304,0)),"")</f>
        <v/>
      </c>
      <c r="C203" s="34">
        <f>IF(B203="","",INDEX(الموظفات!$D$5:$D$304,MATCH(B203,الموظفات!$B$5:$B$304,0))&amp;"")</f>
        <v/>
      </c>
      <c r="D203" s="35">
        <f>IF(B203="","",COUNTIFS('سجل التحفيز'!$V$5:$V$2004,"&gt;0",'سجل التحفيز'!$B$5:$B$2004,B203))</f>
        <v/>
      </c>
      <c r="E203" s="35">
        <f>IF(B203="","",COUNTIFS('سجل التحفيز'!$V$5:$V$2004,"&gt;0",'سجل التحفيز'!$B$5:$B$2004,B203,'سجل التحفيز'!$D$5:$D$2004,"ذهبي"))</f>
        <v/>
      </c>
      <c r="F203" s="35">
        <f>IF(B203="","",SUMIFS('سجل التحفيز'!$G$5:$G$2004,'سجل التحفيز'!$V$5:$V$2004,"&gt;0",'سجل التحفيز'!$B$5:$B$2004,B203))</f>
        <v/>
      </c>
      <c r="G203" s="35">
        <f>IF(B203="","",COUNTIF($D$54:$D$203,"&gt;"&amp;D203)+1)</f>
        <v/>
      </c>
      <c r="H203" s="35">
        <f>IF(B203="","",INDEX(الموظفات!$L$5:$L$304,MATCH(B203,الموظفات!$B$5:$B$304,0)))</f>
        <v/>
      </c>
      <c r="K203" s="36">
        <f>IF(150&gt;$B$10,"",150)</f>
        <v/>
      </c>
      <c r="L203" s="37">
        <f>IF($K203="","",INDEX('سجل التحفيز'!$A$5:$A$2004,MATCH($K203,'سجل التحفيز'!$V$5:$V$2004,0)))</f>
        <v/>
      </c>
      <c r="M203" s="9">
        <f>IF($K203="","",INDEX('سجل التحفيز'!$B$5:$B$2004,MATCH($K203,'سجل التحفيز'!$V$5:$V$2004,0)))</f>
        <v/>
      </c>
      <c r="N203" s="9">
        <f>IF($K203="","",INDEX('سجل التحفيز'!$M$5:$M$2004,MATCH($K203,'سجل التحفيز'!$V$5:$V$2004,0)))</f>
        <v/>
      </c>
      <c r="O203" s="9">
        <f>IF($K203="","",INDEX('سجل التحفيز'!$C$5:$C$2004,MATCH($K203,'سجل التحفيز'!$V$5:$V$2004,0)))</f>
        <v/>
      </c>
      <c r="P203" s="36">
        <f>IF($K203="","",INDEX('سجل التحفيز'!$D$5:$D$2004,MATCH($K203,'سجل التحفيز'!$V$5:$V$2004,0)))</f>
        <v/>
      </c>
      <c r="Q203" s="9">
        <f>IF($K203="","",INDEX('سجل التحفيز'!$E$5:$E$2004,MATCH($K203,'سجل التحفيز'!$V$5:$V$2004,0)))</f>
        <v/>
      </c>
      <c r="R203" s="9">
        <f>IF($K203="","",INDEX('سجل التحفيز'!$F$5:$F$2004,MATCH($K203,'سجل التحفيز'!$V$5:$V$2004,0)))</f>
        <v/>
      </c>
      <c r="S203" s="35">
        <f>IF($K203="","",INDEX('سجل التحفيز'!$G$5:$G$2004,MATCH($K203,'سجل التحفيز'!$V$5:$V$2004,0)))</f>
        <v/>
      </c>
    </row>
    <row r="204">
      <c r="K204" s="36">
        <f>IF(151&gt;$B$10,"",151)</f>
        <v/>
      </c>
      <c r="L204" s="37">
        <f>IF($K204="","",INDEX('سجل التحفيز'!$A$5:$A$2004,MATCH($K204,'سجل التحفيز'!$V$5:$V$2004,0)))</f>
        <v/>
      </c>
      <c r="M204" s="9">
        <f>IF($K204="","",INDEX('سجل التحفيز'!$B$5:$B$2004,MATCH($K204,'سجل التحفيز'!$V$5:$V$2004,0)))</f>
        <v/>
      </c>
      <c r="N204" s="9">
        <f>IF($K204="","",INDEX('سجل التحفيز'!$M$5:$M$2004,MATCH($K204,'سجل التحفيز'!$V$5:$V$2004,0)))</f>
        <v/>
      </c>
      <c r="O204" s="9">
        <f>IF($K204="","",INDEX('سجل التحفيز'!$C$5:$C$2004,MATCH($K204,'سجل التحفيز'!$V$5:$V$2004,0)))</f>
        <v/>
      </c>
      <c r="P204" s="36">
        <f>IF($K204="","",INDEX('سجل التحفيز'!$D$5:$D$2004,MATCH($K204,'سجل التحفيز'!$V$5:$V$2004,0)))</f>
        <v/>
      </c>
      <c r="Q204" s="9">
        <f>IF($K204="","",INDEX('سجل التحفيز'!$E$5:$E$2004,MATCH($K204,'سجل التحفيز'!$V$5:$V$2004,0)))</f>
        <v/>
      </c>
      <c r="R204" s="9">
        <f>IF($K204="","",INDEX('سجل التحفيز'!$F$5:$F$2004,MATCH($K204,'سجل التحفيز'!$V$5:$V$2004,0)))</f>
        <v/>
      </c>
      <c r="S204" s="35">
        <f>IF($K204="","",INDEX('سجل التحفيز'!$G$5:$G$2004,MATCH($K204,'سجل التحفيز'!$V$5:$V$2004,0)))</f>
        <v/>
      </c>
    </row>
    <row r="205">
      <c r="K205" s="36">
        <f>IF(152&gt;$B$10,"",152)</f>
        <v/>
      </c>
      <c r="L205" s="37">
        <f>IF($K205="","",INDEX('سجل التحفيز'!$A$5:$A$2004,MATCH($K205,'سجل التحفيز'!$V$5:$V$2004,0)))</f>
        <v/>
      </c>
      <c r="M205" s="9">
        <f>IF($K205="","",INDEX('سجل التحفيز'!$B$5:$B$2004,MATCH($K205,'سجل التحفيز'!$V$5:$V$2004,0)))</f>
        <v/>
      </c>
      <c r="N205" s="9">
        <f>IF($K205="","",INDEX('سجل التحفيز'!$M$5:$M$2004,MATCH($K205,'سجل التحفيز'!$V$5:$V$2004,0)))</f>
        <v/>
      </c>
      <c r="O205" s="9">
        <f>IF($K205="","",INDEX('سجل التحفيز'!$C$5:$C$2004,MATCH($K205,'سجل التحفيز'!$V$5:$V$2004,0)))</f>
        <v/>
      </c>
      <c r="P205" s="36">
        <f>IF($K205="","",INDEX('سجل التحفيز'!$D$5:$D$2004,MATCH($K205,'سجل التحفيز'!$V$5:$V$2004,0)))</f>
        <v/>
      </c>
      <c r="Q205" s="9">
        <f>IF($K205="","",INDEX('سجل التحفيز'!$E$5:$E$2004,MATCH($K205,'سجل التحفيز'!$V$5:$V$2004,0)))</f>
        <v/>
      </c>
      <c r="R205" s="9">
        <f>IF($K205="","",INDEX('سجل التحفيز'!$F$5:$F$2004,MATCH($K205,'سجل التحفيز'!$V$5:$V$2004,0)))</f>
        <v/>
      </c>
      <c r="S205" s="35">
        <f>IF($K205="","",INDEX('سجل التحفيز'!$G$5:$G$2004,MATCH($K205,'سجل التحفيز'!$V$5:$V$2004,0)))</f>
        <v/>
      </c>
    </row>
    <row r="206">
      <c r="K206" s="36">
        <f>IF(153&gt;$B$10,"",153)</f>
        <v/>
      </c>
      <c r="L206" s="37">
        <f>IF($K206="","",INDEX('سجل التحفيز'!$A$5:$A$2004,MATCH($K206,'سجل التحفيز'!$V$5:$V$2004,0)))</f>
        <v/>
      </c>
      <c r="M206" s="9">
        <f>IF($K206="","",INDEX('سجل التحفيز'!$B$5:$B$2004,MATCH($K206,'سجل التحفيز'!$V$5:$V$2004,0)))</f>
        <v/>
      </c>
      <c r="N206" s="9">
        <f>IF($K206="","",INDEX('سجل التحفيز'!$M$5:$M$2004,MATCH($K206,'سجل التحفيز'!$V$5:$V$2004,0)))</f>
        <v/>
      </c>
      <c r="O206" s="9">
        <f>IF($K206="","",INDEX('سجل التحفيز'!$C$5:$C$2004,MATCH($K206,'سجل التحفيز'!$V$5:$V$2004,0)))</f>
        <v/>
      </c>
      <c r="P206" s="36">
        <f>IF($K206="","",INDEX('سجل التحفيز'!$D$5:$D$2004,MATCH($K206,'سجل التحفيز'!$V$5:$V$2004,0)))</f>
        <v/>
      </c>
      <c r="Q206" s="9">
        <f>IF($K206="","",INDEX('سجل التحفيز'!$E$5:$E$2004,MATCH($K206,'سجل التحفيز'!$V$5:$V$2004,0)))</f>
        <v/>
      </c>
      <c r="R206" s="9">
        <f>IF($K206="","",INDEX('سجل التحفيز'!$F$5:$F$2004,MATCH($K206,'سجل التحفيز'!$V$5:$V$2004,0)))</f>
        <v/>
      </c>
      <c r="S206" s="35">
        <f>IF($K206="","",INDEX('سجل التحفيز'!$G$5:$G$2004,MATCH($K206,'سجل التحفيز'!$V$5:$V$2004,0)))</f>
        <v/>
      </c>
    </row>
    <row r="207">
      <c r="K207" s="36">
        <f>IF(154&gt;$B$10,"",154)</f>
        <v/>
      </c>
      <c r="L207" s="37">
        <f>IF($K207="","",INDEX('سجل التحفيز'!$A$5:$A$2004,MATCH($K207,'سجل التحفيز'!$V$5:$V$2004,0)))</f>
        <v/>
      </c>
      <c r="M207" s="9">
        <f>IF($K207="","",INDEX('سجل التحفيز'!$B$5:$B$2004,MATCH($K207,'سجل التحفيز'!$V$5:$V$2004,0)))</f>
        <v/>
      </c>
      <c r="N207" s="9">
        <f>IF($K207="","",INDEX('سجل التحفيز'!$M$5:$M$2004,MATCH($K207,'سجل التحفيز'!$V$5:$V$2004,0)))</f>
        <v/>
      </c>
      <c r="O207" s="9">
        <f>IF($K207="","",INDEX('سجل التحفيز'!$C$5:$C$2004,MATCH($K207,'سجل التحفيز'!$V$5:$V$2004,0)))</f>
        <v/>
      </c>
      <c r="P207" s="36">
        <f>IF($K207="","",INDEX('سجل التحفيز'!$D$5:$D$2004,MATCH($K207,'سجل التحفيز'!$V$5:$V$2004,0)))</f>
        <v/>
      </c>
      <c r="Q207" s="9">
        <f>IF($K207="","",INDEX('سجل التحفيز'!$E$5:$E$2004,MATCH($K207,'سجل التحفيز'!$V$5:$V$2004,0)))</f>
        <v/>
      </c>
      <c r="R207" s="9">
        <f>IF($K207="","",INDEX('سجل التحفيز'!$F$5:$F$2004,MATCH($K207,'سجل التحفيز'!$V$5:$V$2004,0)))</f>
        <v/>
      </c>
      <c r="S207" s="35">
        <f>IF($K207="","",INDEX('سجل التحفيز'!$G$5:$G$2004,MATCH($K207,'سجل التحفيز'!$V$5:$V$2004,0)))</f>
        <v/>
      </c>
    </row>
    <row r="208">
      <c r="K208" s="36">
        <f>IF(155&gt;$B$10,"",155)</f>
        <v/>
      </c>
      <c r="L208" s="37">
        <f>IF($K208="","",INDEX('سجل التحفيز'!$A$5:$A$2004,MATCH($K208,'سجل التحفيز'!$V$5:$V$2004,0)))</f>
        <v/>
      </c>
      <c r="M208" s="9">
        <f>IF($K208="","",INDEX('سجل التحفيز'!$B$5:$B$2004,MATCH($K208,'سجل التحفيز'!$V$5:$V$2004,0)))</f>
        <v/>
      </c>
      <c r="N208" s="9">
        <f>IF($K208="","",INDEX('سجل التحفيز'!$M$5:$M$2004,MATCH($K208,'سجل التحفيز'!$V$5:$V$2004,0)))</f>
        <v/>
      </c>
      <c r="O208" s="9">
        <f>IF($K208="","",INDEX('سجل التحفيز'!$C$5:$C$2004,MATCH($K208,'سجل التحفيز'!$V$5:$V$2004,0)))</f>
        <v/>
      </c>
      <c r="P208" s="36">
        <f>IF($K208="","",INDEX('سجل التحفيز'!$D$5:$D$2004,MATCH($K208,'سجل التحفيز'!$V$5:$V$2004,0)))</f>
        <v/>
      </c>
      <c r="Q208" s="9">
        <f>IF($K208="","",INDEX('سجل التحفيز'!$E$5:$E$2004,MATCH($K208,'سجل التحفيز'!$V$5:$V$2004,0)))</f>
        <v/>
      </c>
      <c r="R208" s="9">
        <f>IF($K208="","",INDEX('سجل التحفيز'!$F$5:$F$2004,MATCH($K208,'سجل التحفيز'!$V$5:$V$2004,0)))</f>
        <v/>
      </c>
      <c r="S208" s="35">
        <f>IF($K208="","",INDEX('سجل التحفيز'!$G$5:$G$2004,MATCH($K208,'سجل التحفيز'!$V$5:$V$2004,0)))</f>
        <v/>
      </c>
    </row>
    <row r="209">
      <c r="K209" s="36">
        <f>IF(156&gt;$B$10,"",156)</f>
        <v/>
      </c>
      <c r="L209" s="37">
        <f>IF($K209="","",INDEX('سجل التحفيز'!$A$5:$A$2004,MATCH($K209,'سجل التحفيز'!$V$5:$V$2004,0)))</f>
        <v/>
      </c>
      <c r="M209" s="9">
        <f>IF($K209="","",INDEX('سجل التحفيز'!$B$5:$B$2004,MATCH($K209,'سجل التحفيز'!$V$5:$V$2004,0)))</f>
        <v/>
      </c>
      <c r="N209" s="9">
        <f>IF($K209="","",INDEX('سجل التحفيز'!$M$5:$M$2004,MATCH($K209,'سجل التحفيز'!$V$5:$V$2004,0)))</f>
        <v/>
      </c>
      <c r="O209" s="9">
        <f>IF($K209="","",INDEX('سجل التحفيز'!$C$5:$C$2004,MATCH($K209,'سجل التحفيز'!$V$5:$V$2004,0)))</f>
        <v/>
      </c>
      <c r="P209" s="36">
        <f>IF($K209="","",INDEX('سجل التحفيز'!$D$5:$D$2004,MATCH($K209,'سجل التحفيز'!$V$5:$V$2004,0)))</f>
        <v/>
      </c>
      <c r="Q209" s="9">
        <f>IF($K209="","",INDEX('سجل التحفيز'!$E$5:$E$2004,MATCH($K209,'سجل التحفيز'!$V$5:$V$2004,0)))</f>
        <v/>
      </c>
      <c r="R209" s="9">
        <f>IF($K209="","",INDEX('سجل التحفيز'!$F$5:$F$2004,MATCH($K209,'سجل التحفيز'!$V$5:$V$2004,0)))</f>
        <v/>
      </c>
      <c r="S209" s="35">
        <f>IF($K209="","",INDEX('سجل التحفيز'!$G$5:$G$2004,MATCH($K209,'سجل التحفيز'!$V$5:$V$2004,0)))</f>
        <v/>
      </c>
    </row>
    <row r="210">
      <c r="K210" s="36">
        <f>IF(157&gt;$B$10,"",157)</f>
        <v/>
      </c>
      <c r="L210" s="37">
        <f>IF($K210="","",INDEX('سجل التحفيز'!$A$5:$A$2004,MATCH($K210,'سجل التحفيز'!$V$5:$V$2004,0)))</f>
        <v/>
      </c>
      <c r="M210" s="9">
        <f>IF($K210="","",INDEX('سجل التحفيز'!$B$5:$B$2004,MATCH($K210,'سجل التحفيز'!$V$5:$V$2004,0)))</f>
        <v/>
      </c>
      <c r="N210" s="9">
        <f>IF($K210="","",INDEX('سجل التحفيز'!$M$5:$M$2004,MATCH($K210,'سجل التحفيز'!$V$5:$V$2004,0)))</f>
        <v/>
      </c>
      <c r="O210" s="9">
        <f>IF($K210="","",INDEX('سجل التحفيز'!$C$5:$C$2004,MATCH($K210,'سجل التحفيز'!$V$5:$V$2004,0)))</f>
        <v/>
      </c>
      <c r="P210" s="36">
        <f>IF($K210="","",INDEX('سجل التحفيز'!$D$5:$D$2004,MATCH($K210,'سجل التحفيز'!$V$5:$V$2004,0)))</f>
        <v/>
      </c>
      <c r="Q210" s="9">
        <f>IF($K210="","",INDEX('سجل التحفيز'!$E$5:$E$2004,MATCH($K210,'سجل التحفيز'!$V$5:$V$2004,0)))</f>
        <v/>
      </c>
      <c r="R210" s="9">
        <f>IF($K210="","",INDEX('سجل التحفيز'!$F$5:$F$2004,MATCH($K210,'سجل التحفيز'!$V$5:$V$2004,0)))</f>
        <v/>
      </c>
      <c r="S210" s="35">
        <f>IF($K210="","",INDEX('سجل التحفيز'!$G$5:$G$2004,MATCH($K210,'سجل التحفيز'!$V$5:$V$2004,0)))</f>
        <v/>
      </c>
    </row>
    <row r="211">
      <c r="K211" s="36">
        <f>IF(158&gt;$B$10,"",158)</f>
        <v/>
      </c>
      <c r="L211" s="37">
        <f>IF($K211="","",INDEX('سجل التحفيز'!$A$5:$A$2004,MATCH($K211,'سجل التحفيز'!$V$5:$V$2004,0)))</f>
        <v/>
      </c>
      <c r="M211" s="9">
        <f>IF($K211="","",INDEX('سجل التحفيز'!$B$5:$B$2004,MATCH($K211,'سجل التحفيز'!$V$5:$V$2004,0)))</f>
        <v/>
      </c>
      <c r="N211" s="9">
        <f>IF($K211="","",INDEX('سجل التحفيز'!$M$5:$M$2004,MATCH($K211,'سجل التحفيز'!$V$5:$V$2004,0)))</f>
        <v/>
      </c>
      <c r="O211" s="9">
        <f>IF($K211="","",INDEX('سجل التحفيز'!$C$5:$C$2004,MATCH($K211,'سجل التحفيز'!$V$5:$V$2004,0)))</f>
        <v/>
      </c>
      <c r="P211" s="36">
        <f>IF($K211="","",INDEX('سجل التحفيز'!$D$5:$D$2004,MATCH($K211,'سجل التحفيز'!$V$5:$V$2004,0)))</f>
        <v/>
      </c>
      <c r="Q211" s="9">
        <f>IF($K211="","",INDEX('سجل التحفيز'!$E$5:$E$2004,MATCH($K211,'سجل التحفيز'!$V$5:$V$2004,0)))</f>
        <v/>
      </c>
      <c r="R211" s="9">
        <f>IF($K211="","",INDEX('سجل التحفيز'!$F$5:$F$2004,MATCH($K211,'سجل التحفيز'!$V$5:$V$2004,0)))</f>
        <v/>
      </c>
      <c r="S211" s="35">
        <f>IF($K211="","",INDEX('سجل التحفيز'!$G$5:$G$2004,MATCH($K211,'سجل التحفيز'!$V$5:$V$2004,0)))</f>
        <v/>
      </c>
    </row>
    <row r="212">
      <c r="K212" s="36">
        <f>IF(159&gt;$B$10,"",159)</f>
        <v/>
      </c>
      <c r="L212" s="37">
        <f>IF($K212="","",INDEX('سجل التحفيز'!$A$5:$A$2004,MATCH($K212,'سجل التحفيز'!$V$5:$V$2004,0)))</f>
        <v/>
      </c>
      <c r="M212" s="9">
        <f>IF($K212="","",INDEX('سجل التحفيز'!$B$5:$B$2004,MATCH($K212,'سجل التحفيز'!$V$5:$V$2004,0)))</f>
        <v/>
      </c>
      <c r="N212" s="9">
        <f>IF($K212="","",INDEX('سجل التحفيز'!$M$5:$M$2004,MATCH($K212,'سجل التحفيز'!$V$5:$V$2004,0)))</f>
        <v/>
      </c>
      <c r="O212" s="9">
        <f>IF($K212="","",INDEX('سجل التحفيز'!$C$5:$C$2004,MATCH($K212,'سجل التحفيز'!$V$5:$V$2004,0)))</f>
        <v/>
      </c>
      <c r="P212" s="36">
        <f>IF($K212="","",INDEX('سجل التحفيز'!$D$5:$D$2004,MATCH($K212,'سجل التحفيز'!$V$5:$V$2004,0)))</f>
        <v/>
      </c>
      <c r="Q212" s="9">
        <f>IF($K212="","",INDEX('سجل التحفيز'!$E$5:$E$2004,MATCH($K212,'سجل التحفيز'!$V$5:$V$2004,0)))</f>
        <v/>
      </c>
      <c r="R212" s="9">
        <f>IF($K212="","",INDEX('سجل التحفيز'!$F$5:$F$2004,MATCH($K212,'سجل التحفيز'!$V$5:$V$2004,0)))</f>
        <v/>
      </c>
      <c r="S212" s="35">
        <f>IF($K212="","",INDEX('سجل التحفيز'!$G$5:$G$2004,MATCH($K212,'سجل التحفيز'!$V$5:$V$2004,0)))</f>
        <v/>
      </c>
    </row>
    <row r="213">
      <c r="K213" s="36">
        <f>IF(160&gt;$B$10,"",160)</f>
        <v/>
      </c>
      <c r="L213" s="37">
        <f>IF($K213="","",INDEX('سجل التحفيز'!$A$5:$A$2004,MATCH($K213,'سجل التحفيز'!$V$5:$V$2004,0)))</f>
        <v/>
      </c>
      <c r="M213" s="9">
        <f>IF($K213="","",INDEX('سجل التحفيز'!$B$5:$B$2004,MATCH($K213,'سجل التحفيز'!$V$5:$V$2004,0)))</f>
        <v/>
      </c>
      <c r="N213" s="9">
        <f>IF($K213="","",INDEX('سجل التحفيز'!$M$5:$M$2004,MATCH($K213,'سجل التحفيز'!$V$5:$V$2004,0)))</f>
        <v/>
      </c>
      <c r="O213" s="9">
        <f>IF($K213="","",INDEX('سجل التحفيز'!$C$5:$C$2004,MATCH($K213,'سجل التحفيز'!$V$5:$V$2004,0)))</f>
        <v/>
      </c>
      <c r="P213" s="36">
        <f>IF($K213="","",INDEX('سجل التحفيز'!$D$5:$D$2004,MATCH($K213,'سجل التحفيز'!$V$5:$V$2004,0)))</f>
        <v/>
      </c>
      <c r="Q213" s="9">
        <f>IF($K213="","",INDEX('سجل التحفيز'!$E$5:$E$2004,MATCH($K213,'سجل التحفيز'!$V$5:$V$2004,0)))</f>
        <v/>
      </c>
      <c r="R213" s="9">
        <f>IF($K213="","",INDEX('سجل التحفيز'!$F$5:$F$2004,MATCH($K213,'سجل التحفيز'!$V$5:$V$2004,0)))</f>
        <v/>
      </c>
      <c r="S213" s="35">
        <f>IF($K213="","",INDEX('سجل التحفيز'!$G$5:$G$2004,MATCH($K213,'سجل التحفيز'!$V$5:$V$2004,0)))</f>
        <v/>
      </c>
    </row>
    <row r="214">
      <c r="K214" s="36">
        <f>IF(161&gt;$B$10,"",161)</f>
        <v/>
      </c>
      <c r="L214" s="37">
        <f>IF($K214="","",INDEX('سجل التحفيز'!$A$5:$A$2004,MATCH($K214,'سجل التحفيز'!$V$5:$V$2004,0)))</f>
        <v/>
      </c>
      <c r="M214" s="9">
        <f>IF($K214="","",INDEX('سجل التحفيز'!$B$5:$B$2004,MATCH($K214,'سجل التحفيز'!$V$5:$V$2004,0)))</f>
        <v/>
      </c>
      <c r="N214" s="9">
        <f>IF($K214="","",INDEX('سجل التحفيز'!$M$5:$M$2004,MATCH($K214,'سجل التحفيز'!$V$5:$V$2004,0)))</f>
        <v/>
      </c>
      <c r="O214" s="9">
        <f>IF($K214="","",INDEX('سجل التحفيز'!$C$5:$C$2004,MATCH($K214,'سجل التحفيز'!$V$5:$V$2004,0)))</f>
        <v/>
      </c>
      <c r="P214" s="36">
        <f>IF($K214="","",INDEX('سجل التحفيز'!$D$5:$D$2004,MATCH($K214,'سجل التحفيز'!$V$5:$V$2004,0)))</f>
        <v/>
      </c>
      <c r="Q214" s="9">
        <f>IF($K214="","",INDEX('سجل التحفيز'!$E$5:$E$2004,MATCH($K214,'سجل التحفيز'!$V$5:$V$2004,0)))</f>
        <v/>
      </c>
      <c r="R214" s="9">
        <f>IF($K214="","",INDEX('سجل التحفيز'!$F$5:$F$2004,MATCH($K214,'سجل التحفيز'!$V$5:$V$2004,0)))</f>
        <v/>
      </c>
      <c r="S214" s="35">
        <f>IF($K214="","",INDEX('سجل التحفيز'!$G$5:$G$2004,MATCH($K214,'سجل التحفيز'!$V$5:$V$2004,0)))</f>
        <v/>
      </c>
    </row>
    <row r="215">
      <c r="K215" s="36">
        <f>IF(162&gt;$B$10,"",162)</f>
        <v/>
      </c>
      <c r="L215" s="37">
        <f>IF($K215="","",INDEX('سجل التحفيز'!$A$5:$A$2004,MATCH($K215,'سجل التحفيز'!$V$5:$V$2004,0)))</f>
        <v/>
      </c>
      <c r="M215" s="9">
        <f>IF($K215="","",INDEX('سجل التحفيز'!$B$5:$B$2004,MATCH($K215,'سجل التحفيز'!$V$5:$V$2004,0)))</f>
        <v/>
      </c>
      <c r="N215" s="9">
        <f>IF($K215="","",INDEX('سجل التحفيز'!$M$5:$M$2004,MATCH($K215,'سجل التحفيز'!$V$5:$V$2004,0)))</f>
        <v/>
      </c>
      <c r="O215" s="9">
        <f>IF($K215="","",INDEX('سجل التحفيز'!$C$5:$C$2004,MATCH($K215,'سجل التحفيز'!$V$5:$V$2004,0)))</f>
        <v/>
      </c>
      <c r="P215" s="36">
        <f>IF($K215="","",INDEX('سجل التحفيز'!$D$5:$D$2004,MATCH($K215,'سجل التحفيز'!$V$5:$V$2004,0)))</f>
        <v/>
      </c>
      <c r="Q215" s="9">
        <f>IF($K215="","",INDEX('سجل التحفيز'!$E$5:$E$2004,MATCH($K215,'سجل التحفيز'!$V$5:$V$2004,0)))</f>
        <v/>
      </c>
      <c r="R215" s="9">
        <f>IF($K215="","",INDEX('سجل التحفيز'!$F$5:$F$2004,MATCH($K215,'سجل التحفيز'!$V$5:$V$2004,0)))</f>
        <v/>
      </c>
      <c r="S215" s="35">
        <f>IF($K215="","",INDEX('سجل التحفيز'!$G$5:$G$2004,MATCH($K215,'سجل التحفيز'!$V$5:$V$2004,0)))</f>
        <v/>
      </c>
    </row>
    <row r="216">
      <c r="K216" s="36">
        <f>IF(163&gt;$B$10,"",163)</f>
        <v/>
      </c>
      <c r="L216" s="37">
        <f>IF($K216="","",INDEX('سجل التحفيز'!$A$5:$A$2004,MATCH($K216,'سجل التحفيز'!$V$5:$V$2004,0)))</f>
        <v/>
      </c>
      <c r="M216" s="9">
        <f>IF($K216="","",INDEX('سجل التحفيز'!$B$5:$B$2004,MATCH($K216,'سجل التحفيز'!$V$5:$V$2004,0)))</f>
        <v/>
      </c>
      <c r="N216" s="9">
        <f>IF($K216="","",INDEX('سجل التحفيز'!$M$5:$M$2004,MATCH($K216,'سجل التحفيز'!$V$5:$V$2004,0)))</f>
        <v/>
      </c>
      <c r="O216" s="9">
        <f>IF($K216="","",INDEX('سجل التحفيز'!$C$5:$C$2004,MATCH($K216,'سجل التحفيز'!$V$5:$V$2004,0)))</f>
        <v/>
      </c>
      <c r="P216" s="36">
        <f>IF($K216="","",INDEX('سجل التحفيز'!$D$5:$D$2004,MATCH($K216,'سجل التحفيز'!$V$5:$V$2004,0)))</f>
        <v/>
      </c>
      <c r="Q216" s="9">
        <f>IF($K216="","",INDEX('سجل التحفيز'!$E$5:$E$2004,MATCH($K216,'سجل التحفيز'!$V$5:$V$2004,0)))</f>
        <v/>
      </c>
      <c r="R216" s="9">
        <f>IF($K216="","",INDEX('سجل التحفيز'!$F$5:$F$2004,MATCH($K216,'سجل التحفيز'!$V$5:$V$2004,0)))</f>
        <v/>
      </c>
      <c r="S216" s="35">
        <f>IF($K216="","",INDEX('سجل التحفيز'!$G$5:$G$2004,MATCH($K216,'سجل التحفيز'!$V$5:$V$2004,0)))</f>
        <v/>
      </c>
    </row>
    <row r="217">
      <c r="K217" s="36">
        <f>IF(164&gt;$B$10,"",164)</f>
        <v/>
      </c>
      <c r="L217" s="37">
        <f>IF($K217="","",INDEX('سجل التحفيز'!$A$5:$A$2004,MATCH($K217,'سجل التحفيز'!$V$5:$V$2004,0)))</f>
        <v/>
      </c>
      <c r="M217" s="9">
        <f>IF($K217="","",INDEX('سجل التحفيز'!$B$5:$B$2004,MATCH($K217,'سجل التحفيز'!$V$5:$V$2004,0)))</f>
        <v/>
      </c>
      <c r="N217" s="9">
        <f>IF($K217="","",INDEX('سجل التحفيز'!$M$5:$M$2004,MATCH($K217,'سجل التحفيز'!$V$5:$V$2004,0)))</f>
        <v/>
      </c>
      <c r="O217" s="9">
        <f>IF($K217="","",INDEX('سجل التحفيز'!$C$5:$C$2004,MATCH($K217,'سجل التحفيز'!$V$5:$V$2004,0)))</f>
        <v/>
      </c>
      <c r="P217" s="36">
        <f>IF($K217="","",INDEX('سجل التحفيز'!$D$5:$D$2004,MATCH($K217,'سجل التحفيز'!$V$5:$V$2004,0)))</f>
        <v/>
      </c>
      <c r="Q217" s="9">
        <f>IF($K217="","",INDEX('سجل التحفيز'!$E$5:$E$2004,MATCH($K217,'سجل التحفيز'!$V$5:$V$2004,0)))</f>
        <v/>
      </c>
      <c r="R217" s="9">
        <f>IF($K217="","",INDEX('سجل التحفيز'!$F$5:$F$2004,MATCH($K217,'سجل التحفيز'!$V$5:$V$2004,0)))</f>
        <v/>
      </c>
      <c r="S217" s="35">
        <f>IF($K217="","",INDEX('سجل التحفيز'!$G$5:$G$2004,MATCH($K217,'سجل التحفيز'!$V$5:$V$2004,0)))</f>
        <v/>
      </c>
    </row>
    <row r="218">
      <c r="K218" s="36">
        <f>IF(165&gt;$B$10,"",165)</f>
        <v/>
      </c>
      <c r="L218" s="37">
        <f>IF($K218="","",INDEX('سجل التحفيز'!$A$5:$A$2004,MATCH($K218,'سجل التحفيز'!$V$5:$V$2004,0)))</f>
        <v/>
      </c>
      <c r="M218" s="9">
        <f>IF($K218="","",INDEX('سجل التحفيز'!$B$5:$B$2004,MATCH($K218,'سجل التحفيز'!$V$5:$V$2004,0)))</f>
        <v/>
      </c>
      <c r="N218" s="9">
        <f>IF($K218="","",INDEX('سجل التحفيز'!$M$5:$M$2004,MATCH($K218,'سجل التحفيز'!$V$5:$V$2004,0)))</f>
        <v/>
      </c>
      <c r="O218" s="9">
        <f>IF($K218="","",INDEX('سجل التحفيز'!$C$5:$C$2004,MATCH($K218,'سجل التحفيز'!$V$5:$V$2004,0)))</f>
        <v/>
      </c>
      <c r="P218" s="36">
        <f>IF($K218="","",INDEX('سجل التحفيز'!$D$5:$D$2004,MATCH($K218,'سجل التحفيز'!$V$5:$V$2004,0)))</f>
        <v/>
      </c>
      <c r="Q218" s="9">
        <f>IF($K218="","",INDEX('سجل التحفيز'!$E$5:$E$2004,MATCH($K218,'سجل التحفيز'!$V$5:$V$2004,0)))</f>
        <v/>
      </c>
      <c r="R218" s="9">
        <f>IF($K218="","",INDEX('سجل التحفيز'!$F$5:$F$2004,MATCH($K218,'سجل التحفيز'!$V$5:$V$2004,0)))</f>
        <v/>
      </c>
      <c r="S218" s="35">
        <f>IF($K218="","",INDEX('سجل التحفيز'!$G$5:$G$2004,MATCH($K218,'سجل التحفيز'!$V$5:$V$2004,0)))</f>
        <v/>
      </c>
    </row>
    <row r="219">
      <c r="K219" s="36">
        <f>IF(166&gt;$B$10,"",166)</f>
        <v/>
      </c>
      <c r="L219" s="37">
        <f>IF($K219="","",INDEX('سجل التحفيز'!$A$5:$A$2004,MATCH($K219,'سجل التحفيز'!$V$5:$V$2004,0)))</f>
        <v/>
      </c>
      <c r="M219" s="9">
        <f>IF($K219="","",INDEX('سجل التحفيز'!$B$5:$B$2004,MATCH($K219,'سجل التحفيز'!$V$5:$V$2004,0)))</f>
        <v/>
      </c>
      <c r="N219" s="9">
        <f>IF($K219="","",INDEX('سجل التحفيز'!$M$5:$M$2004,MATCH($K219,'سجل التحفيز'!$V$5:$V$2004,0)))</f>
        <v/>
      </c>
      <c r="O219" s="9">
        <f>IF($K219="","",INDEX('سجل التحفيز'!$C$5:$C$2004,MATCH($K219,'سجل التحفيز'!$V$5:$V$2004,0)))</f>
        <v/>
      </c>
      <c r="P219" s="36">
        <f>IF($K219="","",INDEX('سجل التحفيز'!$D$5:$D$2004,MATCH($K219,'سجل التحفيز'!$V$5:$V$2004,0)))</f>
        <v/>
      </c>
      <c r="Q219" s="9">
        <f>IF($K219="","",INDEX('سجل التحفيز'!$E$5:$E$2004,MATCH($K219,'سجل التحفيز'!$V$5:$V$2004,0)))</f>
        <v/>
      </c>
      <c r="R219" s="9">
        <f>IF($K219="","",INDEX('سجل التحفيز'!$F$5:$F$2004,MATCH($K219,'سجل التحفيز'!$V$5:$V$2004,0)))</f>
        <v/>
      </c>
      <c r="S219" s="35">
        <f>IF($K219="","",INDEX('سجل التحفيز'!$G$5:$G$2004,MATCH($K219,'سجل التحفيز'!$V$5:$V$2004,0)))</f>
        <v/>
      </c>
    </row>
    <row r="220">
      <c r="K220" s="36">
        <f>IF(167&gt;$B$10,"",167)</f>
        <v/>
      </c>
      <c r="L220" s="37">
        <f>IF($K220="","",INDEX('سجل التحفيز'!$A$5:$A$2004,MATCH($K220,'سجل التحفيز'!$V$5:$V$2004,0)))</f>
        <v/>
      </c>
      <c r="M220" s="9">
        <f>IF($K220="","",INDEX('سجل التحفيز'!$B$5:$B$2004,MATCH($K220,'سجل التحفيز'!$V$5:$V$2004,0)))</f>
        <v/>
      </c>
      <c r="N220" s="9">
        <f>IF($K220="","",INDEX('سجل التحفيز'!$M$5:$M$2004,MATCH($K220,'سجل التحفيز'!$V$5:$V$2004,0)))</f>
        <v/>
      </c>
      <c r="O220" s="9">
        <f>IF($K220="","",INDEX('سجل التحفيز'!$C$5:$C$2004,MATCH($K220,'سجل التحفيز'!$V$5:$V$2004,0)))</f>
        <v/>
      </c>
      <c r="P220" s="36">
        <f>IF($K220="","",INDEX('سجل التحفيز'!$D$5:$D$2004,MATCH($K220,'سجل التحفيز'!$V$5:$V$2004,0)))</f>
        <v/>
      </c>
      <c r="Q220" s="9">
        <f>IF($K220="","",INDEX('سجل التحفيز'!$E$5:$E$2004,MATCH($K220,'سجل التحفيز'!$V$5:$V$2004,0)))</f>
        <v/>
      </c>
      <c r="R220" s="9">
        <f>IF($K220="","",INDEX('سجل التحفيز'!$F$5:$F$2004,MATCH($K220,'سجل التحفيز'!$V$5:$V$2004,0)))</f>
        <v/>
      </c>
      <c r="S220" s="35">
        <f>IF($K220="","",INDEX('سجل التحفيز'!$G$5:$G$2004,MATCH($K220,'سجل التحفيز'!$V$5:$V$2004,0)))</f>
        <v/>
      </c>
    </row>
    <row r="221">
      <c r="K221" s="36">
        <f>IF(168&gt;$B$10,"",168)</f>
        <v/>
      </c>
      <c r="L221" s="37">
        <f>IF($K221="","",INDEX('سجل التحفيز'!$A$5:$A$2004,MATCH($K221,'سجل التحفيز'!$V$5:$V$2004,0)))</f>
        <v/>
      </c>
      <c r="M221" s="9">
        <f>IF($K221="","",INDEX('سجل التحفيز'!$B$5:$B$2004,MATCH($K221,'سجل التحفيز'!$V$5:$V$2004,0)))</f>
        <v/>
      </c>
      <c r="N221" s="9">
        <f>IF($K221="","",INDEX('سجل التحفيز'!$M$5:$M$2004,MATCH($K221,'سجل التحفيز'!$V$5:$V$2004,0)))</f>
        <v/>
      </c>
      <c r="O221" s="9">
        <f>IF($K221="","",INDEX('سجل التحفيز'!$C$5:$C$2004,MATCH($K221,'سجل التحفيز'!$V$5:$V$2004,0)))</f>
        <v/>
      </c>
      <c r="P221" s="36">
        <f>IF($K221="","",INDEX('سجل التحفيز'!$D$5:$D$2004,MATCH($K221,'سجل التحفيز'!$V$5:$V$2004,0)))</f>
        <v/>
      </c>
      <c r="Q221" s="9">
        <f>IF($K221="","",INDEX('سجل التحفيز'!$E$5:$E$2004,MATCH($K221,'سجل التحفيز'!$V$5:$V$2004,0)))</f>
        <v/>
      </c>
      <c r="R221" s="9">
        <f>IF($K221="","",INDEX('سجل التحفيز'!$F$5:$F$2004,MATCH($K221,'سجل التحفيز'!$V$5:$V$2004,0)))</f>
        <v/>
      </c>
      <c r="S221" s="35">
        <f>IF($K221="","",INDEX('سجل التحفيز'!$G$5:$G$2004,MATCH($K221,'سجل التحفيز'!$V$5:$V$2004,0)))</f>
        <v/>
      </c>
    </row>
    <row r="222">
      <c r="K222" s="36">
        <f>IF(169&gt;$B$10,"",169)</f>
        <v/>
      </c>
      <c r="L222" s="37">
        <f>IF($K222="","",INDEX('سجل التحفيز'!$A$5:$A$2004,MATCH($K222,'سجل التحفيز'!$V$5:$V$2004,0)))</f>
        <v/>
      </c>
      <c r="M222" s="9">
        <f>IF($K222="","",INDEX('سجل التحفيز'!$B$5:$B$2004,MATCH($K222,'سجل التحفيز'!$V$5:$V$2004,0)))</f>
        <v/>
      </c>
      <c r="N222" s="9">
        <f>IF($K222="","",INDEX('سجل التحفيز'!$M$5:$M$2004,MATCH($K222,'سجل التحفيز'!$V$5:$V$2004,0)))</f>
        <v/>
      </c>
      <c r="O222" s="9">
        <f>IF($K222="","",INDEX('سجل التحفيز'!$C$5:$C$2004,MATCH($K222,'سجل التحفيز'!$V$5:$V$2004,0)))</f>
        <v/>
      </c>
      <c r="P222" s="36">
        <f>IF($K222="","",INDEX('سجل التحفيز'!$D$5:$D$2004,MATCH($K222,'سجل التحفيز'!$V$5:$V$2004,0)))</f>
        <v/>
      </c>
      <c r="Q222" s="9">
        <f>IF($K222="","",INDEX('سجل التحفيز'!$E$5:$E$2004,MATCH($K222,'سجل التحفيز'!$V$5:$V$2004,0)))</f>
        <v/>
      </c>
      <c r="R222" s="9">
        <f>IF($K222="","",INDEX('سجل التحفيز'!$F$5:$F$2004,MATCH($K222,'سجل التحفيز'!$V$5:$V$2004,0)))</f>
        <v/>
      </c>
      <c r="S222" s="35">
        <f>IF($K222="","",INDEX('سجل التحفيز'!$G$5:$G$2004,MATCH($K222,'سجل التحفيز'!$V$5:$V$2004,0)))</f>
        <v/>
      </c>
    </row>
    <row r="223">
      <c r="K223" s="36">
        <f>IF(170&gt;$B$10,"",170)</f>
        <v/>
      </c>
      <c r="L223" s="37">
        <f>IF($K223="","",INDEX('سجل التحفيز'!$A$5:$A$2004,MATCH($K223,'سجل التحفيز'!$V$5:$V$2004,0)))</f>
        <v/>
      </c>
      <c r="M223" s="9">
        <f>IF($K223="","",INDEX('سجل التحفيز'!$B$5:$B$2004,MATCH($K223,'سجل التحفيز'!$V$5:$V$2004,0)))</f>
        <v/>
      </c>
      <c r="N223" s="9">
        <f>IF($K223="","",INDEX('سجل التحفيز'!$M$5:$M$2004,MATCH($K223,'سجل التحفيز'!$V$5:$V$2004,0)))</f>
        <v/>
      </c>
      <c r="O223" s="9">
        <f>IF($K223="","",INDEX('سجل التحفيز'!$C$5:$C$2004,MATCH($K223,'سجل التحفيز'!$V$5:$V$2004,0)))</f>
        <v/>
      </c>
      <c r="P223" s="36">
        <f>IF($K223="","",INDEX('سجل التحفيز'!$D$5:$D$2004,MATCH($K223,'سجل التحفيز'!$V$5:$V$2004,0)))</f>
        <v/>
      </c>
      <c r="Q223" s="9">
        <f>IF($K223="","",INDEX('سجل التحفيز'!$E$5:$E$2004,MATCH($K223,'سجل التحفيز'!$V$5:$V$2004,0)))</f>
        <v/>
      </c>
      <c r="R223" s="9">
        <f>IF($K223="","",INDEX('سجل التحفيز'!$F$5:$F$2004,MATCH($K223,'سجل التحفيز'!$V$5:$V$2004,0)))</f>
        <v/>
      </c>
      <c r="S223" s="35">
        <f>IF($K223="","",INDEX('سجل التحفيز'!$G$5:$G$2004,MATCH($K223,'سجل التحفيز'!$V$5:$V$2004,0)))</f>
        <v/>
      </c>
    </row>
    <row r="224">
      <c r="K224" s="36">
        <f>IF(171&gt;$B$10,"",171)</f>
        <v/>
      </c>
      <c r="L224" s="37">
        <f>IF($K224="","",INDEX('سجل التحفيز'!$A$5:$A$2004,MATCH($K224,'سجل التحفيز'!$V$5:$V$2004,0)))</f>
        <v/>
      </c>
      <c r="M224" s="9">
        <f>IF($K224="","",INDEX('سجل التحفيز'!$B$5:$B$2004,MATCH($K224,'سجل التحفيز'!$V$5:$V$2004,0)))</f>
        <v/>
      </c>
      <c r="N224" s="9">
        <f>IF($K224="","",INDEX('سجل التحفيز'!$M$5:$M$2004,MATCH($K224,'سجل التحفيز'!$V$5:$V$2004,0)))</f>
        <v/>
      </c>
      <c r="O224" s="9">
        <f>IF($K224="","",INDEX('سجل التحفيز'!$C$5:$C$2004,MATCH($K224,'سجل التحفيز'!$V$5:$V$2004,0)))</f>
        <v/>
      </c>
      <c r="P224" s="36">
        <f>IF($K224="","",INDEX('سجل التحفيز'!$D$5:$D$2004,MATCH($K224,'سجل التحفيز'!$V$5:$V$2004,0)))</f>
        <v/>
      </c>
      <c r="Q224" s="9">
        <f>IF($K224="","",INDEX('سجل التحفيز'!$E$5:$E$2004,MATCH($K224,'سجل التحفيز'!$V$5:$V$2004,0)))</f>
        <v/>
      </c>
      <c r="R224" s="9">
        <f>IF($K224="","",INDEX('سجل التحفيز'!$F$5:$F$2004,MATCH($K224,'سجل التحفيز'!$V$5:$V$2004,0)))</f>
        <v/>
      </c>
      <c r="S224" s="35">
        <f>IF($K224="","",INDEX('سجل التحفيز'!$G$5:$G$2004,MATCH($K224,'سجل التحفيز'!$V$5:$V$2004,0)))</f>
        <v/>
      </c>
    </row>
    <row r="225">
      <c r="K225" s="36">
        <f>IF(172&gt;$B$10,"",172)</f>
        <v/>
      </c>
      <c r="L225" s="37">
        <f>IF($K225="","",INDEX('سجل التحفيز'!$A$5:$A$2004,MATCH($K225,'سجل التحفيز'!$V$5:$V$2004,0)))</f>
        <v/>
      </c>
      <c r="M225" s="9">
        <f>IF($K225="","",INDEX('سجل التحفيز'!$B$5:$B$2004,MATCH($K225,'سجل التحفيز'!$V$5:$V$2004,0)))</f>
        <v/>
      </c>
      <c r="N225" s="9">
        <f>IF($K225="","",INDEX('سجل التحفيز'!$M$5:$M$2004,MATCH($K225,'سجل التحفيز'!$V$5:$V$2004,0)))</f>
        <v/>
      </c>
      <c r="O225" s="9">
        <f>IF($K225="","",INDEX('سجل التحفيز'!$C$5:$C$2004,MATCH($K225,'سجل التحفيز'!$V$5:$V$2004,0)))</f>
        <v/>
      </c>
      <c r="P225" s="36">
        <f>IF($K225="","",INDEX('سجل التحفيز'!$D$5:$D$2004,MATCH($K225,'سجل التحفيز'!$V$5:$V$2004,0)))</f>
        <v/>
      </c>
      <c r="Q225" s="9">
        <f>IF($K225="","",INDEX('سجل التحفيز'!$E$5:$E$2004,MATCH($K225,'سجل التحفيز'!$V$5:$V$2004,0)))</f>
        <v/>
      </c>
      <c r="R225" s="9">
        <f>IF($K225="","",INDEX('سجل التحفيز'!$F$5:$F$2004,MATCH($K225,'سجل التحفيز'!$V$5:$V$2004,0)))</f>
        <v/>
      </c>
      <c r="S225" s="35">
        <f>IF($K225="","",INDEX('سجل التحفيز'!$G$5:$G$2004,MATCH($K225,'سجل التحفيز'!$V$5:$V$2004,0)))</f>
        <v/>
      </c>
    </row>
    <row r="226">
      <c r="K226" s="36">
        <f>IF(173&gt;$B$10,"",173)</f>
        <v/>
      </c>
      <c r="L226" s="37">
        <f>IF($K226="","",INDEX('سجل التحفيز'!$A$5:$A$2004,MATCH($K226,'سجل التحفيز'!$V$5:$V$2004,0)))</f>
        <v/>
      </c>
      <c r="M226" s="9">
        <f>IF($K226="","",INDEX('سجل التحفيز'!$B$5:$B$2004,MATCH($K226,'سجل التحفيز'!$V$5:$V$2004,0)))</f>
        <v/>
      </c>
      <c r="N226" s="9">
        <f>IF($K226="","",INDEX('سجل التحفيز'!$M$5:$M$2004,MATCH($K226,'سجل التحفيز'!$V$5:$V$2004,0)))</f>
        <v/>
      </c>
      <c r="O226" s="9">
        <f>IF($K226="","",INDEX('سجل التحفيز'!$C$5:$C$2004,MATCH($K226,'سجل التحفيز'!$V$5:$V$2004,0)))</f>
        <v/>
      </c>
      <c r="P226" s="36">
        <f>IF($K226="","",INDEX('سجل التحفيز'!$D$5:$D$2004,MATCH($K226,'سجل التحفيز'!$V$5:$V$2004,0)))</f>
        <v/>
      </c>
      <c r="Q226" s="9">
        <f>IF($K226="","",INDEX('سجل التحفيز'!$E$5:$E$2004,MATCH($K226,'سجل التحفيز'!$V$5:$V$2004,0)))</f>
        <v/>
      </c>
      <c r="R226" s="9">
        <f>IF($K226="","",INDEX('سجل التحفيز'!$F$5:$F$2004,MATCH($K226,'سجل التحفيز'!$V$5:$V$2004,0)))</f>
        <v/>
      </c>
      <c r="S226" s="35">
        <f>IF($K226="","",INDEX('سجل التحفيز'!$G$5:$G$2004,MATCH($K226,'سجل التحفيز'!$V$5:$V$2004,0)))</f>
        <v/>
      </c>
    </row>
    <row r="227">
      <c r="K227" s="36">
        <f>IF(174&gt;$B$10,"",174)</f>
        <v/>
      </c>
      <c r="L227" s="37">
        <f>IF($K227="","",INDEX('سجل التحفيز'!$A$5:$A$2004,MATCH($K227,'سجل التحفيز'!$V$5:$V$2004,0)))</f>
        <v/>
      </c>
      <c r="M227" s="9">
        <f>IF($K227="","",INDEX('سجل التحفيز'!$B$5:$B$2004,MATCH($K227,'سجل التحفيز'!$V$5:$V$2004,0)))</f>
        <v/>
      </c>
      <c r="N227" s="9">
        <f>IF($K227="","",INDEX('سجل التحفيز'!$M$5:$M$2004,MATCH($K227,'سجل التحفيز'!$V$5:$V$2004,0)))</f>
        <v/>
      </c>
      <c r="O227" s="9">
        <f>IF($K227="","",INDEX('سجل التحفيز'!$C$5:$C$2004,MATCH($K227,'سجل التحفيز'!$V$5:$V$2004,0)))</f>
        <v/>
      </c>
      <c r="P227" s="36">
        <f>IF($K227="","",INDEX('سجل التحفيز'!$D$5:$D$2004,MATCH($K227,'سجل التحفيز'!$V$5:$V$2004,0)))</f>
        <v/>
      </c>
      <c r="Q227" s="9">
        <f>IF($K227="","",INDEX('سجل التحفيز'!$E$5:$E$2004,MATCH($K227,'سجل التحفيز'!$V$5:$V$2004,0)))</f>
        <v/>
      </c>
      <c r="R227" s="9">
        <f>IF($K227="","",INDEX('سجل التحفيز'!$F$5:$F$2004,MATCH($K227,'سجل التحفيز'!$V$5:$V$2004,0)))</f>
        <v/>
      </c>
      <c r="S227" s="35">
        <f>IF($K227="","",INDEX('سجل التحفيز'!$G$5:$G$2004,MATCH($K227,'سجل التحفيز'!$V$5:$V$2004,0)))</f>
        <v/>
      </c>
    </row>
    <row r="228">
      <c r="K228" s="36">
        <f>IF(175&gt;$B$10,"",175)</f>
        <v/>
      </c>
      <c r="L228" s="37">
        <f>IF($K228="","",INDEX('سجل التحفيز'!$A$5:$A$2004,MATCH($K228,'سجل التحفيز'!$V$5:$V$2004,0)))</f>
        <v/>
      </c>
      <c r="M228" s="9">
        <f>IF($K228="","",INDEX('سجل التحفيز'!$B$5:$B$2004,MATCH($K228,'سجل التحفيز'!$V$5:$V$2004,0)))</f>
        <v/>
      </c>
      <c r="N228" s="9">
        <f>IF($K228="","",INDEX('سجل التحفيز'!$M$5:$M$2004,MATCH($K228,'سجل التحفيز'!$V$5:$V$2004,0)))</f>
        <v/>
      </c>
      <c r="O228" s="9">
        <f>IF($K228="","",INDEX('سجل التحفيز'!$C$5:$C$2004,MATCH($K228,'سجل التحفيز'!$V$5:$V$2004,0)))</f>
        <v/>
      </c>
      <c r="P228" s="36">
        <f>IF($K228="","",INDEX('سجل التحفيز'!$D$5:$D$2004,MATCH($K228,'سجل التحفيز'!$V$5:$V$2004,0)))</f>
        <v/>
      </c>
      <c r="Q228" s="9">
        <f>IF($K228="","",INDEX('سجل التحفيز'!$E$5:$E$2004,MATCH($K228,'سجل التحفيز'!$V$5:$V$2004,0)))</f>
        <v/>
      </c>
      <c r="R228" s="9">
        <f>IF($K228="","",INDEX('سجل التحفيز'!$F$5:$F$2004,MATCH($K228,'سجل التحفيز'!$V$5:$V$2004,0)))</f>
        <v/>
      </c>
      <c r="S228" s="35">
        <f>IF($K228="","",INDEX('سجل التحفيز'!$G$5:$G$2004,MATCH($K228,'سجل التحفيز'!$V$5:$V$2004,0)))</f>
        <v/>
      </c>
    </row>
    <row r="229">
      <c r="K229" s="36">
        <f>IF(176&gt;$B$10,"",176)</f>
        <v/>
      </c>
      <c r="L229" s="37">
        <f>IF($K229="","",INDEX('سجل التحفيز'!$A$5:$A$2004,MATCH($K229,'سجل التحفيز'!$V$5:$V$2004,0)))</f>
        <v/>
      </c>
      <c r="M229" s="9">
        <f>IF($K229="","",INDEX('سجل التحفيز'!$B$5:$B$2004,MATCH($K229,'سجل التحفيز'!$V$5:$V$2004,0)))</f>
        <v/>
      </c>
      <c r="N229" s="9">
        <f>IF($K229="","",INDEX('سجل التحفيز'!$M$5:$M$2004,MATCH($K229,'سجل التحفيز'!$V$5:$V$2004,0)))</f>
        <v/>
      </c>
      <c r="O229" s="9">
        <f>IF($K229="","",INDEX('سجل التحفيز'!$C$5:$C$2004,MATCH($K229,'سجل التحفيز'!$V$5:$V$2004,0)))</f>
        <v/>
      </c>
      <c r="P229" s="36">
        <f>IF($K229="","",INDEX('سجل التحفيز'!$D$5:$D$2004,MATCH($K229,'سجل التحفيز'!$V$5:$V$2004,0)))</f>
        <v/>
      </c>
      <c r="Q229" s="9">
        <f>IF($K229="","",INDEX('سجل التحفيز'!$E$5:$E$2004,MATCH($K229,'سجل التحفيز'!$V$5:$V$2004,0)))</f>
        <v/>
      </c>
      <c r="R229" s="9">
        <f>IF($K229="","",INDEX('سجل التحفيز'!$F$5:$F$2004,MATCH($K229,'سجل التحفيز'!$V$5:$V$2004,0)))</f>
        <v/>
      </c>
      <c r="S229" s="35">
        <f>IF($K229="","",INDEX('سجل التحفيز'!$G$5:$G$2004,MATCH($K229,'سجل التحفيز'!$V$5:$V$2004,0)))</f>
        <v/>
      </c>
    </row>
    <row r="230">
      <c r="K230" s="36">
        <f>IF(177&gt;$B$10,"",177)</f>
        <v/>
      </c>
      <c r="L230" s="37">
        <f>IF($K230="","",INDEX('سجل التحفيز'!$A$5:$A$2004,MATCH($K230,'سجل التحفيز'!$V$5:$V$2004,0)))</f>
        <v/>
      </c>
      <c r="M230" s="9">
        <f>IF($K230="","",INDEX('سجل التحفيز'!$B$5:$B$2004,MATCH($K230,'سجل التحفيز'!$V$5:$V$2004,0)))</f>
        <v/>
      </c>
      <c r="N230" s="9">
        <f>IF($K230="","",INDEX('سجل التحفيز'!$M$5:$M$2004,MATCH($K230,'سجل التحفيز'!$V$5:$V$2004,0)))</f>
        <v/>
      </c>
      <c r="O230" s="9">
        <f>IF($K230="","",INDEX('سجل التحفيز'!$C$5:$C$2004,MATCH($K230,'سجل التحفيز'!$V$5:$V$2004,0)))</f>
        <v/>
      </c>
      <c r="P230" s="36">
        <f>IF($K230="","",INDEX('سجل التحفيز'!$D$5:$D$2004,MATCH($K230,'سجل التحفيز'!$V$5:$V$2004,0)))</f>
        <v/>
      </c>
      <c r="Q230" s="9">
        <f>IF($K230="","",INDEX('سجل التحفيز'!$E$5:$E$2004,MATCH($K230,'سجل التحفيز'!$V$5:$V$2004,0)))</f>
        <v/>
      </c>
      <c r="R230" s="9">
        <f>IF($K230="","",INDEX('سجل التحفيز'!$F$5:$F$2004,MATCH($K230,'سجل التحفيز'!$V$5:$V$2004,0)))</f>
        <v/>
      </c>
      <c r="S230" s="35">
        <f>IF($K230="","",INDEX('سجل التحفيز'!$G$5:$G$2004,MATCH($K230,'سجل التحفيز'!$V$5:$V$2004,0)))</f>
        <v/>
      </c>
    </row>
    <row r="231">
      <c r="K231" s="36">
        <f>IF(178&gt;$B$10,"",178)</f>
        <v/>
      </c>
      <c r="L231" s="37">
        <f>IF($K231="","",INDEX('سجل التحفيز'!$A$5:$A$2004,MATCH($K231,'سجل التحفيز'!$V$5:$V$2004,0)))</f>
        <v/>
      </c>
      <c r="M231" s="9">
        <f>IF($K231="","",INDEX('سجل التحفيز'!$B$5:$B$2004,MATCH($K231,'سجل التحفيز'!$V$5:$V$2004,0)))</f>
        <v/>
      </c>
      <c r="N231" s="9">
        <f>IF($K231="","",INDEX('سجل التحفيز'!$M$5:$M$2004,MATCH($K231,'سجل التحفيز'!$V$5:$V$2004,0)))</f>
        <v/>
      </c>
      <c r="O231" s="9">
        <f>IF($K231="","",INDEX('سجل التحفيز'!$C$5:$C$2004,MATCH($K231,'سجل التحفيز'!$V$5:$V$2004,0)))</f>
        <v/>
      </c>
      <c r="P231" s="36">
        <f>IF($K231="","",INDEX('سجل التحفيز'!$D$5:$D$2004,MATCH($K231,'سجل التحفيز'!$V$5:$V$2004,0)))</f>
        <v/>
      </c>
      <c r="Q231" s="9">
        <f>IF($K231="","",INDEX('سجل التحفيز'!$E$5:$E$2004,MATCH($K231,'سجل التحفيز'!$V$5:$V$2004,0)))</f>
        <v/>
      </c>
      <c r="R231" s="9">
        <f>IF($K231="","",INDEX('سجل التحفيز'!$F$5:$F$2004,MATCH($K231,'سجل التحفيز'!$V$5:$V$2004,0)))</f>
        <v/>
      </c>
      <c r="S231" s="35">
        <f>IF($K231="","",INDEX('سجل التحفيز'!$G$5:$G$2004,MATCH($K231,'سجل التحفيز'!$V$5:$V$2004,0)))</f>
        <v/>
      </c>
    </row>
    <row r="232">
      <c r="K232" s="36">
        <f>IF(179&gt;$B$10,"",179)</f>
        <v/>
      </c>
      <c r="L232" s="37">
        <f>IF($K232="","",INDEX('سجل التحفيز'!$A$5:$A$2004,MATCH($K232,'سجل التحفيز'!$V$5:$V$2004,0)))</f>
        <v/>
      </c>
      <c r="M232" s="9">
        <f>IF($K232="","",INDEX('سجل التحفيز'!$B$5:$B$2004,MATCH($K232,'سجل التحفيز'!$V$5:$V$2004,0)))</f>
        <v/>
      </c>
      <c r="N232" s="9">
        <f>IF($K232="","",INDEX('سجل التحفيز'!$M$5:$M$2004,MATCH($K232,'سجل التحفيز'!$V$5:$V$2004,0)))</f>
        <v/>
      </c>
      <c r="O232" s="9">
        <f>IF($K232="","",INDEX('سجل التحفيز'!$C$5:$C$2004,MATCH($K232,'سجل التحفيز'!$V$5:$V$2004,0)))</f>
        <v/>
      </c>
      <c r="P232" s="36">
        <f>IF($K232="","",INDEX('سجل التحفيز'!$D$5:$D$2004,MATCH($K232,'سجل التحفيز'!$V$5:$V$2004,0)))</f>
        <v/>
      </c>
      <c r="Q232" s="9">
        <f>IF($K232="","",INDEX('سجل التحفيز'!$E$5:$E$2004,MATCH($K232,'سجل التحفيز'!$V$5:$V$2004,0)))</f>
        <v/>
      </c>
      <c r="R232" s="9">
        <f>IF($K232="","",INDEX('سجل التحفيز'!$F$5:$F$2004,MATCH($K232,'سجل التحفيز'!$V$5:$V$2004,0)))</f>
        <v/>
      </c>
      <c r="S232" s="35">
        <f>IF($K232="","",INDEX('سجل التحفيز'!$G$5:$G$2004,MATCH($K232,'سجل التحفيز'!$V$5:$V$2004,0)))</f>
        <v/>
      </c>
    </row>
    <row r="233">
      <c r="K233" s="36">
        <f>IF(180&gt;$B$10,"",180)</f>
        <v/>
      </c>
      <c r="L233" s="37">
        <f>IF($K233="","",INDEX('سجل التحفيز'!$A$5:$A$2004,MATCH($K233,'سجل التحفيز'!$V$5:$V$2004,0)))</f>
        <v/>
      </c>
      <c r="M233" s="9">
        <f>IF($K233="","",INDEX('سجل التحفيز'!$B$5:$B$2004,MATCH($K233,'سجل التحفيز'!$V$5:$V$2004,0)))</f>
        <v/>
      </c>
      <c r="N233" s="9">
        <f>IF($K233="","",INDEX('سجل التحفيز'!$M$5:$M$2004,MATCH($K233,'سجل التحفيز'!$V$5:$V$2004,0)))</f>
        <v/>
      </c>
      <c r="O233" s="9">
        <f>IF($K233="","",INDEX('سجل التحفيز'!$C$5:$C$2004,MATCH($K233,'سجل التحفيز'!$V$5:$V$2004,0)))</f>
        <v/>
      </c>
      <c r="P233" s="36">
        <f>IF($K233="","",INDEX('سجل التحفيز'!$D$5:$D$2004,MATCH($K233,'سجل التحفيز'!$V$5:$V$2004,0)))</f>
        <v/>
      </c>
      <c r="Q233" s="9">
        <f>IF($K233="","",INDEX('سجل التحفيز'!$E$5:$E$2004,MATCH($K233,'سجل التحفيز'!$V$5:$V$2004,0)))</f>
        <v/>
      </c>
      <c r="R233" s="9">
        <f>IF($K233="","",INDEX('سجل التحفيز'!$F$5:$F$2004,MATCH($K233,'سجل التحفيز'!$V$5:$V$2004,0)))</f>
        <v/>
      </c>
      <c r="S233" s="35">
        <f>IF($K233="","",INDEX('سجل التحفيز'!$G$5:$G$2004,MATCH($K233,'سجل التحفيز'!$V$5:$V$2004,0)))</f>
        <v/>
      </c>
    </row>
    <row r="234">
      <c r="K234" s="36">
        <f>IF(181&gt;$B$10,"",181)</f>
        <v/>
      </c>
      <c r="L234" s="37">
        <f>IF($K234="","",INDEX('سجل التحفيز'!$A$5:$A$2004,MATCH($K234,'سجل التحفيز'!$V$5:$V$2004,0)))</f>
        <v/>
      </c>
      <c r="M234" s="9">
        <f>IF($K234="","",INDEX('سجل التحفيز'!$B$5:$B$2004,MATCH($K234,'سجل التحفيز'!$V$5:$V$2004,0)))</f>
        <v/>
      </c>
      <c r="N234" s="9">
        <f>IF($K234="","",INDEX('سجل التحفيز'!$M$5:$M$2004,MATCH($K234,'سجل التحفيز'!$V$5:$V$2004,0)))</f>
        <v/>
      </c>
      <c r="O234" s="9">
        <f>IF($K234="","",INDEX('سجل التحفيز'!$C$5:$C$2004,MATCH($K234,'سجل التحفيز'!$V$5:$V$2004,0)))</f>
        <v/>
      </c>
      <c r="P234" s="36">
        <f>IF($K234="","",INDEX('سجل التحفيز'!$D$5:$D$2004,MATCH($K234,'سجل التحفيز'!$V$5:$V$2004,0)))</f>
        <v/>
      </c>
      <c r="Q234" s="9">
        <f>IF($K234="","",INDEX('سجل التحفيز'!$E$5:$E$2004,MATCH($K234,'سجل التحفيز'!$V$5:$V$2004,0)))</f>
        <v/>
      </c>
      <c r="R234" s="9">
        <f>IF($K234="","",INDEX('سجل التحفيز'!$F$5:$F$2004,MATCH($K234,'سجل التحفيز'!$V$5:$V$2004,0)))</f>
        <v/>
      </c>
      <c r="S234" s="35">
        <f>IF($K234="","",INDEX('سجل التحفيز'!$G$5:$G$2004,MATCH($K234,'سجل التحفيز'!$V$5:$V$2004,0)))</f>
        <v/>
      </c>
    </row>
    <row r="235">
      <c r="K235" s="36">
        <f>IF(182&gt;$B$10,"",182)</f>
        <v/>
      </c>
      <c r="L235" s="37">
        <f>IF($K235="","",INDEX('سجل التحفيز'!$A$5:$A$2004,MATCH($K235,'سجل التحفيز'!$V$5:$V$2004,0)))</f>
        <v/>
      </c>
      <c r="M235" s="9">
        <f>IF($K235="","",INDEX('سجل التحفيز'!$B$5:$B$2004,MATCH($K235,'سجل التحفيز'!$V$5:$V$2004,0)))</f>
        <v/>
      </c>
      <c r="N235" s="9">
        <f>IF($K235="","",INDEX('سجل التحفيز'!$M$5:$M$2004,MATCH($K235,'سجل التحفيز'!$V$5:$V$2004,0)))</f>
        <v/>
      </c>
      <c r="O235" s="9">
        <f>IF($K235="","",INDEX('سجل التحفيز'!$C$5:$C$2004,MATCH($K235,'سجل التحفيز'!$V$5:$V$2004,0)))</f>
        <v/>
      </c>
      <c r="P235" s="36">
        <f>IF($K235="","",INDEX('سجل التحفيز'!$D$5:$D$2004,MATCH($K235,'سجل التحفيز'!$V$5:$V$2004,0)))</f>
        <v/>
      </c>
      <c r="Q235" s="9">
        <f>IF($K235="","",INDEX('سجل التحفيز'!$E$5:$E$2004,MATCH($K235,'سجل التحفيز'!$V$5:$V$2004,0)))</f>
        <v/>
      </c>
      <c r="R235" s="9">
        <f>IF($K235="","",INDEX('سجل التحفيز'!$F$5:$F$2004,MATCH($K235,'سجل التحفيز'!$V$5:$V$2004,0)))</f>
        <v/>
      </c>
      <c r="S235" s="35">
        <f>IF($K235="","",INDEX('سجل التحفيز'!$G$5:$G$2004,MATCH($K235,'سجل التحفيز'!$V$5:$V$2004,0)))</f>
        <v/>
      </c>
    </row>
    <row r="236">
      <c r="K236" s="36">
        <f>IF(183&gt;$B$10,"",183)</f>
        <v/>
      </c>
      <c r="L236" s="37">
        <f>IF($K236="","",INDEX('سجل التحفيز'!$A$5:$A$2004,MATCH($K236,'سجل التحفيز'!$V$5:$V$2004,0)))</f>
        <v/>
      </c>
      <c r="M236" s="9">
        <f>IF($K236="","",INDEX('سجل التحفيز'!$B$5:$B$2004,MATCH($K236,'سجل التحفيز'!$V$5:$V$2004,0)))</f>
        <v/>
      </c>
      <c r="N236" s="9">
        <f>IF($K236="","",INDEX('سجل التحفيز'!$M$5:$M$2004,MATCH($K236,'سجل التحفيز'!$V$5:$V$2004,0)))</f>
        <v/>
      </c>
      <c r="O236" s="9">
        <f>IF($K236="","",INDEX('سجل التحفيز'!$C$5:$C$2004,MATCH($K236,'سجل التحفيز'!$V$5:$V$2004,0)))</f>
        <v/>
      </c>
      <c r="P236" s="36">
        <f>IF($K236="","",INDEX('سجل التحفيز'!$D$5:$D$2004,MATCH($K236,'سجل التحفيز'!$V$5:$V$2004,0)))</f>
        <v/>
      </c>
      <c r="Q236" s="9">
        <f>IF($K236="","",INDEX('سجل التحفيز'!$E$5:$E$2004,MATCH($K236,'سجل التحفيز'!$V$5:$V$2004,0)))</f>
        <v/>
      </c>
      <c r="R236" s="9">
        <f>IF($K236="","",INDEX('سجل التحفيز'!$F$5:$F$2004,MATCH($K236,'سجل التحفيز'!$V$5:$V$2004,0)))</f>
        <v/>
      </c>
      <c r="S236" s="35">
        <f>IF($K236="","",INDEX('سجل التحفيز'!$G$5:$G$2004,MATCH($K236,'سجل التحفيز'!$V$5:$V$2004,0)))</f>
        <v/>
      </c>
    </row>
    <row r="237">
      <c r="K237" s="36">
        <f>IF(184&gt;$B$10,"",184)</f>
        <v/>
      </c>
      <c r="L237" s="37">
        <f>IF($K237="","",INDEX('سجل التحفيز'!$A$5:$A$2004,MATCH($K237,'سجل التحفيز'!$V$5:$V$2004,0)))</f>
        <v/>
      </c>
      <c r="M237" s="9">
        <f>IF($K237="","",INDEX('سجل التحفيز'!$B$5:$B$2004,MATCH($K237,'سجل التحفيز'!$V$5:$V$2004,0)))</f>
        <v/>
      </c>
      <c r="N237" s="9">
        <f>IF($K237="","",INDEX('سجل التحفيز'!$M$5:$M$2004,MATCH($K237,'سجل التحفيز'!$V$5:$V$2004,0)))</f>
        <v/>
      </c>
      <c r="O237" s="9">
        <f>IF($K237="","",INDEX('سجل التحفيز'!$C$5:$C$2004,MATCH($K237,'سجل التحفيز'!$V$5:$V$2004,0)))</f>
        <v/>
      </c>
      <c r="P237" s="36">
        <f>IF($K237="","",INDEX('سجل التحفيز'!$D$5:$D$2004,MATCH($K237,'سجل التحفيز'!$V$5:$V$2004,0)))</f>
        <v/>
      </c>
      <c r="Q237" s="9">
        <f>IF($K237="","",INDEX('سجل التحفيز'!$E$5:$E$2004,MATCH($K237,'سجل التحفيز'!$V$5:$V$2004,0)))</f>
        <v/>
      </c>
      <c r="R237" s="9">
        <f>IF($K237="","",INDEX('سجل التحفيز'!$F$5:$F$2004,MATCH($K237,'سجل التحفيز'!$V$5:$V$2004,0)))</f>
        <v/>
      </c>
      <c r="S237" s="35">
        <f>IF($K237="","",INDEX('سجل التحفيز'!$G$5:$G$2004,MATCH($K237,'سجل التحفيز'!$V$5:$V$2004,0)))</f>
        <v/>
      </c>
    </row>
    <row r="238">
      <c r="K238" s="36">
        <f>IF(185&gt;$B$10,"",185)</f>
        <v/>
      </c>
      <c r="L238" s="37">
        <f>IF($K238="","",INDEX('سجل التحفيز'!$A$5:$A$2004,MATCH($K238,'سجل التحفيز'!$V$5:$V$2004,0)))</f>
        <v/>
      </c>
      <c r="M238" s="9">
        <f>IF($K238="","",INDEX('سجل التحفيز'!$B$5:$B$2004,MATCH($K238,'سجل التحفيز'!$V$5:$V$2004,0)))</f>
        <v/>
      </c>
      <c r="N238" s="9">
        <f>IF($K238="","",INDEX('سجل التحفيز'!$M$5:$M$2004,MATCH($K238,'سجل التحفيز'!$V$5:$V$2004,0)))</f>
        <v/>
      </c>
      <c r="O238" s="9">
        <f>IF($K238="","",INDEX('سجل التحفيز'!$C$5:$C$2004,MATCH($K238,'سجل التحفيز'!$V$5:$V$2004,0)))</f>
        <v/>
      </c>
      <c r="P238" s="36">
        <f>IF($K238="","",INDEX('سجل التحفيز'!$D$5:$D$2004,MATCH($K238,'سجل التحفيز'!$V$5:$V$2004,0)))</f>
        <v/>
      </c>
      <c r="Q238" s="9">
        <f>IF($K238="","",INDEX('سجل التحفيز'!$E$5:$E$2004,MATCH($K238,'سجل التحفيز'!$V$5:$V$2004,0)))</f>
        <v/>
      </c>
      <c r="R238" s="9">
        <f>IF($K238="","",INDEX('سجل التحفيز'!$F$5:$F$2004,MATCH($K238,'سجل التحفيز'!$V$5:$V$2004,0)))</f>
        <v/>
      </c>
      <c r="S238" s="35">
        <f>IF($K238="","",INDEX('سجل التحفيز'!$G$5:$G$2004,MATCH($K238,'سجل التحفيز'!$V$5:$V$2004,0)))</f>
        <v/>
      </c>
    </row>
    <row r="239">
      <c r="K239" s="36">
        <f>IF(186&gt;$B$10,"",186)</f>
        <v/>
      </c>
      <c r="L239" s="37">
        <f>IF($K239="","",INDEX('سجل التحفيز'!$A$5:$A$2004,MATCH($K239,'سجل التحفيز'!$V$5:$V$2004,0)))</f>
        <v/>
      </c>
      <c r="M239" s="9">
        <f>IF($K239="","",INDEX('سجل التحفيز'!$B$5:$B$2004,MATCH($K239,'سجل التحفيز'!$V$5:$V$2004,0)))</f>
        <v/>
      </c>
      <c r="N239" s="9">
        <f>IF($K239="","",INDEX('سجل التحفيز'!$M$5:$M$2004,MATCH($K239,'سجل التحفيز'!$V$5:$V$2004,0)))</f>
        <v/>
      </c>
      <c r="O239" s="9">
        <f>IF($K239="","",INDEX('سجل التحفيز'!$C$5:$C$2004,MATCH($K239,'سجل التحفيز'!$V$5:$V$2004,0)))</f>
        <v/>
      </c>
      <c r="P239" s="36">
        <f>IF($K239="","",INDEX('سجل التحفيز'!$D$5:$D$2004,MATCH($K239,'سجل التحفيز'!$V$5:$V$2004,0)))</f>
        <v/>
      </c>
      <c r="Q239" s="9">
        <f>IF($K239="","",INDEX('سجل التحفيز'!$E$5:$E$2004,MATCH($K239,'سجل التحفيز'!$V$5:$V$2004,0)))</f>
        <v/>
      </c>
      <c r="R239" s="9">
        <f>IF($K239="","",INDEX('سجل التحفيز'!$F$5:$F$2004,MATCH($K239,'سجل التحفيز'!$V$5:$V$2004,0)))</f>
        <v/>
      </c>
      <c r="S239" s="35">
        <f>IF($K239="","",INDEX('سجل التحفيز'!$G$5:$G$2004,MATCH($K239,'سجل التحفيز'!$V$5:$V$2004,0)))</f>
        <v/>
      </c>
    </row>
    <row r="240">
      <c r="K240" s="36">
        <f>IF(187&gt;$B$10,"",187)</f>
        <v/>
      </c>
      <c r="L240" s="37">
        <f>IF($K240="","",INDEX('سجل التحفيز'!$A$5:$A$2004,MATCH($K240,'سجل التحفيز'!$V$5:$V$2004,0)))</f>
        <v/>
      </c>
      <c r="M240" s="9">
        <f>IF($K240="","",INDEX('سجل التحفيز'!$B$5:$B$2004,MATCH($K240,'سجل التحفيز'!$V$5:$V$2004,0)))</f>
        <v/>
      </c>
      <c r="N240" s="9">
        <f>IF($K240="","",INDEX('سجل التحفيز'!$M$5:$M$2004,MATCH($K240,'سجل التحفيز'!$V$5:$V$2004,0)))</f>
        <v/>
      </c>
      <c r="O240" s="9">
        <f>IF($K240="","",INDEX('سجل التحفيز'!$C$5:$C$2004,MATCH($K240,'سجل التحفيز'!$V$5:$V$2004,0)))</f>
        <v/>
      </c>
      <c r="P240" s="36">
        <f>IF($K240="","",INDEX('سجل التحفيز'!$D$5:$D$2004,MATCH($K240,'سجل التحفيز'!$V$5:$V$2004,0)))</f>
        <v/>
      </c>
      <c r="Q240" s="9">
        <f>IF($K240="","",INDEX('سجل التحفيز'!$E$5:$E$2004,MATCH($K240,'سجل التحفيز'!$V$5:$V$2004,0)))</f>
        <v/>
      </c>
      <c r="R240" s="9">
        <f>IF($K240="","",INDEX('سجل التحفيز'!$F$5:$F$2004,MATCH($K240,'سجل التحفيز'!$V$5:$V$2004,0)))</f>
        <v/>
      </c>
      <c r="S240" s="35">
        <f>IF($K240="","",INDEX('سجل التحفيز'!$G$5:$G$2004,MATCH($K240,'سجل التحفيز'!$V$5:$V$2004,0)))</f>
        <v/>
      </c>
    </row>
    <row r="241">
      <c r="K241" s="36">
        <f>IF(188&gt;$B$10,"",188)</f>
        <v/>
      </c>
      <c r="L241" s="37">
        <f>IF($K241="","",INDEX('سجل التحفيز'!$A$5:$A$2004,MATCH($K241,'سجل التحفيز'!$V$5:$V$2004,0)))</f>
        <v/>
      </c>
      <c r="M241" s="9">
        <f>IF($K241="","",INDEX('سجل التحفيز'!$B$5:$B$2004,MATCH($K241,'سجل التحفيز'!$V$5:$V$2004,0)))</f>
        <v/>
      </c>
      <c r="N241" s="9">
        <f>IF($K241="","",INDEX('سجل التحفيز'!$M$5:$M$2004,MATCH($K241,'سجل التحفيز'!$V$5:$V$2004,0)))</f>
        <v/>
      </c>
      <c r="O241" s="9">
        <f>IF($K241="","",INDEX('سجل التحفيز'!$C$5:$C$2004,MATCH($K241,'سجل التحفيز'!$V$5:$V$2004,0)))</f>
        <v/>
      </c>
      <c r="P241" s="36">
        <f>IF($K241="","",INDEX('سجل التحفيز'!$D$5:$D$2004,MATCH($K241,'سجل التحفيز'!$V$5:$V$2004,0)))</f>
        <v/>
      </c>
      <c r="Q241" s="9">
        <f>IF($K241="","",INDEX('سجل التحفيز'!$E$5:$E$2004,MATCH($K241,'سجل التحفيز'!$V$5:$V$2004,0)))</f>
        <v/>
      </c>
      <c r="R241" s="9">
        <f>IF($K241="","",INDEX('سجل التحفيز'!$F$5:$F$2004,MATCH($K241,'سجل التحفيز'!$V$5:$V$2004,0)))</f>
        <v/>
      </c>
      <c r="S241" s="35">
        <f>IF($K241="","",INDEX('سجل التحفيز'!$G$5:$G$2004,MATCH($K241,'سجل التحفيز'!$V$5:$V$2004,0)))</f>
        <v/>
      </c>
    </row>
    <row r="242">
      <c r="K242" s="36">
        <f>IF(189&gt;$B$10,"",189)</f>
        <v/>
      </c>
      <c r="L242" s="37">
        <f>IF($K242="","",INDEX('سجل التحفيز'!$A$5:$A$2004,MATCH($K242,'سجل التحفيز'!$V$5:$V$2004,0)))</f>
        <v/>
      </c>
      <c r="M242" s="9">
        <f>IF($K242="","",INDEX('سجل التحفيز'!$B$5:$B$2004,MATCH($K242,'سجل التحفيز'!$V$5:$V$2004,0)))</f>
        <v/>
      </c>
      <c r="N242" s="9">
        <f>IF($K242="","",INDEX('سجل التحفيز'!$M$5:$M$2004,MATCH($K242,'سجل التحفيز'!$V$5:$V$2004,0)))</f>
        <v/>
      </c>
      <c r="O242" s="9">
        <f>IF($K242="","",INDEX('سجل التحفيز'!$C$5:$C$2004,MATCH($K242,'سجل التحفيز'!$V$5:$V$2004,0)))</f>
        <v/>
      </c>
      <c r="P242" s="36">
        <f>IF($K242="","",INDEX('سجل التحفيز'!$D$5:$D$2004,MATCH($K242,'سجل التحفيز'!$V$5:$V$2004,0)))</f>
        <v/>
      </c>
      <c r="Q242" s="9">
        <f>IF($K242="","",INDEX('سجل التحفيز'!$E$5:$E$2004,MATCH($K242,'سجل التحفيز'!$V$5:$V$2004,0)))</f>
        <v/>
      </c>
      <c r="R242" s="9">
        <f>IF($K242="","",INDEX('سجل التحفيز'!$F$5:$F$2004,MATCH($K242,'سجل التحفيز'!$V$5:$V$2004,0)))</f>
        <v/>
      </c>
      <c r="S242" s="35">
        <f>IF($K242="","",INDEX('سجل التحفيز'!$G$5:$G$2004,MATCH($K242,'سجل التحفيز'!$V$5:$V$2004,0)))</f>
        <v/>
      </c>
    </row>
    <row r="243">
      <c r="K243" s="36">
        <f>IF(190&gt;$B$10,"",190)</f>
        <v/>
      </c>
      <c r="L243" s="37">
        <f>IF($K243="","",INDEX('سجل التحفيز'!$A$5:$A$2004,MATCH($K243,'سجل التحفيز'!$V$5:$V$2004,0)))</f>
        <v/>
      </c>
      <c r="M243" s="9">
        <f>IF($K243="","",INDEX('سجل التحفيز'!$B$5:$B$2004,MATCH($K243,'سجل التحفيز'!$V$5:$V$2004,0)))</f>
        <v/>
      </c>
      <c r="N243" s="9">
        <f>IF($K243="","",INDEX('سجل التحفيز'!$M$5:$M$2004,MATCH($K243,'سجل التحفيز'!$V$5:$V$2004,0)))</f>
        <v/>
      </c>
      <c r="O243" s="9">
        <f>IF($K243="","",INDEX('سجل التحفيز'!$C$5:$C$2004,MATCH($K243,'سجل التحفيز'!$V$5:$V$2004,0)))</f>
        <v/>
      </c>
      <c r="P243" s="36">
        <f>IF($K243="","",INDEX('سجل التحفيز'!$D$5:$D$2004,MATCH($K243,'سجل التحفيز'!$V$5:$V$2004,0)))</f>
        <v/>
      </c>
      <c r="Q243" s="9">
        <f>IF($K243="","",INDEX('سجل التحفيز'!$E$5:$E$2004,MATCH($K243,'سجل التحفيز'!$V$5:$V$2004,0)))</f>
        <v/>
      </c>
      <c r="R243" s="9">
        <f>IF($K243="","",INDEX('سجل التحفيز'!$F$5:$F$2004,MATCH($K243,'سجل التحفيز'!$V$5:$V$2004,0)))</f>
        <v/>
      </c>
      <c r="S243" s="35">
        <f>IF($K243="","",INDEX('سجل التحفيز'!$G$5:$G$2004,MATCH($K243,'سجل التحفيز'!$V$5:$V$2004,0)))</f>
        <v/>
      </c>
    </row>
    <row r="244">
      <c r="K244" s="36">
        <f>IF(191&gt;$B$10,"",191)</f>
        <v/>
      </c>
      <c r="L244" s="37">
        <f>IF($K244="","",INDEX('سجل التحفيز'!$A$5:$A$2004,MATCH($K244,'سجل التحفيز'!$V$5:$V$2004,0)))</f>
        <v/>
      </c>
      <c r="M244" s="9">
        <f>IF($K244="","",INDEX('سجل التحفيز'!$B$5:$B$2004,MATCH($K244,'سجل التحفيز'!$V$5:$V$2004,0)))</f>
        <v/>
      </c>
      <c r="N244" s="9">
        <f>IF($K244="","",INDEX('سجل التحفيز'!$M$5:$M$2004,MATCH($K244,'سجل التحفيز'!$V$5:$V$2004,0)))</f>
        <v/>
      </c>
      <c r="O244" s="9">
        <f>IF($K244="","",INDEX('سجل التحفيز'!$C$5:$C$2004,MATCH($K244,'سجل التحفيز'!$V$5:$V$2004,0)))</f>
        <v/>
      </c>
      <c r="P244" s="36">
        <f>IF($K244="","",INDEX('سجل التحفيز'!$D$5:$D$2004,MATCH($K244,'سجل التحفيز'!$V$5:$V$2004,0)))</f>
        <v/>
      </c>
      <c r="Q244" s="9">
        <f>IF($K244="","",INDEX('سجل التحفيز'!$E$5:$E$2004,MATCH($K244,'سجل التحفيز'!$V$5:$V$2004,0)))</f>
        <v/>
      </c>
      <c r="R244" s="9">
        <f>IF($K244="","",INDEX('سجل التحفيز'!$F$5:$F$2004,MATCH($K244,'سجل التحفيز'!$V$5:$V$2004,0)))</f>
        <v/>
      </c>
      <c r="S244" s="35">
        <f>IF($K244="","",INDEX('سجل التحفيز'!$G$5:$G$2004,MATCH($K244,'سجل التحفيز'!$V$5:$V$2004,0)))</f>
        <v/>
      </c>
    </row>
    <row r="245">
      <c r="K245" s="36">
        <f>IF(192&gt;$B$10,"",192)</f>
        <v/>
      </c>
      <c r="L245" s="37">
        <f>IF($K245="","",INDEX('سجل التحفيز'!$A$5:$A$2004,MATCH($K245,'سجل التحفيز'!$V$5:$V$2004,0)))</f>
        <v/>
      </c>
      <c r="M245" s="9">
        <f>IF($K245="","",INDEX('سجل التحفيز'!$B$5:$B$2004,MATCH($K245,'سجل التحفيز'!$V$5:$V$2004,0)))</f>
        <v/>
      </c>
      <c r="N245" s="9">
        <f>IF($K245="","",INDEX('سجل التحفيز'!$M$5:$M$2004,MATCH($K245,'سجل التحفيز'!$V$5:$V$2004,0)))</f>
        <v/>
      </c>
      <c r="O245" s="9">
        <f>IF($K245="","",INDEX('سجل التحفيز'!$C$5:$C$2004,MATCH($K245,'سجل التحفيز'!$V$5:$V$2004,0)))</f>
        <v/>
      </c>
      <c r="P245" s="36">
        <f>IF($K245="","",INDEX('سجل التحفيز'!$D$5:$D$2004,MATCH($K245,'سجل التحفيز'!$V$5:$V$2004,0)))</f>
        <v/>
      </c>
      <c r="Q245" s="9">
        <f>IF($K245="","",INDEX('سجل التحفيز'!$E$5:$E$2004,MATCH($K245,'سجل التحفيز'!$V$5:$V$2004,0)))</f>
        <v/>
      </c>
      <c r="R245" s="9">
        <f>IF($K245="","",INDEX('سجل التحفيز'!$F$5:$F$2004,MATCH($K245,'سجل التحفيز'!$V$5:$V$2004,0)))</f>
        <v/>
      </c>
      <c r="S245" s="35">
        <f>IF($K245="","",INDEX('سجل التحفيز'!$G$5:$G$2004,MATCH($K245,'سجل التحفيز'!$V$5:$V$2004,0)))</f>
        <v/>
      </c>
    </row>
    <row r="246">
      <c r="K246" s="36">
        <f>IF(193&gt;$B$10,"",193)</f>
        <v/>
      </c>
      <c r="L246" s="37">
        <f>IF($K246="","",INDEX('سجل التحفيز'!$A$5:$A$2004,MATCH($K246,'سجل التحفيز'!$V$5:$V$2004,0)))</f>
        <v/>
      </c>
      <c r="M246" s="9">
        <f>IF($K246="","",INDEX('سجل التحفيز'!$B$5:$B$2004,MATCH($K246,'سجل التحفيز'!$V$5:$V$2004,0)))</f>
        <v/>
      </c>
      <c r="N246" s="9">
        <f>IF($K246="","",INDEX('سجل التحفيز'!$M$5:$M$2004,MATCH($K246,'سجل التحفيز'!$V$5:$V$2004,0)))</f>
        <v/>
      </c>
      <c r="O246" s="9">
        <f>IF($K246="","",INDEX('سجل التحفيز'!$C$5:$C$2004,MATCH($K246,'سجل التحفيز'!$V$5:$V$2004,0)))</f>
        <v/>
      </c>
      <c r="P246" s="36">
        <f>IF($K246="","",INDEX('سجل التحفيز'!$D$5:$D$2004,MATCH($K246,'سجل التحفيز'!$V$5:$V$2004,0)))</f>
        <v/>
      </c>
      <c r="Q246" s="9">
        <f>IF($K246="","",INDEX('سجل التحفيز'!$E$5:$E$2004,MATCH($K246,'سجل التحفيز'!$V$5:$V$2004,0)))</f>
        <v/>
      </c>
      <c r="R246" s="9">
        <f>IF($K246="","",INDEX('سجل التحفيز'!$F$5:$F$2004,MATCH($K246,'سجل التحفيز'!$V$5:$V$2004,0)))</f>
        <v/>
      </c>
      <c r="S246" s="35">
        <f>IF($K246="","",INDEX('سجل التحفيز'!$G$5:$G$2004,MATCH($K246,'سجل التحفيز'!$V$5:$V$2004,0)))</f>
        <v/>
      </c>
    </row>
    <row r="247">
      <c r="K247" s="36">
        <f>IF(194&gt;$B$10,"",194)</f>
        <v/>
      </c>
      <c r="L247" s="37">
        <f>IF($K247="","",INDEX('سجل التحفيز'!$A$5:$A$2004,MATCH($K247,'سجل التحفيز'!$V$5:$V$2004,0)))</f>
        <v/>
      </c>
      <c r="M247" s="9">
        <f>IF($K247="","",INDEX('سجل التحفيز'!$B$5:$B$2004,MATCH($K247,'سجل التحفيز'!$V$5:$V$2004,0)))</f>
        <v/>
      </c>
      <c r="N247" s="9">
        <f>IF($K247="","",INDEX('سجل التحفيز'!$M$5:$M$2004,MATCH($K247,'سجل التحفيز'!$V$5:$V$2004,0)))</f>
        <v/>
      </c>
      <c r="O247" s="9">
        <f>IF($K247="","",INDEX('سجل التحفيز'!$C$5:$C$2004,MATCH($K247,'سجل التحفيز'!$V$5:$V$2004,0)))</f>
        <v/>
      </c>
      <c r="P247" s="36">
        <f>IF($K247="","",INDEX('سجل التحفيز'!$D$5:$D$2004,MATCH($K247,'سجل التحفيز'!$V$5:$V$2004,0)))</f>
        <v/>
      </c>
      <c r="Q247" s="9">
        <f>IF($K247="","",INDEX('سجل التحفيز'!$E$5:$E$2004,MATCH($K247,'سجل التحفيز'!$V$5:$V$2004,0)))</f>
        <v/>
      </c>
      <c r="R247" s="9">
        <f>IF($K247="","",INDEX('سجل التحفيز'!$F$5:$F$2004,MATCH($K247,'سجل التحفيز'!$V$5:$V$2004,0)))</f>
        <v/>
      </c>
      <c r="S247" s="35">
        <f>IF($K247="","",INDEX('سجل التحفيز'!$G$5:$G$2004,MATCH($K247,'سجل التحفيز'!$V$5:$V$2004,0)))</f>
        <v/>
      </c>
    </row>
    <row r="248">
      <c r="K248" s="36">
        <f>IF(195&gt;$B$10,"",195)</f>
        <v/>
      </c>
      <c r="L248" s="37">
        <f>IF($K248="","",INDEX('سجل التحفيز'!$A$5:$A$2004,MATCH($K248,'سجل التحفيز'!$V$5:$V$2004,0)))</f>
        <v/>
      </c>
      <c r="M248" s="9">
        <f>IF($K248="","",INDEX('سجل التحفيز'!$B$5:$B$2004,MATCH($K248,'سجل التحفيز'!$V$5:$V$2004,0)))</f>
        <v/>
      </c>
      <c r="N248" s="9">
        <f>IF($K248="","",INDEX('سجل التحفيز'!$M$5:$M$2004,MATCH($K248,'سجل التحفيز'!$V$5:$V$2004,0)))</f>
        <v/>
      </c>
      <c r="O248" s="9">
        <f>IF($K248="","",INDEX('سجل التحفيز'!$C$5:$C$2004,MATCH($K248,'سجل التحفيز'!$V$5:$V$2004,0)))</f>
        <v/>
      </c>
      <c r="P248" s="36">
        <f>IF($K248="","",INDEX('سجل التحفيز'!$D$5:$D$2004,MATCH($K248,'سجل التحفيز'!$V$5:$V$2004,0)))</f>
        <v/>
      </c>
      <c r="Q248" s="9">
        <f>IF($K248="","",INDEX('سجل التحفيز'!$E$5:$E$2004,MATCH($K248,'سجل التحفيز'!$V$5:$V$2004,0)))</f>
        <v/>
      </c>
      <c r="R248" s="9">
        <f>IF($K248="","",INDEX('سجل التحفيز'!$F$5:$F$2004,MATCH($K248,'سجل التحفيز'!$V$5:$V$2004,0)))</f>
        <v/>
      </c>
      <c r="S248" s="35">
        <f>IF($K248="","",INDEX('سجل التحفيز'!$G$5:$G$2004,MATCH($K248,'سجل التحفيز'!$V$5:$V$2004,0)))</f>
        <v/>
      </c>
    </row>
    <row r="249">
      <c r="K249" s="36">
        <f>IF(196&gt;$B$10,"",196)</f>
        <v/>
      </c>
      <c r="L249" s="37">
        <f>IF($K249="","",INDEX('سجل التحفيز'!$A$5:$A$2004,MATCH($K249,'سجل التحفيز'!$V$5:$V$2004,0)))</f>
        <v/>
      </c>
      <c r="M249" s="9">
        <f>IF($K249="","",INDEX('سجل التحفيز'!$B$5:$B$2004,MATCH($K249,'سجل التحفيز'!$V$5:$V$2004,0)))</f>
        <v/>
      </c>
      <c r="N249" s="9">
        <f>IF($K249="","",INDEX('سجل التحفيز'!$M$5:$M$2004,MATCH($K249,'سجل التحفيز'!$V$5:$V$2004,0)))</f>
        <v/>
      </c>
      <c r="O249" s="9">
        <f>IF($K249="","",INDEX('سجل التحفيز'!$C$5:$C$2004,MATCH($K249,'سجل التحفيز'!$V$5:$V$2004,0)))</f>
        <v/>
      </c>
      <c r="P249" s="36">
        <f>IF($K249="","",INDEX('سجل التحفيز'!$D$5:$D$2004,MATCH($K249,'سجل التحفيز'!$V$5:$V$2004,0)))</f>
        <v/>
      </c>
      <c r="Q249" s="9">
        <f>IF($K249="","",INDEX('سجل التحفيز'!$E$5:$E$2004,MATCH($K249,'سجل التحفيز'!$V$5:$V$2004,0)))</f>
        <v/>
      </c>
      <c r="R249" s="9">
        <f>IF($K249="","",INDEX('سجل التحفيز'!$F$5:$F$2004,MATCH($K249,'سجل التحفيز'!$V$5:$V$2004,0)))</f>
        <v/>
      </c>
      <c r="S249" s="35">
        <f>IF($K249="","",INDEX('سجل التحفيز'!$G$5:$G$2004,MATCH($K249,'سجل التحفيز'!$V$5:$V$2004,0)))</f>
        <v/>
      </c>
    </row>
    <row r="250">
      <c r="K250" s="36">
        <f>IF(197&gt;$B$10,"",197)</f>
        <v/>
      </c>
      <c r="L250" s="37">
        <f>IF($K250="","",INDEX('سجل التحفيز'!$A$5:$A$2004,MATCH($K250,'سجل التحفيز'!$V$5:$V$2004,0)))</f>
        <v/>
      </c>
      <c r="M250" s="9">
        <f>IF($K250="","",INDEX('سجل التحفيز'!$B$5:$B$2004,MATCH($K250,'سجل التحفيز'!$V$5:$V$2004,0)))</f>
        <v/>
      </c>
      <c r="N250" s="9">
        <f>IF($K250="","",INDEX('سجل التحفيز'!$M$5:$M$2004,MATCH($K250,'سجل التحفيز'!$V$5:$V$2004,0)))</f>
        <v/>
      </c>
      <c r="O250" s="9">
        <f>IF($K250="","",INDEX('سجل التحفيز'!$C$5:$C$2004,MATCH($K250,'سجل التحفيز'!$V$5:$V$2004,0)))</f>
        <v/>
      </c>
      <c r="P250" s="36">
        <f>IF($K250="","",INDEX('سجل التحفيز'!$D$5:$D$2004,MATCH($K250,'سجل التحفيز'!$V$5:$V$2004,0)))</f>
        <v/>
      </c>
      <c r="Q250" s="9">
        <f>IF($K250="","",INDEX('سجل التحفيز'!$E$5:$E$2004,MATCH($K250,'سجل التحفيز'!$V$5:$V$2004,0)))</f>
        <v/>
      </c>
      <c r="R250" s="9">
        <f>IF($K250="","",INDEX('سجل التحفيز'!$F$5:$F$2004,MATCH($K250,'سجل التحفيز'!$V$5:$V$2004,0)))</f>
        <v/>
      </c>
      <c r="S250" s="35">
        <f>IF($K250="","",INDEX('سجل التحفيز'!$G$5:$G$2004,MATCH($K250,'سجل التحفيز'!$V$5:$V$2004,0)))</f>
        <v/>
      </c>
    </row>
    <row r="251">
      <c r="K251" s="36">
        <f>IF(198&gt;$B$10,"",198)</f>
        <v/>
      </c>
      <c r="L251" s="37">
        <f>IF($K251="","",INDEX('سجل التحفيز'!$A$5:$A$2004,MATCH($K251,'سجل التحفيز'!$V$5:$V$2004,0)))</f>
        <v/>
      </c>
      <c r="M251" s="9">
        <f>IF($K251="","",INDEX('سجل التحفيز'!$B$5:$B$2004,MATCH($K251,'سجل التحفيز'!$V$5:$V$2004,0)))</f>
        <v/>
      </c>
      <c r="N251" s="9">
        <f>IF($K251="","",INDEX('سجل التحفيز'!$M$5:$M$2004,MATCH($K251,'سجل التحفيز'!$V$5:$V$2004,0)))</f>
        <v/>
      </c>
      <c r="O251" s="9">
        <f>IF($K251="","",INDEX('سجل التحفيز'!$C$5:$C$2004,MATCH($K251,'سجل التحفيز'!$V$5:$V$2004,0)))</f>
        <v/>
      </c>
      <c r="P251" s="36">
        <f>IF($K251="","",INDEX('سجل التحفيز'!$D$5:$D$2004,MATCH($K251,'سجل التحفيز'!$V$5:$V$2004,0)))</f>
        <v/>
      </c>
      <c r="Q251" s="9">
        <f>IF($K251="","",INDEX('سجل التحفيز'!$E$5:$E$2004,MATCH($K251,'سجل التحفيز'!$V$5:$V$2004,0)))</f>
        <v/>
      </c>
      <c r="R251" s="9">
        <f>IF($K251="","",INDEX('سجل التحفيز'!$F$5:$F$2004,MATCH($K251,'سجل التحفيز'!$V$5:$V$2004,0)))</f>
        <v/>
      </c>
      <c r="S251" s="35">
        <f>IF($K251="","",INDEX('سجل التحفيز'!$G$5:$G$2004,MATCH($K251,'سجل التحفيز'!$V$5:$V$2004,0)))</f>
        <v/>
      </c>
    </row>
    <row r="252">
      <c r="K252" s="36">
        <f>IF(199&gt;$B$10,"",199)</f>
        <v/>
      </c>
      <c r="L252" s="37">
        <f>IF($K252="","",INDEX('سجل التحفيز'!$A$5:$A$2004,MATCH($K252,'سجل التحفيز'!$V$5:$V$2004,0)))</f>
        <v/>
      </c>
      <c r="M252" s="9">
        <f>IF($K252="","",INDEX('سجل التحفيز'!$B$5:$B$2004,MATCH($K252,'سجل التحفيز'!$V$5:$V$2004,0)))</f>
        <v/>
      </c>
      <c r="N252" s="9">
        <f>IF($K252="","",INDEX('سجل التحفيز'!$M$5:$M$2004,MATCH($K252,'سجل التحفيز'!$V$5:$V$2004,0)))</f>
        <v/>
      </c>
      <c r="O252" s="9">
        <f>IF($K252="","",INDEX('سجل التحفيز'!$C$5:$C$2004,MATCH($K252,'سجل التحفيز'!$V$5:$V$2004,0)))</f>
        <v/>
      </c>
      <c r="P252" s="36">
        <f>IF($K252="","",INDEX('سجل التحفيز'!$D$5:$D$2004,MATCH($K252,'سجل التحفيز'!$V$5:$V$2004,0)))</f>
        <v/>
      </c>
      <c r="Q252" s="9">
        <f>IF($K252="","",INDEX('سجل التحفيز'!$E$5:$E$2004,MATCH($K252,'سجل التحفيز'!$V$5:$V$2004,0)))</f>
        <v/>
      </c>
      <c r="R252" s="9">
        <f>IF($K252="","",INDEX('سجل التحفيز'!$F$5:$F$2004,MATCH($K252,'سجل التحفيز'!$V$5:$V$2004,0)))</f>
        <v/>
      </c>
      <c r="S252" s="35">
        <f>IF($K252="","",INDEX('سجل التحفيز'!$G$5:$G$2004,MATCH($K252,'سجل التحفيز'!$V$5:$V$2004,0)))</f>
        <v/>
      </c>
    </row>
    <row r="253">
      <c r="K253" s="36">
        <f>IF(200&gt;$B$10,"",200)</f>
        <v/>
      </c>
      <c r="L253" s="37">
        <f>IF($K253="","",INDEX('سجل التحفيز'!$A$5:$A$2004,MATCH($K253,'سجل التحفيز'!$V$5:$V$2004,0)))</f>
        <v/>
      </c>
      <c r="M253" s="9">
        <f>IF($K253="","",INDEX('سجل التحفيز'!$B$5:$B$2004,MATCH($K253,'سجل التحفيز'!$V$5:$V$2004,0)))</f>
        <v/>
      </c>
      <c r="N253" s="9">
        <f>IF($K253="","",INDEX('سجل التحفيز'!$M$5:$M$2004,MATCH($K253,'سجل التحفيز'!$V$5:$V$2004,0)))</f>
        <v/>
      </c>
      <c r="O253" s="9">
        <f>IF($K253="","",INDEX('سجل التحفيز'!$C$5:$C$2004,MATCH($K253,'سجل التحفيز'!$V$5:$V$2004,0)))</f>
        <v/>
      </c>
      <c r="P253" s="36">
        <f>IF($K253="","",INDEX('سجل التحفيز'!$D$5:$D$2004,MATCH($K253,'سجل التحفيز'!$V$5:$V$2004,0)))</f>
        <v/>
      </c>
      <c r="Q253" s="9">
        <f>IF($K253="","",INDEX('سجل التحفيز'!$E$5:$E$2004,MATCH($K253,'سجل التحفيز'!$V$5:$V$2004,0)))</f>
        <v/>
      </c>
      <c r="R253" s="9">
        <f>IF($K253="","",INDEX('سجل التحفيز'!$F$5:$F$2004,MATCH($K253,'سجل التحفيز'!$V$5:$V$2004,0)))</f>
        <v/>
      </c>
      <c r="S253" s="35">
        <f>IF($K253="","",INDEX('سجل التحفيز'!$G$5:$G$2004,MATCH($K253,'سجل التحفيز'!$V$5:$V$2004,0)))</f>
        <v/>
      </c>
    </row>
    <row r="254">
      <c r="K254" s="36">
        <f>IF(201&gt;$B$10,"",201)</f>
        <v/>
      </c>
      <c r="L254" s="37">
        <f>IF($K254="","",INDEX('سجل التحفيز'!$A$5:$A$2004,MATCH($K254,'سجل التحفيز'!$V$5:$V$2004,0)))</f>
        <v/>
      </c>
      <c r="M254" s="9">
        <f>IF($K254="","",INDEX('سجل التحفيز'!$B$5:$B$2004,MATCH($K254,'سجل التحفيز'!$V$5:$V$2004,0)))</f>
        <v/>
      </c>
      <c r="N254" s="9">
        <f>IF($K254="","",INDEX('سجل التحفيز'!$M$5:$M$2004,MATCH($K254,'سجل التحفيز'!$V$5:$V$2004,0)))</f>
        <v/>
      </c>
      <c r="O254" s="9">
        <f>IF($K254="","",INDEX('سجل التحفيز'!$C$5:$C$2004,MATCH($K254,'سجل التحفيز'!$V$5:$V$2004,0)))</f>
        <v/>
      </c>
      <c r="P254" s="36">
        <f>IF($K254="","",INDEX('سجل التحفيز'!$D$5:$D$2004,MATCH($K254,'سجل التحفيز'!$V$5:$V$2004,0)))</f>
        <v/>
      </c>
      <c r="Q254" s="9">
        <f>IF($K254="","",INDEX('سجل التحفيز'!$E$5:$E$2004,MATCH($K254,'سجل التحفيز'!$V$5:$V$2004,0)))</f>
        <v/>
      </c>
      <c r="R254" s="9">
        <f>IF($K254="","",INDEX('سجل التحفيز'!$F$5:$F$2004,MATCH($K254,'سجل التحفيز'!$V$5:$V$2004,0)))</f>
        <v/>
      </c>
      <c r="S254" s="35">
        <f>IF($K254="","",INDEX('سجل التحفيز'!$G$5:$G$2004,MATCH($K254,'سجل التحفيز'!$V$5:$V$2004,0)))</f>
        <v/>
      </c>
    </row>
    <row r="255">
      <c r="K255" s="36">
        <f>IF(202&gt;$B$10,"",202)</f>
        <v/>
      </c>
      <c r="L255" s="37">
        <f>IF($K255="","",INDEX('سجل التحفيز'!$A$5:$A$2004,MATCH($K255,'سجل التحفيز'!$V$5:$V$2004,0)))</f>
        <v/>
      </c>
      <c r="M255" s="9">
        <f>IF($K255="","",INDEX('سجل التحفيز'!$B$5:$B$2004,MATCH($K255,'سجل التحفيز'!$V$5:$V$2004,0)))</f>
        <v/>
      </c>
      <c r="N255" s="9">
        <f>IF($K255="","",INDEX('سجل التحفيز'!$M$5:$M$2004,MATCH($K255,'سجل التحفيز'!$V$5:$V$2004,0)))</f>
        <v/>
      </c>
      <c r="O255" s="9">
        <f>IF($K255="","",INDEX('سجل التحفيز'!$C$5:$C$2004,MATCH($K255,'سجل التحفيز'!$V$5:$V$2004,0)))</f>
        <v/>
      </c>
      <c r="P255" s="36">
        <f>IF($K255="","",INDEX('سجل التحفيز'!$D$5:$D$2004,MATCH($K255,'سجل التحفيز'!$V$5:$V$2004,0)))</f>
        <v/>
      </c>
      <c r="Q255" s="9">
        <f>IF($K255="","",INDEX('سجل التحفيز'!$E$5:$E$2004,MATCH($K255,'سجل التحفيز'!$V$5:$V$2004,0)))</f>
        <v/>
      </c>
      <c r="R255" s="9">
        <f>IF($K255="","",INDEX('سجل التحفيز'!$F$5:$F$2004,MATCH($K255,'سجل التحفيز'!$V$5:$V$2004,0)))</f>
        <v/>
      </c>
      <c r="S255" s="35">
        <f>IF($K255="","",INDEX('سجل التحفيز'!$G$5:$G$2004,MATCH($K255,'سجل التحفيز'!$V$5:$V$2004,0)))</f>
        <v/>
      </c>
    </row>
    <row r="256">
      <c r="K256" s="36">
        <f>IF(203&gt;$B$10,"",203)</f>
        <v/>
      </c>
      <c r="L256" s="37">
        <f>IF($K256="","",INDEX('سجل التحفيز'!$A$5:$A$2004,MATCH($K256,'سجل التحفيز'!$V$5:$V$2004,0)))</f>
        <v/>
      </c>
      <c r="M256" s="9">
        <f>IF($K256="","",INDEX('سجل التحفيز'!$B$5:$B$2004,MATCH($K256,'سجل التحفيز'!$V$5:$V$2004,0)))</f>
        <v/>
      </c>
      <c r="N256" s="9">
        <f>IF($K256="","",INDEX('سجل التحفيز'!$M$5:$M$2004,MATCH($K256,'سجل التحفيز'!$V$5:$V$2004,0)))</f>
        <v/>
      </c>
      <c r="O256" s="9">
        <f>IF($K256="","",INDEX('سجل التحفيز'!$C$5:$C$2004,MATCH($K256,'سجل التحفيز'!$V$5:$V$2004,0)))</f>
        <v/>
      </c>
      <c r="P256" s="36">
        <f>IF($K256="","",INDEX('سجل التحفيز'!$D$5:$D$2004,MATCH($K256,'سجل التحفيز'!$V$5:$V$2004,0)))</f>
        <v/>
      </c>
      <c r="Q256" s="9">
        <f>IF($K256="","",INDEX('سجل التحفيز'!$E$5:$E$2004,MATCH($K256,'سجل التحفيز'!$V$5:$V$2004,0)))</f>
        <v/>
      </c>
      <c r="R256" s="9">
        <f>IF($K256="","",INDEX('سجل التحفيز'!$F$5:$F$2004,MATCH($K256,'سجل التحفيز'!$V$5:$V$2004,0)))</f>
        <v/>
      </c>
      <c r="S256" s="35">
        <f>IF($K256="","",INDEX('سجل التحفيز'!$G$5:$G$2004,MATCH($K256,'سجل التحفيز'!$V$5:$V$2004,0)))</f>
        <v/>
      </c>
    </row>
    <row r="257">
      <c r="K257" s="36">
        <f>IF(204&gt;$B$10,"",204)</f>
        <v/>
      </c>
      <c r="L257" s="37">
        <f>IF($K257="","",INDEX('سجل التحفيز'!$A$5:$A$2004,MATCH($K257,'سجل التحفيز'!$V$5:$V$2004,0)))</f>
        <v/>
      </c>
      <c r="M257" s="9">
        <f>IF($K257="","",INDEX('سجل التحفيز'!$B$5:$B$2004,MATCH($K257,'سجل التحفيز'!$V$5:$V$2004,0)))</f>
        <v/>
      </c>
      <c r="N257" s="9">
        <f>IF($K257="","",INDEX('سجل التحفيز'!$M$5:$M$2004,MATCH($K257,'سجل التحفيز'!$V$5:$V$2004,0)))</f>
        <v/>
      </c>
      <c r="O257" s="9">
        <f>IF($K257="","",INDEX('سجل التحفيز'!$C$5:$C$2004,MATCH($K257,'سجل التحفيز'!$V$5:$V$2004,0)))</f>
        <v/>
      </c>
      <c r="P257" s="36">
        <f>IF($K257="","",INDEX('سجل التحفيز'!$D$5:$D$2004,MATCH($K257,'سجل التحفيز'!$V$5:$V$2004,0)))</f>
        <v/>
      </c>
      <c r="Q257" s="9">
        <f>IF($K257="","",INDEX('سجل التحفيز'!$E$5:$E$2004,MATCH($K257,'سجل التحفيز'!$V$5:$V$2004,0)))</f>
        <v/>
      </c>
      <c r="R257" s="9">
        <f>IF($K257="","",INDEX('سجل التحفيز'!$F$5:$F$2004,MATCH($K257,'سجل التحفيز'!$V$5:$V$2004,0)))</f>
        <v/>
      </c>
      <c r="S257" s="35">
        <f>IF($K257="","",INDEX('سجل التحفيز'!$G$5:$G$2004,MATCH($K257,'سجل التحفيز'!$V$5:$V$2004,0)))</f>
        <v/>
      </c>
    </row>
    <row r="258">
      <c r="K258" s="36">
        <f>IF(205&gt;$B$10,"",205)</f>
        <v/>
      </c>
      <c r="L258" s="37">
        <f>IF($K258="","",INDEX('سجل التحفيز'!$A$5:$A$2004,MATCH($K258,'سجل التحفيز'!$V$5:$V$2004,0)))</f>
        <v/>
      </c>
      <c r="M258" s="9">
        <f>IF($K258="","",INDEX('سجل التحفيز'!$B$5:$B$2004,MATCH($K258,'سجل التحفيز'!$V$5:$V$2004,0)))</f>
        <v/>
      </c>
      <c r="N258" s="9">
        <f>IF($K258="","",INDEX('سجل التحفيز'!$M$5:$M$2004,MATCH($K258,'سجل التحفيز'!$V$5:$V$2004,0)))</f>
        <v/>
      </c>
      <c r="O258" s="9">
        <f>IF($K258="","",INDEX('سجل التحفيز'!$C$5:$C$2004,MATCH($K258,'سجل التحفيز'!$V$5:$V$2004,0)))</f>
        <v/>
      </c>
      <c r="P258" s="36">
        <f>IF($K258="","",INDEX('سجل التحفيز'!$D$5:$D$2004,MATCH($K258,'سجل التحفيز'!$V$5:$V$2004,0)))</f>
        <v/>
      </c>
      <c r="Q258" s="9">
        <f>IF($K258="","",INDEX('سجل التحفيز'!$E$5:$E$2004,MATCH($K258,'سجل التحفيز'!$V$5:$V$2004,0)))</f>
        <v/>
      </c>
      <c r="R258" s="9">
        <f>IF($K258="","",INDEX('سجل التحفيز'!$F$5:$F$2004,MATCH($K258,'سجل التحفيز'!$V$5:$V$2004,0)))</f>
        <v/>
      </c>
      <c r="S258" s="35">
        <f>IF($K258="","",INDEX('سجل التحفيز'!$G$5:$G$2004,MATCH($K258,'سجل التحفيز'!$V$5:$V$2004,0)))</f>
        <v/>
      </c>
    </row>
    <row r="259">
      <c r="K259" s="36">
        <f>IF(206&gt;$B$10,"",206)</f>
        <v/>
      </c>
      <c r="L259" s="37">
        <f>IF($K259="","",INDEX('سجل التحفيز'!$A$5:$A$2004,MATCH($K259,'سجل التحفيز'!$V$5:$V$2004,0)))</f>
        <v/>
      </c>
      <c r="M259" s="9">
        <f>IF($K259="","",INDEX('سجل التحفيز'!$B$5:$B$2004,MATCH($K259,'سجل التحفيز'!$V$5:$V$2004,0)))</f>
        <v/>
      </c>
      <c r="N259" s="9">
        <f>IF($K259="","",INDEX('سجل التحفيز'!$M$5:$M$2004,MATCH($K259,'سجل التحفيز'!$V$5:$V$2004,0)))</f>
        <v/>
      </c>
      <c r="O259" s="9">
        <f>IF($K259="","",INDEX('سجل التحفيز'!$C$5:$C$2004,MATCH($K259,'سجل التحفيز'!$V$5:$V$2004,0)))</f>
        <v/>
      </c>
      <c r="P259" s="36">
        <f>IF($K259="","",INDEX('سجل التحفيز'!$D$5:$D$2004,MATCH($K259,'سجل التحفيز'!$V$5:$V$2004,0)))</f>
        <v/>
      </c>
      <c r="Q259" s="9">
        <f>IF($K259="","",INDEX('سجل التحفيز'!$E$5:$E$2004,MATCH($K259,'سجل التحفيز'!$V$5:$V$2004,0)))</f>
        <v/>
      </c>
      <c r="R259" s="9">
        <f>IF($K259="","",INDEX('سجل التحفيز'!$F$5:$F$2004,MATCH($K259,'سجل التحفيز'!$V$5:$V$2004,0)))</f>
        <v/>
      </c>
      <c r="S259" s="35">
        <f>IF($K259="","",INDEX('سجل التحفيز'!$G$5:$G$2004,MATCH($K259,'سجل التحفيز'!$V$5:$V$2004,0)))</f>
        <v/>
      </c>
    </row>
    <row r="260">
      <c r="K260" s="36">
        <f>IF(207&gt;$B$10,"",207)</f>
        <v/>
      </c>
      <c r="L260" s="37">
        <f>IF($K260="","",INDEX('سجل التحفيز'!$A$5:$A$2004,MATCH($K260,'سجل التحفيز'!$V$5:$V$2004,0)))</f>
        <v/>
      </c>
      <c r="M260" s="9">
        <f>IF($K260="","",INDEX('سجل التحفيز'!$B$5:$B$2004,MATCH($K260,'سجل التحفيز'!$V$5:$V$2004,0)))</f>
        <v/>
      </c>
      <c r="N260" s="9">
        <f>IF($K260="","",INDEX('سجل التحفيز'!$M$5:$M$2004,MATCH($K260,'سجل التحفيز'!$V$5:$V$2004,0)))</f>
        <v/>
      </c>
      <c r="O260" s="9">
        <f>IF($K260="","",INDEX('سجل التحفيز'!$C$5:$C$2004,MATCH($K260,'سجل التحفيز'!$V$5:$V$2004,0)))</f>
        <v/>
      </c>
      <c r="P260" s="36">
        <f>IF($K260="","",INDEX('سجل التحفيز'!$D$5:$D$2004,MATCH($K260,'سجل التحفيز'!$V$5:$V$2004,0)))</f>
        <v/>
      </c>
      <c r="Q260" s="9">
        <f>IF($K260="","",INDEX('سجل التحفيز'!$E$5:$E$2004,MATCH($K260,'سجل التحفيز'!$V$5:$V$2004,0)))</f>
        <v/>
      </c>
      <c r="R260" s="9">
        <f>IF($K260="","",INDEX('سجل التحفيز'!$F$5:$F$2004,MATCH($K260,'سجل التحفيز'!$V$5:$V$2004,0)))</f>
        <v/>
      </c>
      <c r="S260" s="35">
        <f>IF($K260="","",INDEX('سجل التحفيز'!$G$5:$G$2004,MATCH($K260,'سجل التحفيز'!$V$5:$V$2004,0)))</f>
        <v/>
      </c>
    </row>
    <row r="261">
      <c r="K261" s="36">
        <f>IF(208&gt;$B$10,"",208)</f>
        <v/>
      </c>
      <c r="L261" s="37">
        <f>IF($K261="","",INDEX('سجل التحفيز'!$A$5:$A$2004,MATCH($K261,'سجل التحفيز'!$V$5:$V$2004,0)))</f>
        <v/>
      </c>
      <c r="M261" s="9">
        <f>IF($K261="","",INDEX('سجل التحفيز'!$B$5:$B$2004,MATCH($K261,'سجل التحفيز'!$V$5:$V$2004,0)))</f>
        <v/>
      </c>
      <c r="N261" s="9">
        <f>IF($K261="","",INDEX('سجل التحفيز'!$M$5:$M$2004,MATCH($K261,'سجل التحفيز'!$V$5:$V$2004,0)))</f>
        <v/>
      </c>
      <c r="O261" s="9">
        <f>IF($K261="","",INDEX('سجل التحفيز'!$C$5:$C$2004,MATCH($K261,'سجل التحفيز'!$V$5:$V$2004,0)))</f>
        <v/>
      </c>
      <c r="P261" s="36">
        <f>IF($K261="","",INDEX('سجل التحفيز'!$D$5:$D$2004,MATCH($K261,'سجل التحفيز'!$V$5:$V$2004,0)))</f>
        <v/>
      </c>
      <c r="Q261" s="9">
        <f>IF($K261="","",INDEX('سجل التحفيز'!$E$5:$E$2004,MATCH($K261,'سجل التحفيز'!$V$5:$V$2004,0)))</f>
        <v/>
      </c>
      <c r="R261" s="9">
        <f>IF($K261="","",INDEX('سجل التحفيز'!$F$5:$F$2004,MATCH($K261,'سجل التحفيز'!$V$5:$V$2004,0)))</f>
        <v/>
      </c>
      <c r="S261" s="35">
        <f>IF($K261="","",INDEX('سجل التحفيز'!$G$5:$G$2004,MATCH($K261,'سجل التحفيز'!$V$5:$V$2004,0)))</f>
        <v/>
      </c>
    </row>
    <row r="262">
      <c r="K262" s="36">
        <f>IF(209&gt;$B$10,"",209)</f>
        <v/>
      </c>
      <c r="L262" s="37">
        <f>IF($K262="","",INDEX('سجل التحفيز'!$A$5:$A$2004,MATCH($K262,'سجل التحفيز'!$V$5:$V$2004,0)))</f>
        <v/>
      </c>
      <c r="M262" s="9">
        <f>IF($K262="","",INDEX('سجل التحفيز'!$B$5:$B$2004,MATCH($K262,'سجل التحفيز'!$V$5:$V$2004,0)))</f>
        <v/>
      </c>
      <c r="N262" s="9">
        <f>IF($K262="","",INDEX('سجل التحفيز'!$M$5:$M$2004,MATCH($K262,'سجل التحفيز'!$V$5:$V$2004,0)))</f>
        <v/>
      </c>
      <c r="O262" s="9">
        <f>IF($K262="","",INDEX('سجل التحفيز'!$C$5:$C$2004,MATCH($K262,'سجل التحفيز'!$V$5:$V$2004,0)))</f>
        <v/>
      </c>
      <c r="P262" s="36">
        <f>IF($K262="","",INDEX('سجل التحفيز'!$D$5:$D$2004,MATCH($K262,'سجل التحفيز'!$V$5:$V$2004,0)))</f>
        <v/>
      </c>
      <c r="Q262" s="9">
        <f>IF($K262="","",INDEX('سجل التحفيز'!$E$5:$E$2004,MATCH($K262,'سجل التحفيز'!$V$5:$V$2004,0)))</f>
        <v/>
      </c>
      <c r="R262" s="9">
        <f>IF($K262="","",INDEX('سجل التحفيز'!$F$5:$F$2004,MATCH($K262,'سجل التحفيز'!$V$5:$V$2004,0)))</f>
        <v/>
      </c>
      <c r="S262" s="35">
        <f>IF($K262="","",INDEX('سجل التحفيز'!$G$5:$G$2004,MATCH($K262,'سجل التحفيز'!$V$5:$V$2004,0)))</f>
        <v/>
      </c>
    </row>
    <row r="263">
      <c r="K263" s="36">
        <f>IF(210&gt;$B$10,"",210)</f>
        <v/>
      </c>
      <c r="L263" s="37">
        <f>IF($K263="","",INDEX('سجل التحفيز'!$A$5:$A$2004,MATCH($K263,'سجل التحفيز'!$V$5:$V$2004,0)))</f>
        <v/>
      </c>
      <c r="M263" s="9">
        <f>IF($K263="","",INDEX('سجل التحفيز'!$B$5:$B$2004,MATCH($K263,'سجل التحفيز'!$V$5:$V$2004,0)))</f>
        <v/>
      </c>
      <c r="N263" s="9">
        <f>IF($K263="","",INDEX('سجل التحفيز'!$M$5:$M$2004,MATCH($K263,'سجل التحفيز'!$V$5:$V$2004,0)))</f>
        <v/>
      </c>
      <c r="O263" s="9">
        <f>IF($K263="","",INDEX('سجل التحفيز'!$C$5:$C$2004,MATCH($K263,'سجل التحفيز'!$V$5:$V$2004,0)))</f>
        <v/>
      </c>
      <c r="P263" s="36">
        <f>IF($K263="","",INDEX('سجل التحفيز'!$D$5:$D$2004,MATCH($K263,'سجل التحفيز'!$V$5:$V$2004,0)))</f>
        <v/>
      </c>
      <c r="Q263" s="9">
        <f>IF($K263="","",INDEX('سجل التحفيز'!$E$5:$E$2004,MATCH($K263,'سجل التحفيز'!$V$5:$V$2004,0)))</f>
        <v/>
      </c>
      <c r="R263" s="9">
        <f>IF($K263="","",INDEX('سجل التحفيز'!$F$5:$F$2004,MATCH($K263,'سجل التحفيز'!$V$5:$V$2004,0)))</f>
        <v/>
      </c>
      <c r="S263" s="35">
        <f>IF($K263="","",INDEX('سجل التحفيز'!$G$5:$G$2004,MATCH($K263,'سجل التحفيز'!$V$5:$V$2004,0)))</f>
        <v/>
      </c>
    </row>
    <row r="264">
      <c r="K264" s="36">
        <f>IF(211&gt;$B$10,"",211)</f>
        <v/>
      </c>
      <c r="L264" s="37">
        <f>IF($K264="","",INDEX('سجل التحفيز'!$A$5:$A$2004,MATCH($K264,'سجل التحفيز'!$V$5:$V$2004,0)))</f>
        <v/>
      </c>
      <c r="M264" s="9">
        <f>IF($K264="","",INDEX('سجل التحفيز'!$B$5:$B$2004,MATCH($K264,'سجل التحفيز'!$V$5:$V$2004,0)))</f>
        <v/>
      </c>
      <c r="N264" s="9">
        <f>IF($K264="","",INDEX('سجل التحفيز'!$M$5:$M$2004,MATCH($K264,'سجل التحفيز'!$V$5:$V$2004,0)))</f>
        <v/>
      </c>
      <c r="O264" s="9">
        <f>IF($K264="","",INDEX('سجل التحفيز'!$C$5:$C$2004,MATCH($K264,'سجل التحفيز'!$V$5:$V$2004,0)))</f>
        <v/>
      </c>
      <c r="P264" s="36">
        <f>IF($K264="","",INDEX('سجل التحفيز'!$D$5:$D$2004,MATCH($K264,'سجل التحفيز'!$V$5:$V$2004,0)))</f>
        <v/>
      </c>
      <c r="Q264" s="9">
        <f>IF($K264="","",INDEX('سجل التحفيز'!$E$5:$E$2004,MATCH($K264,'سجل التحفيز'!$V$5:$V$2004,0)))</f>
        <v/>
      </c>
      <c r="R264" s="9">
        <f>IF($K264="","",INDEX('سجل التحفيز'!$F$5:$F$2004,MATCH($K264,'سجل التحفيز'!$V$5:$V$2004,0)))</f>
        <v/>
      </c>
      <c r="S264" s="35">
        <f>IF($K264="","",INDEX('سجل التحفيز'!$G$5:$G$2004,MATCH($K264,'سجل التحفيز'!$V$5:$V$2004,0)))</f>
        <v/>
      </c>
    </row>
    <row r="265">
      <c r="K265" s="36">
        <f>IF(212&gt;$B$10,"",212)</f>
        <v/>
      </c>
      <c r="L265" s="37">
        <f>IF($K265="","",INDEX('سجل التحفيز'!$A$5:$A$2004,MATCH($K265,'سجل التحفيز'!$V$5:$V$2004,0)))</f>
        <v/>
      </c>
      <c r="M265" s="9">
        <f>IF($K265="","",INDEX('سجل التحفيز'!$B$5:$B$2004,MATCH($K265,'سجل التحفيز'!$V$5:$V$2004,0)))</f>
        <v/>
      </c>
      <c r="N265" s="9">
        <f>IF($K265="","",INDEX('سجل التحفيز'!$M$5:$M$2004,MATCH($K265,'سجل التحفيز'!$V$5:$V$2004,0)))</f>
        <v/>
      </c>
      <c r="O265" s="9">
        <f>IF($K265="","",INDEX('سجل التحفيز'!$C$5:$C$2004,MATCH($K265,'سجل التحفيز'!$V$5:$V$2004,0)))</f>
        <v/>
      </c>
      <c r="P265" s="36">
        <f>IF($K265="","",INDEX('سجل التحفيز'!$D$5:$D$2004,MATCH($K265,'سجل التحفيز'!$V$5:$V$2004,0)))</f>
        <v/>
      </c>
      <c r="Q265" s="9">
        <f>IF($K265="","",INDEX('سجل التحفيز'!$E$5:$E$2004,MATCH($K265,'سجل التحفيز'!$V$5:$V$2004,0)))</f>
        <v/>
      </c>
      <c r="R265" s="9">
        <f>IF($K265="","",INDEX('سجل التحفيز'!$F$5:$F$2004,MATCH($K265,'سجل التحفيز'!$V$5:$V$2004,0)))</f>
        <v/>
      </c>
      <c r="S265" s="35">
        <f>IF($K265="","",INDEX('سجل التحفيز'!$G$5:$G$2004,MATCH($K265,'سجل التحفيز'!$V$5:$V$2004,0)))</f>
        <v/>
      </c>
    </row>
    <row r="266">
      <c r="K266" s="36">
        <f>IF(213&gt;$B$10,"",213)</f>
        <v/>
      </c>
      <c r="L266" s="37">
        <f>IF($K266="","",INDEX('سجل التحفيز'!$A$5:$A$2004,MATCH($K266,'سجل التحفيز'!$V$5:$V$2004,0)))</f>
        <v/>
      </c>
      <c r="M266" s="9">
        <f>IF($K266="","",INDEX('سجل التحفيز'!$B$5:$B$2004,MATCH($K266,'سجل التحفيز'!$V$5:$V$2004,0)))</f>
        <v/>
      </c>
      <c r="N266" s="9">
        <f>IF($K266="","",INDEX('سجل التحفيز'!$M$5:$M$2004,MATCH($K266,'سجل التحفيز'!$V$5:$V$2004,0)))</f>
        <v/>
      </c>
      <c r="O266" s="9">
        <f>IF($K266="","",INDEX('سجل التحفيز'!$C$5:$C$2004,MATCH($K266,'سجل التحفيز'!$V$5:$V$2004,0)))</f>
        <v/>
      </c>
      <c r="P266" s="36">
        <f>IF($K266="","",INDEX('سجل التحفيز'!$D$5:$D$2004,MATCH($K266,'سجل التحفيز'!$V$5:$V$2004,0)))</f>
        <v/>
      </c>
      <c r="Q266" s="9">
        <f>IF($K266="","",INDEX('سجل التحفيز'!$E$5:$E$2004,MATCH($K266,'سجل التحفيز'!$V$5:$V$2004,0)))</f>
        <v/>
      </c>
      <c r="R266" s="9">
        <f>IF($K266="","",INDEX('سجل التحفيز'!$F$5:$F$2004,MATCH($K266,'سجل التحفيز'!$V$5:$V$2004,0)))</f>
        <v/>
      </c>
      <c r="S266" s="35">
        <f>IF($K266="","",INDEX('سجل التحفيز'!$G$5:$G$2004,MATCH($K266,'سجل التحفيز'!$V$5:$V$2004,0)))</f>
        <v/>
      </c>
    </row>
    <row r="267">
      <c r="K267" s="36">
        <f>IF(214&gt;$B$10,"",214)</f>
        <v/>
      </c>
      <c r="L267" s="37">
        <f>IF($K267="","",INDEX('سجل التحفيز'!$A$5:$A$2004,MATCH($K267,'سجل التحفيز'!$V$5:$V$2004,0)))</f>
        <v/>
      </c>
      <c r="M267" s="9">
        <f>IF($K267="","",INDEX('سجل التحفيز'!$B$5:$B$2004,MATCH($K267,'سجل التحفيز'!$V$5:$V$2004,0)))</f>
        <v/>
      </c>
      <c r="N267" s="9">
        <f>IF($K267="","",INDEX('سجل التحفيز'!$M$5:$M$2004,MATCH($K267,'سجل التحفيز'!$V$5:$V$2004,0)))</f>
        <v/>
      </c>
      <c r="O267" s="9">
        <f>IF($K267="","",INDEX('سجل التحفيز'!$C$5:$C$2004,MATCH($K267,'سجل التحفيز'!$V$5:$V$2004,0)))</f>
        <v/>
      </c>
      <c r="P267" s="36">
        <f>IF($K267="","",INDEX('سجل التحفيز'!$D$5:$D$2004,MATCH($K267,'سجل التحفيز'!$V$5:$V$2004,0)))</f>
        <v/>
      </c>
      <c r="Q267" s="9">
        <f>IF($K267="","",INDEX('سجل التحفيز'!$E$5:$E$2004,MATCH($K267,'سجل التحفيز'!$V$5:$V$2004,0)))</f>
        <v/>
      </c>
      <c r="R267" s="9">
        <f>IF($K267="","",INDEX('سجل التحفيز'!$F$5:$F$2004,MATCH($K267,'سجل التحفيز'!$V$5:$V$2004,0)))</f>
        <v/>
      </c>
      <c r="S267" s="35">
        <f>IF($K267="","",INDEX('سجل التحفيز'!$G$5:$G$2004,MATCH($K267,'سجل التحفيز'!$V$5:$V$2004,0)))</f>
        <v/>
      </c>
    </row>
    <row r="268">
      <c r="K268" s="36">
        <f>IF(215&gt;$B$10,"",215)</f>
        <v/>
      </c>
      <c r="L268" s="37">
        <f>IF($K268="","",INDEX('سجل التحفيز'!$A$5:$A$2004,MATCH($K268,'سجل التحفيز'!$V$5:$V$2004,0)))</f>
        <v/>
      </c>
      <c r="M268" s="9">
        <f>IF($K268="","",INDEX('سجل التحفيز'!$B$5:$B$2004,MATCH($K268,'سجل التحفيز'!$V$5:$V$2004,0)))</f>
        <v/>
      </c>
      <c r="N268" s="9">
        <f>IF($K268="","",INDEX('سجل التحفيز'!$M$5:$M$2004,MATCH($K268,'سجل التحفيز'!$V$5:$V$2004,0)))</f>
        <v/>
      </c>
      <c r="O268" s="9">
        <f>IF($K268="","",INDEX('سجل التحفيز'!$C$5:$C$2004,MATCH($K268,'سجل التحفيز'!$V$5:$V$2004,0)))</f>
        <v/>
      </c>
      <c r="P268" s="36">
        <f>IF($K268="","",INDEX('سجل التحفيز'!$D$5:$D$2004,MATCH($K268,'سجل التحفيز'!$V$5:$V$2004,0)))</f>
        <v/>
      </c>
      <c r="Q268" s="9">
        <f>IF($K268="","",INDEX('سجل التحفيز'!$E$5:$E$2004,MATCH($K268,'سجل التحفيز'!$V$5:$V$2004,0)))</f>
        <v/>
      </c>
      <c r="R268" s="9">
        <f>IF($K268="","",INDEX('سجل التحفيز'!$F$5:$F$2004,MATCH($K268,'سجل التحفيز'!$V$5:$V$2004,0)))</f>
        <v/>
      </c>
      <c r="S268" s="35">
        <f>IF($K268="","",INDEX('سجل التحفيز'!$G$5:$G$2004,MATCH($K268,'سجل التحفيز'!$V$5:$V$2004,0)))</f>
        <v/>
      </c>
    </row>
    <row r="269">
      <c r="K269" s="36">
        <f>IF(216&gt;$B$10,"",216)</f>
        <v/>
      </c>
      <c r="L269" s="37">
        <f>IF($K269="","",INDEX('سجل التحفيز'!$A$5:$A$2004,MATCH($K269,'سجل التحفيز'!$V$5:$V$2004,0)))</f>
        <v/>
      </c>
      <c r="M269" s="9">
        <f>IF($K269="","",INDEX('سجل التحفيز'!$B$5:$B$2004,MATCH($K269,'سجل التحفيز'!$V$5:$V$2004,0)))</f>
        <v/>
      </c>
      <c r="N269" s="9">
        <f>IF($K269="","",INDEX('سجل التحفيز'!$M$5:$M$2004,MATCH($K269,'سجل التحفيز'!$V$5:$V$2004,0)))</f>
        <v/>
      </c>
      <c r="O269" s="9">
        <f>IF($K269="","",INDEX('سجل التحفيز'!$C$5:$C$2004,MATCH($K269,'سجل التحفيز'!$V$5:$V$2004,0)))</f>
        <v/>
      </c>
      <c r="P269" s="36">
        <f>IF($K269="","",INDEX('سجل التحفيز'!$D$5:$D$2004,MATCH($K269,'سجل التحفيز'!$V$5:$V$2004,0)))</f>
        <v/>
      </c>
      <c r="Q269" s="9">
        <f>IF($K269="","",INDEX('سجل التحفيز'!$E$5:$E$2004,MATCH($K269,'سجل التحفيز'!$V$5:$V$2004,0)))</f>
        <v/>
      </c>
      <c r="R269" s="9">
        <f>IF($K269="","",INDEX('سجل التحفيز'!$F$5:$F$2004,MATCH($K269,'سجل التحفيز'!$V$5:$V$2004,0)))</f>
        <v/>
      </c>
      <c r="S269" s="35">
        <f>IF($K269="","",INDEX('سجل التحفيز'!$G$5:$G$2004,MATCH($K269,'سجل التحفيز'!$V$5:$V$2004,0)))</f>
        <v/>
      </c>
    </row>
    <row r="270">
      <c r="K270" s="36">
        <f>IF(217&gt;$B$10,"",217)</f>
        <v/>
      </c>
      <c r="L270" s="37">
        <f>IF($K270="","",INDEX('سجل التحفيز'!$A$5:$A$2004,MATCH($K270,'سجل التحفيز'!$V$5:$V$2004,0)))</f>
        <v/>
      </c>
      <c r="M270" s="9">
        <f>IF($K270="","",INDEX('سجل التحفيز'!$B$5:$B$2004,MATCH($K270,'سجل التحفيز'!$V$5:$V$2004,0)))</f>
        <v/>
      </c>
      <c r="N270" s="9">
        <f>IF($K270="","",INDEX('سجل التحفيز'!$M$5:$M$2004,MATCH($K270,'سجل التحفيز'!$V$5:$V$2004,0)))</f>
        <v/>
      </c>
      <c r="O270" s="9">
        <f>IF($K270="","",INDEX('سجل التحفيز'!$C$5:$C$2004,MATCH($K270,'سجل التحفيز'!$V$5:$V$2004,0)))</f>
        <v/>
      </c>
      <c r="P270" s="36">
        <f>IF($K270="","",INDEX('سجل التحفيز'!$D$5:$D$2004,MATCH($K270,'سجل التحفيز'!$V$5:$V$2004,0)))</f>
        <v/>
      </c>
      <c r="Q270" s="9">
        <f>IF($K270="","",INDEX('سجل التحفيز'!$E$5:$E$2004,MATCH($K270,'سجل التحفيز'!$V$5:$V$2004,0)))</f>
        <v/>
      </c>
      <c r="R270" s="9">
        <f>IF($K270="","",INDEX('سجل التحفيز'!$F$5:$F$2004,MATCH($K270,'سجل التحفيز'!$V$5:$V$2004,0)))</f>
        <v/>
      </c>
      <c r="S270" s="35">
        <f>IF($K270="","",INDEX('سجل التحفيز'!$G$5:$G$2004,MATCH($K270,'سجل التحفيز'!$V$5:$V$2004,0)))</f>
        <v/>
      </c>
    </row>
    <row r="271">
      <c r="K271" s="36">
        <f>IF(218&gt;$B$10,"",218)</f>
        <v/>
      </c>
      <c r="L271" s="37">
        <f>IF($K271="","",INDEX('سجل التحفيز'!$A$5:$A$2004,MATCH($K271,'سجل التحفيز'!$V$5:$V$2004,0)))</f>
        <v/>
      </c>
      <c r="M271" s="9">
        <f>IF($K271="","",INDEX('سجل التحفيز'!$B$5:$B$2004,MATCH($K271,'سجل التحفيز'!$V$5:$V$2004,0)))</f>
        <v/>
      </c>
      <c r="N271" s="9">
        <f>IF($K271="","",INDEX('سجل التحفيز'!$M$5:$M$2004,MATCH($K271,'سجل التحفيز'!$V$5:$V$2004,0)))</f>
        <v/>
      </c>
      <c r="O271" s="9">
        <f>IF($K271="","",INDEX('سجل التحفيز'!$C$5:$C$2004,MATCH($K271,'سجل التحفيز'!$V$5:$V$2004,0)))</f>
        <v/>
      </c>
      <c r="P271" s="36">
        <f>IF($K271="","",INDEX('سجل التحفيز'!$D$5:$D$2004,MATCH($K271,'سجل التحفيز'!$V$5:$V$2004,0)))</f>
        <v/>
      </c>
      <c r="Q271" s="9">
        <f>IF($K271="","",INDEX('سجل التحفيز'!$E$5:$E$2004,MATCH($K271,'سجل التحفيز'!$V$5:$V$2004,0)))</f>
        <v/>
      </c>
      <c r="R271" s="9">
        <f>IF($K271="","",INDEX('سجل التحفيز'!$F$5:$F$2004,MATCH($K271,'سجل التحفيز'!$V$5:$V$2004,0)))</f>
        <v/>
      </c>
      <c r="S271" s="35">
        <f>IF($K271="","",INDEX('سجل التحفيز'!$G$5:$G$2004,MATCH($K271,'سجل التحفيز'!$V$5:$V$2004,0)))</f>
        <v/>
      </c>
    </row>
    <row r="272">
      <c r="K272" s="36">
        <f>IF(219&gt;$B$10,"",219)</f>
        <v/>
      </c>
      <c r="L272" s="37">
        <f>IF($K272="","",INDEX('سجل التحفيز'!$A$5:$A$2004,MATCH($K272,'سجل التحفيز'!$V$5:$V$2004,0)))</f>
        <v/>
      </c>
      <c r="M272" s="9">
        <f>IF($K272="","",INDEX('سجل التحفيز'!$B$5:$B$2004,MATCH($K272,'سجل التحفيز'!$V$5:$V$2004,0)))</f>
        <v/>
      </c>
      <c r="N272" s="9">
        <f>IF($K272="","",INDEX('سجل التحفيز'!$M$5:$M$2004,MATCH($K272,'سجل التحفيز'!$V$5:$V$2004,0)))</f>
        <v/>
      </c>
      <c r="O272" s="9">
        <f>IF($K272="","",INDEX('سجل التحفيز'!$C$5:$C$2004,MATCH($K272,'سجل التحفيز'!$V$5:$V$2004,0)))</f>
        <v/>
      </c>
      <c r="P272" s="36">
        <f>IF($K272="","",INDEX('سجل التحفيز'!$D$5:$D$2004,MATCH($K272,'سجل التحفيز'!$V$5:$V$2004,0)))</f>
        <v/>
      </c>
      <c r="Q272" s="9">
        <f>IF($K272="","",INDEX('سجل التحفيز'!$E$5:$E$2004,MATCH($K272,'سجل التحفيز'!$V$5:$V$2004,0)))</f>
        <v/>
      </c>
      <c r="R272" s="9">
        <f>IF($K272="","",INDEX('سجل التحفيز'!$F$5:$F$2004,MATCH($K272,'سجل التحفيز'!$V$5:$V$2004,0)))</f>
        <v/>
      </c>
      <c r="S272" s="35">
        <f>IF($K272="","",INDEX('سجل التحفيز'!$G$5:$G$2004,MATCH($K272,'سجل التحفيز'!$V$5:$V$2004,0)))</f>
        <v/>
      </c>
    </row>
    <row r="273">
      <c r="K273" s="36">
        <f>IF(220&gt;$B$10,"",220)</f>
        <v/>
      </c>
      <c r="L273" s="37">
        <f>IF($K273="","",INDEX('سجل التحفيز'!$A$5:$A$2004,MATCH($K273,'سجل التحفيز'!$V$5:$V$2004,0)))</f>
        <v/>
      </c>
      <c r="M273" s="9">
        <f>IF($K273="","",INDEX('سجل التحفيز'!$B$5:$B$2004,MATCH($K273,'سجل التحفيز'!$V$5:$V$2004,0)))</f>
        <v/>
      </c>
      <c r="N273" s="9">
        <f>IF($K273="","",INDEX('سجل التحفيز'!$M$5:$M$2004,MATCH($K273,'سجل التحفيز'!$V$5:$V$2004,0)))</f>
        <v/>
      </c>
      <c r="O273" s="9">
        <f>IF($K273="","",INDEX('سجل التحفيز'!$C$5:$C$2004,MATCH($K273,'سجل التحفيز'!$V$5:$V$2004,0)))</f>
        <v/>
      </c>
      <c r="P273" s="36">
        <f>IF($K273="","",INDEX('سجل التحفيز'!$D$5:$D$2004,MATCH($K273,'سجل التحفيز'!$V$5:$V$2004,0)))</f>
        <v/>
      </c>
      <c r="Q273" s="9">
        <f>IF($K273="","",INDEX('سجل التحفيز'!$E$5:$E$2004,MATCH($K273,'سجل التحفيز'!$V$5:$V$2004,0)))</f>
        <v/>
      </c>
      <c r="R273" s="9">
        <f>IF($K273="","",INDEX('سجل التحفيز'!$F$5:$F$2004,MATCH($K273,'سجل التحفيز'!$V$5:$V$2004,0)))</f>
        <v/>
      </c>
      <c r="S273" s="35">
        <f>IF($K273="","",INDEX('سجل التحفيز'!$G$5:$G$2004,MATCH($K273,'سجل التحفيز'!$V$5:$V$2004,0)))</f>
        <v/>
      </c>
    </row>
    <row r="274">
      <c r="K274" s="36">
        <f>IF(221&gt;$B$10,"",221)</f>
        <v/>
      </c>
      <c r="L274" s="37">
        <f>IF($K274="","",INDEX('سجل التحفيز'!$A$5:$A$2004,MATCH($K274,'سجل التحفيز'!$V$5:$V$2004,0)))</f>
        <v/>
      </c>
      <c r="M274" s="9">
        <f>IF($K274="","",INDEX('سجل التحفيز'!$B$5:$B$2004,MATCH($K274,'سجل التحفيز'!$V$5:$V$2004,0)))</f>
        <v/>
      </c>
      <c r="N274" s="9">
        <f>IF($K274="","",INDEX('سجل التحفيز'!$M$5:$M$2004,MATCH($K274,'سجل التحفيز'!$V$5:$V$2004,0)))</f>
        <v/>
      </c>
      <c r="O274" s="9">
        <f>IF($K274="","",INDEX('سجل التحفيز'!$C$5:$C$2004,MATCH($K274,'سجل التحفيز'!$V$5:$V$2004,0)))</f>
        <v/>
      </c>
      <c r="P274" s="36">
        <f>IF($K274="","",INDEX('سجل التحفيز'!$D$5:$D$2004,MATCH($K274,'سجل التحفيز'!$V$5:$V$2004,0)))</f>
        <v/>
      </c>
      <c r="Q274" s="9">
        <f>IF($K274="","",INDEX('سجل التحفيز'!$E$5:$E$2004,MATCH($K274,'سجل التحفيز'!$V$5:$V$2004,0)))</f>
        <v/>
      </c>
      <c r="R274" s="9">
        <f>IF($K274="","",INDEX('سجل التحفيز'!$F$5:$F$2004,MATCH($K274,'سجل التحفيز'!$V$5:$V$2004,0)))</f>
        <v/>
      </c>
      <c r="S274" s="35">
        <f>IF($K274="","",INDEX('سجل التحفيز'!$G$5:$G$2004,MATCH($K274,'سجل التحفيز'!$V$5:$V$2004,0)))</f>
        <v/>
      </c>
    </row>
    <row r="275">
      <c r="K275" s="36">
        <f>IF(222&gt;$B$10,"",222)</f>
        <v/>
      </c>
      <c r="L275" s="37">
        <f>IF($K275="","",INDEX('سجل التحفيز'!$A$5:$A$2004,MATCH($K275,'سجل التحفيز'!$V$5:$V$2004,0)))</f>
        <v/>
      </c>
      <c r="M275" s="9">
        <f>IF($K275="","",INDEX('سجل التحفيز'!$B$5:$B$2004,MATCH($K275,'سجل التحفيز'!$V$5:$V$2004,0)))</f>
        <v/>
      </c>
      <c r="N275" s="9">
        <f>IF($K275="","",INDEX('سجل التحفيز'!$M$5:$M$2004,MATCH($K275,'سجل التحفيز'!$V$5:$V$2004,0)))</f>
        <v/>
      </c>
      <c r="O275" s="9">
        <f>IF($K275="","",INDEX('سجل التحفيز'!$C$5:$C$2004,MATCH($K275,'سجل التحفيز'!$V$5:$V$2004,0)))</f>
        <v/>
      </c>
      <c r="P275" s="36">
        <f>IF($K275="","",INDEX('سجل التحفيز'!$D$5:$D$2004,MATCH($K275,'سجل التحفيز'!$V$5:$V$2004,0)))</f>
        <v/>
      </c>
      <c r="Q275" s="9">
        <f>IF($K275="","",INDEX('سجل التحفيز'!$E$5:$E$2004,MATCH($K275,'سجل التحفيز'!$V$5:$V$2004,0)))</f>
        <v/>
      </c>
      <c r="R275" s="9">
        <f>IF($K275="","",INDEX('سجل التحفيز'!$F$5:$F$2004,MATCH($K275,'سجل التحفيز'!$V$5:$V$2004,0)))</f>
        <v/>
      </c>
      <c r="S275" s="35">
        <f>IF($K275="","",INDEX('سجل التحفيز'!$G$5:$G$2004,MATCH($K275,'سجل التحفيز'!$V$5:$V$2004,0)))</f>
        <v/>
      </c>
    </row>
    <row r="276">
      <c r="K276" s="36">
        <f>IF(223&gt;$B$10,"",223)</f>
        <v/>
      </c>
      <c r="L276" s="37">
        <f>IF($K276="","",INDEX('سجل التحفيز'!$A$5:$A$2004,MATCH($K276,'سجل التحفيز'!$V$5:$V$2004,0)))</f>
        <v/>
      </c>
      <c r="M276" s="9">
        <f>IF($K276="","",INDEX('سجل التحفيز'!$B$5:$B$2004,MATCH($K276,'سجل التحفيز'!$V$5:$V$2004,0)))</f>
        <v/>
      </c>
      <c r="N276" s="9">
        <f>IF($K276="","",INDEX('سجل التحفيز'!$M$5:$M$2004,MATCH($K276,'سجل التحفيز'!$V$5:$V$2004,0)))</f>
        <v/>
      </c>
      <c r="O276" s="9">
        <f>IF($K276="","",INDEX('سجل التحفيز'!$C$5:$C$2004,MATCH($K276,'سجل التحفيز'!$V$5:$V$2004,0)))</f>
        <v/>
      </c>
      <c r="P276" s="36">
        <f>IF($K276="","",INDEX('سجل التحفيز'!$D$5:$D$2004,MATCH($K276,'سجل التحفيز'!$V$5:$V$2004,0)))</f>
        <v/>
      </c>
      <c r="Q276" s="9">
        <f>IF($K276="","",INDEX('سجل التحفيز'!$E$5:$E$2004,MATCH($K276,'سجل التحفيز'!$V$5:$V$2004,0)))</f>
        <v/>
      </c>
      <c r="R276" s="9">
        <f>IF($K276="","",INDEX('سجل التحفيز'!$F$5:$F$2004,MATCH($K276,'سجل التحفيز'!$V$5:$V$2004,0)))</f>
        <v/>
      </c>
      <c r="S276" s="35">
        <f>IF($K276="","",INDEX('سجل التحفيز'!$G$5:$G$2004,MATCH($K276,'سجل التحفيز'!$V$5:$V$2004,0)))</f>
        <v/>
      </c>
    </row>
    <row r="277">
      <c r="K277" s="36">
        <f>IF(224&gt;$B$10,"",224)</f>
        <v/>
      </c>
      <c r="L277" s="37">
        <f>IF($K277="","",INDEX('سجل التحفيز'!$A$5:$A$2004,MATCH($K277,'سجل التحفيز'!$V$5:$V$2004,0)))</f>
        <v/>
      </c>
      <c r="M277" s="9">
        <f>IF($K277="","",INDEX('سجل التحفيز'!$B$5:$B$2004,MATCH($K277,'سجل التحفيز'!$V$5:$V$2004,0)))</f>
        <v/>
      </c>
      <c r="N277" s="9">
        <f>IF($K277="","",INDEX('سجل التحفيز'!$M$5:$M$2004,MATCH($K277,'سجل التحفيز'!$V$5:$V$2004,0)))</f>
        <v/>
      </c>
      <c r="O277" s="9">
        <f>IF($K277="","",INDEX('سجل التحفيز'!$C$5:$C$2004,MATCH($K277,'سجل التحفيز'!$V$5:$V$2004,0)))</f>
        <v/>
      </c>
      <c r="P277" s="36">
        <f>IF($K277="","",INDEX('سجل التحفيز'!$D$5:$D$2004,MATCH($K277,'سجل التحفيز'!$V$5:$V$2004,0)))</f>
        <v/>
      </c>
      <c r="Q277" s="9">
        <f>IF($K277="","",INDEX('سجل التحفيز'!$E$5:$E$2004,MATCH($K277,'سجل التحفيز'!$V$5:$V$2004,0)))</f>
        <v/>
      </c>
      <c r="R277" s="9">
        <f>IF($K277="","",INDEX('سجل التحفيز'!$F$5:$F$2004,MATCH($K277,'سجل التحفيز'!$V$5:$V$2004,0)))</f>
        <v/>
      </c>
      <c r="S277" s="35">
        <f>IF($K277="","",INDEX('سجل التحفيز'!$G$5:$G$2004,MATCH($K277,'سجل التحفيز'!$V$5:$V$2004,0)))</f>
        <v/>
      </c>
    </row>
    <row r="278">
      <c r="K278" s="36">
        <f>IF(225&gt;$B$10,"",225)</f>
        <v/>
      </c>
      <c r="L278" s="37">
        <f>IF($K278="","",INDEX('سجل التحفيز'!$A$5:$A$2004,MATCH($K278,'سجل التحفيز'!$V$5:$V$2004,0)))</f>
        <v/>
      </c>
      <c r="M278" s="9">
        <f>IF($K278="","",INDEX('سجل التحفيز'!$B$5:$B$2004,MATCH($K278,'سجل التحفيز'!$V$5:$V$2004,0)))</f>
        <v/>
      </c>
      <c r="N278" s="9">
        <f>IF($K278="","",INDEX('سجل التحفيز'!$M$5:$M$2004,MATCH($K278,'سجل التحفيز'!$V$5:$V$2004,0)))</f>
        <v/>
      </c>
      <c r="O278" s="9">
        <f>IF($K278="","",INDEX('سجل التحفيز'!$C$5:$C$2004,MATCH($K278,'سجل التحفيز'!$V$5:$V$2004,0)))</f>
        <v/>
      </c>
      <c r="P278" s="36">
        <f>IF($K278="","",INDEX('سجل التحفيز'!$D$5:$D$2004,MATCH($K278,'سجل التحفيز'!$V$5:$V$2004,0)))</f>
        <v/>
      </c>
      <c r="Q278" s="9">
        <f>IF($K278="","",INDEX('سجل التحفيز'!$E$5:$E$2004,MATCH($K278,'سجل التحفيز'!$V$5:$V$2004,0)))</f>
        <v/>
      </c>
      <c r="R278" s="9">
        <f>IF($K278="","",INDEX('سجل التحفيز'!$F$5:$F$2004,MATCH($K278,'سجل التحفيز'!$V$5:$V$2004,0)))</f>
        <v/>
      </c>
      <c r="S278" s="35">
        <f>IF($K278="","",INDEX('سجل التحفيز'!$G$5:$G$2004,MATCH($K278,'سجل التحفيز'!$V$5:$V$2004,0)))</f>
        <v/>
      </c>
    </row>
    <row r="279">
      <c r="K279" s="36">
        <f>IF(226&gt;$B$10,"",226)</f>
        <v/>
      </c>
      <c r="L279" s="37">
        <f>IF($K279="","",INDEX('سجل التحفيز'!$A$5:$A$2004,MATCH($K279,'سجل التحفيز'!$V$5:$V$2004,0)))</f>
        <v/>
      </c>
      <c r="M279" s="9">
        <f>IF($K279="","",INDEX('سجل التحفيز'!$B$5:$B$2004,MATCH($K279,'سجل التحفيز'!$V$5:$V$2004,0)))</f>
        <v/>
      </c>
      <c r="N279" s="9">
        <f>IF($K279="","",INDEX('سجل التحفيز'!$M$5:$M$2004,MATCH($K279,'سجل التحفيز'!$V$5:$V$2004,0)))</f>
        <v/>
      </c>
      <c r="O279" s="9">
        <f>IF($K279="","",INDEX('سجل التحفيز'!$C$5:$C$2004,MATCH($K279,'سجل التحفيز'!$V$5:$V$2004,0)))</f>
        <v/>
      </c>
      <c r="P279" s="36">
        <f>IF($K279="","",INDEX('سجل التحفيز'!$D$5:$D$2004,MATCH($K279,'سجل التحفيز'!$V$5:$V$2004,0)))</f>
        <v/>
      </c>
      <c r="Q279" s="9">
        <f>IF($K279="","",INDEX('سجل التحفيز'!$E$5:$E$2004,MATCH($K279,'سجل التحفيز'!$V$5:$V$2004,0)))</f>
        <v/>
      </c>
      <c r="R279" s="9">
        <f>IF($K279="","",INDEX('سجل التحفيز'!$F$5:$F$2004,MATCH($K279,'سجل التحفيز'!$V$5:$V$2004,0)))</f>
        <v/>
      </c>
      <c r="S279" s="35">
        <f>IF($K279="","",INDEX('سجل التحفيز'!$G$5:$G$2004,MATCH($K279,'سجل التحفيز'!$V$5:$V$2004,0)))</f>
        <v/>
      </c>
    </row>
    <row r="280">
      <c r="K280" s="36">
        <f>IF(227&gt;$B$10,"",227)</f>
        <v/>
      </c>
      <c r="L280" s="37">
        <f>IF($K280="","",INDEX('سجل التحفيز'!$A$5:$A$2004,MATCH($K280,'سجل التحفيز'!$V$5:$V$2004,0)))</f>
        <v/>
      </c>
      <c r="M280" s="9">
        <f>IF($K280="","",INDEX('سجل التحفيز'!$B$5:$B$2004,MATCH($K280,'سجل التحفيز'!$V$5:$V$2004,0)))</f>
        <v/>
      </c>
      <c r="N280" s="9">
        <f>IF($K280="","",INDEX('سجل التحفيز'!$M$5:$M$2004,MATCH($K280,'سجل التحفيز'!$V$5:$V$2004,0)))</f>
        <v/>
      </c>
      <c r="O280" s="9">
        <f>IF($K280="","",INDEX('سجل التحفيز'!$C$5:$C$2004,MATCH($K280,'سجل التحفيز'!$V$5:$V$2004,0)))</f>
        <v/>
      </c>
      <c r="P280" s="36">
        <f>IF($K280="","",INDEX('سجل التحفيز'!$D$5:$D$2004,MATCH($K280,'سجل التحفيز'!$V$5:$V$2004,0)))</f>
        <v/>
      </c>
      <c r="Q280" s="9">
        <f>IF($K280="","",INDEX('سجل التحفيز'!$E$5:$E$2004,MATCH($K280,'سجل التحفيز'!$V$5:$V$2004,0)))</f>
        <v/>
      </c>
      <c r="R280" s="9">
        <f>IF($K280="","",INDEX('سجل التحفيز'!$F$5:$F$2004,MATCH($K280,'سجل التحفيز'!$V$5:$V$2004,0)))</f>
        <v/>
      </c>
      <c r="S280" s="35">
        <f>IF($K280="","",INDEX('سجل التحفيز'!$G$5:$G$2004,MATCH($K280,'سجل التحفيز'!$V$5:$V$2004,0)))</f>
        <v/>
      </c>
    </row>
    <row r="281">
      <c r="K281" s="36">
        <f>IF(228&gt;$B$10,"",228)</f>
        <v/>
      </c>
      <c r="L281" s="37">
        <f>IF($K281="","",INDEX('سجل التحفيز'!$A$5:$A$2004,MATCH($K281,'سجل التحفيز'!$V$5:$V$2004,0)))</f>
        <v/>
      </c>
      <c r="M281" s="9">
        <f>IF($K281="","",INDEX('سجل التحفيز'!$B$5:$B$2004,MATCH($K281,'سجل التحفيز'!$V$5:$V$2004,0)))</f>
        <v/>
      </c>
      <c r="N281" s="9">
        <f>IF($K281="","",INDEX('سجل التحفيز'!$M$5:$M$2004,MATCH($K281,'سجل التحفيز'!$V$5:$V$2004,0)))</f>
        <v/>
      </c>
      <c r="O281" s="9">
        <f>IF($K281="","",INDEX('سجل التحفيز'!$C$5:$C$2004,MATCH($K281,'سجل التحفيز'!$V$5:$V$2004,0)))</f>
        <v/>
      </c>
      <c r="P281" s="36">
        <f>IF($K281="","",INDEX('سجل التحفيز'!$D$5:$D$2004,MATCH($K281,'سجل التحفيز'!$V$5:$V$2004,0)))</f>
        <v/>
      </c>
      <c r="Q281" s="9">
        <f>IF($K281="","",INDEX('سجل التحفيز'!$E$5:$E$2004,MATCH($K281,'سجل التحفيز'!$V$5:$V$2004,0)))</f>
        <v/>
      </c>
      <c r="R281" s="9">
        <f>IF($K281="","",INDEX('سجل التحفيز'!$F$5:$F$2004,MATCH($K281,'سجل التحفيز'!$V$5:$V$2004,0)))</f>
        <v/>
      </c>
      <c r="S281" s="35">
        <f>IF($K281="","",INDEX('سجل التحفيز'!$G$5:$G$2004,MATCH($K281,'سجل التحفيز'!$V$5:$V$2004,0)))</f>
        <v/>
      </c>
    </row>
    <row r="282">
      <c r="K282" s="36">
        <f>IF(229&gt;$B$10,"",229)</f>
        <v/>
      </c>
      <c r="L282" s="37">
        <f>IF($K282="","",INDEX('سجل التحفيز'!$A$5:$A$2004,MATCH($K282,'سجل التحفيز'!$V$5:$V$2004,0)))</f>
        <v/>
      </c>
      <c r="M282" s="9">
        <f>IF($K282="","",INDEX('سجل التحفيز'!$B$5:$B$2004,MATCH($K282,'سجل التحفيز'!$V$5:$V$2004,0)))</f>
        <v/>
      </c>
      <c r="N282" s="9">
        <f>IF($K282="","",INDEX('سجل التحفيز'!$M$5:$M$2004,MATCH($K282,'سجل التحفيز'!$V$5:$V$2004,0)))</f>
        <v/>
      </c>
      <c r="O282" s="9">
        <f>IF($K282="","",INDEX('سجل التحفيز'!$C$5:$C$2004,MATCH($K282,'سجل التحفيز'!$V$5:$V$2004,0)))</f>
        <v/>
      </c>
      <c r="P282" s="36">
        <f>IF($K282="","",INDEX('سجل التحفيز'!$D$5:$D$2004,MATCH($K282,'سجل التحفيز'!$V$5:$V$2004,0)))</f>
        <v/>
      </c>
      <c r="Q282" s="9">
        <f>IF($K282="","",INDEX('سجل التحفيز'!$E$5:$E$2004,MATCH($K282,'سجل التحفيز'!$V$5:$V$2004,0)))</f>
        <v/>
      </c>
      <c r="R282" s="9">
        <f>IF($K282="","",INDEX('سجل التحفيز'!$F$5:$F$2004,MATCH($K282,'سجل التحفيز'!$V$5:$V$2004,0)))</f>
        <v/>
      </c>
      <c r="S282" s="35">
        <f>IF($K282="","",INDEX('سجل التحفيز'!$G$5:$G$2004,MATCH($K282,'سجل التحفيز'!$V$5:$V$2004,0)))</f>
        <v/>
      </c>
    </row>
    <row r="283">
      <c r="K283" s="36">
        <f>IF(230&gt;$B$10,"",230)</f>
        <v/>
      </c>
      <c r="L283" s="37">
        <f>IF($K283="","",INDEX('سجل التحفيز'!$A$5:$A$2004,MATCH($K283,'سجل التحفيز'!$V$5:$V$2004,0)))</f>
        <v/>
      </c>
      <c r="M283" s="9">
        <f>IF($K283="","",INDEX('سجل التحفيز'!$B$5:$B$2004,MATCH($K283,'سجل التحفيز'!$V$5:$V$2004,0)))</f>
        <v/>
      </c>
      <c r="N283" s="9">
        <f>IF($K283="","",INDEX('سجل التحفيز'!$M$5:$M$2004,MATCH($K283,'سجل التحفيز'!$V$5:$V$2004,0)))</f>
        <v/>
      </c>
      <c r="O283" s="9">
        <f>IF($K283="","",INDEX('سجل التحفيز'!$C$5:$C$2004,MATCH($K283,'سجل التحفيز'!$V$5:$V$2004,0)))</f>
        <v/>
      </c>
      <c r="P283" s="36">
        <f>IF($K283="","",INDEX('سجل التحفيز'!$D$5:$D$2004,MATCH($K283,'سجل التحفيز'!$V$5:$V$2004,0)))</f>
        <v/>
      </c>
      <c r="Q283" s="9">
        <f>IF($K283="","",INDEX('سجل التحفيز'!$E$5:$E$2004,MATCH($K283,'سجل التحفيز'!$V$5:$V$2004,0)))</f>
        <v/>
      </c>
      <c r="R283" s="9">
        <f>IF($K283="","",INDEX('سجل التحفيز'!$F$5:$F$2004,MATCH($K283,'سجل التحفيز'!$V$5:$V$2004,0)))</f>
        <v/>
      </c>
      <c r="S283" s="35">
        <f>IF($K283="","",INDEX('سجل التحفيز'!$G$5:$G$2004,MATCH($K283,'سجل التحفيز'!$V$5:$V$2004,0)))</f>
        <v/>
      </c>
    </row>
    <row r="284">
      <c r="K284" s="36">
        <f>IF(231&gt;$B$10,"",231)</f>
        <v/>
      </c>
      <c r="L284" s="37">
        <f>IF($K284="","",INDEX('سجل التحفيز'!$A$5:$A$2004,MATCH($K284,'سجل التحفيز'!$V$5:$V$2004,0)))</f>
        <v/>
      </c>
      <c r="M284" s="9">
        <f>IF($K284="","",INDEX('سجل التحفيز'!$B$5:$B$2004,MATCH($K284,'سجل التحفيز'!$V$5:$V$2004,0)))</f>
        <v/>
      </c>
      <c r="N284" s="9">
        <f>IF($K284="","",INDEX('سجل التحفيز'!$M$5:$M$2004,MATCH($K284,'سجل التحفيز'!$V$5:$V$2004,0)))</f>
        <v/>
      </c>
      <c r="O284" s="9">
        <f>IF($K284="","",INDEX('سجل التحفيز'!$C$5:$C$2004,MATCH($K284,'سجل التحفيز'!$V$5:$V$2004,0)))</f>
        <v/>
      </c>
      <c r="P284" s="36">
        <f>IF($K284="","",INDEX('سجل التحفيز'!$D$5:$D$2004,MATCH($K284,'سجل التحفيز'!$V$5:$V$2004,0)))</f>
        <v/>
      </c>
      <c r="Q284" s="9">
        <f>IF($K284="","",INDEX('سجل التحفيز'!$E$5:$E$2004,MATCH($K284,'سجل التحفيز'!$V$5:$V$2004,0)))</f>
        <v/>
      </c>
      <c r="R284" s="9">
        <f>IF($K284="","",INDEX('سجل التحفيز'!$F$5:$F$2004,MATCH($K284,'سجل التحفيز'!$V$5:$V$2004,0)))</f>
        <v/>
      </c>
      <c r="S284" s="35">
        <f>IF($K284="","",INDEX('سجل التحفيز'!$G$5:$G$2004,MATCH($K284,'سجل التحفيز'!$V$5:$V$2004,0)))</f>
        <v/>
      </c>
    </row>
    <row r="285">
      <c r="K285" s="36">
        <f>IF(232&gt;$B$10,"",232)</f>
        <v/>
      </c>
      <c r="L285" s="37">
        <f>IF($K285="","",INDEX('سجل التحفيز'!$A$5:$A$2004,MATCH($K285,'سجل التحفيز'!$V$5:$V$2004,0)))</f>
        <v/>
      </c>
      <c r="M285" s="9">
        <f>IF($K285="","",INDEX('سجل التحفيز'!$B$5:$B$2004,MATCH($K285,'سجل التحفيز'!$V$5:$V$2004,0)))</f>
        <v/>
      </c>
      <c r="N285" s="9">
        <f>IF($K285="","",INDEX('سجل التحفيز'!$M$5:$M$2004,MATCH($K285,'سجل التحفيز'!$V$5:$V$2004,0)))</f>
        <v/>
      </c>
      <c r="O285" s="9">
        <f>IF($K285="","",INDEX('سجل التحفيز'!$C$5:$C$2004,MATCH($K285,'سجل التحفيز'!$V$5:$V$2004,0)))</f>
        <v/>
      </c>
      <c r="P285" s="36">
        <f>IF($K285="","",INDEX('سجل التحفيز'!$D$5:$D$2004,MATCH($K285,'سجل التحفيز'!$V$5:$V$2004,0)))</f>
        <v/>
      </c>
      <c r="Q285" s="9">
        <f>IF($K285="","",INDEX('سجل التحفيز'!$E$5:$E$2004,MATCH($K285,'سجل التحفيز'!$V$5:$V$2004,0)))</f>
        <v/>
      </c>
      <c r="R285" s="9">
        <f>IF($K285="","",INDEX('سجل التحفيز'!$F$5:$F$2004,MATCH($K285,'سجل التحفيز'!$V$5:$V$2004,0)))</f>
        <v/>
      </c>
      <c r="S285" s="35">
        <f>IF($K285="","",INDEX('سجل التحفيز'!$G$5:$G$2004,MATCH($K285,'سجل التحفيز'!$V$5:$V$2004,0)))</f>
        <v/>
      </c>
    </row>
    <row r="286">
      <c r="K286" s="36">
        <f>IF(233&gt;$B$10,"",233)</f>
        <v/>
      </c>
      <c r="L286" s="37">
        <f>IF($K286="","",INDEX('سجل التحفيز'!$A$5:$A$2004,MATCH($K286,'سجل التحفيز'!$V$5:$V$2004,0)))</f>
        <v/>
      </c>
      <c r="M286" s="9">
        <f>IF($K286="","",INDEX('سجل التحفيز'!$B$5:$B$2004,MATCH($K286,'سجل التحفيز'!$V$5:$V$2004,0)))</f>
        <v/>
      </c>
      <c r="N286" s="9">
        <f>IF($K286="","",INDEX('سجل التحفيز'!$M$5:$M$2004,MATCH($K286,'سجل التحفيز'!$V$5:$V$2004,0)))</f>
        <v/>
      </c>
      <c r="O286" s="9">
        <f>IF($K286="","",INDEX('سجل التحفيز'!$C$5:$C$2004,MATCH($K286,'سجل التحفيز'!$V$5:$V$2004,0)))</f>
        <v/>
      </c>
      <c r="P286" s="36">
        <f>IF($K286="","",INDEX('سجل التحفيز'!$D$5:$D$2004,MATCH($K286,'سجل التحفيز'!$V$5:$V$2004,0)))</f>
        <v/>
      </c>
      <c r="Q286" s="9">
        <f>IF($K286="","",INDEX('سجل التحفيز'!$E$5:$E$2004,MATCH($K286,'سجل التحفيز'!$V$5:$V$2004,0)))</f>
        <v/>
      </c>
      <c r="R286" s="9">
        <f>IF($K286="","",INDEX('سجل التحفيز'!$F$5:$F$2004,MATCH($K286,'سجل التحفيز'!$V$5:$V$2004,0)))</f>
        <v/>
      </c>
      <c r="S286" s="35">
        <f>IF($K286="","",INDEX('سجل التحفيز'!$G$5:$G$2004,MATCH($K286,'سجل التحفيز'!$V$5:$V$2004,0)))</f>
        <v/>
      </c>
    </row>
    <row r="287">
      <c r="K287" s="36">
        <f>IF(234&gt;$B$10,"",234)</f>
        <v/>
      </c>
      <c r="L287" s="37">
        <f>IF($K287="","",INDEX('سجل التحفيز'!$A$5:$A$2004,MATCH($K287,'سجل التحفيز'!$V$5:$V$2004,0)))</f>
        <v/>
      </c>
      <c r="M287" s="9">
        <f>IF($K287="","",INDEX('سجل التحفيز'!$B$5:$B$2004,MATCH($K287,'سجل التحفيز'!$V$5:$V$2004,0)))</f>
        <v/>
      </c>
      <c r="N287" s="9">
        <f>IF($K287="","",INDEX('سجل التحفيز'!$M$5:$M$2004,MATCH($K287,'سجل التحفيز'!$V$5:$V$2004,0)))</f>
        <v/>
      </c>
      <c r="O287" s="9">
        <f>IF($K287="","",INDEX('سجل التحفيز'!$C$5:$C$2004,MATCH($K287,'سجل التحفيز'!$V$5:$V$2004,0)))</f>
        <v/>
      </c>
      <c r="P287" s="36">
        <f>IF($K287="","",INDEX('سجل التحفيز'!$D$5:$D$2004,MATCH($K287,'سجل التحفيز'!$V$5:$V$2004,0)))</f>
        <v/>
      </c>
      <c r="Q287" s="9">
        <f>IF($K287="","",INDEX('سجل التحفيز'!$E$5:$E$2004,MATCH($K287,'سجل التحفيز'!$V$5:$V$2004,0)))</f>
        <v/>
      </c>
      <c r="R287" s="9">
        <f>IF($K287="","",INDEX('سجل التحفيز'!$F$5:$F$2004,MATCH($K287,'سجل التحفيز'!$V$5:$V$2004,0)))</f>
        <v/>
      </c>
      <c r="S287" s="35">
        <f>IF($K287="","",INDEX('سجل التحفيز'!$G$5:$G$2004,MATCH($K287,'سجل التحفيز'!$V$5:$V$2004,0)))</f>
        <v/>
      </c>
    </row>
    <row r="288">
      <c r="K288" s="36">
        <f>IF(235&gt;$B$10,"",235)</f>
        <v/>
      </c>
      <c r="L288" s="37">
        <f>IF($K288="","",INDEX('سجل التحفيز'!$A$5:$A$2004,MATCH($K288,'سجل التحفيز'!$V$5:$V$2004,0)))</f>
        <v/>
      </c>
      <c r="M288" s="9">
        <f>IF($K288="","",INDEX('سجل التحفيز'!$B$5:$B$2004,MATCH($K288,'سجل التحفيز'!$V$5:$V$2004,0)))</f>
        <v/>
      </c>
      <c r="N288" s="9">
        <f>IF($K288="","",INDEX('سجل التحفيز'!$M$5:$M$2004,MATCH($K288,'سجل التحفيز'!$V$5:$V$2004,0)))</f>
        <v/>
      </c>
      <c r="O288" s="9">
        <f>IF($K288="","",INDEX('سجل التحفيز'!$C$5:$C$2004,MATCH($K288,'سجل التحفيز'!$V$5:$V$2004,0)))</f>
        <v/>
      </c>
      <c r="P288" s="36">
        <f>IF($K288="","",INDEX('سجل التحفيز'!$D$5:$D$2004,MATCH($K288,'سجل التحفيز'!$V$5:$V$2004,0)))</f>
        <v/>
      </c>
      <c r="Q288" s="9">
        <f>IF($K288="","",INDEX('سجل التحفيز'!$E$5:$E$2004,MATCH($K288,'سجل التحفيز'!$V$5:$V$2004,0)))</f>
        <v/>
      </c>
      <c r="R288" s="9">
        <f>IF($K288="","",INDEX('سجل التحفيز'!$F$5:$F$2004,MATCH($K288,'سجل التحفيز'!$V$5:$V$2004,0)))</f>
        <v/>
      </c>
      <c r="S288" s="35">
        <f>IF($K288="","",INDEX('سجل التحفيز'!$G$5:$G$2004,MATCH($K288,'سجل التحفيز'!$V$5:$V$2004,0)))</f>
        <v/>
      </c>
    </row>
    <row r="289">
      <c r="K289" s="36">
        <f>IF(236&gt;$B$10,"",236)</f>
        <v/>
      </c>
      <c r="L289" s="37">
        <f>IF($K289="","",INDEX('سجل التحفيز'!$A$5:$A$2004,MATCH($K289,'سجل التحفيز'!$V$5:$V$2004,0)))</f>
        <v/>
      </c>
      <c r="M289" s="9">
        <f>IF($K289="","",INDEX('سجل التحفيز'!$B$5:$B$2004,MATCH($K289,'سجل التحفيز'!$V$5:$V$2004,0)))</f>
        <v/>
      </c>
      <c r="N289" s="9">
        <f>IF($K289="","",INDEX('سجل التحفيز'!$M$5:$M$2004,MATCH($K289,'سجل التحفيز'!$V$5:$V$2004,0)))</f>
        <v/>
      </c>
      <c r="O289" s="9">
        <f>IF($K289="","",INDEX('سجل التحفيز'!$C$5:$C$2004,MATCH($K289,'سجل التحفيز'!$V$5:$V$2004,0)))</f>
        <v/>
      </c>
      <c r="P289" s="36">
        <f>IF($K289="","",INDEX('سجل التحفيز'!$D$5:$D$2004,MATCH($K289,'سجل التحفيز'!$V$5:$V$2004,0)))</f>
        <v/>
      </c>
      <c r="Q289" s="9">
        <f>IF($K289="","",INDEX('سجل التحفيز'!$E$5:$E$2004,MATCH($K289,'سجل التحفيز'!$V$5:$V$2004,0)))</f>
        <v/>
      </c>
      <c r="R289" s="9">
        <f>IF($K289="","",INDEX('سجل التحفيز'!$F$5:$F$2004,MATCH($K289,'سجل التحفيز'!$V$5:$V$2004,0)))</f>
        <v/>
      </c>
      <c r="S289" s="35">
        <f>IF($K289="","",INDEX('سجل التحفيز'!$G$5:$G$2004,MATCH($K289,'سجل التحفيز'!$V$5:$V$2004,0)))</f>
        <v/>
      </c>
    </row>
    <row r="290">
      <c r="K290" s="36">
        <f>IF(237&gt;$B$10,"",237)</f>
        <v/>
      </c>
      <c r="L290" s="37">
        <f>IF($K290="","",INDEX('سجل التحفيز'!$A$5:$A$2004,MATCH($K290,'سجل التحفيز'!$V$5:$V$2004,0)))</f>
        <v/>
      </c>
      <c r="M290" s="9">
        <f>IF($K290="","",INDEX('سجل التحفيز'!$B$5:$B$2004,MATCH($K290,'سجل التحفيز'!$V$5:$V$2004,0)))</f>
        <v/>
      </c>
      <c r="N290" s="9">
        <f>IF($K290="","",INDEX('سجل التحفيز'!$M$5:$M$2004,MATCH($K290,'سجل التحفيز'!$V$5:$V$2004,0)))</f>
        <v/>
      </c>
      <c r="O290" s="9">
        <f>IF($K290="","",INDEX('سجل التحفيز'!$C$5:$C$2004,MATCH($K290,'سجل التحفيز'!$V$5:$V$2004,0)))</f>
        <v/>
      </c>
      <c r="P290" s="36">
        <f>IF($K290="","",INDEX('سجل التحفيز'!$D$5:$D$2004,MATCH($K290,'سجل التحفيز'!$V$5:$V$2004,0)))</f>
        <v/>
      </c>
      <c r="Q290" s="9">
        <f>IF($K290="","",INDEX('سجل التحفيز'!$E$5:$E$2004,MATCH($K290,'سجل التحفيز'!$V$5:$V$2004,0)))</f>
        <v/>
      </c>
      <c r="R290" s="9">
        <f>IF($K290="","",INDEX('سجل التحفيز'!$F$5:$F$2004,MATCH($K290,'سجل التحفيز'!$V$5:$V$2004,0)))</f>
        <v/>
      </c>
      <c r="S290" s="35">
        <f>IF($K290="","",INDEX('سجل التحفيز'!$G$5:$G$2004,MATCH($K290,'سجل التحفيز'!$V$5:$V$2004,0)))</f>
        <v/>
      </c>
    </row>
    <row r="291">
      <c r="K291" s="36">
        <f>IF(238&gt;$B$10,"",238)</f>
        <v/>
      </c>
      <c r="L291" s="37">
        <f>IF($K291="","",INDEX('سجل التحفيز'!$A$5:$A$2004,MATCH($K291,'سجل التحفيز'!$V$5:$V$2004,0)))</f>
        <v/>
      </c>
      <c r="M291" s="9">
        <f>IF($K291="","",INDEX('سجل التحفيز'!$B$5:$B$2004,MATCH($K291,'سجل التحفيز'!$V$5:$V$2004,0)))</f>
        <v/>
      </c>
      <c r="N291" s="9">
        <f>IF($K291="","",INDEX('سجل التحفيز'!$M$5:$M$2004,MATCH($K291,'سجل التحفيز'!$V$5:$V$2004,0)))</f>
        <v/>
      </c>
      <c r="O291" s="9">
        <f>IF($K291="","",INDEX('سجل التحفيز'!$C$5:$C$2004,MATCH($K291,'سجل التحفيز'!$V$5:$V$2004,0)))</f>
        <v/>
      </c>
      <c r="P291" s="36">
        <f>IF($K291="","",INDEX('سجل التحفيز'!$D$5:$D$2004,MATCH($K291,'سجل التحفيز'!$V$5:$V$2004,0)))</f>
        <v/>
      </c>
      <c r="Q291" s="9">
        <f>IF($K291="","",INDEX('سجل التحفيز'!$E$5:$E$2004,MATCH($K291,'سجل التحفيز'!$V$5:$V$2004,0)))</f>
        <v/>
      </c>
      <c r="R291" s="9">
        <f>IF($K291="","",INDEX('سجل التحفيز'!$F$5:$F$2004,MATCH($K291,'سجل التحفيز'!$V$5:$V$2004,0)))</f>
        <v/>
      </c>
      <c r="S291" s="35">
        <f>IF($K291="","",INDEX('سجل التحفيز'!$G$5:$G$2004,MATCH($K291,'سجل التحفيز'!$V$5:$V$2004,0)))</f>
        <v/>
      </c>
    </row>
    <row r="292">
      <c r="K292" s="36">
        <f>IF(239&gt;$B$10,"",239)</f>
        <v/>
      </c>
      <c r="L292" s="37">
        <f>IF($K292="","",INDEX('سجل التحفيز'!$A$5:$A$2004,MATCH($K292,'سجل التحفيز'!$V$5:$V$2004,0)))</f>
        <v/>
      </c>
      <c r="M292" s="9">
        <f>IF($K292="","",INDEX('سجل التحفيز'!$B$5:$B$2004,MATCH($K292,'سجل التحفيز'!$V$5:$V$2004,0)))</f>
        <v/>
      </c>
      <c r="N292" s="9">
        <f>IF($K292="","",INDEX('سجل التحفيز'!$M$5:$M$2004,MATCH($K292,'سجل التحفيز'!$V$5:$V$2004,0)))</f>
        <v/>
      </c>
      <c r="O292" s="9">
        <f>IF($K292="","",INDEX('سجل التحفيز'!$C$5:$C$2004,MATCH($K292,'سجل التحفيز'!$V$5:$V$2004,0)))</f>
        <v/>
      </c>
      <c r="P292" s="36">
        <f>IF($K292="","",INDEX('سجل التحفيز'!$D$5:$D$2004,MATCH($K292,'سجل التحفيز'!$V$5:$V$2004,0)))</f>
        <v/>
      </c>
      <c r="Q292" s="9">
        <f>IF($K292="","",INDEX('سجل التحفيز'!$E$5:$E$2004,MATCH($K292,'سجل التحفيز'!$V$5:$V$2004,0)))</f>
        <v/>
      </c>
      <c r="R292" s="9">
        <f>IF($K292="","",INDEX('سجل التحفيز'!$F$5:$F$2004,MATCH($K292,'سجل التحفيز'!$V$5:$V$2004,0)))</f>
        <v/>
      </c>
      <c r="S292" s="35">
        <f>IF($K292="","",INDEX('سجل التحفيز'!$G$5:$G$2004,MATCH($K292,'سجل التحفيز'!$V$5:$V$2004,0)))</f>
        <v/>
      </c>
    </row>
    <row r="293">
      <c r="K293" s="36">
        <f>IF(240&gt;$B$10,"",240)</f>
        <v/>
      </c>
      <c r="L293" s="37">
        <f>IF($K293="","",INDEX('سجل التحفيز'!$A$5:$A$2004,MATCH($K293,'سجل التحفيز'!$V$5:$V$2004,0)))</f>
        <v/>
      </c>
      <c r="M293" s="9">
        <f>IF($K293="","",INDEX('سجل التحفيز'!$B$5:$B$2004,MATCH($K293,'سجل التحفيز'!$V$5:$V$2004,0)))</f>
        <v/>
      </c>
      <c r="N293" s="9">
        <f>IF($K293="","",INDEX('سجل التحفيز'!$M$5:$M$2004,MATCH($K293,'سجل التحفيز'!$V$5:$V$2004,0)))</f>
        <v/>
      </c>
      <c r="O293" s="9">
        <f>IF($K293="","",INDEX('سجل التحفيز'!$C$5:$C$2004,MATCH($K293,'سجل التحفيز'!$V$5:$V$2004,0)))</f>
        <v/>
      </c>
      <c r="P293" s="36">
        <f>IF($K293="","",INDEX('سجل التحفيز'!$D$5:$D$2004,MATCH($K293,'سجل التحفيز'!$V$5:$V$2004,0)))</f>
        <v/>
      </c>
      <c r="Q293" s="9">
        <f>IF($K293="","",INDEX('سجل التحفيز'!$E$5:$E$2004,MATCH($K293,'سجل التحفيز'!$V$5:$V$2004,0)))</f>
        <v/>
      </c>
      <c r="R293" s="9">
        <f>IF($K293="","",INDEX('سجل التحفيز'!$F$5:$F$2004,MATCH($K293,'سجل التحفيز'!$V$5:$V$2004,0)))</f>
        <v/>
      </c>
      <c r="S293" s="35">
        <f>IF($K293="","",INDEX('سجل التحفيز'!$G$5:$G$2004,MATCH($K293,'سجل التحفيز'!$V$5:$V$2004,0)))</f>
        <v/>
      </c>
    </row>
    <row r="294">
      <c r="K294" s="36">
        <f>IF(241&gt;$B$10,"",241)</f>
        <v/>
      </c>
      <c r="L294" s="37">
        <f>IF($K294="","",INDEX('سجل التحفيز'!$A$5:$A$2004,MATCH($K294,'سجل التحفيز'!$V$5:$V$2004,0)))</f>
        <v/>
      </c>
      <c r="M294" s="9">
        <f>IF($K294="","",INDEX('سجل التحفيز'!$B$5:$B$2004,MATCH($K294,'سجل التحفيز'!$V$5:$V$2004,0)))</f>
        <v/>
      </c>
      <c r="N294" s="9">
        <f>IF($K294="","",INDEX('سجل التحفيز'!$M$5:$M$2004,MATCH($K294,'سجل التحفيز'!$V$5:$V$2004,0)))</f>
        <v/>
      </c>
      <c r="O294" s="9">
        <f>IF($K294="","",INDEX('سجل التحفيز'!$C$5:$C$2004,MATCH($K294,'سجل التحفيز'!$V$5:$V$2004,0)))</f>
        <v/>
      </c>
      <c r="P294" s="36">
        <f>IF($K294="","",INDEX('سجل التحفيز'!$D$5:$D$2004,MATCH($K294,'سجل التحفيز'!$V$5:$V$2004,0)))</f>
        <v/>
      </c>
      <c r="Q294" s="9">
        <f>IF($K294="","",INDEX('سجل التحفيز'!$E$5:$E$2004,MATCH($K294,'سجل التحفيز'!$V$5:$V$2004,0)))</f>
        <v/>
      </c>
      <c r="R294" s="9">
        <f>IF($K294="","",INDEX('سجل التحفيز'!$F$5:$F$2004,MATCH($K294,'سجل التحفيز'!$V$5:$V$2004,0)))</f>
        <v/>
      </c>
      <c r="S294" s="35">
        <f>IF($K294="","",INDEX('سجل التحفيز'!$G$5:$G$2004,MATCH($K294,'سجل التحفيز'!$V$5:$V$2004,0)))</f>
        <v/>
      </c>
    </row>
    <row r="295">
      <c r="K295" s="36">
        <f>IF(242&gt;$B$10,"",242)</f>
        <v/>
      </c>
      <c r="L295" s="37">
        <f>IF($K295="","",INDEX('سجل التحفيز'!$A$5:$A$2004,MATCH($K295,'سجل التحفيز'!$V$5:$V$2004,0)))</f>
        <v/>
      </c>
      <c r="M295" s="9">
        <f>IF($K295="","",INDEX('سجل التحفيز'!$B$5:$B$2004,MATCH($K295,'سجل التحفيز'!$V$5:$V$2004,0)))</f>
        <v/>
      </c>
      <c r="N295" s="9">
        <f>IF($K295="","",INDEX('سجل التحفيز'!$M$5:$M$2004,MATCH($K295,'سجل التحفيز'!$V$5:$V$2004,0)))</f>
        <v/>
      </c>
      <c r="O295" s="9">
        <f>IF($K295="","",INDEX('سجل التحفيز'!$C$5:$C$2004,MATCH($K295,'سجل التحفيز'!$V$5:$V$2004,0)))</f>
        <v/>
      </c>
      <c r="P295" s="36">
        <f>IF($K295="","",INDEX('سجل التحفيز'!$D$5:$D$2004,MATCH($K295,'سجل التحفيز'!$V$5:$V$2004,0)))</f>
        <v/>
      </c>
      <c r="Q295" s="9">
        <f>IF($K295="","",INDEX('سجل التحفيز'!$E$5:$E$2004,MATCH($K295,'سجل التحفيز'!$V$5:$V$2004,0)))</f>
        <v/>
      </c>
      <c r="R295" s="9">
        <f>IF($K295="","",INDEX('سجل التحفيز'!$F$5:$F$2004,MATCH($K295,'سجل التحفيز'!$V$5:$V$2004,0)))</f>
        <v/>
      </c>
      <c r="S295" s="35">
        <f>IF($K295="","",INDEX('سجل التحفيز'!$G$5:$G$2004,MATCH($K295,'سجل التحفيز'!$V$5:$V$2004,0)))</f>
        <v/>
      </c>
    </row>
    <row r="296">
      <c r="K296" s="36">
        <f>IF(243&gt;$B$10,"",243)</f>
        <v/>
      </c>
      <c r="L296" s="37">
        <f>IF($K296="","",INDEX('سجل التحفيز'!$A$5:$A$2004,MATCH($K296,'سجل التحفيز'!$V$5:$V$2004,0)))</f>
        <v/>
      </c>
      <c r="M296" s="9">
        <f>IF($K296="","",INDEX('سجل التحفيز'!$B$5:$B$2004,MATCH($K296,'سجل التحفيز'!$V$5:$V$2004,0)))</f>
        <v/>
      </c>
      <c r="N296" s="9">
        <f>IF($K296="","",INDEX('سجل التحفيز'!$M$5:$M$2004,MATCH($K296,'سجل التحفيز'!$V$5:$V$2004,0)))</f>
        <v/>
      </c>
      <c r="O296" s="9">
        <f>IF($K296="","",INDEX('سجل التحفيز'!$C$5:$C$2004,MATCH($K296,'سجل التحفيز'!$V$5:$V$2004,0)))</f>
        <v/>
      </c>
      <c r="P296" s="36">
        <f>IF($K296="","",INDEX('سجل التحفيز'!$D$5:$D$2004,MATCH($K296,'سجل التحفيز'!$V$5:$V$2004,0)))</f>
        <v/>
      </c>
      <c r="Q296" s="9">
        <f>IF($K296="","",INDEX('سجل التحفيز'!$E$5:$E$2004,MATCH($K296,'سجل التحفيز'!$V$5:$V$2004,0)))</f>
        <v/>
      </c>
      <c r="R296" s="9">
        <f>IF($K296="","",INDEX('سجل التحفيز'!$F$5:$F$2004,MATCH($K296,'سجل التحفيز'!$V$5:$V$2004,0)))</f>
        <v/>
      </c>
      <c r="S296" s="35">
        <f>IF($K296="","",INDEX('سجل التحفيز'!$G$5:$G$2004,MATCH($K296,'سجل التحفيز'!$V$5:$V$2004,0)))</f>
        <v/>
      </c>
    </row>
    <row r="297">
      <c r="K297" s="36">
        <f>IF(244&gt;$B$10,"",244)</f>
        <v/>
      </c>
      <c r="L297" s="37">
        <f>IF($K297="","",INDEX('سجل التحفيز'!$A$5:$A$2004,MATCH($K297,'سجل التحفيز'!$V$5:$V$2004,0)))</f>
        <v/>
      </c>
      <c r="M297" s="9">
        <f>IF($K297="","",INDEX('سجل التحفيز'!$B$5:$B$2004,MATCH($K297,'سجل التحفيز'!$V$5:$V$2004,0)))</f>
        <v/>
      </c>
      <c r="N297" s="9">
        <f>IF($K297="","",INDEX('سجل التحفيز'!$M$5:$M$2004,MATCH($K297,'سجل التحفيز'!$V$5:$V$2004,0)))</f>
        <v/>
      </c>
      <c r="O297" s="9">
        <f>IF($K297="","",INDEX('سجل التحفيز'!$C$5:$C$2004,MATCH($K297,'سجل التحفيز'!$V$5:$V$2004,0)))</f>
        <v/>
      </c>
      <c r="P297" s="36">
        <f>IF($K297="","",INDEX('سجل التحفيز'!$D$5:$D$2004,MATCH($K297,'سجل التحفيز'!$V$5:$V$2004,0)))</f>
        <v/>
      </c>
      <c r="Q297" s="9">
        <f>IF($K297="","",INDEX('سجل التحفيز'!$E$5:$E$2004,MATCH($K297,'سجل التحفيز'!$V$5:$V$2004,0)))</f>
        <v/>
      </c>
      <c r="R297" s="9">
        <f>IF($K297="","",INDEX('سجل التحفيز'!$F$5:$F$2004,MATCH($K297,'سجل التحفيز'!$V$5:$V$2004,0)))</f>
        <v/>
      </c>
      <c r="S297" s="35">
        <f>IF($K297="","",INDEX('سجل التحفيز'!$G$5:$G$2004,MATCH($K297,'سجل التحفيز'!$V$5:$V$2004,0)))</f>
        <v/>
      </c>
    </row>
    <row r="298">
      <c r="K298" s="36">
        <f>IF(245&gt;$B$10,"",245)</f>
        <v/>
      </c>
      <c r="L298" s="37">
        <f>IF($K298="","",INDEX('سجل التحفيز'!$A$5:$A$2004,MATCH($K298,'سجل التحفيز'!$V$5:$V$2004,0)))</f>
        <v/>
      </c>
      <c r="M298" s="9">
        <f>IF($K298="","",INDEX('سجل التحفيز'!$B$5:$B$2004,MATCH($K298,'سجل التحفيز'!$V$5:$V$2004,0)))</f>
        <v/>
      </c>
      <c r="N298" s="9">
        <f>IF($K298="","",INDEX('سجل التحفيز'!$M$5:$M$2004,MATCH($K298,'سجل التحفيز'!$V$5:$V$2004,0)))</f>
        <v/>
      </c>
      <c r="O298" s="9">
        <f>IF($K298="","",INDEX('سجل التحفيز'!$C$5:$C$2004,MATCH($K298,'سجل التحفيز'!$V$5:$V$2004,0)))</f>
        <v/>
      </c>
      <c r="P298" s="36">
        <f>IF($K298="","",INDEX('سجل التحفيز'!$D$5:$D$2004,MATCH($K298,'سجل التحفيز'!$V$5:$V$2004,0)))</f>
        <v/>
      </c>
      <c r="Q298" s="9">
        <f>IF($K298="","",INDEX('سجل التحفيز'!$E$5:$E$2004,MATCH($K298,'سجل التحفيز'!$V$5:$V$2004,0)))</f>
        <v/>
      </c>
      <c r="R298" s="9">
        <f>IF($K298="","",INDEX('سجل التحفيز'!$F$5:$F$2004,MATCH($K298,'سجل التحفيز'!$V$5:$V$2004,0)))</f>
        <v/>
      </c>
      <c r="S298" s="35">
        <f>IF($K298="","",INDEX('سجل التحفيز'!$G$5:$G$2004,MATCH($K298,'سجل التحفيز'!$V$5:$V$2004,0)))</f>
        <v/>
      </c>
    </row>
    <row r="299">
      <c r="K299" s="36">
        <f>IF(246&gt;$B$10,"",246)</f>
        <v/>
      </c>
      <c r="L299" s="37">
        <f>IF($K299="","",INDEX('سجل التحفيز'!$A$5:$A$2004,MATCH($K299,'سجل التحفيز'!$V$5:$V$2004,0)))</f>
        <v/>
      </c>
      <c r="M299" s="9">
        <f>IF($K299="","",INDEX('سجل التحفيز'!$B$5:$B$2004,MATCH($K299,'سجل التحفيز'!$V$5:$V$2004,0)))</f>
        <v/>
      </c>
      <c r="N299" s="9">
        <f>IF($K299="","",INDEX('سجل التحفيز'!$M$5:$M$2004,MATCH($K299,'سجل التحفيز'!$V$5:$V$2004,0)))</f>
        <v/>
      </c>
      <c r="O299" s="9">
        <f>IF($K299="","",INDEX('سجل التحفيز'!$C$5:$C$2004,MATCH($K299,'سجل التحفيز'!$V$5:$V$2004,0)))</f>
        <v/>
      </c>
      <c r="P299" s="36">
        <f>IF($K299="","",INDEX('سجل التحفيز'!$D$5:$D$2004,MATCH($K299,'سجل التحفيز'!$V$5:$V$2004,0)))</f>
        <v/>
      </c>
      <c r="Q299" s="9">
        <f>IF($K299="","",INDEX('سجل التحفيز'!$E$5:$E$2004,MATCH($K299,'سجل التحفيز'!$V$5:$V$2004,0)))</f>
        <v/>
      </c>
      <c r="R299" s="9">
        <f>IF($K299="","",INDEX('سجل التحفيز'!$F$5:$F$2004,MATCH($K299,'سجل التحفيز'!$V$5:$V$2004,0)))</f>
        <v/>
      </c>
      <c r="S299" s="35">
        <f>IF($K299="","",INDEX('سجل التحفيز'!$G$5:$G$2004,MATCH($K299,'سجل التحفيز'!$V$5:$V$2004,0)))</f>
        <v/>
      </c>
    </row>
    <row r="300">
      <c r="K300" s="36">
        <f>IF(247&gt;$B$10,"",247)</f>
        <v/>
      </c>
      <c r="L300" s="37">
        <f>IF($K300="","",INDEX('سجل التحفيز'!$A$5:$A$2004,MATCH($K300,'سجل التحفيز'!$V$5:$V$2004,0)))</f>
        <v/>
      </c>
      <c r="M300" s="9">
        <f>IF($K300="","",INDEX('سجل التحفيز'!$B$5:$B$2004,MATCH($K300,'سجل التحفيز'!$V$5:$V$2004,0)))</f>
        <v/>
      </c>
      <c r="N300" s="9">
        <f>IF($K300="","",INDEX('سجل التحفيز'!$M$5:$M$2004,MATCH($K300,'سجل التحفيز'!$V$5:$V$2004,0)))</f>
        <v/>
      </c>
      <c r="O300" s="9">
        <f>IF($K300="","",INDEX('سجل التحفيز'!$C$5:$C$2004,MATCH($K300,'سجل التحفيز'!$V$5:$V$2004,0)))</f>
        <v/>
      </c>
      <c r="P300" s="36">
        <f>IF($K300="","",INDEX('سجل التحفيز'!$D$5:$D$2004,MATCH($K300,'سجل التحفيز'!$V$5:$V$2004,0)))</f>
        <v/>
      </c>
      <c r="Q300" s="9">
        <f>IF($K300="","",INDEX('سجل التحفيز'!$E$5:$E$2004,MATCH($K300,'سجل التحفيز'!$V$5:$V$2004,0)))</f>
        <v/>
      </c>
      <c r="R300" s="9">
        <f>IF($K300="","",INDEX('سجل التحفيز'!$F$5:$F$2004,MATCH($K300,'سجل التحفيز'!$V$5:$V$2004,0)))</f>
        <v/>
      </c>
      <c r="S300" s="35">
        <f>IF($K300="","",INDEX('سجل التحفيز'!$G$5:$G$2004,MATCH($K300,'سجل التحفيز'!$V$5:$V$2004,0)))</f>
        <v/>
      </c>
    </row>
    <row r="301">
      <c r="K301" s="36">
        <f>IF(248&gt;$B$10,"",248)</f>
        <v/>
      </c>
      <c r="L301" s="37">
        <f>IF($K301="","",INDEX('سجل التحفيز'!$A$5:$A$2004,MATCH($K301,'سجل التحفيز'!$V$5:$V$2004,0)))</f>
        <v/>
      </c>
      <c r="M301" s="9">
        <f>IF($K301="","",INDEX('سجل التحفيز'!$B$5:$B$2004,MATCH($K301,'سجل التحفيز'!$V$5:$V$2004,0)))</f>
        <v/>
      </c>
      <c r="N301" s="9">
        <f>IF($K301="","",INDEX('سجل التحفيز'!$M$5:$M$2004,MATCH($K301,'سجل التحفيز'!$V$5:$V$2004,0)))</f>
        <v/>
      </c>
      <c r="O301" s="9">
        <f>IF($K301="","",INDEX('سجل التحفيز'!$C$5:$C$2004,MATCH($K301,'سجل التحفيز'!$V$5:$V$2004,0)))</f>
        <v/>
      </c>
      <c r="P301" s="36">
        <f>IF($K301="","",INDEX('سجل التحفيز'!$D$5:$D$2004,MATCH($K301,'سجل التحفيز'!$V$5:$V$2004,0)))</f>
        <v/>
      </c>
      <c r="Q301" s="9">
        <f>IF($K301="","",INDEX('سجل التحفيز'!$E$5:$E$2004,MATCH($K301,'سجل التحفيز'!$V$5:$V$2004,0)))</f>
        <v/>
      </c>
      <c r="R301" s="9">
        <f>IF($K301="","",INDEX('سجل التحفيز'!$F$5:$F$2004,MATCH($K301,'سجل التحفيز'!$V$5:$V$2004,0)))</f>
        <v/>
      </c>
      <c r="S301" s="35">
        <f>IF($K301="","",INDEX('سجل التحفيز'!$G$5:$G$2004,MATCH($K301,'سجل التحفيز'!$V$5:$V$2004,0)))</f>
        <v/>
      </c>
    </row>
    <row r="302">
      <c r="K302" s="36">
        <f>IF(249&gt;$B$10,"",249)</f>
        <v/>
      </c>
      <c r="L302" s="37">
        <f>IF($K302="","",INDEX('سجل التحفيز'!$A$5:$A$2004,MATCH($K302,'سجل التحفيز'!$V$5:$V$2004,0)))</f>
        <v/>
      </c>
      <c r="M302" s="9">
        <f>IF($K302="","",INDEX('سجل التحفيز'!$B$5:$B$2004,MATCH($K302,'سجل التحفيز'!$V$5:$V$2004,0)))</f>
        <v/>
      </c>
      <c r="N302" s="9">
        <f>IF($K302="","",INDEX('سجل التحفيز'!$M$5:$M$2004,MATCH($K302,'سجل التحفيز'!$V$5:$V$2004,0)))</f>
        <v/>
      </c>
      <c r="O302" s="9">
        <f>IF($K302="","",INDEX('سجل التحفيز'!$C$5:$C$2004,MATCH($K302,'سجل التحفيز'!$V$5:$V$2004,0)))</f>
        <v/>
      </c>
      <c r="P302" s="36">
        <f>IF($K302="","",INDEX('سجل التحفيز'!$D$5:$D$2004,MATCH($K302,'سجل التحفيز'!$V$5:$V$2004,0)))</f>
        <v/>
      </c>
      <c r="Q302" s="9">
        <f>IF($K302="","",INDEX('سجل التحفيز'!$E$5:$E$2004,MATCH($K302,'سجل التحفيز'!$V$5:$V$2004,0)))</f>
        <v/>
      </c>
      <c r="R302" s="9">
        <f>IF($K302="","",INDEX('سجل التحفيز'!$F$5:$F$2004,MATCH($K302,'سجل التحفيز'!$V$5:$V$2004,0)))</f>
        <v/>
      </c>
      <c r="S302" s="35">
        <f>IF($K302="","",INDEX('سجل التحفيز'!$G$5:$G$2004,MATCH($K302,'سجل التحفيز'!$V$5:$V$2004,0)))</f>
        <v/>
      </c>
    </row>
    <row r="303">
      <c r="K303" s="36">
        <f>IF(250&gt;$B$10,"",250)</f>
        <v/>
      </c>
      <c r="L303" s="37">
        <f>IF($K303="","",INDEX('سجل التحفيز'!$A$5:$A$2004,MATCH($K303,'سجل التحفيز'!$V$5:$V$2004,0)))</f>
        <v/>
      </c>
      <c r="M303" s="9">
        <f>IF($K303="","",INDEX('سجل التحفيز'!$B$5:$B$2004,MATCH($K303,'سجل التحفيز'!$V$5:$V$2004,0)))</f>
        <v/>
      </c>
      <c r="N303" s="9">
        <f>IF($K303="","",INDEX('سجل التحفيز'!$M$5:$M$2004,MATCH($K303,'سجل التحفيز'!$V$5:$V$2004,0)))</f>
        <v/>
      </c>
      <c r="O303" s="9">
        <f>IF($K303="","",INDEX('سجل التحفيز'!$C$5:$C$2004,MATCH($K303,'سجل التحفيز'!$V$5:$V$2004,0)))</f>
        <v/>
      </c>
      <c r="P303" s="36">
        <f>IF($K303="","",INDEX('سجل التحفيز'!$D$5:$D$2004,MATCH($K303,'سجل التحفيز'!$V$5:$V$2004,0)))</f>
        <v/>
      </c>
      <c r="Q303" s="9">
        <f>IF($K303="","",INDEX('سجل التحفيز'!$E$5:$E$2004,MATCH($K303,'سجل التحفيز'!$V$5:$V$2004,0)))</f>
        <v/>
      </c>
      <c r="R303" s="9">
        <f>IF($K303="","",INDEX('سجل التحفيز'!$F$5:$F$2004,MATCH($K303,'سجل التحفيز'!$V$5:$V$2004,0)))</f>
        <v/>
      </c>
      <c r="S303" s="35">
        <f>IF($K303="","",INDEX('سجل التحفيز'!$G$5:$G$2004,MATCH($K303,'سجل التحفيز'!$V$5:$V$2004,0)))</f>
        <v/>
      </c>
    </row>
    <row r="304">
      <c r="K304" s="36">
        <f>IF(251&gt;$B$10,"",251)</f>
        <v/>
      </c>
      <c r="L304" s="37">
        <f>IF($K304="","",INDEX('سجل التحفيز'!$A$5:$A$2004,MATCH($K304,'سجل التحفيز'!$V$5:$V$2004,0)))</f>
        <v/>
      </c>
      <c r="M304" s="9">
        <f>IF($K304="","",INDEX('سجل التحفيز'!$B$5:$B$2004,MATCH($K304,'سجل التحفيز'!$V$5:$V$2004,0)))</f>
        <v/>
      </c>
      <c r="N304" s="9">
        <f>IF($K304="","",INDEX('سجل التحفيز'!$M$5:$M$2004,MATCH($K304,'سجل التحفيز'!$V$5:$V$2004,0)))</f>
        <v/>
      </c>
      <c r="O304" s="9">
        <f>IF($K304="","",INDEX('سجل التحفيز'!$C$5:$C$2004,MATCH($K304,'سجل التحفيز'!$V$5:$V$2004,0)))</f>
        <v/>
      </c>
      <c r="P304" s="36">
        <f>IF($K304="","",INDEX('سجل التحفيز'!$D$5:$D$2004,MATCH($K304,'سجل التحفيز'!$V$5:$V$2004,0)))</f>
        <v/>
      </c>
      <c r="Q304" s="9">
        <f>IF($K304="","",INDEX('سجل التحفيز'!$E$5:$E$2004,MATCH($K304,'سجل التحفيز'!$V$5:$V$2004,0)))</f>
        <v/>
      </c>
      <c r="R304" s="9">
        <f>IF($K304="","",INDEX('سجل التحفيز'!$F$5:$F$2004,MATCH($K304,'سجل التحفيز'!$V$5:$V$2004,0)))</f>
        <v/>
      </c>
      <c r="S304" s="35">
        <f>IF($K304="","",INDEX('سجل التحفيز'!$G$5:$G$2004,MATCH($K304,'سجل التحفيز'!$V$5:$V$2004,0)))</f>
        <v/>
      </c>
    </row>
    <row r="305">
      <c r="K305" s="36">
        <f>IF(252&gt;$B$10,"",252)</f>
        <v/>
      </c>
      <c r="L305" s="37">
        <f>IF($K305="","",INDEX('سجل التحفيز'!$A$5:$A$2004,MATCH($K305,'سجل التحفيز'!$V$5:$V$2004,0)))</f>
        <v/>
      </c>
      <c r="M305" s="9">
        <f>IF($K305="","",INDEX('سجل التحفيز'!$B$5:$B$2004,MATCH($K305,'سجل التحفيز'!$V$5:$V$2004,0)))</f>
        <v/>
      </c>
      <c r="N305" s="9">
        <f>IF($K305="","",INDEX('سجل التحفيز'!$M$5:$M$2004,MATCH($K305,'سجل التحفيز'!$V$5:$V$2004,0)))</f>
        <v/>
      </c>
      <c r="O305" s="9">
        <f>IF($K305="","",INDEX('سجل التحفيز'!$C$5:$C$2004,MATCH($K305,'سجل التحفيز'!$V$5:$V$2004,0)))</f>
        <v/>
      </c>
      <c r="P305" s="36">
        <f>IF($K305="","",INDEX('سجل التحفيز'!$D$5:$D$2004,MATCH($K305,'سجل التحفيز'!$V$5:$V$2004,0)))</f>
        <v/>
      </c>
      <c r="Q305" s="9">
        <f>IF($K305="","",INDEX('سجل التحفيز'!$E$5:$E$2004,MATCH($K305,'سجل التحفيز'!$V$5:$V$2004,0)))</f>
        <v/>
      </c>
      <c r="R305" s="9">
        <f>IF($K305="","",INDEX('سجل التحفيز'!$F$5:$F$2004,MATCH($K305,'سجل التحفيز'!$V$5:$V$2004,0)))</f>
        <v/>
      </c>
      <c r="S305" s="35">
        <f>IF($K305="","",INDEX('سجل التحفيز'!$G$5:$G$2004,MATCH($K305,'سجل التحفيز'!$V$5:$V$2004,0)))</f>
        <v/>
      </c>
    </row>
    <row r="306">
      <c r="K306" s="36">
        <f>IF(253&gt;$B$10,"",253)</f>
        <v/>
      </c>
      <c r="L306" s="37">
        <f>IF($K306="","",INDEX('سجل التحفيز'!$A$5:$A$2004,MATCH($K306,'سجل التحفيز'!$V$5:$V$2004,0)))</f>
        <v/>
      </c>
      <c r="M306" s="9">
        <f>IF($K306="","",INDEX('سجل التحفيز'!$B$5:$B$2004,MATCH($K306,'سجل التحفيز'!$V$5:$V$2004,0)))</f>
        <v/>
      </c>
      <c r="N306" s="9">
        <f>IF($K306="","",INDEX('سجل التحفيز'!$M$5:$M$2004,MATCH($K306,'سجل التحفيز'!$V$5:$V$2004,0)))</f>
        <v/>
      </c>
      <c r="O306" s="9">
        <f>IF($K306="","",INDEX('سجل التحفيز'!$C$5:$C$2004,MATCH($K306,'سجل التحفيز'!$V$5:$V$2004,0)))</f>
        <v/>
      </c>
      <c r="P306" s="36">
        <f>IF($K306="","",INDEX('سجل التحفيز'!$D$5:$D$2004,MATCH($K306,'سجل التحفيز'!$V$5:$V$2004,0)))</f>
        <v/>
      </c>
      <c r="Q306" s="9">
        <f>IF($K306="","",INDEX('سجل التحفيز'!$E$5:$E$2004,MATCH($K306,'سجل التحفيز'!$V$5:$V$2004,0)))</f>
        <v/>
      </c>
      <c r="R306" s="9">
        <f>IF($K306="","",INDEX('سجل التحفيز'!$F$5:$F$2004,MATCH($K306,'سجل التحفيز'!$V$5:$V$2004,0)))</f>
        <v/>
      </c>
      <c r="S306" s="35">
        <f>IF($K306="","",INDEX('سجل التحفيز'!$G$5:$G$2004,MATCH($K306,'سجل التحفيز'!$V$5:$V$2004,0)))</f>
        <v/>
      </c>
    </row>
    <row r="307">
      <c r="K307" s="36">
        <f>IF(254&gt;$B$10,"",254)</f>
        <v/>
      </c>
      <c r="L307" s="37">
        <f>IF($K307="","",INDEX('سجل التحفيز'!$A$5:$A$2004,MATCH($K307,'سجل التحفيز'!$V$5:$V$2004,0)))</f>
        <v/>
      </c>
      <c r="M307" s="9">
        <f>IF($K307="","",INDEX('سجل التحفيز'!$B$5:$B$2004,MATCH($K307,'سجل التحفيز'!$V$5:$V$2004,0)))</f>
        <v/>
      </c>
      <c r="N307" s="9">
        <f>IF($K307="","",INDEX('سجل التحفيز'!$M$5:$M$2004,MATCH($K307,'سجل التحفيز'!$V$5:$V$2004,0)))</f>
        <v/>
      </c>
      <c r="O307" s="9">
        <f>IF($K307="","",INDEX('سجل التحفيز'!$C$5:$C$2004,MATCH($K307,'سجل التحفيز'!$V$5:$V$2004,0)))</f>
        <v/>
      </c>
      <c r="P307" s="36">
        <f>IF($K307="","",INDEX('سجل التحفيز'!$D$5:$D$2004,MATCH($K307,'سجل التحفيز'!$V$5:$V$2004,0)))</f>
        <v/>
      </c>
      <c r="Q307" s="9">
        <f>IF($K307="","",INDEX('سجل التحفيز'!$E$5:$E$2004,MATCH($K307,'سجل التحفيز'!$V$5:$V$2004,0)))</f>
        <v/>
      </c>
      <c r="R307" s="9">
        <f>IF($K307="","",INDEX('سجل التحفيز'!$F$5:$F$2004,MATCH($K307,'سجل التحفيز'!$V$5:$V$2004,0)))</f>
        <v/>
      </c>
      <c r="S307" s="35">
        <f>IF($K307="","",INDEX('سجل التحفيز'!$G$5:$G$2004,MATCH($K307,'سجل التحفيز'!$V$5:$V$2004,0)))</f>
        <v/>
      </c>
    </row>
    <row r="308">
      <c r="K308" s="36">
        <f>IF(255&gt;$B$10,"",255)</f>
        <v/>
      </c>
      <c r="L308" s="37">
        <f>IF($K308="","",INDEX('سجل التحفيز'!$A$5:$A$2004,MATCH($K308,'سجل التحفيز'!$V$5:$V$2004,0)))</f>
        <v/>
      </c>
      <c r="M308" s="9">
        <f>IF($K308="","",INDEX('سجل التحفيز'!$B$5:$B$2004,MATCH($K308,'سجل التحفيز'!$V$5:$V$2004,0)))</f>
        <v/>
      </c>
      <c r="N308" s="9">
        <f>IF($K308="","",INDEX('سجل التحفيز'!$M$5:$M$2004,MATCH($K308,'سجل التحفيز'!$V$5:$V$2004,0)))</f>
        <v/>
      </c>
      <c r="O308" s="9">
        <f>IF($K308="","",INDEX('سجل التحفيز'!$C$5:$C$2004,MATCH($K308,'سجل التحفيز'!$V$5:$V$2004,0)))</f>
        <v/>
      </c>
      <c r="P308" s="36">
        <f>IF($K308="","",INDEX('سجل التحفيز'!$D$5:$D$2004,MATCH($K308,'سجل التحفيز'!$V$5:$V$2004,0)))</f>
        <v/>
      </c>
      <c r="Q308" s="9">
        <f>IF($K308="","",INDEX('سجل التحفيز'!$E$5:$E$2004,MATCH($K308,'سجل التحفيز'!$V$5:$V$2004,0)))</f>
        <v/>
      </c>
      <c r="R308" s="9">
        <f>IF($K308="","",INDEX('سجل التحفيز'!$F$5:$F$2004,MATCH($K308,'سجل التحفيز'!$V$5:$V$2004,0)))</f>
        <v/>
      </c>
      <c r="S308" s="35">
        <f>IF($K308="","",INDEX('سجل التحفيز'!$G$5:$G$2004,MATCH($K308,'سجل التحفيز'!$V$5:$V$2004,0)))</f>
        <v/>
      </c>
    </row>
    <row r="309">
      <c r="K309" s="36">
        <f>IF(256&gt;$B$10,"",256)</f>
        <v/>
      </c>
      <c r="L309" s="37">
        <f>IF($K309="","",INDEX('سجل التحفيز'!$A$5:$A$2004,MATCH($K309,'سجل التحفيز'!$V$5:$V$2004,0)))</f>
        <v/>
      </c>
      <c r="M309" s="9">
        <f>IF($K309="","",INDEX('سجل التحفيز'!$B$5:$B$2004,MATCH($K309,'سجل التحفيز'!$V$5:$V$2004,0)))</f>
        <v/>
      </c>
      <c r="N309" s="9">
        <f>IF($K309="","",INDEX('سجل التحفيز'!$M$5:$M$2004,MATCH($K309,'سجل التحفيز'!$V$5:$V$2004,0)))</f>
        <v/>
      </c>
      <c r="O309" s="9">
        <f>IF($K309="","",INDEX('سجل التحفيز'!$C$5:$C$2004,MATCH($K309,'سجل التحفيز'!$V$5:$V$2004,0)))</f>
        <v/>
      </c>
      <c r="P309" s="36">
        <f>IF($K309="","",INDEX('سجل التحفيز'!$D$5:$D$2004,MATCH($K309,'سجل التحفيز'!$V$5:$V$2004,0)))</f>
        <v/>
      </c>
      <c r="Q309" s="9">
        <f>IF($K309="","",INDEX('سجل التحفيز'!$E$5:$E$2004,MATCH($K309,'سجل التحفيز'!$V$5:$V$2004,0)))</f>
        <v/>
      </c>
      <c r="R309" s="9">
        <f>IF($K309="","",INDEX('سجل التحفيز'!$F$5:$F$2004,MATCH($K309,'سجل التحفيز'!$V$5:$V$2004,0)))</f>
        <v/>
      </c>
      <c r="S309" s="35">
        <f>IF($K309="","",INDEX('سجل التحفيز'!$G$5:$G$2004,MATCH($K309,'سجل التحفيز'!$V$5:$V$2004,0)))</f>
        <v/>
      </c>
    </row>
    <row r="310">
      <c r="K310" s="36">
        <f>IF(257&gt;$B$10,"",257)</f>
        <v/>
      </c>
      <c r="L310" s="37">
        <f>IF($K310="","",INDEX('سجل التحفيز'!$A$5:$A$2004,MATCH($K310,'سجل التحفيز'!$V$5:$V$2004,0)))</f>
        <v/>
      </c>
      <c r="M310" s="9">
        <f>IF($K310="","",INDEX('سجل التحفيز'!$B$5:$B$2004,MATCH($K310,'سجل التحفيز'!$V$5:$V$2004,0)))</f>
        <v/>
      </c>
      <c r="N310" s="9">
        <f>IF($K310="","",INDEX('سجل التحفيز'!$M$5:$M$2004,MATCH($K310,'سجل التحفيز'!$V$5:$V$2004,0)))</f>
        <v/>
      </c>
      <c r="O310" s="9">
        <f>IF($K310="","",INDEX('سجل التحفيز'!$C$5:$C$2004,MATCH($K310,'سجل التحفيز'!$V$5:$V$2004,0)))</f>
        <v/>
      </c>
      <c r="P310" s="36">
        <f>IF($K310="","",INDEX('سجل التحفيز'!$D$5:$D$2004,MATCH($K310,'سجل التحفيز'!$V$5:$V$2004,0)))</f>
        <v/>
      </c>
      <c r="Q310" s="9">
        <f>IF($K310="","",INDEX('سجل التحفيز'!$E$5:$E$2004,MATCH($K310,'سجل التحفيز'!$V$5:$V$2004,0)))</f>
        <v/>
      </c>
      <c r="R310" s="9">
        <f>IF($K310="","",INDEX('سجل التحفيز'!$F$5:$F$2004,MATCH($K310,'سجل التحفيز'!$V$5:$V$2004,0)))</f>
        <v/>
      </c>
      <c r="S310" s="35">
        <f>IF($K310="","",INDEX('سجل التحفيز'!$G$5:$G$2004,MATCH($K310,'سجل التحفيز'!$V$5:$V$2004,0)))</f>
        <v/>
      </c>
    </row>
    <row r="311">
      <c r="K311" s="36">
        <f>IF(258&gt;$B$10,"",258)</f>
        <v/>
      </c>
      <c r="L311" s="37">
        <f>IF($K311="","",INDEX('سجل التحفيز'!$A$5:$A$2004,MATCH($K311,'سجل التحفيز'!$V$5:$V$2004,0)))</f>
        <v/>
      </c>
      <c r="M311" s="9">
        <f>IF($K311="","",INDEX('سجل التحفيز'!$B$5:$B$2004,MATCH($K311,'سجل التحفيز'!$V$5:$V$2004,0)))</f>
        <v/>
      </c>
      <c r="N311" s="9">
        <f>IF($K311="","",INDEX('سجل التحفيز'!$M$5:$M$2004,MATCH($K311,'سجل التحفيز'!$V$5:$V$2004,0)))</f>
        <v/>
      </c>
      <c r="O311" s="9">
        <f>IF($K311="","",INDEX('سجل التحفيز'!$C$5:$C$2004,MATCH($K311,'سجل التحفيز'!$V$5:$V$2004,0)))</f>
        <v/>
      </c>
      <c r="P311" s="36">
        <f>IF($K311="","",INDEX('سجل التحفيز'!$D$5:$D$2004,MATCH($K311,'سجل التحفيز'!$V$5:$V$2004,0)))</f>
        <v/>
      </c>
      <c r="Q311" s="9">
        <f>IF($K311="","",INDEX('سجل التحفيز'!$E$5:$E$2004,MATCH($K311,'سجل التحفيز'!$V$5:$V$2004,0)))</f>
        <v/>
      </c>
      <c r="R311" s="9">
        <f>IF($K311="","",INDEX('سجل التحفيز'!$F$5:$F$2004,MATCH($K311,'سجل التحفيز'!$V$5:$V$2004,0)))</f>
        <v/>
      </c>
      <c r="S311" s="35">
        <f>IF($K311="","",INDEX('سجل التحفيز'!$G$5:$G$2004,MATCH($K311,'سجل التحفيز'!$V$5:$V$2004,0)))</f>
        <v/>
      </c>
    </row>
    <row r="312">
      <c r="K312" s="36">
        <f>IF(259&gt;$B$10,"",259)</f>
        <v/>
      </c>
      <c r="L312" s="37">
        <f>IF($K312="","",INDEX('سجل التحفيز'!$A$5:$A$2004,MATCH($K312,'سجل التحفيز'!$V$5:$V$2004,0)))</f>
        <v/>
      </c>
      <c r="M312" s="9">
        <f>IF($K312="","",INDEX('سجل التحفيز'!$B$5:$B$2004,MATCH($K312,'سجل التحفيز'!$V$5:$V$2004,0)))</f>
        <v/>
      </c>
      <c r="N312" s="9">
        <f>IF($K312="","",INDEX('سجل التحفيز'!$M$5:$M$2004,MATCH($K312,'سجل التحفيز'!$V$5:$V$2004,0)))</f>
        <v/>
      </c>
      <c r="O312" s="9">
        <f>IF($K312="","",INDEX('سجل التحفيز'!$C$5:$C$2004,MATCH($K312,'سجل التحفيز'!$V$5:$V$2004,0)))</f>
        <v/>
      </c>
      <c r="P312" s="36">
        <f>IF($K312="","",INDEX('سجل التحفيز'!$D$5:$D$2004,MATCH($K312,'سجل التحفيز'!$V$5:$V$2004,0)))</f>
        <v/>
      </c>
      <c r="Q312" s="9">
        <f>IF($K312="","",INDEX('سجل التحفيز'!$E$5:$E$2004,MATCH($K312,'سجل التحفيز'!$V$5:$V$2004,0)))</f>
        <v/>
      </c>
      <c r="R312" s="9">
        <f>IF($K312="","",INDEX('سجل التحفيز'!$F$5:$F$2004,MATCH($K312,'سجل التحفيز'!$V$5:$V$2004,0)))</f>
        <v/>
      </c>
      <c r="S312" s="35">
        <f>IF($K312="","",INDEX('سجل التحفيز'!$G$5:$G$2004,MATCH($K312,'سجل التحفيز'!$V$5:$V$2004,0)))</f>
        <v/>
      </c>
    </row>
    <row r="313">
      <c r="K313" s="36">
        <f>IF(260&gt;$B$10,"",260)</f>
        <v/>
      </c>
      <c r="L313" s="37">
        <f>IF($K313="","",INDEX('سجل التحفيز'!$A$5:$A$2004,MATCH($K313,'سجل التحفيز'!$V$5:$V$2004,0)))</f>
        <v/>
      </c>
      <c r="M313" s="9">
        <f>IF($K313="","",INDEX('سجل التحفيز'!$B$5:$B$2004,MATCH($K313,'سجل التحفيز'!$V$5:$V$2004,0)))</f>
        <v/>
      </c>
      <c r="N313" s="9">
        <f>IF($K313="","",INDEX('سجل التحفيز'!$M$5:$M$2004,MATCH($K313,'سجل التحفيز'!$V$5:$V$2004,0)))</f>
        <v/>
      </c>
      <c r="O313" s="9">
        <f>IF($K313="","",INDEX('سجل التحفيز'!$C$5:$C$2004,MATCH($K313,'سجل التحفيز'!$V$5:$V$2004,0)))</f>
        <v/>
      </c>
      <c r="P313" s="36">
        <f>IF($K313="","",INDEX('سجل التحفيز'!$D$5:$D$2004,MATCH($K313,'سجل التحفيز'!$V$5:$V$2004,0)))</f>
        <v/>
      </c>
      <c r="Q313" s="9">
        <f>IF($K313="","",INDEX('سجل التحفيز'!$E$5:$E$2004,MATCH($K313,'سجل التحفيز'!$V$5:$V$2004,0)))</f>
        <v/>
      </c>
      <c r="R313" s="9">
        <f>IF($K313="","",INDEX('سجل التحفيز'!$F$5:$F$2004,MATCH($K313,'سجل التحفيز'!$V$5:$V$2004,0)))</f>
        <v/>
      </c>
      <c r="S313" s="35">
        <f>IF($K313="","",INDEX('سجل التحفيز'!$G$5:$G$2004,MATCH($K313,'سجل التحفيز'!$V$5:$V$2004,0)))</f>
        <v/>
      </c>
    </row>
    <row r="314">
      <c r="K314" s="36">
        <f>IF(261&gt;$B$10,"",261)</f>
        <v/>
      </c>
      <c r="L314" s="37">
        <f>IF($K314="","",INDEX('سجل التحفيز'!$A$5:$A$2004,MATCH($K314,'سجل التحفيز'!$V$5:$V$2004,0)))</f>
        <v/>
      </c>
      <c r="M314" s="9">
        <f>IF($K314="","",INDEX('سجل التحفيز'!$B$5:$B$2004,MATCH($K314,'سجل التحفيز'!$V$5:$V$2004,0)))</f>
        <v/>
      </c>
      <c r="N314" s="9">
        <f>IF($K314="","",INDEX('سجل التحفيز'!$M$5:$M$2004,MATCH($K314,'سجل التحفيز'!$V$5:$V$2004,0)))</f>
        <v/>
      </c>
      <c r="O314" s="9">
        <f>IF($K314="","",INDEX('سجل التحفيز'!$C$5:$C$2004,MATCH($K314,'سجل التحفيز'!$V$5:$V$2004,0)))</f>
        <v/>
      </c>
      <c r="P314" s="36">
        <f>IF($K314="","",INDEX('سجل التحفيز'!$D$5:$D$2004,MATCH($K314,'سجل التحفيز'!$V$5:$V$2004,0)))</f>
        <v/>
      </c>
      <c r="Q314" s="9">
        <f>IF($K314="","",INDEX('سجل التحفيز'!$E$5:$E$2004,MATCH($K314,'سجل التحفيز'!$V$5:$V$2004,0)))</f>
        <v/>
      </c>
      <c r="R314" s="9">
        <f>IF($K314="","",INDEX('سجل التحفيز'!$F$5:$F$2004,MATCH($K314,'سجل التحفيز'!$V$5:$V$2004,0)))</f>
        <v/>
      </c>
      <c r="S314" s="35">
        <f>IF($K314="","",INDEX('سجل التحفيز'!$G$5:$G$2004,MATCH($K314,'سجل التحفيز'!$V$5:$V$2004,0)))</f>
        <v/>
      </c>
    </row>
    <row r="315">
      <c r="K315" s="36">
        <f>IF(262&gt;$B$10,"",262)</f>
        <v/>
      </c>
      <c r="L315" s="37">
        <f>IF($K315="","",INDEX('سجل التحفيز'!$A$5:$A$2004,MATCH($K315,'سجل التحفيز'!$V$5:$V$2004,0)))</f>
        <v/>
      </c>
      <c r="M315" s="9">
        <f>IF($K315="","",INDEX('سجل التحفيز'!$B$5:$B$2004,MATCH($K315,'سجل التحفيز'!$V$5:$V$2004,0)))</f>
        <v/>
      </c>
      <c r="N315" s="9">
        <f>IF($K315="","",INDEX('سجل التحفيز'!$M$5:$M$2004,MATCH($K315,'سجل التحفيز'!$V$5:$V$2004,0)))</f>
        <v/>
      </c>
      <c r="O315" s="9">
        <f>IF($K315="","",INDEX('سجل التحفيز'!$C$5:$C$2004,MATCH($K315,'سجل التحفيز'!$V$5:$V$2004,0)))</f>
        <v/>
      </c>
      <c r="P315" s="36">
        <f>IF($K315="","",INDEX('سجل التحفيز'!$D$5:$D$2004,MATCH($K315,'سجل التحفيز'!$V$5:$V$2004,0)))</f>
        <v/>
      </c>
      <c r="Q315" s="9">
        <f>IF($K315="","",INDEX('سجل التحفيز'!$E$5:$E$2004,MATCH($K315,'سجل التحفيز'!$V$5:$V$2004,0)))</f>
        <v/>
      </c>
      <c r="R315" s="9">
        <f>IF($K315="","",INDEX('سجل التحفيز'!$F$5:$F$2004,MATCH($K315,'سجل التحفيز'!$V$5:$V$2004,0)))</f>
        <v/>
      </c>
      <c r="S315" s="35">
        <f>IF($K315="","",INDEX('سجل التحفيز'!$G$5:$G$2004,MATCH($K315,'سجل التحفيز'!$V$5:$V$2004,0)))</f>
        <v/>
      </c>
    </row>
    <row r="316">
      <c r="K316" s="36">
        <f>IF(263&gt;$B$10,"",263)</f>
        <v/>
      </c>
      <c r="L316" s="37">
        <f>IF($K316="","",INDEX('سجل التحفيز'!$A$5:$A$2004,MATCH($K316,'سجل التحفيز'!$V$5:$V$2004,0)))</f>
        <v/>
      </c>
      <c r="M316" s="9">
        <f>IF($K316="","",INDEX('سجل التحفيز'!$B$5:$B$2004,MATCH($K316,'سجل التحفيز'!$V$5:$V$2004,0)))</f>
        <v/>
      </c>
      <c r="N316" s="9">
        <f>IF($K316="","",INDEX('سجل التحفيز'!$M$5:$M$2004,MATCH($K316,'سجل التحفيز'!$V$5:$V$2004,0)))</f>
        <v/>
      </c>
      <c r="O316" s="9">
        <f>IF($K316="","",INDEX('سجل التحفيز'!$C$5:$C$2004,MATCH($K316,'سجل التحفيز'!$V$5:$V$2004,0)))</f>
        <v/>
      </c>
      <c r="P316" s="36">
        <f>IF($K316="","",INDEX('سجل التحفيز'!$D$5:$D$2004,MATCH($K316,'سجل التحفيز'!$V$5:$V$2004,0)))</f>
        <v/>
      </c>
      <c r="Q316" s="9">
        <f>IF($K316="","",INDEX('سجل التحفيز'!$E$5:$E$2004,MATCH($K316,'سجل التحفيز'!$V$5:$V$2004,0)))</f>
        <v/>
      </c>
      <c r="R316" s="9">
        <f>IF($K316="","",INDEX('سجل التحفيز'!$F$5:$F$2004,MATCH($K316,'سجل التحفيز'!$V$5:$V$2004,0)))</f>
        <v/>
      </c>
      <c r="S316" s="35">
        <f>IF($K316="","",INDEX('سجل التحفيز'!$G$5:$G$2004,MATCH($K316,'سجل التحفيز'!$V$5:$V$2004,0)))</f>
        <v/>
      </c>
    </row>
    <row r="317">
      <c r="K317" s="36">
        <f>IF(264&gt;$B$10,"",264)</f>
        <v/>
      </c>
      <c r="L317" s="37">
        <f>IF($K317="","",INDEX('سجل التحفيز'!$A$5:$A$2004,MATCH($K317,'سجل التحفيز'!$V$5:$V$2004,0)))</f>
        <v/>
      </c>
      <c r="M317" s="9">
        <f>IF($K317="","",INDEX('سجل التحفيز'!$B$5:$B$2004,MATCH($K317,'سجل التحفيز'!$V$5:$V$2004,0)))</f>
        <v/>
      </c>
      <c r="N317" s="9">
        <f>IF($K317="","",INDEX('سجل التحفيز'!$M$5:$M$2004,MATCH($K317,'سجل التحفيز'!$V$5:$V$2004,0)))</f>
        <v/>
      </c>
      <c r="O317" s="9">
        <f>IF($K317="","",INDEX('سجل التحفيز'!$C$5:$C$2004,MATCH($K317,'سجل التحفيز'!$V$5:$V$2004,0)))</f>
        <v/>
      </c>
      <c r="P317" s="36">
        <f>IF($K317="","",INDEX('سجل التحفيز'!$D$5:$D$2004,MATCH($K317,'سجل التحفيز'!$V$5:$V$2004,0)))</f>
        <v/>
      </c>
      <c r="Q317" s="9">
        <f>IF($K317="","",INDEX('سجل التحفيز'!$E$5:$E$2004,MATCH($K317,'سجل التحفيز'!$V$5:$V$2004,0)))</f>
        <v/>
      </c>
      <c r="R317" s="9">
        <f>IF($K317="","",INDEX('سجل التحفيز'!$F$5:$F$2004,MATCH($K317,'سجل التحفيز'!$V$5:$V$2004,0)))</f>
        <v/>
      </c>
      <c r="S317" s="35">
        <f>IF($K317="","",INDEX('سجل التحفيز'!$G$5:$G$2004,MATCH($K317,'سجل التحفيز'!$V$5:$V$2004,0)))</f>
        <v/>
      </c>
    </row>
    <row r="318">
      <c r="K318" s="36">
        <f>IF(265&gt;$B$10,"",265)</f>
        <v/>
      </c>
      <c r="L318" s="37">
        <f>IF($K318="","",INDEX('سجل التحفيز'!$A$5:$A$2004,MATCH($K318,'سجل التحفيز'!$V$5:$V$2004,0)))</f>
        <v/>
      </c>
      <c r="M318" s="9">
        <f>IF($K318="","",INDEX('سجل التحفيز'!$B$5:$B$2004,MATCH($K318,'سجل التحفيز'!$V$5:$V$2004,0)))</f>
        <v/>
      </c>
      <c r="N318" s="9">
        <f>IF($K318="","",INDEX('سجل التحفيز'!$M$5:$M$2004,MATCH($K318,'سجل التحفيز'!$V$5:$V$2004,0)))</f>
        <v/>
      </c>
      <c r="O318" s="9">
        <f>IF($K318="","",INDEX('سجل التحفيز'!$C$5:$C$2004,MATCH($K318,'سجل التحفيز'!$V$5:$V$2004,0)))</f>
        <v/>
      </c>
      <c r="P318" s="36">
        <f>IF($K318="","",INDEX('سجل التحفيز'!$D$5:$D$2004,MATCH($K318,'سجل التحفيز'!$V$5:$V$2004,0)))</f>
        <v/>
      </c>
      <c r="Q318" s="9">
        <f>IF($K318="","",INDEX('سجل التحفيز'!$E$5:$E$2004,MATCH($K318,'سجل التحفيز'!$V$5:$V$2004,0)))</f>
        <v/>
      </c>
      <c r="R318" s="9">
        <f>IF($K318="","",INDEX('سجل التحفيز'!$F$5:$F$2004,MATCH($K318,'سجل التحفيز'!$V$5:$V$2004,0)))</f>
        <v/>
      </c>
      <c r="S318" s="35">
        <f>IF($K318="","",INDEX('سجل التحفيز'!$G$5:$G$2004,MATCH($K318,'سجل التحفيز'!$V$5:$V$2004,0)))</f>
        <v/>
      </c>
    </row>
    <row r="319">
      <c r="K319" s="36">
        <f>IF(266&gt;$B$10,"",266)</f>
        <v/>
      </c>
      <c r="L319" s="37">
        <f>IF($K319="","",INDEX('سجل التحفيز'!$A$5:$A$2004,MATCH($K319,'سجل التحفيز'!$V$5:$V$2004,0)))</f>
        <v/>
      </c>
      <c r="M319" s="9">
        <f>IF($K319="","",INDEX('سجل التحفيز'!$B$5:$B$2004,MATCH($K319,'سجل التحفيز'!$V$5:$V$2004,0)))</f>
        <v/>
      </c>
      <c r="N319" s="9">
        <f>IF($K319="","",INDEX('سجل التحفيز'!$M$5:$M$2004,MATCH($K319,'سجل التحفيز'!$V$5:$V$2004,0)))</f>
        <v/>
      </c>
      <c r="O319" s="9">
        <f>IF($K319="","",INDEX('سجل التحفيز'!$C$5:$C$2004,MATCH($K319,'سجل التحفيز'!$V$5:$V$2004,0)))</f>
        <v/>
      </c>
      <c r="P319" s="36">
        <f>IF($K319="","",INDEX('سجل التحفيز'!$D$5:$D$2004,MATCH($K319,'سجل التحفيز'!$V$5:$V$2004,0)))</f>
        <v/>
      </c>
      <c r="Q319" s="9">
        <f>IF($K319="","",INDEX('سجل التحفيز'!$E$5:$E$2004,MATCH($K319,'سجل التحفيز'!$V$5:$V$2004,0)))</f>
        <v/>
      </c>
      <c r="R319" s="9">
        <f>IF($K319="","",INDEX('سجل التحفيز'!$F$5:$F$2004,MATCH($K319,'سجل التحفيز'!$V$5:$V$2004,0)))</f>
        <v/>
      </c>
      <c r="S319" s="35">
        <f>IF($K319="","",INDEX('سجل التحفيز'!$G$5:$G$2004,MATCH($K319,'سجل التحفيز'!$V$5:$V$2004,0)))</f>
        <v/>
      </c>
    </row>
    <row r="320">
      <c r="K320" s="36">
        <f>IF(267&gt;$B$10,"",267)</f>
        <v/>
      </c>
      <c r="L320" s="37">
        <f>IF($K320="","",INDEX('سجل التحفيز'!$A$5:$A$2004,MATCH($K320,'سجل التحفيز'!$V$5:$V$2004,0)))</f>
        <v/>
      </c>
      <c r="M320" s="9">
        <f>IF($K320="","",INDEX('سجل التحفيز'!$B$5:$B$2004,MATCH($K320,'سجل التحفيز'!$V$5:$V$2004,0)))</f>
        <v/>
      </c>
      <c r="N320" s="9">
        <f>IF($K320="","",INDEX('سجل التحفيز'!$M$5:$M$2004,MATCH($K320,'سجل التحفيز'!$V$5:$V$2004,0)))</f>
        <v/>
      </c>
      <c r="O320" s="9">
        <f>IF($K320="","",INDEX('سجل التحفيز'!$C$5:$C$2004,MATCH($K320,'سجل التحفيز'!$V$5:$V$2004,0)))</f>
        <v/>
      </c>
      <c r="P320" s="36">
        <f>IF($K320="","",INDEX('سجل التحفيز'!$D$5:$D$2004,MATCH($K320,'سجل التحفيز'!$V$5:$V$2004,0)))</f>
        <v/>
      </c>
      <c r="Q320" s="9">
        <f>IF($K320="","",INDEX('سجل التحفيز'!$E$5:$E$2004,MATCH($K320,'سجل التحفيز'!$V$5:$V$2004,0)))</f>
        <v/>
      </c>
      <c r="R320" s="9">
        <f>IF($K320="","",INDEX('سجل التحفيز'!$F$5:$F$2004,MATCH($K320,'سجل التحفيز'!$V$5:$V$2004,0)))</f>
        <v/>
      </c>
      <c r="S320" s="35">
        <f>IF($K320="","",INDEX('سجل التحفيز'!$G$5:$G$2004,MATCH($K320,'سجل التحفيز'!$V$5:$V$2004,0)))</f>
        <v/>
      </c>
    </row>
    <row r="321">
      <c r="K321" s="36">
        <f>IF(268&gt;$B$10,"",268)</f>
        <v/>
      </c>
      <c r="L321" s="37">
        <f>IF($K321="","",INDEX('سجل التحفيز'!$A$5:$A$2004,MATCH($K321,'سجل التحفيز'!$V$5:$V$2004,0)))</f>
        <v/>
      </c>
      <c r="M321" s="9">
        <f>IF($K321="","",INDEX('سجل التحفيز'!$B$5:$B$2004,MATCH($K321,'سجل التحفيز'!$V$5:$V$2004,0)))</f>
        <v/>
      </c>
      <c r="N321" s="9">
        <f>IF($K321="","",INDEX('سجل التحفيز'!$M$5:$M$2004,MATCH($K321,'سجل التحفيز'!$V$5:$V$2004,0)))</f>
        <v/>
      </c>
      <c r="O321" s="9">
        <f>IF($K321="","",INDEX('سجل التحفيز'!$C$5:$C$2004,MATCH($K321,'سجل التحفيز'!$V$5:$V$2004,0)))</f>
        <v/>
      </c>
      <c r="P321" s="36">
        <f>IF($K321="","",INDEX('سجل التحفيز'!$D$5:$D$2004,MATCH($K321,'سجل التحفيز'!$V$5:$V$2004,0)))</f>
        <v/>
      </c>
      <c r="Q321" s="9">
        <f>IF($K321="","",INDEX('سجل التحفيز'!$E$5:$E$2004,MATCH($K321,'سجل التحفيز'!$V$5:$V$2004,0)))</f>
        <v/>
      </c>
      <c r="R321" s="9">
        <f>IF($K321="","",INDEX('سجل التحفيز'!$F$5:$F$2004,MATCH($K321,'سجل التحفيز'!$V$5:$V$2004,0)))</f>
        <v/>
      </c>
      <c r="S321" s="35">
        <f>IF($K321="","",INDEX('سجل التحفيز'!$G$5:$G$2004,MATCH($K321,'سجل التحفيز'!$V$5:$V$2004,0)))</f>
        <v/>
      </c>
    </row>
    <row r="322">
      <c r="K322" s="36">
        <f>IF(269&gt;$B$10,"",269)</f>
        <v/>
      </c>
      <c r="L322" s="37">
        <f>IF($K322="","",INDEX('سجل التحفيز'!$A$5:$A$2004,MATCH($K322,'سجل التحفيز'!$V$5:$V$2004,0)))</f>
        <v/>
      </c>
      <c r="M322" s="9">
        <f>IF($K322="","",INDEX('سجل التحفيز'!$B$5:$B$2004,MATCH($K322,'سجل التحفيز'!$V$5:$V$2004,0)))</f>
        <v/>
      </c>
      <c r="N322" s="9">
        <f>IF($K322="","",INDEX('سجل التحفيز'!$M$5:$M$2004,MATCH($K322,'سجل التحفيز'!$V$5:$V$2004,0)))</f>
        <v/>
      </c>
      <c r="O322" s="9">
        <f>IF($K322="","",INDEX('سجل التحفيز'!$C$5:$C$2004,MATCH($K322,'سجل التحفيز'!$V$5:$V$2004,0)))</f>
        <v/>
      </c>
      <c r="P322" s="36">
        <f>IF($K322="","",INDEX('سجل التحفيز'!$D$5:$D$2004,MATCH($K322,'سجل التحفيز'!$V$5:$V$2004,0)))</f>
        <v/>
      </c>
      <c r="Q322" s="9">
        <f>IF($K322="","",INDEX('سجل التحفيز'!$E$5:$E$2004,MATCH($K322,'سجل التحفيز'!$V$5:$V$2004,0)))</f>
        <v/>
      </c>
      <c r="R322" s="9">
        <f>IF($K322="","",INDEX('سجل التحفيز'!$F$5:$F$2004,MATCH($K322,'سجل التحفيز'!$V$5:$V$2004,0)))</f>
        <v/>
      </c>
      <c r="S322" s="35">
        <f>IF($K322="","",INDEX('سجل التحفيز'!$G$5:$G$2004,MATCH($K322,'سجل التحفيز'!$V$5:$V$2004,0)))</f>
        <v/>
      </c>
    </row>
    <row r="323">
      <c r="K323" s="36">
        <f>IF(270&gt;$B$10,"",270)</f>
        <v/>
      </c>
      <c r="L323" s="37">
        <f>IF($K323="","",INDEX('سجل التحفيز'!$A$5:$A$2004,MATCH($K323,'سجل التحفيز'!$V$5:$V$2004,0)))</f>
        <v/>
      </c>
      <c r="M323" s="9">
        <f>IF($K323="","",INDEX('سجل التحفيز'!$B$5:$B$2004,MATCH($K323,'سجل التحفيز'!$V$5:$V$2004,0)))</f>
        <v/>
      </c>
      <c r="N323" s="9">
        <f>IF($K323="","",INDEX('سجل التحفيز'!$M$5:$M$2004,MATCH($K323,'سجل التحفيز'!$V$5:$V$2004,0)))</f>
        <v/>
      </c>
      <c r="O323" s="9">
        <f>IF($K323="","",INDEX('سجل التحفيز'!$C$5:$C$2004,MATCH($K323,'سجل التحفيز'!$V$5:$V$2004,0)))</f>
        <v/>
      </c>
      <c r="P323" s="36">
        <f>IF($K323="","",INDEX('سجل التحفيز'!$D$5:$D$2004,MATCH($K323,'سجل التحفيز'!$V$5:$V$2004,0)))</f>
        <v/>
      </c>
      <c r="Q323" s="9">
        <f>IF($K323="","",INDEX('سجل التحفيز'!$E$5:$E$2004,MATCH($K323,'سجل التحفيز'!$V$5:$V$2004,0)))</f>
        <v/>
      </c>
      <c r="R323" s="9">
        <f>IF($K323="","",INDEX('سجل التحفيز'!$F$5:$F$2004,MATCH($K323,'سجل التحفيز'!$V$5:$V$2004,0)))</f>
        <v/>
      </c>
      <c r="S323" s="35">
        <f>IF($K323="","",INDEX('سجل التحفيز'!$G$5:$G$2004,MATCH($K323,'سجل التحفيز'!$V$5:$V$2004,0)))</f>
        <v/>
      </c>
    </row>
    <row r="324">
      <c r="K324" s="36">
        <f>IF(271&gt;$B$10,"",271)</f>
        <v/>
      </c>
      <c r="L324" s="37">
        <f>IF($K324="","",INDEX('سجل التحفيز'!$A$5:$A$2004,MATCH($K324,'سجل التحفيز'!$V$5:$V$2004,0)))</f>
        <v/>
      </c>
      <c r="M324" s="9">
        <f>IF($K324="","",INDEX('سجل التحفيز'!$B$5:$B$2004,MATCH($K324,'سجل التحفيز'!$V$5:$V$2004,0)))</f>
        <v/>
      </c>
      <c r="N324" s="9">
        <f>IF($K324="","",INDEX('سجل التحفيز'!$M$5:$M$2004,MATCH($K324,'سجل التحفيز'!$V$5:$V$2004,0)))</f>
        <v/>
      </c>
      <c r="O324" s="9">
        <f>IF($K324="","",INDEX('سجل التحفيز'!$C$5:$C$2004,MATCH($K324,'سجل التحفيز'!$V$5:$V$2004,0)))</f>
        <v/>
      </c>
      <c r="P324" s="36">
        <f>IF($K324="","",INDEX('سجل التحفيز'!$D$5:$D$2004,MATCH($K324,'سجل التحفيز'!$V$5:$V$2004,0)))</f>
        <v/>
      </c>
      <c r="Q324" s="9">
        <f>IF($K324="","",INDEX('سجل التحفيز'!$E$5:$E$2004,MATCH($K324,'سجل التحفيز'!$V$5:$V$2004,0)))</f>
        <v/>
      </c>
      <c r="R324" s="9">
        <f>IF($K324="","",INDEX('سجل التحفيز'!$F$5:$F$2004,MATCH($K324,'سجل التحفيز'!$V$5:$V$2004,0)))</f>
        <v/>
      </c>
      <c r="S324" s="35">
        <f>IF($K324="","",INDEX('سجل التحفيز'!$G$5:$G$2004,MATCH($K324,'سجل التحفيز'!$V$5:$V$2004,0)))</f>
        <v/>
      </c>
    </row>
    <row r="325">
      <c r="K325" s="36">
        <f>IF(272&gt;$B$10,"",272)</f>
        <v/>
      </c>
      <c r="L325" s="37">
        <f>IF($K325="","",INDEX('سجل التحفيز'!$A$5:$A$2004,MATCH($K325,'سجل التحفيز'!$V$5:$V$2004,0)))</f>
        <v/>
      </c>
      <c r="M325" s="9">
        <f>IF($K325="","",INDEX('سجل التحفيز'!$B$5:$B$2004,MATCH($K325,'سجل التحفيز'!$V$5:$V$2004,0)))</f>
        <v/>
      </c>
      <c r="N325" s="9">
        <f>IF($K325="","",INDEX('سجل التحفيز'!$M$5:$M$2004,MATCH($K325,'سجل التحفيز'!$V$5:$V$2004,0)))</f>
        <v/>
      </c>
      <c r="O325" s="9">
        <f>IF($K325="","",INDEX('سجل التحفيز'!$C$5:$C$2004,MATCH($K325,'سجل التحفيز'!$V$5:$V$2004,0)))</f>
        <v/>
      </c>
      <c r="P325" s="36">
        <f>IF($K325="","",INDEX('سجل التحفيز'!$D$5:$D$2004,MATCH($K325,'سجل التحفيز'!$V$5:$V$2004,0)))</f>
        <v/>
      </c>
      <c r="Q325" s="9">
        <f>IF($K325="","",INDEX('سجل التحفيز'!$E$5:$E$2004,MATCH($K325,'سجل التحفيز'!$V$5:$V$2004,0)))</f>
        <v/>
      </c>
      <c r="R325" s="9">
        <f>IF($K325="","",INDEX('سجل التحفيز'!$F$5:$F$2004,MATCH($K325,'سجل التحفيز'!$V$5:$V$2004,0)))</f>
        <v/>
      </c>
      <c r="S325" s="35">
        <f>IF($K325="","",INDEX('سجل التحفيز'!$G$5:$G$2004,MATCH($K325,'سجل التحفيز'!$V$5:$V$2004,0)))</f>
        <v/>
      </c>
    </row>
    <row r="326">
      <c r="K326" s="36">
        <f>IF(273&gt;$B$10,"",273)</f>
        <v/>
      </c>
      <c r="L326" s="37">
        <f>IF($K326="","",INDEX('سجل التحفيز'!$A$5:$A$2004,MATCH($K326,'سجل التحفيز'!$V$5:$V$2004,0)))</f>
        <v/>
      </c>
      <c r="M326" s="9">
        <f>IF($K326="","",INDEX('سجل التحفيز'!$B$5:$B$2004,MATCH($K326,'سجل التحفيز'!$V$5:$V$2004,0)))</f>
        <v/>
      </c>
      <c r="N326" s="9">
        <f>IF($K326="","",INDEX('سجل التحفيز'!$M$5:$M$2004,MATCH($K326,'سجل التحفيز'!$V$5:$V$2004,0)))</f>
        <v/>
      </c>
      <c r="O326" s="9">
        <f>IF($K326="","",INDEX('سجل التحفيز'!$C$5:$C$2004,MATCH($K326,'سجل التحفيز'!$V$5:$V$2004,0)))</f>
        <v/>
      </c>
      <c r="P326" s="36">
        <f>IF($K326="","",INDEX('سجل التحفيز'!$D$5:$D$2004,MATCH($K326,'سجل التحفيز'!$V$5:$V$2004,0)))</f>
        <v/>
      </c>
      <c r="Q326" s="9">
        <f>IF($K326="","",INDEX('سجل التحفيز'!$E$5:$E$2004,MATCH($K326,'سجل التحفيز'!$V$5:$V$2004,0)))</f>
        <v/>
      </c>
      <c r="R326" s="9">
        <f>IF($K326="","",INDEX('سجل التحفيز'!$F$5:$F$2004,MATCH($K326,'سجل التحفيز'!$V$5:$V$2004,0)))</f>
        <v/>
      </c>
      <c r="S326" s="35">
        <f>IF($K326="","",INDEX('سجل التحفيز'!$G$5:$G$2004,MATCH($K326,'سجل التحفيز'!$V$5:$V$2004,0)))</f>
        <v/>
      </c>
    </row>
    <row r="327">
      <c r="K327" s="36">
        <f>IF(274&gt;$B$10,"",274)</f>
        <v/>
      </c>
      <c r="L327" s="37">
        <f>IF($K327="","",INDEX('سجل التحفيز'!$A$5:$A$2004,MATCH($K327,'سجل التحفيز'!$V$5:$V$2004,0)))</f>
        <v/>
      </c>
      <c r="M327" s="9">
        <f>IF($K327="","",INDEX('سجل التحفيز'!$B$5:$B$2004,MATCH($K327,'سجل التحفيز'!$V$5:$V$2004,0)))</f>
        <v/>
      </c>
      <c r="N327" s="9">
        <f>IF($K327="","",INDEX('سجل التحفيز'!$M$5:$M$2004,MATCH($K327,'سجل التحفيز'!$V$5:$V$2004,0)))</f>
        <v/>
      </c>
      <c r="O327" s="9">
        <f>IF($K327="","",INDEX('سجل التحفيز'!$C$5:$C$2004,MATCH($K327,'سجل التحفيز'!$V$5:$V$2004,0)))</f>
        <v/>
      </c>
      <c r="P327" s="36">
        <f>IF($K327="","",INDEX('سجل التحفيز'!$D$5:$D$2004,MATCH($K327,'سجل التحفيز'!$V$5:$V$2004,0)))</f>
        <v/>
      </c>
      <c r="Q327" s="9">
        <f>IF($K327="","",INDEX('سجل التحفيز'!$E$5:$E$2004,MATCH($K327,'سجل التحفيز'!$V$5:$V$2004,0)))</f>
        <v/>
      </c>
      <c r="R327" s="9">
        <f>IF($K327="","",INDEX('سجل التحفيز'!$F$5:$F$2004,MATCH($K327,'سجل التحفيز'!$V$5:$V$2004,0)))</f>
        <v/>
      </c>
      <c r="S327" s="35">
        <f>IF($K327="","",INDEX('سجل التحفيز'!$G$5:$G$2004,MATCH($K327,'سجل التحفيز'!$V$5:$V$2004,0)))</f>
        <v/>
      </c>
    </row>
    <row r="328">
      <c r="K328" s="36">
        <f>IF(275&gt;$B$10,"",275)</f>
        <v/>
      </c>
      <c r="L328" s="37">
        <f>IF($K328="","",INDEX('سجل التحفيز'!$A$5:$A$2004,MATCH($K328,'سجل التحفيز'!$V$5:$V$2004,0)))</f>
        <v/>
      </c>
      <c r="M328" s="9">
        <f>IF($K328="","",INDEX('سجل التحفيز'!$B$5:$B$2004,MATCH($K328,'سجل التحفيز'!$V$5:$V$2004,0)))</f>
        <v/>
      </c>
      <c r="N328" s="9">
        <f>IF($K328="","",INDEX('سجل التحفيز'!$M$5:$M$2004,MATCH($K328,'سجل التحفيز'!$V$5:$V$2004,0)))</f>
        <v/>
      </c>
      <c r="O328" s="9">
        <f>IF($K328="","",INDEX('سجل التحفيز'!$C$5:$C$2004,MATCH($K328,'سجل التحفيز'!$V$5:$V$2004,0)))</f>
        <v/>
      </c>
      <c r="P328" s="36">
        <f>IF($K328="","",INDEX('سجل التحفيز'!$D$5:$D$2004,MATCH($K328,'سجل التحفيز'!$V$5:$V$2004,0)))</f>
        <v/>
      </c>
      <c r="Q328" s="9">
        <f>IF($K328="","",INDEX('سجل التحفيز'!$E$5:$E$2004,MATCH($K328,'سجل التحفيز'!$V$5:$V$2004,0)))</f>
        <v/>
      </c>
      <c r="R328" s="9">
        <f>IF($K328="","",INDEX('سجل التحفيز'!$F$5:$F$2004,MATCH($K328,'سجل التحفيز'!$V$5:$V$2004,0)))</f>
        <v/>
      </c>
      <c r="S328" s="35">
        <f>IF($K328="","",INDEX('سجل التحفيز'!$G$5:$G$2004,MATCH($K328,'سجل التحفيز'!$V$5:$V$2004,0)))</f>
        <v/>
      </c>
    </row>
    <row r="329">
      <c r="K329" s="36">
        <f>IF(276&gt;$B$10,"",276)</f>
        <v/>
      </c>
      <c r="L329" s="37">
        <f>IF($K329="","",INDEX('سجل التحفيز'!$A$5:$A$2004,MATCH($K329,'سجل التحفيز'!$V$5:$V$2004,0)))</f>
        <v/>
      </c>
      <c r="M329" s="9">
        <f>IF($K329="","",INDEX('سجل التحفيز'!$B$5:$B$2004,MATCH($K329,'سجل التحفيز'!$V$5:$V$2004,0)))</f>
        <v/>
      </c>
      <c r="N329" s="9">
        <f>IF($K329="","",INDEX('سجل التحفيز'!$M$5:$M$2004,MATCH($K329,'سجل التحفيز'!$V$5:$V$2004,0)))</f>
        <v/>
      </c>
      <c r="O329" s="9">
        <f>IF($K329="","",INDEX('سجل التحفيز'!$C$5:$C$2004,MATCH($K329,'سجل التحفيز'!$V$5:$V$2004,0)))</f>
        <v/>
      </c>
      <c r="P329" s="36">
        <f>IF($K329="","",INDEX('سجل التحفيز'!$D$5:$D$2004,MATCH($K329,'سجل التحفيز'!$V$5:$V$2004,0)))</f>
        <v/>
      </c>
      <c r="Q329" s="9">
        <f>IF($K329="","",INDEX('سجل التحفيز'!$E$5:$E$2004,MATCH($K329,'سجل التحفيز'!$V$5:$V$2004,0)))</f>
        <v/>
      </c>
      <c r="R329" s="9">
        <f>IF($K329="","",INDEX('سجل التحفيز'!$F$5:$F$2004,MATCH($K329,'سجل التحفيز'!$V$5:$V$2004,0)))</f>
        <v/>
      </c>
      <c r="S329" s="35">
        <f>IF($K329="","",INDEX('سجل التحفيز'!$G$5:$G$2004,MATCH($K329,'سجل التحفيز'!$V$5:$V$2004,0)))</f>
        <v/>
      </c>
    </row>
    <row r="330">
      <c r="K330" s="36">
        <f>IF(277&gt;$B$10,"",277)</f>
        <v/>
      </c>
      <c r="L330" s="37">
        <f>IF($K330="","",INDEX('سجل التحفيز'!$A$5:$A$2004,MATCH($K330,'سجل التحفيز'!$V$5:$V$2004,0)))</f>
        <v/>
      </c>
      <c r="M330" s="9">
        <f>IF($K330="","",INDEX('سجل التحفيز'!$B$5:$B$2004,MATCH($K330,'سجل التحفيز'!$V$5:$V$2004,0)))</f>
        <v/>
      </c>
      <c r="N330" s="9">
        <f>IF($K330="","",INDEX('سجل التحفيز'!$M$5:$M$2004,MATCH($K330,'سجل التحفيز'!$V$5:$V$2004,0)))</f>
        <v/>
      </c>
      <c r="O330" s="9">
        <f>IF($K330="","",INDEX('سجل التحفيز'!$C$5:$C$2004,MATCH($K330,'سجل التحفيز'!$V$5:$V$2004,0)))</f>
        <v/>
      </c>
      <c r="P330" s="36">
        <f>IF($K330="","",INDEX('سجل التحفيز'!$D$5:$D$2004,MATCH($K330,'سجل التحفيز'!$V$5:$V$2004,0)))</f>
        <v/>
      </c>
      <c r="Q330" s="9">
        <f>IF($K330="","",INDEX('سجل التحفيز'!$E$5:$E$2004,MATCH($K330,'سجل التحفيز'!$V$5:$V$2004,0)))</f>
        <v/>
      </c>
      <c r="R330" s="9">
        <f>IF($K330="","",INDEX('سجل التحفيز'!$F$5:$F$2004,MATCH($K330,'سجل التحفيز'!$V$5:$V$2004,0)))</f>
        <v/>
      </c>
      <c r="S330" s="35">
        <f>IF($K330="","",INDEX('سجل التحفيز'!$G$5:$G$2004,MATCH($K330,'سجل التحفيز'!$V$5:$V$2004,0)))</f>
        <v/>
      </c>
    </row>
    <row r="331">
      <c r="K331" s="36">
        <f>IF(278&gt;$B$10,"",278)</f>
        <v/>
      </c>
      <c r="L331" s="37">
        <f>IF($K331="","",INDEX('سجل التحفيز'!$A$5:$A$2004,MATCH($K331,'سجل التحفيز'!$V$5:$V$2004,0)))</f>
        <v/>
      </c>
      <c r="M331" s="9">
        <f>IF($K331="","",INDEX('سجل التحفيز'!$B$5:$B$2004,MATCH($K331,'سجل التحفيز'!$V$5:$V$2004,0)))</f>
        <v/>
      </c>
      <c r="N331" s="9">
        <f>IF($K331="","",INDEX('سجل التحفيز'!$M$5:$M$2004,MATCH($K331,'سجل التحفيز'!$V$5:$V$2004,0)))</f>
        <v/>
      </c>
      <c r="O331" s="9">
        <f>IF($K331="","",INDEX('سجل التحفيز'!$C$5:$C$2004,MATCH($K331,'سجل التحفيز'!$V$5:$V$2004,0)))</f>
        <v/>
      </c>
      <c r="P331" s="36">
        <f>IF($K331="","",INDEX('سجل التحفيز'!$D$5:$D$2004,MATCH($K331,'سجل التحفيز'!$V$5:$V$2004,0)))</f>
        <v/>
      </c>
      <c r="Q331" s="9">
        <f>IF($K331="","",INDEX('سجل التحفيز'!$E$5:$E$2004,MATCH($K331,'سجل التحفيز'!$V$5:$V$2004,0)))</f>
        <v/>
      </c>
      <c r="R331" s="9">
        <f>IF($K331="","",INDEX('سجل التحفيز'!$F$5:$F$2004,MATCH($K331,'سجل التحفيز'!$V$5:$V$2004,0)))</f>
        <v/>
      </c>
      <c r="S331" s="35">
        <f>IF($K331="","",INDEX('سجل التحفيز'!$G$5:$G$2004,MATCH($K331,'سجل التحفيز'!$V$5:$V$2004,0)))</f>
        <v/>
      </c>
    </row>
    <row r="332">
      <c r="K332" s="36">
        <f>IF(279&gt;$B$10,"",279)</f>
        <v/>
      </c>
      <c r="L332" s="37">
        <f>IF($K332="","",INDEX('سجل التحفيز'!$A$5:$A$2004,MATCH($K332,'سجل التحفيز'!$V$5:$V$2004,0)))</f>
        <v/>
      </c>
      <c r="M332" s="9">
        <f>IF($K332="","",INDEX('سجل التحفيز'!$B$5:$B$2004,MATCH($K332,'سجل التحفيز'!$V$5:$V$2004,0)))</f>
        <v/>
      </c>
      <c r="N332" s="9">
        <f>IF($K332="","",INDEX('سجل التحفيز'!$M$5:$M$2004,MATCH($K332,'سجل التحفيز'!$V$5:$V$2004,0)))</f>
        <v/>
      </c>
      <c r="O332" s="9">
        <f>IF($K332="","",INDEX('سجل التحفيز'!$C$5:$C$2004,MATCH($K332,'سجل التحفيز'!$V$5:$V$2004,0)))</f>
        <v/>
      </c>
      <c r="P332" s="36">
        <f>IF($K332="","",INDEX('سجل التحفيز'!$D$5:$D$2004,MATCH($K332,'سجل التحفيز'!$V$5:$V$2004,0)))</f>
        <v/>
      </c>
      <c r="Q332" s="9">
        <f>IF($K332="","",INDEX('سجل التحفيز'!$E$5:$E$2004,MATCH($K332,'سجل التحفيز'!$V$5:$V$2004,0)))</f>
        <v/>
      </c>
      <c r="R332" s="9">
        <f>IF($K332="","",INDEX('سجل التحفيز'!$F$5:$F$2004,MATCH($K332,'سجل التحفيز'!$V$5:$V$2004,0)))</f>
        <v/>
      </c>
      <c r="S332" s="35">
        <f>IF($K332="","",INDEX('سجل التحفيز'!$G$5:$G$2004,MATCH($K332,'سجل التحفيز'!$V$5:$V$2004,0)))</f>
        <v/>
      </c>
    </row>
    <row r="333">
      <c r="K333" s="36">
        <f>IF(280&gt;$B$10,"",280)</f>
        <v/>
      </c>
      <c r="L333" s="37">
        <f>IF($K333="","",INDEX('سجل التحفيز'!$A$5:$A$2004,MATCH($K333,'سجل التحفيز'!$V$5:$V$2004,0)))</f>
        <v/>
      </c>
      <c r="M333" s="9">
        <f>IF($K333="","",INDEX('سجل التحفيز'!$B$5:$B$2004,MATCH($K333,'سجل التحفيز'!$V$5:$V$2004,0)))</f>
        <v/>
      </c>
      <c r="N333" s="9">
        <f>IF($K333="","",INDEX('سجل التحفيز'!$M$5:$M$2004,MATCH($K333,'سجل التحفيز'!$V$5:$V$2004,0)))</f>
        <v/>
      </c>
      <c r="O333" s="9">
        <f>IF($K333="","",INDEX('سجل التحفيز'!$C$5:$C$2004,MATCH($K333,'سجل التحفيز'!$V$5:$V$2004,0)))</f>
        <v/>
      </c>
      <c r="P333" s="36">
        <f>IF($K333="","",INDEX('سجل التحفيز'!$D$5:$D$2004,MATCH($K333,'سجل التحفيز'!$V$5:$V$2004,0)))</f>
        <v/>
      </c>
      <c r="Q333" s="9">
        <f>IF($K333="","",INDEX('سجل التحفيز'!$E$5:$E$2004,MATCH($K333,'سجل التحفيز'!$V$5:$V$2004,0)))</f>
        <v/>
      </c>
      <c r="R333" s="9">
        <f>IF($K333="","",INDEX('سجل التحفيز'!$F$5:$F$2004,MATCH($K333,'سجل التحفيز'!$V$5:$V$2004,0)))</f>
        <v/>
      </c>
      <c r="S333" s="35">
        <f>IF($K333="","",INDEX('سجل التحفيز'!$G$5:$G$2004,MATCH($K333,'سجل التحفيز'!$V$5:$V$2004,0)))</f>
        <v/>
      </c>
    </row>
    <row r="334">
      <c r="K334" s="36">
        <f>IF(281&gt;$B$10,"",281)</f>
        <v/>
      </c>
      <c r="L334" s="37">
        <f>IF($K334="","",INDEX('سجل التحفيز'!$A$5:$A$2004,MATCH($K334,'سجل التحفيز'!$V$5:$V$2004,0)))</f>
        <v/>
      </c>
      <c r="M334" s="9">
        <f>IF($K334="","",INDEX('سجل التحفيز'!$B$5:$B$2004,MATCH($K334,'سجل التحفيز'!$V$5:$V$2004,0)))</f>
        <v/>
      </c>
      <c r="N334" s="9">
        <f>IF($K334="","",INDEX('سجل التحفيز'!$M$5:$M$2004,MATCH($K334,'سجل التحفيز'!$V$5:$V$2004,0)))</f>
        <v/>
      </c>
      <c r="O334" s="9">
        <f>IF($K334="","",INDEX('سجل التحفيز'!$C$5:$C$2004,MATCH($K334,'سجل التحفيز'!$V$5:$V$2004,0)))</f>
        <v/>
      </c>
      <c r="P334" s="36">
        <f>IF($K334="","",INDEX('سجل التحفيز'!$D$5:$D$2004,MATCH($K334,'سجل التحفيز'!$V$5:$V$2004,0)))</f>
        <v/>
      </c>
      <c r="Q334" s="9">
        <f>IF($K334="","",INDEX('سجل التحفيز'!$E$5:$E$2004,MATCH($K334,'سجل التحفيز'!$V$5:$V$2004,0)))</f>
        <v/>
      </c>
      <c r="R334" s="9">
        <f>IF($K334="","",INDEX('سجل التحفيز'!$F$5:$F$2004,MATCH($K334,'سجل التحفيز'!$V$5:$V$2004,0)))</f>
        <v/>
      </c>
      <c r="S334" s="35">
        <f>IF($K334="","",INDEX('سجل التحفيز'!$G$5:$G$2004,MATCH($K334,'سجل التحفيز'!$V$5:$V$2004,0)))</f>
        <v/>
      </c>
    </row>
    <row r="335">
      <c r="K335" s="36">
        <f>IF(282&gt;$B$10,"",282)</f>
        <v/>
      </c>
      <c r="L335" s="37">
        <f>IF($K335="","",INDEX('سجل التحفيز'!$A$5:$A$2004,MATCH($K335,'سجل التحفيز'!$V$5:$V$2004,0)))</f>
        <v/>
      </c>
      <c r="M335" s="9">
        <f>IF($K335="","",INDEX('سجل التحفيز'!$B$5:$B$2004,MATCH($K335,'سجل التحفيز'!$V$5:$V$2004,0)))</f>
        <v/>
      </c>
      <c r="N335" s="9">
        <f>IF($K335="","",INDEX('سجل التحفيز'!$M$5:$M$2004,MATCH($K335,'سجل التحفيز'!$V$5:$V$2004,0)))</f>
        <v/>
      </c>
      <c r="O335" s="9">
        <f>IF($K335="","",INDEX('سجل التحفيز'!$C$5:$C$2004,MATCH($K335,'سجل التحفيز'!$V$5:$V$2004,0)))</f>
        <v/>
      </c>
      <c r="P335" s="36">
        <f>IF($K335="","",INDEX('سجل التحفيز'!$D$5:$D$2004,MATCH($K335,'سجل التحفيز'!$V$5:$V$2004,0)))</f>
        <v/>
      </c>
      <c r="Q335" s="9">
        <f>IF($K335="","",INDEX('سجل التحفيز'!$E$5:$E$2004,MATCH($K335,'سجل التحفيز'!$V$5:$V$2004,0)))</f>
        <v/>
      </c>
      <c r="R335" s="9">
        <f>IF($K335="","",INDEX('سجل التحفيز'!$F$5:$F$2004,MATCH($K335,'سجل التحفيز'!$V$5:$V$2004,0)))</f>
        <v/>
      </c>
      <c r="S335" s="35">
        <f>IF($K335="","",INDEX('سجل التحفيز'!$G$5:$G$2004,MATCH($K335,'سجل التحفيز'!$V$5:$V$2004,0)))</f>
        <v/>
      </c>
    </row>
    <row r="336">
      <c r="K336" s="36">
        <f>IF(283&gt;$B$10,"",283)</f>
        <v/>
      </c>
      <c r="L336" s="37">
        <f>IF($K336="","",INDEX('سجل التحفيز'!$A$5:$A$2004,MATCH($K336,'سجل التحفيز'!$V$5:$V$2004,0)))</f>
        <v/>
      </c>
      <c r="M336" s="9">
        <f>IF($K336="","",INDEX('سجل التحفيز'!$B$5:$B$2004,MATCH($K336,'سجل التحفيز'!$V$5:$V$2004,0)))</f>
        <v/>
      </c>
      <c r="N336" s="9">
        <f>IF($K336="","",INDEX('سجل التحفيز'!$M$5:$M$2004,MATCH($K336,'سجل التحفيز'!$V$5:$V$2004,0)))</f>
        <v/>
      </c>
      <c r="O336" s="9">
        <f>IF($K336="","",INDEX('سجل التحفيز'!$C$5:$C$2004,MATCH($K336,'سجل التحفيز'!$V$5:$V$2004,0)))</f>
        <v/>
      </c>
      <c r="P336" s="36">
        <f>IF($K336="","",INDEX('سجل التحفيز'!$D$5:$D$2004,MATCH($K336,'سجل التحفيز'!$V$5:$V$2004,0)))</f>
        <v/>
      </c>
      <c r="Q336" s="9">
        <f>IF($K336="","",INDEX('سجل التحفيز'!$E$5:$E$2004,MATCH($K336,'سجل التحفيز'!$V$5:$V$2004,0)))</f>
        <v/>
      </c>
      <c r="R336" s="9">
        <f>IF($K336="","",INDEX('سجل التحفيز'!$F$5:$F$2004,MATCH($K336,'سجل التحفيز'!$V$5:$V$2004,0)))</f>
        <v/>
      </c>
      <c r="S336" s="35">
        <f>IF($K336="","",INDEX('سجل التحفيز'!$G$5:$G$2004,MATCH($K336,'سجل التحفيز'!$V$5:$V$2004,0)))</f>
        <v/>
      </c>
    </row>
    <row r="337">
      <c r="K337" s="36">
        <f>IF(284&gt;$B$10,"",284)</f>
        <v/>
      </c>
      <c r="L337" s="37">
        <f>IF($K337="","",INDEX('سجل التحفيز'!$A$5:$A$2004,MATCH($K337,'سجل التحفيز'!$V$5:$V$2004,0)))</f>
        <v/>
      </c>
      <c r="M337" s="9">
        <f>IF($K337="","",INDEX('سجل التحفيز'!$B$5:$B$2004,MATCH($K337,'سجل التحفيز'!$V$5:$V$2004,0)))</f>
        <v/>
      </c>
      <c r="N337" s="9">
        <f>IF($K337="","",INDEX('سجل التحفيز'!$M$5:$M$2004,MATCH($K337,'سجل التحفيز'!$V$5:$V$2004,0)))</f>
        <v/>
      </c>
      <c r="O337" s="9">
        <f>IF($K337="","",INDEX('سجل التحفيز'!$C$5:$C$2004,MATCH($K337,'سجل التحفيز'!$V$5:$V$2004,0)))</f>
        <v/>
      </c>
      <c r="P337" s="36">
        <f>IF($K337="","",INDEX('سجل التحفيز'!$D$5:$D$2004,MATCH($K337,'سجل التحفيز'!$V$5:$V$2004,0)))</f>
        <v/>
      </c>
      <c r="Q337" s="9">
        <f>IF($K337="","",INDEX('سجل التحفيز'!$E$5:$E$2004,MATCH($K337,'سجل التحفيز'!$V$5:$V$2004,0)))</f>
        <v/>
      </c>
      <c r="R337" s="9">
        <f>IF($K337="","",INDEX('سجل التحفيز'!$F$5:$F$2004,MATCH($K337,'سجل التحفيز'!$V$5:$V$2004,0)))</f>
        <v/>
      </c>
      <c r="S337" s="35">
        <f>IF($K337="","",INDEX('سجل التحفيز'!$G$5:$G$2004,MATCH($K337,'سجل التحفيز'!$V$5:$V$2004,0)))</f>
        <v/>
      </c>
    </row>
    <row r="338">
      <c r="K338" s="36">
        <f>IF(285&gt;$B$10,"",285)</f>
        <v/>
      </c>
      <c r="L338" s="37">
        <f>IF($K338="","",INDEX('سجل التحفيز'!$A$5:$A$2004,MATCH($K338,'سجل التحفيز'!$V$5:$V$2004,0)))</f>
        <v/>
      </c>
      <c r="M338" s="9">
        <f>IF($K338="","",INDEX('سجل التحفيز'!$B$5:$B$2004,MATCH($K338,'سجل التحفيز'!$V$5:$V$2004,0)))</f>
        <v/>
      </c>
      <c r="N338" s="9">
        <f>IF($K338="","",INDEX('سجل التحفيز'!$M$5:$M$2004,MATCH($K338,'سجل التحفيز'!$V$5:$V$2004,0)))</f>
        <v/>
      </c>
      <c r="O338" s="9">
        <f>IF($K338="","",INDEX('سجل التحفيز'!$C$5:$C$2004,MATCH($K338,'سجل التحفيز'!$V$5:$V$2004,0)))</f>
        <v/>
      </c>
      <c r="P338" s="36">
        <f>IF($K338="","",INDEX('سجل التحفيز'!$D$5:$D$2004,MATCH($K338,'سجل التحفيز'!$V$5:$V$2004,0)))</f>
        <v/>
      </c>
      <c r="Q338" s="9">
        <f>IF($K338="","",INDEX('سجل التحفيز'!$E$5:$E$2004,MATCH($K338,'سجل التحفيز'!$V$5:$V$2004,0)))</f>
        <v/>
      </c>
      <c r="R338" s="9">
        <f>IF($K338="","",INDEX('سجل التحفيز'!$F$5:$F$2004,MATCH($K338,'سجل التحفيز'!$V$5:$V$2004,0)))</f>
        <v/>
      </c>
      <c r="S338" s="35">
        <f>IF($K338="","",INDEX('سجل التحفيز'!$G$5:$G$2004,MATCH($K338,'سجل التحفيز'!$V$5:$V$2004,0)))</f>
        <v/>
      </c>
    </row>
    <row r="339">
      <c r="K339" s="36">
        <f>IF(286&gt;$B$10,"",286)</f>
        <v/>
      </c>
      <c r="L339" s="37">
        <f>IF($K339="","",INDEX('سجل التحفيز'!$A$5:$A$2004,MATCH($K339,'سجل التحفيز'!$V$5:$V$2004,0)))</f>
        <v/>
      </c>
      <c r="M339" s="9">
        <f>IF($K339="","",INDEX('سجل التحفيز'!$B$5:$B$2004,MATCH($K339,'سجل التحفيز'!$V$5:$V$2004,0)))</f>
        <v/>
      </c>
      <c r="N339" s="9">
        <f>IF($K339="","",INDEX('سجل التحفيز'!$M$5:$M$2004,MATCH($K339,'سجل التحفيز'!$V$5:$V$2004,0)))</f>
        <v/>
      </c>
      <c r="O339" s="9">
        <f>IF($K339="","",INDEX('سجل التحفيز'!$C$5:$C$2004,MATCH($K339,'سجل التحفيز'!$V$5:$V$2004,0)))</f>
        <v/>
      </c>
      <c r="P339" s="36">
        <f>IF($K339="","",INDEX('سجل التحفيز'!$D$5:$D$2004,MATCH($K339,'سجل التحفيز'!$V$5:$V$2004,0)))</f>
        <v/>
      </c>
      <c r="Q339" s="9">
        <f>IF($K339="","",INDEX('سجل التحفيز'!$E$5:$E$2004,MATCH($K339,'سجل التحفيز'!$V$5:$V$2004,0)))</f>
        <v/>
      </c>
      <c r="R339" s="9">
        <f>IF($K339="","",INDEX('سجل التحفيز'!$F$5:$F$2004,MATCH($K339,'سجل التحفيز'!$V$5:$V$2004,0)))</f>
        <v/>
      </c>
      <c r="S339" s="35">
        <f>IF($K339="","",INDEX('سجل التحفيز'!$G$5:$G$2004,MATCH($K339,'سجل التحفيز'!$V$5:$V$2004,0)))</f>
        <v/>
      </c>
    </row>
    <row r="340">
      <c r="K340" s="36">
        <f>IF(287&gt;$B$10,"",287)</f>
        <v/>
      </c>
      <c r="L340" s="37">
        <f>IF($K340="","",INDEX('سجل التحفيز'!$A$5:$A$2004,MATCH($K340,'سجل التحفيز'!$V$5:$V$2004,0)))</f>
        <v/>
      </c>
      <c r="M340" s="9">
        <f>IF($K340="","",INDEX('سجل التحفيز'!$B$5:$B$2004,MATCH($K340,'سجل التحفيز'!$V$5:$V$2004,0)))</f>
        <v/>
      </c>
      <c r="N340" s="9">
        <f>IF($K340="","",INDEX('سجل التحفيز'!$M$5:$M$2004,MATCH($K340,'سجل التحفيز'!$V$5:$V$2004,0)))</f>
        <v/>
      </c>
      <c r="O340" s="9">
        <f>IF($K340="","",INDEX('سجل التحفيز'!$C$5:$C$2004,MATCH($K340,'سجل التحفيز'!$V$5:$V$2004,0)))</f>
        <v/>
      </c>
      <c r="P340" s="36">
        <f>IF($K340="","",INDEX('سجل التحفيز'!$D$5:$D$2004,MATCH($K340,'سجل التحفيز'!$V$5:$V$2004,0)))</f>
        <v/>
      </c>
      <c r="Q340" s="9">
        <f>IF($K340="","",INDEX('سجل التحفيز'!$E$5:$E$2004,MATCH($K340,'سجل التحفيز'!$V$5:$V$2004,0)))</f>
        <v/>
      </c>
      <c r="R340" s="9">
        <f>IF($K340="","",INDEX('سجل التحفيز'!$F$5:$F$2004,MATCH($K340,'سجل التحفيز'!$V$5:$V$2004,0)))</f>
        <v/>
      </c>
      <c r="S340" s="35">
        <f>IF($K340="","",INDEX('سجل التحفيز'!$G$5:$G$2004,MATCH($K340,'سجل التحفيز'!$V$5:$V$2004,0)))</f>
        <v/>
      </c>
    </row>
    <row r="341">
      <c r="K341" s="36">
        <f>IF(288&gt;$B$10,"",288)</f>
        <v/>
      </c>
      <c r="L341" s="37">
        <f>IF($K341="","",INDEX('سجل التحفيز'!$A$5:$A$2004,MATCH($K341,'سجل التحفيز'!$V$5:$V$2004,0)))</f>
        <v/>
      </c>
      <c r="M341" s="9">
        <f>IF($K341="","",INDEX('سجل التحفيز'!$B$5:$B$2004,MATCH($K341,'سجل التحفيز'!$V$5:$V$2004,0)))</f>
        <v/>
      </c>
      <c r="N341" s="9">
        <f>IF($K341="","",INDEX('سجل التحفيز'!$M$5:$M$2004,MATCH($K341,'سجل التحفيز'!$V$5:$V$2004,0)))</f>
        <v/>
      </c>
      <c r="O341" s="9">
        <f>IF($K341="","",INDEX('سجل التحفيز'!$C$5:$C$2004,MATCH($K341,'سجل التحفيز'!$V$5:$V$2004,0)))</f>
        <v/>
      </c>
      <c r="P341" s="36">
        <f>IF($K341="","",INDEX('سجل التحفيز'!$D$5:$D$2004,MATCH($K341,'سجل التحفيز'!$V$5:$V$2004,0)))</f>
        <v/>
      </c>
      <c r="Q341" s="9">
        <f>IF($K341="","",INDEX('سجل التحفيز'!$E$5:$E$2004,MATCH($K341,'سجل التحفيز'!$V$5:$V$2004,0)))</f>
        <v/>
      </c>
      <c r="R341" s="9">
        <f>IF($K341="","",INDEX('سجل التحفيز'!$F$5:$F$2004,MATCH($K341,'سجل التحفيز'!$V$5:$V$2004,0)))</f>
        <v/>
      </c>
      <c r="S341" s="35">
        <f>IF($K341="","",INDEX('سجل التحفيز'!$G$5:$G$2004,MATCH($K341,'سجل التحفيز'!$V$5:$V$2004,0)))</f>
        <v/>
      </c>
    </row>
    <row r="342">
      <c r="K342" s="36">
        <f>IF(289&gt;$B$10,"",289)</f>
        <v/>
      </c>
      <c r="L342" s="37">
        <f>IF($K342="","",INDEX('سجل التحفيز'!$A$5:$A$2004,MATCH($K342,'سجل التحفيز'!$V$5:$V$2004,0)))</f>
        <v/>
      </c>
      <c r="M342" s="9">
        <f>IF($K342="","",INDEX('سجل التحفيز'!$B$5:$B$2004,MATCH($K342,'سجل التحفيز'!$V$5:$V$2004,0)))</f>
        <v/>
      </c>
      <c r="N342" s="9">
        <f>IF($K342="","",INDEX('سجل التحفيز'!$M$5:$M$2004,MATCH($K342,'سجل التحفيز'!$V$5:$V$2004,0)))</f>
        <v/>
      </c>
      <c r="O342" s="9">
        <f>IF($K342="","",INDEX('سجل التحفيز'!$C$5:$C$2004,MATCH($K342,'سجل التحفيز'!$V$5:$V$2004,0)))</f>
        <v/>
      </c>
      <c r="P342" s="36">
        <f>IF($K342="","",INDEX('سجل التحفيز'!$D$5:$D$2004,MATCH($K342,'سجل التحفيز'!$V$5:$V$2004,0)))</f>
        <v/>
      </c>
      <c r="Q342" s="9">
        <f>IF($K342="","",INDEX('سجل التحفيز'!$E$5:$E$2004,MATCH($K342,'سجل التحفيز'!$V$5:$V$2004,0)))</f>
        <v/>
      </c>
      <c r="R342" s="9">
        <f>IF($K342="","",INDEX('سجل التحفيز'!$F$5:$F$2004,MATCH($K342,'سجل التحفيز'!$V$5:$V$2004,0)))</f>
        <v/>
      </c>
      <c r="S342" s="35">
        <f>IF($K342="","",INDEX('سجل التحفيز'!$G$5:$G$2004,MATCH($K342,'سجل التحفيز'!$V$5:$V$2004,0)))</f>
        <v/>
      </c>
    </row>
    <row r="343">
      <c r="K343" s="36">
        <f>IF(290&gt;$B$10,"",290)</f>
        <v/>
      </c>
      <c r="L343" s="37">
        <f>IF($K343="","",INDEX('سجل التحفيز'!$A$5:$A$2004,MATCH($K343,'سجل التحفيز'!$V$5:$V$2004,0)))</f>
        <v/>
      </c>
      <c r="M343" s="9">
        <f>IF($K343="","",INDEX('سجل التحفيز'!$B$5:$B$2004,MATCH($K343,'سجل التحفيز'!$V$5:$V$2004,0)))</f>
        <v/>
      </c>
      <c r="N343" s="9">
        <f>IF($K343="","",INDEX('سجل التحفيز'!$M$5:$M$2004,MATCH($K343,'سجل التحفيز'!$V$5:$V$2004,0)))</f>
        <v/>
      </c>
      <c r="O343" s="9">
        <f>IF($K343="","",INDEX('سجل التحفيز'!$C$5:$C$2004,MATCH($K343,'سجل التحفيز'!$V$5:$V$2004,0)))</f>
        <v/>
      </c>
      <c r="P343" s="36">
        <f>IF($K343="","",INDEX('سجل التحفيز'!$D$5:$D$2004,MATCH($K343,'سجل التحفيز'!$V$5:$V$2004,0)))</f>
        <v/>
      </c>
      <c r="Q343" s="9">
        <f>IF($K343="","",INDEX('سجل التحفيز'!$E$5:$E$2004,MATCH($K343,'سجل التحفيز'!$V$5:$V$2004,0)))</f>
        <v/>
      </c>
      <c r="R343" s="9">
        <f>IF($K343="","",INDEX('سجل التحفيز'!$F$5:$F$2004,MATCH($K343,'سجل التحفيز'!$V$5:$V$2004,0)))</f>
        <v/>
      </c>
      <c r="S343" s="35">
        <f>IF($K343="","",INDEX('سجل التحفيز'!$G$5:$G$2004,MATCH($K343,'سجل التحفيز'!$V$5:$V$2004,0)))</f>
        <v/>
      </c>
    </row>
    <row r="344">
      <c r="K344" s="36">
        <f>IF(291&gt;$B$10,"",291)</f>
        <v/>
      </c>
      <c r="L344" s="37">
        <f>IF($K344="","",INDEX('سجل التحفيز'!$A$5:$A$2004,MATCH($K344,'سجل التحفيز'!$V$5:$V$2004,0)))</f>
        <v/>
      </c>
      <c r="M344" s="9">
        <f>IF($K344="","",INDEX('سجل التحفيز'!$B$5:$B$2004,MATCH($K344,'سجل التحفيز'!$V$5:$V$2004,0)))</f>
        <v/>
      </c>
      <c r="N344" s="9">
        <f>IF($K344="","",INDEX('سجل التحفيز'!$M$5:$M$2004,MATCH($K344,'سجل التحفيز'!$V$5:$V$2004,0)))</f>
        <v/>
      </c>
      <c r="O344" s="9">
        <f>IF($K344="","",INDEX('سجل التحفيز'!$C$5:$C$2004,MATCH($K344,'سجل التحفيز'!$V$5:$V$2004,0)))</f>
        <v/>
      </c>
      <c r="P344" s="36">
        <f>IF($K344="","",INDEX('سجل التحفيز'!$D$5:$D$2004,MATCH($K344,'سجل التحفيز'!$V$5:$V$2004,0)))</f>
        <v/>
      </c>
      <c r="Q344" s="9">
        <f>IF($K344="","",INDEX('سجل التحفيز'!$E$5:$E$2004,MATCH($K344,'سجل التحفيز'!$V$5:$V$2004,0)))</f>
        <v/>
      </c>
      <c r="R344" s="9">
        <f>IF($K344="","",INDEX('سجل التحفيز'!$F$5:$F$2004,MATCH($K344,'سجل التحفيز'!$V$5:$V$2004,0)))</f>
        <v/>
      </c>
      <c r="S344" s="35">
        <f>IF($K344="","",INDEX('سجل التحفيز'!$G$5:$G$2004,MATCH($K344,'سجل التحفيز'!$V$5:$V$2004,0)))</f>
        <v/>
      </c>
    </row>
    <row r="345">
      <c r="K345" s="36">
        <f>IF(292&gt;$B$10,"",292)</f>
        <v/>
      </c>
      <c r="L345" s="37">
        <f>IF($K345="","",INDEX('سجل التحفيز'!$A$5:$A$2004,MATCH($K345,'سجل التحفيز'!$V$5:$V$2004,0)))</f>
        <v/>
      </c>
      <c r="M345" s="9">
        <f>IF($K345="","",INDEX('سجل التحفيز'!$B$5:$B$2004,MATCH($K345,'سجل التحفيز'!$V$5:$V$2004,0)))</f>
        <v/>
      </c>
      <c r="N345" s="9">
        <f>IF($K345="","",INDEX('سجل التحفيز'!$M$5:$M$2004,MATCH($K345,'سجل التحفيز'!$V$5:$V$2004,0)))</f>
        <v/>
      </c>
      <c r="O345" s="9">
        <f>IF($K345="","",INDEX('سجل التحفيز'!$C$5:$C$2004,MATCH($K345,'سجل التحفيز'!$V$5:$V$2004,0)))</f>
        <v/>
      </c>
      <c r="P345" s="36">
        <f>IF($K345="","",INDEX('سجل التحفيز'!$D$5:$D$2004,MATCH($K345,'سجل التحفيز'!$V$5:$V$2004,0)))</f>
        <v/>
      </c>
      <c r="Q345" s="9">
        <f>IF($K345="","",INDEX('سجل التحفيز'!$E$5:$E$2004,MATCH($K345,'سجل التحفيز'!$V$5:$V$2004,0)))</f>
        <v/>
      </c>
      <c r="R345" s="9">
        <f>IF($K345="","",INDEX('سجل التحفيز'!$F$5:$F$2004,MATCH($K345,'سجل التحفيز'!$V$5:$V$2004,0)))</f>
        <v/>
      </c>
      <c r="S345" s="35">
        <f>IF($K345="","",INDEX('سجل التحفيز'!$G$5:$G$2004,MATCH($K345,'سجل التحفيز'!$V$5:$V$2004,0)))</f>
        <v/>
      </c>
    </row>
    <row r="346">
      <c r="K346" s="36">
        <f>IF(293&gt;$B$10,"",293)</f>
        <v/>
      </c>
      <c r="L346" s="37">
        <f>IF($K346="","",INDEX('سجل التحفيز'!$A$5:$A$2004,MATCH($K346,'سجل التحفيز'!$V$5:$V$2004,0)))</f>
        <v/>
      </c>
      <c r="M346" s="9">
        <f>IF($K346="","",INDEX('سجل التحفيز'!$B$5:$B$2004,MATCH($K346,'سجل التحفيز'!$V$5:$V$2004,0)))</f>
        <v/>
      </c>
      <c r="N346" s="9">
        <f>IF($K346="","",INDEX('سجل التحفيز'!$M$5:$M$2004,MATCH($K346,'سجل التحفيز'!$V$5:$V$2004,0)))</f>
        <v/>
      </c>
      <c r="O346" s="9">
        <f>IF($K346="","",INDEX('سجل التحفيز'!$C$5:$C$2004,MATCH($K346,'سجل التحفيز'!$V$5:$V$2004,0)))</f>
        <v/>
      </c>
      <c r="P346" s="36">
        <f>IF($K346="","",INDEX('سجل التحفيز'!$D$5:$D$2004,MATCH($K346,'سجل التحفيز'!$V$5:$V$2004,0)))</f>
        <v/>
      </c>
      <c r="Q346" s="9">
        <f>IF($K346="","",INDEX('سجل التحفيز'!$E$5:$E$2004,MATCH($K346,'سجل التحفيز'!$V$5:$V$2004,0)))</f>
        <v/>
      </c>
      <c r="R346" s="9">
        <f>IF($K346="","",INDEX('سجل التحفيز'!$F$5:$F$2004,MATCH($K346,'سجل التحفيز'!$V$5:$V$2004,0)))</f>
        <v/>
      </c>
      <c r="S346" s="35">
        <f>IF($K346="","",INDEX('سجل التحفيز'!$G$5:$G$2004,MATCH($K346,'سجل التحفيز'!$V$5:$V$2004,0)))</f>
        <v/>
      </c>
    </row>
    <row r="347">
      <c r="K347" s="36">
        <f>IF(294&gt;$B$10,"",294)</f>
        <v/>
      </c>
      <c r="L347" s="37">
        <f>IF($K347="","",INDEX('سجل التحفيز'!$A$5:$A$2004,MATCH($K347,'سجل التحفيز'!$V$5:$V$2004,0)))</f>
        <v/>
      </c>
      <c r="M347" s="9">
        <f>IF($K347="","",INDEX('سجل التحفيز'!$B$5:$B$2004,MATCH($K347,'سجل التحفيز'!$V$5:$V$2004,0)))</f>
        <v/>
      </c>
      <c r="N347" s="9">
        <f>IF($K347="","",INDEX('سجل التحفيز'!$M$5:$M$2004,MATCH($K347,'سجل التحفيز'!$V$5:$V$2004,0)))</f>
        <v/>
      </c>
      <c r="O347" s="9">
        <f>IF($K347="","",INDEX('سجل التحفيز'!$C$5:$C$2004,MATCH($K347,'سجل التحفيز'!$V$5:$V$2004,0)))</f>
        <v/>
      </c>
      <c r="P347" s="36">
        <f>IF($K347="","",INDEX('سجل التحفيز'!$D$5:$D$2004,MATCH($K347,'سجل التحفيز'!$V$5:$V$2004,0)))</f>
        <v/>
      </c>
      <c r="Q347" s="9">
        <f>IF($K347="","",INDEX('سجل التحفيز'!$E$5:$E$2004,MATCH($K347,'سجل التحفيز'!$V$5:$V$2004,0)))</f>
        <v/>
      </c>
      <c r="R347" s="9">
        <f>IF($K347="","",INDEX('سجل التحفيز'!$F$5:$F$2004,MATCH($K347,'سجل التحفيز'!$V$5:$V$2004,0)))</f>
        <v/>
      </c>
      <c r="S347" s="35">
        <f>IF($K347="","",INDEX('سجل التحفيز'!$G$5:$G$2004,MATCH($K347,'سجل التحفيز'!$V$5:$V$2004,0)))</f>
        <v/>
      </c>
    </row>
    <row r="348">
      <c r="K348" s="36">
        <f>IF(295&gt;$B$10,"",295)</f>
        <v/>
      </c>
      <c r="L348" s="37">
        <f>IF($K348="","",INDEX('سجل التحفيز'!$A$5:$A$2004,MATCH($K348,'سجل التحفيز'!$V$5:$V$2004,0)))</f>
        <v/>
      </c>
      <c r="M348" s="9">
        <f>IF($K348="","",INDEX('سجل التحفيز'!$B$5:$B$2004,MATCH($K348,'سجل التحفيز'!$V$5:$V$2004,0)))</f>
        <v/>
      </c>
      <c r="N348" s="9">
        <f>IF($K348="","",INDEX('سجل التحفيز'!$M$5:$M$2004,MATCH($K348,'سجل التحفيز'!$V$5:$V$2004,0)))</f>
        <v/>
      </c>
      <c r="O348" s="9">
        <f>IF($K348="","",INDEX('سجل التحفيز'!$C$5:$C$2004,MATCH($K348,'سجل التحفيز'!$V$5:$V$2004,0)))</f>
        <v/>
      </c>
      <c r="P348" s="36">
        <f>IF($K348="","",INDEX('سجل التحفيز'!$D$5:$D$2004,MATCH($K348,'سجل التحفيز'!$V$5:$V$2004,0)))</f>
        <v/>
      </c>
      <c r="Q348" s="9">
        <f>IF($K348="","",INDEX('سجل التحفيز'!$E$5:$E$2004,MATCH($K348,'سجل التحفيز'!$V$5:$V$2004,0)))</f>
        <v/>
      </c>
      <c r="R348" s="9">
        <f>IF($K348="","",INDEX('سجل التحفيز'!$F$5:$F$2004,MATCH($K348,'سجل التحفيز'!$V$5:$V$2004,0)))</f>
        <v/>
      </c>
      <c r="S348" s="35">
        <f>IF($K348="","",INDEX('سجل التحفيز'!$G$5:$G$2004,MATCH($K348,'سجل التحفيز'!$V$5:$V$2004,0)))</f>
        <v/>
      </c>
    </row>
    <row r="349">
      <c r="K349" s="36">
        <f>IF(296&gt;$B$10,"",296)</f>
        <v/>
      </c>
      <c r="L349" s="37">
        <f>IF($K349="","",INDEX('سجل التحفيز'!$A$5:$A$2004,MATCH($K349,'سجل التحفيز'!$V$5:$V$2004,0)))</f>
        <v/>
      </c>
      <c r="M349" s="9">
        <f>IF($K349="","",INDEX('سجل التحفيز'!$B$5:$B$2004,MATCH($K349,'سجل التحفيز'!$V$5:$V$2004,0)))</f>
        <v/>
      </c>
      <c r="N349" s="9">
        <f>IF($K349="","",INDEX('سجل التحفيز'!$M$5:$M$2004,MATCH($K349,'سجل التحفيز'!$V$5:$V$2004,0)))</f>
        <v/>
      </c>
      <c r="O349" s="9">
        <f>IF($K349="","",INDEX('سجل التحفيز'!$C$5:$C$2004,MATCH($K349,'سجل التحفيز'!$V$5:$V$2004,0)))</f>
        <v/>
      </c>
      <c r="P349" s="36">
        <f>IF($K349="","",INDEX('سجل التحفيز'!$D$5:$D$2004,MATCH($K349,'سجل التحفيز'!$V$5:$V$2004,0)))</f>
        <v/>
      </c>
      <c r="Q349" s="9">
        <f>IF($K349="","",INDEX('سجل التحفيز'!$E$5:$E$2004,MATCH($K349,'سجل التحفيز'!$V$5:$V$2004,0)))</f>
        <v/>
      </c>
      <c r="R349" s="9">
        <f>IF($K349="","",INDEX('سجل التحفيز'!$F$5:$F$2004,MATCH($K349,'سجل التحفيز'!$V$5:$V$2004,0)))</f>
        <v/>
      </c>
      <c r="S349" s="35">
        <f>IF($K349="","",INDEX('سجل التحفيز'!$G$5:$G$2004,MATCH($K349,'سجل التحفيز'!$V$5:$V$2004,0)))</f>
        <v/>
      </c>
    </row>
    <row r="350">
      <c r="K350" s="36">
        <f>IF(297&gt;$B$10,"",297)</f>
        <v/>
      </c>
      <c r="L350" s="37">
        <f>IF($K350="","",INDEX('سجل التحفيز'!$A$5:$A$2004,MATCH($K350,'سجل التحفيز'!$V$5:$V$2004,0)))</f>
        <v/>
      </c>
      <c r="M350" s="9">
        <f>IF($K350="","",INDEX('سجل التحفيز'!$B$5:$B$2004,MATCH($K350,'سجل التحفيز'!$V$5:$V$2004,0)))</f>
        <v/>
      </c>
      <c r="N350" s="9">
        <f>IF($K350="","",INDEX('سجل التحفيز'!$M$5:$M$2004,MATCH($K350,'سجل التحفيز'!$V$5:$V$2004,0)))</f>
        <v/>
      </c>
      <c r="O350" s="9">
        <f>IF($K350="","",INDEX('سجل التحفيز'!$C$5:$C$2004,MATCH($K350,'سجل التحفيز'!$V$5:$V$2004,0)))</f>
        <v/>
      </c>
      <c r="P350" s="36">
        <f>IF($K350="","",INDEX('سجل التحفيز'!$D$5:$D$2004,MATCH($K350,'سجل التحفيز'!$V$5:$V$2004,0)))</f>
        <v/>
      </c>
      <c r="Q350" s="9">
        <f>IF($K350="","",INDEX('سجل التحفيز'!$E$5:$E$2004,MATCH($K350,'سجل التحفيز'!$V$5:$V$2004,0)))</f>
        <v/>
      </c>
      <c r="R350" s="9">
        <f>IF($K350="","",INDEX('سجل التحفيز'!$F$5:$F$2004,MATCH($K350,'سجل التحفيز'!$V$5:$V$2004,0)))</f>
        <v/>
      </c>
      <c r="S350" s="35">
        <f>IF($K350="","",INDEX('سجل التحفيز'!$G$5:$G$2004,MATCH($K350,'سجل التحفيز'!$V$5:$V$2004,0)))</f>
        <v/>
      </c>
    </row>
    <row r="351">
      <c r="K351" s="36">
        <f>IF(298&gt;$B$10,"",298)</f>
        <v/>
      </c>
      <c r="L351" s="37">
        <f>IF($K351="","",INDEX('سجل التحفيز'!$A$5:$A$2004,MATCH($K351,'سجل التحفيز'!$V$5:$V$2004,0)))</f>
        <v/>
      </c>
      <c r="M351" s="9">
        <f>IF($K351="","",INDEX('سجل التحفيز'!$B$5:$B$2004,MATCH($K351,'سجل التحفيز'!$V$5:$V$2004,0)))</f>
        <v/>
      </c>
      <c r="N351" s="9">
        <f>IF($K351="","",INDEX('سجل التحفيز'!$M$5:$M$2004,MATCH($K351,'سجل التحفيز'!$V$5:$V$2004,0)))</f>
        <v/>
      </c>
      <c r="O351" s="9">
        <f>IF($K351="","",INDEX('سجل التحفيز'!$C$5:$C$2004,MATCH($K351,'سجل التحفيز'!$V$5:$V$2004,0)))</f>
        <v/>
      </c>
      <c r="P351" s="36">
        <f>IF($K351="","",INDEX('سجل التحفيز'!$D$5:$D$2004,MATCH($K351,'سجل التحفيز'!$V$5:$V$2004,0)))</f>
        <v/>
      </c>
      <c r="Q351" s="9">
        <f>IF($K351="","",INDEX('سجل التحفيز'!$E$5:$E$2004,MATCH($K351,'سجل التحفيز'!$V$5:$V$2004,0)))</f>
        <v/>
      </c>
      <c r="R351" s="9">
        <f>IF($K351="","",INDEX('سجل التحفيز'!$F$5:$F$2004,MATCH($K351,'سجل التحفيز'!$V$5:$V$2004,0)))</f>
        <v/>
      </c>
      <c r="S351" s="35">
        <f>IF($K351="","",INDEX('سجل التحفيز'!$G$5:$G$2004,MATCH($K351,'سجل التحفيز'!$V$5:$V$2004,0)))</f>
        <v/>
      </c>
    </row>
    <row r="352">
      <c r="K352" s="36">
        <f>IF(299&gt;$B$10,"",299)</f>
        <v/>
      </c>
      <c r="L352" s="37">
        <f>IF($K352="","",INDEX('سجل التحفيز'!$A$5:$A$2004,MATCH($K352,'سجل التحفيز'!$V$5:$V$2004,0)))</f>
        <v/>
      </c>
      <c r="M352" s="9">
        <f>IF($K352="","",INDEX('سجل التحفيز'!$B$5:$B$2004,MATCH($K352,'سجل التحفيز'!$V$5:$V$2004,0)))</f>
        <v/>
      </c>
      <c r="N352" s="9">
        <f>IF($K352="","",INDEX('سجل التحفيز'!$M$5:$M$2004,MATCH($K352,'سجل التحفيز'!$V$5:$V$2004,0)))</f>
        <v/>
      </c>
      <c r="O352" s="9">
        <f>IF($K352="","",INDEX('سجل التحفيز'!$C$5:$C$2004,MATCH($K352,'سجل التحفيز'!$V$5:$V$2004,0)))</f>
        <v/>
      </c>
      <c r="P352" s="36">
        <f>IF($K352="","",INDEX('سجل التحفيز'!$D$5:$D$2004,MATCH($K352,'سجل التحفيز'!$V$5:$V$2004,0)))</f>
        <v/>
      </c>
      <c r="Q352" s="9">
        <f>IF($K352="","",INDEX('سجل التحفيز'!$E$5:$E$2004,MATCH($K352,'سجل التحفيز'!$V$5:$V$2004,0)))</f>
        <v/>
      </c>
      <c r="R352" s="9">
        <f>IF($K352="","",INDEX('سجل التحفيز'!$F$5:$F$2004,MATCH($K352,'سجل التحفيز'!$V$5:$V$2004,0)))</f>
        <v/>
      </c>
      <c r="S352" s="35">
        <f>IF($K352="","",INDEX('سجل التحفيز'!$G$5:$G$2004,MATCH($K352,'سجل التحفيز'!$V$5:$V$2004,0)))</f>
        <v/>
      </c>
    </row>
    <row r="353">
      <c r="K353" s="36">
        <f>IF(300&gt;$B$10,"",300)</f>
        <v/>
      </c>
      <c r="L353" s="37">
        <f>IF($K353="","",INDEX('سجل التحفيز'!$A$5:$A$2004,MATCH($K353,'سجل التحفيز'!$V$5:$V$2004,0)))</f>
        <v/>
      </c>
      <c r="M353" s="9">
        <f>IF($K353="","",INDEX('سجل التحفيز'!$B$5:$B$2004,MATCH($K353,'سجل التحفيز'!$V$5:$V$2004,0)))</f>
        <v/>
      </c>
      <c r="N353" s="9">
        <f>IF($K353="","",INDEX('سجل التحفيز'!$M$5:$M$2004,MATCH($K353,'سجل التحفيز'!$V$5:$V$2004,0)))</f>
        <v/>
      </c>
      <c r="O353" s="9">
        <f>IF($K353="","",INDEX('سجل التحفيز'!$C$5:$C$2004,MATCH($K353,'سجل التحفيز'!$V$5:$V$2004,0)))</f>
        <v/>
      </c>
      <c r="P353" s="36">
        <f>IF($K353="","",INDEX('سجل التحفيز'!$D$5:$D$2004,MATCH($K353,'سجل التحفيز'!$V$5:$V$2004,0)))</f>
        <v/>
      </c>
      <c r="Q353" s="9">
        <f>IF($K353="","",INDEX('سجل التحفيز'!$E$5:$E$2004,MATCH($K353,'سجل التحفيز'!$V$5:$V$2004,0)))</f>
        <v/>
      </c>
      <c r="R353" s="9">
        <f>IF($K353="","",INDEX('سجل التحفيز'!$F$5:$F$2004,MATCH($K353,'سجل التحفيز'!$V$5:$V$2004,0)))</f>
        <v/>
      </c>
      <c r="S353" s="35">
        <f>IF($K353="","",INDEX('سجل التحفيز'!$G$5:$G$2004,MATCH($K353,'سجل التحفيز'!$V$5:$V$2004,0)))</f>
        <v/>
      </c>
    </row>
    <row r="355">
      <c r="K355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54:H203">
    <cfRule type="expression" priority="1" dxfId="3">
      <formula>$B54&lt;&gt;""</formula>
    </cfRule>
    <cfRule type="expression" priority="2" dxfId="1">
      <formula>AND($B54&lt;&gt;"",$G54=1)</formula>
    </cfRule>
  </conditionalFormatting>
  <conditionalFormatting sqref="K54:S353">
    <cfRule type="expression" priority="3" dxfId="3">
      <formula>$K54&lt;&gt;""</formula>
    </cfRule>
    <cfRule type="expression" priority="4" dxfId="4">
      <formula>AND($K54&lt;&gt;"",$P54="ذهبي")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S33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التقرير الشهري — سبتمبر</t>
        </is>
      </c>
    </row>
    <row r="2" ht="30" customHeight="1">
      <c r="A2" s="2" t="inlineStr">
        <is>
          <t>تقرير ثابت لهذا الشهر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شهري</t>
        </is>
      </c>
    </row>
    <row r="6">
      <c r="B6" s="22" t="inlineStr">
        <is>
          <t>الشهر</t>
        </is>
      </c>
      <c r="C6" s="25" t="inlineStr">
        <is>
          <t>سبتمبر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—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التحفيز'!$W$5:$W$2004)</f>
        <v/>
      </c>
      <c r="C10" s="28">
        <f>COUNT(الموظفات!$Q$5:$Q$304)</f>
        <v/>
      </c>
      <c r="D10" s="28">
        <f>COUNTIFS('سجل التحفيز'!$W$5:$W$2004,"&gt;0",'سجل التحفيز'!$D$5:$D$2004,"ذهبي")</f>
        <v/>
      </c>
      <c r="E10" s="28">
        <f>COUNTIFS('سجل التحفيز'!$W$5:$W$2004,"&gt;0",'سجل التحفيز'!$D$5:$D$2004,"أساسي")</f>
        <v/>
      </c>
      <c r="F10" s="28">
        <f>SUMIFS('سجل التحفيز'!$G$5:$G$2004,'سجل التحفيز'!$W$5:$W$2004,"&gt;0")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التحفيز'!$W$5:$W$2004,"&gt;0",'سجل التحفيز'!$C$5:$C$2004,B14,'سجل التحفيز'!$D$5:$D$2004,"أساسي")</f>
        <v/>
      </c>
      <c r="D14" s="31">
        <f>COUNTIFS('سجل التحفيز'!$W$5:$W$2004,"&gt;0",'سجل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التحفيز'!$W$5:$W$2004,"&gt;0",'سجل التحفيز'!$C$5:$C$2004,B14)</f>
        <v/>
      </c>
    </row>
    <row r="15">
      <c r="B15" s="30">
        <f>الإعدادات!A8</f>
        <v/>
      </c>
      <c r="C15" s="31">
        <f>COUNTIFS('سجل التحفيز'!$W$5:$W$2004,"&gt;0",'سجل التحفيز'!$C$5:$C$2004,B15,'سجل التحفيز'!$D$5:$D$2004,"أساسي")</f>
        <v/>
      </c>
      <c r="D15" s="31">
        <f>COUNTIFS('سجل التحفيز'!$W$5:$W$2004,"&gt;0",'سجل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التحفيز'!$W$5:$W$2004,"&gt;0",'سجل التحفيز'!$C$5:$C$2004,B15)</f>
        <v/>
      </c>
    </row>
    <row r="16">
      <c r="B16" s="30">
        <f>الإعدادات!A9</f>
        <v/>
      </c>
      <c r="C16" s="31">
        <f>COUNTIFS('سجل التحفيز'!$W$5:$W$2004,"&gt;0",'سجل التحفيز'!$C$5:$C$2004,B16,'سجل التحفيز'!$D$5:$D$2004,"أساسي")</f>
        <v/>
      </c>
      <c r="D16" s="31">
        <f>COUNTIFS('سجل التحفيز'!$W$5:$W$2004,"&gt;0",'سجل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التحفيز'!$W$5:$W$2004,"&gt;0",'سجل التحفيز'!$C$5:$C$2004,B16)</f>
        <v/>
      </c>
    </row>
    <row r="17">
      <c r="B17" s="30">
        <f>الإعدادات!A10</f>
        <v/>
      </c>
      <c r="C17" s="31">
        <f>COUNTIFS('سجل التحفيز'!$W$5:$W$2004,"&gt;0",'سجل التحفيز'!$C$5:$C$2004,B17,'سجل التحفيز'!$D$5:$D$2004,"أساسي")</f>
        <v/>
      </c>
      <c r="D17" s="31">
        <f>COUNTIFS('سجل التحفيز'!$W$5:$W$2004,"&gt;0",'سجل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التحفيز'!$W$5:$W$2004,"&gt;0",'سجل التحفيز'!$C$5:$C$2004,B17)</f>
        <v/>
      </c>
    </row>
    <row r="18">
      <c r="B18" s="30">
        <f>الإعدادات!A11</f>
        <v/>
      </c>
      <c r="C18" s="31">
        <f>COUNTIFS('سجل التحفيز'!$W$5:$W$2004,"&gt;0",'سجل التحفيز'!$C$5:$C$2004,B18,'سجل التحفيز'!$D$5:$D$2004,"أساسي")</f>
        <v/>
      </c>
      <c r="D18" s="31">
        <f>COUNTIFS('سجل التحفيز'!$W$5:$W$2004,"&gt;0",'سجل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التحفيز'!$W$5:$W$2004,"&gt;0",'سجل التحفيز'!$C$5:$C$2004,B18)</f>
        <v/>
      </c>
    </row>
    <row r="19">
      <c r="B19" s="30">
        <f>الإعدادات!A12</f>
        <v/>
      </c>
      <c r="C19" s="31">
        <f>COUNTIFS('سجل التحفيز'!$W$5:$W$2004,"&gt;0",'سجل التحفيز'!$C$5:$C$2004,B19,'سجل التحفيز'!$D$5:$D$2004,"أساسي")</f>
        <v/>
      </c>
      <c r="D19" s="31">
        <f>COUNTIFS('سجل التحفيز'!$W$5:$W$2004,"&gt;0",'سجل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التحفيز'!$W$5:$W$2004,"&gt;0",'سجل التحفيز'!$C$5:$C$2004,B19)</f>
        <v/>
      </c>
    </row>
    <row r="20">
      <c r="B20" s="30">
        <f>الإعدادات!A13</f>
        <v/>
      </c>
      <c r="C20" s="31">
        <f>COUNTIFS('سجل التحفيز'!$W$5:$W$2004,"&gt;0",'سجل التحفيز'!$C$5:$C$2004,B20,'سجل التحفيز'!$D$5:$D$2004,"أساسي")</f>
        <v/>
      </c>
      <c r="D20" s="31">
        <f>COUNTIFS('سجل التحفيز'!$W$5:$W$2004,"&gt;0",'سجل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التحفيز'!$W$5:$W$2004,"&gt;0",'سجل التحفيز'!$C$5:$C$2004,B20)</f>
        <v/>
      </c>
    </row>
    <row r="21">
      <c r="B21" s="30">
        <f>الإعدادات!A14</f>
        <v/>
      </c>
      <c r="C21" s="31">
        <f>COUNTIFS('سجل التحفيز'!$W$5:$W$2004,"&gt;0",'سجل التحفيز'!$C$5:$C$2004,B21,'سجل التحفيز'!$D$5:$D$2004,"أساسي")</f>
        <v/>
      </c>
      <c r="D21" s="31">
        <f>COUNTIFS('سجل التحفيز'!$W$5:$W$2004,"&gt;0",'سجل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التحفيز'!$W$5:$W$2004,"&gt;0",'سجل التحفيز'!$C$5:$C$2004,B21)</f>
        <v/>
      </c>
    </row>
    <row r="22">
      <c r="B22" s="30">
        <f>الإعدادات!A15</f>
        <v/>
      </c>
      <c r="C22" s="31">
        <f>COUNTIFS('سجل التحفيز'!$W$5:$W$2004,"&gt;0",'سجل التحفيز'!$C$5:$C$2004,B22,'سجل التحفيز'!$D$5:$D$2004,"أساسي")</f>
        <v/>
      </c>
      <c r="D22" s="31">
        <f>COUNTIFS('سجل التحفيز'!$W$5:$W$2004,"&gt;0",'سجل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التحفيز'!$W$5:$W$2004,"&gt;0",'سجل التحفيز'!$C$5:$C$2004,B22)</f>
        <v/>
      </c>
    </row>
    <row r="23">
      <c r="B23" s="30">
        <f>الإعدادات!A16</f>
        <v/>
      </c>
      <c r="C23" s="31">
        <f>COUNTIFS('سجل التحفيز'!$W$5:$W$2004,"&gt;0",'سجل التحفيز'!$C$5:$C$2004,B23,'سجل التحفيز'!$D$5:$D$2004,"أساسي")</f>
        <v/>
      </c>
      <c r="D23" s="31">
        <f>COUNTIFS('سجل التحفيز'!$W$5:$W$2004,"&gt;0",'سجل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التحفيز'!$W$5:$W$2004,"&gt;0",'سجل التحفيز'!$C$5:$C$2004,B23)</f>
        <v/>
      </c>
    </row>
    <row r="24">
      <c r="B24" s="30">
        <f>الإعدادات!A17</f>
        <v/>
      </c>
      <c r="C24" s="31">
        <f>COUNTIFS('سجل التحفيز'!$W$5:$W$2004,"&gt;0",'سجل التحفيز'!$C$5:$C$2004,B24,'سجل التحفيز'!$D$5:$D$2004,"أساسي")</f>
        <v/>
      </c>
      <c r="D24" s="31">
        <f>COUNTIFS('سجل التحفيز'!$W$5:$W$2004,"&gt;0",'سجل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التحفيز'!$W$5:$W$2004,"&gt;0",'سجل التحفيز'!$C$5:$C$2004,B24)</f>
        <v/>
      </c>
    </row>
    <row r="25">
      <c r="B25" s="30">
        <f>الإعدادات!A18</f>
        <v/>
      </c>
      <c r="C25" s="31">
        <f>COUNTIFS('سجل التحفيز'!$W$5:$W$2004,"&gt;0",'سجل التحفيز'!$C$5:$C$2004,B25,'سجل التحفيز'!$D$5:$D$2004,"أساسي")</f>
        <v/>
      </c>
      <c r="D25" s="31">
        <f>COUNTIFS('سجل التحفيز'!$W$5:$W$2004,"&gt;0",'سجل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التحفيز'!$W$5:$W$2004,"&gt;0",'سجل التحفيز'!$C$5:$C$2004,B25)</f>
        <v/>
      </c>
    </row>
    <row r="26">
      <c r="B26" s="30">
        <f>الإعدادات!A19</f>
        <v/>
      </c>
      <c r="C26" s="31">
        <f>COUNTIFS('سجل التحفيز'!$W$5:$W$2004,"&gt;0",'سجل التحفيز'!$C$5:$C$2004,B26,'سجل التحفيز'!$D$5:$D$2004,"أساسي")</f>
        <v/>
      </c>
      <c r="D26" s="31">
        <f>COUNTIFS('سجل التحفيز'!$W$5:$W$2004,"&gt;0",'سجل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التحفيز'!$W$5:$W$2004,"&gt;0",'سجل التحفيز'!$C$5:$C$2004,B26)</f>
        <v/>
      </c>
    </row>
    <row r="27">
      <c r="B27" s="30">
        <f>الإعدادات!A20</f>
        <v/>
      </c>
      <c r="C27" s="31">
        <f>COUNTIFS('سجل التحفيز'!$W$5:$W$2004,"&gt;0",'سجل التحفيز'!$C$5:$C$2004,B27,'سجل التحفيز'!$D$5:$D$2004,"أساسي")</f>
        <v/>
      </c>
      <c r="D27" s="31">
        <f>COUNTIFS('سجل التحفيز'!$W$5:$W$2004,"&gt;0",'سجل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التحفيز'!$W$5:$W$2004,"&gt;0",'سجل التحفيز'!$C$5:$C$2004,B27)</f>
        <v/>
      </c>
    </row>
    <row r="28">
      <c r="B28" s="30">
        <f>الإعدادات!A21</f>
        <v/>
      </c>
      <c r="C28" s="31">
        <f>COUNTIFS('سجل التحفيز'!$W$5:$W$2004,"&gt;0",'سجل التحفيز'!$C$5:$C$2004,B28,'سجل التحفيز'!$D$5:$D$2004,"أساسي")</f>
        <v/>
      </c>
      <c r="D28" s="31">
        <f>COUNTIFS('سجل التحفيز'!$W$5:$W$2004,"&gt;0",'سجل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التحفيز'!$W$5:$W$2004,"&gt;0",'سجل التحفيز'!$C$5:$C$2004,B28)</f>
        <v/>
      </c>
    </row>
    <row r="29">
      <c r="B29" s="30">
        <f>الإعدادات!A22</f>
        <v/>
      </c>
      <c r="C29" s="31">
        <f>COUNTIFS('سجل التحفيز'!$W$5:$W$2004,"&gt;0",'سجل التحفيز'!$C$5:$C$2004,B29,'سجل التحفيز'!$D$5:$D$2004,"أساسي")</f>
        <v/>
      </c>
      <c r="D29" s="31">
        <f>COUNTIFS('سجل التحفيز'!$W$5:$W$2004,"&gt;0",'سجل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التحفيز'!$W$5:$W$2004,"&gt;0",'سجل التحفيز'!$C$5:$C$2004,B29)</f>
        <v/>
      </c>
    </row>
    <row r="30">
      <c r="B30" s="30">
        <f>الإعدادات!A23</f>
        <v/>
      </c>
      <c r="C30" s="31">
        <f>COUNTIFS('سجل التحفيز'!$W$5:$W$2004,"&gt;0",'سجل التحفيز'!$C$5:$C$2004,B30,'سجل التحفيز'!$D$5:$D$2004,"أساسي")</f>
        <v/>
      </c>
      <c r="D30" s="31">
        <f>COUNTIFS('سجل التحفيز'!$W$5:$W$2004,"&gt;0",'سجل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التحفيز'!$W$5:$W$2004,"&gt;0",'سجل التحفيز'!$C$5:$C$2004,B30)</f>
        <v/>
      </c>
    </row>
    <row r="31">
      <c r="B31" s="30">
        <f>الإعدادات!A24</f>
        <v/>
      </c>
      <c r="C31" s="31">
        <f>COUNTIFS('سجل التحفيز'!$W$5:$W$2004,"&gt;0",'سجل التحفيز'!$C$5:$C$2004,B31,'سجل التحفيز'!$D$5:$D$2004,"أساسي")</f>
        <v/>
      </c>
      <c r="D31" s="31">
        <f>COUNTIFS('سجل التحفيز'!$W$5:$W$2004,"&gt;0",'سجل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التحفيز'!$W$5:$W$2004,"&gt;0",'سجل التحفيز'!$C$5:$C$2004,B31)</f>
        <v/>
      </c>
    </row>
    <row r="32">
      <c r="B32" s="30">
        <f>الإعدادات!A25</f>
        <v/>
      </c>
      <c r="C32" s="31">
        <f>COUNTIFS('سجل التحفيز'!$W$5:$W$2004,"&gt;0",'سجل التحفيز'!$C$5:$C$2004,B32,'سجل التحفيز'!$D$5:$D$2004,"أساسي")</f>
        <v/>
      </c>
      <c r="D32" s="31">
        <f>COUNTIFS('سجل التحفيز'!$W$5:$W$2004,"&gt;0",'سجل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التحفيز'!$W$5:$W$2004,"&gt;0",'سجل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الموظفات المُكرَّمات ضمن فترة التقرير</t>
        </is>
      </c>
      <c r="K36" s="29" t="inlineStr">
        <is>
          <t>تفاصيل التكريمات ضمن فترة التقرير</t>
        </is>
      </c>
    </row>
    <row r="37">
      <c r="B37" s="13" t="inlineStr">
        <is>
          <t>اسم الموظفة</t>
        </is>
      </c>
      <c r="C37" s="13" t="inlineStr">
        <is>
          <t>القسم</t>
        </is>
      </c>
      <c r="D37" s="13" t="inlineStr">
        <is>
          <t>عدد التكريمات</t>
        </is>
      </c>
      <c r="E37" s="13" t="inlineStr">
        <is>
          <t>معايير ذهبية</t>
        </is>
      </c>
      <c r="F37" s="13" t="inlineStr">
        <is>
          <t>القيمة (ر.ق)</t>
        </is>
      </c>
      <c r="G37" s="13" t="inlineStr">
        <is>
          <t>الترتيب</t>
        </is>
      </c>
      <c r="H37" s="13" t="inlineStr">
        <is>
          <t>أمري تدللي (السنة)</t>
        </is>
      </c>
      <c r="K37" s="13" t="inlineStr">
        <is>
          <t>م</t>
        </is>
      </c>
      <c r="L37" s="13" t="inlineStr">
        <is>
          <t>التاريخ</t>
        </is>
      </c>
      <c r="M37" s="13" t="inlineStr">
        <is>
          <t>اسم الموظفة</t>
        </is>
      </c>
      <c r="N37" s="13" t="inlineStr">
        <is>
          <t>القسم</t>
        </is>
      </c>
      <c r="O37" s="13" t="inlineStr">
        <is>
          <t>المجال</t>
        </is>
      </c>
      <c r="P37" s="13" t="inlineStr">
        <is>
          <t>المستوى</t>
        </is>
      </c>
      <c r="Q37" s="13" t="inlineStr">
        <is>
          <t>المعيار المحقق</t>
        </is>
      </c>
      <c r="R37" s="13" t="inlineStr">
        <is>
          <t>المكافأة الممنوحة</t>
        </is>
      </c>
      <c r="S37" s="13" t="inlineStr">
        <is>
          <t>القيمة (ر.ق)</t>
        </is>
      </c>
    </row>
    <row r="38">
      <c r="B38" s="34">
        <f>IFERROR(INDEX(الموظفات!$B$5:$B$304,MATCH(1,الموظفات!$Q$5:$Q$304,0)),"")</f>
        <v/>
      </c>
      <c r="C38" s="34">
        <f>IF(B38="","",INDEX(الموظفات!$D$5:$D$304,MATCH(B38,الموظفات!$B$5:$B$304,0))&amp;"")</f>
        <v/>
      </c>
      <c r="D38" s="35">
        <f>IF(B38="","",COUNTIFS('سجل التحفيز'!$W$5:$W$2004,"&gt;0",'سجل التحفيز'!$B$5:$B$2004,B38))</f>
        <v/>
      </c>
      <c r="E38" s="35">
        <f>IF(B38="","",COUNTIFS('سجل التحفيز'!$W$5:$W$2004,"&gt;0",'سجل التحفيز'!$B$5:$B$2004,B38,'سجل التحفيز'!$D$5:$D$2004,"ذهبي"))</f>
        <v/>
      </c>
      <c r="F38" s="35">
        <f>IF(B38="","",SUMIFS('سجل التحفيز'!$G$5:$G$2004,'سجل التحفيز'!$W$5:$W$2004,"&gt;0",'سجل التحفيز'!$B$5:$B$2004,B38))</f>
        <v/>
      </c>
      <c r="G38" s="35">
        <f>IF(B38="","",COUNTIF($D$38:$D$187,"&gt;"&amp;D38)+1)</f>
        <v/>
      </c>
      <c r="H38" s="35">
        <f>IF(B38="","",INDEX(الموظفات!$L$5:$L$304,MATCH(B38,الموظفات!$B$5:$B$304,0)))</f>
        <v/>
      </c>
      <c r="K38" s="36">
        <f>IF(1&gt;$B$10,"",1)</f>
        <v/>
      </c>
      <c r="L38" s="37">
        <f>IF($K38="","",INDEX('سجل التحفيز'!$A$5:$A$2004,MATCH($K38,'سجل التحفيز'!$W$5:$W$2004,0)))</f>
        <v/>
      </c>
      <c r="M38" s="9">
        <f>IF($K38="","",INDEX('سجل التحفيز'!$B$5:$B$2004,MATCH($K38,'سجل التحفيز'!$W$5:$W$2004,0)))</f>
        <v/>
      </c>
      <c r="N38" s="9">
        <f>IF($K38="","",INDEX('سجل التحفيز'!$M$5:$M$2004,MATCH($K38,'سجل التحفيز'!$W$5:$W$2004,0)))</f>
        <v/>
      </c>
      <c r="O38" s="9">
        <f>IF($K38="","",INDEX('سجل التحفيز'!$C$5:$C$2004,MATCH($K38,'سجل التحفيز'!$W$5:$W$2004,0)))</f>
        <v/>
      </c>
      <c r="P38" s="36">
        <f>IF($K38="","",INDEX('سجل التحفيز'!$D$5:$D$2004,MATCH($K38,'سجل التحفيز'!$W$5:$W$2004,0)))</f>
        <v/>
      </c>
      <c r="Q38" s="9">
        <f>IF($K38="","",INDEX('سجل التحفيز'!$E$5:$E$2004,MATCH($K38,'سجل التحفيز'!$W$5:$W$2004,0)))</f>
        <v/>
      </c>
      <c r="R38" s="9">
        <f>IF($K38="","",INDEX('سجل التحفيز'!$F$5:$F$2004,MATCH($K38,'سجل التحفيز'!$W$5:$W$2004,0)))</f>
        <v/>
      </c>
      <c r="S38" s="35">
        <f>IF($K38="","",INDEX('سجل التحفيز'!$G$5:$G$2004,MATCH($K38,'سجل التحفيز'!$W$5:$W$2004,0)))</f>
        <v/>
      </c>
    </row>
    <row r="39">
      <c r="B39" s="34">
        <f>IFERROR(INDEX(الموظفات!$B$5:$B$304,MATCH(2,الموظفات!$Q$5:$Q$304,0)),"")</f>
        <v/>
      </c>
      <c r="C39" s="34">
        <f>IF(B39="","",INDEX(الموظفات!$D$5:$D$304,MATCH(B39,الموظفات!$B$5:$B$304,0))&amp;"")</f>
        <v/>
      </c>
      <c r="D39" s="35">
        <f>IF(B39="","",COUNTIFS('سجل التحفيز'!$W$5:$W$2004,"&gt;0",'سجل التحفيز'!$B$5:$B$2004,B39))</f>
        <v/>
      </c>
      <c r="E39" s="35">
        <f>IF(B39="","",COUNTIFS('سجل التحفيز'!$W$5:$W$2004,"&gt;0",'سجل التحفيز'!$B$5:$B$2004,B39,'سجل التحفيز'!$D$5:$D$2004,"ذهبي"))</f>
        <v/>
      </c>
      <c r="F39" s="35">
        <f>IF(B39="","",SUMIFS('سجل التحفيز'!$G$5:$G$2004,'سجل التحفيز'!$W$5:$W$2004,"&gt;0",'سجل التحفيز'!$B$5:$B$2004,B39))</f>
        <v/>
      </c>
      <c r="G39" s="35">
        <f>IF(B39="","",COUNTIF($D$38:$D$187,"&gt;"&amp;D39)+1)</f>
        <v/>
      </c>
      <c r="H39" s="35">
        <f>IF(B39="","",INDEX(الموظفات!$L$5:$L$304,MATCH(B39,الموظفات!$B$5:$B$304,0)))</f>
        <v/>
      </c>
      <c r="K39" s="36">
        <f>IF(2&gt;$B$10,"",2)</f>
        <v/>
      </c>
      <c r="L39" s="37">
        <f>IF($K39="","",INDEX('سجل التحفيز'!$A$5:$A$2004,MATCH($K39,'سجل التحفيز'!$W$5:$W$2004,0)))</f>
        <v/>
      </c>
      <c r="M39" s="9">
        <f>IF($K39="","",INDEX('سجل التحفيز'!$B$5:$B$2004,MATCH($K39,'سجل التحفيز'!$W$5:$W$2004,0)))</f>
        <v/>
      </c>
      <c r="N39" s="9">
        <f>IF($K39="","",INDEX('سجل التحفيز'!$M$5:$M$2004,MATCH($K39,'سجل التحفيز'!$W$5:$W$2004,0)))</f>
        <v/>
      </c>
      <c r="O39" s="9">
        <f>IF($K39="","",INDEX('سجل التحفيز'!$C$5:$C$2004,MATCH($K39,'سجل التحفيز'!$W$5:$W$2004,0)))</f>
        <v/>
      </c>
      <c r="P39" s="36">
        <f>IF($K39="","",INDEX('سجل التحفيز'!$D$5:$D$2004,MATCH($K39,'سجل التحفيز'!$W$5:$W$2004,0)))</f>
        <v/>
      </c>
      <c r="Q39" s="9">
        <f>IF($K39="","",INDEX('سجل التحفيز'!$E$5:$E$2004,MATCH($K39,'سجل التحفيز'!$W$5:$W$2004,0)))</f>
        <v/>
      </c>
      <c r="R39" s="9">
        <f>IF($K39="","",INDEX('سجل التحفيز'!$F$5:$F$2004,MATCH($K39,'سجل التحفيز'!$W$5:$W$2004,0)))</f>
        <v/>
      </c>
      <c r="S39" s="35">
        <f>IF($K39="","",INDEX('سجل التحفيز'!$G$5:$G$2004,MATCH($K39,'سجل التحفيز'!$W$5:$W$2004,0)))</f>
        <v/>
      </c>
    </row>
    <row r="40">
      <c r="B40" s="34">
        <f>IFERROR(INDEX(الموظفات!$B$5:$B$304,MATCH(3,الموظفات!$Q$5:$Q$304,0)),"")</f>
        <v/>
      </c>
      <c r="C40" s="34">
        <f>IF(B40="","",INDEX(الموظفات!$D$5:$D$304,MATCH(B40,الموظفات!$B$5:$B$304,0))&amp;"")</f>
        <v/>
      </c>
      <c r="D40" s="35">
        <f>IF(B40="","",COUNTIFS('سجل التحفيز'!$W$5:$W$2004,"&gt;0",'سجل التحفيز'!$B$5:$B$2004,B40))</f>
        <v/>
      </c>
      <c r="E40" s="35">
        <f>IF(B40="","",COUNTIFS('سجل التحفيز'!$W$5:$W$2004,"&gt;0",'سجل التحفيز'!$B$5:$B$2004,B40,'سجل التحفيز'!$D$5:$D$2004,"ذهبي"))</f>
        <v/>
      </c>
      <c r="F40" s="35">
        <f>IF(B40="","",SUMIFS('سجل التحفيز'!$G$5:$G$2004,'سجل التحفيز'!$W$5:$W$2004,"&gt;0",'سجل التحفيز'!$B$5:$B$2004,B40))</f>
        <v/>
      </c>
      <c r="G40" s="35">
        <f>IF(B40="","",COUNTIF($D$38:$D$187,"&gt;"&amp;D40)+1)</f>
        <v/>
      </c>
      <c r="H40" s="35">
        <f>IF(B40="","",INDEX(الموظفات!$L$5:$L$304,MATCH(B40,الموظفات!$B$5:$B$304,0)))</f>
        <v/>
      </c>
      <c r="K40" s="36">
        <f>IF(3&gt;$B$10,"",3)</f>
        <v/>
      </c>
      <c r="L40" s="37">
        <f>IF($K40="","",INDEX('سجل التحفيز'!$A$5:$A$2004,MATCH($K40,'سجل التحفيز'!$W$5:$W$2004,0)))</f>
        <v/>
      </c>
      <c r="M40" s="9">
        <f>IF($K40="","",INDEX('سجل التحفيز'!$B$5:$B$2004,MATCH($K40,'سجل التحفيز'!$W$5:$W$2004,0)))</f>
        <v/>
      </c>
      <c r="N40" s="9">
        <f>IF($K40="","",INDEX('سجل التحفيز'!$M$5:$M$2004,MATCH($K40,'سجل التحفيز'!$W$5:$W$2004,0)))</f>
        <v/>
      </c>
      <c r="O40" s="9">
        <f>IF($K40="","",INDEX('سجل التحفيز'!$C$5:$C$2004,MATCH($K40,'سجل التحفيز'!$W$5:$W$2004,0)))</f>
        <v/>
      </c>
      <c r="P40" s="36">
        <f>IF($K40="","",INDEX('سجل التحفيز'!$D$5:$D$2004,MATCH($K40,'سجل التحفيز'!$W$5:$W$2004,0)))</f>
        <v/>
      </c>
      <c r="Q40" s="9">
        <f>IF($K40="","",INDEX('سجل التحفيز'!$E$5:$E$2004,MATCH($K40,'سجل التحفيز'!$W$5:$W$2004,0)))</f>
        <v/>
      </c>
      <c r="R40" s="9">
        <f>IF($K40="","",INDEX('سجل التحفيز'!$F$5:$F$2004,MATCH($K40,'سجل التحفيز'!$W$5:$W$2004,0)))</f>
        <v/>
      </c>
      <c r="S40" s="35">
        <f>IF($K40="","",INDEX('سجل التحفيز'!$G$5:$G$2004,MATCH($K40,'سجل التحفيز'!$W$5:$W$2004,0)))</f>
        <v/>
      </c>
    </row>
    <row r="41">
      <c r="B41" s="34">
        <f>IFERROR(INDEX(الموظفات!$B$5:$B$304,MATCH(4,الموظفات!$Q$5:$Q$304,0)),"")</f>
        <v/>
      </c>
      <c r="C41" s="34">
        <f>IF(B41="","",INDEX(الموظفات!$D$5:$D$304,MATCH(B41,الموظفات!$B$5:$B$304,0))&amp;"")</f>
        <v/>
      </c>
      <c r="D41" s="35">
        <f>IF(B41="","",COUNTIFS('سجل التحفيز'!$W$5:$W$2004,"&gt;0",'سجل التحفيز'!$B$5:$B$2004,B41))</f>
        <v/>
      </c>
      <c r="E41" s="35">
        <f>IF(B41="","",COUNTIFS('سجل التحفيز'!$W$5:$W$2004,"&gt;0",'سجل التحفيز'!$B$5:$B$2004,B41,'سجل التحفيز'!$D$5:$D$2004,"ذهبي"))</f>
        <v/>
      </c>
      <c r="F41" s="35">
        <f>IF(B41="","",SUMIFS('سجل التحفيز'!$G$5:$G$2004,'سجل التحفيز'!$W$5:$W$2004,"&gt;0",'سجل التحفيز'!$B$5:$B$2004,B41))</f>
        <v/>
      </c>
      <c r="G41" s="35">
        <f>IF(B41="","",COUNTIF($D$38:$D$187,"&gt;"&amp;D41)+1)</f>
        <v/>
      </c>
      <c r="H41" s="35">
        <f>IF(B41="","",INDEX(الموظفات!$L$5:$L$304,MATCH(B41,الموظفات!$B$5:$B$304,0)))</f>
        <v/>
      </c>
      <c r="K41" s="36">
        <f>IF(4&gt;$B$10,"",4)</f>
        <v/>
      </c>
      <c r="L41" s="37">
        <f>IF($K41="","",INDEX('سجل التحفيز'!$A$5:$A$2004,MATCH($K41,'سجل التحفيز'!$W$5:$W$2004,0)))</f>
        <v/>
      </c>
      <c r="M41" s="9">
        <f>IF($K41="","",INDEX('سجل التحفيز'!$B$5:$B$2004,MATCH($K41,'سجل التحفيز'!$W$5:$W$2004,0)))</f>
        <v/>
      </c>
      <c r="N41" s="9">
        <f>IF($K41="","",INDEX('سجل التحفيز'!$M$5:$M$2004,MATCH($K41,'سجل التحفيز'!$W$5:$W$2004,0)))</f>
        <v/>
      </c>
      <c r="O41" s="9">
        <f>IF($K41="","",INDEX('سجل التحفيز'!$C$5:$C$2004,MATCH($K41,'سجل التحفيز'!$W$5:$W$2004,0)))</f>
        <v/>
      </c>
      <c r="P41" s="36">
        <f>IF($K41="","",INDEX('سجل التحفيز'!$D$5:$D$2004,MATCH($K41,'سجل التحفيز'!$W$5:$W$2004,0)))</f>
        <v/>
      </c>
      <c r="Q41" s="9">
        <f>IF($K41="","",INDEX('سجل التحفيز'!$E$5:$E$2004,MATCH($K41,'سجل التحفيز'!$W$5:$W$2004,0)))</f>
        <v/>
      </c>
      <c r="R41" s="9">
        <f>IF($K41="","",INDEX('سجل التحفيز'!$F$5:$F$2004,MATCH($K41,'سجل التحفيز'!$W$5:$W$2004,0)))</f>
        <v/>
      </c>
      <c r="S41" s="35">
        <f>IF($K41="","",INDEX('سجل التحفيز'!$G$5:$G$2004,MATCH($K41,'سجل التحفيز'!$W$5:$W$2004,0)))</f>
        <v/>
      </c>
    </row>
    <row r="42">
      <c r="B42" s="34">
        <f>IFERROR(INDEX(الموظفات!$B$5:$B$304,MATCH(5,الموظفات!$Q$5:$Q$304,0)),"")</f>
        <v/>
      </c>
      <c r="C42" s="34">
        <f>IF(B42="","",INDEX(الموظفات!$D$5:$D$304,MATCH(B42,الموظفات!$B$5:$B$304,0))&amp;"")</f>
        <v/>
      </c>
      <c r="D42" s="35">
        <f>IF(B42="","",COUNTIFS('سجل التحفيز'!$W$5:$W$2004,"&gt;0",'سجل التحفيز'!$B$5:$B$2004,B42))</f>
        <v/>
      </c>
      <c r="E42" s="35">
        <f>IF(B42="","",COUNTIFS('سجل التحفيز'!$W$5:$W$2004,"&gt;0",'سجل التحفيز'!$B$5:$B$2004,B42,'سجل التحفيز'!$D$5:$D$2004,"ذهبي"))</f>
        <v/>
      </c>
      <c r="F42" s="35">
        <f>IF(B42="","",SUMIFS('سجل التحفيز'!$G$5:$G$2004,'سجل التحفيز'!$W$5:$W$2004,"&gt;0",'سجل التحفيز'!$B$5:$B$2004,B42))</f>
        <v/>
      </c>
      <c r="G42" s="35">
        <f>IF(B42="","",COUNTIF($D$38:$D$187,"&gt;"&amp;D42)+1)</f>
        <v/>
      </c>
      <c r="H42" s="35">
        <f>IF(B42="","",INDEX(الموظفات!$L$5:$L$304,MATCH(B42,الموظفات!$B$5:$B$304,0)))</f>
        <v/>
      </c>
      <c r="K42" s="36">
        <f>IF(5&gt;$B$10,"",5)</f>
        <v/>
      </c>
      <c r="L42" s="37">
        <f>IF($K42="","",INDEX('سجل التحفيز'!$A$5:$A$2004,MATCH($K42,'سجل التحفيز'!$W$5:$W$2004,0)))</f>
        <v/>
      </c>
      <c r="M42" s="9">
        <f>IF($K42="","",INDEX('سجل التحفيز'!$B$5:$B$2004,MATCH($K42,'سجل التحفيز'!$W$5:$W$2004,0)))</f>
        <v/>
      </c>
      <c r="N42" s="9">
        <f>IF($K42="","",INDEX('سجل التحفيز'!$M$5:$M$2004,MATCH($K42,'سجل التحفيز'!$W$5:$W$2004,0)))</f>
        <v/>
      </c>
      <c r="O42" s="9">
        <f>IF($K42="","",INDEX('سجل التحفيز'!$C$5:$C$2004,MATCH($K42,'سجل التحفيز'!$W$5:$W$2004,0)))</f>
        <v/>
      </c>
      <c r="P42" s="36">
        <f>IF($K42="","",INDEX('سجل التحفيز'!$D$5:$D$2004,MATCH($K42,'سجل التحفيز'!$W$5:$W$2004,0)))</f>
        <v/>
      </c>
      <c r="Q42" s="9">
        <f>IF($K42="","",INDEX('سجل التحفيز'!$E$5:$E$2004,MATCH($K42,'سجل التحفيز'!$W$5:$W$2004,0)))</f>
        <v/>
      </c>
      <c r="R42" s="9">
        <f>IF($K42="","",INDEX('سجل التحفيز'!$F$5:$F$2004,MATCH($K42,'سجل التحفيز'!$W$5:$W$2004,0)))</f>
        <v/>
      </c>
      <c r="S42" s="35">
        <f>IF($K42="","",INDEX('سجل التحفيز'!$G$5:$G$2004,MATCH($K42,'سجل التحفيز'!$W$5:$W$2004,0)))</f>
        <v/>
      </c>
    </row>
    <row r="43">
      <c r="B43" s="34">
        <f>IFERROR(INDEX(الموظفات!$B$5:$B$304,MATCH(6,الموظفات!$Q$5:$Q$304,0)),"")</f>
        <v/>
      </c>
      <c r="C43" s="34">
        <f>IF(B43="","",INDEX(الموظفات!$D$5:$D$304,MATCH(B43,الموظفات!$B$5:$B$304,0))&amp;"")</f>
        <v/>
      </c>
      <c r="D43" s="35">
        <f>IF(B43="","",COUNTIFS('سجل التحفيز'!$W$5:$W$2004,"&gt;0",'سجل التحفيز'!$B$5:$B$2004,B43))</f>
        <v/>
      </c>
      <c r="E43" s="35">
        <f>IF(B43="","",COUNTIFS('سجل التحفيز'!$W$5:$W$2004,"&gt;0",'سجل التحفيز'!$B$5:$B$2004,B43,'سجل التحفيز'!$D$5:$D$2004,"ذهبي"))</f>
        <v/>
      </c>
      <c r="F43" s="35">
        <f>IF(B43="","",SUMIFS('سجل التحفيز'!$G$5:$G$2004,'سجل التحفيز'!$W$5:$W$2004,"&gt;0",'سجل التحفيز'!$B$5:$B$2004,B43))</f>
        <v/>
      </c>
      <c r="G43" s="35">
        <f>IF(B43="","",COUNTIF($D$38:$D$187,"&gt;"&amp;D43)+1)</f>
        <v/>
      </c>
      <c r="H43" s="35">
        <f>IF(B43="","",INDEX(الموظفات!$L$5:$L$304,MATCH(B43,الموظفات!$B$5:$B$304,0)))</f>
        <v/>
      </c>
      <c r="K43" s="36">
        <f>IF(6&gt;$B$10,"",6)</f>
        <v/>
      </c>
      <c r="L43" s="37">
        <f>IF($K43="","",INDEX('سجل التحفيز'!$A$5:$A$2004,MATCH($K43,'سجل التحفيز'!$W$5:$W$2004,0)))</f>
        <v/>
      </c>
      <c r="M43" s="9">
        <f>IF($K43="","",INDEX('سجل التحفيز'!$B$5:$B$2004,MATCH($K43,'سجل التحفيز'!$W$5:$W$2004,0)))</f>
        <v/>
      </c>
      <c r="N43" s="9">
        <f>IF($K43="","",INDEX('سجل التحفيز'!$M$5:$M$2004,MATCH($K43,'سجل التحفيز'!$W$5:$W$2004,0)))</f>
        <v/>
      </c>
      <c r="O43" s="9">
        <f>IF($K43="","",INDEX('سجل التحفيز'!$C$5:$C$2004,MATCH($K43,'سجل التحفيز'!$W$5:$W$2004,0)))</f>
        <v/>
      </c>
      <c r="P43" s="36">
        <f>IF($K43="","",INDEX('سجل التحفيز'!$D$5:$D$2004,MATCH($K43,'سجل التحفيز'!$W$5:$W$2004,0)))</f>
        <v/>
      </c>
      <c r="Q43" s="9">
        <f>IF($K43="","",INDEX('سجل التحفيز'!$E$5:$E$2004,MATCH($K43,'سجل التحفيز'!$W$5:$W$2004,0)))</f>
        <v/>
      </c>
      <c r="R43" s="9">
        <f>IF($K43="","",INDEX('سجل التحفيز'!$F$5:$F$2004,MATCH($K43,'سجل التحفيز'!$W$5:$W$2004,0)))</f>
        <v/>
      </c>
      <c r="S43" s="35">
        <f>IF($K43="","",INDEX('سجل التحفيز'!$G$5:$G$2004,MATCH($K43,'سجل التحفيز'!$W$5:$W$2004,0)))</f>
        <v/>
      </c>
    </row>
    <row r="44">
      <c r="B44" s="34">
        <f>IFERROR(INDEX(الموظفات!$B$5:$B$304,MATCH(7,الموظفات!$Q$5:$Q$304,0)),"")</f>
        <v/>
      </c>
      <c r="C44" s="34">
        <f>IF(B44="","",INDEX(الموظفات!$D$5:$D$304,MATCH(B44,الموظفات!$B$5:$B$304,0))&amp;"")</f>
        <v/>
      </c>
      <c r="D44" s="35">
        <f>IF(B44="","",COUNTIFS('سجل التحفيز'!$W$5:$W$2004,"&gt;0",'سجل التحفيز'!$B$5:$B$2004,B44))</f>
        <v/>
      </c>
      <c r="E44" s="35">
        <f>IF(B44="","",COUNTIFS('سجل التحفيز'!$W$5:$W$2004,"&gt;0",'سجل التحفيز'!$B$5:$B$2004,B44,'سجل التحفيز'!$D$5:$D$2004,"ذهبي"))</f>
        <v/>
      </c>
      <c r="F44" s="35">
        <f>IF(B44="","",SUMIFS('سجل التحفيز'!$G$5:$G$2004,'سجل التحفيز'!$W$5:$W$2004,"&gt;0",'سجل التحفيز'!$B$5:$B$2004,B44))</f>
        <v/>
      </c>
      <c r="G44" s="35">
        <f>IF(B44="","",COUNTIF($D$38:$D$187,"&gt;"&amp;D44)+1)</f>
        <v/>
      </c>
      <c r="H44" s="35">
        <f>IF(B44="","",INDEX(الموظفات!$L$5:$L$304,MATCH(B44,الموظفات!$B$5:$B$304,0)))</f>
        <v/>
      </c>
      <c r="K44" s="36">
        <f>IF(7&gt;$B$10,"",7)</f>
        <v/>
      </c>
      <c r="L44" s="37">
        <f>IF($K44="","",INDEX('سجل التحفيز'!$A$5:$A$2004,MATCH($K44,'سجل التحفيز'!$W$5:$W$2004,0)))</f>
        <v/>
      </c>
      <c r="M44" s="9">
        <f>IF($K44="","",INDEX('سجل التحفيز'!$B$5:$B$2004,MATCH($K44,'سجل التحفيز'!$W$5:$W$2004,0)))</f>
        <v/>
      </c>
      <c r="N44" s="9">
        <f>IF($K44="","",INDEX('سجل التحفيز'!$M$5:$M$2004,MATCH($K44,'سجل التحفيز'!$W$5:$W$2004,0)))</f>
        <v/>
      </c>
      <c r="O44" s="9">
        <f>IF($K44="","",INDEX('سجل التحفيز'!$C$5:$C$2004,MATCH($K44,'سجل التحفيز'!$W$5:$W$2004,0)))</f>
        <v/>
      </c>
      <c r="P44" s="36">
        <f>IF($K44="","",INDEX('سجل التحفيز'!$D$5:$D$2004,MATCH($K44,'سجل التحفيز'!$W$5:$W$2004,0)))</f>
        <v/>
      </c>
      <c r="Q44" s="9">
        <f>IF($K44="","",INDEX('سجل التحفيز'!$E$5:$E$2004,MATCH($K44,'سجل التحفيز'!$W$5:$W$2004,0)))</f>
        <v/>
      </c>
      <c r="R44" s="9">
        <f>IF($K44="","",INDEX('سجل التحفيز'!$F$5:$F$2004,MATCH($K44,'سجل التحفيز'!$W$5:$W$2004,0)))</f>
        <v/>
      </c>
      <c r="S44" s="35">
        <f>IF($K44="","",INDEX('سجل التحفيز'!$G$5:$G$2004,MATCH($K44,'سجل التحفيز'!$W$5:$W$2004,0)))</f>
        <v/>
      </c>
    </row>
    <row r="45">
      <c r="B45" s="34">
        <f>IFERROR(INDEX(الموظفات!$B$5:$B$304,MATCH(8,الموظفات!$Q$5:$Q$304,0)),"")</f>
        <v/>
      </c>
      <c r="C45" s="34">
        <f>IF(B45="","",INDEX(الموظفات!$D$5:$D$304,MATCH(B45,الموظفات!$B$5:$B$304,0))&amp;"")</f>
        <v/>
      </c>
      <c r="D45" s="35">
        <f>IF(B45="","",COUNTIFS('سجل التحفيز'!$W$5:$W$2004,"&gt;0",'سجل التحفيز'!$B$5:$B$2004,B45))</f>
        <v/>
      </c>
      <c r="E45" s="35">
        <f>IF(B45="","",COUNTIFS('سجل التحفيز'!$W$5:$W$2004,"&gt;0",'سجل التحفيز'!$B$5:$B$2004,B45,'سجل التحفيز'!$D$5:$D$2004,"ذهبي"))</f>
        <v/>
      </c>
      <c r="F45" s="35">
        <f>IF(B45="","",SUMIFS('سجل التحفيز'!$G$5:$G$2004,'سجل التحفيز'!$W$5:$W$2004,"&gt;0",'سجل التحفيز'!$B$5:$B$2004,B45))</f>
        <v/>
      </c>
      <c r="G45" s="35">
        <f>IF(B45="","",COUNTIF($D$38:$D$187,"&gt;"&amp;D45)+1)</f>
        <v/>
      </c>
      <c r="H45" s="35">
        <f>IF(B45="","",INDEX(الموظفات!$L$5:$L$304,MATCH(B45,الموظفات!$B$5:$B$304,0)))</f>
        <v/>
      </c>
      <c r="K45" s="36">
        <f>IF(8&gt;$B$10,"",8)</f>
        <v/>
      </c>
      <c r="L45" s="37">
        <f>IF($K45="","",INDEX('سجل التحفيز'!$A$5:$A$2004,MATCH($K45,'سجل التحفيز'!$W$5:$W$2004,0)))</f>
        <v/>
      </c>
      <c r="M45" s="9">
        <f>IF($K45="","",INDEX('سجل التحفيز'!$B$5:$B$2004,MATCH($K45,'سجل التحفيز'!$W$5:$W$2004,0)))</f>
        <v/>
      </c>
      <c r="N45" s="9">
        <f>IF($K45="","",INDEX('سجل التحفيز'!$M$5:$M$2004,MATCH($K45,'سجل التحفيز'!$W$5:$W$2004,0)))</f>
        <v/>
      </c>
      <c r="O45" s="9">
        <f>IF($K45="","",INDEX('سجل التحفيز'!$C$5:$C$2004,MATCH($K45,'سجل التحفيز'!$W$5:$W$2004,0)))</f>
        <v/>
      </c>
      <c r="P45" s="36">
        <f>IF($K45="","",INDEX('سجل التحفيز'!$D$5:$D$2004,MATCH($K45,'سجل التحفيز'!$W$5:$W$2004,0)))</f>
        <v/>
      </c>
      <c r="Q45" s="9">
        <f>IF($K45="","",INDEX('سجل التحفيز'!$E$5:$E$2004,MATCH($K45,'سجل التحفيز'!$W$5:$W$2004,0)))</f>
        <v/>
      </c>
      <c r="R45" s="9">
        <f>IF($K45="","",INDEX('سجل التحفيز'!$F$5:$F$2004,MATCH($K45,'سجل التحفيز'!$W$5:$W$2004,0)))</f>
        <v/>
      </c>
      <c r="S45" s="35">
        <f>IF($K45="","",INDEX('سجل التحفيز'!$G$5:$G$2004,MATCH($K45,'سجل التحفيز'!$W$5:$W$2004,0)))</f>
        <v/>
      </c>
    </row>
    <row r="46">
      <c r="B46" s="34">
        <f>IFERROR(INDEX(الموظفات!$B$5:$B$304,MATCH(9,الموظفات!$Q$5:$Q$304,0)),"")</f>
        <v/>
      </c>
      <c r="C46" s="34">
        <f>IF(B46="","",INDEX(الموظفات!$D$5:$D$304,MATCH(B46,الموظفات!$B$5:$B$304,0))&amp;"")</f>
        <v/>
      </c>
      <c r="D46" s="35">
        <f>IF(B46="","",COUNTIFS('سجل التحفيز'!$W$5:$W$2004,"&gt;0",'سجل التحفيز'!$B$5:$B$2004,B46))</f>
        <v/>
      </c>
      <c r="E46" s="35">
        <f>IF(B46="","",COUNTIFS('سجل التحفيز'!$W$5:$W$2004,"&gt;0",'سجل التحفيز'!$B$5:$B$2004,B46,'سجل التحفيز'!$D$5:$D$2004,"ذهبي"))</f>
        <v/>
      </c>
      <c r="F46" s="35">
        <f>IF(B46="","",SUMIFS('سجل التحفيز'!$G$5:$G$2004,'سجل التحفيز'!$W$5:$W$2004,"&gt;0",'سجل التحفيز'!$B$5:$B$2004,B46))</f>
        <v/>
      </c>
      <c r="G46" s="35">
        <f>IF(B46="","",COUNTIF($D$38:$D$187,"&gt;"&amp;D46)+1)</f>
        <v/>
      </c>
      <c r="H46" s="35">
        <f>IF(B46="","",INDEX(الموظفات!$L$5:$L$304,MATCH(B46,الموظفات!$B$5:$B$304,0)))</f>
        <v/>
      </c>
      <c r="K46" s="36">
        <f>IF(9&gt;$B$10,"",9)</f>
        <v/>
      </c>
      <c r="L46" s="37">
        <f>IF($K46="","",INDEX('سجل التحفيز'!$A$5:$A$2004,MATCH($K46,'سجل التحفيز'!$W$5:$W$2004,0)))</f>
        <v/>
      </c>
      <c r="M46" s="9">
        <f>IF($K46="","",INDEX('سجل التحفيز'!$B$5:$B$2004,MATCH($K46,'سجل التحفيز'!$W$5:$W$2004,0)))</f>
        <v/>
      </c>
      <c r="N46" s="9">
        <f>IF($K46="","",INDEX('سجل التحفيز'!$M$5:$M$2004,MATCH($K46,'سجل التحفيز'!$W$5:$W$2004,0)))</f>
        <v/>
      </c>
      <c r="O46" s="9">
        <f>IF($K46="","",INDEX('سجل التحفيز'!$C$5:$C$2004,MATCH($K46,'سجل التحفيز'!$W$5:$W$2004,0)))</f>
        <v/>
      </c>
      <c r="P46" s="36">
        <f>IF($K46="","",INDEX('سجل التحفيز'!$D$5:$D$2004,MATCH($K46,'سجل التحفيز'!$W$5:$W$2004,0)))</f>
        <v/>
      </c>
      <c r="Q46" s="9">
        <f>IF($K46="","",INDEX('سجل التحفيز'!$E$5:$E$2004,MATCH($K46,'سجل التحفيز'!$W$5:$W$2004,0)))</f>
        <v/>
      </c>
      <c r="R46" s="9">
        <f>IF($K46="","",INDEX('سجل التحفيز'!$F$5:$F$2004,MATCH($K46,'سجل التحفيز'!$W$5:$W$2004,0)))</f>
        <v/>
      </c>
      <c r="S46" s="35">
        <f>IF($K46="","",INDEX('سجل التحفيز'!$G$5:$G$2004,MATCH($K46,'سجل التحفيز'!$W$5:$W$2004,0)))</f>
        <v/>
      </c>
    </row>
    <row r="47">
      <c r="B47" s="34">
        <f>IFERROR(INDEX(الموظفات!$B$5:$B$304,MATCH(10,الموظفات!$Q$5:$Q$304,0)),"")</f>
        <v/>
      </c>
      <c r="C47" s="34">
        <f>IF(B47="","",INDEX(الموظفات!$D$5:$D$304,MATCH(B47,الموظفات!$B$5:$B$304,0))&amp;"")</f>
        <v/>
      </c>
      <c r="D47" s="35">
        <f>IF(B47="","",COUNTIFS('سجل التحفيز'!$W$5:$W$2004,"&gt;0",'سجل التحفيز'!$B$5:$B$2004,B47))</f>
        <v/>
      </c>
      <c r="E47" s="35">
        <f>IF(B47="","",COUNTIFS('سجل التحفيز'!$W$5:$W$2004,"&gt;0",'سجل التحفيز'!$B$5:$B$2004,B47,'سجل التحفيز'!$D$5:$D$2004,"ذهبي"))</f>
        <v/>
      </c>
      <c r="F47" s="35">
        <f>IF(B47="","",SUMIFS('سجل التحفيز'!$G$5:$G$2004,'سجل التحفيز'!$W$5:$W$2004,"&gt;0",'سجل التحفيز'!$B$5:$B$2004,B47))</f>
        <v/>
      </c>
      <c r="G47" s="35">
        <f>IF(B47="","",COUNTIF($D$38:$D$187,"&gt;"&amp;D47)+1)</f>
        <v/>
      </c>
      <c r="H47" s="35">
        <f>IF(B47="","",INDEX(الموظفات!$L$5:$L$304,MATCH(B47,الموظفات!$B$5:$B$304,0)))</f>
        <v/>
      </c>
      <c r="K47" s="36">
        <f>IF(10&gt;$B$10,"",10)</f>
        <v/>
      </c>
      <c r="L47" s="37">
        <f>IF($K47="","",INDEX('سجل التحفيز'!$A$5:$A$2004,MATCH($K47,'سجل التحفيز'!$W$5:$W$2004,0)))</f>
        <v/>
      </c>
      <c r="M47" s="9">
        <f>IF($K47="","",INDEX('سجل التحفيز'!$B$5:$B$2004,MATCH($K47,'سجل التحفيز'!$W$5:$W$2004,0)))</f>
        <v/>
      </c>
      <c r="N47" s="9">
        <f>IF($K47="","",INDEX('سجل التحفيز'!$M$5:$M$2004,MATCH($K47,'سجل التحفيز'!$W$5:$W$2004,0)))</f>
        <v/>
      </c>
      <c r="O47" s="9">
        <f>IF($K47="","",INDEX('سجل التحفيز'!$C$5:$C$2004,MATCH($K47,'سجل التحفيز'!$W$5:$W$2004,0)))</f>
        <v/>
      </c>
      <c r="P47" s="36">
        <f>IF($K47="","",INDEX('سجل التحفيز'!$D$5:$D$2004,MATCH($K47,'سجل التحفيز'!$W$5:$W$2004,0)))</f>
        <v/>
      </c>
      <c r="Q47" s="9">
        <f>IF($K47="","",INDEX('سجل التحفيز'!$E$5:$E$2004,MATCH($K47,'سجل التحفيز'!$W$5:$W$2004,0)))</f>
        <v/>
      </c>
      <c r="R47" s="9">
        <f>IF($K47="","",INDEX('سجل التحفيز'!$F$5:$F$2004,MATCH($K47,'سجل التحفيز'!$W$5:$W$2004,0)))</f>
        <v/>
      </c>
      <c r="S47" s="35">
        <f>IF($K47="","",INDEX('سجل التحفيز'!$G$5:$G$2004,MATCH($K47,'سجل التحفيز'!$W$5:$W$2004,0)))</f>
        <v/>
      </c>
    </row>
    <row r="48">
      <c r="B48" s="34">
        <f>IFERROR(INDEX(الموظفات!$B$5:$B$304,MATCH(11,الموظفات!$Q$5:$Q$304,0)),"")</f>
        <v/>
      </c>
      <c r="C48" s="34">
        <f>IF(B48="","",INDEX(الموظفات!$D$5:$D$304,MATCH(B48,الموظفات!$B$5:$B$304,0))&amp;"")</f>
        <v/>
      </c>
      <c r="D48" s="35">
        <f>IF(B48="","",COUNTIFS('سجل التحفيز'!$W$5:$W$2004,"&gt;0",'سجل التحفيز'!$B$5:$B$2004,B48))</f>
        <v/>
      </c>
      <c r="E48" s="35">
        <f>IF(B48="","",COUNTIFS('سجل التحفيز'!$W$5:$W$2004,"&gt;0",'سجل التحفيز'!$B$5:$B$2004,B48,'سجل التحفيز'!$D$5:$D$2004,"ذهبي"))</f>
        <v/>
      </c>
      <c r="F48" s="35">
        <f>IF(B48="","",SUMIFS('سجل التحفيز'!$G$5:$G$2004,'سجل التحفيز'!$W$5:$W$2004,"&gt;0",'سجل التحفيز'!$B$5:$B$2004,B48))</f>
        <v/>
      </c>
      <c r="G48" s="35">
        <f>IF(B48="","",COUNTIF($D$38:$D$187,"&gt;"&amp;D48)+1)</f>
        <v/>
      </c>
      <c r="H48" s="35">
        <f>IF(B48="","",INDEX(الموظفات!$L$5:$L$304,MATCH(B48,الموظفات!$B$5:$B$304,0)))</f>
        <v/>
      </c>
      <c r="K48" s="36">
        <f>IF(11&gt;$B$10,"",11)</f>
        <v/>
      </c>
      <c r="L48" s="37">
        <f>IF($K48="","",INDEX('سجل التحفيز'!$A$5:$A$2004,MATCH($K48,'سجل التحفيز'!$W$5:$W$2004,0)))</f>
        <v/>
      </c>
      <c r="M48" s="9">
        <f>IF($K48="","",INDEX('سجل التحفيز'!$B$5:$B$2004,MATCH($K48,'سجل التحفيز'!$W$5:$W$2004,0)))</f>
        <v/>
      </c>
      <c r="N48" s="9">
        <f>IF($K48="","",INDEX('سجل التحفيز'!$M$5:$M$2004,MATCH($K48,'سجل التحفيز'!$W$5:$W$2004,0)))</f>
        <v/>
      </c>
      <c r="O48" s="9">
        <f>IF($K48="","",INDEX('سجل التحفيز'!$C$5:$C$2004,MATCH($K48,'سجل التحفيز'!$W$5:$W$2004,0)))</f>
        <v/>
      </c>
      <c r="P48" s="36">
        <f>IF($K48="","",INDEX('سجل التحفيز'!$D$5:$D$2004,MATCH($K48,'سجل التحفيز'!$W$5:$W$2004,0)))</f>
        <v/>
      </c>
      <c r="Q48" s="9">
        <f>IF($K48="","",INDEX('سجل التحفيز'!$E$5:$E$2004,MATCH($K48,'سجل التحفيز'!$W$5:$W$2004,0)))</f>
        <v/>
      </c>
      <c r="R48" s="9">
        <f>IF($K48="","",INDEX('سجل التحفيز'!$F$5:$F$2004,MATCH($K48,'سجل التحفيز'!$W$5:$W$2004,0)))</f>
        <v/>
      </c>
      <c r="S48" s="35">
        <f>IF($K48="","",INDEX('سجل التحفيز'!$G$5:$G$2004,MATCH($K48,'سجل التحفيز'!$W$5:$W$2004,0)))</f>
        <v/>
      </c>
    </row>
    <row r="49">
      <c r="B49" s="34">
        <f>IFERROR(INDEX(الموظفات!$B$5:$B$304,MATCH(12,الموظفات!$Q$5:$Q$304,0)),"")</f>
        <v/>
      </c>
      <c r="C49" s="34">
        <f>IF(B49="","",INDEX(الموظفات!$D$5:$D$304,MATCH(B49,الموظفات!$B$5:$B$304,0))&amp;"")</f>
        <v/>
      </c>
      <c r="D49" s="35">
        <f>IF(B49="","",COUNTIFS('سجل التحفيز'!$W$5:$W$2004,"&gt;0",'سجل التحفيز'!$B$5:$B$2004,B49))</f>
        <v/>
      </c>
      <c r="E49" s="35">
        <f>IF(B49="","",COUNTIFS('سجل التحفيز'!$W$5:$W$2004,"&gt;0",'سجل التحفيز'!$B$5:$B$2004,B49,'سجل التحفيز'!$D$5:$D$2004,"ذهبي"))</f>
        <v/>
      </c>
      <c r="F49" s="35">
        <f>IF(B49="","",SUMIFS('سجل التحفيز'!$G$5:$G$2004,'سجل التحفيز'!$W$5:$W$2004,"&gt;0",'سجل التحفيز'!$B$5:$B$2004,B49))</f>
        <v/>
      </c>
      <c r="G49" s="35">
        <f>IF(B49="","",COUNTIF($D$38:$D$187,"&gt;"&amp;D49)+1)</f>
        <v/>
      </c>
      <c r="H49" s="35">
        <f>IF(B49="","",INDEX(الموظفات!$L$5:$L$304,MATCH(B49,الموظفات!$B$5:$B$304,0)))</f>
        <v/>
      </c>
      <c r="K49" s="36">
        <f>IF(12&gt;$B$10,"",12)</f>
        <v/>
      </c>
      <c r="L49" s="37">
        <f>IF($K49="","",INDEX('سجل التحفيز'!$A$5:$A$2004,MATCH($K49,'سجل التحفيز'!$W$5:$W$2004,0)))</f>
        <v/>
      </c>
      <c r="M49" s="9">
        <f>IF($K49="","",INDEX('سجل التحفيز'!$B$5:$B$2004,MATCH($K49,'سجل التحفيز'!$W$5:$W$2004,0)))</f>
        <v/>
      </c>
      <c r="N49" s="9">
        <f>IF($K49="","",INDEX('سجل التحفيز'!$M$5:$M$2004,MATCH($K49,'سجل التحفيز'!$W$5:$W$2004,0)))</f>
        <v/>
      </c>
      <c r="O49" s="9">
        <f>IF($K49="","",INDEX('سجل التحفيز'!$C$5:$C$2004,MATCH($K49,'سجل التحفيز'!$W$5:$W$2004,0)))</f>
        <v/>
      </c>
      <c r="P49" s="36">
        <f>IF($K49="","",INDEX('سجل التحفيز'!$D$5:$D$2004,MATCH($K49,'سجل التحفيز'!$W$5:$W$2004,0)))</f>
        <v/>
      </c>
      <c r="Q49" s="9">
        <f>IF($K49="","",INDEX('سجل التحفيز'!$E$5:$E$2004,MATCH($K49,'سجل التحفيز'!$W$5:$W$2004,0)))</f>
        <v/>
      </c>
      <c r="R49" s="9">
        <f>IF($K49="","",INDEX('سجل التحفيز'!$F$5:$F$2004,MATCH($K49,'سجل التحفيز'!$W$5:$W$2004,0)))</f>
        <v/>
      </c>
      <c r="S49" s="35">
        <f>IF($K49="","",INDEX('سجل التحفيز'!$G$5:$G$2004,MATCH($K49,'سجل التحفيز'!$W$5:$W$2004,0)))</f>
        <v/>
      </c>
    </row>
    <row r="50">
      <c r="B50" s="34">
        <f>IFERROR(INDEX(الموظفات!$B$5:$B$304,MATCH(13,الموظفات!$Q$5:$Q$304,0)),"")</f>
        <v/>
      </c>
      <c r="C50" s="34">
        <f>IF(B50="","",INDEX(الموظفات!$D$5:$D$304,MATCH(B50,الموظفات!$B$5:$B$304,0))&amp;"")</f>
        <v/>
      </c>
      <c r="D50" s="35">
        <f>IF(B50="","",COUNTIFS('سجل التحفيز'!$W$5:$W$2004,"&gt;0",'سجل التحفيز'!$B$5:$B$2004,B50))</f>
        <v/>
      </c>
      <c r="E50" s="35">
        <f>IF(B50="","",COUNTIFS('سجل التحفيز'!$W$5:$W$2004,"&gt;0",'سجل التحفيز'!$B$5:$B$2004,B50,'سجل التحفيز'!$D$5:$D$2004,"ذهبي"))</f>
        <v/>
      </c>
      <c r="F50" s="35">
        <f>IF(B50="","",SUMIFS('سجل التحفيز'!$G$5:$G$2004,'سجل التحفيز'!$W$5:$W$2004,"&gt;0",'سجل التحفيز'!$B$5:$B$2004,B50))</f>
        <v/>
      </c>
      <c r="G50" s="35">
        <f>IF(B50="","",COUNTIF($D$38:$D$187,"&gt;"&amp;D50)+1)</f>
        <v/>
      </c>
      <c r="H50" s="35">
        <f>IF(B50="","",INDEX(الموظفات!$L$5:$L$304,MATCH(B50,الموظفات!$B$5:$B$304,0)))</f>
        <v/>
      </c>
      <c r="K50" s="36">
        <f>IF(13&gt;$B$10,"",13)</f>
        <v/>
      </c>
      <c r="L50" s="37">
        <f>IF($K50="","",INDEX('سجل التحفيز'!$A$5:$A$2004,MATCH($K50,'سجل التحفيز'!$W$5:$W$2004,0)))</f>
        <v/>
      </c>
      <c r="M50" s="9">
        <f>IF($K50="","",INDEX('سجل التحفيز'!$B$5:$B$2004,MATCH($K50,'سجل التحفيز'!$W$5:$W$2004,0)))</f>
        <v/>
      </c>
      <c r="N50" s="9">
        <f>IF($K50="","",INDEX('سجل التحفيز'!$M$5:$M$2004,MATCH($K50,'سجل التحفيز'!$W$5:$W$2004,0)))</f>
        <v/>
      </c>
      <c r="O50" s="9">
        <f>IF($K50="","",INDEX('سجل التحفيز'!$C$5:$C$2004,MATCH($K50,'سجل التحفيز'!$W$5:$W$2004,0)))</f>
        <v/>
      </c>
      <c r="P50" s="36">
        <f>IF($K50="","",INDEX('سجل التحفيز'!$D$5:$D$2004,MATCH($K50,'سجل التحفيز'!$W$5:$W$2004,0)))</f>
        <v/>
      </c>
      <c r="Q50" s="9">
        <f>IF($K50="","",INDEX('سجل التحفيز'!$E$5:$E$2004,MATCH($K50,'سجل التحفيز'!$W$5:$W$2004,0)))</f>
        <v/>
      </c>
      <c r="R50" s="9">
        <f>IF($K50="","",INDEX('سجل التحفيز'!$F$5:$F$2004,MATCH($K50,'سجل التحفيز'!$W$5:$W$2004,0)))</f>
        <v/>
      </c>
      <c r="S50" s="35">
        <f>IF($K50="","",INDEX('سجل التحفيز'!$G$5:$G$2004,MATCH($K50,'سجل التحفيز'!$W$5:$W$2004,0)))</f>
        <v/>
      </c>
    </row>
    <row r="51">
      <c r="B51" s="34">
        <f>IFERROR(INDEX(الموظفات!$B$5:$B$304,MATCH(14,الموظفات!$Q$5:$Q$304,0)),"")</f>
        <v/>
      </c>
      <c r="C51" s="34">
        <f>IF(B51="","",INDEX(الموظفات!$D$5:$D$304,MATCH(B51,الموظفات!$B$5:$B$304,0))&amp;"")</f>
        <v/>
      </c>
      <c r="D51" s="35">
        <f>IF(B51="","",COUNTIFS('سجل التحفيز'!$W$5:$W$2004,"&gt;0",'سجل التحفيز'!$B$5:$B$2004,B51))</f>
        <v/>
      </c>
      <c r="E51" s="35">
        <f>IF(B51="","",COUNTIFS('سجل التحفيز'!$W$5:$W$2004,"&gt;0",'سجل التحفيز'!$B$5:$B$2004,B51,'سجل التحفيز'!$D$5:$D$2004,"ذهبي"))</f>
        <v/>
      </c>
      <c r="F51" s="35">
        <f>IF(B51="","",SUMIFS('سجل التحفيز'!$G$5:$G$2004,'سجل التحفيز'!$W$5:$W$2004,"&gt;0",'سجل التحفيز'!$B$5:$B$2004,B51))</f>
        <v/>
      </c>
      <c r="G51" s="35">
        <f>IF(B51="","",COUNTIF($D$38:$D$187,"&gt;"&amp;D51)+1)</f>
        <v/>
      </c>
      <c r="H51" s="35">
        <f>IF(B51="","",INDEX(الموظفات!$L$5:$L$304,MATCH(B51,الموظفات!$B$5:$B$304,0)))</f>
        <v/>
      </c>
      <c r="K51" s="36">
        <f>IF(14&gt;$B$10,"",14)</f>
        <v/>
      </c>
      <c r="L51" s="37">
        <f>IF($K51="","",INDEX('سجل التحفيز'!$A$5:$A$2004,MATCH($K51,'سجل التحفيز'!$W$5:$W$2004,0)))</f>
        <v/>
      </c>
      <c r="M51" s="9">
        <f>IF($K51="","",INDEX('سجل التحفيز'!$B$5:$B$2004,MATCH($K51,'سجل التحفيز'!$W$5:$W$2004,0)))</f>
        <v/>
      </c>
      <c r="N51" s="9">
        <f>IF($K51="","",INDEX('سجل التحفيز'!$M$5:$M$2004,MATCH($K51,'سجل التحفيز'!$W$5:$W$2004,0)))</f>
        <v/>
      </c>
      <c r="O51" s="9">
        <f>IF($K51="","",INDEX('سجل التحفيز'!$C$5:$C$2004,MATCH($K51,'سجل التحفيز'!$W$5:$W$2004,0)))</f>
        <v/>
      </c>
      <c r="P51" s="36">
        <f>IF($K51="","",INDEX('سجل التحفيز'!$D$5:$D$2004,MATCH($K51,'سجل التحفيز'!$W$5:$W$2004,0)))</f>
        <v/>
      </c>
      <c r="Q51" s="9">
        <f>IF($K51="","",INDEX('سجل التحفيز'!$E$5:$E$2004,MATCH($K51,'سجل التحفيز'!$W$5:$W$2004,0)))</f>
        <v/>
      </c>
      <c r="R51" s="9">
        <f>IF($K51="","",INDEX('سجل التحفيز'!$F$5:$F$2004,MATCH($K51,'سجل التحفيز'!$W$5:$W$2004,0)))</f>
        <v/>
      </c>
      <c r="S51" s="35">
        <f>IF($K51="","",INDEX('سجل التحفيز'!$G$5:$G$2004,MATCH($K51,'سجل التحفيز'!$W$5:$W$2004,0)))</f>
        <v/>
      </c>
    </row>
    <row r="52">
      <c r="B52" s="34">
        <f>IFERROR(INDEX(الموظفات!$B$5:$B$304,MATCH(15,الموظفات!$Q$5:$Q$304,0)),"")</f>
        <v/>
      </c>
      <c r="C52" s="34">
        <f>IF(B52="","",INDEX(الموظفات!$D$5:$D$304,MATCH(B52,الموظفات!$B$5:$B$304,0))&amp;"")</f>
        <v/>
      </c>
      <c r="D52" s="35">
        <f>IF(B52="","",COUNTIFS('سجل التحفيز'!$W$5:$W$2004,"&gt;0",'سجل التحفيز'!$B$5:$B$2004,B52))</f>
        <v/>
      </c>
      <c r="E52" s="35">
        <f>IF(B52="","",COUNTIFS('سجل التحفيز'!$W$5:$W$2004,"&gt;0",'سجل التحفيز'!$B$5:$B$2004,B52,'سجل التحفيز'!$D$5:$D$2004,"ذهبي"))</f>
        <v/>
      </c>
      <c r="F52" s="35">
        <f>IF(B52="","",SUMIFS('سجل التحفيز'!$G$5:$G$2004,'سجل التحفيز'!$W$5:$W$2004,"&gt;0",'سجل التحفيز'!$B$5:$B$2004,B52))</f>
        <v/>
      </c>
      <c r="G52" s="35">
        <f>IF(B52="","",COUNTIF($D$38:$D$187,"&gt;"&amp;D52)+1)</f>
        <v/>
      </c>
      <c r="H52" s="35">
        <f>IF(B52="","",INDEX(الموظفات!$L$5:$L$304,MATCH(B52,الموظفات!$B$5:$B$304,0)))</f>
        <v/>
      </c>
      <c r="K52" s="36">
        <f>IF(15&gt;$B$10,"",15)</f>
        <v/>
      </c>
      <c r="L52" s="37">
        <f>IF($K52="","",INDEX('سجل التحفيز'!$A$5:$A$2004,MATCH($K52,'سجل التحفيز'!$W$5:$W$2004,0)))</f>
        <v/>
      </c>
      <c r="M52" s="9">
        <f>IF($K52="","",INDEX('سجل التحفيز'!$B$5:$B$2004,MATCH($K52,'سجل التحفيز'!$W$5:$W$2004,0)))</f>
        <v/>
      </c>
      <c r="N52" s="9">
        <f>IF($K52="","",INDEX('سجل التحفيز'!$M$5:$M$2004,MATCH($K52,'سجل التحفيز'!$W$5:$W$2004,0)))</f>
        <v/>
      </c>
      <c r="O52" s="9">
        <f>IF($K52="","",INDEX('سجل التحفيز'!$C$5:$C$2004,MATCH($K52,'سجل التحفيز'!$W$5:$W$2004,0)))</f>
        <v/>
      </c>
      <c r="P52" s="36">
        <f>IF($K52="","",INDEX('سجل التحفيز'!$D$5:$D$2004,MATCH($K52,'سجل التحفيز'!$W$5:$W$2004,0)))</f>
        <v/>
      </c>
      <c r="Q52" s="9">
        <f>IF($K52="","",INDEX('سجل التحفيز'!$E$5:$E$2004,MATCH($K52,'سجل التحفيز'!$W$5:$W$2004,0)))</f>
        <v/>
      </c>
      <c r="R52" s="9">
        <f>IF($K52="","",INDEX('سجل التحفيز'!$F$5:$F$2004,MATCH($K52,'سجل التحفيز'!$W$5:$W$2004,0)))</f>
        <v/>
      </c>
      <c r="S52" s="35">
        <f>IF($K52="","",INDEX('سجل التحفيز'!$G$5:$G$2004,MATCH($K52,'سجل التحفيز'!$W$5:$W$2004,0)))</f>
        <v/>
      </c>
    </row>
    <row r="53">
      <c r="B53" s="34">
        <f>IFERROR(INDEX(الموظفات!$B$5:$B$304,MATCH(16,الموظفات!$Q$5:$Q$304,0)),"")</f>
        <v/>
      </c>
      <c r="C53" s="34">
        <f>IF(B53="","",INDEX(الموظفات!$D$5:$D$304,MATCH(B53,الموظفات!$B$5:$B$304,0))&amp;"")</f>
        <v/>
      </c>
      <c r="D53" s="35">
        <f>IF(B53="","",COUNTIFS('سجل التحفيز'!$W$5:$W$2004,"&gt;0",'سجل التحفيز'!$B$5:$B$2004,B53))</f>
        <v/>
      </c>
      <c r="E53" s="35">
        <f>IF(B53="","",COUNTIFS('سجل التحفيز'!$W$5:$W$2004,"&gt;0",'سجل التحفيز'!$B$5:$B$2004,B53,'سجل التحفيز'!$D$5:$D$2004,"ذهبي"))</f>
        <v/>
      </c>
      <c r="F53" s="35">
        <f>IF(B53="","",SUMIFS('سجل التحفيز'!$G$5:$G$2004,'سجل التحفيز'!$W$5:$W$2004,"&gt;0",'سجل التحفيز'!$B$5:$B$2004,B53))</f>
        <v/>
      </c>
      <c r="G53" s="35">
        <f>IF(B53="","",COUNTIF($D$38:$D$187,"&gt;"&amp;D53)+1)</f>
        <v/>
      </c>
      <c r="H53" s="35">
        <f>IF(B53="","",INDEX(الموظفات!$L$5:$L$304,MATCH(B53,الموظفات!$B$5:$B$304,0)))</f>
        <v/>
      </c>
      <c r="K53" s="36">
        <f>IF(16&gt;$B$10,"",16)</f>
        <v/>
      </c>
      <c r="L53" s="37">
        <f>IF($K53="","",INDEX('سجل التحفيز'!$A$5:$A$2004,MATCH($K53,'سجل التحفيز'!$W$5:$W$2004,0)))</f>
        <v/>
      </c>
      <c r="M53" s="9">
        <f>IF($K53="","",INDEX('سجل التحفيز'!$B$5:$B$2004,MATCH($K53,'سجل التحفيز'!$W$5:$W$2004,0)))</f>
        <v/>
      </c>
      <c r="N53" s="9">
        <f>IF($K53="","",INDEX('سجل التحفيز'!$M$5:$M$2004,MATCH($K53,'سجل التحفيز'!$W$5:$W$2004,0)))</f>
        <v/>
      </c>
      <c r="O53" s="9">
        <f>IF($K53="","",INDEX('سجل التحفيز'!$C$5:$C$2004,MATCH($K53,'سجل التحفيز'!$W$5:$W$2004,0)))</f>
        <v/>
      </c>
      <c r="P53" s="36">
        <f>IF($K53="","",INDEX('سجل التحفيز'!$D$5:$D$2004,MATCH($K53,'سجل التحفيز'!$W$5:$W$2004,0)))</f>
        <v/>
      </c>
      <c r="Q53" s="9">
        <f>IF($K53="","",INDEX('سجل التحفيز'!$E$5:$E$2004,MATCH($K53,'سجل التحفيز'!$W$5:$W$2004,0)))</f>
        <v/>
      </c>
      <c r="R53" s="9">
        <f>IF($K53="","",INDEX('سجل التحفيز'!$F$5:$F$2004,MATCH($K53,'سجل التحفيز'!$W$5:$W$2004,0)))</f>
        <v/>
      </c>
      <c r="S53" s="35">
        <f>IF($K53="","",INDEX('سجل التحفيز'!$G$5:$G$2004,MATCH($K53,'سجل التحفيز'!$W$5:$W$2004,0)))</f>
        <v/>
      </c>
    </row>
    <row r="54">
      <c r="B54" s="34">
        <f>IFERROR(INDEX(الموظفات!$B$5:$B$304,MATCH(17,الموظفات!$Q$5:$Q$304,0)),"")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التحفيز'!$W$5:$W$2004,"&gt;0",'سجل التحفيز'!$B$5:$B$2004,B54))</f>
        <v/>
      </c>
      <c r="E54" s="35">
        <f>IF(B54="","",COUNTIFS('سجل التحفيز'!$W$5:$W$2004,"&gt;0",'سجل التحفيز'!$B$5:$B$2004,B54,'سجل التحفيز'!$D$5:$D$2004,"ذهبي"))</f>
        <v/>
      </c>
      <c r="F54" s="35">
        <f>IF(B54="","",SUMIFS('سجل التحفيز'!$G$5:$G$2004,'سجل التحفيز'!$W$5:$W$2004,"&gt;0",'سجل التحفيز'!$B$5:$B$2004,B54))</f>
        <v/>
      </c>
      <c r="G54" s="35">
        <f>IF(B54="","",COUNTIF($D$38:$D$187,"&gt;"&amp;D54)+1)</f>
        <v/>
      </c>
      <c r="H54" s="35">
        <f>IF(B54="","",INDEX(الموظفات!$L$5:$L$304,MATCH(B54,الموظفات!$B$5:$B$304,0)))</f>
        <v/>
      </c>
      <c r="K54" s="36">
        <f>IF(17&gt;$B$10,"",17)</f>
        <v/>
      </c>
      <c r="L54" s="37">
        <f>IF($K54="","",INDEX('سجل التحفيز'!$A$5:$A$2004,MATCH($K54,'سجل التحفيز'!$W$5:$W$2004,0)))</f>
        <v/>
      </c>
      <c r="M54" s="9">
        <f>IF($K54="","",INDEX('سجل التحفيز'!$B$5:$B$2004,MATCH($K54,'سجل التحفيز'!$W$5:$W$2004,0)))</f>
        <v/>
      </c>
      <c r="N54" s="9">
        <f>IF($K54="","",INDEX('سجل التحفيز'!$M$5:$M$2004,MATCH($K54,'سجل التحفيز'!$W$5:$W$2004,0)))</f>
        <v/>
      </c>
      <c r="O54" s="9">
        <f>IF($K54="","",INDEX('سجل التحفيز'!$C$5:$C$2004,MATCH($K54,'سجل التحفيز'!$W$5:$W$2004,0)))</f>
        <v/>
      </c>
      <c r="P54" s="36">
        <f>IF($K54="","",INDEX('سجل التحفيز'!$D$5:$D$2004,MATCH($K54,'سجل التحفيز'!$W$5:$W$2004,0)))</f>
        <v/>
      </c>
      <c r="Q54" s="9">
        <f>IF($K54="","",INDEX('سجل التحفيز'!$E$5:$E$2004,MATCH($K54,'سجل التحفيز'!$W$5:$W$2004,0)))</f>
        <v/>
      </c>
      <c r="R54" s="9">
        <f>IF($K54="","",INDEX('سجل التحفيز'!$F$5:$F$2004,MATCH($K54,'سجل التحفيز'!$W$5:$W$2004,0)))</f>
        <v/>
      </c>
      <c r="S54" s="35">
        <f>IF($K54="","",INDEX('سجل التحفيز'!$G$5:$G$2004,MATCH($K54,'سجل التحفيز'!$W$5:$W$2004,0)))</f>
        <v/>
      </c>
    </row>
    <row r="55">
      <c r="B55" s="34">
        <f>IFERROR(INDEX(الموظفات!$B$5:$B$304,MATCH(18,الموظفات!$Q$5:$Q$304,0)),"")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التحفيز'!$W$5:$W$2004,"&gt;0",'سجل التحفيز'!$B$5:$B$2004,B55))</f>
        <v/>
      </c>
      <c r="E55" s="35">
        <f>IF(B55="","",COUNTIFS('سجل التحفيز'!$W$5:$W$2004,"&gt;0",'سجل التحفيز'!$B$5:$B$2004,B55,'سجل التحفيز'!$D$5:$D$2004,"ذهبي"))</f>
        <v/>
      </c>
      <c r="F55" s="35">
        <f>IF(B55="","",SUMIFS('سجل التحفيز'!$G$5:$G$2004,'سجل التحفيز'!$W$5:$W$2004,"&gt;0",'سجل التحفيز'!$B$5:$B$2004,B55))</f>
        <v/>
      </c>
      <c r="G55" s="35">
        <f>IF(B55="","",COUNTIF($D$38:$D$187,"&gt;"&amp;D55)+1)</f>
        <v/>
      </c>
      <c r="H55" s="35">
        <f>IF(B55="","",INDEX(الموظفات!$L$5:$L$304,MATCH(B55,الموظفات!$B$5:$B$304,0)))</f>
        <v/>
      </c>
      <c r="K55" s="36">
        <f>IF(18&gt;$B$10,"",18)</f>
        <v/>
      </c>
      <c r="L55" s="37">
        <f>IF($K55="","",INDEX('سجل التحفيز'!$A$5:$A$2004,MATCH($K55,'سجل التحفيز'!$W$5:$W$2004,0)))</f>
        <v/>
      </c>
      <c r="M55" s="9">
        <f>IF($K55="","",INDEX('سجل التحفيز'!$B$5:$B$2004,MATCH($K55,'سجل التحفيز'!$W$5:$W$2004,0)))</f>
        <v/>
      </c>
      <c r="N55" s="9">
        <f>IF($K55="","",INDEX('سجل التحفيز'!$M$5:$M$2004,MATCH($K55,'سجل التحفيز'!$W$5:$W$2004,0)))</f>
        <v/>
      </c>
      <c r="O55" s="9">
        <f>IF($K55="","",INDEX('سجل التحفيز'!$C$5:$C$2004,MATCH($K55,'سجل التحفيز'!$W$5:$W$2004,0)))</f>
        <v/>
      </c>
      <c r="P55" s="36">
        <f>IF($K55="","",INDEX('سجل التحفيز'!$D$5:$D$2004,MATCH($K55,'سجل التحفيز'!$W$5:$W$2004,0)))</f>
        <v/>
      </c>
      <c r="Q55" s="9">
        <f>IF($K55="","",INDEX('سجل التحفيز'!$E$5:$E$2004,MATCH($K55,'سجل التحفيز'!$W$5:$W$2004,0)))</f>
        <v/>
      </c>
      <c r="R55" s="9">
        <f>IF($K55="","",INDEX('سجل التحفيز'!$F$5:$F$2004,MATCH($K55,'سجل التحفيز'!$W$5:$W$2004,0)))</f>
        <v/>
      </c>
      <c r="S55" s="35">
        <f>IF($K55="","",INDEX('سجل التحفيز'!$G$5:$G$2004,MATCH($K55,'سجل التحفيز'!$W$5:$W$2004,0)))</f>
        <v/>
      </c>
    </row>
    <row r="56">
      <c r="B56" s="34">
        <f>IFERROR(INDEX(الموظفات!$B$5:$B$304,MATCH(19,الموظفات!$Q$5:$Q$304,0)),"")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التحفيز'!$W$5:$W$2004,"&gt;0",'سجل التحفيز'!$B$5:$B$2004,B56))</f>
        <v/>
      </c>
      <c r="E56" s="35">
        <f>IF(B56="","",COUNTIFS('سجل التحفيز'!$W$5:$W$2004,"&gt;0",'سجل التحفيز'!$B$5:$B$2004,B56,'سجل التحفيز'!$D$5:$D$2004,"ذهبي"))</f>
        <v/>
      </c>
      <c r="F56" s="35">
        <f>IF(B56="","",SUMIFS('سجل التحفيز'!$G$5:$G$2004,'سجل التحفيز'!$W$5:$W$2004,"&gt;0",'سجل التحفيز'!$B$5:$B$2004,B56))</f>
        <v/>
      </c>
      <c r="G56" s="35">
        <f>IF(B56="","",COUNTIF($D$38:$D$187,"&gt;"&amp;D56)+1)</f>
        <v/>
      </c>
      <c r="H56" s="35">
        <f>IF(B56="","",INDEX(الموظفات!$L$5:$L$304,MATCH(B56,الموظفات!$B$5:$B$304,0)))</f>
        <v/>
      </c>
      <c r="K56" s="36">
        <f>IF(19&gt;$B$10,"",19)</f>
        <v/>
      </c>
      <c r="L56" s="37">
        <f>IF($K56="","",INDEX('سجل التحفيز'!$A$5:$A$2004,MATCH($K56,'سجل التحفيز'!$W$5:$W$2004,0)))</f>
        <v/>
      </c>
      <c r="M56" s="9">
        <f>IF($K56="","",INDEX('سجل التحفيز'!$B$5:$B$2004,MATCH($K56,'سجل التحفيز'!$W$5:$W$2004,0)))</f>
        <v/>
      </c>
      <c r="N56" s="9">
        <f>IF($K56="","",INDEX('سجل التحفيز'!$M$5:$M$2004,MATCH($K56,'سجل التحفيز'!$W$5:$W$2004,0)))</f>
        <v/>
      </c>
      <c r="O56" s="9">
        <f>IF($K56="","",INDEX('سجل التحفيز'!$C$5:$C$2004,MATCH($K56,'سجل التحفيز'!$W$5:$W$2004,0)))</f>
        <v/>
      </c>
      <c r="P56" s="36">
        <f>IF($K56="","",INDEX('سجل التحفيز'!$D$5:$D$2004,MATCH($K56,'سجل التحفيز'!$W$5:$W$2004,0)))</f>
        <v/>
      </c>
      <c r="Q56" s="9">
        <f>IF($K56="","",INDEX('سجل التحفيز'!$E$5:$E$2004,MATCH($K56,'سجل التحفيز'!$W$5:$W$2004,0)))</f>
        <v/>
      </c>
      <c r="R56" s="9">
        <f>IF($K56="","",INDEX('سجل التحفيز'!$F$5:$F$2004,MATCH($K56,'سجل التحفيز'!$W$5:$W$2004,0)))</f>
        <v/>
      </c>
      <c r="S56" s="35">
        <f>IF($K56="","",INDEX('سجل التحفيز'!$G$5:$G$2004,MATCH($K56,'سجل التحفيز'!$W$5:$W$2004,0)))</f>
        <v/>
      </c>
    </row>
    <row r="57">
      <c r="B57" s="34">
        <f>IFERROR(INDEX(الموظفات!$B$5:$B$304,MATCH(20,الموظفات!$Q$5:$Q$304,0)),"")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التحفيز'!$W$5:$W$2004,"&gt;0",'سجل التحفيز'!$B$5:$B$2004,B57))</f>
        <v/>
      </c>
      <c r="E57" s="35">
        <f>IF(B57="","",COUNTIFS('سجل التحفيز'!$W$5:$W$2004,"&gt;0",'سجل التحفيز'!$B$5:$B$2004,B57,'سجل التحفيز'!$D$5:$D$2004,"ذهبي"))</f>
        <v/>
      </c>
      <c r="F57" s="35">
        <f>IF(B57="","",SUMIFS('سجل التحفيز'!$G$5:$G$2004,'سجل التحفيز'!$W$5:$W$2004,"&gt;0",'سجل التحفيز'!$B$5:$B$2004,B57))</f>
        <v/>
      </c>
      <c r="G57" s="35">
        <f>IF(B57="","",COUNTIF($D$38:$D$187,"&gt;"&amp;D57)+1)</f>
        <v/>
      </c>
      <c r="H57" s="35">
        <f>IF(B57="","",INDEX(الموظفات!$L$5:$L$304,MATCH(B57,الموظفات!$B$5:$B$304,0)))</f>
        <v/>
      </c>
      <c r="K57" s="36">
        <f>IF(20&gt;$B$10,"",20)</f>
        <v/>
      </c>
      <c r="L57" s="37">
        <f>IF($K57="","",INDEX('سجل التحفيز'!$A$5:$A$2004,MATCH($K57,'سجل التحفيز'!$W$5:$W$2004,0)))</f>
        <v/>
      </c>
      <c r="M57" s="9">
        <f>IF($K57="","",INDEX('سجل التحفيز'!$B$5:$B$2004,MATCH($K57,'سجل التحفيز'!$W$5:$W$2004,0)))</f>
        <v/>
      </c>
      <c r="N57" s="9">
        <f>IF($K57="","",INDEX('سجل التحفيز'!$M$5:$M$2004,MATCH($K57,'سجل التحفيز'!$W$5:$W$2004,0)))</f>
        <v/>
      </c>
      <c r="O57" s="9">
        <f>IF($K57="","",INDEX('سجل التحفيز'!$C$5:$C$2004,MATCH($K57,'سجل التحفيز'!$W$5:$W$2004,0)))</f>
        <v/>
      </c>
      <c r="P57" s="36">
        <f>IF($K57="","",INDEX('سجل التحفيز'!$D$5:$D$2004,MATCH($K57,'سجل التحفيز'!$W$5:$W$2004,0)))</f>
        <v/>
      </c>
      <c r="Q57" s="9">
        <f>IF($K57="","",INDEX('سجل التحفيز'!$E$5:$E$2004,MATCH($K57,'سجل التحفيز'!$W$5:$W$2004,0)))</f>
        <v/>
      </c>
      <c r="R57" s="9">
        <f>IF($K57="","",INDEX('سجل التحفيز'!$F$5:$F$2004,MATCH($K57,'سجل التحفيز'!$W$5:$W$2004,0)))</f>
        <v/>
      </c>
      <c r="S57" s="35">
        <f>IF($K57="","",INDEX('سجل التحفيز'!$G$5:$G$2004,MATCH($K57,'سجل التحفيز'!$W$5:$W$2004,0)))</f>
        <v/>
      </c>
    </row>
    <row r="58">
      <c r="B58" s="34">
        <f>IFERROR(INDEX(الموظفات!$B$5:$B$304,MATCH(21,الموظفات!$Q$5:$Q$304,0)),"")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التحفيز'!$W$5:$W$2004,"&gt;0",'سجل التحفيز'!$B$5:$B$2004,B58))</f>
        <v/>
      </c>
      <c r="E58" s="35">
        <f>IF(B58="","",COUNTIFS('سجل التحفيز'!$W$5:$W$2004,"&gt;0",'سجل التحفيز'!$B$5:$B$2004,B58,'سجل التحفيز'!$D$5:$D$2004,"ذهبي"))</f>
        <v/>
      </c>
      <c r="F58" s="35">
        <f>IF(B58="","",SUMIFS('سجل التحفيز'!$G$5:$G$2004,'سجل التحفيز'!$W$5:$W$2004,"&gt;0",'سجل التحفيز'!$B$5:$B$2004,B58))</f>
        <v/>
      </c>
      <c r="G58" s="35">
        <f>IF(B58="","",COUNTIF($D$38:$D$187,"&gt;"&amp;D58)+1)</f>
        <v/>
      </c>
      <c r="H58" s="35">
        <f>IF(B58="","",INDEX(الموظفات!$L$5:$L$304,MATCH(B58,الموظفات!$B$5:$B$304,0)))</f>
        <v/>
      </c>
      <c r="K58" s="36">
        <f>IF(21&gt;$B$10,"",21)</f>
        <v/>
      </c>
      <c r="L58" s="37">
        <f>IF($K58="","",INDEX('سجل التحفيز'!$A$5:$A$2004,MATCH($K58,'سجل التحفيز'!$W$5:$W$2004,0)))</f>
        <v/>
      </c>
      <c r="M58" s="9">
        <f>IF($K58="","",INDEX('سجل التحفيز'!$B$5:$B$2004,MATCH($K58,'سجل التحفيز'!$W$5:$W$2004,0)))</f>
        <v/>
      </c>
      <c r="N58" s="9">
        <f>IF($K58="","",INDEX('سجل التحفيز'!$M$5:$M$2004,MATCH($K58,'سجل التحفيز'!$W$5:$W$2004,0)))</f>
        <v/>
      </c>
      <c r="O58" s="9">
        <f>IF($K58="","",INDEX('سجل التحفيز'!$C$5:$C$2004,MATCH($K58,'سجل التحفيز'!$W$5:$W$2004,0)))</f>
        <v/>
      </c>
      <c r="P58" s="36">
        <f>IF($K58="","",INDEX('سجل التحفيز'!$D$5:$D$2004,MATCH($K58,'سجل التحفيز'!$W$5:$W$2004,0)))</f>
        <v/>
      </c>
      <c r="Q58" s="9">
        <f>IF($K58="","",INDEX('سجل التحفيز'!$E$5:$E$2004,MATCH($K58,'سجل التحفيز'!$W$5:$W$2004,0)))</f>
        <v/>
      </c>
      <c r="R58" s="9">
        <f>IF($K58="","",INDEX('سجل التحفيز'!$F$5:$F$2004,MATCH($K58,'سجل التحفيز'!$W$5:$W$2004,0)))</f>
        <v/>
      </c>
      <c r="S58" s="35">
        <f>IF($K58="","",INDEX('سجل التحفيز'!$G$5:$G$2004,MATCH($K58,'سجل التحفيز'!$W$5:$W$2004,0)))</f>
        <v/>
      </c>
    </row>
    <row r="59">
      <c r="B59" s="34">
        <f>IFERROR(INDEX(الموظفات!$B$5:$B$304,MATCH(22,الموظفات!$Q$5:$Q$304,0)),"")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التحفيز'!$W$5:$W$2004,"&gt;0",'سجل التحفيز'!$B$5:$B$2004,B59))</f>
        <v/>
      </c>
      <c r="E59" s="35">
        <f>IF(B59="","",COUNTIFS('سجل التحفيز'!$W$5:$W$2004,"&gt;0",'سجل التحفيز'!$B$5:$B$2004,B59,'سجل التحفيز'!$D$5:$D$2004,"ذهبي"))</f>
        <v/>
      </c>
      <c r="F59" s="35">
        <f>IF(B59="","",SUMIFS('سجل التحفيز'!$G$5:$G$2004,'سجل التحفيز'!$W$5:$W$2004,"&gt;0",'سجل التحفيز'!$B$5:$B$2004,B59))</f>
        <v/>
      </c>
      <c r="G59" s="35">
        <f>IF(B59="","",COUNTIF($D$38:$D$187,"&gt;"&amp;D59)+1)</f>
        <v/>
      </c>
      <c r="H59" s="35">
        <f>IF(B59="","",INDEX(الموظفات!$L$5:$L$304,MATCH(B59,الموظفات!$B$5:$B$304,0)))</f>
        <v/>
      </c>
      <c r="K59" s="36">
        <f>IF(22&gt;$B$10,"",22)</f>
        <v/>
      </c>
      <c r="L59" s="37">
        <f>IF($K59="","",INDEX('سجل التحفيز'!$A$5:$A$2004,MATCH($K59,'سجل التحفيز'!$W$5:$W$2004,0)))</f>
        <v/>
      </c>
      <c r="M59" s="9">
        <f>IF($K59="","",INDEX('سجل التحفيز'!$B$5:$B$2004,MATCH($K59,'سجل التحفيز'!$W$5:$W$2004,0)))</f>
        <v/>
      </c>
      <c r="N59" s="9">
        <f>IF($K59="","",INDEX('سجل التحفيز'!$M$5:$M$2004,MATCH($K59,'سجل التحفيز'!$W$5:$W$2004,0)))</f>
        <v/>
      </c>
      <c r="O59" s="9">
        <f>IF($K59="","",INDEX('سجل التحفيز'!$C$5:$C$2004,MATCH($K59,'سجل التحفيز'!$W$5:$W$2004,0)))</f>
        <v/>
      </c>
      <c r="P59" s="36">
        <f>IF($K59="","",INDEX('سجل التحفيز'!$D$5:$D$2004,MATCH($K59,'سجل التحفيز'!$W$5:$W$2004,0)))</f>
        <v/>
      </c>
      <c r="Q59" s="9">
        <f>IF($K59="","",INDEX('سجل التحفيز'!$E$5:$E$2004,MATCH($K59,'سجل التحفيز'!$W$5:$W$2004,0)))</f>
        <v/>
      </c>
      <c r="R59" s="9">
        <f>IF($K59="","",INDEX('سجل التحفيز'!$F$5:$F$2004,MATCH($K59,'سجل التحفيز'!$W$5:$W$2004,0)))</f>
        <v/>
      </c>
      <c r="S59" s="35">
        <f>IF($K59="","",INDEX('سجل التحفيز'!$G$5:$G$2004,MATCH($K59,'سجل التحفيز'!$W$5:$W$2004,0)))</f>
        <v/>
      </c>
    </row>
    <row r="60">
      <c r="B60" s="34">
        <f>IFERROR(INDEX(الموظفات!$B$5:$B$304,MATCH(23,الموظفات!$Q$5:$Q$304,0)),"")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التحفيز'!$W$5:$W$2004,"&gt;0",'سجل التحفيز'!$B$5:$B$2004,B60))</f>
        <v/>
      </c>
      <c r="E60" s="35">
        <f>IF(B60="","",COUNTIFS('سجل التحفيز'!$W$5:$W$2004,"&gt;0",'سجل التحفيز'!$B$5:$B$2004,B60,'سجل التحفيز'!$D$5:$D$2004,"ذهبي"))</f>
        <v/>
      </c>
      <c r="F60" s="35">
        <f>IF(B60="","",SUMIFS('سجل التحفيز'!$G$5:$G$2004,'سجل التحفيز'!$W$5:$W$2004,"&gt;0",'سجل التحفيز'!$B$5:$B$2004,B60))</f>
        <v/>
      </c>
      <c r="G60" s="35">
        <f>IF(B60="","",COUNTIF($D$38:$D$187,"&gt;"&amp;D60)+1)</f>
        <v/>
      </c>
      <c r="H60" s="35">
        <f>IF(B60="","",INDEX(الموظفات!$L$5:$L$304,MATCH(B60,الموظفات!$B$5:$B$304,0)))</f>
        <v/>
      </c>
      <c r="K60" s="36">
        <f>IF(23&gt;$B$10,"",23)</f>
        <v/>
      </c>
      <c r="L60" s="37">
        <f>IF($K60="","",INDEX('سجل التحفيز'!$A$5:$A$2004,MATCH($K60,'سجل التحفيز'!$W$5:$W$2004,0)))</f>
        <v/>
      </c>
      <c r="M60" s="9">
        <f>IF($K60="","",INDEX('سجل التحفيز'!$B$5:$B$2004,MATCH($K60,'سجل التحفيز'!$W$5:$W$2004,0)))</f>
        <v/>
      </c>
      <c r="N60" s="9">
        <f>IF($K60="","",INDEX('سجل التحفيز'!$M$5:$M$2004,MATCH($K60,'سجل التحفيز'!$W$5:$W$2004,0)))</f>
        <v/>
      </c>
      <c r="O60" s="9">
        <f>IF($K60="","",INDEX('سجل التحفيز'!$C$5:$C$2004,MATCH($K60,'سجل التحفيز'!$W$5:$W$2004,0)))</f>
        <v/>
      </c>
      <c r="P60" s="36">
        <f>IF($K60="","",INDEX('سجل التحفيز'!$D$5:$D$2004,MATCH($K60,'سجل التحفيز'!$W$5:$W$2004,0)))</f>
        <v/>
      </c>
      <c r="Q60" s="9">
        <f>IF($K60="","",INDEX('سجل التحفيز'!$E$5:$E$2004,MATCH($K60,'سجل التحفيز'!$W$5:$W$2004,0)))</f>
        <v/>
      </c>
      <c r="R60" s="9">
        <f>IF($K60="","",INDEX('سجل التحفيز'!$F$5:$F$2004,MATCH($K60,'سجل التحفيز'!$W$5:$W$2004,0)))</f>
        <v/>
      </c>
      <c r="S60" s="35">
        <f>IF($K60="","",INDEX('سجل التحفيز'!$G$5:$G$2004,MATCH($K60,'سجل التحفيز'!$W$5:$W$2004,0)))</f>
        <v/>
      </c>
    </row>
    <row r="61">
      <c r="B61" s="34">
        <f>IFERROR(INDEX(الموظفات!$B$5:$B$304,MATCH(24,الموظفات!$Q$5:$Q$304,0)),"")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التحفيز'!$W$5:$W$2004,"&gt;0",'سجل التحفيز'!$B$5:$B$2004,B61))</f>
        <v/>
      </c>
      <c r="E61" s="35">
        <f>IF(B61="","",COUNTIFS('سجل التحفيز'!$W$5:$W$2004,"&gt;0",'سجل التحفيز'!$B$5:$B$2004,B61,'سجل التحفيز'!$D$5:$D$2004,"ذهبي"))</f>
        <v/>
      </c>
      <c r="F61" s="35">
        <f>IF(B61="","",SUMIFS('سجل التحفيز'!$G$5:$G$2004,'سجل التحفيز'!$W$5:$W$2004,"&gt;0",'سجل التحفيز'!$B$5:$B$2004,B61))</f>
        <v/>
      </c>
      <c r="G61" s="35">
        <f>IF(B61="","",COUNTIF($D$38:$D$187,"&gt;"&amp;D61)+1)</f>
        <v/>
      </c>
      <c r="H61" s="35">
        <f>IF(B61="","",INDEX(الموظفات!$L$5:$L$304,MATCH(B61,الموظفات!$B$5:$B$304,0)))</f>
        <v/>
      </c>
      <c r="K61" s="36">
        <f>IF(24&gt;$B$10,"",24)</f>
        <v/>
      </c>
      <c r="L61" s="37">
        <f>IF($K61="","",INDEX('سجل التحفيز'!$A$5:$A$2004,MATCH($K61,'سجل التحفيز'!$W$5:$W$2004,0)))</f>
        <v/>
      </c>
      <c r="M61" s="9">
        <f>IF($K61="","",INDEX('سجل التحفيز'!$B$5:$B$2004,MATCH($K61,'سجل التحفيز'!$W$5:$W$2004,0)))</f>
        <v/>
      </c>
      <c r="N61" s="9">
        <f>IF($K61="","",INDEX('سجل التحفيز'!$M$5:$M$2004,MATCH($K61,'سجل التحفيز'!$W$5:$W$2004,0)))</f>
        <v/>
      </c>
      <c r="O61" s="9">
        <f>IF($K61="","",INDEX('سجل التحفيز'!$C$5:$C$2004,MATCH($K61,'سجل التحفيز'!$W$5:$W$2004,0)))</f>
        <v/>
      </c>
      <c r="P61" s="36">
        <f>IF($K61="","",INDEX('سجل التحفيز'!$D$5:$D$2004,MATCH($K61,'سجل التحفيز'!$W$5:$W$2004,0)))</f>
        <v/>
      </c>
      <c r="Q61" s="9">
        <f>IF($K61="","",INDEX('سجل التحفيز'!$E$5:$E$2004,MATCH($K61,'سجل التحفيز'!$W$5:$W$2004,0)))</f>
        <v/>
      </c>
      <c r="R61" s="9">
        <f>IF($K61="","",INDEX('سجل التحفيز'!$F$5:$F$2004,MATCH($K61,'سجل التحفيز'!$W$5:$W$2004,0)))</f>
        <v/>
      </c>
      <c r="S61" s="35">
        <f>IF($K61="","",INDEX('سجل التحفيز'!$G$5:$G$2004,MATCH($K61,'سجل التحفيز'!$W$5:$W$2004,0)))</f>
        <v/>
      </c>
    </row>
    <row r="62">
      <c r="B62" s="34">
        <f>IFERROR(INDEX(الموظفات!$B$5:$B$304,MATCH(25,الموظفات!$Q$5:$Q$304,0)),"")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التحفيز'!$W$5:$W$2004,"&gt;0",'سجل التحفيز'!$B$5:$B$2004,B62))</f>
        <v/>
      </c>
      <c r="E62" s="35">
        <f>IF(B62="","",COUNTIFS('سجل التحفيز'!$W$5:$W$2004,"&gt;0",'سجل التحفيز'!$B$5:$B$2004,B62,'سجل التحفيز'!$D$5:$D$2004,"ذهبي"))</f>
        <v/>
      </c>
      <c r="F62" s="35">
        <f>IF(B62="","",SUMIFS('سجل التحفيز'!$G$5:$G$2004,'سجل التحفيز'!$W$5:$W$2004,"&gt;0",'سجل التحفيز'!$B$5:$B$2004,B62))</f>
        <v/>
      </c>
      <c r="G62" s="35">
        <f>IF(B62="","",COUNTIF($D$38:$D$187,"&gt;"&amp;D62)+1)</f>
        <v/>
      </c>
      <c r="H62" s="35">
        <f>IF(B62="","",INDEX(الموظفات!$L$5:$L$304,MATCH(B62,الموظفات!$B$5:$B$304,0)))</f>
        <v/>
      </c>
      <c r="K62" s="36">
        <f>IF(25&gt;$B$10,"",25)</f>
        <v/>
      </c>
      <c r="L62" s="37">
        <f>IF($K62="","",INDEX('سجل التحفيز'!$A$5:$A$2004,MATCH($K62,'سجل التحفيز'!$W$5:$W$2004,0)))</f>
        <v/>
      </c>
      <c r="M62" s="9">
        <f>IF($K62="","",INDEX('سجل التحفيز'!$B$5:$B$2004,MATCH($K62,'سجل التحفيز'!$W$5:$W$2004,0)))</f>
        <v/>
      </c>
      <c r="N62" s="9">
        <f>IF($K62="","",INDEX('سجل التحفيز'!$M$5:$M$2004,MATCH($K62,'سجل التحفيز'!$W$5:$W$2004,0)))</f>
        <v/>
      </c>
      <c r="O62" s="9">
        <f>IF($K62="","",INDEX('سجل التحفيز'!$C$5:$C$2004,MATCH($K62,'سجل التحفيز'!$W$5:$W$2004,0)))</f>
        <v/>
      </c>
      <c r="P62" s="36">
        <f>IF($K62="","",INDEX('سجل التحفيز'!$D$5:$D$2004,MATCH($K62,'سجل التحفيز'!$W$5:$W$2004,0)))</f>
        <v/>
      </c>
      <c r="Q62" s="9">
        <f>IF($K62="","",INDEX('سجل التحفيز'!$E$5:$E$2004,MATCH($K62,'سجل التحفيز'!$W$5:$W$2004,0)))</f>
        <v/>
      </c>
      <c r="R62" s="9">
        <f>IF($K62="","",INDEX('سجل التحفيز'!$F$5:$F$2004,MATCH($K62,'سجل التحفيز'!$W$5:$W$2004,0)))</f>
        <v/>
      </c>
      <c r="S62" s="35">
        <f>IF($K62="","",INDEX('سجل التحفيز'!$G$5:$G$2004,MATCH($K62,'سجل التحفيز'!$W$5:$W$2004,0)))</f>
        <v/>
      </c>
    </row>
    <row r="63">
      <c r="B63" s="34">
        <f>IFERROR(INDEX(الموظفات!$B$5:$B$304,MATCH(26,الموظفات!$Q$5:$Q$304,0)),"")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التحفيز'!$W$5:$W$2004,"&gt;0",'سجل التحفيز'!$B$5:$B$2004,B63))</f>
        <v/>
      </c>
      <c r="E63" s="35">
        <f>IF(B63="","",COUNTIFS('سجل التحفيز'!$W$5:$W$2004,"&gt;0",'سجل التحفيز'!$B$5:$B$2004,B63,'سجل التحفيز'!$D$5:$D$2004,"ذهبي"))</f>
        <v/>
      </c>
      <c r="F63" s="35">
        <f>IF(B63="","",SUMIFS('سجل التحفيز'!$G$5:$G$2004,'سجل التحفيز'!$W$5:$W$2004,"&gt;0",'سجل التحفيز'!$B$5:$B$2004,B63))</f>
        <v/>
      </c>
      <c r="G63" s="35">
        <f>IF(B63="","",COUNTIF($D$38:$D$187,"&gt;"&amp;D63)+1)</f>
        <v/>
      </c>
      <c r="H63" s="35">
        <f>IF(B63="","",INDEX(الموظفات!$L$5:$L$304,MATCH(B63,الموظفات!$B$5:$B$304,0)))</f>
        <v/>
      </c>
      <c r="K63" s="36">
        <f>IF(26&gt;$B$10,"",26)</f>
        <v/>
      </c>
      <c r="L63" s="37">
        <f>IF($K63="","",INDEX('سجل التحفيز'!$A$5:$A$2004,MATCH($K63,'سجل التحفيز'!$W$5:$W$2004,0)))</f>
        <v/>
      </c>
      <c r="M63" s="9">
        <f>IF($K63="","",INDEX('سجل التحفيز'!$B$5:$B$2004,MATCH($K63,'سجل التحفيز'!$W$5:$W$2004,0)))</f>
        <v/>
      </c>
      <c r="N63" s="9">
        <f>IF($K63="","",INDEX('سجل التحفيز'!$M$5:$M$2004,MATCH($K63,'سجل التحفيز'!$W$5:$W$2004,0)))</f>
        <v/>
      </c>
      <c r="O63" s="9">
        <f>IF($K63="","",INDEX('سجل التحفيز'!$C$5:$C$2004,MATCH($K63,'سجل التحفيز'!$W$5:$W$2004,0)))</f>
        <v/>
      </c>
      <c r="P63" s="36">
        <f>IF($K63="","",INDEX('سجل التحفيز'!$D$5:$D$2004,MATCH($K63,'سجل التحفيز'!$W$5:$W$2004,0)))</f>
        <v/>
      </c>
      <c r="Q63" s="9">
        <f>IF($K63="","",INDEX('سجل التحفيز'!$E$5:$E$2004,MATCH($K63,'سجل التحفيز'!$W$5:$W$2004,0)))</f>
        <v/>
      </c>
      <c r="R63" s="9">
        <f>IF($K63="","",INDEX('سجل التحفيز'!$F$5:$F$2004,MATCH($K63,'سجل التحفيز'!$W$5:$W$2004,0)))</f>
        <v/>
      </c>
      <c r="S63" s="35">
        <f>IF($K63="","",INDEX('سجل التحفيز'!$G$5:$G$2004,MATCH($K63,'سجل التحفيز'!$W$5:$W$2004,0)))</f>
        <v/>
      </c>
    </row>
    <row r="64">
      <c r="B64" s="34">
        <f>IFERROR(INDEX(الموظفات!$B$5:$B$304,MATCH(27,الموظفات!$Q$5:$Q$304,0)),"")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التحفيز'!$W$5:$W$2004,"&gt;0",'سجل التحفيز'!$B$5:$B$2004,B64))</f>
        <v/>
      </c>
      <c r="E64" s="35">
        <f>IF(B64="","",COUNTIFS('سجل التحفيز'!$W$5:$W$2004,"&gt;0",'سجل التحفيز'!$B$5:$B$2004,B64,'سجل التحفيز'!$D$5:$D$2004,"ذهبي"))</f>
        <v/>
      </c>
      <c r="F64" s="35">
        <f>IF(B64="","",SUMIFS('سجل التحفيز'!$G$5:$G$2004,'سجل التحفيز'!$W$5:$W$2004,"&gt;0",'سجل التحفيز'!$B$5:$B$2004,B64))</f>
        <v/>
      </c>
      <c r="G64" s="35">
        <f>IF(B64="","",COUNTIF($D$38:$D$187,"&gt;"&amp;D64)+1)</f>
        <v/>
      </c>
      <c r="H64" s="35">
        <f>IF(B64="","",INDEX(الموظفات!$L$5:$L$304,MATCH(B64,الموظفات!$B$5:$B$304,0)))</f>
        <v/>
      </c>
      <c r="K64" s="36">
        <f>IF(27&gt;$B$10,"",27)</f>
        <v/>
      </c>
      <c r="L64" s="37">
        <f>IF($K64="","",INDEX('سجل التحفيز'!$A$5:$A$2004,MATCH($K64,'سجل التحفيز'!$W$5:$W$2004,0)))</f>
        <v/>
      </c>
      <c r="M64" s="9">
        <f>IF($K64="","",INDEX('سجل التحفيز'!$B$5:$B$2004,MATCH($K64,'سجل التحفيز'!$W$5:$W$2004,0)))</f>
        <v/>
      </c>
      <c r="N64" s="9">
        <f>IF($K64="","",INDEX('سجل التحفيز'!$M$5:$M$2004,MATCH($K64,'سجل التحفيز'!$W$5:$W$2004,0)))</f>
        <v/>
      </c>
      <c r="O64" s="9">
        <f>IF($K64="","",INDEX('سجل التحفيز'!$C$5:$C$2004,MATCH($K64,'سجل التحفيز'!$W$5:$W$2004,0)))</f>
        <v/>
      </c>
      <c r="P64" s="36">
        <f>IF($K64="","",INDEX('سجل التحفيز'!$D$5:$D$2004,MATCH($K64,'سجل التحفيز'!$W$5:$W$2004,0)))</f>
        <v/>
      </c>
      <c r="Q64" s="9">
        <f>IF($K64="","",INDEX('سجل التحفيز'!$E$5:$E$2004,MATCH($K64,'سجل التحفيز'!$W$5:$W$2004,0)))</f>
        <v/>
      </c>
      <c r="R64" s="9">
        <f>IF($K64="","",INDEX('سجل التحفيز'!$F$5:$F$2004,MATCH($K64,'سجل التحفيز'!$W$5:$W$2004,0)))</f>
        <v/>
      </c>
      <c r="S64" s="35">
        <f>IF($K64="","",INDEX('سجل التحفيز'!$G$5:$G$2004,MATCH($K64,'سجل التحفيز'!$W$5:$W$2004,0)))</f>
        <v/>
      </c>
    </row>
    <row r="65">
      <c r="B65" s="34">
        <f>IFERROR(INDEX(الموظفات!$B$5:$B$304,MATCH(28,الموظفات!$Q$5:$Q$304,0)),"")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التحفيز'!$W$5:$W$2004,"&gt;0",'سجل التحفيز'!$B$5:$B$2004,B65))</f>
        <v/>
      </c>
      <c r="E65" s="35">
        <f>IF(B65="","",COUNTIFS('سجل التحفيز'!$W$5:$W$2004,"&gt;0",'سجل التحفيز'!$B$5:$B$2004,B65,'سجل التحفيز'!$D$5:$D$2004,"ذهبي"))</f>
        <v/>
      </c>
      <c r="F65" s="35">
        <f>IF(B65="","",SUMIFS('سجل التحفيز'!$G$5:$G$2004,'سجل التحفيز'!$W$5:$W$2004,"&gt;0",'سجل التحفيز'!$B$5:$B$2004,B65))</f>
        <v/>
      </c>
      <c r="G65" s="35">
        <f>IF(B65="","",COUNTIF($D$38:$D$187,"&gt;"&amp;D65)+1)</f>
        <v/>
      </c>
      <c r="H65" s="35">
        <f>IF(B65="","",INDEX(الموظفات!$L$5:$L$304,MATCH(B65,الموظفات!$B$5:$B$304,0)))</f>
        <v/>
      </c>
      <c r="K65" s="36">
        <f>IF(28&gt;$B$10,"",28)</f>
        <v/>
      </c>
      <c r="L65" s="37">
        <f>IF($K65="","",INDEX('سجل التحفيز'!$A$5:$A$2004,MATCH($K65,'سجل التحفيز'!$W$5:$W$2004,0)))</f>
        <v/>
      </c>
      <c r="M65" s="9">
        <f>IF($K65="","",INDEX('سجل التحفيز'!$B$5:$B$2004,MATCH($K65,'سجل التحفيز'!$W$5:$W$2004,0)))</f>
        <v/>
      </c>
      <c r="N65" s="9">
        <f>IF($K65="","",INDEX('سجل التحفيز'!$M$5:$M$2004,MATCH($K65,'سجل التحفيز'!$W$5:$W$2004,0)))</f>
        <v/>
      </c>
      <c r="O65" s="9">
        <f>IF($K65="","",INDEX('سجل التحفيز'!$C$5:$C$2004,MATCH($K65,'سجل التحفيز'!$W$5:$W$2004,0)))</f>
        <v/>
      </c>
      <c r="P65" s="36">
        <f>IF($K65="","",INDEX('سجل التحفيز'!$D$5:$D$2004,MATCH($K65,'سجل التحفيز'!$W$5:$W$2004,0)))</f>
        <v/>
      </c>
      <c r="Q65" s="9">
        <f>IF($K65="","",INDEX('سجل التحفيز'!$E$5:$E$2004,MATCH($K65,'سجل التحفيز'!$W$5:$W$2004,0)))</f>
        <v/>
      </c>
      <c r="R65" s="9">
        <f>IF($K65="","",INDEX('سجل التحفيز'!$F$5:$F$2004,MATCH($K65,'سجل التحفيز'!$W$5:$W$2004,0)))</f>
        <v/>
      </c>
      <c r="S65" s="35">
        <f>IF($K65="","",INDEX('سجل التحفيز'!$G$5:$G$2004,MATCH($K65,'سجل التحفيز'!$W$5:$W$2004,0)))</f>
        <v/>
      </c>
    </row>
    <row r="66">
      <c r="B66" s="34">
        <f>IFERROR(INDEX(الموظفات!$B$5:$B$304,MATCH(29,الموظفات!$Q$5:$Q$304,0)),"")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التحفيز'!$W$5:$W$2004,"&gt;0",'سجل التحفيز'!$B$5:$B$2004,B66))</f>
        <v/>
      </c>
      <c r="E66" s="35">
        <f>IF(B66="","",COUNTIFS('سجل التحفيز'!$W$5:$W$2004,"&gt;0",'سجل التحفيز'!$B$5:$B$2004,B66,'سجل التحفيز'!$D$5:$D$2004,"ذهبي"))</f>
        <v/>
      </c>
      <c r="F66" s="35">
        <f>IF(B66="","",SUMIFS('سجل التحفيز'!$G$5:$G$2004,'سجل التحفيز'!$W$5:$W$2004,"&gt;0",'سجل التحفيز'!$B$5:$B$2004,B66))</f>
        <v/>
      </c>
      <c r="G66" s="35">
        <f>IF(B66="","",COUNTIF($D$38:$D$187,"&gt;"&amp;D66)+1)</f>
        <v/>
      </c>
      <c r="H66" s="35">
        <f>IF(B66="","",INDEX(الموظفات!$L$5:$L$304,MATCH(B66,الموظفات!$B$5:$B$304,0)))</f>
        <v/>
      </c>
      <c r="K66" s="36">
        <f>IF(29&gt;$B$10,"",29)</f>
        <v/>
      </c>
      <c r="L66" s="37">
        <f>IF($K66="","",INDEX('سجل التحفيز'!$A$5:$A$2004,MATCH($K66,'سجل التحفيز'!$W$5:$W$2004,0)))</f>
        <v/>
      </c>
      <c r="M66" s="9">
        <f>IF($K66="","",INDEX('سجل التحفيز'!$B$5:$B$2004,MATCH($K66,'سجل التحفيز'!$W$5:$W$2004,0)))</f>
        <v/>
      </c>
      <c r="N66" s="9">
        <f>IF($K66="","",INDEX('سجل التحفيز'!$M$5:$M$2004,MATCH($K66,'سجل التحفيز'!$W$5:$W$2004,0)))</f>
        <v/>
      </c>
      <c r="O66" s="9">
        <f>IF($K66="","",INDEX('سجل التحفيز'!$C$5:$C$2004,MATCH($K66,'سجل التحفيز'!$W$5:$W$2004,0)))</f>
        <v/>
      </c>
      <c r="P66" s="36">
        <f>IF($K66="","",INDEX('سجل التحفيز'!$D$5:$D$2004,MATCH($K66,'سجل التحفيز'!$W$5:$W$2004,0)))</f>
        <v/>
      </c>
      <c r="Q66" s="9">
        <f>IF($K66="","",INDEX('سجل التحفيز'!$E$5:$E$2004,MATCH($K66,'سجل التحفيز'!$W$5:$W$2004,0)))</f>
        <v/>
      </c>
      <c r="R66" s="9">
        <f>IF($K66="","",INDEX('سجل التحفيز'!$F$5:$F$2004,MATCH($K66,'سجل التحفيز'!$W$5:$W$2004,0)))</f>
        <v/>
      </c>
      <c r="S66" s="35">
        <f>IF($K66="","",INDEX('سجل التحفيز'!$G$5:$G$2004,MATCH($K66,'سجل التحفيز'!$W$5:$W$2004,0)))</f>
        <v/>
      </c>
    </row>
    <row r="67">
      <c r="B67" s="34">
        <f>IFERROR(INDEX(الموظفات!$B$5:$B$304,MATCH(30,الموظفات!$Q$5:$Q$304,0)),"")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التحفيز'!$W$5:$W$2004,"&gt;0",'سجل التحفيز'!$B$5:$B$2004,B67))</f>
        <v/>
      </c>
      <c r="E67" s="35">
        <f>IF(B67="","",COUNTIFS('سجل التحفيز'!$W$5:$W$2004,"&gt;0",'سجل التحفيز'!$B$5:$B$2004,B67,'سجل التحفيز'!$D$5:$D$2004,"ذهبي"))</f>
        <v/>
      </c>
      <c r="F67" s="35">
        <f>IF(B67="","",SUMIFS('سجل التحفيز'!$G$5:$G$2004,'سجل التحفيز'!$W$5:$W$2004,"&gt;0",'سجل التحفيز'!$B$5:$B$2004,B67))</f>
        <v/>
      </c>
      <c r="G67" s="35">
        <f>IF(B67="","",COUNTIF($D$38:$D$187,"&gt;"&amp;D67)+1)</f>
        <v/>
      </c>
      <c r="H67" s="35">
        <f>IF(B67="","",INDEX(الموظفات!$L$5:$L$304,MATCH(B67,الموظفات!$B$5:$B$304,0)))</f>
        <v/>
      </c>
      <c r="K67" s="36">
        <f>IF(30&gt;$B$10,"",30)</f>
        <v/>
      </c>
      <c r="L67" s="37">
        <f>IF($K67="","",INDEX('سجل التحفيز'!$A$5:$A$2004,MATCH($K67,'سجل التحفيز'!$W$5:$W$2004,0)))</f>
        <v/>
      </c>
      <c r="M67" s="9">
        <f>IF($K67="","",INDEX('سجل التحفيز'!$B$5:$B$2004,MATCH($K67,'سجل التحفيز'!$W$5:$W$2004,0)))</f>
        <v/>
      </c>
      <c r="N67" s="9">
        <f>IF($K67="","",INDEX('سجل التحفيز'!$M$5:$M$2004,MATCH($K67,'سجل التحفيز'!$W$5:$W$2004,0)))</f>
        <v/>
      </c>
      <c r="O67" s="9">
        <f>IF($K67="","",INDEX('سجل التحفيز'!$C$5:$C$2004,MATCH($K67,'سجل التحفيز'!$W$5:$W$2004,0)))</f>
        <v/>
      </c>
      <c r="P67" s="36">
        <f>IF($K67="","",INDEX('سجل التحفيز'!$D$5:$D$2004,MATCH($K67,'سجل التحفيز'!$W$5:$W$2004,0)))</f>
        <v/>
      </c>
      <c r="Q67" s="9">
        <f>IF($K67="","",INDEX('سجل التحفيز'!$E$5:$E$2004,MATCH($K67,'سجل التحفيز'!$W$5:$W$2004,0)))</f>
        <v/>
      </c>
      <c r="R67" s="9">
        <f>IF($K67="","",INDEX('سجل التحفيز'!$F$5:$F$2004,MATCH($K67,'سجل التحفيز'!$W$5:$W$2004,0)))</f>
        <v/>
      </c>
      <c r="S67" s="35">
        <f>IF($K67="","",INDEX('سجل التحفيز'!$G$5:$G$2004,MATCH($K67,'سجل التحفيز'!$W$5:$W$2004,0)))</f>
        <v/>
      </c>
    </row>
    <row r="68">
      <c r="B68" s="34">
        <f>IFERROR(INDEX(الموظفات!$B$5:$B$304,MATCH(31,الموظفات!$Q$5:$Q$304,0)),"")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التحفيز'!$W$5:$W$2004,"&gt;0",'سجل التحفيز'!$B$5:$B$2004,B68))</f>
        <v/>
      </c>
      <c r="E68" s="35">
        <f>IF(B68="","",COUNTIFS('سجل التحفيز'!$W$5:$W$2004,"&gt;0",'سجل التحفيز'!$B$5:$B$2004,B68,'سجل التحفيز'!$D$5:$D$2004,"ذهبي"))</f>
        <v/>
      </c>
      <c r="F68" s="35">
        <f>IF(B68="","",SUMIFS('سجل التحفيز'!$G$5:$G$2004,'سجل التحفيز'!$W$5:$W$2004,"&gt;0",'سجل التحفيز'!$B$5:$B$2004,B68))</f>
        <v/>
      </c>
      <c r="G68" s="35">
        <f>IF(B68="","",COUNTIF($D$38:$D$187,"&gt;"&amp;D68)+1)</f>
        <v/>
      </c>
      <c r="H68" s="35">
        <f>IF(B68="","",INDEX(الموظفات!$L$5:$L$304,MATCH(B68,الموظفات!$B$5:$B$304,0)))</f>
        <v/>
      </c>
      <c r="K68" s="36">
        <f>IF(31&gt;$B$10,"",31)</f>
        <v/>
      </c>
      <c r="L68" s="37">
        <f>IF($K68="","",INDEX('سجل التحفيز'!$A$5:$A$2004,MATCH($K68,'سجل التحفيز'!$W$5:$W$2004,0)))</f>
        <v/>
      </c>
      <c r="M68" s="9">
        <f>IF($K68="","",INDEX('سجل التحفيز'!$B$5:$B$2004,MATCH($K68,'سجل التحفيز'!$W$5:$W$2004,0)))</f>
        <v/>
      </c>
      <c r="N68" s="9">
        <f>IF($K68="","",INDEX('سجل التحفيز'!$M$5:$M$2004,MATCH($K68,'سجل التحفيز'!$W$5:$W$2004,0)))</f>
        <v/>
      </c>
      <c r="O68" s="9">
        <f>IF($K68="","",INDEX('سجل التحفيز'!$C$5:$C$2004,MATCH($K68,'سجل التحفيز'!$W$5:$W$2004,0)))</f>
        <v/>
      </c>
      <c r="P68" s="36">
        <f>IF($K68="","",INDEX('سجل التحفيز'!$D$5:$D$2004,MATCH($K68,'سجل التحفيز'!$W$5:$W$2004,0)))</f>
        <v/>
      </c>
      <c r="Q68" s="9">
        <f>IF($K68="","",INDEX('سجل التحفيز'!$E$5:$E$2004,MATCH($K68,'سجل التحفيز'!$W$5:$W$2004,0)))</f>
        <v/>
      </c>
      <c r="R68" s="9">
        <f>IF($K68="","",INDEX('سجل التحفيز'!$F$5:$F$2004,MATCH($K68,'سجل التحفيز'!$W$5:$W$2004,0)))</f>
        <v/>
      </c>
      <c r="S68" s="35">
        <f>IF($K68="","",INDEX('سجل التحفيز'!$G$5:$G$2004,MATCH($K68,'سجل التحفيز'!$W$5:$W$2004,0)))</f>
        <v/>
      </c>
    </row>
    <row r="69">
      <c r="B69" s="34">
        <f>IFERROR(INDEX(الموظفات!$B$5:$B$304,MATCH(32,الموظفات!$Q$5:$Q$304,0)),"")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التحفيز'!$W$5:$W$2004,"&gt;0",'سجل التحفيز'!$B$5:$B$2004,B69))</f>
        <v/>
      </c>
      <c r="E69" s="35">
        <f>IF(B69="","",COUNTIFS('سجل التحفيز'!$W$5:$W$2004,"&gt;0",'سجل التحفيز'!$B$5:$B$2004,B69,'سجل التحفيز'!$D$5:$D$2004,"ذهبي"))</f>
        <v/>
      </c>
      <c r="F69" s="35">
        <f>IF(B69="","",SUMIFS('سجل التحفيز'!$G$5:$G$2004,'سجل التحفيز'!$W$5:$W$2004,"&gt;0",'سجل التحفيز'!$B$5:$B$2004,B69))</f>
        <v/>
      </c>
      <c r="G69" s="35">
        <f>IF(B69="","",COUNTIF($D$38:$D$187,"&gt;"&amp;D69)+1)</f>
        <v/>
      </c>
      <c r="H69" s="35">
        <f>IF(B69="","",INDEX(الموظفات!$L$5:$L$304,MATCH(B69,الموظفات!$B$5:$B$304,0)))</f>
        <v/>
      </c>
      <c r="K69" s="36">
        <f>IF(32&gt;$B$10,"",32)</f>
        <v/>
      </c>
      <c r="L69" s="37">
        <f>IF($K69="","",INDEX('سجل التحفيز'!$A$5:$A$2004,MATCH($K69,'سجل التحفيز'!$W$5:$W$2004,0)))</f>
        <v/>
      </c>
      <c r="M69" s="9">
        <f>IF($K69="","",INDEX('سجل التحفيز'!$B$5:$B$2004,MATCH($K69,'سجل التحفيز'!$W$5:$W$2004,0)))</f>
        <v/>
      </c>
      <c r="N69" s="9">
        <f>IF($K69="","",INDEX('سجل التحفيز'!$M$5:$M$2004,MATCH($K69,'سجل التحفيز'!$W$5:$W$2004,0)))</f>
        <v/>
      </c>
      <c r="O69" s="9">
        <f>IF($K69="","",INDEX('سجل التحفيز'!$C$5:$C$2004,MATCH($K69,'سجل التحفيز'!$W$5:$W$2004,0)))</f>
        <v/>
      </c>
      <c r="P69" s="36">
        <f>IF($K69="","",INDEX('سجل التحفيز'!$D$5:$D$2004,MATCH($K69,'سجل التحفيز'!$W$5:$W$2004,0)))</f>
        <v/>
      </c>
      <c r="Q69" s="9">
        <f>IF($K69="","",INDEX('سجل التحفيز'!$E$5:$E$2004,MATCH($K69,'سجل التحفيز'!$W$5:$W$2004,0)))</f>
        <v/>
      </c>
      <c r="R69" s="9">
        <f>IF($K69="","",INDEX('سجل التحفيز'!$F$5:$F$2004,MATCH($K69,'سجل التحفيز'!$W$5:$W$2004,0)))</f>
        <v/>
      </c>
      <c r="S69" s="35">
        <f>IF($K69="","",INDEX('سجل التحفيز'!$G$5:$G$2004,MATCH($K69,'سجل التحفيز'!$W$5:$W$2004,0)))</f>
        <v/>
      </c>
    </row>
    <row r="70">
      <c r="B70" s="34">
        <f>IFERROR(INDEX(الموظفات!$B$5:$B$304,MATCH(33,الموظفات!$Q$5:$Q$304,0)),"")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التحفيز'!$W$5:$W$2004,"&gt;0",'سجل التحفيز'!$B$5:$B$2004,B70))</f>
        <v/>
      </c>
      <c r="E70" s="35">
        <f>IF(B70="","",COUNTIFS('سجل التحفيز'!$W$5:$W$2004,"&gt;0",'سجل التحفيز'!$B$5:$B$2004,B70,'سجل التحفيز'!$D$5:$D$2004,"ذهبي"))</f>
        <v/>
      </c>
      <c r="F70" s="35">
        <f>IF(B70="","",SUMIFS('سجل التحفيز'!$G$5:$G$2004,'سجل التحفيز'!$W$5:$W$2004,"&gt;0",'سجل التحفيز'!$B$5:$B$2004,B70))</f>
        <v/>
      </c>
      <c r="G70" s="35">
        <f>IF(B70="","",COUNTIF($D$38:$D$187,"&gt;"&amp;D70)+1)</f>
        <v/>
      </c>
      <c r="H70" s="35">
        <f>IF(B70="","",INDEX(الموظفات!$L$5:$L$304,MATCH(B70,الموظفات!$B$5:$B$304,0)))</f>
        <v/>
      </c>
      <c r="K70" s="36">
        <f>IF(33&gt;$B$10,"",33)</f>
        <v/>
      </c>
      <c r="L70" s="37">
        <f>IF($K70="","",INDEX('سجل التحفيز'!$A$5:$A$2004,MATCH($K70,'سجل التحفيز'!$W$5:$W$2004,0)))</f>
        <v/>
      </c>
      <c r="M70" s="9">
        <f>IF($K70="","",INDEX('سجل التحفيز'!$B$5:$B$2004,MATCH($K70,'سجل التحفيز'!$W$5:$W$2004,0)))</f>
        <v/>
      </c>
      <c r="N70" s="9">
        <f>IF($K70="","",INDEX('سجل التحفيز'!$M$5:$M$2004,MATCH($K70,'سجل التحفيز'!$W$5:$W$2004,0)))</f>
        <v/>
      </c>
      <c r="O70" s="9">
        <f>IF($K70="","",INDEX('سجل التحفيز'!$C$5:$C$2004,MATCH($K70,'سجل التحفيز'!$W$5:$W$2004,0)))</f>
        <v/>
      </c>
      <c r="P70" s="36">
        <f>IF($K70="","",INDEX('سجل التحفيز'!$D$5:$D$2004,MATCH($K70,'سجل التحفيز'!$W$5:$W$2004,0)))</f>
        <v/>
      </c>
      <c r="Q70" s="9">
        <f>IF($K70="","",INDEX('سجل التحفيز'!$E$5:$E$2004,MATCH($K70,'سجل التحفيز'!$W$5:$W$2004,0)))</f>
        <v/>
      </c>
      <c r="R70" s="9">
        <f>IF($K70="","",INDEX('سجل التحفيز'!$F$5:$F$2004,MATCH($K70,'سجل التحفيز'!$W$5:$W$2004,0)))</f>
        <v/>
      </c>
      <c r="S70" s="35">
        <f>IF($K70="","",INDEX('سجل التحفيز'!$G$5:$G$2004,MATCH($K70,'سجل التحفيز'!$W$5:$W$2004,0)))</f>
        <v/>
      </c>
    </row>
    <row r="71">
      <c r="B71" s="34">
        <f>IFERROR(INDEX(الموظفات!$B$5:$B$304,MATCH(34,الموظفات!$Q$5:$Q$304,0)),"")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التحفيز'!$W$5:$W$2004,"&gt;0",'سجل التحفيز'!$B$5:$B$2004,B71))</f>
        <v/>
      </c>
      <c r="E71" s="35">
        <f>IF(B71="","",COUNTIFS('سجل التحفيز'!$W$5:$W$2004,"&gt;0",'سجل التحفيز'!$B$5:$B$2004,B71,'سجل التحفيز'!$D$5:$D$2004,"ذهبي"))</f>
        <v/>
      </c>
      <c r="F71" s="35">
        <f>IF(B71="","",SUMIFS('سجل التحفيز'!$G$5:$G$2004,'سجل التحفيز'!$W$5:$W$2004,"&gt;0",'سجل التحفيز'!$B$5:$B$2004,B71))</f>
        <v/>
      </c>
      <c r="G71" s="35">
        <f>IF(B71="","",COUNTIF($D$38:$D$187,"&gt;"&amp;D71)+1)</f>
        <v/>
      </c>
      <c r="H71" s="35">
        <f>IF(B71="","",INDEX(الموظفات!$L$5:$L$304,MATCH(B71,الموظفات!$B$5:$B$304,0)))</f>
        <v/>
      </c>
      <c r="K71" s="36">
        <f>IF(34&gt;$B$10,"",34)</f>
        <v/>
      </c>
      <c r="L71" s="37">
        <f>IF($K71="","",INDEX('سجل التحفيز'!$A$5:$A$2004,MATCH($K71,'سجل التحفيز'!$W$5:$W$2004,0)))</f>
        <v/>
      </c>
      <c r="M71" s="9">
        <f>IF($K71="","",INDEX('سجل التحفيز'!$B$5:$B$2004,MATCH($K71,'سجل التحفيز'!$W$5:$W$2004,0)))</f>
        <v/>
      </c>
      <c r="N71" s="9">
        <f>IF($K71="","",INDEX('سجل التحفيز'!$M$5:$M$2004,MATCH($K71,'سجل التحفيز'!$W$5:$W$2004,0)))</f>
        <v/>
      </c>
      <c r="O71" s="9">
        <f>IF($K71="","",INDEX('سجل التحفيز'!$C$5:$C$2004,MATCH($K71,'سجل التحفيز'!$W$5:$W$2004,0)))</f>
        <v/>
      </c>
      <c r="P71" s="36">
        <f>IF($K71="","",INDEX('سجل التحفيز'!$D$5:$D$2004,MATCH($K71,'سجل التحفيز'!$W$5:$W$2004,0)))</f>
        <v/>
      </c>
      <c r="Q71" s="9">
        <f>IF($K71="","",INDEX('سجل التحفيز'!$E$5:$E$2004,MATCH($K71,'سجل التحفيز'!$W$5:$W$2004,0)))</f>
        <v/>
      </c>
      <c r="R71" s="9">
        <f>IF($K71="","",INDEX('سجل التحفيز'!$F$5:$F$2004,MATCH($K71,'سجل التحفيز'!$W$5:$W$2004,0)))</f>
        <v/>
      </c>
      <c r="S71" s="35">
        <f>IF($K71="","",INDEX('سجل التحفيز'!$G$5:$G$2004,MATCH($K71,'سجل التحفيز'!$W$5:$W$2004,0)))</f>
        <v/>
      </c>
    </row>
    <row r="72">
      <c r="B72" s="34">
        <f>IFERROR(INDEX(الموظفات!$B$5:$B$304,MATCH(35,الموظفات!$Q$5:$Q$304,0)),"")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التحفيز'!$W$5:$W$2004,"&gt;0",'سجل التحفيز'!$B$5:$B$2004,B72))</f>
        <v/>
      </c>
      <c r="E72" s="35">
        <f>IF(B72="","",COUNTIFS('سجل التحفيز'!$W$5:$W$2004,"&gt;0",'سجل التحفيز'!$B$5:$B$2004,B72,'سجل التحفيز'!$D$5:$D$2004,"ذهبي"))</f>
        <v/>
      </c>
      <c r="F72" s="35">
        <f>IF(B72="","",SUMIFS('سجل التحفيز'!$G$5:$G$2004,'سجل التحفيز'!$W$5:$W$2004,"&gt;0",'سجل التحفيز'!$B$5:$B$2004,B72))</f>
        <v/>
      </c>
      <c r="G72" s="35">
        <f>IF(B72="","",COUNTIF($D$38:$D$187,"&gt;"&amp;D72)+1)</f>
        <v/>
      </c>
      <c r="H72" s="35">
        <f>IF(B72="","",INDEX(الموظفات!$L$5:$L$304,MATCH(B72,الموظفات!$B$5:$B$304,0)))</f>
        <v/>
      </c>
      <c r="K72" s="36">
        <f>IF(35&gt;$B$10,"",35)</f>
        <v/>
      </c>
      <c r="L72" s="37">
        <f>IF($K72="","",INDEX('سجل التحفيز'!$A$5:$A$2004,MATCH($K72,'سجل التحفيز'!$W$5:$W$2004,0)))</f>
        <v/>
      </c>
      <c r="M72" s="9">
        <f>IF($K72="","",INDEX('سجل التحفيز'!$B$5:$B$2004,MATCH($K72,'سجل التحفيز'!$W$5:$W$2004,0)))</f>
        <v/>
      </c>
      <c r="N72" s="9">
        <f>IF($K72="","",INDEX('سجل التحفيز'!$M$5:$M$2004,MATCH($K72,'سجل التحفيز'!$W$5:$W$2004,0)))</f>
        <v/>
      </c>
      <c r="O72" s="9">
        <f>IF($K72="","",INDEX('سجل التحفيز'!$C$5:$C$2004,MATCH($K72,'سجل التحفيز'!$W$5:$W$2004,0)))</f>
        <v/>
      </c>
      <c r="P72" s="36">
        <f>IF($K72="","",INDEX('سجل التحفيز'!$D$5:$D$2004,MATCH($K72,'سجل التحفيز'!$W$5:$W$2004,0)))</f>
        <v/>
      </c>
      <c r="Q72" s="9">
        <f>IF($K72="","",INDEX('سجل التحفيز'!$E$5:$E$2004,MATCH($K72,'سجل التحفيز'!$W$5:$W$2004,0)))</f>
        <v/>
      </c>
      <c r="R72" s="9">
        <f>IF($K72="","",INDEX('سجل التحفيز'!$F$5:$F$2004,MATCH($K72,'سجل التحفيز'!$W$5:$W$2004,0)))</f>
        <v/>
      </c>
      <c r="S72" s="35">
        <f>IF($K72="","",INDEX('سجل التحفيز'!$G$5:$G$2004,MATCH($K72,'سجل التحفيز'!$W$5:$W$2004,0)))</f>
        <v/>
      </c>
    </row>
    <row r="73">
      <c r="B73" s="34">
        <f>IFERROR(INDEX(الموظفات!$B$5:$B$304,MATCH(36,الموظفات!$Q$5:$Q$304,0)),"")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التحفيز'!$W$5:$W$2004,"&gt;0",'سجل التحفيز'!$B$5:$B$2004,B73))</f>
        <v/>
      </c>
      <c r="E73" s="35">
        <f>IF(B73="","",COUNTIFS('سجل التحفيز'!$W$5:$W$2004,"&gt;0",'سجل التحفيز'!$B$5:$B$2004,B73,'سجل التحفيز'!$D$5:$D$2004,"ذهبي"))</f>
        <v/>
      </c>
      <c r="F73" s="35">
        <f>IF(B73="","",SUMIFS('سجل التحفيز'!$G$5:$G$2004,'سجل التحفيز'!$W$5:$W$2004,"&gt;0",'سجل التحفيز'!$B$5:$B$2004,B73))</f>
        <v/>
      </c>
      <c r="G73" s="35">
        <f>IF(B73="","",COUNTIF($D$38:$D$187,"&gt;"&amp;D73)+1)</f>
        <v/>
      </c>
      <c r="H73" s="35">
        <f>IF(B73="","",INDEX(الموظفات!$L$5:$L$304,MATCH(B73,الموظفات!$B$5:$B$304,0)))</f>
        <v/>
      </c>
      <c r="K73" s="36">
        <f>IF(36&gt;$B$10,"",36)</f>
        <v/>
      </c>
      <c r="L73" s="37">
        <f>IF($K73="","",INDEX('سجل التحفيز'!$A$5:$A$2004,MATCH($K73,'سجل التحفيز'!$W$5:$W$2004,0)))</f>
        <v/>
      </c>
      <c r="M73" s="9">
        <f>IF($K73="","",INDEX('سجل التحفيز'!$B$5:$B$2004,MATCH($K73,'سجل التحفيز'!$W$5:$W$2004,0)))</f>
        <v/>
      </c>
      <c r="N73" s="9">
        <f>IF($K73="","",INDEX('سجل التحفيز'!$M$5:$M$2004,MATCH($K73,'سجل التحفيز'!$W$5:$W$2004,0)))</f>
        <v/>
      </c>
      <c r="O73" s="9">
        <f>IF($K73="","",INDEX('سجل التحفيز'!$C$5:$C$2004,MATCH($K73,'سجل التحفيز'!$W$5:$W$2004,0)))</f>
        <v/>
      </c>
      <c r="P73" s="36">
        <f>IF($K73="","",INDEX('سجل التحفيز'!$D$5:$D$2004,MATCH($K73,'سجل التحفيز'!$W$5:$W$2004,0)))</f>
        <v/>
      </c>
      <c r="Q73" s="9">
        <f>IF($K73="","",INDEX('سجل التحفيز'!$E$5:$E$2004,MATCH($K73,'سجل التحفيز'!$W$5:$W$2004,0)))</f>
        <v/>
      </c>
      <c r="R73" s="9">
        <f>IF($K73="","",INDEX('سجل التحفيز'!$F$5:$F$2004,MATCH($K73,'سجل التحفيز'!$W$5:$W$2004,0)))</f>
        <v/>
      </c>
      <c r="S73" s="35">
        <f>IF($K73="","",INDEX('سجل التحفيز'!$G$5:$G$2004,MATCH($K73,'سجل التحفيز'!$W$5:$W$2004,0)))</f>
        <v/>
      </c>
    </row>
    <row r="74">
      <c r="B74" s="34">
        <f>IFERROR(INDEX(الموظفات!$B$5:$B$304,MATCH(37,الموظفات!$Q$5:$Q$304,0)),"")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التحفيز'!$W$5:$W$2004,"&gt;0",'سجل التحفيز'!$B$5:$B$2004,B74))</f>
        <v/>
      </c>
      <c r="E74" s="35">
        <f>IF(B74="","",COUNTIFS('سجل التحفيز'!$W$5:$W$2004,"&gt;0",'سجل التحفيز'!$B$5:$B$2004,B74,'سجل التحفيز'!$D$5:$D$2004,"ذهبي"))</f>
        <v/>
      </c>
      <c r="F74" s="35">
        <f>IF(B74="","",SUMIFS('سجل التحفيز'!$G$5:$G$2004,'سجل التحفيز'!$W$5:$W$2004,"&gt;0",'سجل التحفيز'!$B$5:$B$2004,B74))</f>
        <v/>
      </c>
      <c r="G74" s="35">
        <f>IF(B74="","",COUNTIF($D$38:$D$187,"&gt;"&amp;D74)+1)</f>
        <v/>
      </c>
      <c r="H74" s="35">
        <f>IF(B74="","",INDEX(الموظفات!$L$5:$L$304,MATCH(B74,الموظفات!$B$5:$B$304,0)))</f>
        <v/>
      </c>
      <c r="K74" s="36">
        <f>IF(37&gt;$B$10,"",37)</f>
        <v/>
      </c>
      <c r="L74" s="37">
        <f>IF($K74="","",INDEX('سجل التحفيز'!$A$5:$A$2004,MATCH($K74,'سجل التحفيز'!$W$5:$W$2004,0)))</f>
        <v/>
      </c>
      <c r="M74" s="9">
        <f>IF($K74="","",INDEX('سجل التحفيز'!$B$5:$B$2004,MATCH($K74,'سجل التحفيز'!$W$5:$W$2004,0)))</f>
        <v/>
      </c>
      <c r="N74" s="9">
        <f>IF($K74="","",INDEX('سجل التحفيز'!$M$5:$M$2004,MATCH($K74,'سجل التحفيز'!$W$5:$W$2004,0)))</f>
        <v/>
      </c>
      <c r="O74" s="9">
        <f>IF($K74="","",INDEX('سجل التحفيز'!$C$5:$C$2004,MATCH($K74,'سجل التحفيز'!$W$5:$W$2004,0)))</f>
        <v/>
      </c>
      <c r="P74" s="36">
        <f>IF($K74="","",INDEX('سجل التحفيز'!$D$5:$D$2004,MATCH($K74,'سجل التحفيز'!$W$5:$W$2004,0)))</f>
        <v/>
      </c>
      <c r="Q74" s="9">
        <f>IF($K74="","",INDEX('سجل التحفيز'!$E$5:$E$2004,MATCH($K74,'سجل التحفيز'!$W$5:$W$2004,0)))</f>
        <v/>
      </c>
      <c r="R74" s="9">
        <f>IF($K74="","",INDEX('سجل التحفيز'!$F$5:$F$2004,MATCH($K74,'سجل التحفيز'!$W$5:$W$2004,0)))</f>
        <v/>
      </c>
      <c r="S74" s="35">
        <f>IF($K74="","",INDEX('سجل التحفيز'!$G$5:$G$2004,MATCH($K74,'سجل التحفيز'!$W$5:$W$2004,0)))</f>
        <v/>
      </c>
    </row>
    <row r="75">
      <c r="B75" s="34">
        <f>IFERROR(INDEX(الموظفات!$B$5:$B$304,MATCH(38,الموظفات!$Q$5:$Q$304,0)),"")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التحفيز'!$W$5:$W$2004,"&gt;0",'سجل التحفيز'!$B$5:$B$2004,B75))</f>
        <v/>
      </c>
      <c r="E75" s="35">
        <f>IF(B75="","",COUNTIFS('سجل التحفيز'!$W$5:$W$2004,"&gt;0",'سجل التحفيز'!$B$5:$B$2004,B75,'سجل التحفيز'!$D$5:$D$2004,"ذهبي"))</f>
        <v/>
      </c>
      <c r="F75" s="35">
        <f>IF(B75="","",SUMIFS('سجل التحفيز'!$G$5:$G$2004,'سجل التحفيز'!$W$5:$W$2004,"&gt;0",'سجل التحفيز'!$B$5:$B$2004,B75))</f>
        <v/>
      </c>
      <c r="G75" s="35">
        <f>IF(B75="","",COUNTIF($D$38:$D$187,"&gt;"&amp;D75)+1)</f>
        <v/>
      </c>
      <c r="H75" s="35">
        <f>IF(B75="","",INDEX(الموظفات!$L$5:$L$304,MATCH(B75,الموظفات!$B$5:$B$304,0)))</f>
        <v/>
      </c>
      <c r="K75" s="36">
        <f>IF(38&gt;$B$10,"",38)</f>
        <v/>
      </c>
      <c r="L75" s="37">
        <f>IF($K75="","",INDEX('سجل التحفيز'!$A$5:$A$2004,MATCH($K75,'سجل التحفيز'!$W$5:$W$2004,0)))</f>
        <v/>
      </c>
      <c r="M75" s="9">
        <f>IF($K75="","",INDEX('سجل التحفيز'!$B$5:$B$2004,MATCH($K75,'سجل التحفيز'!$W$5:$W$2004,0)))</f>
        <v/>
      </c>
      <c r="N75" s="9">
        <f>IF($K75="","",INDEX('سجل التحفيز'!$M$5:$M$2004,MATCH($K75,'سجل التحفيز'!$W$5:$W$2004,0)))</f>
        <v/>
      </c>
      <c r="O75" s="9">
        <f>IF($K75="","",INDEX('سجل التحفيز'!$C$5:$C$2004,MATCH($K75,'سجل التحفيز'!$W$5:$W$2004,0)))</f>
        <v/>
      </c>
      <c r="P75" s="36">
        <f>IF($K75="","",INDEX('سجل التحفيز'!$D$5:$D$2004,MATCH($K75,'سجل التحفيز'!$W$5:$W$2004,0)))</f>
        <v/>
      </c>
      <c r="Q75" s="9">
        <f>IF($K75="","",INDEX('سجل التحفيز'!$E$5:$E$2004,MATCH($K75,'سجل التحفيز'!$W$5:$W$2004,0)))</f>
        <v/>
      </c>
      <c r="R75" s="9">
        <f>IF($K75="","",INDEX('سجل التحفيز'!$F$5:$F$2004,MATCH($K75,'سجل التحفيز'!$W$5:$W$2004,0)))</f>
        <v/>
      </c>
      <c r="S75" s="35">
        <f>IF($K75="","",INDEX('سجل التحفيز'!$G$5:$G$2004,MATCH($K75,'سجل التحفيز'!$W$5:$W$2004,0)))</f>
        <v/>
      </c>
    </row>
    <row r="76">
      <c r="B76" s="34">
        <f>IFERROR(INDEX(الموظفات!$B$5:$B$304,MATCH(39,الموظفات!$Q$5:$Q$304,0)),"")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التحفيز'!$W$5:$W$2004,"&gt;0",'سجل التحفيز'!$B$5:$B$2004,B76))</f>
        <v/>
      </c>
      <c r="E76" s="35">
        <f>IF(B76="","",COUNTIFS('سجل التحفيز'!$W$5:$W$2004,"&gt;0",'سجل التحفيز'!$B$5:$B$2004,B76,'سجل التحفيز'!$D$5:$D$2004,"ذهبي"))</f>
        <v/>
      </c>
      <c r="F76" s="35">
        <f>IF(B76="","",SUMIFS('سجل التحفيز'!$G$5:$G$2004,'سجل التحفيز'!$W$5:$W$2004,"&gt;0",'سجل التحفيز'!$B$5:$B$2004,B76))</f>
        <v/>
      </c>
      <c r="G76" s="35">
        <f>IF(B76="","",COUNTIF($D$38:$D$187,"&gt;"&amp;D76)+1)</f>
        <v/>
      </c>
      <c r="H76" s="35">
        <f>IF(B76="","",INDEX(الموظفات!$L$5:$L$304,MATCH(B76,الموظفات!$B$5:$B$304,0)))</f>
        <v/>
      </c>
      <c r="K76" s="36">
        <f>IF(39&gt;$B$10,"",39)</f>
        <v/>
      </c>
      <c r="L76" s="37">
        <f>IF($K76="","",INDEX('سجل التحفيز'!$A$5:$A$2004,MATCH($K76,'سجل التحفيز'!$W$5:$W$2004,0)))</f>
        <v/>
      </c>
      <c r="M76" s="9">
        <f>IF($K76="","",INDEX('سجل التحفيز'!$B$5:$B$2004,MATCH($K76,'سجل التحفيز'!$W$5:$W$2004,0)))</f>
        <v/>
      </c>
      <c r="N76" s="9">
        <f>IF($K76="","",INDEX('سجل التحفيز'!$M$5:$M$2004,MATCH($K76,'سجل التحفيز'!$W$5:$W$2004,0)))</f>
        <v/>
      </c>
      <c r="O76" s="9">
        <f>IF($K76="","",INDEX('سجل التحفيز'!$C$5:$C$2004,MATCH($K76,'سجل التحفيز'!$W$5:$W$2004,0)))</f>
        <v/>
      </c>
      <c r="P76" s="36">
        <f>IF($K76="","",INDEX('سجل التحفيز'!$D$5:$D$2004,MATCH($K76,'سجل التحفيز'!$W$5:$W$2004,0)))</f>
        <v/>
      </c>
      <c r="Q76" s="9">
        <f>IF($K76="","",INDEX('سجل التحفيز'!$E$5:$E$2004,MATCH($K76,'سجل التحفيز'!$W$5:$W$2004,0)))</f>
        <v/>
      </c>
      <c r="R76" s="9">
        <f>IF($K76="","",INDEX('سجل التحفيز'!$F$5:$F$2004,MATCH($K76,'سجل التحفيز'!$W$5:$W$2004,0)))</f>
        <v/>
      </c>
      <c r="S76" s="35">
        <f>IF($K76="","",INDEX('سجل التحفيز'!$G$5:$G$2004,MATCH($K76,'سجل التحفيز'!$W$5:$W$2004,0)))</f>
        <v/>
      </c>
    </row>
    <row r="77">
      <c r="B77" s="34">
        <f>IFERROR(INDEX(الموظفات!$B$5:$B$304,MATCH(40,الموظفات!$Q$5:$Q$304,0)),"")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التحفيز'!$W$5:$W$2004,"&gt;0",'سجل التحفيز'!$B$5:$B$2004,B77))</f>
        <v/>
      </c>
      <c r="E77" s="35">
        <f>IF(B77="","",COUNTIFS('سجل التحفيز'!$W$5:$W$2004,"&gt;0",'سجل التحفيز'!$B$5:$B$2004,B77,'سجل التحفيز'!$D$5:$D$2004,"ذهبي"))</f>
        <v/>
      </c>
      <c r="F77" s="35">
        <f>IF(B77="","",SUMIFS('سجل التحفيز'!$G$5:$G$2004,'سجل التحفيز'!$W$5:$W$2004,"&gt;0",'سجل التحفيز'!$B$5:$B$2004,B77))</f>
        <v/>
      </c>
      <c r="G77" s="35">
        <f>IF(B77="","",COUNTIF($D$38:$D$187,"&gt;"&amp;D77)+1)</f>
        <v/>
      </c>
      <c r="H77" s="35">
        <f>IF(B77="","",INDEX(الموظفات!$L$5:$L$304,MATCH(B77,الموظفات!$B$5:$B$304,0)))</f>
        <v/>
      </c>
      <c r="K77" s="36">
        <f>IF(40&gt;$B$10,"",40)</f>
        <v/>
      </c>
      <c r="L77" s="37">
        <f>IF($K77="","",INDEX('سجل التحفيز'!$A$5:$A$2004,MATCH($K77,'سجل التحفيز'!$W$5:$W$2004,0)))</f>
        <v/>
      </c>
      <c r="M77" s="9">
        <f>IF($K77="","",INDEX('سجل التحفيز'!$B$5:$B$2004,MATCH($K77,'سجل التحفيز'!$W$5:$W$2004,0)))</f>
        <v/>
      </c>
      <c r="N77" s="9">
        <f>IF($K77="","",INDEX('سجل التحفيز'!$M$5:$M$2004,MATCH($K77,'سجل التحفيز'!$W$5:$W$2004,0)))</f>
        <v/>
      </c>
      <c r="O77" s="9">
        <f>IF($K77="","",INDEX('سجل التحفيز'!$C$5:$C$2004,MATCH($K77,'سجل التحفيز'!$W$5:$W$2004,0)))</f>
        <v/>
      </c>
      <c r="P77" s="36">
        <f>IF($K77="","",INDEX('سجل التحفيز'!$D$5:$D$2004,MATCH($K77,'سجل التحفيز'!$W$5:$W$2004,0)))</f>
        <v/>
      </c>
      <c r="Q77" s="9">
        <f>IF($K77="","",INDEX('سجل التحفيز'!$E$5:$E$2004,MATCH($K77,'سجل التحفيز'!$W$5:$W$2004,0)))</f>
        <v/>
      </c>
      <c r="R77" s="9">
        <f>IF($K77="","",INDEX('سجل التحفيز'!$F$5:$F$2004,MATCH($K77,'سجل التحفيز'!$W$5:$W$2004,0)))</f>
        <v/>
      </c>
      <c r="S77" s="35">
        <f>IF($K77="","",INDEX('سجل التحفيز'!$G$5:$G$2004,MATCH($K77,'سجل التحفيز'!$W$5:$W$2004,0)))</f>
        <v/>
      </c>
    </row>
    <row r="78">
      <c r="B78" s="34">
        <f>IFERROR(INDEX(الموظفات!$B$5:$B$304,MATCH(41,الموظفات!$Q$5:$Q$304,0)),"")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التحفيز'!$W$5:$W$2004,"&gt;0",'سجل التحفيز'!$B$5:$B$2004,B78))</f>
        <v/>
      </c>
      <c r="E78" s="35">
        <f>IF(B78="","",COUNTIFS('سجل التحفيز'!$W$5:$W$2004,"&gt;0",'سجل التحفيز'!$B$5:$B$2004,B78,'سجل التحفيز'!$D$5:$D$2004,"ذهبي"))</f>
        <v/>
      </c>
      <c r="F78" s="35">
        <f>IF(B78="","",SUMIFS('سجل التحفيز'!$G$5:$G$2004,'سجل التحفيز'!$W$5:$W$2004,"&gt;0",'سجل التحفيز'!$B$5:$B$2004,B78))</f>
        <v/>
      </c>
      <c r="G78" s="35">
        <f>IF(B78="","",COUNTIF($D$38:$D$187,"&gt;"&amp;D78)+1)</f>
        <v/>
      </c>
      <c r="H78" s="35">
        <f>IF(B78="","",INDEX(الموظفات!$L$5:$L$304,MATCH(B78,الموظفات!$B$5:$B$304,0)))</f>
        <v/>
      </c>
      <c r="K78" s="36">
        <f>IF(41&gt;$B$10,"",41)</f>
        <v/>
      </c>
      <c r="L78" s="37">
        <f>IF($K78="","",INDEX('سجل التحفيز'!$A$5:$A$2004,MATCH($K78,'سجل التحفيز'!$W$5:$W$2004,0)))</f>
        <v/>
      </c>
      <c r="M78" s="9">
        <f>IF($K78="","",INDEX('سجل التحفيز'!$B$5:$B$2004,MATCH($K78,'سجل التحفيز'!$W$5:$W$2004,0)))</f>
        <v/>
      </c>
      <c r="N78" s="9">
        <f>IF($K78="","",INDEX('سجل التحفيز'!$M$5:$M$2004,MATCH($K78,'سجل التحفيز'!$W$5:$W$2004,0)))</f>
        <v/>
      </c>
      <c r="O78" s="9">
        <f>IF($K78="","",INDEX('سجل التحفيز'!$C$5:$C$2004,MATCH($K78,'سجل التحفيز'!$W$5:$W$2004,0)))</f>
        <v/>
      </c>
      <c r="P78" s="36">
        <f>IF($K78="","",INDEX('سجل التحفيز'!$D$5:$D$2004,MATCH($K78,'سجل التحفيز'!$W$5:$W$2004,0)))</f>
        <v/>
      </c>
      <c r="Q78" s="9">
        <f>IF($K78="","",INDEX('سجل التحفيز'!$E$5:$E$2004,MATCH($K78,'سجل التحفيز'!$W$5:$W$2004,0)))</f>
        <v/>
      </c>
      <c r="R78" s="9">
        <f>IF($K78="","",INDEX('سجل التحفيز'!$F$5:$F$2004,MATCH($K78,'سجل التحفيز'!$W$5:$W$2004,0)))</f>
        <v/>
      </c>
      <c r="S78" s="35">
        <f>IF($K78="","",INDEX('سجل التحفيز'!$G$5:$G$2004,MATCH($K78,'سجل التحفيز'!$W$5:$W$2004,0)))</f>
        <v/>
      </c>
    </row>
    <row r="79">
      <c r="B79" s="34">
        <f>IFERROR(INDEX(الموظفات!$B$5:$B$304,MATCH(42,الموظفات!$Q$5:$Q$304,0)),"")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التحفيز'!$W$5:$W$2004,"&gt;0",'سجل التحفيز'!$B$5:$B$2004,B79))</f>
        <v/>
      </c>
      <c r="E79" s="35">
        <f>IF(B79="","",COUNTIFS('سجل التحفيز'!$W$5:$W$2004,"&gt;0",'سجل التحفيز'!$B$5:$B$2004,B79,'سجل التحفيز'!$D$5:$D$2004,"ذهبي"))</f>
        <v/>
      </c>
      <c r="F79" s="35">
        <f>IF(B79="","",SUMIFS('سجل التحفيز'!$G$5:$G$2004,'سجل التحفيز'!$W$5:$W$2004,"&gt;0",'سجل التحفيز'!$B$5:$B$2004,B79))</f>
        <v/>
      </c>
      <c r="G79" s="35">
        <f>IF(B79="","",COUNTIF($D$38:$D$187,"&gt;"&amp;D79)+1)</f>
        <v/>
      </c>
      <c r="H79" s="35">
        <f>IF(B79="","",INDEX(الموظفات!$L$5:$L$304,MATCH(B79,الموظفات!$B$5:$B$304,0)))</f>
        <v/>
      </c>
      <c r="K79" s="36">
        <f>IF(42&gt;$B$10,"",42)</f>
        <v/>
      </c>
      <c r="L79" s="37">
        <f>IF($K79="","",INDEX('سجل التحفيز'!$A$5:$A$2004,MATCH($K79,'سجل التحفيز'!$W$5:$W$2004,0)))</f>
        <v/>
      </c>
      <c r="M79" s="9">
        <f>IF($K79="","",INDEX('سجل التحفيز'!$B$5:$B$2004,MATCH($K79,'سجل التحفيز'!$W$5:$W$2004,0)))</f>
        <v/>
      </c>
      <c r="N79" s="9">
        <f>IF($K79="","",INDEX('سجل التحفيز'!$M$5:$M$2004,MATCH($K79,'سجل التحفيز'!$W$5:$W$2004,0)))</f>
        <v/>
      </c>
      <c r="O79" s="9">
        <f>IF($K79="","",INDEX('سجل التحفيز'!$C$5:$C$2004,MATCH($K79,'سجل التحفيز'!$W$5:$W$2004,0)))</f>
        <v/>
      </c>
      <c r="P79" s="36">
        <f>IF($K79="","",INDEX('سجل التحفيز'!$D$5:$D$2004,MATCH($K79,'سجل التحفيز'!$W$5:$W$2004,0)))</f>
        <v/>
      </c>
      <c r="Q79" s="9">
        <f>IF($K79="","",INDEX('سجل التحفيز'!$E$5:$E$2004,MATCH($K79,'سجل التحفيز'!$W$5:$W$2004,0)))</f>
        <v/>
      </c>
      <c r="R79" s="9">
        <f>IF($K79="","",INDEX('سجل التحفيز'!$F$5:$F$2004,MATCH($K79,'سجل التحفيز'!$W$5:$W$2004,0)))</f>
        <v/>
      </c>
      <c r="S79" s="35">
        <f>IF($K79="","",INDEX('سجل التحفيز'!$G$5:$G$2004,MATCH($K79,'سجل التحفيز'!$W$5:$W$2004,0)))</f>
        <v/>
      </c>
    </row>
    <row r="80">
      <c r="B80" s="34">
        <f>IFERROR(INDEX(الموظفات!$B$5:$B$304,MATCH(43,الموظفات!$Q$5:$Q$304,0)),"")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التحفيز'!$W$5:$W$2004,"&gt;0",'سجل التحفيز'!$B$5:$B$2004,B80))</f>
        <v/>
      </c>
      <c r="E80" s="35">
        <f>IF(B80="","",COUNTIFS('سجل التحفيز'!$W$5:$W$2004,"&gt;0",'سجل التحفيز'!$B$5:$B$2004,B80,'سجل التحفيز'!$D$5:$D$2004,"ذهبي"))</f>
        <v/>
      </c>
      <c r="F80" s="35">
        <f>IF(B80="","",SUMIFS('سجل التحفيز'!$G$5:$G$2004,'سجل التحفيز'!$W$5:$W$2004,"&gt;0",'سجل التحفيز'!$B$5:$B$2004,B80))</f>
        <v/>
      </c>
      <c r="G80" s="35">
        <f>IF(B80="","",COUNTIF($D$38:$D$187,"&gt;"&amp;D80)+1)</f>
        <v/>
      </c>
      <c r="H80" s="35">
        <f>IF(B80="","",INDEX(الموظفات!$L$5:$L$304,MATCH(B80,الموظفات!$B$5:$B$304,0)))</f>
        <v/>
      </c>
      <c r="K80" s="36">
        <f>IF(43&gt;$B$10,"",43)</f>
        <v/>
      </c>
      <c r="L80" s="37">
        <f>IF($K80="","",INDEX('سجل التحفيز'!$A$5:$A$2004,MATCH($K80,'سجل التحفيز'!$W$5:$W$2004,0)))</f>
        <v/>
      </c>
      <c r="M80" s="9">
        <f>IF($K80="","",INDEX('سجل التحفيز'!$B$5:$B$2004,MATCH($K80,'سجل التحفيز'!$W$5:$W$2004,0)))</f>
        <v/>
      </c>
      <c r="N80" s="9">
        <f>IF($K80="","",INDEX('سجل التحفيز'!$M$5:$M$2004,MATCH($K80,'سجل التحفيز'!$W$5:$W$2004,0)))</f>
        <v/>
      </c>
      <c r="O80" s="9">
        <f>IF($K80="","",INDEX('سجل التحفيز'!$C$5:$C$2004,MATCH($K80,'سجل التحفيز'!$W$5:$W$2004,0)))</f>
        <v/>
      </c>
      <c r="P80" s="36">
        <f>IF($K80="","",INDEX('سجل التحفيز'!$D$5:$D$2004,MATCH($K80,'سجل التحفيز'!$W$5:$W$2004,0)))</f>
        <v/>
      </c>
      <c r="Q80" s="9">
        <f>IF($K80="","",INDEX('سجل التحفيز'!$E$5:$E$2004,MATCH($K80,'سجل التحفيز'!$W$5:$W$2004,0)))</f>
        <v/>
      </c>
      <c r="R80" s="9">
        <f>IF($K80="","",INDEX('سجل التحفيز'!$F$5:$F$2004,MATCH($K80,'سجل التحفيز'!$W$5:$W$2004,0)))</f>
        <v/>
      </c>
      <c r="S80" s="35">
        <f>IF($K80="","",INDEX('سجل التحفيز'!$G$5:$G$2004,MATCH($K80,'سجل التحفيز'!$W$5:$W$2004,0)))</f>
        <v/>
      </c>
    </row>
    <row r="81">
      <c r="B81" s="34">
        <f>IFERROR(INDEX(الموظفات!$B$5:$B$304,MATCH(44,الموظفات!$Q$5:$Q$304,0)),"")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التحفيز'!$W$5:$W$2004,"&gt;0",'سجل التحفيز'!$B$5:$B$2004,B81))</f>
        <v/>
      </c>
      <c r="E81" s="35">
        <f>IF(B81="","",COUNTIFS('سجل التحفيز'!$W$5:$W$2004,"&gt;0",'سجل التحفيز'!$B$5:$B$2004,B81,'سجل التحفيز'!$D$5:$D$2004,"ذهبي"))</f>
        <v/>
      </c>
      <c r="F81" s="35">
        <f>IF(B81="","",SUMIFS('سجل التحفيز'!$G$5:$G$2004,'سجل التحفيز'!$W$5:$W$2004,"&gt;0",'سجل التحفيز'!$B$5:$B$2004,B81))</f>
        <v/>
      </c>
      <c r="G81" s="35">
        <f>IF(B81="","",COUNTIF($D$38:$D$187,"&gt;"&amp;D81)+1)</f>
        <v/>
      </c>
      <c r="H81" s="35">
        <f>IF(B81="","",INDEX(الموظفات!$L$5:$L$304,MATCH(B81,الموظفات!$B$5:$B$304,0)))</f>
        <v/>
      </c>
      <c r="K81" s="36">
        <f>IF(44&gt;$B$10,"",44)</f>
        <v/>
      </c>
      <c r="L81" s="37">
        <f>IF($K81="","",INDEX('سجل التحفيز'!$A$5:$A$2004,MATCH($K81,'سجل التحفيز'!$W$5:$W$2004,0)))</f>
        <v/>
      </c>
      <c r="M81" s="9">
        <f>IF($K81="","",INDEX('سجل التحفيز'!$B$5:$B$2004,MATCH($K81,'سجل التحفيز'!$W$5:$W$2004,0)))</f>
        <v/>
      </c>
      <c r="N81" s="9">
        <f>IF($K81="","",INDEX('سجل التحفيز'!$M$5:$M$2004,MATCH($K81,'سجل التحفيز'!$W$5:$W$2004,0)))</f>
        <v/>
      </c>
      <c r="O81" s="9">
        <f>IF($K81="","",INDEX('سجل التحفيز'!$C$5:$C$2004,MATCH($K81,'سجل التحفيز'!$W$5:$W$2004,0)))</f>
        <v/>
      </c>
      <c r="P81" s="36">
        <f>IF($K81="","",INDEX('سجل التحفيز'!$D$5:$D$2004,MATCH($K81,'سجل التحفيز'!$W$5:$W$2004,0)))</f>
        <v/>
      </c>
      <c r="Q81" s="9">
        <f>IF($K81="","",INDEX('سجل التحفيز'!$E$5:$E$2004,MATCH($K81,'سجل التحفيز'!$W$5:$W$2004,0)))</f>
        <v/>
      </c>
      <c r="R81" s="9">
        <f>IF($K81="","",INDEX('سجل التحفيز'!$F$5:$F$2004,MATCH($K81,'سجل التحفيز'!$W$5:$W$2004,0)))</f>
        <v/>
      </c>
      <c r="S81" s="35">
        <f>IF($K81="","",INDEX('سجل التحفيز'!$G$5:$G$2004,MATCH($K81,'سجل التحفيز'!$W$5:$W$2004,0)))</f>
        <v/>
      </c>
    </row>
    <row r="82">
      <c r="B82" s="34">
        <f>IFERROR(INDEX(الموظفات!$B$5:$B$304,MATCH(45,الموظفات!$Q$5:$Q$304,0)),"")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التحفيز'!$W$5:$W$2004,"&gt;0",'سجل التحفيز'!$B$5:$B$2004,B82))</f>
        <v/>
      </c>
      <c r="E82" s="35">
        <f>IF(B82="","",COUNTIFS('سجل التحفيز'!$W$5:$W$2004,"&gt;0",'سجل التحفيز'!$B$5:$B$2004,B82,'سجل التحفيز'!$D$5:$D$2004,"ذهبي"))</f>
        <v/>
      </c>
      <c r="F82" s="35">
        <f>IF(B82="","",SUMIFS('سجل التحفيز'!$G$5:$G$2004,'سجل التحفيز'!$W$5:$W$2004,"&gt;0",'سجل التحفيز'!$B$5:$B$2004,B82))</f>
        <v/>
      </c>
      <c r="G82" s="35">
        <f>IF(B82="","",COUNTIF($D$38:$D$187,"&gt;"&amp;D82)+1)</f>
        <v/>
      </c>
      <c r="H82" s="35">
        <f>IF(B82="","",INDEX(الموظفات!$L$5:$L$304,MATCH(B82,الموظفات!$B$5:$B$304,0)))</f>
        <v/>
      </c>
      <c r="K82" s="36">
        <f>IF(45&gt;$B$10,"",45)</f>
        <v/>
      </c>
      <c r="L82" s="37">
        <f>IF($K82="","",INDEX('سجل التحفيز'!$A$5:$A$2004,MATCH($K82,'سجل التحفيز'!$W$5:$W$2004,0)))</f>
        <v/>
      </c>
      <c r="M82" s="9">
        <f>IF($K82="","",INDEX('سجل التحفيز'!$B$5:$B$2004,MATCH($K82,'سجل التحفيز'!$W$5:$W$2004,0)))</f>
        <v/>
      </c>
      <c r="N82" s="9">
        <f>IF($K82="","",INDEX('سجل التحفيز'!$M$5:$M$2004,MATCH($K82,'سجل التحفيز'!$W$5:$W$2004,0)))</f>
        <v/>
      </c>
      <c r="O82" s="9">
        <f>IF($K82="","",INDEX('سجل التحفيز'!$C$5:$C$2004,MATCH($K82,'سجل التحفيز'!$W$5:$W$2004,0)))</f>
        <v/>
      </c>
      <c r="P82" s="36">
        <f>IF($K82="","",INDEX('سجل التحفيز'!$D$5:$D$2004,MATCH($K82,'سجل التحفيز'!$W$5:$W$2004,0)))</f>
        <v/>
      </c>
      <c r="Q82" s="9">
        <f>IF($K82="","",INDEX('سجل التحفيز'!$E$5:$E$2004,MATCH($K82,'سجل التحفيز'!$W$5:$W$2004,0)))</f>
        <v/>
      </c>
      <c r="R82" s="9">
        <f>IF($K82="","",INDEX('سجل التحفيز'!$F$5:$F$2004,MATCH($K82,'سجل التحفيز'!$W$5:$W$2004,0)))</f>
        <v/>
      </c>
      <c r="S82" s="35">
        <f>IF($K82="","",INDEX('سجل التحفيز'!$G$5:$G$2004,MATCH($K82,'سجل التحفيز'!$W$5:$W$2004,0)))</f>
        <v/>
      </c>
    </row>
    <row r="83">
      <c r="B83" s="34">
        <f>IFERROR(INDEX(الموظفات!$B$5:$B$304,MATCH(46,الموظفات!$Q$5:$Q$304,0)),"")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التحفيز'!$W$5:$W$2004,"&gt;0",'سجل التحفيز'!$B$5:$B$2004,B83))</f>
        <v/>
      </c>
      <c r="E83" s="35">
        <f>IF(B83="","",COUNTIFS('سجل التحفيز'!$W$5:$W$2004,"&gt;0",'سجل التحفيز'!$B$5:$B$2004,B83,'سجل التحفيز'!$D$5:$D$2004,"ذهبي"))</f>
        <v/>
      </c>
      <c r="F83" s="35">
        <f>IF(B83="","",SUMIFS('سجل التحفيز'!$G$5:$G$2004,'سجل التحفيز'!$W$5:$W$2004,"&gt;0",'سجل التحفيز'!$B$5:$B$2004,B83))</f>
        <v/>
      </c>
      <c r="G83" s="35">
        <f>IF(B83="","",COUNTIF($D$38:$D$187,"&gt;"&amp;D83)+1)</f>
        <v/>
      </c>
      <c r="H83" s="35">
        <f>IF(B83="","",INDEX(الموظفات!$L$5:$L$304,MATCH(B83,الموظفات!$B$5:$B$304,0)))</f>
        <v/>
      </c>
      <c r="K83" s="36">
        <f>IF(46&gt;$B$10,"",46)</f>
        <v/>
      </c>
      <c r="L83" s="37">
        <f>IF($K83="","",INDEX('سجل التحفيز'!$A$5:$A$2004,MATCH($K83,'سجل التحفيز'!$W$5:$W$2004,0)))</f>
        <v/>
      </c>
      <c r="M83" s="9">
        <f>IF($K83="","",INDEX('سجل التحفيز'!$B$5:$B$2004,MATCH($K83,'سجل التحفيز'!$W$5:$W$2004,0)))</f>
        <v/>
      </c>
      <c r="N83" s="9">
        <f>IF($K83="","",INDEX('سجل التحفيز'!$M$5:$M$2004,MATCH($K83,'سجل التحفيز'!$W$5:$W$2004,0)))</f>
        <v/>
      </c>
      <c r="O83" s="9">
        <f>IF($K83="","",INDEX('سجل التحفيز'!$C$5:$C$2004,MATCH($K83,'سجل التحفيز'!$W$5:$W$2004,0)))</f>
        <v/>
      </c>
      <c r="P83" s="36">
        <f>IF($K83="","",INDEX('سجل التحفيز'!$D$5:$D$2004,MATCH($K83,'سجل التحفيز'!$W$5:$W$2004,0)))</f>
        <v/>
      </c>
      <c r="Q83" s="9">
        <f>IF($K83="","",INDEX('سجل التحفيز'!$E$5:$E$2004,MATCH($K83,'سجل التحفيز'!$W$5:$W$2004,0)))</f>
        <v/>
      </c>
      <c r="R83" s="9">
        <f>IF($K83="","",INDEX('سجل التحفيز'!$F$5:$F$2004,MATCH($K83,'سجل التحفيز'!$W$5:$W$2004,0)))</f>
        <v/>
      </c>
      <c r="S83" s="35">
        <f>IF($K83="","",INDEX('سجل التحفيز'!$G$5:$G$2004,MATCH($K83,'سجل التحفيز'!$W$5:$W$2004,0)))</f>
        <v/>
      </c>
    </row>
    <row r="84">
      <c r="B84" s="34">
        <f>IFERROR(INDEX(الموظفات!$B$5:$B$304,MATCH(47,الموظفات!$Q$5:$Q$304,0)),"")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التحفيز'!$W$5:$W$2004,"&gt;0",'سجل التحفيز'!$B$5:$B$2004,B84))</f>
        <v/>
      </c>
      <c r="E84" s="35">
        <f>IF(B84="","",COUNTIFS('سجل التحفيز'!$W$5:$W$2004,"&gt;0",'سجل التحفيز'!$B$5:$B$2004,B84,'سجل التحفيز'!$D$5:$D$2004,"ذهبي"))</f>
        <v/>
      </c>
      <c r="F84" s="35">
        <f>IF(B84="","",SUMIFS('سجل التحفيز'!$G$5:$G$2004,'سجل التحفيز'!$W$5:$W$2004,"&gt;0",'سجل التحفيز'!$B$5:$B$2004,B84))</f>
        <v/>
      </c>
      <c r="G84" s="35">
        <f>IF(B84="","",COUNTIF($D$38:$D$187,"&gt;"&amp;D84)+1)</f>
        <v/>
      </c>
      <c r="H84" s="35">
        <f>IF(B84="","",INDEX(الموظفات!$L$5:$L$304,MATCH(B84,الموظفات!$B$5:$B$304,0)))</f>
        <v/>
      </c>
      <c r="K84" s="36">
        <f>IF(47&gt;$B$10,"",47)</f>
        <v/>
      </c>
      <c r="L84" s="37">
        <f>IF($K84="","",INDEX('سجل التحفيز'!$A$5:$A$2004,MATCH($K84,'سجل التحفيز'!$W$5:$W$2004,0)))</f>
        <v/>
      </c>
      <c r="M84" s="9">
        <f>IF($K84="","",INDEX('سجل التحفيز'!$B$5:$B$2004,MATCH($K84,'سجل التحفيز'!$W$5:$W$2004,0)))</f>
        <v/>
      </c>
      <c r="N84" s="9">
        <f>IF($K84="","",INDEX('سجل التحفيز'!$M$5:$M$2004,MATCH($K84,'سجل التحفيز'!$W$5:$W$2004,0)))</f>
        <v/>
      </c>
      <c r="O84" s="9">
        <f>IF($K84="","",INDEX('سجل التحفيز'!$C$5:$C$2004,MATCH($K84,'سجل التحفيز'!$W$5:$W$2004,0)))</f>
        <v/>
      </c>
      <c r="P84" s="36">
        <f>IF($K84="","",INDEX('سجل التحفيز'!$D$5:$D$2004,MATCH($K84,'سجل التحفيز'!$W$5:$W$2004,0)))</f>
        <v/>
      </c>
      <c r="Q84" s="9">
        <f>IF($K84="","",INDEX('سجل التحفيز'!$E$5:$E$2004,MATCH($K84,'سجل التحفيز'!$W$5:$W$2004,0)))</f>
        <v/>
      </c>
      <c r="R84" s="9">
        <f>IF($K84="","",INDEX('سجل التحفيز'!$F$5:$F$2004,MATCH($K84,'سجل التحفيز'!$W$5:$W$2004,0)))</f>
        <v/>
      </c>
      <c r="S84" s="35">
        <f>IF($K84="","",INDEX('سجل التحفيز'!$G$5:$G$2004,MATCH($K84,'سجل التحفيز'!$W$5:$W$2004,0)))</f>
        <v/>
      </c>
    </row>
    <row r="85">
      <c r="B85" s="34">
        <f>IFERROR(INDEX(الموظفات!$B$5:$B$304,MATCH(48,الموظفات!$Q$5:$Q$304,0)),"")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التحفيز'!$W$5:$W$2004,"&gt;0",'سجل التحفيز'!$B$5:$B$2004,B85))</f>
        <v/>
      </c>
      <c r="E85" s="35">
        <f>IF(B85="","",COUNTIFS('سجل التحفيز'!$W$5:$W$2004,"&gt;0",'سجل التحفيز'!$B$5:$B$2004,B85,'سجل التحفيز'!$D$5:$D$2004,"ذهبي"))</f>
        <v/>
      </c>
      <c r="F85" s="35">
        <f>IF(B85="","",SUMIFS('سجل التحفيز'!$G$5:$G$2004,'سجل التحفيز'!$W$5:$W$2004,"&gt;0",'سجل التحفيز'!$B$5:$B$2004,B85))</f>
        <v/>
      </c>
      <c r="G85" s="35">
        <f>IF(B85="","",COUNTIF($D$38:$D$187,"&gt;"&amp;D85)+1)</f>
        <v/>
      </c>
      <c r="H85" s="35">
        <f>IF(B85="","",INDEX(الموظفات!$L$5:$L$304,MATCH(B85,الموظفات!$B$5:$B$304,0)))</f>
        <v/>
      </c>
      <c r="K85" s="36">
        <f>IF(48&gt;$B$10,"",48)</f>
        <v/>
      </c>
      <c r="L85" s="37">
        <f>IF($K85="","",INDEX('سجل التحفيز'!$A$5:$A$2004,MATCH($K85,'سجل التحفيز'!$W$5:$W$2004,0)))</f>
        <v/>
      </c>
      <c r="M85" s="9">
        <f>IF($K85="","",INDEX('سجل التحفيز'!$B$5:$B$2004,MATCH($K85,'سجل التحفيز'!$W$5:$W$2004,0)))</f>
        <v/>
      </c>
      <c r="N85" s="9">
        <f>IF($K85="","",INDEX('سجل التحفيز'!$M$5:$M$2004,MATCH($K85,'سجل التحفيز'!$W$5:$W$2004,0)))</f>
        <v/>
      </c>
      <c r="O85" s="9">
        <f>IF($K85="","",INDEX('سجل التحفيز'!$C$5:$C$2004,MATCH($K85,'سجل التحفيز'!$W$5:$W$2004,0)))</f>
        <v/>
      </c>
      <c r="P85" s="36">
        <f>IF($K85="","",INDEX('سجل التحفيز'!$D$5:$D$2004,MATCH($K85,'سجل التحفيز'!$W$5:$W$2004,0)))</f>
        <v/>
      </c>
      <c r="Q85" s="9">
        <f>IF($K85="","",INDEX('سجل التحفيز'!$E$5:$E$2004,MATCH($K85,'سجل التحفيز'!$W$5:$W$2004,0)))</f>
        <v/>
      </c>
      <c r="R85" s="9">
        <f>IF($K85="","",INDEX('سجل التحفيز'!$F$5:$F$2004,MATCH($K85,'سجل التحفيز'!$W$5:$W$2004,0)))</f>
        <v/>
      </c>
      <c r="S85" s="35">
        <f>IF($K85="","",INDEX('سجل التحفيز'!$G$5:$G$2004,MATCH($K85,'سجل التحفيز'!$W$5:$W$2004,0)))</f>
        <v/>
      </c>
    </row>
    <row r="86">
      <c r="B86" s="34">
        <f>IFERROR(INDEX(الموظفات!$B$5:$B$304,MATCH(49,الموظفات!$Q$5:$Q$304,0)),"")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التحفيز'!$W$5:$W$2004,"&gt;0",'سجل التحفيز'!$B$5:$B$2004,B86))</f>
        <v/>
      </c>
      <c r="E86" s="35">
        <f>IF(B86="","",COUNTIFS('سجل التحفيز'!$W$5:$W$2004,"&gt;0",'سجل التحفيز'!$B$5:$B$2004,B86,'سجل التحفيز'!$D$5:$D$2004,"ذهبي"))</f>
        <v/>
      </c>
      <c r="F86" s="35">
        <f>IF(B86="","",SUMIFS('سجل التحفيز'!$G$5:$G$2004,'سجل التحفيز'!$W$5:$W$2004,"&gt;0",'سجل التحفيز'!$B$5:$B$2004,B86))</f>
        <v/>
      </c>
      <c r="G86" s="35">
        <f>IF(B86="","",COUNTIF($D$38:$D$187,"&gt;"&amp;D86)+1)</f>
        <v/>
      </c>
      <c r="H86" s="35">
        <f>IF(B86="","",INDEX(الموظفات!$L$5:$L$304,MATCH(B86,الموظفات!$B$5:$B$304,0)))</f>
        <v/>
      </c>
      <c r="K86" s="36">
        <f>IF(49&gt;$B$10,"",49)</f>
        <v/>
      </c>
      <c r="L86" s="37">
        <f>IF($K86="","",INDEX('سجل التحفيز'!$A$5:$A$2004,MATCH($K86,'سجل التحفيز'!$W$5:$W$2004,0)))</f>
        <v/>
      </c>
      <c r="M86" s="9">
        <f>IF($K86="","",INDEX('سجل التحفيز'!$B$5:$B$2004,MATCH($K86,'سجل التحفيز'!$W$5:$W$2004,0)))</f>
        <v/>
      </c>
      <c r="N86" s="9">
        <f>IF($K86="","",INDEX('سجل التحفيز'!$M$5:$M$2004,MATCH($K86,'سجل التحفيز'!$W$5:$W$2004,0)))</f>
        <v/>
      </c>
      <c r="O86" s="9">
        <f>IF($K86="","",INDEX('سجل التحفيز'!$C$5:$C$2004,MATCH($K86,'سجل التحفيز'!$W$5:$W$2004,0)))</f>
        <v/>
      </c>
      <c r="P86" s="36">
        <f>IF($K86="","",INDEX('سجل التحفيز'!$D$5:$D$2004,MATCH($K86,'سجل التحفيز'!$W$5:$W$2004,0)))</f>
        <v/>
      </c>
      <c r="Q86" s="9">
        <f>IF($K86="","",INDEX('سجل التحفيز'!$E$5:$E$2004,MATCH($K86,'سجل التحفيز'!$W$5:$W$2004,0)))</f>
        <v/>
      </c>
      <c r="R86" s="9">
        <f>IF($K86="","",INDEX('سجل التحفيز'!$F$5:$F$2004,MATCH($K86,'سجل التحفيز'!$W$5:$W$2004,0)))</f>
        <v/>
      </c>
      <c r="S86" s="35">
        <f>IF($K86="","",INDEX('سجل التحفيز'!$G$5:$G$2004,MATCH($K86,'سجل التحفيز'!$W$5:$W$2004,0)))</f>
        <v/>
      </c>
    </row>
    <row r="87">
      <c r="B87" s="34">
        <f>IFERROR(INDEX(الموظفات!$B$5:$B$304,MATCH(50,الموظفات!$Q$5:$Q$304,0)),"")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التحفيز'!$W$5:$W$2004,"&gt;0",'سجل التحفيز'!$B$5:$B$2004,B87))</f>
        <v/>
      </c>
      <c r="E87" s="35">
        <f>IF(B87="","",COUNTIFS('سجل التحفيز'!$W$5:$W$2004,"&gt;0",'سجل التحفيز'!$B$5:$B$2004,B87,'سجل التحفيز'!$D$5:$D$2004,"ذهبي"))</f>
        <v/>
      </c>
      <c r="F87" s="35">
        <f>IF(B87="","",SUMIFS('سجل التحفيز'!$G$5:$G$2004,'سجل التحفيز'!$W$5:$W$2004,"&gt;0",'سجل التحفيز'!$B$5:$B$2004,B87))</f>
        <v/>
      </c>
      <c r="G87" s="35">
        <f>IF(B87="","",COUNTIF($D$38:$D$187,"&gt;"&amp;D87)+1)</f>
        <v/>
      </c>
      <c r="H87" s="35">
        <f>IF(B87="","",INDEX(الموظفات!$L$5:$L$304,MATCH(B87,الموظفات!$B$5:$B$304,0)))</f>
        <v/>
      </c>
      <c r="K87" s="36">
        <f>IF(50&gt;$B$10,"",50)</f>
        <v/>
      </c>
      <c r="L87" s="37">
        <f>IF($K87="","",INDEX('سجل التحفيز'!$A$5:$A$2004,MATCH($K87,'سجل التحفيز'!$W$5:$W$2004,0)))</f>
        <v/>
      </c>
      <c r="M87" s="9">
        <f>IF($K87="","",INDEX('سجل التحفيز'!$B$5:$B$2004,MATCH($K87,'سجل التحفيز'!$W$5:$W$2004,0)))</f>
        <v/>
      </c>
      <c r="N87" s="9">
        <f>IF($K87="","",INDEX('سجل التحفيز'!$M$5:$M$2004,MATCH($K87,'سجل التحفيز'!$W$5:$W$2004,0)))</f>
        <v/>
      </c>
      <c r="O87" s="9">
        <f>IF($K87="","",INDEX('سجل التحفيز'!$C$5:$C$2004,MATCH($K87,'سجل التحفيز'!$W$5:$W$2004,0)))</f>
        <v/>
      </c>
      <c r="P87" s="36">
        <f>IF($K87="","",INDEX('سجل التحفيز'!$D$5:$D$2004,MATCH($K87,'سجل التحفيز'!$W$5:$W$2004,0)))</f>
        <v/>
      </c>
      <c r="Q87" s="9">
        <f>IF($K87="","",INDEX('سجل التحفيز'!$E$5:$E$2004,MATCH($K87,'سجل التحفيز'!$W$5:$W$2004,0)))</f>
        <v/>
      </c>
      <c r="R87" s="9">
        <f>IF($K87="","",INDEX('سجل التحفيز'!$F$5:$F$2004,MATCH($K87,'سجل التحفيز'!$W$5:$W$2004,0)))</f>
        <v/>
      </c>
      <c r="S87" s="35">
        <f>IF($K87="","",INDEX('سجل التحفيز'!$G$5:$G$2004,MATCH($K87,'سجل التحفيز'!$W$5:$W$2004,0)))</f>
        <v/>
      </c>
    </row>
    <row r="88">
      <c r="B88" s="34">
        <f>IFERROR(INDEX(الموظفات!$B$5:$B$304,MATCH(51,الموظفات!$Q$5:$Q$304,0)),"")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التحفيز'!$W$5:$W$2004,"&gt;0",'سجل التحفيز'!$B$5:$B$2004,B88))</f>
        <v/>
      </c>
      <c r="E88" s="35">
        <f>IF(B88="","",COUNTIFS('سجل التحفيز'!$W$5:$W$2004,"&gt;0",'سجل التحفيز'!$B$5:$B$2004,B88,'سجل التحفيز'!$D$5:$D$2004,"ذهبي"))</f>
        <v/>
      </c>
      <c r="F88" s="35">
        <f>IF(B88="","",SUMIFS('سجل التحفيز'!$G$5:$G$2004,'سجل التحفيز'!$W$5:$W$2004,"&gt;0",'سجل التحفيز'!$B$5:$B$2004,B88))</f>
        <v/>
      </c>
      <c r="G88" s="35">
        <f>IF(B88="","",COUNTIF($D$38:$D$187,"&gt;"&amp;D88)+1)</f>
        <v/>
      </c>
      <c r="H88" s="35">
        <f>IF(B88="","",INDEX(الموظفات!$L$5:$L$304,MATCH(B88,الموظفات!$B$5:$B$304,0)))</f>
        <v/>
      </c>
      <c r="K88" s="36">
        <f>IF(51&gt;$B$10,"",51)</f>
        <v/>
      </c>
      <c r="L88" s="37">
        <f>IF($K88="","",INDEX('سجل التحفيز'!$A$5:$A$2004,MATCH($K88,'سجل التحفيز'!$W$5:$W$2004,0)))</f>
        <v/>
      </c>
      <c r="M88" s="9">
        <f>IF($K88="","",INDEX('سجل التحفيز'!$B$5:$B$2004,MATCH($K88,'سجل التحفيز'!$W$5:$W$2004,0)))</f>
        <v/>
      </c>
      <c r="N88" s="9">
        <f>IF($K88="","",INDEX('سجل التحفيز'!$M$5:$M$2004,MATCH($K88,'سجل التحفيز'!$W$5:$W$2004,0)))</f>
        <v/>
      </c>
      <c r="O88" s="9">
        <f>IF($K88="","",INDEX('سجل التحفيز'!$C$5:$C$2004,MATCH($K88,'سجل التحفيز'!$W$5:$W$2004,0)))</f>
        <v/>
      </c>
      <c r="P88" s="36">
        <f>IF($K88="","",INDEX('سجل التحفيز'!$D$5:$D$2004,MATCH($K88,'سجل التحفيز'!$W$5:$W$2004,0)))</f>
        <v/>
      </c>
      <c r="Q88" s="9">
        <f>IF($K88="","",INDEX('سجل التحفيز'!$E$5:$E$2004,MATCH($K88,'سجل التحفيز'!$W$5:$W$2004,0)))</f>
        <v/>
      </c>
      <c r="R88" s="9">
        <f>IF($K88="","",INDEX('سجل التحفيز'!$F$5:$F$2004,MATCH($K88,'سجل التحفيز'!$W$5:$W$2004,0)))</f>
        <v/>
      </c>
      <c r="S88" s="35">
        <f>IF($K88="","",INDEX('سجل التحفيز'!$G$5:$G$2004,MATCH($K88,'سجل التحفيز'!$W$5:$W$2004,0)))</f>
        <v/>
      </c>
    </row>
    <row r="89">
      <c r="B89" s="34">
        <f>IFERROR(INDEX(الموظفات!$B$5:$B$304,MATCH(52,الموظفات!$Q$5:$Q$304,0)),"")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التحفيز'!$W$5:$W$2004,"&gt;0",'سجل التحفيز'!$B$5:$B$2004,B89))</f>
        <v/>
      </c>
      <c r="E89" s="35">
        <f>IF(B89="","",COUNTIFS('سجل التحفيز'!$W$5:$W$2004,"&gt;0",'سجل التحفيز'!$B$5:$B$2004,B89,'سجل التحفيز'!$D$5:$D$2004,"ذهبي"))</f>
        <v/>
      </c>
      <c r="F89" s="35">
        <f>IF(B89="","",SUMIFS('سجل التحفيز'!$G$5:$G$2004,'سجل التحفيز'!$W$5:$W$2004,"&gt;0",'سجل التحفيز'!$B$5:$B$2004,B89))</f>
        <v/>
      </c>
      <c r="G89" s="35">
        <f>IF(B89="","",COUNTIF($D$38:$D$187,"&gt;"&amp;D89)+1)</f>
        <v/>
      </c>
      <c r="H89" s="35">
        <f>IF(B89="","",INDEX(الموظفات!$L$5:$L$304,MATCH(B89,الموظفات!$B$5:$B$304,0)))</f>
        <v/>
      </c>
      <c r="K89" s="36">
        <f>IF(52&gt;$B$10,"",52)</f>
        <v/>
      </c>
      <c r="L89" s="37">
        <f>IF($K89="","",INDEX('سجل التحفيز'!$A$5:$A$2004,MATCH($K89,'سجل التحفيز'!$W$5:$W$2004,0)))</f>
        <v/>
      </c>
      <c r="M89" s="9">
        <f>IF($K89="","",INDEX('سجل التحفيز'!$B$5:$B$2004,MATCH($K89,'سجل التحفيز'!$W$5:$W$2004,0)))</f>
        <v/>
      </c>
      <c r="N89" s="9">
        <f>IF($K89="","",INDEX('سجل التحفيز'!$M$5:$M$2004,MATCH($K89,'سجل التحفيز'!$W$5:$W$2004,0)))</f>
        <v/>
      </c>
      <c r="O89" s="9">
        <f>IF($K89="","",INDEX('سجل التحفيز'!$C$5:$C$2004,MATCH($K89,'سجل التحفيز'!$W$5:$W$2004,0)))</f>
        <v/>
      </c>
      <c r="P89" s="36">
        <f>IF($K89="","",INDEX('سجل التحفيز'!$D$5:$D$2004,MATCH($K89,'سجل التحفيز'!$W$5:$W$2004,0)))</f>
        <v/>
      </c>
      <c r="Q89" s="9">
        <f>IF($K89="","",INDEX('سجل التحفيز'!$E$5:$E$2004,MATCH($K89,'سجل التحفيز'!$W$5:$W$2004,0)))</f>
        <v/>
      </c>
      <c r="R89" s="9">
        <f>IF($K89="","",INDEX('سجل التحفيز'!$F$5:$F$2004,MATCH($K89,'سجل التحفيز'!$W$5:$W$2004,0)))</f>
        <v/>
      </c>
      <c r="S89" s="35">
        <f>IF($K89="","",INDEX('سجل التحفيز'!$G$5:$G$2004,MATCH($K89,'سجل التحفيز'!$W$5:$W$2004,0)))</f>
        <v/>
      </c>
    </row>
    <row r="90">
      <c r="B90" s="34">
        <f>IFERROR(INDEX(الموظفات!$B$5:$B$304,MATCH(53,الموظفات!$Q$5:$Q$304,0)),"")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التحفيز'!$W$5:$W$2004,"&gt;0",'سجل التحفيز'!$B$5:$B$2004,B90))</f>
        <v/>
      </c>
      <c r="E90" s="35">
        <f>IF(B90="","",COUNTIFS('سجل التحفيز'!$W$5:$W$2004,"&gt;0",'سجل التحفيز'!$B$5:$B$2004,B90,'سجل التحفيز'!$D$5:$D$2004,"ذهبي"))</f>
        <v/>
      </c>
      <c r="F90" s="35">
        <f>IF(B90="","",SUMIFS('سجل التحفيز'!$G$5:$G$2004,'سجل التحفيز'!$W$5:$W$2004,"&gt;0",'سجل التحفيز'!$B$5:$B$2004,B90))</f>
        <v/>
      </c>
      <c r="G90" s="35">
        <f>IF(B90="","",COUNTIF($D$38:$D$187,"&gt;"&amp;D90)+1)</f>
        <v/>
      </c>
      <c r="H90" s="35">
        <f>IF(B90="","",INDEX(الموظفات!$L$5:$L$304,MATCH(B90,الموظفات!$B$5:$B$304,0)))</f>
        <v/>
      </c>
      <c r="K90" s="36">
        <f>IF(53&gt;$B$10,"",53)</f>
        <v/>
      </c>
      <c r="L90" s="37">
        <f>IF($K90="","",INDEX('سجل التحفيز'!$A$5:$A$2004,MATCH($K90,'سجل التحفيز'!$W$5:$W$2004,0)))</f>
        <v/>
      </c>
      <c r="M90" s="9">
        <f>IF($K90="","",INDEX('سجل التحفيز'!$B$5:$B$2004,MATCH($K90,'سجل التحفيز'!$W$5:$W$2004,0)))</f>
        <v/>
      </c>
      <c r="N90" s="9">
        <f>IF($K90="","",INDEX('سجل التحفيز'!$M$5:$M$2004,MATCH($K90,'سجل التحفيز'!$W$5:$W$2004,0)))</f>
        <v/>
      </c>
      <c r="O90" s="9">
        <f>IF($K90="","",INDEX('سجل التحفيز'!$C$5:$C$2004,MATCH($K90,'سجل التحفيز'!$W$5:$W$2004,0)))</f>
        <v/>
      </c>
      <c r="P90" s="36">
        <f>IF($K90="","",INDEX('سجل التحفيز'!$D$5:$D$2004,MATCH($K90,'سجل التحفيز'!$W$5:$W$2004,0)))</f>
        <v/>
      </c>
      <c r="Q90" s="9">
        <f>IF($K90="","",INDEX('سجل التحفيز'!$E$5:$E$2004,MATCH($K90,'سجل التحفيز'!$W$5:$W$2004,0)))</f>
        <v/>
      </c>
      <c r="R90" s="9">
        <f>IF($K90="","",INDEX('سجل التحفيز'!$F$5:$F$2004,MATCH($K90,'سجل التحفيز'!$W$5:$W$2004,0)))</f>
        <v/>
      </c>
      <c r="S90" s="35">
        <f>IF($K90="","",INDEX('سجل التحفيز'!$G$5:$G$2004,MATCH($K90,'سجل التحفيز'!$W$5:$W$2004,0)))</f>
        <v/>
      </c>
    </row>
    <row r="91">
      <c r="B91" s="34">
        <f>IFERROR(INDEX(الموظفات!$B$5:$B$304,MATCH(54,الموظفات!$Q$5:$Q$304,0)),"")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التحفيز'!$W$5:$W$2004,"&gt;0",'سجل التحفيز'!$B$5:$B$2004,B91))</f>
        <v/>
      </c>
      <c r="E91" s="35">
        <f>IF(B91="","",COUNTIFS('سجل التحفيز'!$W$5:$W$2004,"&gt;0",'سجل التحفيز'!$B$5:$B$2004,B91,'سجل التحفيز'!$D$5:$D$2004,"ذهبي"))</f>
        <v/>
      </c>
      <c r="F91" s="35">
        <f>IF(B91="","",SUMIFS('سجل التحفيز'!$G$5:$G$2004,'سجل التحفيز'!$W$5:$W$2004,"&gt;0",'سجل التحفيز'!$B$5:$B$2004,B91))</f>
        <v/>
      </c>
      <c r="G91" s="35">
        <f>IF(B91="","",COUNTIF($D$38:$D$187,"&gt;"&amp;D91)+1)</f>
        <v/>
      </c>
      <c r="H91" s="35">
        <f>IF(B91="","",INDEX(الموظفات!$L$5:$L$304,MATCH(B91,الموظفات!$B$5:$B$304,0)))</f>
        <v/>
      </c>
      <c r="K91" s="36">
        <f>IF(54&gt;$B$10,"",54)</f>
        <v/>
      </c>
      <c r="L91" s="37">
        <f>IF($K91="","",INDEX('سجل التحفيز'!$A$5:$A$2004,MATCH($K91,'سجل التحفيز'!$W$5:$W$2004,0)))</f>
        <v/>
      </c>
      <c r="M91" s="9">
        <f>IF($K91="","",INDEX('سجل التحفيز'!$B$5:$B$2004,MATCH($K91,'سجل التحفيز'!$W$5:$W$2004,0)))</f>
        <v/>
      </c>
      <c r="N91" s="9">
        <f>IF($K91="","",INDEX('سجل التحفيز'!$M$5:$M$2004,MATCH($K91,'سجل التحفيز'!$W$5:$W$2004,0)))</f>
        <v/>
      </c>
      <c r="O91" s="9">
        <f>IF($K91="","",INDEX('سجل التحفيز'!$C$5:$C$2004,MATCH($K91,'سجل التحفيز'!$W$5:$W$2004,0)))</f>
        <v/>
      </c>
      <c r="P91" s="36">
        <f>IF($K91="","",INDEX('سجل التحفيز'!$D$5:$D$2004,MATCH($K91,'سجل التحفيز'!$W$5:$W$2004,0)))</f>
        <v/>
      </c>
      <c r="Q91" s="9">
        <f>IF($K91="","",INDEX('سجل التحفيز'!$E$5:$E$2004,MATCH($K91,'سجل التحفيز'!$W$5:$W$2004,0)))</f>
        <v/>
      </c>
      <c r="R91" s="9">
        <f>IF($K91="","",INDEX('سجل التحفيز'!$F$5:$F$2004,MATCH($K91,'سجل التحفيز'!$W$5:$W$2004,0)))</f>
        <v/>
      </c>
      <c r="S91" s="35">
        <f>IF($K91="","",INDEX('سجل التحفيز'!$G$5:$G$2004,MATCH($K91,'سجل التحفيز'!$W$5:$W$2004,0)))</f>
        <v/>
      </c>
    </row>
    <row r="92">
      <c r="B92" s="34">
        <f>IFERROR(INDEX(الموظفات!$B$5:$B$304,MATCH(55,الموظفات!$Q$5:$Q$304,0)),"")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التحفيز'!$W$5:$W$2004,"&gt;0",'سجل التحفيز'!$B$5:$B$2004,B92))</f>
        <v/>
      </c>
      <c r="E92" s="35">
        <f>IF(B92="","",COUNTIFS('سجل التحفيز'!$W$5:$W$2004,"&gt;0",'سجل التحفيز'!$B$5:$B$2004,B92,'سجل التحفيز'!$D$5:$D$2004,"ذهبي"))</f>
        <v/>
      </c>
      <c r="F92" s="35">
        <f>IF(B92="","",SUMIFS('سجل التحفيز'!$G$5:$G$2004,'سجل التحفيز'!$W$5:$W$2004,"&gt;0",'سجل التحفيز'!$B$5:$B$2004,B92))</f>
        <v/>
      </c>
      <c r="G92" s="35">
        <f>IF(B92="","",COUNTIF($D$38:$D$187,"&gt;"&amp;D92)+1)</f>
        <v/>
      </c>
      <c r="H92" s="35">
        <f>IF(B92="","",INDEX(الموظفات!$L$5:$L$304,MATCH(B92,الموظفات!$B$5:$B$304,0)))</f>
        <v/>
      </c>
      <c r="K92" s="36">
        <f>IF(55&gt;$B$10,"",55)</f>
        <v/>
      </c>
      <c r="L92" s="37">
        <f>IF($K92="","",INDEX('سجل التحفيز'!$A$5:$A$2004,MATCH($K92,'سجل التحفيز'!$W$5:$W$2004,0)))</f>
        <v/>
      </c>
      <c r="M92" s="9">
        <f>IF($K92="","",INDEX('سجل التحفيز'!$B$5:$B$2004,MATCH($K92,'سجل التحفيز'!$W$5:$W$2004,0)))</f>
        <v/>
      </c>
      <c r="N92" s="9">
        <f>IF($K92="","",INDEX('سجل التحفيز'!$M$5:$M$2004,MATCH($K92,'سجل التحفيز'!$W$5:$W$2004,0)))</f>
        <v/>
      </c>
      <c r="O92" s="9">
        <f>IF($K92="","",INDEX('سجل التحفيز'!$C$5:$C$2004,MATCH($K92,'سجل التحفيز'!$W$5:$W$2004,0)))</f>
        <v/>
      </c>
      <c r="P92" s="36">
        <f>IF($K92="","",INDEX('سجل التحفيز'!$D$5:$D$2004,MATCH($K92,'سجل التحفيز'!$W$5:$W$2004,0)))</f>
        <v/>
      </c>
      <c r="Q92" s="9">
        <f>IF($K92="","",INDEX('سجل التحفيز'!$E$5:$E$2004,MATCH($K92,'سجل التحفيز'!$W$5:$W$2004,0)))</f>
        <v/>
      </c>
      <c r="R92" s="9">
        <f>IF($K92="","",INDEX('سجل التحفيز'!$F$5:$F$2004,MATCH($K92,'سجل التحفيز'!$W$5:$W$2004,0)))</f>
        <v/>
      </c>
      <c r="S92" s="35">
        <f>IF($K92="","",INDEX('سجل التحفيز'!$G$5:$G$2004,MATCH($K92,'سجل التحفيز'!$W$5:$W$2004,0)))</f>
        <v/>
      </c>
    </row>
    <row r="93">
      <c r="B93" s="34">
        <f>IFERROR(INDEX(الموظفات!$B$5:$B$304,MATCH(56,الموظفات!$Q$5:$Q$304,0)),"")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التحفيز'!$W$5:$W$2004,"&gt;0",'سجل التحفيز'!$B$5:$B$2004,B93))</f>
        <v/>
      </c>
      <c r="E93" s="35">
        <f>IF(B93="","",COUNTIFS('سجل التحفيز'!$W$5:$W$2004,"&gt;0",'سجل التحفيز'!$B$5:$B$2004,B93,'سجل التحفيز'!$D$5:$D$2004,"ذهبي"))</f>
        <v/>
      </c>
      <c r="F93" s="35">
        <f>IF(B93="","",SUMIFS('سجل التحفيز'!$G$5:$G$2004,'سجل التحفيز'!$W$5:$W$2004,"&gt;0",'سجل التحفيز'!$B$5:$B$2004,B93))</f>
        <v/>
      </c>
      <c r="G93" s="35">
        <f>IF(B93="","",COUNTIF($D$38:$D$187,"&gt;"&amp;D93)+1)</f>
        <v/>
      </c>
      <c r="H93" s="35">
        <f>IF(B93="","",INDEX(الموظفات!$L$5:$L$304,MATCH(B93,الموظفات!$B$5:$B$304,0)))</f>
        <v/>
      </c>
      <c r="K93" s="36">
        <f>IF(56&gt;$B$10,"",56)</f>
        <v/>
      </c>
      <c r="L93" s="37">
        <f>IF($K93="","",INDEX('سجل التحفيز'!$A$5:$A$2004,MATCH($K93,'سجل التحفيز'!$W$5:$W$2004,0)))</f>
        <v/>
      </c>
      <c r="M93" s="9">
        <f>IF($K93="","",INDEX('سجل التحفيز'!$B$5:$B$2004,MATCH($K93,'سجل التحفيز'!$W$5:$W$2004,0)))</f>
        <v/>
      </c>
      <c r="N93" s="9">
        <f>IF($K93="","",INDEX('سجل التحفيز'!$M$5:$M$2004,MATCH($K93,'سجل التحفيز'!$W$5:$W$2004,0)))</f>
        <v/>
      </c>
      <c r="O93" s="9">
        <f>IF($K93="","",INDEX('سجل التحفيز'!$C$5:$C$2004,MATCH($K93,'سجل التحفيز'!$W$5:$W$2004,0)))</f>
        <v/>
      </c>
      <c r="P93" s="36">
        <f>IF($K93="","",INDEX('سجل التحفيز'!$D$5:$D$2004,MATCH($K93,'سجل التحفيز'!$W$5:$W$2004,0)))</f>
        <v/>
      </c>
      <c r="Q93" s="9">
        <f>IF($K93="","",INDEX('سجل التحفيز'!$E$5:$E$2004,MATCH($K93,'سجل التحفيز'!$W$5:$W$2004,0)))</f>
        <v/>
      </c>
      <c r="R93" s="9">
        <f>IF($K93="","",INDEX('سجل التحفيز'!$F$5:$F$2004,MATCH($K93,'سجل التحفيز'!$W$5:$W$2004,0)))</f>
        <v/>
      </c>
      <c r="S93" s="35">
        <f>IF($K93="","",INDEX('سجل التحفيز'!$G$5:$G$2004,MATCH($K93,'سجل التحفيز'!$W$5:$W$2004,0)))</f>
        <v/>
      </c>
    </row>
    <row r="94">
      <c r="B94" s="34">
        <f>IFERROR(INDEX(الموظفات!$B$5:$B$304,MATCH(57,الموظفات!$Q$5:$Q$304,0)),"")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التحفيز'!$W$5:$W$2004,"&gt;0",'سجل التحفيز'!$B$5:$B$2004,B94))</f>
        <v/>
      </c>
      <c r="E94" s="35">
        <f>IF(B94="","",COUNTIFS('سجل التحفيز'!$W$5:$W$2004,"&gt;0",'سجل التحفيز'!$B$5:$B$2004,B94,'سجل التحفيز'!$D$5:$D$2004,"ذهبي"))</f>
        <v/>
      </c>
      <c r="F94" s="35">
        <f>IF(B94="","",SUMIFS('سجل التحفيز'!$G$5:$G$2004,'سجل التحفيز'!$W$5:$W$2004,"&gt;0",'سجل التحفيز'!$B$5:$B$2004,B94))</f>
        <v/>
      </c>
      <c r="G94" s="35">
        <f>IF(B94="","",COUNTIF($D$38:$D$187,"&gt;"&amp;D94)+1)</f>
        <v/>
      </c>
      <c r="H94" s="35">
        <f>IF(B94="","",INDEX(الموظفات!$L$5:$L$304,MATCH(B94,الموظفات!$B$5:$B$304,0)))</f>
        <v/>
      </c>
      <c r="K94" s="36">
        <f>IF(57&gt;$B$10,"",57)</f>
        <v/>
      </c>
      <c r="L94" s="37">
        <f>IF($K94="","",INDEX('سجل التحفيز'!$A$5:$A$2004,MATCH($K94,'سجل التحفيز'!$W$5:$W$2004,0)))</f>
        <v/>
      </c>
      <c r="M94" s="9">
        <f>IF($K94="","",INDEX('سجل التحفيز'!$B$5:$B$2004,MATCH($K94,'سجل التحفيز'!$W$5:$W$2004,0)))</f>
        <v/>
      </c>
      <c r="N94" s="9">
        <f>IF($K94="","",INDEX('سجل التحفيز'!$M$5:$M$2004,MATCH($K94,'سجل التحفيز'!$W$5:$W$2004,0)))</f>
        <v/>
      </c>
      <c r="O94" s="9">
        <f>IF($K94="","",INDEX('سجل التحفيز'!$C$5:$C$2004,MATCH($K94,'سجل التحفيز'!$W$5:$W$2004,0)))</f>
        <v/>
      </c>
      <c r="P94" s="36">
        <f>IF($K94="","",INDEX('سجل التحفيز'!$D$5:$D$2004,MATCH($K94,'سجل التحفيز'!$W$5:$W$2004,0)))</f>
        <v/>
      </c>
      <c r="Q94" s="9">
        <f>IF($K94="","",INDEX('سجل التحفيز'!$E$5:$E$2004,MATCH($K94,'سجل التحفيز'!$W$5:$W$2004,0)))</f>
        <v/>
      </c>
      <c r="R94" s="9">
        <f>IF($K94="","",INDEX('سجل التحفيز'!$F$5:$F$2004,MATCH($K94,'سجل التحفيز'!$W$5:$W$2004,0)))</f>
        <v/>
      </c>
      <c r="S94" s="35">
        <f>IF($K94="","",INDEX('سجل التحفيز'!$G$5:$G$2004,MATCH($K94,'سجل التحفيز'!$W$5:$W$2004,0)))</f>
        <v/>
      </c>
    </row>
    <row r="95">
      <c r="B95" s="34">
        <f>IFERROR(INDEX(الموظفات!$B$5:$B$304,MATCH(58,الموظفات!$Q$5:$Q$304,0)),"")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التحفيز'!$W$5:$W$2004,"&gt;0",'سجل التحفيز'!$B$5:$B$2004,B95))</f>
        <v/>
      </c>
      <c r="E95" s="35">
        <f>IF(B95="","",COUNTIFS('سجل التحفيز'!$W$5:$W$2004,"&gt;0",'سجل التحفيز'!$B$5:$B$2004,B95,'سجل التحفيز'!$D$5:$D$2004,"ذهبي"))</f>
        <v/>
      </c>
      <c r="F95" s="35">
        <f>IF(B95="","",SUMIFS('سجل التحفيز'!$G$5:$G$2004,'سجل التحفيز'!$W$5:$W$2004,"&gt;0",'سجل التحفيز'!$B$5:$B$2004,B95))</f>
        <v/>
      </c>
      <c r="G95" s="35">
        <f>IF(B95="","",COUNTIF($D$38:$D$187,"&gt;"&amp;D95)+1)</f>
        <v/>
      </c>
      <c r="H95" s="35">
        <f>IF(B95="","",INDEX(الموظفات!$L$5:$L$304,MATCH(B95,الموظفات!$B$5:$B$304,0)))</f>
        <v/>
      </c>
      <c r="K95" s="36">
        <f>IF(58&gt;$B$10,"",58)</f>
        <v/>
      </c>
      <c r="L95" s="37">
        <f>IF($K95="","",INDEX('سجل التحفيز'!$A$5:$A$2004,MATCH($K95,'سجل التحفيز'!$W$5:$W$2004,0)))</f>
        <v/>
      </c>
      <c r="M95" s="9">
        <f>IF($K95="","",INDEX('سجل التحفيز'!$B$5:$B$2004,MATCH($K95,'سجل التحفيز'!$W$5:$W$2004,0)))</f>
        <v/>
      </c>
      <c r="N95" s="9">
        <f>IF($K95="","",INDEX('سجل التحفيز'!$M$5:$M$2004,MATCH($K95,'سجل التحفيز'!$W$5:$W$2004,0)))</f>
        <v/>
      </c>
      <c r="O95" s="9">
        <f>IF($K95="","",INDEX('سجل التحفيز'!$C$5:$C$2004,MATCH($K95,'سجل التحفيز'!$W$5:$W$2004,0)))</f>
        <v/>
      </c>
      <c r="P95" s="36">
        <f>IF($K95="","",INDEX('سجل التحفيز'!$D$5:$D$2004,MATCH($K95,'سجل التحفيز'!$W$5:$W$2004,0)))</f>
        <v/>
      </c>
      <c r="Q95" s="9">
        <f>IF($K95="","",INDEX('سجل التحفيز'!$E$5:$E$2004,MATCH($K95,'سجل التحفيز'!$W$5:$W$2004,0)))</f>
        <v/>
      </c>
      <c r="R95" s="9">
        <f>IF($K95="","",INDEX('سجل التحفيز'!$F$5:$F$2004,MATCH($K95,'سجل التحفيز'!$W$5:$W$2004,0)))</f>
        <v/>
      </c>
      <c r="S95" s="35">
        <f>IF($K95="","",INDEX('سجل التحفيز'!$G$5:$G$2004,MATCH($K95,'سجل التحفيز'!$W$5:$W$2004,0)))</f>
        <v/>
      </c>
    </row>
    <row r="96">
      <c r="B96" s="34">
        <f>IFERROR(INDEX(الموظفات!$B$5:$B$304,MATCH(59,الموظفات!$Q$5:$Q$304,0)),"")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التحفيز'!$W$5:$W$2004,"&gt;0",'سجل التحفيز'!$B$5:$B$2004,B96))</f>
        <v/>
      </c>
      <c r="E96" s="35">
        <f>IF(B96="","",COUNTIFS('سجل التحفيز'!$W$5:$W$2004,"&gt;0",'سجل التحفيز'!$B$5:$B$2004,B96,'سجل التحفيز'!$D$5:$D$2004,"ذهبي"))</f>
        <v/>
      </c>
      <c r="F96" s="35">
        <f>IF(B96="","",SUMIFS('سجل التحفيز'!$G$5:$G$2004,'سجل التحفيز'!$W$5:$W$2004,"&gt;0",'سجل التحفيز'!$B$5:$B$2004,B96))</f>
        <v/>
      </c>
      <c r="G96" s="35">
        <f>IF(B96="","",COUNTIF($D$38:$D$187,"&gt;"&amp;D96)+1)</f>
        <v/>
      </c>
      <c r="H96" s="35">
        <f>IF(B96="","",INDEX(الموظفات!$L$5:$L$304,MATCH(B96,الموظفات!$B$5:$B$304,0)))</f>
        <v/>
      </c>
      <c r="K96" s="36">
        <f>IF(59&gt;$B$10,"",59)</f>
        <v/>
      </c>
      <c r="L96" s="37">
        <f>IF($K96="","",INDEX('سجل التحفيز'!$A$5:$A$2004,MATCH($K96,'سجل التحفيز'!$W$5:$W$2004,0)))</f>
        <v/>
      </c>
      <c r="M96" s="9">
        <f>IF($K96="","",INDEX('سجل التحفيز'!$B$5:$B$2004,MATCH($K96,'سجل التحفيز'!$W$5:$W$2004,0)))</f>
        <v/>
      </c>
      <c r="N96" s="9">
        <f>IF($K96="","",INDEX('سجل التحفيز'!$M$5:$M$2004,MATCH($K96,'سجل التحفيز'!$W$5:$W$2004,0)))</f>
        <v/>
      </c>
      <c r="O96" s="9">
        <f>IF($K96="","",INDEX('سجل التحفيز'!$C$5:$C$2004,MATCH($K96,'سجل التحفيز'!$W$5:$W$2004,0)))</f>
        <v/>
      </c>
      <c r="P96" s="36">
        <f>IF($K96="","",INDEX('سجل التحفيز'!$D$5:$D$2004,MATCH($K96,'سجل التحفيز'!$W$5:$W$2004,0)))</f>
        <v/>
      </c>
      <c r="Q96" s="9">
        <f>IF($K96="","",INDEX('سجل التحفيز'!$E$5:$E$2004,MATCH($K96,'سجل التحفيز'!$W$5:$W$2004,0)))</f>
        <v/>
      </c>
      <c r="R96" s="9">
        <f>IF($K96="","",INDEX('سجل التحفيز'!$F$5:$F$2004,MATCH($K96,'سجل التحفيز'!$W$5:$W$2004,0)))</f>
        <v/>
      </c>
      <c r="S96" s="35">
        <f>IF($K96="","",INDEX('سجل التحفيز'!$G$5:$G$2004,MATCH($K96,'سجل التحفيز'!$W$5:$W$2004,0)))</f>
        <v/>
      </c>
    </row>
    <row r="97">
      <c r="B97" s="34">
        <f>IFERROR(INDEX(الموظفات!$B$5:$B$304,MATCH(60,الموظفات!$Q$5:$Q$304,0)),"")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التحفيز'!$W$5:$W$2004,"&gt;0",'سجل التحفيز'!$B$5:$B$2004,B97))</f>
        <v/>
      </c>
      <c r="E97" s="35">
        <f>IF(B97="","",COUNTIFS('سجل التحفيز'!$W$5:$W$2004,"&gt;0",'سجل التحفيز'!$B$5:$B$2004,B97,'سجل التحفيز'!$D$5:$D$2004,"ذهبي"))</f>
        <v/>
      </c>
      <c r="F97" s="35">
        <f>IF(B97="","",SUMIFS('سجل التحفيز'!$G$5:$G$2004,'سجل التحفيز'!$W$5:$W$2004,"&gt;0",'سجل التحفيز'!$B$5:$B$2004,B97))</f>
        <v/>
      </c>
      <c r="G97" s="35">
        <f>IF(B97="","",COUNTIF($D$38:$D$187,"&gt;"&amp;D97)+1)</f>
        <v/>
      </c>
      <c r="H97" s="35">
        <f>IF(B97="","",INDEX(الموظفات!$L$5:$L$304,MATCH(B97,الموظفات!$B$5:$B$304,0)))</f>
        <v/>
      </c>
      <c r="K97" s="36">
        <f>IF(60&gt;$B$10,"",60)</f>
        <v/>
      </c>
      <c r="L97" s="37">
        <f>IF($K97="","",INDEX('سجل التحفيز'!$A$5:$A$2004,MATCH($K97,'سجل التحفيز'!$W$5:$W$2004,0)))</f>
        <v/>
      </c>
      <c r="M97" s="9">
        <f>IF($K97="","",INDEX('سجل التحفيز'!$B$5:$B$2004,MATCH($K97,'سجل التحفيز'!$W$5:$W$2004,0)))</f>
        <v/>
      </c>
      <c r="N97" s="9">
        <f>IF($K97="","",INDEX('سجل التحفيز'!$M$5:$M$2004,MATCH($K97,'سجل التحفيز'!$W$5:$W$2004,0)))</f>
        <v/>
      </c>
      <c r="O97" s="9">
        <f>IF($K97="","",INDEX('سجل التحفيز'!$C$5:$C$2004,MATCH($K97,'سجل التحفيز'!$W$5:$W$2004,0)))</f>
        <v/>
      </c>
      <c r="P97" s="36">
        <f>IF($K97="","",INDEX('سجل التحفيز'!$D$5:$D$2004,MATCH($K97,'سجل التحفيز'!$W$5:$W$2004,0)))</f>
        <v/>
      </c>
      <c r="Q97" s="9">
        <f>IF($K97="","",INDEX('سجل التحفيز'!$E$5:$E$2004,MATCH($K97,'سجل التحفيز'!$W$5:$W$2004,0)))</f>
        <v/>
      </c>
      <c r="R97" s="9">
        <f>IF($K97="","",INDEX('سجل التحفيز'!$F$5:$F$2004,MATCH($K97,'سجل التحفيز'!$W$5:$W$2004,0)))</f>
        <v/>
      </c>
      <c r="S97" s="35">
        <f>IF($K97="","",INDEX('سجل التحفيز'!$G$5:$G$2004,MATCH($K97,'سجل التحفيز'!$W$5:$W$2004,0)))</f>
        <v/>
      </c>
    </row>
    <row r="98">
      <c r="B98" s="34">
        <f>IFERROR(INDEX(الموظفات!$B$5:$B$304,MATCH(61,الموظفات!$Q$5:$Q$304,0)),"")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التحفيز'!$W$5:$W$2004,"&gt;0",'سجل التحفيز'!$B$5:$B$2004,B98))</f>
        <v/>
      </c>
      <c r="E98" s="35">
        <f>IF(B98="","",COUNTIFS('سجل التحفيز'!$W$5:$W$2004,"&gt;0",'سجل التحفيز'!$B$5:$B$2004,B98,'سجل التحفيز'!$D$5:$D$2004,"ذهبي"))</f>
        <v/>
      </c>
      <c r="F98" s="35">
        <f>IF(B98="","",SUMIFS('سجل التحفيز'!$G$5:$G$2004,'سجل التحفيز'!$W$5:$W$2004,"&gt;0",'سجل التحفيز'!$B$5:$B$2004,B98))</f>
        <v/>
      </c>
      <c r="G98" s="35">
        <f>IF(B98="","",COUNTIF($D$38:$D$187,"&gt;"&amp;D98)+1)</f>
        <v/>
      </c>
      <c r="H98" s="35">
        <f>IF(B98="","",INDEX(الموظفات!$L$5:$L$304,MATCH(B98,الموظفات!$B$5:$B$304,0)))</f>
        <v/>
      </c>
      <c r="K98" s="36">
        <f>IF(61&gt;$B$10,"",61)</f>
        <v/>
      </c>
      <c r="L98" s="37">
        <f>IF($K98="","",INDEX('سجل التحفيز'!$A$5:$A$2004,MATCH($K98,'سجل التحفيز'!$W$5:$W$2004,0)))</f>
        <v/>
      </c>
      <c r="M98" s="9">
        <f>IF($K98="","",INDEX('سجل التحفيز'!$B$5:$B$2004,MATCH($K98,'سجل التحفيز'!$W$5:$W$2004,0)))</f>
        <v/>
      </c>
      <c r="N98" s="9">
        <f>IF($K98="","",INDEX('سجل التحفيز'!$M$5:$M$2004,MATCH($K98,'سجل التحفيز'!$W$5:$W$2004,0)))</f>
        <v/>
      </c>
      <c r="O98" s="9">
        <f>IF($K98="","",INDEX('سجل التحفيز'!$C$5:$C$2004,MATCH($K98,'سجل التحفيز'!$W$5:$W$2004,0)))</f>
        <v/>
      </c>
      <c r="P98" s="36">
        <f>IF($K98="","",INDEX('سجل التحفيز'!$D$5:$D$2004,MATCH($K98,'سجل التحفيز'!$W$5:$W$2004,0)))</f>
        <v/>
      </c>
      <c r="Q98" s="9">
        <f>IF($K98="","",INDEX('سجل التحفيز'!$E$5:$E$2004,MATCH($K98,'سجل التحفيز'!$W$5:$W$2004,0)))</f>
        <v/>
      </c>
      <c r="R98" s="9">
        <f>IF($K98="","",INDEX('سجل التحفيز'!$F$5:$F$2004,MATCH($K98,'سجل التحفيز'!$W$5:$W$2004,0)))</f>
        <v/>
      </c>
      <c r="S98" s="35">
        <f>IF($K98="","",INDEX('سجل التحفيز'!$G$5:$G$2004,MATCH($K98,'سجل التحفيز'!$W$5:$W$2004,0)))</f>
        <v/>
      </c>
    </row>
    <row r="99">
      <c r="B99" s="34">
        <f>IFERROR(INDEX(الموظفات!$B$5:$B$304,MATCH(62,الموظفات!$Q$5:$Q$304,0)),"")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التحفيز'!$W$5:$W$2004,"&gt;0",'سجل التحفيز'!$B$5:$B$2004,B99))</f>
        <v/>
      </c>
      <c r="E99" s="35">
        <f>IF(B99="","",COUNTIFS('سجل التحفيز'!$W$5:$W$2004,"&gt;0",'سجل التحفيز'!$B$5:$B$2004,B99,'سجل التحفيز'!$D$5:$D$2004,"ذهبي"))</f>
        <v/>
      </c>
      <c r="F99" s="35">
        <f>IF(B99="","",SUMIFS('سجل التحفيز'!$G$5:$G$2004,'سجل التحفيز'!$W$5:$W$2004,"&gt;0",'سجل التحفيز'!$B$5:$B$2004,B99))</f>
        <v/>
      </c>
      <c r="G99" s="35">
        <f>IF(B99="","",COUNTIF($D$38:$D$187,"&gt;"&amp;D99)+1)</f>
        <v/>
      </c>
      <c r="H99" s="35">
        <f>IF(B99="","",INDEX(الموظفات!$L$5:$L$304,MATCH(B99,الموظفات!$B$5:$B$304,0)))</f>
        <v/>
      </c>
      <c r="K99" s="36">
        <f>IF(62&gt;$B$10,"",62)</f>
        <v/>
      </c>
      <c r="L99" s="37">
        <f>IF($K99="","",INDEX('سجل التحفيز'!$A$5:$A$2004,MATCH($K99,'سجل التحفيز'!$W$5:$W$2004,0)))</f>
        <v/>
      </c>
      <c r="M99" s="9">
        <f>IF($K99="","",INDEX('سجل التحفيز'!$B$5:$B$2004,MATCH($K99,'سجل التحفيز'!$W$5:$W$2004,0)))</f>
        <v/>
      </c>
      <c r="N99" s="9">
        <f>IF($K99="","",INDEX('سجل التحفيز'!$M$5:$M$2004,MATCH($K99,'سجل التحفيز'!$W$5:$W$2004,0)))</f>
        <v/>
      </c>
      <c r="O99" s="9">
        <f>IF($K99="","",INDEX('سجل التحفيز'!$C$5:$C$2004,MATCH($K99,'سجل التحفيز'!$W$5:$W$2004,0)))</f>
        <v/>
      </c>
      <c r="P99" s="36">
        <f>IF($K99="","",INDEX('سجل التحفيز'!$D$5:$D$2004,MATCH($K99,'سجل التحفيز'!$W$5:$W$2004,0)))</f>
        <v/>
      </c>
      <c r="Q99" s="9">
        <f>IF($K99="","",INDEX('سجل التحفيز'!$E$5:$E$2004,MATCH($K99,'سجل التحفيز'!$W$5:$W$2004,0)))</f>
        <v/>
      </c>
      <c r="R99" s="9">
        <f>IF($K99="","",INDEX('سجل التحفيز'!$F$5:$F$2004,MATCH($K99,'سجل التحفيز'!$W$5:$W$2004,0)))</f>
        <v/>
      </c>
      <c r="S99" s="35">
        <f>IF($K99="","",INDEX('سجل التحفيز'!$G$5:$G$2004,MATCH($K99,'سجل التحفيز'!$W$5:$W$2004,0)))</f>
        <v/>
      </c>
    </row>
    <row r="100">
      <c r="B100" s="34">
        <f>IFERROR(INDEX(الموظفات!$B$5:$B$304,MATCH(63,الموظفات!$Q$5:$Q$304,0)),"")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التحفيز'!$W$5:$W$2004,"&gt;0",'سجل التحفيز'!$B$5:$B$2004,B100))</f>
        <v/>
      </c>
      <c r="E100" s="35">
        <f>IF(B100="","",COUNTIFS('سجل التحفيز'!$W$5:$W$2004,"&gt;0",'سجل التحفيز'!$B$5:$B$2004,B100,'سجل التحفيز'!$D$5:$D$2004,"ذهبي"))</f>
        <v/>
      </c>
      <c r="F100" s="35">
        <f>IF(B100="","",SUMIFS('سجل التحفيز'!$G$5:$G$2004,'سجل التحفيز'!$W$5:$W$2004,"&gt;0",'سجل التحفيز'!$B$5:$B$2004,B100))</f>
        <v/>
      </c>
      <c r="G100" s="35">
        <f>IF(B100="","",COUNTIF($D$38:$D$187,"&gt;"&amp;D100)+1)</f>
        <v/>
      </c>
      <c r="H100" s="35">
        <f>IF(B100="","",INDEX(الموظفات!$L$5:$L$304,MATCH(B100,الموظفات!$B$5:$B$304,0)))</f>
        <v/>
      </c>
      <c r="K100" s="36">
        <f>IF(63&gt;$B$10,"",63)</f>
        <v/>
      </c>
      <c r="L100" s="37">
        <f>IF($K100="","",INDEX('سجل التحفيز'!$A$5:$A$2004,MATCH($K100,'سجل التحفيز'!$W$5:$W$2004,0)))</f>
        <v/>
      </c>
      <c r="M100" s="9">
        <f>IF($K100="","",INDEX('سجل التحفيز'!$B$5:$B$2004,MATCH($K100,'سجل التحفيز'!$W$5:$W$2004,0)))</f>
        <v/>
      </c>
      <c r="N100" s="9">
        <f>IF($K100="","",INDEX('سجل التحفيز'!$M$5:$M$2004,MATCH($K100,'سجل التحفيز'!$W$5:$W$2004,0)))</f>
        <v/>
      </c>
      <c r="O100" s="9">
        <f>IF($K100="","",INDEX('سجل التحفيز'!$C$5:$C$2004,MATCH($K100,'سجل التحفيز'!$W$5:$W$2004,0)))</f>
        <v/>
      </c>
      <c r="P100" s="36">
        <f>IF($K100="","",INDEX('سجل التحفيز'!$D$5:$D$2004,MATCH($K100,'سجل التحفيز'!$W$5:$W$2004,0)))</f>
        <v/>
      </c>
      <c r="Q100" s="9">
        <f>IF($K100="","",INDEX('سجل التحفيز'!$E$5:$E$2004,MATCH($K100,'سجل التحفيز'!$W$5:$W$2004,0)))</f>
        <v/>
      </c>
      <c r="R100" s="9">
        <f>IF($K100="","",INDEX('سجل التحفيز'!$F$5:$F$2004,MATCH($K100,'سجل التحفيز'!$W$5:$W$2004,0)))</f>
        <v/>
      </c>
      <c r="S100" s="35">
        <f>IF($K100="","",INDEX('سجل التحفيز'!$G$5:$G$2004,MATCH($K100,'سجل التحفيز'!$W$5:$W$2004,0)))</f>
        <v/>
      </c>
    </row>
    <row r="101">
      <c r="B101" s="34">
        <f>IFERROR(INDEX(الموظفات!$B$5:$B$304,MATCH(64,الموظفات!$Q$5:$Q$304,0)),"")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التحفيز'!$W$5:$W$2004,"&gt;0",'سجل التحفيز'!$B$5:$B$2004,B101))</f>
        <v/>
      </c>
      <c r="E101" s="35">
        <f>IF(B101="","",COUNTIFS('سجل التحفيز'!$W$5:$W$2004,"&gt;0",'سجل التحفيز'!$B$5:$B$2004,B101,'سجل التحفيز'!$D$5:$D$2004,"ذهبي"))</f>
        <v/>
      </c>
      <c r="F101" s="35">
        <f>IF(B101="","",SUMIFS('سجل التحفيز'!$G$5:$G$2004,'سجل التحفيز'!$W$5:$W$2004,"&gt;0",'سجل التحفيز'!$B$5:$B$2004,B101))</f>
        <v/>
      </c>
      <c r="G101" s="35">
        <f>IF(B101="","",COUNTIF($D$38:$D$187,"&gt;"&amp;D101)+1)</f>
        <v/>
      </c>
      <c r="H101" s="35">
        <f>IF(B101="","",INDEX(الموظفات!$L$5:$L$304,MATCH(B101,الموظفات!$B$5:$B$304,0)))</f>
        <v/>
      </c>
      <c r="K101" s="36">
        <f>IF(64&gt;$B$10,"",64)</f>
        <v/>
      </c>
      <c r="L101" s="37">
        <f>IF($K101="","",INDEX('سجل التحفيز'!$A$5:$A$2004,MATCH($K101,'سجل التحفيز'!$W$5:$W$2004,0)))</f>
        <v/>
      </c>
      <c r="M101" s="9">
        <f>IF($K101="","",INDEX('سجل التحفيز'!$B$5:$B$2004,MATCH($K101,'سجل التحفيز'!$W$5:$W$2004,0)))</f>
        <v/>
      </c>
      <c r="N101" s="9">
        <f>IF($K101="","",INDEX('سجل التحفيز'!$M$5:$M$2004,MATCH($K101,'سجل التحفيز'!$W$5:$W$2004,0)))</f>
        <v/>
      </c>
      <c r="O101" s="9">
        <f>IF($K101="","",INDEX('سجل التحفيز'!$C$5:$C$2004,MATCH($K101,'سجل التحفيز'!$W$5:$W$2004,0)))</f>
        <v/>
      </c>
      <c r="P101" s="36">
        <f>IF($K101="","",INDEX('سجل التحفيز'!$D$5:$D$2004,MATCH($K101,'سجل التحفيز'!$W$5:$W$2004,0)))</f>
        <v/>
      </c>
      <c r="Q101" s="9">
        <f>IF($K101="","",INDEX('سجل التحفيز'!$E$5:$E$2004,MATCH($K101,'سجل التحفيز'!$W$5:$W$2004,0)))</f>
        <v/>
      </c>
      <c r="R101" s="9">
        <f>IF($K101="","",INDEX('سجل التحفيز'!$F$5:$F$2004,MATCH($K101,'سجل التحفيز'!$W$5:$W$2004,0)))</f>
        <v/>
      </c>
      <c r="S101" s="35">
        <f>IF($K101="","",INDEX('سجل التحفيز'!$G$5:$G$2004,MATCH($K101,'سجل التحفيز'!$W$5:$W$2004,0)))</f>
        <v/>
      </c>
    </row>
    <row r="102">
      <c r="B102" s="34">
        <f>IFERROR(INDEX(الموظفات!$B$5:$B$304,MATCH(65,الموظفات!$Q$5:$Q$304,0)),"")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التحفيز'!$W$5:$W$2004,"&gt;0",'سجل التحفيز'!$B$5:$B$2004,B102))</f>
        <v/>
      </c>
      <c r="E102" s="35">
        <f>IF(B102="","",COUNTIFS('سجل التحفيز'!$W$5:$W$2004,"&gt;0",'سجل التحفيز'!$B$5:$B$2004,B102,'سجل التحفيز'!$D$5:$D$2004,"ذهبي"))</f>
        <v/>
      </c>
      <c r="F102" s="35">
        <f>IF(B102="","",SUMIFS('سجل التحفيز'!$G$5:$G$2004,'سجل التحفيز'!$W$5:$W$2004,"&gt;0",'سجل التحفيز'!$B$5:$B$2004,B102))</f>
        <v/>
      </c>
      <c r="G102" s="35">
        <f>IF(B102="","",COUNTIF($D$38:$D$187,"&gt;"&amp;D102)+1)</f>
        <v/>
      </c>
      <c r="H102" s="35">
        <f>IF(B102="","",INDEX(الموظفات!$L$5:$L$304,MATCH(B102,الموظفات!$B$5:$B$304,0)))</f>
        <v/>
      </c>
      <c r="K102" s="36">
        <f>IF(65&gt;$B$10,"",65)</f>
        <v/>
      </c>
      <c r="L102" s="37">
        <f>IF($K102="","",INDEX('سجل التحفيز'!$A$5:$A$2004,MATCH($K102,'سجل التحفيز'!$W$5:$W$2004,0)))</f>
        <v/>
      </c>
      <c r="M102" s="9">
        <f>IF($K102="","",INDEX('سجل التحفيز'!$B$5:$B$2004,MATCH($K102,'سجل التحفيز'!$W$5:$W$2004,0)))</f>
        <v/>
      </c>
      <c r="N102" s="9">
        <f>IF($K102="","",INDEX('سجل التحفيز'!$M$5:$M$2004,MATCH($K102,'سجل التحفيز'!$W$5:$W$2004,0)))</f>
        <v/>
      </c>
      <c r="O102" s="9">
        <f>IF($K102="","",INDEX('سجل التحفيز'!$C$5:$C$2004,MATCH($K102,'سجل التحفيز'!$W$5:$W$2004,0)))</f>
        <v/>
      </c>
      <c r="P102" s="36">
        <f>IF($K102="","",INDEX('سجل التحفيز'!$D$5:$D$2004,MATCH($K102,'سجل التحفيز'!$W$5:$W$2004,0)))</f>
        <v/>
      </c>
      <c r="Q102" s="9">
        <f>IF($K102="","",INDEX('سجل التحفيز'!$E$5:$E$2004,MATCH($K102,'سجل التحفيز'!$W$5:$W$2004,0)))</f>
        <v/>
      </c>
      <c r="R102" s="9">
        <f>IF($K102="","",INDEX('سجل التحفيز'!$F$5:$F$2004,MATCH($K102,'سجل التحفيز'!$W$5:$W$2004,0)))</f>
        <v/>
      </c>
      <c r="S102" s="35">
        <f>IF($K102="","",INDEX('سجل التحفيز'!$G$5:$G$2004,MATCH($K102,'سجل التحفيز'!$W$5:$W$2004,0)))</f>
        <v/>
      </c>
    </row>
    <row r="103">
      <c r="B103" s="34">
        <f>IFERROR(INDEX(الموظفات!$B$5:$B$304,MATCH(66,الموظفات!$Q$5:$Q$304,0)),"")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التحفيز'!$W$5:$W$2004,"&gt;0",'سجل التحفيز'!$B$5:$B$2004,B103))</f>
        <v/>
      </c>
      <c r="E103" s="35">
        <f>IF(B103="","",COUNTIFS('سجل التحفيز'!$W$5:$W$2004,"&gt;0",'سجل التحفيز'!$B$5:$B$2004,B103,'سجل التحفيز'!$D$5:$D$2004,"ذهبي"))</f>
        <v/>
      </c>
      <c r="F103" s="35">
        <f>IF(B103="","",SUMIFS('سجل التحفيز'!$G$5:$G$2004,'سجل التحفيز'!$W$5:$W$2004,"&gt;0",'سجل التحفيز'!$B$5:$B$2004,B103))</f>
        <v/>
      </c>
      <c r="G103" s="35">
        <f>IF(B103="","",COUNTIF($D$38:$D$187,"&gt;"&amp;D103)+1)</f>
        <v/>
      </c>
      <c r="H103" s="35">
        <f>IF(B103="","",INDEX(الموظفات!$L$5:$L$304,MATCH(B103,الموظفات!$B$5:$B$304,0)))</f>
        <v/>
      </c>
      <c r="K103" s="36">
        <f>IF(66&gt;$B$10,"",66)</f>
        <v/>
      </c>
      <c r="L103" s="37">
        <f>IF($K103="","",INDEX('سجل التحفيز'!$A$5:$A$2004,MATCH($K103,'سجل التحفيز'!$W$5:$W$2004,0)))</f>
        <v/>
      </c>
      <c r="M103" s="9">
        <f>IF($K103="","",INDEX('سجل التحفيز'!$B$5:$B$2004,MATCH($K103,'سجل التحفيز'!$W$5:$W$2004,0)))</f>
        <v/>
      </c>
      <c r="N103" s="9">
        <f>IF($K103="","",INDEX('سجل التحفيز'!$M$5:$M$2004,MATCH($K103,'سجل التحفيز'!$W$5:$W$2004,0)))</f>
        <v/>
      </c>
      <c r="O103" s="9">
        <f>IF($K103="","",INDEX('سجل التحفيز'!$C$5:$C$2004,MATCH($K103,'سجل التحفيز'!$W$5:$W$2004,0)))</f>
        <v/>
      </c>
      <c r="P103" s="36">
        <f>IF($K103="","",INDEX('سجل التحفيز'!$D$5:$D$2004,MATCH($K103,'سجل التحفيز'!$W$5:$W$2004,0)))</f>
        <v/>
      </c>
      <c r="Q103" s="9">
        <f>IF($K103="","",INDEX('سجل التحفيز'!$E$5:$E$2004,MATCH($K103,'سجل التحفيز'!$W$5:$W$2004,0)))</f>
        <v/>
      </c>
      <c r="R103" s="9">
        <f>IF($K103="","",INDEX('سجل التحفيز'!$F$5:$F$2004,MATCH($K103,'سجل التحفيز'!$W$5:$W$2004,0)))</f>
        <v/>
      </c>
      <c r="S103" s="35">
        <f>IF($K103="","",INDEX('سجل التحفيز'!$G$5:$G$2004,MATCH($K103,'سجل التحفيز'!$W$5:$W$2004,0)))</f>
        <v/>
      </c>
    </row>
    <row r="104">
      <c r="B104" s="34">
        <f>IFERROR(INDEX(الموظفات!$B$5:$B$304,MATCH(67,الموظفات!$Q$5:$Q$304,0)),"")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التحفيز'!$W$5:$W$2004,"&gt;0",'سجل التحفيز'!$B$5:$B$2004,B104))</f>
        <v/>
      </c>
      <c r="E104" s="35">
        <f>IF(B104="","",COUNTIFS('سجل التحفيز'!$W$5:$W$2004,"&gt;0",'سجل التحفيز'!$B$5:$B$2004,B104,'سجل التحفيز'!$D$5:$D$2004,"ذهبي"))</f>
        <v/>
      </c>
      <c r="F104" s="35">
        <f>IF(B104="","",SUMIFS('سجل التحفيز'!$G$5:$G$2004,'سجل التحفيز'!$W$5:$W$2004,"&gt;0",'سجل التحفيز'!$B$5:$B$2004,B104))</f>
        <v/>
      </c>
      <c r="G104" s="35">
        <f>IF(B104="","",COUNTIF($D$38:$D$187,"&gt;"&amp;D104)+1)</f>
        <v/>
      </c>
      <c r="H104" s="35">
        <f>IF(B104="","",INDEX(الموظفات!$L$5:$L$304,MATCH(B104,الموظفات!$B$5:$B$304,0)))</f>
        <v/>
      </c>
      <c r="K104" s="36">
        <f>IF(67&gt;$B$10,"",67)</f>
        <v/>
      </c>
      <c r="L104" s="37">
        <f>IF($K104="","",INDEX('سجل التحفيز'!$A$5:$A$2004,MATCH($K104,'سجل التحفيز'!$W$5:$W$2004,0)))</f>
        <v/>
      </c>
      <c r="M104" s="9">
        <f>IF($K104="","",INDEX('سجل التحفيز'!$B$5:$B$2004,MATCH($K104,'سجل التحفيز'!$W$5:$W$2004,0)))</f>
        <v/>
      </c>
      <c r="N104" s="9">
        <f>IF($K104="","",INDEX('سجل التحفيز'!$M$5:$M$2004,MATCH($K104,'سجل التحفيز'!$W$5:$W$2004,0)))</f>
        <v/>
      </c>
      <c r="O104" s="9">
        <f>IF($K104="","",INDEX('سجل التحفيز'!$C$5:$C$2004,MATCH($K104,'سجل التحفيز'!$W$5:$W$2004,0)))</f>
        <v/>
      </c>
      <c r="P104" s="36">
        <f>IF($K104="","",INDEX('سجل التحفيز'!$D$5:$D$2004,MATCH($K104,'سجل التحفيز'!$W$5:$W$2004,0)))</f>
        <v/>
      </c>
      <c r="Q104" s="9">
        <f>IF($K104="","",INDEX('سجل التحفيز'!$E$5:$E$2004,MATCH($K104,'سجل التحفيز'!$W$5:$W$2004,0)))</f>
        <v/>
      </c>
      <c r="R104" s="9">
        <f>IF($K104="","",INDEX('سجل التحفيز'!$F$5:$F$2004,MATCH($K104,'سجل التحفيز'!$W$5:$W$2004,0)))</f>
        <v/>
      </c>
      <c r="S104" s="35">
        <f>IF($K104="","",INDEX('سجل التحفيز'!$G$5:$G$2004,MATCH($K104,'سجل التحفيز'!$W$5:$W$2004,0)))</f>
        <v/>
      </c>
    </row>
    <row r="105">
      <c r="B105" s="34">
        <f>IFERROR(INDEX(الموظفات!$B$5:$B$304,MATCH(68,الموظفات!$Q$5:$Q$304,0)),"")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التحفيز'!$W$5:$W$2004,"&gt;0",'سجل التحفيز'!$B$5:$B$2004,B105))</f>
        <v/>
      </c>
      <c r="E105" s="35">
        <f>IF(B105="","",COUNTIFS('سجل التحفيز'!$W$5:$W$2004,"&gt;0",'سجل التحفيز'!$B$5:$B$2004,B105,'سجل التحفيز'!$D$5:$D$2004,"ذهبي"))</f>
        <v/>
      </c>
      <c r="F105" s="35">
        <f>IF(B105="","",SUMIFS('سجل التحفيز'!$G$5:$G$2004,'سجل التحفيز'!$W$5:$W$2004,"&gt;0",'سجل التحفيز'!$B$5:$B$2004,B105))</f>
        <v/>
      </c>
      <c r="G105" s="35">
        <f>IF(B105="","",COUNTIF($D$38:$D$187,"&gt;"&amp;D105)+1)</f>
        <v/>
      </c>
      <c r="H105" s="35">
        <f>IF(B105="","",INDEX(الموظفات!$L$5:$L$304,MATCH(B105,الموظفات!$B$5:$B$304,0)))</f>
        <v/>
      </c>
      <c r="K105" s="36">
        <f>IF(68&gt;$B$10,"",68)</f>
        <v/>
      </c>
      <c r="L105" s="37">
        <f>IF($K105="","",INDEX('سجل التحفيز'!$A$5:$A$2004,MATCH($K105,'سجل التحفيز'!$W$5:$W$2004,0)))</f>
        <v/>
      </c>
      <c r="M105" s="9">
        <f>IF($K105="","",INDEX('سجل التحفيز'!$B$5:$B$2004,MATCH($K105,'سجل التحفيز'!$W$5:$W$2004,0)))</f>
        <v/>
      </c>
      <c r="N105" s="9">
        <f>IF($K105="","",INDEX('سجل التحفيز'!$M$5:$M$2004,MATCH($K105,'سجل التحفيز'!$W$5:$W$2004,0)))</f>
        <v/>
      </c>
      <c r="O105" s="9">
        <f>IF($K105="","",INDEX('سجل التحفيز'!$C$5:$C$2004,MATCH($K105,'سجل التحفيز'!$W$5:$W$2004,0)))</f>
        <v/>
      </c>
      <c r="P105" s="36">
        <f>IF($K105="","",INDEX('سجل التحفيز'!$D$5:$D$2004,MATCH($K105,'سجل التحفيز'!$W$5:$W$2004,0)))</f>
        <v/>
      </c>
      <c r="Q105" s="9">
        <f>IF($K105="","",INDEX('سجل التحفيز'!$E$5:$E$2004,MATCH($K105,'سجل التحفيز'!$W$5:$W$2004,0)))</f>
        <v/>
      </c>
      <c r="R105" s="9">
        <f>IF($K105="","",INDEX('سجل التحفيز'!$F$5:$F$2004,MATCH($K105,'سجل التحفيز'!$W$5:$W$2004,0)))</f>
        <v/>
      </c>
      <c r="S105" s="35">
        <f>IF($K105="","",INDEX('سجل التحفيز'!$G$5:$G$2004,MATCH($K105,'سجل التحفيز'!$W$5:$W$2004,0)))</f>
        <v/>
      </c>
    </row>
    <row r="106">
      <c r="B106" s="34">
        <f>IFERROR(INDEX(الموظفات!$B$5:$B$304,MATCH(69,الموظفات!$Q$5:$Q$304,0)),"")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التحفيز'!$W$5:$W$2004,"&gt;0",'سجل التحفيز'!$B$5:$B$2004,B106))</f>
        <v/>
      </c>
      <c r="E106" s="35">
        <f>IF(B106="","",COUNTIFS('سجل التحفيز'!$W$5:$W$2004,"&gt;0",'سجل التحفيز'!$B$5:$B$2004,B106,'سجل التحفيز'!$D$5:$D$2004,"ذهبي"))</f>
        <v/>
      </c>
      <c r="F106" s="35">
        <f>IF(B106="","",SUMIFS('سجل التحفيز'!$G$5:$G$2004,'سجل التحفيز'!$W$5:$W$2004,"&gt;0",'سجل التحفيز'!$B$5:$B$2004,B106))</f>
        <v/>
      </c>
      <c r="G106" s="35">
        <f>IF(B106="","",COUNTIF($D$38:$D$187,"&gt;"&amp;D106)+1)</f>
        <v/>
      </c>
      <c r="H106" s="35">
        <f>IF(B106="","",INDEX(الموظفات!$L$5:$L$304,MATCH(B106,الموظفات!$B$5:$B$304,0)))</f>
        <v/>
      </c>
      <c r="K106" s="36">
        <f>IF(69&gt;$B$10,"",69)</f>
        <v/>
      </c>
      <c r="L106" s="37">
        <f>IF($K106="","",INDEX('سجل التحفيز'!$A$5:$A$2004,MATCH($K106,'سجل التحفيز'!$W$5:$W$2004,0)))</f>
        <v/>
      </c>
      <c r="M106" s="9">
        <f>IF($K106="","",INDEX('سجل التحفيز'!$B$5:$B$2004,MATCH($K106,'سجل التحفيز'!$W$5:$W$2004,0)))</f>
        <v/>
      </c>
      <c r="N106" s="9">
        <f>IF($K106="","",INDEX('سجل التحفيز'!$M$5:$M$2004,MATCH($K106,'سجل التحفيز'!$W$5:$W$2004,0)))</f>
        <v/>
      </c>
      <c r="O106" s="9">
        <f>IF($K106="","",INDEX('سجل التحفيز'!$C$5:$C$2004,MATCH($K106,'سجل التحفيز'!$W$5:$W$2004,0)))</f>
        <v/>
      </c>
      <c r="P106" s="36">
        <f>IF($K106="","",INDEX('سجل التحفيز'!$D$5:$D$2004,MATCH($K106,'سجل التحفيز'!$W$5:$W$2004,0)))</f>
        <v/>
      </c>
      <c r="Q106" s="9">
        <f>IF($K106="","",INDEX('سجل التحفيز'!$E$5:$E$2004,MATCH($K106,'سجل التحفيز'!$W$5:$W$2004,0)))</f>
        <v/>
      </c>
      <c r="R106" s="9">
        <f>IF($K106="","",INDEX('سجل التحفيز'!$F$5:$F$2004,MATCH($K106,'سجل التحفيز'!$W$5:$W$2004,0)))</f>
        <v/>
      </c>
      <c r="S106" s="35">
        <f>IF($K106="","",INDEX('سجل التحفيز'!$G$5:$G$2004,MATCH($K106,'سجل التحفيز'!$W$5:$W$2004,0)))</f>
        <v/>
      </c>
    </row>
    <row r="107">
      <c r="B107" s="34">
        <f>IFERROR(INDEX(الموظفات!$B$5:$B$304,MATCH(70,الموظفات!$Q$5:$Q$304,0)),"")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التحفيز'!$W$5:$W$2004,"&gt;0",'سجل التحفيز'!$B$5:$B$2004,B107))</f>
        <v/>
      </c>
      <c r="E107" s="35">
        <f>IF(B107="","",COUNTIFS('سجل التحفيز'!$W$5:$W$2004,"&gt;0",'سجل التحفيز'!$B$5:$B$2004,B107,'سجل التحفيز'!$D$5:$D$2004,"ذهبي"))</f>
        <v/>
      </c>
      <c r="F107" s="35">
        <f>IF(B107="","",SUMIFS('سجل التحفيز'!$G$5:$G$2004,'سجل التحفيز'!$W$5:$W$2004,"&gt;0",'سجل التحفيز'!$B$5:$B$2004,B107))</f>
        <v/>
      </c>
      <c r="G107" s="35">
        <f>IF(B107="","",COUNTIF($D$38:$D$187,"&gt;"&amp;D107)+1)</f>
        <v/>
      </c>
      <c r="H107" s="35">
        <f>IF(B107="","",INDEX(الموظفات!$L$5:$L$304,MATCH(B107,الموظفات!$B$5:$B$304,0)))</f>
        <v/>
      </c>
      <c r="K107" s="36">
        <f>IF(70&gt;$B$10,"",70)</f>
        <v/>
      </c>
      <c r="L107" s="37">
        <f>IF($K107="","",INDEX('سجل التحفيز'!$A$5:$A$2004,MATCH($K107,'سجل التحفيز'!$W$5:$W$2004,0)))</f>
        <v/>
      </c>
      <c r="M107" s="9">
        <f>IF($K107="","",INDEX('سجل التحفيز'!$B$5:$B$2004,MATCH($K107,'سجل التحفيز'!$W$5:$W$2004,0)))</f>
        <v/>
      </c>
      <c r="N107" s="9">
        <f>IF($K107="","",INDEX('سجل التحفيز'!$M$5:$M$2004,MATCH($K107,'سجل التحفيز'!$W$5:$W$2004,0)))</f>
        <v/>
      </c>
      <c r="O107" s="9">
        <f>IF($K107="","",INDEX('سجل التحفيز'!$C$5:$C$2004,MATCH($K107,'سجل التحفيز'!$W$5:$W$2004,0)))</f>
        <v/>
      </c>
      <c r="P107" s="36">
        <f>IF($K107="","",INDEX('سجل التحفيز'!$D$5:$D$2004,MATCH($K107,'سجل التحفيز'!$W$5:$W$2004,0)))</f>
        <v/>
      </c>
      <c r="Q107" s="9">
        <f>IF($K107="","",INDEX('سجل التحفيز'!$E$5:$E$2004,MATCH($K107,'سجل التحفيز'!$W$5:$W$2004,0)))</f>
        <v/>
      </c>
      <c r="R107" s="9">
        <f>IF($K107="","",INDEX('سجل التحفيز'!$F$5:$F$2004,MATCH($K107,'سجل التحفيز'!$W$5:$W$2004,0)))</f>
        <v/>
      </c>
      <c r="S107" s="35">
        <f>IF($K107="","",INDEX('سجل التحفيز'!$G$5:$G$2004,MATCH($K107,'سجل التحفيز'!$W$5:$W$2004,0)))</f>
        <v/>
      </c>
    </row>
    <row r="108">
      <c r="B108" s="34">
        <f>IFERROR(INDEX(الموظفات!$B$5:$B$304,MATCH(71,الموظفات!$Q$5:$Q$304,0)),"")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التحفيز'!$W$5:$W$2004,"&gt;0",'سجل التحفيز'!$B$5:$B$2004,B108))</f>
        <v/>
      </c>
      <c r="E108" s="35">
        <f>IF(B108="","",COUNTIFS('سجل التحفيز'!$W$5:$W$2004,"&gt;0",'سجل التحفيز'!$B$5:$B$2004,B108,'سجل التحفيز'!$D$5:$D$2004,"ذهبي"))</f>
        <v/>
      </c>
      <c r="F108" s="35">
        <f>IF(B108="","",SUMIFS('سجل التحفيز'!$G$5:$G$2004,'سجل التحفيز'!$W$5:$W$2004,"&gt;0",'سجل التحفيز'!$B$5:$B$2004,B108))</f>
        <v/>
      </c>
      <c r="G108" s="35">
        <f>IF(B108="","",COUNTIF($D$38:$D$187,"&gt;"&amp;D108)+1)</f>
        <v/>
      </c>
      <c r="H108" s="35">
        <f>IF(B108="","",INDEX(الموظفات!$L$5:$L$304,MATCH(B108,الموظفات!$B$5:$B$304,0)))</f>
        <v/>
      </c>
      <c r="K108" s="36">
        <f>IF(71&gt;$B$10,"",71)</f>
        <v/>
      </c>
      <c r="L108" s="37">
        <f>IF($K108="","",INDEX('سجل التحفيز'!$A$5:$A$2004,MATCH($K108,'سجل التحفيز'!$W$5:$W$2004,0)))</f>
        <v/>
      </c>
      <c r="M108" s="9">
        <f>IF($K108="","",INDEX('سجل التحفيز'!$B$5:$B$2004,MATCH($K108,'سجل التحفيز'!$W$5:$W$2004,0)))</f>
        <v/>
      </c>
      <c r="N108" s="9">
        <f>IF($K108="","",INDEX('سجل التحفيز'!$M$5:$M$2004,MATCH($K108,'سجل التحفيز'!$W$5:$W$2004,0)))</f>
        <v/>
      </c>
      <c r="O108" s="9">
        <f>IF($K108="","",INDEX('سجل التحفيز'!$C$5:$C$2004,MATCH($K108,'سجل التحفيز'!$W$5:$W$2004,0)))</f>
        <v/>
      </c>
      <c r="P108" s="36">
        <f>IF($K108="","",INDEX('سجل التحفيز'!$D$5:$D$2004,MATCH($K108,'سجل التحفيز'!$W$5:$W$2004,0)))</f>
        <v/>
      </c>
      <c r="Q108" s="9">
        <f>IF($K108="","",INDEX('سجل التحفيز'!$E$5:$E$2004,MATCH($K108,'سجل التحفيز'!$W$5:$W$2004,0)))</f>
        <v/>
      </c>
      <c r="R108" s="9">
        <f>IF($K108="","",INDEX('سجل التحفيز'!$F$5:$F$2004,MATCH($K108,'سجل التحفيز'!$W$5:$W$2004,0)))</f>
        <v/>
      </c>
      <c r="S108" s="35">
        <f>IF($K108="","",INDEX('سجل التحفيز'!$G$5:$G$2004,MATCH($K108,'سجل التحفيز'!$W$5:$W$2004,0)))</f>
        <v/>
      </c>
    </row>
    <row r="109">
      <c r="B109" s="34">
        <f>IFERROR(INDEX(الموظفات!$B$5:$B$304,MATCH(72,الموظفات!$Q$5:$Q$304,0)),"")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التحفيز'!$W$5:$W$2004,"&gt;0",'سجل التحفيز'!$B$5:$B$2004,B109))</f>
        <v/>
      </c>
      <c r="E109" s="35">
        <f>IF(B109="","",COUNTIFS('سجل التحفيز'!$W$5:$W$2004,"&gt;0",'سجل التحفيز'!$B$5:$B$2004,B109,'سجل التحفيز'!$D$5:$D$2004,"ذهبي"))</f>
        <v/>
      </c>
      <c r="F109" s="35">
        <f>IF(B109="","",SUMIFS('سجل التحفيز'!$G$5:$G$2004,'سجل التحفيز'!$W$5:$W$2004,"&gt;0",'سجل التحفيز'!$B$5:$B$2004,B109))</f>
        <v/>
      </c>
      <c r="G109" s="35">
        <f>IF(B109="","",COUNTIF($D$38:$D$187,"&gt;"&amp;D109)+1)</f>
        <v/>
      </c>
      <c r="H109" s="35">
        <f>IF(B109="","",INDEX(الموظفات!$L$5:$L$304,MATCH(B109,الموظفات!$B$5:$B$304,0)))</f>
        <v/>
      </c>
      <c r="K109" s="36">
        <f>IF(72&gt;$B$10,"",72)</f>
        <v/>
      </c>
      <c r="L109" s="37">
        <f>IF($K109="","",INDEX('سجل التحفيز'!$A$5:$A$2004,MATCH($K109,'سجل التحفيز'!$W$5:$W$2004,0)))</f>
        <v/>
      </c>
      <c r="M109" s="9">
        <f>IF($K109="","",INDEX('سجل التحفيز'!$B$5:$B$2004,MATCH($K109,'سجل التحفيز'!$W$5:$W$2004,0)))</f>
        <v/>
      </c>
      <c r="N109" s="9">
        <f>IF($K109="","",INDEX('سجل التحفيز'!$M$5:$M$2004,MATCH($K109,'سجل التحفيز'!$W$5:$W$2004,0)))</f>
        <v/>
      </c>
      <c r="O109" s="9">
        <f>IF($K109="","",INDEX('سجل التحفيز'!$C$5:$C$2004,MATCH($K109,'سجل التحفيز'!$W$5:$W$2004,0)))</f>
        <v/>
      </c>
      <c r="P109" s="36">
        <f>IF($K109="","",INDEX('سجل التحفيز'!$D$5:$D$2004,MATCH($K109,'سجل التحفيز'!$W$5:$W$2004,0)))</f>
        <v/>
      </c>
      <c r="Q109" s="9">
        <f>IF($K109="","",INDEX('سجل التحفيز'!$E$5:$E$2004,MATCH($K109,'سجل التحفيز'!$W$5:$W$2004,0)))</f>
        <v/>
      </c>
      <c r="R109" s="9">
        <f>IF($K109="","",INDEX('سجل التحفيز'!$F$5:$F$2004,MATCH($K109,'سجل التحفيز'!$W$5:$W$2004,0)))</f>
        <v/>
      </c>
      <c r="S109" s="35">
        <f>IF($K109="","",INDEX('سجل التحفيز'!$G$5:$G$2004,MATCH($K109,'سجل التحفيز'!$W$5:$W$2004,0)))</f>
        <v/>
      </c>
    </row>
    <row r="110">
      <c r="B110" s="34">
        <f>IFERROR(INDEX(الموظفات!$B$5:$B$304,MATCH(73,الموظفات!$Q$5:$Q$304,0)),"")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التحفيز'!$W$5:$W$2004,"&gt;0",'سجل التحفيز'!$B$5:$B$2004,B110))</f>
        <v/>
      </c>
      <c r="E110" s="35">
        <f>IF(B110="","",COUNTIFS('سجل التحفيز'!$W$5:$W$2004,"&gt;0",'سجل التحفيز'!$B$5:$B$2004,B110,'سجل التحفيز'!$D$5:$D$2004,"ذهبي"))</f>
        <v/>
      </c>
      <c r="F110" s="35">
        <f>IF(B110="","",SUMIFS('سجل التحفيز'!$G$5:$G$2004,'سجل التحفيز'!$W$5:$W$2004,"&gt;0",'سجل التحفيز'!$B$5:$B$2004,B110))</f>
        <v/>
      </c>
      <c r="G110" s="35">
        <f>IF(B110="","",COUNTIF($D$38:$D$187,"&gt;"&amp;D110)+1)</f>
        <v/>
      </c>
      <c r="H110" s="35">
        <f>IF(B110="","",INDEX(الموظفات!$L$5:$L$304,MATCH(B110,الموظفات!$B$5:$B$304,0)))</f>
        <v/>
      </c>
      <c r="K110" s="36">
        <f>IF(73&gt;$B$10,"",73)</f>
        <v/>
      </c>
      <c r="L110" s="37">
        <f>IF($K110="","",INDEX('سجل التحفيز'!$A$5:$A$2004,MATCH($K110,'سجل التحفيز'!$W$5:$W$2004,0)))</f>
        <v/>
      </c>
      <c r="M110" s="9">
        <f>IF($K110="","",INDEX('سجل التحفيز'!$B$5:$B$2004,MATCH($K110,'سجل التحفيز'!$W$5:$W$2004,0)))</f>
        <v/>
      </c>
      <c r="N110" s="9">
        <f>IF($K110="","",INDEX('سجل التحفيز'!$M$5:$M$2004,MATCH($K110,'سجل التحفيز'!$W$5:$W$2004,0)))</f>
        <v/>
      </c>
      <c r="O110" s="9">
        <f>IF($K110="","",INDEX('سجل التحفيز'!$C$5:$C$2004,MATCH($K110,'سجل التحفيز'!$W$5:$W$2004,0)))</f>
        <v/>
      </c>
      <c r="P110" s="36">
        <f>IF($K110="","",INDEX('سجل التحفيز'!$D$5:$D$2004,MATCH($K110,'سجل التحفيز'!$W$5:$W$2004,0)))</f>
        <v/>
      </c>
      <c r="Q110" s="9">
        <f>IF($K110="","",INDEX('سجل التحفيز'!$E$5:$E$2004,MATCH($K110,'سجل التحفيز'!$W$5:$W$2004,0)))</f>
        <v/>
      </c>
      <c r="R110" s="9">
        <f>IF($K110="","",INDEX('سجل التحفيز'!$F$5:$F$2004,MATCH($K110,'سجل التحفيز'!$W$5:$W$2004,0)))</f>
        <v/>
      </c>
      <c r="S110" s="35">
        <f>IF($K110="","",INDEX('سجل التحفيز'!$G$5:$G$2004,MATCH($K110,'سجل التحفيز'!$W$5:$W$2004,0)))</f>
        <v/>
      </c>
    </row>
    <row r="111">
      <c r="B111" s="34">
        <f>IFERROR(INDEX(الموظفات!$B$5:$B$304,MATCH(74,الموظفات!$Q$5:$Q$304,0)),"")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التحفيز'!$W$5:$W$2004,"&gt;0",'سجل التحفيز'!$B$5:$B$2004,B111))</f>
        <v/>
      </c>
      <c r="E111" s="35">
        <f>IF(B111="","",COUNTIFS('سجل التحفيز'!$W$5:$W$2004,"&gt;0",'سجل التحفيز'!$B$5:$B$2004,B111,'سجل التحفيز'!$D$5:$D$2004,"ذهبي"))</f>
        <v/>
      </c>
      <c r="F111" s="35">
        <f>IF(B111="","",SUMIFS('سجل التحفيز'!$G$5:$G$2004,'سجل التحفيز'!$W$5:$W$2004,"&gt;0",'سجل التحفيز'!$B$5:$B$2004,B111))</f>
        <v/>
      </c>
      <c r="G111" s="35">
        <f>IF(B111="","",COUNTIF($D$38:$D$187,"&gt;"&amp;D111)+1)</f>
        <v/>
      </c>
      <c r="H111" s="35">
        <f>IF(B111="","",INDEX(الموظفات!$L$5:$L$304,MATCH(B111,الموظفات!$B$5:$B$304,0)))</f>
        <v/>
      </c>
      <c r="K111" s="36">
        <f>IF(74&gt;$B$10,"",74)</f>
        <v/>
      </c>
      <c r="L111" s="37">
        <f>IF($K111="","",INDEX('سجل التحفيز'!$A$5:$A$2004,MATCH($K111,'سجل التحفيز'!$W$5:$W$2004,0)))</f>
        <v/>
      </c>
      <c r="M111" s="9">
        <f>IF($K111="","",INDEX('سجل التحفيز'!$B$5:$B$2004,MATCH($K111,'سجل التحفيز'!$W$5:$W$2004,0)))</f>
        <v/>
      </c>
      <c r="N111" s="9">
        <f>IF($K111="","",INDEX('سجل التحفيز'!$M$5:$M$2004,MATCH($K111,'سجل التحفيز'!$W$5:$W$2004,0)))</f>
        <v/>
      </c>
      <c r="O111" s="9">
        <f>IF($K111="","",INDEX('سجل التحفيز'!$C$5:$C$2004,MATCH($K111,'سجل التحفيز'!$W$5:$W$2004,0)))</f>
        <v/>
      </c>
      <c r="P111" s="36">
        <f>IF($K111="","",INDEX('سجل التحفيز'!$D$5:$D$2004,MATCH($K111,'سجل التحفيز'!$W$5:$W$2004,0)))</f>
        <v/>
      </c>
      <c r="Q111" s="9">
        <f>IF($K111="","",INDEX('سجل التحفيز'!$E$5:$E$2004,MATCH($K111,'سجل التحفيز'!$W$5:$W$2004,0)))</f>
        <v/>
      </c>
      <c r="R111" s="9">
        <f>IF($K111="","",INDEX('سجل التحفيز'!$F$5:$F$2004,MATCH($K111,'سجل التحفيز'!$W$5:$W$2004,0)))</f>
        <v/>
      </c>
      <c r="S111" s="35">
        <f>IF($K111="","",INDEX('سجل التحفيز'!$G$5:$G$2004,MATCH($K111,'سجل التحفيز'!$W$5:$W$2004,0)))</f>
        <v/>
      </c>
    </row>
    <row r="112">
      <c r="B112" s="34">
        <f>IFERROR(INDEX(الموظفات!$B$5:$B$304,MATCH(75,الموظفات!$Q$5:$Q$304,0)),"")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التحفيز'!$W$5:$W$2004,"&gt;0",'سجل التحفيز'!$B$5:$B$2004,B112))</f>
        <v/>
      </c>
      <c r="E112" s="35">
        <f>IF(B112="","",COUNTIFS('سجل التحفيز'!$W$5:$W$2004,"&gt;0",'سجل التحفيز'!$B$5:$B$2004,B112,'سجل التحفيز'!$D$5:$D$2004,"ذهبي"))</f>
        <v/>
      </c>
      <c r="F112" s="35">
        <f>IF(B112="","",SUMIFS('سجل التحفيز'!$G$5:$G$2004,'سجل التحفيز'!$W$5:$W$2004,"&gt;0",'سجل التحفيز'!$B$5:$B$2004,B112))</f>
        <v/>
      </c>
      <c r="G112" s="35">
        <f>IF(B112="","",COUNTIF($D$38:$D$187,"&gt;"&amp;D112)+1)</f>
        <v/>
      </c>
      <c r="H112" s="35">
        <f>IF(B112="","",INDEX(الموظفات!$L$5:$L$304,MATCH(B112,الموظفات!$B$5:$B$304,0)))</f>
        <v/>
      </c>
      <c r="K112" s="36">
        <f>IF(75&gt;$B$10,"",75)</f>
        <v/>
      </c>
      <c r="L112" s="37">
        <f>IF($K112="","",INDEX('سجل التحفيز'!$A$5:$A$2004,MATCH($K112,'سجل التحفيز'!$W$5:$W$2004,0)))</f>
        <v/>
      </c>
      <c r="M112" s="9">
        <f>IF($K112="","",INDEX('سجل التحفيز'!$B$5:$B$2004,MATCH($K112,'سجل التحفيز'!$W$5:$W$2004,0)))</f>
        <v/>
      </c>
      <c r="N112" s="9">
        <f>IF($K112="","",INDEX('سجل التحفيز'!$M$5:$M$2004,MATCH($K112,'سجل التحفيز'!$W$5:$W$2004,0)))</f>
        <v/>
      </c>
      <c r="O112" s="9">
        <f>IF($K112="","",INDEX('سجل التحفيز'!$C$5:$C$2004,MATCH($K112,'سجل التحفيز'!$W$5:$W$2004,0)))</f>
        <v/>
      </c>
      <c r="P112" s="36">
        <f>IF($K112="","",INDEX('سجل التحفيز'!$D$5:$D$2004,MATCH($K112,'سجل التحفيز'!$W$5:$W$2004,0)))</f>
        <v/>
      </c>
      <c r="Q112" s="9">
        <f>IF($K112="","",INDEX('سجل التحفيز'!$E$5:$E$2004,MATCH($K112,'سجل التحفيز'!$W$5:$W$2004,0)))</f>
        <v/>
      </c>
      <c r="R112" s="9">
        <f>IF($K112="","",INDEX('سجل التحفيز'!$F$5:$F$2004,MATCH($K112,'سجل التحفيز'!$W$5:$W$2004,0)))</f>
        <v/>
      </c>
      <c r="S112" s="35">
        <f>IF($K112="","",INDEX('سجل التحفيز'!$G$5:$G$2004,MATCH($K112,'سجل التحفيز'!$W$5:$W$2004,0)))</f>
        <v/>
      </c>
    </row>
    <row r="113">
      <c r="B113" s="34">
        <f>IFERROR(INDEX(الموظفات!$B$5:$B$304,MATCH(76,الموظفات!$Q$5:$Q$304,0)),"")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التحفيز'!$W$5:$W$2004,"&gt;0",'سجل التحفيز'!$B$5:$B$2004,B113))</f>
        <v/>
      </c>
      <c r="E113" s="35">
        <f>IF(B113="","",COUNTIFS('سجل التحفيز'!$W$5:$W$2004,"&gt;0",'سجل التحفيز'!$B$5:$B$2004,B113,'سجل التحفيز'!$D$5:$D$2004,"ذهبي"))</f>
        <v/>
      </c>
      <c r="F113" s="35">
        <f>IF(B113="","",SUMIFS('سجل التحفيز'!$G$5:$G$2004,'سجل التحفيز'!$W$5:$W$2004,"&gt;0",'سجل التحفيز'!$B$5:$B$2004,B113))</f>
        <v/>
      </c>
      <c r="G113" s="35">
        <f>IF(B113="","",COUNTIF($D$38:$D$187,"&gt;"&amp;D113)+1)</f>
        <v/>
      </c>
      <c r="H113" s="35">
        <f>IF(B113="","",INDEX(الموظفات!$L$5:$L$304,MATCH(B113,الموظفات!$B$5:$B$304,0)))</f>
        <v/>
      </c>
      <c r="K113" s="36">
        <f>IF(76&gt;$B$10,"",76)</f>
        <v/>
      </c>
      <c r="L113" s="37">
        <f>IF($K113="","",INDEX('سجل التحفيز'!$A$5:$A$2004,MATCH($K113,'سجل التحفيز'!$W$5:$W$2004,0)))</f>
        <v/>
      </c>
      <c r="M113" s="9">
        <f>IF($K113="","",INDEX('سجل التحفيز'!$B$5:$B$2004,MATCH($K113,'سجل التحفيز'!$W$5:$W$2004,0)))</f>
        <v/>
      </c>
      <c r="N113" s="9">
        <f>IF($K113="","",INDEX('سجل التحفيز'!$M$5:$M$2004,MATCH($K113,'سجل التحفيز'!$W$5:$W$2004,0)))</f>
        <v/>
      </c>
      <c r="O113" s="9">
        <f>IF($K113="","",INDEX('سجل التحفيز'!$C$5:$C$2004,MATCH($K113,'سجل التحفيز'!$W$5:$W$2004,0)))</f>
        <v/>
      </c>
      <c r="P113" s="36">
        <f>IF($K113="","",INDEX('سجل التحفيز'!$D$5:$D$2004,MATCH($K113,'سجل التحفيز'!$W$5:$W$2004,0)))</f>
        <v/>
      </c>
      <c r="Q113" s="9">
        <f>IF($K113="","",INDEX('سجل التحفيز'!$E$5:$E$2004,MATCH($K113,'سجل التحفيز'!$W$5:$W$2004,0)))</f>
        <v/>
      </c>
      <c r="R113" s="9">
        <f>IF($K113="","",INDEX('سجل التحفيز'!$F$5:$F$2004,MATCH($K113,'سجل التحفيز'!$W$5:$W$2004,0)))</f>
        <v/>
      </c>
      <c r="S113" s="35">
        <f>IF($K113="","",INDEX('سجل التحفيز'!$G$5:$G$2004,MATCH($K113,'سجل التحفيز'!$W$5:$W$2004,0)))</f>
        <v/>
      </c>
    </row>
    <row r="114">
      <c r="B114" s="34">
        <f>IFERROR(INDEX(الموظفات!$B$5:$B$304,MATCH(77,الموظفات!$Q$5:$Q$304,0)),"")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التحفيز'!$W$5:$W$2004,"&gt;0",'سجل التحفيز'!$B$5:$B$2004,B114))</f>
        <v/>
      </c>
      <c r="E114" s="35">
        <f>IF(B114="","",COUNTIFS('سجل التحفيز'!$W$5:$W$2004,"&gt;0",'سجل التحفيز'!$B$5:$B$2004,B114,'سجل التحفيز'!$D$5:$D$2004,"ذهبي"))</f>
        <v/>
      </c>
      <c r="F114" s="35">
        <f>IF(B114="","",SUMIFS('سجل التحفيز'!$G$5:$G$2004,'سجل التحفيز'!$W$5:$W$2004,"&gt;0",'سجل التحفيز'!$B$5:$B$2004,B114))</f>
        <v/>
      </c>
      <c r="G114" s="35">
        <f>IF(B114="","",COUNTIF($D$38:$D$187,"&gt;"&amp;D114)+1)</f>
        <v/>
      </c>
      <c r="H114" s="35">
        <f>IF(B114="","",INDEX(الموظفات!$L$5:$L$304,MATCH(B114,الموظفات!$B$5:$B$304,0)))</f>
        <v/>
      </c>
      <c r="K114" s="36">
        <f>IF(77&gt;$B$10,"",77)</f>
        <v/>
      </c>
      <c r="L114" s="37">
        <f>IF($K114="","",INDEX('سجل التحفيز'!$A$5:$A$2004,MATCH($K114,'سجل التحفيز'!$W$5:$W$2004,0)))</f>
        <v/>
      </c>
      <c r="M114" s="9">
        <f>IF($K114="","",INDEX('سجل التحفيز'!$B$5:$B$2004,MATCH($K114,'سجل التحفيز'!$W$5:$W$2004,0)))</f>
        <v/>
      </c>
      <c r="N114" s="9">
        <f>IF($K114="","",INDEX('سجل التحفيز'!$M$5:$M$2004,MATCH($K114,'سجل التحفيز'!$W$5:$W$2004,0)))</f>
        <v/>
      </c>
      <c r="O114" s="9">
        <f>IF($K114="","",INDEX('سجل التحفيز'!$C$5:$C$2004,MATCH($K114,'سجل التحفيز'!$W$5:$W$2004,0)))</f>
        <v/>
      </c>
      <c r="P114" s="36">
        <f>IF($K114="","",INDEX('سجل التحفيز'!$D$5:$D$2004,MATCH($K114,'سجل التحفيز'!$W$5:$W$2004,0)))</f>
        <v/>
      </c>
      <c r="Q114" s="9">
        <f>IF($K114="","",INDEX('سجل التحفيز'!$E$5:$E$2004,MATCH($K114,'سجل التحفيز'!$W$5:$W$2004,0)))</f>
        <v/>
      </c>
      <c r="R114" s="9">
        <f>IF($K114="","",INDEX('سجل التحفيز'!$F$5:$F$2004,MATCH($K114,'سجل التحفيز'!$W$5:$W$2004,0)))</f>
        <v/>
      </c>
      <c r="S114" s="35">
        <f>IF($K114="","",INDEX('سجل التحفيز'!$G$5:$G$2004,MATCH($K114,'سجل التحفيز'!$W$5:$W$2004,0)))</f>
        <v/>
      </c>
    </row>
    <row r="115">
      <c r="B115" s="34">
        <f>IFERROR(INDEX(الموظفات!$B$5:$B$304,MATCH(78,الموظفات!$Q$5:$Q$304,0)),"")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التحفيز'!$W$5:$W$2004,"&gt;0",'سجل التحفيز'!$B$5:$B$2004,B115))</f>
        <v/>
      </c>
      <c r="E115" s="35">
        <f>IF(B115="","",COUNTIFS('سجل التحفيز'!$W$5:$W$2004,"&gt;0",'سجل التحفيز'!$B$5:$B$2004,B115,'سجل التحفيز'!$D$5:$D$2004,"ذهبي"))</f>
        <v/>
      </c>
      <c r="F115" s="35">
        <f>IF(B115="","",SUMIFS('سجل التحفيز'!$G$5:$G$2004,'سجل التحفيز'!$W$5:$W$2004,"&gt;0",'سجل التحفيز'!$B$5:$B$2004,B115))</f>
        <v/>
      </c>
      <c r="G115" s="35">
        <f>IF(B115="","",COUNTIF($D$38:$D$187,"&gt;"&amp;D115)+1)</f>
        <v/>
      </c>
      <c r="H115" s="35">
        <f>IF(B115="","",INDEX(الموظفات!$L$5:$L$304,MATCH(B115,الموظفات!$B$5:$B$304,0)))</f>
        <v/>
      </c>
      <c r="K115" s="36">
        <f>IF(78&gt;$B$10,"",78)</f>
        <v/>
      </c>
      <c r="L115" s="37">
        <f>IF($K115="","",INDEX('سجل التحفيز'!$A$5:$A$2004,MATCH($K115,'سجل التحفيز'!$W$5:$W$2004,0)))</f>
        <v/>
      </c>
      <c r="M115" s="9">
        <f>IF($K115="","",INDEX('سجل التحفيز'!$B$5:$B$2004,MATCH($K115,'سجل التحفيز'!$W$5:$W$2004,0)))</f>
        <v/>
      </c>
      <c r="N115" s="9">
        <f>IF($K115="","",INDEX('سجل التحفيز'!$M$5:$M$2004,MATCH($K115,'سجل التحفيز'!$W$5:$W$2004,0)))</f>
        <v/>
      </c>
      <c r="O115" s="9">
        <f>IF($K115="","",INDEX('سجل التحفيز'!$C$5:$C$2004,MATCH($K115,'سجل التحفيز'!$W$5:$W$2004,0)))</f>
        <v/>
      </c>
      <c r="P115" s="36">
        <f>IF($K115="","",INDEX('سجل التحفيز'!$D$5:$D$2004,MATCH($K115,'سجل التحفيز'!$W$5:$W$2004,0)))</f>
        <v/>
      </c>
      <c r="Q115" s="9">
        <f>IF($K115="","",INDEX('سجل التحفيز'!$E$5:$E$2004,MATCH($K115,'سجل التحفيز'!$W$5:$W$2004,0)))</f>
        <v/>
      </c>
      <c r="R115" s="9">
        <f>IF($K115="","",INDEX('سجل التحفيز'!$F$5:$F$2004,MATCH($K115,'سجل التحفيز'!$W$5:$W$2004,0)))</f>
        <v/>
      </c>
      <c r="S115" s="35">
        <f>IF($K115="","",INDEX('سجل التحفيز'!$G$5:$G$2004,MATCH($K115,'سجل التحفيز'!$W$5:$W$2004,0)))</f>
        <v/>
      </c>
    </row>
    <row r="116">
      <c r="B116" s="34">
        <f>IFERROR(INDEX(الموظفات!$B$5:$B$304,MATCH(79,الموظفات!$Q$5:$Q$304,0)),"")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التحفيز'!$W$5:$W$2004,"&gt;0",'سجل التحفيز'!$B$5:$B$2004,B116))</f>
        <v/>
      </c>
      <c r="E116" s="35">
        <f>IF(B116="","",COUNTIFS('سجل التحفيز'!$W$5:$W$2004,"&gt;0",'سجل التحفيز'!$B$5:$B$2004,B116,'سجل التحفيز'!$D$5:$D$2004,"ذهبي"))</f>
        <v/>
      </c>
      <c r="F116" s="35">
        <f>IF(B116="","",SUMIFS('سجل التحفيز'!$G$5:$G$2004,'سجل التحفيز'!$W$5:$W$2004,"&gt;0",'سجل التحفيز'!$B$5:$B$2004,B116))</f>
        <v/>
      </c>
      <c r="G116" s="35">
        <f>IF(B116="","",COUNTIF($D$38:$D$187,"&gt;"&amp;D116)+1)</f>
        <v/>
      </c>
      <c r="H116" s="35">
        <f>IF(B116="","",INDEX(الموظفات!$L$5:$L$304,MATCH(B116,الموظفات!$B$5:$B$304,0)))</f>
        <v/>
      </c>
      <c r="K116" s="36">
        <f>IF(79&gt;$B$10,"",79)</f>
        <v/>
      </c>
      <c r="L116" s="37">
        <f>IF($K116="","",INDEX('سجل التحفيز'!$A$5:$A$2004,MATCH($K116,'سجل التحفيز'!$W$5:$W$2004,0)))</f>
        <v/>
      </c>
      <c r="M116" s="9">
        <f>IF($K116="","",INDEX('سجل التحفيز'!$B$5:$B$2004,MATCH($K116,'سجل التحفيز'!$W$5:$W$2004,0)))</f>
        <v/>
      </c>
      <c r="N116" s="9">
        <f>IF($K116="","",INDEX('سجل التحفيز'!$M$5:$M$2004,MATCH($K116,'سجل التحفيز'!$W$5:$W$2004,0)))</f>
        <v/>
      </c>
      <c r="O116" s="9">
        <f>IF($K116="","",INDEX('سجل التحفيز'!$C$5:$C$2004,MATCH($K116,'سجل التحفيز'!$W$5:$W$2004,0)))</f>
        <v/>
      </c>
      <c r="P116" s="36">
        <f>IF($K116="","",INDEX('سجل التحفيز'!$D$5:$D$2004,MATCH($K116,'سجل التحفيز'!$W$5:$W$2004,0)))</f>
        <v/>
      </c>
      <c r="Q116" s="9">
        <f>IF($K116="","",INDEX('سجل التحفيز'!$E$5:$E$2004,MATCH($K116,'سجل التحفيز'!$W$5:$W$2004,0)))</f>
        <v/>
      </c>
      <c r="R116" s="9">
        <f>IF($K116="","",INDEX('سجل التحفيز'!$F$5:$F$2004,MATCH($K116,'سجل التحفيز'!$W$5:$W$2004,0)))</f>
        <v/>
      </c>
      <c r="S116" s="35">
        <f>IF($K116="","",INDEX('سجل التحفيز'!$G$5:$G$2004,MATCH($K116,'سجل التحفيز'!$W$5:$W$2004,0)))</f>
        <v/>
      </c>
    </row>
    <row r="117">
      <c r="B117" s="34">
        <f>IFERROR(INDEX(الموظفات!$B$5:$B$304,MATCH(80,الموظفات!$Q$5:$Q$304,0)),"")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التحفيز'!$W$5:$W$2004,"&gt;0",'سجل التحفيز'!$B$5:$B$2004,B117))</f>
        <v/>
      </c>
      <c r="E117" s="35">
        <f>IF(B117="","",COUNTIFS('سجل التحفيز'!$W$5:$W$2004,"&gt;0",'سجل التحفيز'!$B$5:$B$2004,B117,'سجل التحفيز'!$D$5:$D$2004,"ذهبي"))</f>
        <v/>
      </c>
      <c r="F117" s="35">
        <f>IF(B117="","",SUMIFS('سجل التحفيز'!$G$5:$G$2004,'سجل التحفيز'!$W$5:$W$2004,"&gt;0",'سجل التحفيز'!$B$5:$B$2004,B117))</f>
        <v/>
      </c>
      <c r="G117" s="35">
        <f>IF(B117="","",COUNTIF($D$38:$D$187,"&gt;"&amp;D117)+1)</f>
        <v/>
      </c>
      <c r="H117" s="35">
        <f>IF(B117="","",INDEX(الموظفات!$L$5:$L$304,MATCH(B117,الموظفات!$B$5:$B$304,0)))</f>
        <v/>
      </c>
      <c r="K117" s="36">
        <f>IF(80&gt;$B$10,"",80)</f>
        <v/>
      </c>
      <c r="L117" s="37">
        <f>IF($K117="","",INDEX('سجل التحفيز'!$A$5:$A$2004,MATCH($K117,'سجل التحفيز'!$W$5:$W$2004,0)))</f>
        <v/>
      </c>
      <c r="M117" s="9">
        <f>IF($K117="","",INDEX('سجل التحفيز'!$B$5:$B$2004,MATCH($K117,'سجل التحفيز'!$W$5:$W$2004,0)))</f>
        <v/>
      </c>
      <c r="N117" s="9">
        <f>IF($K117="","",INDEX('سجل التحفيز'!$M$5:$M$2004,MATCH($K117,'سجل التحفيز'!$W$5:$W$2004,0)))</f>
        <v/>
      </c>
      <c r="O117" s="9">
        <f>IF($K117="","",INDEX('سجل التحفيز'!$C$5:$C$2004,MATCH($K117,'سجل التحفيز'!$W$5:$W$2004,0)))</f>
        <v/>
      </c>
      <c r="P117" s="36">
        <f>IF($K117="","",INDEX('سجل التحفيز'!$D$5:$D$2004,MATCH($K117,'سجل التحفيز'!$W$5:$W$2004,0)))</f>
        <v/>
      </c>
      <c r="Q117" s="9">
        <f>IF($K117="","",INDEX('سجل التحفيز'!$E$5:$E$2004,MATCH($K117,'سجل التحفيز'!$W$5:$W$2004,0)))</f>
        <v/>
      </c>
      <c r="R117" s="9">
        <f>IF($K117="","",INDEX('سجل التحفيز'!$F$5:$F$2004,MATCH($K117,'سجل التحفيز'!$W$5:$W$2004,0)))</f>
        <v/>
      </c>
      <c r="S117" s="35">
        <f>IF($K117="","",INDEX('سجل التحفيز'!$G$5:$G$2004,MATCH($K117,'سجل التحفيز'!$W$5:$W$2004,0)))</f>
        <v/>
      </c>
    </row>
    <row r="118">
      <c r="B118" s="34">
        <f>IFERROR(INDEX(الموظفات!$B$5:$B$304,MATCH(81,الموظفات!$Q$5:$Q$304,0)),"")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التحفيز'!$W$5:$W$2004,"&gt;0",'سجل التحفيز'!$B$5:$B$2004,B118))</f>
        <v/>
      </c>
      <c r="E118" s="35">
        <f>IF(B118="","",COUNTIFS('سجل التحفيز'!$W$5:$W$2004,"&gt;0",'سجل التحفيز'!$B$5:$B$2004,B118,'سجل التحفيز'!$D$5:$D$2004,"ذهبي"))</f>
        <v/>
      </c>
      <c r="F118" s="35">
        <f>IF(B118="","",SUMIFS('سجل التحفيز'!$G$5:$G$2004,'سجل التحفيز'!$W$5:$W$2004,"&gt;0",'سجل التحفيز'!$B$5:$B$2004,B118))</f>
        <v/>
      </c>
      <c r="G118" s="35">
        <f>IF(B118="","",COUNTIF($D$38:$D$187,"&gt;"&amp;D118)+1)</f>
        <v/>
      </c>
      <c r="H118" s="35">
        <f>IF(B118="","",INDEX(الموظفات!$L$5:$L$304,MATCH(B118,الموظفات!$B$5:$B$304,0)))</f>
        <v/>
      </c>
      <c r="K118" s="36">
        <f>IF(81&gt;$B$10,"",81)</f>
        <v/>
      </c>
      <c r="L118" s="37">
        <f>IF($K118="","",INDEX('سجل التحفيز'!$A$5:$A$2004,MATCH($K118,'سجل التحفيز'!$W$5:$W$2004,0)))</f>
        <v/>
      </c>
      <c r="M118" s="9">
        <f>IF($K118="","",INDEX('سجل التحفيز'!$B$5:$B$2004,MATCH($K118,'سجل التحفيز'!$W$5:$W$2004,0)))</f>
        <v/>
      </c>
      <c r="N118" s="9">
        <f>IF($K118="","",INDEX('سجل التحفيز'!$M$5:$M$2004,MATCH($K118,'سجل التحفيز'!$W$5:$W$2004,0)))</f>
        <v/>
      </c>
      <c r="O118" s="9">
        <f>IF($K118="","",INDEX('سجل التحفيز'!$C$5:$C$2004,MATCH($K118,'سجل التحفيز'!$W$5:$W$2004,0)))</f>
        <v/>
      </c>
      <c r="P118" s="36">
        <f>IF($K118="","",INDEX('سجل التحفيز'!$D$5:$D$2004,MATCH($K118,'سجل التحفيز'!$W$5:$W$2004,0)))</f>
        <v/>
      </c>
      <c r="Q118" s="9">
        <f>IF($K118="","",INDEX('سجل التحفيز'!$E$5:$E$2004,MATCH($K118,'سجل التحفيز'!$W$5:$W$2004,0)))</f>
        <v/>
      </c>
      <c r="R118" s="9">
        <f>IF($K118="","",INDEX('سجل التحفيز'!$F$5:$F$2004,MATCH($K118,'سجل التحفيز'!$W$5:$W$2004,0)))</f>
        <v/>
      </c>
      <c r="S118" s="35">
        <f>IF($K118="","",INDEX('سجل التحفيز'!$G$5:$G$2004,MATCH($K118,'سجل التحفيز'!$W$5:$W$2004,0)))</f>
        <v/>
      </c>
    </row>
    <row r="119">
      <c r="B119" s="34">
        <f>IFERROR(INDEX(الموظفات!$B$5:$B$304,MATCH(82,الموظفات!$Q$5:$Q$304,0)),"")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التحفيز'!$W$5:$W$2004,"&gt;0",'سجل التحفيز'!$B$5:$B$2004,B119))</f>
        <v/>
      </c>
      <c r="E119" s="35">
        <f>IF(B119="","",COUNTIFS('سجل التحفيز'!$W$5:$W$2004,"&gt;0",'سجل التحفيز'!$B$5:$B$2004,B119,'سجل التحفيز'!$D$5:$D$2004,"ذهبي"))</f>
        <v/>
      </c>
      <c r="F119" s="35">
        <f>IF(B119="","",SUMIFS('سجل التحفيز'!$G$5:$G$2004,'سجل التحفيز'!$W$5:$W$2004,"&gt;0",'سجل التحفيز'!$B$5:$B$2004,B119))</f>
        <v/>
      </c>
      <c r="G119" s="35">
        <f>IF(B119="","",COUNTIF($D$38:$D$187,"&gt;"&amp;D119)+1)</f>
        <v/>
      </c>
      <c r="H119" s="35">
        <f>IF(B119="","",INDEX(الموظفات!$L$5:$L$304,MATCH(B119,الموظفات!$B$5:$B$304,0)))</f>
        <v/>
      </c>
      <c r="K119" s="36">
        <f>IF(82&gt;$B$10,"",82)</f>
        <v/>
      </c>
      <c r="L119" s="37">
        <f>IF($K119="","",INDEX('سجل التحفيز'!$A$5:$A$2004,MATCH($K119,'سجل التحفيز'!$W$5:$W$2004,0)))</f>
        <v/>
      </c>
      <c r="M119" s="9">
        <f>IF($K119="","",INDEX('سجل التحفيز'!$B$5:$B$2004,MATCH($K119,'سجل التحفيز'!$W$5:$W$2004,0)))</f>
        <v/>
      </c>
      <c r="N119" s="9">
        <f>IF($K119="","",INDEX('سجل التحفيز'!$M$5:$M$2004,MATCH($K119,'سجل التحفيز'!$W$5:$W$2004,0)))</f>
        <v/>
      </c>
      <c r="O119" s="9">
        <f>IF($K119="","",INDEX('سجل التحفيز'!$C$5:$C$2004,MATCH($K119,'سجل التحفيز'!$W$5:$W$2004,0)))</f>
        <v/>
      </c>
      <c r="P119" s="36">
        <f>IF($K119="","",INDEX('سجل التحفيز'!$D$5:$D$2004,MATCH($K119,'سجل التحفيز'!$W$5:$W$2004,0)))</f>
        <v/>
      </c>
      <c r="Q119" s="9">
        <f>IF($K119="","",INDEX('سجل التحفيز'!$E$5:$E$2004,MATCH($K119,'سجل التحفيز'!$W$5:$W$2004,0)))</f>
        <v/>
      </c>
      <c r="R119" s="9">
        <f>IF($K119="","",INDEX('سجل التحفيز'!$F$5:$F$2004,MATCH($K119,'سجل التحفيز'!$W$5:$W$2004,0)))</f>
        <v/>
      </c>
      <c r="S119" s="35">
        <f>IF($K119="","",INDEX('سجل التحفيز'!$G$5:$G$2004,MATCH($K119,'سجل التحفيز'!$W$5:$W$2004,0)))</f>
        <v/>
      </c>
    </row>
    <row r="120">
      <c r="B120" s="34">
        <f>IFERROR(INDEX(الموظفات!$B$5:$B$304,MATCH(83,الموظفات!$Q$5:$Q$304,0)),"")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التحفيز'!$W$5:$W$2004,"&gt;0",'سجل التحفيز'!$B$5:$B$2004,B120))</f>
        <v/>
      </c>
      <c r="E120" s="35">
        <f>IF(B120="","",COUNTIFS('سجل التحفيز'!$W$5:$W$2004,"&gt;0",'سجل التحفيز'!$B$5:$B$2004,B120,'سجل التحفيز'!$D$5:$D$2004,"ذهبي"))</f>
        <v/>
      </c>
      <c r="F120" s="35">
        <f>IF(B120="","",SUMIFS('سجل التحفيز'!$G$5:$G$2004,'سجل التحفيز'!$W$5:$W$2004,"&gt;0",'سجل التحفيز'!$B$5:$B$2004,B120))</f>
        <v/>
      </c>
      <c r="G120" s="35">
        <f>IF(B120="","",COUNTIF($D$38:$D$187,"&gt;"&amp;D120)+1)</f>
        <v/>
      </c>
      <c r="H120" s="35">
        <f>IF(B120="","",INDEX(الموظفات!$L$5:$L$304,MATCH(B120,الموظفات!$B$5:$B$304,0)))</f>
        <v/>
      </c>
      <c r="K120" s="36">
        <f>IF(83&gt;$B$10,"",83)</f>
        <v/>
      </c>
      <c r="L120" s="37">
        <f>IF($K120="","",INDEX('سجل التحفيز'!$A$5:$A$2004,MATCH($K120,'سجل التحفيز'!$W$5:$W$2004,0)))</f>
        <v/>
      </c>
      <c r="M120" s="9">
        <f>IF($K120="","",INDEX('سجل التحفيز'!$B$5:$B$2004,MATCH($K120,'سجل التحفيز'!$W$5:$W$2004,0)))</f>
        <v/>
      </c>
      <c r="N120" s="9">
        <f>IF($K120="","",INDEX('سجل التحفيز'!$M$5:$M$2004,MATCH($K120,'سجل التحفيز'!$W$5:$W$2004,0)))</f>
        <v/>
      </c>
      <c r="O120" s="9">
        <f>IF($K120="","",INDEX('سجل التحفيز'!$C$5:$C$2004,MATCH($K120,'سجل التحفيز'!$W$5:$W$2004,0)))</f>
        <v/>
      </c>
      <c r="P120" s="36">
        <f>IF($K120="","",INDEX('سجل التحفيز'!$D$5:$D$2004,MATCH($K120,'سجل التحفيز'!$W$5:$W$2004,0)))</f>
        <v/>
      </c>
      <c r="Q120" s="9">
        <f>IF($K120="","",INDEX('سجل التحفيز'!$E$5:$E$2004,MATCH($K120,'سجل التحفيز'!$W$5:$W$2004,0)))</f>
        <v/>
      </c>
      <c r="R120" s="9">
        <f>IF($K120="","",INDEX('سجل التحفيز'!$F$5:$F$2004,MATCH($K120,'سجل التحفيز'!$W$5:$W$2004,0)))</f>
        <v/>
      </c>
      <c r="S120" s="35">
        <f>IF($K120="","",INDEX('سجل التحفيز'!$G$5:$G$2004,MATCH($K120,'سجل التحفيز'!$W$5:$W$2004,0)))</f>
        <v/>
      </c>
    </row>
    <row r="121">
      <c r="B121" s="34">
        <f>IFERROR(INDEX(الموظفات!$B$5:$B$304,MATCH(84,الموظفات!$Q$5:$Q$304,0)),"")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التحفيز'!$W$5:$W$2004,"&gt;0",'سجل التحفيز'!$B$5:$B$2004,B121))</f>
        <v/>
      </c>
      <c r="E121" s="35">
        <f>IF(B121="","",COUNTIFS('سجل التحفيز'!$W$5:$W$2004,"&gt;0",'سجل التحفيز'!$B$5:$B$2004,B121,'سجل التحفيز'!$D$5:$D$2004,"ذهبي"))</f>
        <v/>
      </c>
      <c r="F121" s="35">
        <f>IF(B121="","",SUMIFS('سجل التحفيز'!$G$5:$G$2004,'سجل التحفيز'!$W$5:$W$2004,"&gt;0",'سجل التحفيز'!$B$5:$B$2004,B121))</f>
        <v/>
      </c>
      <c r="G121" s="35">
        <f>IF(B121="","",COUNTIF($D$38:$D$187,"&gt;"&amp;D121)+1)</f>
        <v/>
      </c>
      <c r="H121" s="35">
        <f>IF(B121="","",INDEX(الموظفات!$L$5:$L$304,MATCH(B121,الموظفات!$B$5:$B$304,0)))</f>
        <v/>
      </c>
      <c r="K121" s="36">
        <f>IF(84&gt;$B$10,"",84)</f>
        <v/>
      </c>
      <c r="L121" s="37">
        <f>IF($K121="","",INDEX('سجل التحفيز'!$A$5:$A$2004,MATCH($K121,'سجل التحفيز'!$W$5:$W$2004,0)))</f>
        <v/>
      </c>
      <c r="M121" s="9">
        <f>IF($K121="","",INDEX('سجل التحفيز'!$B$5:$B$2004,MATCH($K121,'سجل التحفيز'!$W$5:$W$2004,0)))</f>
        <v/>
      </c>
      <c r="N121" s="9">
        <f>IF($K121="","",INDEX('سجل التحفيز'!$M$5:$M$2004,MATCH($K121,'سجل التحفيز'!$W$5:$W$2004,0)))</f>
        <v/>
      </c>
      <c r="O121" s="9">
        <f>IF($K121="","",INDEX('سجل التحفيز'!$C$5:$C$2004,MATCH($K121,'سجل التحفيز'!$W$5:$W$2004,0)))</f>
        <v/>
      </c>
      <c r="P121" s="36">
        <f>IF($K121="","",INDEX('سجل التحفيز'!$D$5:$D$2004,MATCH($K121,'سجل التحفيز'!$W$5:$W$2004,0)))</f>
        <v/>
      </c>
      <c r="Q121" s="9">
        <f>IF($K121="","",INDEX('سجل التحفيز'!$E$5:$E$2004,MATCH($K121,'سجل التحفيز'!$W$5:$W$2004,0)))</f>
        <v/>
      </c>
      <c r="R121" s="9">
        <f>IF($K121="","",INDEX('سجل التحفيز'!$F$5:$F$2004,MATCH($K121,'سجل التحفيز'!$W$5:$W$2004,0)))</f>
        <v/>
      </c>
      <c r="S121" s="35">
        <f>IF($K121="","",INDEX('سجل التحفيز'!$G$5:$G$2004,MATCH($K121,'سجل التحفيز'!$W$5:$W$2004,0)))</f>
        <v/>
      </c>
    </row>
    <row r="122">
      <c r="B122" s="34">
        <f>IFERROR(INDEX(الموظفات!$B$5:$B$304,MATCH(85,الموظفات!$Q$5:$Q$304,0)),"")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التحفيز'!$W$5:$W$2004,"&gt;0",'سجل التحفيز'!$B$5:$B$2004,B122))</f>
        <v/>
      </c>
      <c r="E122" s="35">
        <f>IF(B122="","",COUNTIFS('سجل التحفيز'!$W$5:$W$2004,"&gt;0",'سجل التحفيز'!$B$5:$B$2004,B122,'سجل التحفيز'!$D$5:$D$2004,"ذهبي"))</f>
        <v/>
      </c>
      <c r="F122" s="35">
        <f>IF(B122="","",SUMIFS('سجل التحفيز'!$G$5:$G$2004,'سجل التحفيز'!$W$5:$W$2004,"&gt;0",'سجل التحفيز'!$B$5:$B$2004,B122))</f>
        <v/>
      </c>
      <c r="G122" s="35">
        <f>IF(B122="","",COUNTIF($D$38:$D$187,"&gt;"&amp;D122)+1)</f>
        <v/>
      </c>
      <c r="H122" s="35">
        <f>IF(B122="","",INDEX(الموظفات!$L$5:$L$304,MATCH(B122,الموظفات!$B$5:$B$304,0)))</f>
        <v/>
      </c>
      <c r="K122" s="36">
        <f>IF(85&gt;$B$10,"",85)</f>
        <v/>
      </c>
      <c r="L122" s="37">
        <f>IF($K122="","",INDEX('سجل التحفيز'!$A$5:$A$2004,MATCH($K122,'سجل التحفيز'!$W$5:$W$2004,0)))</f>
        <v/>
      </c>
      <c r="M122" s="9">
        <f>IF($K122="","",INDEX('سجل التحفيز'!$B$5:$B$2004,MATCH($K122,'سجل التحفيز'!$W$5:$W$2004,0)))</f>
        <v/>
      </c>
      <c r="N122" s="9">
        <f>IF($K122="","",INDEX('سجل التحفيز'!$M$5:$M$2004,MATCH($K122,'سجل التحفيز'!$W$5:$W$2004,0)))</f>
        <v/>
      </c>
      <c r="O122" s="9">
        <f>IF($K122="","",INDEX('سجل التحفيز'!$C$5:$C$2004,MATCH($K122,'سجل التحفيز'!$W$5:$W$2004,0)))</f>
        <v/>
      </c>
      <c r="P122" s="36">
        <f>IF($K122="","",INDEX('سجل التحفيز'!$D$5:$D$2004,MATCH($K122,'سجل التحفيز'!$W$5:$W$2004,0)))</f>
        <v/>
      </c>
      <c r="Q122" s="9">
        <f>IF($K122="","",INDEX('سجل التحفيز'!$E$5:$E$2004,MATCH($K122,'سجل التحفيز'!$W$5:$W$2004,0)))</f>
        <v/>
      </c>
      <c r="R122" s="9">
        <f>IF($K122="","",INDEX('سجل التحفيز'!$F$5:$F$2004,MATCH($K122,'سجل التحفيز'!$W$5:$W$2004,0)))</f>
        <v/>
      </c>
      <c r="S122" s="35">
        <f>IF($K122="","",INDEX('سجل التحفيز'!$G$5:$G$2004,MATCH($K122,'سجل التحفيز'!$W$5:$W$2004,0)))</f>
        <v/>
      </c>
    </row>
    <row r="123">
      <c r="B123" s="34">
        <f>IFERROR(INDEX(الموظفات!$B$5:$B$304,MATCH(86,الموظفات!$Q$5:$Q$304,0)),"")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التحفيز'!$W$5:$W$2004,"&gt;0",'سجل التحفيز'!$B$5:$B$2004,B123))</f>
        <v/>
      </c>
      <c r="E123" s="35">
        <f>IF(B123="","",COUNTIFS('سجل التحفيز'!$W$5:$W$2004,"&gt;0",'سجل التحفيز'!$B$5:$B$2004,B123,'سجل التحفيز'!$D$5:$D$2004,"ذهبي"))</f>
        <v/>
      </c>
      <c r="F123" s="35">
        <f>IF(B123="","",SUMIFS('سجل التحفيز'!$G$5:$G$2004,'سجل التحفيز'!$W$5:$W$2004,"&gt;0",'سجل التحفيز'!$B$5:$B$2004,B123))</f>
        <v/>
      </c>
      <c r="G123" s="35">
        <f>IF(B123="","",COUNTIF($D$38:$D$187,"&gt;"&amp;D123)+1)</f>
        <v/>
      </c>
      <c r="H123" s="35">
        <f>IF(B123="","",INDEX(الموظفات!$L$5:$L$304,MATCH(B123,الموظفات!$B$5:$B$304,0)))</f>
        <v/>
      </c>
      <c r="K123" s="36">
        <f>IF(86&gt;$B$10,"",86)</f>
        <v/>
      </c>
      <c r="L123" s="37">
        <f>IF($K123="","",INDEX('سجل التحفيز'!$A$5:$A$2004,MATCH($K123,'سجل التحفيز'!$W$5:$W$2004,0)))</f>
        <v/>
      </c>
      <c r="M123" s="9">
        <f>IF($K123="","",INDEX('سجل التحفيز'!$B$5:$B$2004,MATCH($K123,'سجل التحفيز'!$W$5:$W$2004,0)))</f>
        <v/>
      </c>
      <c r="N123" s="9">
        <f>IF($K123="","",INDEX('سجل التحفيز'!$M$5:$M$2004,MATCH($K123,'سجل التحفيز'!$W$5:$W$2004,0)))</f>
        <v/>
      </c>
      <c r="O123" s="9">
        <f>IF($K123="","",INDEX('سجل التحفيز'!$C$5:$C$2004,MATCH($K123,'سجل التحفيز'!$W$5:$W$2004,0)))</f>
        <v/>
      </c>
      <c r="P123" s="36">
        <f>IF($K123="","",INDEX('سجل التحفيز'!$D$5:$D$2004,MATCH($K123,'سجل التحفيز'!$W$5:$W$2004,0)))</f>
        <v/>
      </c>
      <c r="Q123" s="9">
        <f>IF($K123="","",INDEX('سجل التحفيز'!$E$5:$E$2004,MATCH($K123,'سجل التحفيز'!$W$5:$W$2004,0)))</f>
        <v/>
      </c>
      <c r="R123" s="9">
        <f>IF($K123="","",INDEX('سجل التحفيز'!$F$5:$F$2004,MATCH($K123,'سجل التحفيز'!$W$5:$W$2004,0)))</f>
        <v/>
      </c>
      <c r="S123" s="35">
        <f>IF($K123="","",INDEX('سجل التحفيز'!$G$5:$G$2004,MATCH($K123,'سجل التحفيز'!$W$5:$W$2004,0)))</f>
        <v/>
      </c>
    </row>
    <row r="124">
      <c r="B124" s="34">
        <f>IFERROR(INDEX(الموظفات!$B$5:$B$304,MATCH(87,الموظفات!$Q$5:$Q$304,0)),"")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التحفيز'!$W$5:$W$2004,"&gt;0",'سجل التحفيز'!$B$5:$B$2004,B124))</f>
        <v/>
      </c>
      <c r="E124" s="35">
        <f>IF(B124="","",COUNTIFS('سجل التحفيز'!$W$5:$W$2004,"&gt;0",'سجل التحفيز'!$B$5:$B$2004,B124,'سجل التحفيز'!$D$5:$D$2004,"ذهبي"))</f>
        <v/>
      </c>
      <c r="F124" s="35">
        <f>IF(B124="","",SUMIFS('سجل التحفيز'!$G$5:$G$2004,'سجل التحفيز'!$W$5:$W$2004,"&gt;0",'سجل التحفيز'!$B$5:$B$2004,B124))</f>
        <v/>
      </c>
      <c r="G124" s="35">
        <f>IF(B124="","",COUNTIF($D$38:$D$187,"&gt;"&amp;D124)+1)</f>
        <v/>
      </c>
      <c r="H124" s="35">
        <f>IF(B124="","",INDEX(الموظفات!$L$5:$L$304,MATCH(B124,الموظفات!$B$5:$B$304,0)))</f>
        <v/>
      </c>
      <c r="K124" s="36">
        <f>IF(87&gt;$B$10,"",87)</f>
        <v/>
      </c>
      <c r="L124" s="37">
        <f>IF($K124="","",INDEX('سجل التحفيز'!$A$5:$A$2004,MATCH($K124,'سجل التحفيز'!$W$5:$W$2004,0)))</f>
        <v/>
      </c>
      <c r="M124" s="9">
        <f>IF($K124="","",INDEX('سجل التحفيز'!$B$5:$B$2004,MATCH($K124,'سجل التحفيز'!$W$5:$W$2004,0)))</f>
        <v/>
      </c>
      <c r="N124" s="9">
        <f>IF($K124="","",INDEX('سجل التحفيز'!$M$5:$M$2004,MATCH($K124,'سجل التحفيز'!$W$5:$W$2004,0)))</f>
        <v/>
      </c>
      <c r="O124" s="9">
        <f>IF($K124="","",INDEX('سجل التحفيز'!$C$5:$C$2004,MATCH($K124,'سجل التحفيز'!$W$5:$W$2004,0)))</f>
        <v/>
      </c>
      <c r="P124" s="36">
        <f>IF($K124="","",INDEX('سجل التحفيز'!$D$5:$D$2004,MATCH($K124,'سجل التحفيز'!$W$5:$W$2004,0)))</f>
        <v/>
      </c>
      <c r="Q124" s="9">
        <f>IF($K124="","",INDEX('سجل التحفيز'!$E$5:$E$2004,MATCH($K124,'سجل التحفيز'!$W$5:$W$2004,0)))</f>
        <v/>
      </c>
      <c r="R124" s="9">
        <f>IF($K124="","",INDEX('سجل التحفيز'!$F$5:$F$2004,MATCH($K124,'سجل التحفيز'!$W$5:$W$2004,0)))</f>
        <v/>
      </c>
      <c r="S124" s="35">
        <f>IF($K124="","",INDEX('سجل التحفيز'!$G$5:$G$2004,MATCH($K124,'سجل التحفيز'!$W$5:$W$2004,0)))</f>
        <v/>
      </c>
    </row>
    <row r="125">
      <c r="B125" s="34">
        <f>IFERROR(INDEX(الموظفات!$B$5:$B$304,MATCH(88,الموظفات!$Q$5:$Q$304,0)),"")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التحفيز'!$W$5:$W$2004,"&gt;0",'سجل التحفيز'!$B$5:$B$2004,B125))</f>
        <v/>
      </c>
      <c r="E125" s="35">
        <f>IF(B125="","",COUNTIFS('سجل التحفيز'!$W$5:$W$2004,"&gt;0",'سجل التحفيز'!$B$5:$B$2004,B125,'سجل التحفيز'!$D$5:$D$2004,"ذهبي"))</f>
        <v/>
      </c>
      <c r="F125" s="35">
        <f>IF(B125="","",SUMIFS('سجل التحفيز'!$G$5:$G$2004,'سجل التحفيز'!$W$5:$W$2004,"&gt;0",'سجل التحفيز'!$B$5:$B$2004,B125))</f>
        <v/>
      </c>
      <c r="G125" s="35">
        <f>IF(B125="","",COUNTIF($D$38:$D$187,"&gt;"&amp;D125)+1)</f>
        <v/>
      </c>
      <c r="H125" s="35">
        <f>IF(B125="","",INDEX(الموظفات!$L$5:$L$304,MATCH(B125,الموظفات!$B$5:$B$304,0)))</f>
        <v/>
      </c>
      <c r="K125" s="36">
        <f>IF(88&gt;$B$10,"",88)</f>
        <v/>
      </c>
      <c r="L125" s="37">
        <f>IF($K125="","",INDEX('سجل التحفيز'!$A$5:$A$2004,MATCH($K125,'سجل التحفيز'!$W$5:$W$2004,0)))</f>
        <v/>
      </c>
      <c r="M125" s="9">
        <f>IF($K125="","",INDEX('سجل التحفيز'!$B$5:$B$2004,MATCH($K125,'سجل التحفيز'!$W$5:$W$2004,0)))</f>
        <v/>
      </c>
      <c r="N125" s="9">
        <f>IF($K125="","",INDEX('سجل التحفيز'!$M$5:$M$2004,MATCH($K125,'سجل التحفيز'!$W$5:$W$2004,0)))</f>
        <v/>
      </c>
      <c r="O125" s="9">
        <f>IF($K125="","",INDEX('سجل التحفيز'!$C$5:$C$2004,MATCH($K125,'سجل التحفيز'!$W$5:$W$2004,0)))</f>
        <v/>
      </c>
      <c r="P125" s="36">
        <f>IF($K125="","",INDEX('سجل التحفيز'!$D$5:$D$2004,MATCH($K125,'سجل التحفيز'!$W$5:$W$2004,0)))</f>
        <v/>
      </c>
      <c r="Q125" s="9">
        <f>IF($K125="","",INDEX('سجل التحفيز'!$E$5:$E$2004,MATCH($K125,'سجل التحفيز'!$W$5:$W$2004,0)))</f>
        <v/>
      </c>
      <c r="R125" s="9">
        <f>IF($K125="","",INDEX('سجل التحفيز'!$F$5:$F$2004,MATCH($K125,'سجل التحفيز'!$W$5:$W$2004,0)))</f>
        <v/>
      </c>
      <c r="S125" s="35">
        <f>IF($K125="","",INDEX('سجل التحفيز'!$G$5:$G$2004,MATCH($K125,'سجل التحفيز'!$W$5:$W$2004,0)))</f>
        <v/>
      </c>
    </row>
    <row r="126">
      <c r="B126" s="34">
        <f>IFERROR(INDEX(الموظفات!$B$5:$B$304,MATCH(89,الموظفات!$Q$5:$Q$304,0)),"")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التحفيز'!$W$5:$W$2004,"&gt;0",'سجل التحفيز'!$B$5:$B$2004,B126))</f>
        <v/>
      </c>
      <c r="E126" s="35">
        <f>IF(B126="","",COUNTIFS('سجل التحفيز'!$W$5:$W$2004,"&gt;0",'سجل التحفيز'!$B$5:$B$2004,B126,'سجل التحفيز'!$D$5:$D$2004,"ذهبي"))</f>
        <v/>
      </c>
      <c r="F126" s="35">
        <f>IF(B126="","",SUMIFS('سجل التحفيز'!$G$5:$G$2004,'سجل التحفيز'!$W$5:$W$2004,"&gt;0",'سجل التحفيز'!$B$5:$B$2004,B126))</f>
        <v/>
      </c>
      <c r="G126" s="35">
        <f>IF(B126="","",COUNTIF($D$38:$D$187,"&gt;"&amp;D126)+1)</f>
        <v/>
      </c>
      <c r="H126" s="35">
        <f>IF(B126="","",INDEX(الموظفات!$L$5:$L$304,MATCH(B126,الموظفات!$B$5:$B$304,0)))</f>
        <v/>
      </c>
      <c r="K126" s="36">
        <f>IF(89&gt;$B$10,"",89)</f>
        <v/>
      </c>
      <c r="L126" s="37">
        <f>IF($K126="","",INDEX('سجل التحفيز'!$A$5:$A$2004,MATCH($K126,'سجل التحفيز'!$W$5:$W$2004,0)))</f>
        <v/>
      </c>
      <c r="M126" s="9">
        <f>IF($K126="","",INDEX('سجل التحفيز'!$B$5:$B$2004,MATCH($K126,'سجل التحفيز'!$W$5:$W$2004,0)))</f>
        <v/>
      </c>
      <c r="N126" s="9">
        <f>IF($K126="","",INDEX('سجل التحفيز'!$M$5:$M$2004,MATCH($K126,'سجل التحفيز'!$W$5:$W$2004,0)))</f>
        <v/>
      </c>
      <c r="O126" s="9">
        <f>IF($K126="","",INDEX('سجل التحفيز'!$C$5:$C$2004,MATCH($K126,'سجل التحفيز'!$W$5:$W$2004,0)))</f>
        <v/>
      </c>
      <c r="P126" s="36">
        <f>IF($K126="","",INDEX('سجل التحفيز'!$D$5:$D$2004,MATCH($K126,'سجل التحفيز'!$W$5:$W$2004,0)))</f>
        <v/>
      </c>
      <c r="Q126" s="9">
        <f>IF($K126="","",INDEX('سجل التحفيز'!$E$5:$E$2004,MATCH($K126,'سجل التحفيز'!$W$5:$W$2004,0)))</f>
        <v/>
      </c>
      <c r="R126" s="9">
        <f>IF($K126="","",INDEX('سجل التحفيز'!$F$5:$F$2004,MATCH($K126,'سجل التحفيز'!$W$5:$W$2004,0)))</f>
        <v/>
      </c>
      <c r="S126" s="35">
        <f>IF($K126="","",INDEX('سجل التحفيز'!$G$5:$G$2004,MATCH($K126,'سجل التحفيز'!$W$5:$W$2004,0)))</f>
        <v/>
      </c>
    </row>
    <row r="127">
      <c r="B127" s="34">
        <f>IFERROR(INDEX(الموظفات!$B$5:$B$304,MATCH(90,الموظفات!$Q$5:$Q$304,0)),"")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التحفيز'!$W$5:$W$2004,"&gt;0",'سجل التحفيز'!$B$5:$B$2004,B127))</f>
        <v/>
      </c>
      <c r="E127" s="35">
        <f>IF(B127="","",COUNTIFS('سجل التحفيز'!$W$5:$W$2004,"&gt;0",'سجل التحفيز'!$B$5:$B$2004,B127,'سجل التحفيز'!$D$5:$D$2004,"ذهبي"))</f>
        <v/>
      </c>
      <c r="F127" s="35">
        <f>IF(B127="","",SUMIFS('سجل التحفيز'!$G$5:$G$2004,'سجل التحفيز'!$W$5:$W$2004,"&gt;0",'سجل التحفيز'!$B$5:$B$2004,B127))</f>
        <v/>
      </c>
      <c r="G127" s="35">
        <f>IF(B127="","",COUNTIF($D$38:$D$187,"&gt;"&amp;D127)+1)</f>
        <v/>
      </c>
      <c r="H127" s="35">
        <f>IF(B127="","",INDEX(الموظفات!$L$5:$L$304,MATCH(B127,الموظفات!$B$5:$B$304,0)))</f>
        <v/>
      </c>
      <c r="K127" s="36">
        <f>IF(90&gt;$B$10,"",90)</f>
        <v/>
      </c>
      <c r="L127" s="37">
        <f>IF($K127="","",INDEX('سجل التحفيز'!$A$5:$A$2004,MATCH($K127,'سجل التحفيز'!$W$5:$W$2004,0)))</f>
        <v/>
      </c>
      <c r="M127" s="9">
        <f>IF($K127="","",INDEX('سجل التحفيز'!$B$5:$B$2004,MATCH($K127,'سجل التحفيز'!$W$5:$W$2004,0)))</f>
        <v/>
      </c>
      <c r="N127" s="9">
        <f>IF($K127="","",INDEX('سجل التحفيز'!$M$5:$M$2004,MATCH($K127,'سجل التحفيز'!$W$5:$W$2004,0)))</f>
        <v/>
      </c>
      <c r="O127" s="9">
        <f>IF($K127="","",INDEX('سجل التحفيز'!$C$5:$C$2004,MATCH($K127,'سجل التحفيز'!$W$5:$W$2004,0)))</f>
        <v/>
      </c>
      <c r="P127" s="36">
        <f>IF($K127="","",INDEX('سجل التحفيز'!$D$5:$D$2004,MATCH($K127,'سجل التحفيز'!$W$5:$W$2004,0)))</f>
        <v/>
      </c>
      <c r="Q127" s="9">
        <f>IF($K127="","",INDEX('سجل التحفيز'!$E$5:$E$2004,MATCH($K127,'سجل التحفيز'!$W$5:$W$2004,0)))</f>
        <v/>
      </c>
      <c r="R127" s="9">
        <f>IF($K127="","",INDEX('سجل التحفيز'!$F$5:$F$2004,MATCH($K127,'سجل التحفيز'!$W$5:$W$2004,0)))</f>
        <v/>
      </c>
      <c r="S127" s="35">
        <f>IF($K127="","",INDEX('سجل التحفيز'!$G$5:$G$2004,MATCH($K127,'سجل التحفيز'!$W$5:$W$2004,0)))</f>
        <v/>
      </c>
    </row>
    <row r="128">
      <c r="B128" s="34">
        <f>IFERROR(INDEX(الموظفات!$B$5:$B$304,MATCH(91,الموظفات!$Q$5:$Q$304,0)),"")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التحفيز'!$W$5:$W$2004,"&gt;0",'سجل التحفيز'!$B$5:$B$2004,B128))</f>
        <v/>
      </c>
      <c r="E128" s="35">
        <f>IF(B128="","",COUNTIFS('سجل التحفيز'!$W$5:$W$2004,"&gt;0",'سجل التحفيز'!$B$5:$B$2004,B128,'سجل التحفيز'!$D$5:$D$2004,"ذهبي"))</f>
        <v/>
      </c>
      <c r="F128" s="35">
        <f>IF(B128="","",SUMIFS('سجل التحفيز'!$G$5:$G$2004,'سجل التحفيز'!$W$5:$W$2004,"&gt;0",'سجل التحفيز'!$B$5:$B$2004,B128))</f>
        <v/>
      </c>
      <c r="G128" s="35">
        <f>IF(B128="","",COUNTIF($D$38:$D$187,"&gt;"&amp;D128)+1)</f>
        <v/>
      </c>
      <c r="H128" s="35">
        <f>IF(B128="","",INDEX(الموظفات!$L$5:$L$304,MATCH(B128,الموظفات!$B$5:$B$304,0)))</f>
        <v/>
      </c>
      <c r="K128" s="36">
        <f>IF(91&gt;$B$10,"",91)</f>
        <v/>
      </c>
      <c r="L128" s="37">
        <f>IF($K128="","",INDEX('سجل التحفيز'!$A$5:$A$2004,MATCH($K128,'سجل التحفيز'!$W$5:$W$2004,0)))</f>
        <v/>
      </c>
      <c r="M128" s="9">
        <f>IF($K128="","",INDEX('سجل التحفيز'!$B$5:$B$2004,MATCH($K128,'سجل التحفيز'!$W$5:$W$2004,0)))</f>
        <v/>
      </c>
      <c r="N128" s="9">
        <f>IF($K128="","",INDEX('سجل التحفيز'!$M$5:$M$2004,MATCH($K128,'سجل التحفيز'!$W$5:$W$2004,0)))</f>
        <v/>
      </c>
      <c r="O128" s="9">
        <f>IF($K128="","",INDEX('سجل التحفيز'!$C$5:$C$2004,MATCH($K128,'سجل التحفيز'!$W$5:$W$2004,0)))</f>
        <v/>
      </c>
      <c r="P128" s="36">
        <f>IF($K128="","",INDEX('سجل التحفيز'!$D$5:$D$2004,MATCH($K128,'سجل التحفيز'!$W$5:$W$2004,0)))</f>
        <v/>
      </c>
      <c r="Q128" s="9">
        <f>IF($K128="","",INDEX('سجل التحفيز'!$E$5:$E$2004,MATCH($K128,'سجل التحفيز'!$W$5:$W$2004,0)))</f>
        <v/>
      </c>
      <c r="R128" s="9">
        <f>IF($K128="","",INDEX('سجل التحفيز'!$F$5:$F$2004,MATCH($K128,'سجل التحفيز'!$W$5:$W$2004,0)))</f>
        <v/>
      </c>
      <c r="S128" s="35">
        <f>IF($K128="","",INDEX('سجل التحفيز'!$G$5:$G$2004,MATCH($K128,'سجل التحفيز'!$W$5:$W$2004,0)))</f>
        <v/>
      </c>
    </row>
    <row r="129">
      <c r="B129" s="34">
        <f>IFERROR(INDEX(الموظفات!$B$5:$B$304,MATCH(92,الموظفات!$Q$5:$Q$304,0)),"")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التحفيز'!$W$5:$W$2004,"&gt;0",'سجل التحفيز'!$B$5:$B$2004,B129))</f>
        <v/>
      </c>
      <c r="E129" s="35">
        <f>IF(B129="","",COUNTIFS('سجل التحفيز'!$W$5:$W$2004,"&gt;0",'سجل التحفيز'!$B$5:$B$2004,B129,'سجل التحفيز'!$D$5:$D$2004,"ذهبي"))</f>
        <v/>
      </c>
      <c r="F129" s="35">
        <f>IF(B129="","",SUMIFS('سجل التحفيز'!$G$5:$G$2004,'سجل التحفيز'!$W$5:$W$2004,"&gt;0",'سجل التحفيز'!$B$5:$B$2004,B129))</f>
        <v/>
      </c>
      <c r="G129" s="35">
        <f>IF(B129="","",COUNTIF($D$38:$D$187,"&gt;"&amp;D129)+1)</f>
        <v/>
      </c>
      <c r="H129" s="35">
        <f>IF(B129="","",INDEX(الموظفات!$L$5:$L$304,MATCH(B129,الموظفات!$B$5:$B$304,0)))</f>
        <v/>
      </c>
      <c r="K129" s="36">
        <f>IF(92&gt;$B$10,"",92)</f>
        <v/>
      </c>
      <c r="L129" s="37">
        <f>IF($K129="","",INDEX('سجل التحفيز'!$A$5:$A$2004,MATCH($K129,'سجل التحفيز'!$W$5:$W$2004,0)))</f>
        <v/>
      </c>
      <c r="M129" s="9">
        <f>IF($K129="","",INDEX('سجل التحفيز'!$B$5:$B$2004,MATCH($K129,'سجل التحفيز'!$W$5:$W$2004,0)))</f>
        <v/>
      </c>
      <c r="N129" s="9">
        <f>IF($K129="","",INDEX('سجل التحفيز'!$M$5:$M$2004,MATCH($K129,'سجل التحفيز'!$W$5:$W$2004,0)))</f>
        <v/>
      </c>
      <c r="O129" s="9">
        <f>IF($K129="","",INDEX('سجل التحفيز'!$C$5:$C$2004,MATCH($K129,'سجل التحفيز'!$W$5:$W$2004,0)))</f>
        <v/>
      </c>
      <c r="P129" s="36">
        <f>IF($K129="","",INDEX('سجل التحفيز'!$D$5:$D$2004,MATCH($K129,'سجل التحفيز'!$W$5:$W$2004,0)))</f>
        <v/>
      </c>
      <c r="Q129" s="9">
        <f>IF($K129="","",INDEX('سجل التحفيز'!$E$5:$E$2004,MATCH($K129,'سجل التحفيز'!$W$5:$W$2004,0)))</f>
        <v/>
      </c>
      <c r="R129" s="9">
        <f>IF($K129="","",INDEX('سجل التحفيز'!$F$5:$F$2004,MATCH($K129,'سجل التحفيز'!$W$5:$W$2004,0)))</f>
        <v/>
      </c>
      <c r="S129" s="35">
        <f>IF($K129="","",INDEX('سجل التحفيز'!$G$5:$G$2004,MATCH($K129,'سجل التحفيز'!$W$5:$W$2004,0)))</f>
        <v/>
      </c>
    </row>
    <row r="130">
      <c r="B130" s="34">
        <f>IFERROR(INDEX(الموظفات!$B$5:$B$304,MATCH(93,الموظفات!$Q$5:$Q$304,0)),"")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التحفيز'!$W$5:$W$2004,"&gt;0",'سجل التحفيز'!$B$5:$B$2004,B130))</f>
        <v/>
      </c>
      <c r="E130" s="35">
        <f>IF(B130="","",COUNTIFS('سجل التحفيز'!$W$5:$W$2004,"&gt;0",'سجل التحفيز'!$B$5:$B$2004,B130,'سجل التحفيز'!$D$5:$D$2004,"ذهبي"))</f>
        <v/>
      </c>
      <c r="F130" s="35">
        <f>IF(B130="","",SUMIFS('سجل التحفيز'!$G$5:$G$2004,'سجل التحفيز'!$W$5:$W$2004,"&gt;0",'سجل التحفيز'!$B$5:$B$2004,B130))</f>
        <v/>
      </c>
      <c r="G130" s="35">
        <f>IF(B130="","",COUNTIF($D$38:$D$187,"&gt;"&amp;D130)+1)</f>
        <v/>
      </c>
      <c r="H130" s="35">
        <f>IF(B130="","",INDEX(الموظفات!$L$5:$L$304,MATCH(B130,الموظفات!$B$5:$B$304,0)))</f>
        <v/>
      </c>
      <c r="K130" s="36">
        <f>IF(93&gt;$B$10,"",93)</f>
        <v/>
      </c>
      <c r="L130" s="37">
        <f>IF($K130="","",INDEX('سجل التحفيز'!$A$5:$A$2004,MATCH($K130,'سجل التحفيز'!$W$5:$W$2004,0)))</f>
        <v/>
      </c>
      <c r="M130" s="9">
        <f>IF($K130="","",INDEX('سجل التحفيز'!$B$5:$B$2004,MATCH($K130,'سجل التحفيز'!$W$5:$W$2004,0)))</f>
        <v/>
      </c>
      <c r="N130" s="9">
        <f>IF($K130="","",INDEX('سجل التحفيز'!$M$5:$M$2004,MATCH($K130,'سجل التحفيز'!$W$5:$W$2004,0)))</f>
        <v/>
      </c>
      <c r="O130" s="9">
        <f>IF($K130="","",INDEX('سجل التحفيز'!$C$5:$C$2004,MATCH($K130,'سجل التحفيز'!$W$5:$W$2004,0)))</f>
        <v/>
      </c>
      <c r="P130" s="36">
        <f>IF($K130="","",INDEX('سجل التحفيز'!$D$5:$D$2004,MATCH($K130,'سجل التحفيز'!$W$5:$W$2004,0)))</f>
        <v/>
      </c>
      <c r="Q130" s="9">
        <f>IF($K130="","",INDEX('سجل التحفيز'!$E$5:$E$2004,MATCH($K130,'سجل التحفيز'!$W$5:$W$2004,0)))</f>
        <v/>
      </c>
      <c r="R130" s="9">
        <f>IF($K130="","",INDEX('سجل التحفيز'!$F$5:$F$2004,MATCH($K130,'سجل التحفيز'!$W$5:$W$2004,0)))</f>
        <v/>
      </c>
      <c r="S130" s="35">
        <f>IF($K130="","",INDEX('سجل التحفيز'!$G$5:$G$2004,MATCH($K130,'سجل التحفيز'!$W$5:$W$2004,0)))</f>
        <v/>
      </c>
    </row>
    <row r="131">
      <c r="B131" s="34">
        <f>IFERROR(INDEX(الموظفات!$B$5:$B$304,MATCH(94,الموظفات!$Q$5:$Q$304,0)),"")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التحفيز'!$W$5:$W$2004,"&gt;0",'سجل التحفيز'!$B$5:$B$2004,B131))</f>
        <v/>
      </c>
      <c r="E131" s="35">
        <f>IF(B131="","",COUNTIFS('سجل التحفيز'!$W$5:$W$2004,"&gt;0",'سجل التحفيز'!$B$5:$B$2004,B131,'سجل التحفيز'!$D$5:$D$2004,"ذهبي"))</f>
        <v/>
      </c>
      <c r="F131" s="35">
        <f>IF(B131="","",SUMIFS('سجل التحفيز'!$G$5:$G$2004,'سجل التحفيز'!$W$5:$W$2004,"&gt;0",'سجل التحفيز'!$B$5:$B$2004,B131))</f>
        <v/>
      </c>
      <c r="G131" s="35">
        <f>IF(B131="","",COUNTIF($D$38:$D$187,"&gt;"&amp;D131)+1)</f>
        <v/>
      </c>
      <c r="H131" s="35">
        <f>IF(B131="","",INDEX(الموظفات!$L$5:$L$304,MATCH(B131,الموظفات!$B$5:$B$304,0)))</f>
        <v/>
      </c>
      <c r="K131" s="36">
        <f>IF(94&gt;$B$10,"",94)</f>
        <v/>
      </c>
      <c r="L131" s="37">
        <f>IF($K131="","",INDEX('سجل التحفيز'!$A$5:$A$2004,MATCH($K131,'سجل التحفيز'!$W$5:$W$2004,0)))</f>
        <v/>
      </c>
      <c r="M131" s="9">
        <f>IF($K131="","",INDEX('سجل التحفيز'!$B$5:$B$2004,MATCH($K131,'سجل التحفيز'!$W$5:$W$2004,0)))</f>
        <v/>
      </c>
      <c r="N131" s="9">
        <f>IF($K131="","",INDEX('سجل التحفيز'!$M$5:$M$2004,MATCH($K131,'سجل التحفيز'!$W$5:$W$2004,0)))</f>
        <v/>
      </c>
      <c r="O131" s="9">
        <f>IF($K131="","",INDEX('سجل التحفيز'!$C$5:$C$2004,MATCH($K131,'سجل التحفيز'!$W$5:$W$2004,0)))</f>
        <v/>
      </c>
      <c r="P131" s="36">
        <f>IF($K131="","",INDEX('سجل التحفيز'!$D$5:$D$2004,MATCH($K131,'سجل التحفيز'!$W$5:$W$2004,0)))</f>
        <v/>
      </c>
      <c r="Q131" s="9">
        <f>IF($K131="","",INDEX('سجل التحفيز'!$E$5:$E$2004,MATCH($K131,'سجل التحفيز'!$W$5:$W$2004,0)))</f>
        <v/>
      </c>
      <c r="R131" s="9">
        <f>IF($K131="","",INDEX('سجل التحفيز'!$F$5:$F$2004,MATCH($K131,'سجل التحفيز'!$W$5:$W$2004,0)))</f>
        <v/>
      </c>
      <c r="S131" s="35">
        <f>IF($K131="","",INDEX('سجل التحفيز'!$G$5:$G$2004,MATCH($K131,'سجل التحفيز'!$W$5:$W$2004,0)))</f>
        <v/>
      </c>
    </row>
    <row r="132">
      <c r="B132" s="34">
        <f>IFERROR(INDEX(الموظفات!$B$5:$B$304,MATCH(95,الموظفات!$Q$5:$Q$304,0)),"")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التحفيز'!$W$5:$W$2004,"&gt;0",'سجل التحفيز'!$B$5:$B$2004,B132))</f>
        <v/>
      </c>
      <c r="E132" s="35">
        <f>IF(B132="","",COUNTIFS('سجل التحفيز'!$W$5:$W$2004,"&gt;0",'سجل التحفيز'!$B$5:$B$2004,B132,'سجل التحفيز'!$D$5:$D$2004,"ذهبي"))</f>
        <v/>
      </c>
      <c r="F132" s="35">
        <f>IF(B132="","",SUMIFS('سجل التحفيز'!$G$5:$G$2004,'سجل التحفيز'!$W$5:$W$2004,"&gt;0",'سجل التحفيز'!$B$5:$B$2004,B132))</f>
        <v/>
      </c>
      <c r="G132" s="35">
        <f>IF(B132="","",COUNTIF($D$38:$D$187,"&gt;"&amp;D132)+1)</f>
        <v/>
      </c>
      <c r="H132" s="35">
        <f>IF(B132="","",INDEX(الموظفات!$L$5:$L$304,MATCH(B132,الموظفات!$B$5:$B$304,0)))</f>
        <v/>
      </c>
      <c r="K132" s="36">
        <f>IF(95&gt;$B$10,"",95)</f>
        <v/>
      </c>
      <c r="L132" s="37">
        <f>IF($K132="","",INDEX('سجل التحفيز'!$A$5:$A$2004,MATCH($K132,'سجل التحفيز'!$W$5:$W$2004,0)))</f>
        <v/>
      </c>
      <c r="M132" s="9">
        <f>IF($K132="","",INDEX('سجل التحفيز'!$B$5:$B$2004,MATCH($K132,'سجل التحفيز'!$W$5:$W$2004,0)))</f>
        <v/>
      </c>
      <c r="N132" s="9">
        <f>IF($K132="","",INDEX('سجل التحفيز'!$M$5:$M$2004,MATCH($K132,'سجل التحفيز'!$W$5:$W$2004,0)))</f>
        <v/>
      </c>
      <c r="O132" s="9">
        <f>IF($K132="","",INDEX('سجل التحفيز'!$C$5:$C$2004,MATCH($K132,'سجل التحفيز'!$W$5:$W$2004,0)))</f>
        <v/>
      </c>
      <c r="P132" s="36">
        <f>IF($K132="","",INDEX('سجل التحفيز'!$D$5:$D$2004,MATCH($K132,'سجل التحفيز'!$W$5:$W$2004,0)))</f>
        <v/>
      </c>
      <c r="Q132" s="9">
        <f>IF($K132="","",INDEX('سجل التحفيز'!$E$5:$E$2004,MATCH($K132,'سجل التحفيز'!$W$5:$W$2004,0)))</f>
        <v/>
      </c>
      <c r="R132" s="9">
        <f>IF($K132="","",INDEX('سجل التحفيز'!$F$5:$F$2004,MATCH($K132,'سجل التحفيز'!$W$5:$W$2004,0)))</f>
        <v/>
      </c>
      <c r="S132" s="35">
        <f>IF($K132="","",INDEX('سجل التحفيز'!$G$5:$G$2004,MATCH($K132,'سجل التحفيز'!$W$5:$W$2004,0)))</f>
        <v/>
      </c>
    </row>
    <row r="133">
      <c r="B133" s="34">
        <f>IFERROR(INDEX(الموظفات!$B$5:$B$304,MATCH(96,الموظفات!$Q$5:$Q$304,0)),"")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التحفيز'!$W$5:$W$2004,"&gt;0",'سجل التحفيز'!$B$5:$B$2004,B133))</f>
        <v/>
      </c>
      <c r="E133" s="35">
        <f>IF(B133="","",COUNTIFS('سجل التحفيز'!$W$5:$W$2004,"&gt;0",'سجل التحفيز'!$B$5:$B$2004,B133,'سجل التحفيز'!$D$5:$D$2004,"ذهبي"))</f>
        <v/>
      </c>
      <c r="F133" s="35">
        <f>IF(B133="","",SUMIFS('سجل التحفيز'!$G$5:$G$2004,'سجل التحفيز'!$W$5:$W$2004,"&gt;0",'سجل التحفيز'!$B$5:$B$2004,B133))</f>
        <v/>
      </c>
      <c r="G133" s="35">
        <f>IF(B133="","",COUNTIF($D$38:$D$187,"&gt;"&amp;D133)+1)</f>
        <v/>
      </c>
      <c r="H133" s="35">
        <f>IF(B133="","",INDEX(الموظفات!$L$5:$L$304,MATCH(B133,الموظفات!$B$5:$B$304,0)))</f>
        <v/>
      </c>
      <c r="K133" s="36">
        <f>IF(96&gt;$B$10,"",96)</f>
        <v/>
      </c>
      <c r="L133" s="37">
        <f>IF($K133="","",INDEX('سجل التحفيز'!$A$5:$A$2004,MATCH($K133,'سجل التحفيز'!$W$5:$W$2004,0)))</f>
        <v/>
      </c>
      <c r="M133" s="9">
        <f>IF($K133="","",INDEX('سجل التحفيز'!$B$5:$B$2004,MATCH($K133,'سجل التحفيز'!$W$5:$W$2004,0)))</f>
        <v/>
      </c>
      <c r="N133" s="9">
        <f>IF($K133="","",INDEX('سجل التحفيز'!$M$5:$M$2004,MATCH($K133,'سجل التحفيز'!$W$5:$W$2004,0)))</f>
        <v/>
      </c>
      <c r="O133" s="9">
        <f>IF($K133="","",INDEX('سجل التحفيز'!$C$5:$C$2004,MATCH($K133,'سجل التحفيز'!$W$5:$W$2004,0)))</f>
        <v/>
      </c>
      <c r="P133" s="36">
        <f>IF($K133="","",INDEX('سجل التحفيز'!$D$5:$D$2004,MATCH($K133,'سجل التحفيز'!$W$5:$W$2004,0)))</f>
        <v/>
      </c>
      <c r="Q133" s="9">
        <f>IF($K133="","",INDEX('سجل التحفيز'!$E$5:$E$2004,MATCH($K133,'سجل التحفيز'!$W$5:$W$2004,0)))</f>
        <v/>
      </c>
      <c r="R133" s="9">
        <f>IF($K133="","",INDEX('سجل التحفيز'!$F$5:$F$2004,MATCH($K133,'سجل التحفيز'!$W$5:$W$2004,0)))</f>
        <v/>
      </c>
      <c r="S133" s="35">
        <f>IF($K133="","",INDEX('سجل التحفيز'!$G$5:$G$2004,MATCH($K133,'سجل التحفيز'!$W$5:$W$2004,0)))</f>
        <v/>
      </c>
    </row>
    <row r="134">
      <c r="B134" s="34">
        <f>IFERROR(INDEX(الموظفات!$B$5:$B$304,MATCH(97,الموظفات!$Q$5:$Q$304,0)),"")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التحفيز'!$W$5:$W$2004,"&gt;0",'سجل التحفيز'!$B$5:$B$2004,B134))</f>
        <v/>
      </c>
      <c r="E134" s="35">
        <f>IF(B134="","",COUNTIFS('سجل التحفيز'!$W$5:$W$2004,"&gt;0",'سجل التحفيز'!$B$5:$B$2004,B134,'سجل التحفيز'!$D$5:$D$2004,"ذهبي"))</f>
        <v/>
      </c>
      <c r="F134" s="35">
        <f>IF(B134="","",SUMIFS('سجل التحفيز'!$G$5:$G$2004,'سجل التحفيز'!$W$5:$W$2004,"&gt;0",'سجل التحفيز'!$B$5:$B$2004,B134))</f>
        <v/>
      </c>
      <c r="G134" s="35">
        <f>IF(B134="","",COUNTIF($D$38:$D$187,"&gt;"&amp;D134)+1)</f>
        <v/>
      </c>
      <c r="H134" s="35">
        <f>IF(B134="","",INDEX(الموظفات!$L$5:$L$304,MATCH(B134,الموظفات!$B$5:$B$304,0)))</f>
        <v/>
      </c>
      <c r="K134" s="36">
        <f>IF(97&gt;$B$10,"",97)</f>
        <v/>
      </c>
      <c r="L134" s="37">
        <f>IF($K134="","",INDEX('سجل التحفيز'!$A$5:$A$2004,MATCH($K134,'سجل التحفيز'!$W$5:$W$2004,0)))</f>
        <v/>
      </c>
      <c r="M134" s="9">
        <f>IF($K134="","",INDEX('سجل التحفيز'!$B$5:$B$2004,MATCH($K134,'سجل التحفيز'!$W$5:$W$2004,0)))</f>
        <v/>
      </c>
      <c r="N134" s="9">
        <f>IF($K134="","",INDEX('سجل التحفيز'!$M$5:$M$2004,MATCH($K134,'سجل التحفيز'!$W$5:$W$2004,0)))</f>
        <v/>
      </c>
      <c r="O134" s="9">
        <f>IF($K134="","",INDEX('سجل التحفيز'!$C$5:$C$2004,MATCH($K134,'سجل التحفيز'!$W$5:$W$2004,0)))</f>
        <v/>
      </c>
      <c r="P134" s="36">
        <f>IF($K134="","",INDEX('سجل التحفيز'!$D$5:$D$2004,MATCH($K134,'سجل التحفيز'!$W$5:$W$2004,0)))</f>
        <v/>
      </c>
      <c r="Q134" s="9">
        <f>IF($K134="","",INDEX('سجل التحفيز'!$E$5:$E$2004,MATCH($K134,'سجل التحفيز'!$W$5:$W$2004,0)))</f>
        <v/>
      </c>
      <c r="R134" s="9">
        <f>IF($K134="","",INDEX('سجل التحفيز'!$F$5:$F$2004,MATCH($K134,'سجل التحفيز'!$W$5:$W$2004,0)))</f>
        <v/>
      </c>
      <c r="S134" s="35">
        <f>IF($K134="","",INDEX('سجل التحفيز'!$G$5:$G$2004,MATCH($K134,'سجل التحفيز'!$W$5:$W$2004,0)))</f>
        <v/>
      </c>
    </row>
    <row r="135">
      <c r="B135" s="34">
        <f>IFERROR(INDEX(الموظفات!$B$5:$B$304,MATCH(98,الموظفات!$Q$5:$Q$304,0)),"")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التحفيز'!$W$5:$W$2004,"&gt;0",'سجل التحفيز'!$B$5:$B$2004,B135))</f>
        <v/>
      </c>
      <c r="E135" s="35">
        <f>IF(B135="","",COUNTIFS('سجل التحفيز'!$W$5:$W$2004,"&gt;0",'سجل التحفيز'!$B$5:$B$2004,B135,'سجل التحفيز'!$D$5:$D$2004,"ذهبي"))</f>
        <v/>
      </c>
      <c r="F135" s="35">
        <f>IF(B135="","",SUMIFS('سجل التحفيز'!$G$5:$G$2004,'سجل التحفيز'!$W$5:$W$2004,"&gt;0",'سجل التحفيز'!$B$5:$B$2004,B135))</f>
        <v/>
      </c>
      <c r="G135" s="35">
        <f>IF(B135="","",COUNTIF($D$38:$D$187,"&gt;"&amp;D135)+1)</f>
        <v/>
      </c>
      <c r="H135" s="35">
        <f>IF(B135="","",INDEX(الموظفات!$L$5:$L$304,MATCH(B135,الموظفات!$B$5:$B$304,0)))</f>
        <v/>
      </c>
      <c r="K135" s="36">
        <f>IF(98&gt;$B$10,"",98)</f>
        <v/>
      </c>
      <c r="L135" s="37">
        <f>IF($K135="","",INDEX('سجل التحفيز'!$A$5:$A$2004,MATCH($K135,'سجل التحفيز'!$W$5:$W$2004,0)))</f>
        <v/>
      </c>
      <c r="M135" s="9">
        <f>IF($K135="","",INDEX('سجل التحفيز'!$B$5:$B$2004,MATCH($K135,'سجل التحفيز'!$W$5:$W$2004,0)))</f>
        <v/>
      </c>
      <c r="N135" s="9">
        <f>IF($K135="","",INDEX('سجل التحفيز'!$M$5:$M$2004,MATCH($K135,'سجل التحفيز'!$W$5:$W$2004,0)))</f>
        <v/>
      </c>
      <c r="O135" s="9">
        <f>IF($K135="","",INDEX('سجل التحفيز'!$C$5:$C$2004,MATCH($K135,'سجل التحفيز'!$W$5:$W$2004,0)))</f>
        <v/>
      </c>
      <c r="P135" s="36">
        <f>IF($K135="","",INDEX('سجل التحفيز'!$D$5:$D$2004,MATCH($K135,'سجل التحفيز'!$W$5:$W$2004,0)))</f>
        <v/>
      </c>
      <c r="Q135" s="9">
        <f>IF($K135="","",INDEX('سجل التحفيز'!$E$5:$E$2004,MATCH($K135,'سجل التحفيز'!$W$5:$W$2004,0)))</f>
        <v/>
      </c>
      <c r="R135" s="9">
        <f>IF($K135="","",INDEX('سجل التحفيز'!$F$5:$F$2004,MATCH($K135,'سجل التحفيز'!$W$5:$W$2004,0)))</f>
        <v/>
      </c>
      <c r="S135" s="35">
        <f>IF($K135="","",INDEX('سجل التحفيز'!$G$5:$G$2004,MATCH($K135,'سجل التحفيز'!$W$5:$W$2004,0)))</f>
        <v/>
      </c>
    </row>
    <row r="136">
      <c r="B136" s="34">
        <f>IFERROR(INDEX(الموظفات!$B$5:$B$304,MATCH(99,الموظفات!$Q$5:$Q$304,0)),"")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التحفيز'!$W$5:$W$2004,"&gt;0",'سجل التحفيز'!$B$5:$B$2004,B136))</f>
        <v/>
      </c>
      <c r="E136" s="35">
        <f>IF(B136="","",COUNTIFS('سجل التحفيز'!$W$5:$W$2004,"&gt;0",'سجل التحفيز'!$B$5:$B$2004,B136,'سجل التحفيز'!$D$5:$D$2004,"ذهبي"))</f>
        <v/>
      </c>
      <c r="F136" s="35">
        <f>IF(B136="","",SUMIFS('سجل التحفيز'!$G$5:$G$2004,'سجل التحفيز'!$W$5:$W$2004,"&gt;0",'سجل التحفيز'!$B$5:$B$2004,B136))</f>
        <v/>
      </c>
      <c r="G136" s="35">
        <f>IF(B136="","",COUNTIF($D$38:$D$187,"&gt;"&amp;D136)+1)</f>
        <v/>
      </c>
      <c r="H136" s="35">
        <f>IF(B136="","",INDEX(الموظفات!$L$5:$L$304,MATCH(B136,الموظفات!$B$5:$B$304,0)))</f>
        <v/>
      </c>
      <c r="K136" s="36">
        <f>IF(99&gt;$B$10,"",99)</f>
        <v/>
      </c>
      <c r="L136" s="37">
        <f>IF($K136="","",INDEX('سجل التحفيز'!$A$5:$A$2004,MATCH($K136,'سجل التحفيز'!$W$5:$W$2004,0)))</f>
        <v/>
      </c>
      <c r="M136" s="9">
        <f>IF($K136="","",INDEX('سجل التحفيز'!$B$5:$B$2004,MATCH($K136,'سجل التحفيز'!$W$5:$W$2004,0)))</f>
        <v/>
      </c>
      <c r="N136" s="9">
        <f>IF($K136="","",INDEX('سجل التحفيز'!$M$5:$M$2004,MATCH($K136,'سجل التحفيز'!$W$5:$W$2004,0)))</f>
        <v/>
      </c>
      <c r="O136" s="9">
        <f>IF($K136="","",INDEX('سجل التحفيز'!$C$5:$C$2004,MATCH($K136,'سجل التحفيز'!$W$5:$W$2004,0)))</f>
        <v/>
      </c>
      <c r="P136" s="36">
        <f>IF($K136="","",INDEX('سجل التحفيز'!$D$5:$D$2004,MATCH($K136,'سجل التحفيز'!$W$5:$W$2004,0)))</f>
        <v/>
      </c>
      <c r="Q136" s="9">
        <f>IF($K136="","",INDEX('سجل التحفيز'!$E$5:$E$2004,MATCH($K136,'سجل التحفيز'!$W$5:$W$2004,0)))</f>
        <v/>
      </c>
      <c r="R136" s="9">
        <f>IF($K136="","",INDEX('سجل التحفيز'!$F$5:$F$2004,MATCH($K136,'سجل التحفيز'!$W$5:$W$2004,0)))</f>
        <v/>
      </c>
      <c r="S136" s="35">
        <f>IF($K136="","",INDEX('سجل التحفيز'!$G$5:$G$2004,MATCH($K136,'سجل التحفيز'!$W$5:$W$2004,0)))</f>
        <v/>
      </c>
    </row>
    <row r="137">
      <c r="B137" s="34">
        <f>IFERROR(INDEX(الموظفات!$B$5:$B$304,MATCH(100,الموظفات!$Q$5:$Q$304,0)),"")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التحفيز'!$W$5:$W$2004,"&gt;0",'سجل التحفيز'!$B$5:$B$2004,B137))</f>
        <v/>
      </c>
      <c r="E137" s="35">
        <f>IF(B137="","",COUNTIFS('سجل التحفيز'!$W$5:$W$2004,"&gt;0",'سجل التحفيز'!$B$5:$B$2004,B137,'سجل التحفيز'!$D$5:$D$2004,"ذهبي"))</f>
        <v/>
      </c>
      <c r="F137" s="35">
        <f>IF(B137="","",SUMIFS('سجل التحفيز'!$G$5:$G$2004,'سجل التحفيز'!$W$5:$W$2004,"&gt;0",'سجل التحفيز'!$B$5:$B$2004,B137))</f>
        <v/>
      </c>
      <c r="G137" s="35">
        <f>IF(B137="","",COUNTIF($D$38:$D$187,"&gt;"&amp;D137)+1)</f>
        <v/>
      </c>
      <c r="H137" s="35">
        <f>IF(B137="","",INDEX(الموظفات!$L$5:$L$304,MATCH(B137,الموظفات!$B$5:$B$304,0)))</f>
        <v/>
      </c>
      <c r="K137" s="36">
        <f>IF(100&gt;$B$10,"",100)</f>
        <v/>
      </c>
      <c r="L137" s="37">
        <f>IF($K137="","",INDEX('سجل التحفيز'!$A$5:$A$2004,MATCH($K137,'سجل التحفيز'!$W$5:$W$2004,0)))</f>
        <v/>
      </c>
      <c r="M137" s="9">
        <f>IF($K137="","",INDEX('سجل التحفيز'!$B$5:$B$2004,MATCH($K137,'سجل التحفيز'!$W$5:$W$2004,0)))</f>
        <v/>
      </c>
      <c r="N137" s="9">
        <f>IF($K137="","",INDEX('سجل التحفيز'!$M$5:$M$2004,MATCH($K137,'سجل التحفيز'!$W$5:$W$2004,0)))</f>
        <v/>
      </c>
      <c r="O137" s="9">
        <f>IF($K137="","",INDEX('سجل التحفيز'!$C$5:$C$2004,MATCH($K137,'سجل التحفيز'!$W$5:$W$2004,0)))</f>
        <v/>
      </c>
      <c r="P137" s="36">
        <f>IF($K137="","",INDEX('سجل التحفيز'!$D$5:$D$2004,MATCH($K137,'سجل التحفيز'!$W$5:$W$2004,0)))</f>
        <v/>
      </c>
      <c r="Q137" s="9">
        <f>IF($K137="","",INDEX('سجل التحفيز'!$E$5:$E$2004,MATCH($K137,'سجل التحفيز'!$W$5:$W$2004,0)))</f>
        <v/>
      </c>
      <c r="R137" s="9">
        <f>IF($K137="","",INDEX('سجل التحفيز'!$F$5:$F$2004,MATCH($K137,'سجل التحفيز'!$W$5:$W$2004,0)))</f>
        <v/>
      </c>
      <c r="S137" s="35">
        <f>IF($K137="","",INDEX('سجل التحفيز'!$G$5:$G$2004,MATCH($K137,'سجل التحفيز'!$W$5:$W$2004,0)))</f>
        <v/>
      </c>
    </row>
    <row r="138">
      <c r="B138" s="34">
        <f>IFERROR(INDEX(الموظفات!$B$5:$B$304,MATCH(101,الموظفات!$Q$5:$Q$304,0)),"")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التحفيز'!$W$5:$W$2004,"&gt;0",'سجل التحفيز'!$B$5:$B$2004,B138))</f>
        <v/>
      </c>
      <c r="E138" s="35">
        <f>IF(B138="","",COUNTIFS('سجل التحفيز'!$W$5:$W$2004,"&gt;0",'سجل التحفيز'!$B$5:$B$2004,B138,'سجل التحفيز'!$D$5:$D$2004,"ذهبي"))</f>
        <v/>
      </c>
      <c r="F138" s="35">
        <f>IF(B138="","",SUMIFS('سجل التحفيز'!$G$5:$G$2004,'سجل التحفيز'!$W$5:$W$2004,"&gt;0",'سجل التحفيز'!$B$5:$B$2004,B138))</f>
        <v/>
      </c>
      <c r="G138" s="35">
        <f>IF(B138="","",COUNTIF($D$38:$D$187,"&gt;"&amp;D138)+1)</f>
        <v/>
      </c>
      <c r="H138" s="35">
        <f>IF(B138="","",INDEX(الموظفات!$L$5:$L$304,MATCH(B138,الموظفات!$B$5:$B$304,0)))</f>
        <v/>
      </c>
      <c r="K138" s="36">
        <f>IF(101&gt;$B$10,"",101)</f>
        <v/>
      </c>
      <c r="L138" s="37">
        <f>IF($K138="","",INDEX('سجل التحفيز'!$A$5:$A$2004,MATCH($K138,'سجل التحفيز'!$W$5:$W$2004,0)))</f>
        <v/>
      </c>
      <c r="M138" s="9">
        <f>IF($K138="","",INDEX('سجل التحفيز'!$B$5:$B$2004,MATCH($K138,'سجل التحفيز'!$W$5:$W$2004,0)))</f>
        <v/>
      </c>
      <c r="N138" s="9">
        <f>IF($K138="","",INDEX('سجل التحفيز'!$M$5:$M$2004,MATCH($K138,'سجل التحفيز'!$W$5:$W$2004,0)))</f>
        <v/>
      </c>
      <c r="O138" s="9">
        <f>IF($K138="","",INDEX('سجل التحفيز'!$C$5:$C$2004,MATCH($K138,'سجل التحفيز'!$W$5:$W$2004,0)))</f>
        <v/>
      </c>
      <c r="P138" s="36">
        <f>IF($K138="","",INDEX('سجل التحفيز'!$D$5:$D$2004,MATCH($K138,'سجل التحفيز'!$W$5:$W$2004,0)))</f>
        <v/>
      </c>
      <c r="Q138" s="9">
        <f>IF($K138="","",INDEX('سجل التحفيز'!$E$5:$E$2004,MATCH($K138,'سجل التحفيز'!$W$5:$W$2004,0)))</f>
        <v/>
      </c>
      <c r="R138" s="9">
        <f>IF($K138="","",INDEX('سجل التحفيز'!$F$5:$F$2004,MATCH($K138,'سجل التحفيز'!$W$5:$W$2004,0)))</f>
        <v/>
      </c>
      <c r="S138" s="35">
        <f>IF($K138="","",INDEX('سجل التحفيز'!$G$5:$G$2004,MATCH($K138,'سجل التحفيز'!$W$5:$W$2004,0)))</f>
        <v/>
      </c>
    </row>
    <row r="139">
      <c r="B139" s="34">
        <f>IFERROR(INDEX(الموظفات!$B$5:$B$304,MATCH(102,الموظفات!$Q$5:$Q$304,0)),"")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التحفيز'!$W$5:$W$2004,"&gt;0",'سجل التحفيز'!$B$5:$B$2004,B139))</f>
        <v/>
      </c>
      <c r="E139" s="35">
        <f>IF(B139="","",COUNTIFS('سجل التحفيز'!$W$5:$W$2004,"&gt;0",'سجل التحفيز'!$B$5:$B$2004,B139,'سجل التحفيز'!$D$5:$D$2004,"ذهبي"))</f>
        <v/>
      </c>
      <c r="F139" s="35">
        <f>IF(B139="","",SUMIFS('سجل التحفيز'!$G$5:$G$2004,'سجل التحفيز'!$W$5:$W$2004,"&gt;0",'سجل التحفيز'!$B$5:$B$2004,B139))</f>
        <v/>
      </c>
      <c r="G139" s="35">
        <f>IF(B139="","",COUNTIF($D$38:$D$187,"&gt;"&amp;D139)+1)</f>
        <v/>
      </c>
      <c r="H139" s="35">
        <f>IF(B139="","",INDEX(الموظفات!$L$5:$L$304,MATCH(B139,الموظفات!$B$5:$B$304,0)))</f>
        <v/>
      </c>
      <c r="K139" s="36">
        <f>IF(102&gt;$B$10,"",102)</f>
        <v/>
      </c>
      <c r="L139" s="37">
        <f>IF($K139="","",INDEX('سجل التحفيز'!$A$5:$A$2004,MATCH($K139,'سجل التحفيز'!$W$5:$W$2004,0)))</f>
        <v/>
      </c>
      <c r="M139" s="9">
        <f>IF($K139="","",INDEX('سجل التحفيز'!$B$5:$B$2004,MATCH($K139,'سجل التحفيز'!$W$5:$W$2004,0)))</f>
        <v/>
      </c>
      <c r="N139" s="9">
        <f>IF($K139="","",INDEX('سجل التحفيز'!$M$5:$M$2004,MATCH($K139,'سجل التحفيز'!$W$5:$W$2004,0)))</f>
        <v/>
      </c>
      <c r="O139" s="9">
        <f>IF($K139="","",INDEX('سجل التحفيز'!$C$5:$C$2004,MATCH($K139,'سجل التحفيز'!$W$5:$W$2004,0)))</f>
        <v/>
      </c>
      <c r="P139" s="36">
        <f>IF($K139="","",INDEX('سجل التحفيز'!$D$5:$D$2004,MATCH($K139,'سجل التحفيز'!$W$5:$W$2004,0)))</f>
        <v/>
      </c>
      <c r="Q139" s="9">
        <f>IF($K139="","",INDEX('سجل التحفيز'!$E$5:$E$2004,MATCH($K139,'سجل التحفيز'!$W$5:$W$2004,0)))</f>
        <v/>
      </c>
      <c r="R139" s="9">
        <f>IF($K139="","",INDEX('سجل التحفيز'!$F$5:$F$2004,MATCH($K139,'سجل التحفيز'!$W$5:$W$2004,0)))</f>
        <v/>
      </c>
      <c r="S139" s="35">
        <f>IF($K139="","",INDEX('سجل التحفيز'!$G$5:$G$2004,MATCH($K139,'سجل التحفيز'!$W$5:$W$2004,0)))</f>
        <v/>
      </c>
    </row>
    <row r="140">
      <c r="B140" s="34">
        <f>IFERROR(INDEX(الموظفات!$B$5:$B$304,MATCH(103,الموظفات!$Q$5:$Q$304,0)),"")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التحفيز'!$W$5:$W$2004,"&gt;0",'سجل التحفيز'!$B$5:$B$2004,B140))</f>
        <v/>
      </c>
      <c r="E140" s="35">
        <f>IF(B140="","",COUNTIFS('سجل التحفيز'!$W$5:$W$2004,"&gt;0",'سجل التحفيز'!$B$5:$B$2004,B140,'سجل التحفيز'!$D$5:$D$2004,"ذهبي"))</f>
        <v/>
      </c>
      <c r="F140" s="35">
        <f>IF(B140="","",SUMIFS('سجل التحفيز'!$G$5:$G$2004,'سجل التحفيز'!$W$5:$W$2004,"&gt;0",'سجل التحفيز'!$B$5:$B$2004,B140))</f>
        <v/>
      </c>
      <c r="G140" s="35">
        <f>IF(B140="","",COUNTIF($D$38:$D$187,"&gt;"&amp;D140)+1)</f>
        <v/>
      </c>
      <c r="H140" s="35">
        <f>IF(B140="","",INDEX(الموظفات!$L$5:$L$304,MATCH(B140,الموظفات!$B$5:$B$304,0)))</f>
        <v/>
      </c>
      <c r="K140" s="36">
        <f>IF(103&gt;$B$10,"",103)</f>
        <v/>
      </c>
      <c r="L140" s="37">
        <f>IF($K140="","",INDEX('سجل التحفيز'!$A$5:$A$2004,MATCH($K140,'سجل التحفيز'!$W$5:$W$2004,0)))</f>
        <v/>
      </c>
      <c r="M140" s="9">
        <f>IF($K140="","",INDEX('سجل التحفيز'!$B$5:$B$2004,MATCH($K140,'سجل التحفيز'!$W$5:$W$2004,0)))</f>
        <v/>
      </c>
      <c r="N140" s="9">
        <f>IF($K140="","",INDEX('سجل التحفيز'!$M$5:$M$2004,MATCH($K140,'سجل التحفيز'!$W$5:$W$2004,0)))</f>
        <v/>
      </c>
      <c r="O140" s="9">
        <f>IF($K140="","",INDEX('سجل التحفيز'!$C$5:$C$2004,MATCH($K140,'سجل التحفيز'!$W$5:$W$2004,0)))</f>
        <v/>
      </c>
      <c r="P140" s="36">
        <f>IF($K140="","",INDEX('سجل التحفيز'!$D$5:$D$2004,MATCH($K140,'سجل التحفيز'!$W$5:$W$2004,0)))</f>
        <v/>
      </c>
      <c r="Q140" s="9">
        <f>IF($K140="","",INDEX('سجل التحفيز'!$E$5:$E$2004,MATCH($K140,'سجل التحفيز'!$W$5:$W$2004,0)))</f>
        <v/>
      </c>
      <c r="R140" s="9">
        <f>IF($K140="","",INDEX('سجل التحفيز'!$F$5:$F$2004,MATCH($K140,'سجل التحفيز'!$W$5:$W$2004,0)))</f>
        <v/>
      </c>
      <c r="S140" s="35">
        <f>IF($K140="","",INDEX('سجل التحفيز'!$G$5:$G$2004,MATCH($K140,'سجل التحفيز'!$W$5:$W$2004,0)))</f>
        <v/>
      </c>
    </row>
    <row r="141">
      <c r="B141" s="34">
        <f>IFERROR(INDEX(الموظفات!$B$5:$B$304,MATCH(104,الموظفات!$Q$5:$Q$304,0)),"")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التحفيز'!$W$5:$W$2004,"&gt;0",'سجل التحفيز'!$B$5:$B$2004,B141))</f>
        <v/>
      </c>
      <c r="E141" s="35">
        <f>IF(B141="","",COUNTIFS('سجل التحفيز'!$W$5:$W$2004,"&gt;0",'سجل التحفيز'!$B$5:$B$2004,B141,'سجل التحفيز'!$D$5:$D$2004,"ذهبي"))</f>
        <v/>
      </c>
      <c r="F141" s="35">
        <f>IF(B141="","",SUMIFS('سجل التحفيز'!$G$5:$G$2004,'سجل التحفيز'!$W$5:$W$2004,"&gt;0",'سجل التحفيز'!$B$5:$B$2004,B141))</f>
        <v/>
      </c>
      <c r="G141" s="35">
        <f>IF(B141="","",COUNTIF($D$38:$D$187,"&gt;"&amp;D141)+1)</f>
        <v/>
      </c>
      <c r="H141" s="35">
        <f>IF(B141="","",INDEX(الموظفات!$L$5:$L$304,MATCH(B141,الموظفات!$B$5:$B$304,0)))</f>
        <v/>
      </c>
      <c r="K141" s="36">
        <f>IF(104&gt;$B$10,"",104)</f>
        <v/>
      </c>
      <c r="L141" s="37">
        <f>IF($K141="","",INDEX('سجل التحفيز'!$A$5:$A$2004,MATCH($K141,'سجل التحفيز'!$W$5:$W$2004,0)))</f>
        <v/>
      </c>
      <c r="M141" s="9">
        <f>IF($K141="","",INDEX('سجل التحفيز'!$B$5:$B$2004,MATCH($K141,'سجل التحفيز'!$W$5:$W$2004,0)))</f>
        <v/>
      </c>
      <c r="N141" s="9">
        <f>IF($K141="","",INDEX('سجل التحفيز'!$M$5:$M$2004,MATCH($K141,'سجل التحفيز'!$W$5:$W$2004,0)))</f>
        <v/>
      </c>
      <c r="O141" s="9">
        <f>IF($K141="","",INDEX('سجل التحفيز'!$C$5:$C$2004,MATCH($K141,'سجل التحفيز'!$W$5:$W$2004,0)))</f>
        <v/>
      </c>
      <c r="P141" s="36">
        <f>IF($K141="","",INDEX('سجل التحفيز'!$D$5:$D$2004,MATCH($K141,'سجل التحفيز'!$W$5:$W$2004,0)))</f>
        <v/>
      </c>
      <c r="Q141" s="9">
        <f>IF($K141="","",INDEX('سجل التحفيز'!$E$5:$E$2004,MATCH($K141,'سجل التحفيز'!$W$5:$W$2004,0)))</f>
        <v/>
      </c>
      <c r="R141" s="9">
        <f>IF($K141="","",INDEX('سجل التحفيز'!$F$5:$F$2004,MATCH($K141,'سجل التحفيز'!$W$5:$W$2004,0)))</f>
        <v/>
      </c>
      <c r="S141" s="35">
        <f>IF($K141="","",INDEX('سجل التحفيز'!$G$5:$G$2004,MATCH($K141,'سجل التحفيز'!$W$5:$W$2004,0)))</f>
        <v/>
      </c>
    </row>
    <row r="142">
      <c r="B142" s="34">
        <f>IFERROR(INDEX(الموظفات!$B$5:$B$304,MATCH(105,الموظفات!$Q$5:$Q$304,0)),"")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التحفيز'!$W$5:$W$2004,"&gt;0",'سجل التحفيز'!$B$5:$B$2004,B142))</f>
        <v/>
      </c>
      <c r="E142" s="35">
        <f>IF(B142="","",COUNTIFS('سجل التحفيز'!$W$5:$W$2004,"&gt;0",'سجل التحفيز'!$B$5:$B$2004,B142,'سجل التحفيز'!$D$5:$D$2004,"ذهبي"))</f>
        <v/>
      </c>
      <c r="F142" s="35">
        <f>IF(B142="","",SUMIFS('سجل التحفيز'!$G$5:$G$2004,'سجل التحفيز'!$W$5:$W$2004,"&gt;0",'سجل التحفيز'!$B$5:$B$2004,B142))</f>
        <v/>
      </c>
      <c r="G142" s="35">
        <f>IF(B142="","",COUNTIF($D$38:$D$187,"&gt;"&amp;D142)+1)</f>
        <v/>
      </c>
      <c r="H142" s="35">
        <f>IF(B142="","",INDEX(الموظفات!$L$5:$L$304,MATCH(B142,الموظفات!$B$5:$B$304,0)))</f>
        <v/>
      </c>
      <c r="K142" s="36">
        <f>IF(105&gt;$B$10,"",105)</f>
        <v/>
      </c>
      <c r="L142" s="37">
        <f>IF($K142="","",INDEX('سجل التحفيز'!$A$5:$A$2004,MATCH($K142,'سجل التحفيز'!$W$5:$W$2004,0)))</f>
        <v/>
      </c>
      <c r="M142" s="9">
        <f>IF($K142="","",INDEX('سجل التحفيز'!$B$5:$B$2004,MATCH($K142,'سجل التحفيز'!$W$5:$W$2004,0)))</f>
        <v/>
      </c>
      <c r="N142" s="9">
        <f>IF($K142="","",INDEX('سجل التحفيز'!$M$5:$M$2004,MATCH($K142,'سجل التحفيز'!$W$5:$W$2004,0)))</f>
        <v/>
      </c>
      <c r="O142" s="9">
        <f>IF($K142="","",INDEX('سجل التحفيز'!$C$5:$C$2004,MATCH($K142,'سجل التحفيز'!$W$5:$W$2004,0)))</f>
        <v/>
      </c>
      <c r="P142" s="36">
        <f>IF($K142="","",INDEX('سجل التحفيز'!$D$5:$D$2004,MATCH($K142,'سجل التحفيز'!$W$5:$W$2004,0)))</f>
        <v/>
      </c>
      <c r="Q142" s="9">
        <f>IF($K142="","",INDEX('سجل التحفيز'!$E$5:$E$2004,MATCH($K142,'سجل التحفيز'!$W$5:$W$2004,0)))</f>
        <v/>
      </c>
      <c r="R142" s="9">
        <f>IF($K142="","",INDEX('سجل التحفيز'!$F$5:$F$2004,MATCH($K142,'سجل التحفيز'!$W$5:$W$2004,0)))</f>
        <v/>
      </c>
      <c r="S142" s="35">
        <f>IF($K142="","",INDEX('سجل التحفيز'!$G$5:$G$2004,MATCH($K142,'سجل التحفيز'!$W$5:$W$2004,0)))</f>
        <v/>
      </c>
    </row>
    <row r="143">
      <c r="B143" s="34">
        <f>IFERROR(INDEX(الموظفات!$B$5:$B$304,MATCH(106,الموظفات!$Q$5:$Q$304,0)),"")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التحفيز'!$W$5:$W$2004,"&gt;0",'سجل التحفيز'!$B$5:$B$2004,B143))</f>
        <v/>
      </c>
      <c r="E143" s="35">
        <f>IF(B143="","",COUNTIFS('سجل التحفيز'!$W$5:$W$2004,"&gt;0",'سجل التحفيز'!$B$5:$B$2004,B143,'سجل التحفيز'!$D$5:$D$2004,"ذهبي"))</f>
        <v/>
      </c>
      <c r="F143" s="35">
        <f>IF(B143="","",SUMIFS('سجل التحفيز'!$G$5:$G$2004,'سجل التحفيز'!$W$5:$W$2004,"&gt;0",'سجل التحفيز'!$B$5:$B$2004,B143))</f>
        <v/>
      </c>
      <c r="G143" s="35">
        <f>IF(B143="","",COUNTIF($D$38:$D$187,"&gt;"&amp;D143)+1)</f>
        <v/>
      </c>
      <c r="H143" s="35">
        <f>IF(B143="","",INDEX(الموظفات!$L$5:$L$304,MATCH(B143,الموظفات!$B$5:$B$304,0)))</f>
        <v/>
      </c>
      <c r="K143" s="36">
        <f>IF(106&gt;$B$10,"",106)</f>
        <v/>
      </c>
      <c r="L143" s="37">
        <f>IF($K143="","",INDEX('سجل التحفيز'!$A$5:$A$2004,MATCH($K143,'سجل التحفيز'!$W$5:$W$2004,0)))</f>
        <v/>
      </c>
      <c r="M143" s="9">
        <f>IF($K143="","",INDEX('سجل التحفيز'!$B$5:$B$2004,MATCH($K143,'سجل التحفيز'!$W$5:$W$2004,0)))</f>
        <v/>
      </c>
      <c r="N143" s="9">
        <f>IF($K143="","",INDEX('سجل التحفيز'!$M$5:$M$2004,MATCH($K143,'سجل التحفيز'!$W$5:$W$2004,0)))</f>
        <v/>
      </c>
      <c r="O143" s="9">
        <f>IF($K143="","",INDEX('سجل التحفيز'!$C$5:$C$2004,MATCH($K143,'سجل التحفيز'!$W$5:$W$2004,0)))</f>
        <v/>
      </c>
      <c r="P143" s="36">
        <f>IF($K143="","",INDEX('سجل التحفيز'!$D$5:$D$2004,MATCH($K143,'سجل التحفيز'!$W$5:$W$2004,0)))</f>
        <v/>
      </c>
      <c r="Q143" s="9">
        <f>IF($K143="","",INDEX('سجل التحفيز'!$E$5:$E$2004,MATCH($K143,'سجل التحفيز'!$W$5:$W$2004,0)))</f>
        <v/>
      </c>
      <c r="R143" s="9">
        <f>IF($K143="","",INDEX('سجل التحفيز'!$F$5:$F$2004,MATCH($K143,'سجل التحفيز'!$W$5:$W$2004,0)))</f>
        <v/>
      </c>
      <c r="S143" s="35">
        <f>IF($K143="","",INDEX('سجل التحفيز'!$G$5:$G$2004,MATCH($K143,'سجل التحفيز'!$W$5:$W$2004,0)))</f>
        <v/>
      </c>
    </row>
    <row r="144">
      <c r="B144" s="34">
        <f>IFERROR(INDEX(الموظفات!$B$5:$B$304,MATCH(107,الموظفات!$Q$5:$Q$304,0)),"")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التحفيز'!$W$5:$W$2004,"&gt;0",'سجل التحفيز'!$B$5:$B$2004,B144))</f>
        <v/>
      </c>
      <c r="E144" s="35">
        <f>IF(B144="","",COUNTIFS('سجل التحفيز'!$W$5:$W$2004,"&gt;0",'سجل التحفيز'!$B$5:$B$2004,B144,'سجل التحفيز'!$D$5:$D$2004,"ذهبي"))</f>
        <v/>
      </c>
      <c r="F144" s="35">
        <f>IF(B144="","",SUMIFS('سجل التحفيز'!$G$5:$G$2004,'سجل التحفيز'!$W$5:$W$2004,"&gt;0",'سجل التحفيز'!$B$5:$B$2004,B144))</f>
        <v/>
      </c>
      <c r="G144" s="35">
        <f>IF(B144="","",COUNTIF($D$38:$D$187,"&gt;"&amp;D144)+1)</f>
        <v/>
      </c>
      <c r="H144" s="35">
        <f>IF(B144="","",INDEX(الموظفات!$L$5:$L$304,MATCH(B144,الموظفات!$B$5:$B$304,0)))</f>
        <v/>
      </c>
      <c r="K144" s="36">
        <f>IF(107&gt;$B$10,"",107)</f>
        <v/>
      </c>
      <c r="L144" s="37">
        <f>IF($K144="","",INDEX('سجل التحفيز'!$A$5:$A$2004,MATCH($K144,'سجل التحفيز'!$W$5:$W$2004,0)))</f>
        <v/>
      </c>
      <c r="M144" s="9">
        <f>IF($K144="","",INDEX('سجل التحفيز'!$B$5:$B$2004,MATCH($K144,'سجل التحفيز'!$W$5:$W$2004,0)))</f>
        <v/>
      </c>
      <c r="N144" s="9">
        <f>IF($K144="","",INDEX('سجل التحفيز'!$M$5:$M$2004,MATCH($K144,'سجل التحفيز'!$W$5:$W$2004,0)))</f>
        <v/>
      </c>
      <c r="O144" s="9">
        <f>IF($K144="","",INDEX('سجل التحفيز'!$C$5:$C$2004,MATCH($K144,'سجل التحفيز'!$W$5:$W$2004,0)))</f>
        <v/>
      </c>
      <c r="P144" s="36">
        <f>IF($K144="","",INDEX('سجل التحفيز'!$D$5:$D$2004,MATCH($K144,'سجل التحفيز'!$W$5:$W$2004,0)))</f>
        <v/>
      </c>
      <c r="Q144" s="9">
        <f>IF($K144="","",INDEX('سجل التحفيز'!$E$5:$E$2004,MATCH($K144,'سجل التحفيز'!$W$5:$W$2004,0)))</f>
        <v/>
      </c>
      <c r="R144" s="9">
        <f>IF($K144="","",INDEX('سجل التحفيز'!$F$5:$F$2004,MATCH($K144,'سجل التحفيز'!$W$5:$W$2004,0)))</f>
        <v/>
      </c>
      <c r="S144" s="35">
        <f>IF($K144="","",INDEX('سجل التحفيز'!$G$5:$G$2004,MATCH($K144,'سجل التحفيز'!$W$5:$W$2004,0)))</f>
        <v/>
      </c>
    </row>
    <row r="145">
      <c r="B145" s="34">
        <f>IFERROR(INDEX(الموظفات!$B$5:$B$304,MATCH(108,الموظفات!$Q$5:$Q$304,0)),"")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التحفيز'!$W$5:$W$2004,"&gt;0",'سجل التحفيز'!$B$5:$B$2004,B145))</f>
        <v/>
      </c>
      <c r="E145" s="35">
        <f>IF(B145="","",COUNTIFS('سجل التحفيز'!$W$5:$W$2004,"&gt;0",'سجل التحفيز'!$B$5:$B$2004,B145,'سجل التحفيز'!$D$5:$D$2004,"ذهبي"))</f>
        <v/>
      </c>
      <c r="F145" s="35">
        <f>IF(B145="","",SUMIFS('سجل التحفيز'!$G$5:$G$2004,'سجل التحفيز'!$W$5:$W$2004,"&gt;0",'سجل التحفيز'!$B$5:$B$2004,B145))</f>
        <v/>
      </c>
      <c r="G145" s="35">
        <f>IF(B145="","",COUNTIF($D$38:$D$187,"&gt;"&amp;D145)+1)</f>
        <v/>
      </c>
      <c r="H145" s="35">
        <f>IF(B145="","",INDEX(الموظفات!$L$5:$L$304,MATCH(B145,الموظفات!$B$5:$B$304,0)))</f>
        <v/>
      </c>
      <c r="K145" s="36">
        <f>IF(108&gt;$B$10,"",108)</f>
        <v/>
      </c>
      <c r="L145" s="37">
        <f>IF($K145="","",INDEX('سجل التحفيز'!$A$5:$A$2004,MATCH($K145,'سجل التحفيز'!$W$5:$W$2004,0)))</f>
        <v/>
      </c>
      <c r="M145" s="9">
        <f>IF($K145="","",INDEX('سجل التحفيز'!$B$5:$B$2004,MATCH($K145,'سجل التحفيز'!$W$5:$W$2004,0)))</f>
        <v/>
      </c>
      <c r="N145" s="9">
        <f>IF($K145="","",INDEX('سجل التحفيز'!$M$5:$M$2004,MATCH($K145,'سجل التحفيز'!$W$5:$W$2004,0)))</f>
        <v/>
      </c>
      <c r="O145" s="9">
        <f>IF($K145="","",INDEX('سجل التحفيز'!$C$5:$C$2004,MATCH($K145,'سجل التحفيز'!$W$5:$W$2004,0)))</f>
        <v/>
      </c>
      <c r="P145" s="36">
        <f>IF($K145="","",INDEX('سجل التحفيز'!$D$5:$D$2004,MATCH($K145,'سجل التحفيز'!$W$5:$W$2004,0)))</f>
        <v/>
      </c>
      <c r="Q145" s="9">
        <f>IF($K145="","",INDEX('سجل التحفيز'!$E$5:$E$2004,MATCH($K145,'سجل التحفيز'!$W$5:$W$2004,0)))</f>
        <v/>
      </c>
      <c r="R145" s="9">
        <f>IF($K145="","",INDEX('سجل التحفيز'!$F$5:$F$2004,MATCH($K145,'سجل التحفيز'!$W$5:$W$2004,0)))</f>
        <v/>
      </c>
      <c r="S145" s="35">
        <f>IF($K145="","",INDEX('سجل التحفيز'!$G$5:$G$2004,MATCH($K145,'سجل التحفيز'!$W$5:$W$2004,0)))</f>
        <v/>
      </c>
    </row>
    <row r="146">
      <c r="B146" s="34">
        <f>IFERROR(INDEX(الموظفات!$B$5:$B$304,MATCH(109,الموظفات!$Q$5:$Q$304,0)),"")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التحفيز'!$W$5:$W$2004,"&gt;0",'سجل التحفيز'!$B$5:$B$2004,B146))</f>
        <v/>
      </c>
      <c r="E146" s="35">
        <f>IF(B146="","",COUNTIFS('سجل التحفيز'!$W$5:$W$2004,"&gt;0",'سجل التحفيز'!$B$5:$B$2004,B146,'سجل التحفيز'!$D$5:$D$2004,"ذهبي"))</f>
        <v/>
      </c>
      <c r="F146" s="35">
        <f>IF(B146="","",SUMIFS('سجل التحفيز'!$G$5:$G$2004,'سجل التحفيز'!$W$5:$W$2004,"&gt;0",'سجل التحفيز'!$B$5:$B$2004,B146))</f>
        <v/>
      </c>
      <c r="G146" s="35">
        <f>IF(B146="","",COUNTIF($D$38:$D$187,"&gt;"&amp;D146)+1)</f>
        <v/>
      </c>
      <c r="H146" s="35">
        <f>IF(B146="","",INDEX(الموظفات!$L$5:$L$304,MATCH(B146,الموظفات!$B$5:$B$304,0)))</f>
        <v/>
      </c>
      <c r="K146" s="36">
        <f>IF(109&gt;$B$10,"",109)</f>
        <v/>
      </c>
      <c r="L146" s="37">
        <f>IF($K146="","",INDEX('سجل التحفيز'!$A$5:$A$2004,MATCH($K146,'سجل التحفيز'!$W$5:$W$2004,0)))</f>
        <v/>
      </c>
      <c r="M146" s="9">
        <f>IF($K146="","",INDEX('سجل التحفيز'!$B$5:$B$2004,MATCH($K146,'سجل التحفيز'!$W$5:$W$2004,0)))</f>
        <v/>
      </c>
      <c r="N146" s="9">
        <f>IF($K146="","",INDEX('سجل التحفيز'!$M$5:$M$2004,MATCH($K146,'سجل التحفيز'!$W$5:$W$2004,0)))</f>
        <v/>
      </c>
      <c r="O146" s="9">
        <f>IF($K146="","",INDEX('سجل التحفيز'!$C$5:$C$2004,MATCH($K146,'سجل التحفيز'!$W$5:$W$2004,0)))</f>
        <v/>
      </c>
      <c r="P146" s="36">
        <f>IF($K146="","",INDEX('سجل التحفيز'!$D$5:$D$2004,MATCH($K146,'سجل التحفيز'!$W$5:$W$2004,0)))</f>
        <v/>
      </c>
      <c r="Q146" s="9">
        <f>IF($K146="","",INDEX('سجل التحفيز'!$E$5:$E$2004,MATCH($K146,'سجل التحفيز'!$W$5:$W$2004,0)))</f>
        <v/>
      </c>
      <c r="R146" s="9">
        <f>IF($K146="","",INDEX('سجل التحفيز'!$F$5:$F$2004,MATCH($K146,'سجل التحفيز'!$W$5:$W$2004,0)))</f>
        <v/>
      </c>
      <c r="S146" s="35">
        <f>IF($K146="","",INDEX('سجل التحفيز'!$G$5:$G$2004,MATCH($K146,'سجل التحفيز'!$W$5:$W$2004,0)))</f>
        <v/>
      </c>
    </row>
    <row r="147">
      <c r="B147" s="34">
        <f>IFERROR(INDEX(الموظفات!$B$5:$B$304,MATCH(110,الموظفات!$Q$5:$Q$304,0)),"")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التحفيز'!$W$5:$W$2004,"&gt;0",'سجل التحفيز'!$B$5:$B$2004,B147))</f>
        <v/>
      </c>
      <c r="E147" s="35">
        <f>IF(B147="","",COUNTIFS('سجل التحفيز'!$W$5:$W$2004,"&gt;0",'سجل التحفيز'!$B$5:$B$2004,B147,'سجل التحفيز'!$D$5:$D$2004,"ذهبي"))</f>
        <v/>
      </c>
      <c r="F147" s="35">
        <f>IF(B147="","",SUMIFS('سجل التحفيز'!$G$5:$G$2004,'سجل التحفيز'!$W$5:$W$2004,"&gt;0",'سجل التحفيز'!$B$5:$B$2004,B147))</f>
        <v/>
      </c>
      <c r="G147" s="35">
        <f>IF(B147="","",COUNTIF($D$38:$D$187,"&gt;"&amp;D147)+1)</f>
        <v/>
      </c>
      <c r="H147" s="35">
        <f>IF(B147="","",INDEX(الموظفات!$L$5:$L$304,MATCH(B147,الموظفات!$B$5:$B$304,0)))</f>
        <v/>
      </c>
      <c r="K147" s="36">
        <f>IF(110&gt;$B$10,"",110)</f>
        <v/>
      </c>
      <c r="L147" s="37">
        <f>IF($K147="","",INDEX('سجل التحفيز'!$A$5:$A$2004,MATCH($K147,'سجل التحفيز'!$W$5:$W$2004,0)))</f>
        <v/>
      </c>
      <c r="M147" s="9">
        <f>IF($K147="","",INDEX('سجل التحفيز'!$B$5:$B$2004,MATCH($K147,'سجل التحفيز'!$W$5:$W$2004,0)))</f>
        <v/>
      </c>
      <c r="N147" s="9">
        <f>IF($K147="","",INDEX('سجل التحفيز'!$M$5:$M$2004,MATCH($K147,'سجل التحفيز'!$W$5:$W$2004,0)))</f>
        <v/>
      </c>
      <c r="O147" s="9">
        <f>IF($K147="","",INDEX('سجل التحفيز'!$C$5:$C$2004,MATCH($K147,'سجل التحفيز'!$W$5:$W$2004,0)))</f>
        <v/>
      </c>
      <c r="P147" s="36">
        <f>IF($K147="","",INDEX('سجل التحفيز'!$D$5:$D$2004,MATCH($K147,'سجل التحفيز'!$W$5:$W$2004,0)))</f>
        <v/>
      </c>
      <c r="Q147" s="9">
        <f>IF($K147="","",INDEX('سجل التحفيز'!$E$5:$E$2004,MATCH($K147,'سجل التحفيز'!$W$5:$W$2004,0)))</f>
        <v/>
      </c>
      <c r="R147" s="9">
        <f>IF($K147="","",INDEX('سجل التحفيز'!$F$5:$F$2004,MATCH($K147,'سجل التحفيز'!$W$5:$W$2004,0)))</f>
        <v/>
      </c>
      <c r="S147" s="35">
        <f>IF($K147="","",INDEX('سجل التحفيز'!$G$5:$G$2004,MATCH($K147,'سجل التحفيز'!$W$5:$W$2004,0)))</f>
        <v/>
      </c>
    </row>
    <row r="148">
      <c r="B148" s="34">
        <f>IFERROR(INDEX(الموظفات!$B$5:$B$304,MATCH(111,الموظفات!$Q$5:$Q$304,0)),"")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التحفيز'!$W$5:$W$2004,"&gt;0",'سجل التحفيز'!$B$5:$B$2004,B148))</f>
        <v/>
      </c>
      <c r="E148" s="35">
        <f>IF(B148="","",COUNTIFS('سجل التحفيز'!$W$5:$W$2004,"&gt;0",'سجل التحفيز'!$B$5:$B$2004,B148,'سجل التحفيز'!$D$5:$D$2004,"ذهبي"))</f>
        <v/>
      </c>
      <c r="F148" s="35">
        <f>IF(B148="","",SUMIFS('سجل التحفيز'!$G$5:$G$2004,'سجل التحفيز'!$W$5:$W$2004,"&gt;0",'سجل التحفيز'!$B$5:$B$2004,B148))</f>
        <v/>
      </c>
      <c r="G148" s="35">
        <f>IF(B148="","",COUNTIF($D$38:$D$187,"&gt;"&amp;D148)+1)</f>
        <v/>
      </c>
      <c r="H148" s="35">
        <f>IF(B148="","",INDEX(الموظفات!$L$5:$L$304,MATCH(B148,الموظفات!$B$5:$B$304,0)))</f>
        <v/>
      </c>
      <c r="K148" s="36">
        <f>IF(111&gt;$B$10,"",111)</f>
        <v/>
      </c>
      <c r="L148" s="37">
        <f>IF($K148="","",INDEX('سجل التحفيز'!$A$5:$A$2004,MATCH($K148,'سجل التحفيز'!$W$5:$W$2004,0)))</f>
        <v/>
      </c>
      <c r="M148" s="9">
        <f>IF($K148="","",INDEX('سجل التحفيز'!$B$5:$B$2004,MATCH($K148,'سجل التحفيز'!$W$5:$W$2004,0)))</f>
        <v/>
      </c>
      <c r="N148" s="9">
        <f>IF($K148="","",INDEX('سجل التحفيز'!$M$5:$M$2004,MATCH($K148,'سجل التحفيز'!$W$5:$W$2004,0)))</f>
        <v/>
      </c>
      <c r="O148" s="9">
        <f>IF($K148="","",INDEX('سجل التحفيز'!$C$5:$C$2004,MATCH($K148,'سجل التحفيز'!$W$5:$W$2004,0)))</f>
        <v/>
      </c>
      <c r="P148" s="36">
        <f>IF($K148="","",INDEX('سجل التحفيز'!$D$5:$D$2004,MATCH($K148,'سجل التحفيز'!$W$5:$W$2004,0)))</f>
        <v/>
      </c>
      <c r="Q148" s="9">
        <f>IF($K148="","",INDEX('سجل التحفيز'!$E$5:$E$2004,MATCH($K148,'سجل التحفيز'!$W$5:$W$2004,0)))</f>
        <v/>
      </c>
      <c r="R148" s="9">
        <f>IF($K148="","",INDEX('سجل التحفيز'!$F$5:$F$2004,MATCH($K148,'سجل التحفيز'!$W$5:$W$2004,0)))</f>
        <v/>
      </c>
      <c r="S148" s="35">
        <f>IF($K148="","",INDEX('سجل التحفيز'!$G$5:$G$2004,MATCH($K148,'سجل التحفيز'!$W$5:$W$2004,0)))</f>
        <v/>
      </c>
    </row>
    <row r="149">
      <c r="B149" s="34">
        <f>IFERROR(INDEX(الموظفات!$B$5:$B$304,MATCH(112,الموظفات!$Q$5:$Q$304,0)),"")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التحفيز'!$W$5:$W$2004,"&gt;0",'سجل التحفيز'!$B$5:$B$2004,B149))</f>
        <v/>
      </c>
      <c r="E149" s="35">
        <f>IF(B149="","",COUNTIFS('سجل التحفيز'!$W$5:$W$2004,"&gt;0",'سجل التحفيز'!$B$5:$B$2004,B149,'سجل التحفيز'!$D$5:$D$2004,"ذهبي"))</f>
        <v/>
      </c>
      <c r="F149" s="35">
        <f>IF(B149="","",SUMIFS('سجل التحفيز'!$G$5:$G$2004,'سجل التحفيز'!$W$5:$W$2004,"&gt;0",'سجل التحفيز'!$B$5:$B$2004,B149))</f>
        <v/>
      </c>
      <c r="G149" s="35">
        <f>IF(B149="","",COUNTIF($D$38:$D$187,"&gt;"&amp;D149)+1)</f>
        <v/>
      </c>
      <c r="H149" s="35">
        <f>IF(B149="","",INDEX(الموظفات!$L$5:$L$304,MATCH(B149,الموظفات!$B$5:$B$304,0)))</f>
        <v/>
      </c>
      <c r="K149" s="36">
        <f>IF(112&gt;$B$10,"",112)</f>
        <v/>
      </c>
      <c r="L149" s="37">
        <f>IF($K149="","",INDEX('سجل التحفيز'!$A$5:$A$2004,MATCH($K149,'سجل التحفيز'!$W$5:$W$2004,0)))</f>
        <v/>
      </c>
      <c r="M149" s="9">
        <f>IF($K149="","",INDEX('سجل التحفيز'!$B$5:$B$2004,MATCH($K149,'سجل التحفيز'!$W$5:$W$2004,0)))</f>
        <v/>
      </c>
      <c r="N149" s="9">
        <f>IF($K149="","",INDEX('سجل التحفيز'!$M$5:$M$2004,MATCH($K149,'سجل التحفيز'!$W$5:$W$2004,0)))</f>
        <v/>
      </c>
      <c r="O149" s="9">
        <f>IF($K149="","",INDEX('سجل التحفيز'!$C$5:$C$2004,MATCH($K149,'سجل التحفيز'!$W$5:$W$2004,0)))</f>
        <v/>
      </c>
      <c r="P149" s="36">
        <f>IF($K149="","",INDEX('سجل التحفيز'!$D$5:$D$2004,MATCH($K149,'سجل التحفيز'!$W$5:$W$2004,0)))</f>
        <v/>
      </c>
      <c r="Q149" s="9">
        <f>IF($K149="","",INDEX('سجل التحفيز'!$E$5:$E$2004,MATCH($K149,'سجل التحفيز'!$W$5:$W$2004,0)))</f>
        <v/>
      </c>
      <c r="R149" s="9">
        <f>IF($K149="","",INDEX('سجل التحفيز'!$F$5:$F$2004,MATCH($K149,'سجل التحفيز'!$W$5:$W$2004,0)))</f>
        <v/>
      </c>
      <c r="S149" s="35">
        <f>IF($K149="","",INDEX('سجل التحفيز'!$G$5:$G$2004,MATCH($K149,'سجل التحفيز'!$W$5:$W$2004,0)))</f>
        <v/>
      </c>
    </row>
    <row r="150">
      <c r="B150" s="34">
        <f>IFERROR(INDEX(الموظفات!$B$5:$B$304,MATCH(113,الموظفات!$Q$5:$Q$304,0)),"")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التحفيز'!$W$5:$W$2004,"&gt;0",'سجل التحفيز'!$B$5:$B$2004,B150))</f>
        <v/>
      </c>
      <c r="E150" s="35">
        <f>IF(B150="","",COUNTIFS('سجل التحفيز'!$W$5:$W$2004,"&gt;0",'سجل التحفيز'!$B$5:$B$2004,B150,'سجل التحفيز'!$D$5:$D$2004,"ذهبي"))</f>
        <v/>
      </c>
      <c r="F150" s="35">
        <f>IF(B150="","",SUMIFS('سجل التحفيز'!$G$5:$G$2004,'سجل التحفيز'!$W$5:$W$2004,"&gt;0",'سجل التحفيز'!$B$5:$B$2004,B150))</f>
        <v/>
      </c>
      <c r="G150" s="35">
        <f>IF(B150="","",COUNTIF($D$38:$D$187,"&gt;"&amp;D150)+1)</f>
        <v/>
      </c>
      <c r="H150" s="35">
        <f>IF(B150="","",INDEX(الموظفات!$L$5:$L$304,MATCH(B150,الموظفات!$B$5:$B$304,0)))</f>
        <v/>
      </c>
      <c r="K150" s="36">
        <f>IF(113&gt;$B$10,"",113)</f>
        <v/>
      </c>
      <c r="L150" s="37">
        <f>IF($K150="","",INDEX('سجل التحفيز'!$A$5:$A$2004,MATCH($K150,'سجل التحفيز'!$W$5:$W$2004,0)))</f>
        <v/>
      </c>
      <c r="M150" s="9">
        <f>IF($K150="","",INDEX('سجل التحفيز'!$B$5:$B$2004,MATCH($K150,'سجل التحفيز'!$W$5:$W$2004,0)))</f>
        <v/>
      </c>
      <c r="N150" s="9">
        <f>IF($K150="","",INDEX('سجل التحفيز'!$M$5:$M$2004,MATCH($K150,'سجل التحفيز'!$W$5:$W$2004,0)))</f>
        <v/>
      </c>
      <c r="O150" s="9">
        <f>IF($K150="","",INDEX('سجل التحفيز'!$C$5:$C$2004,MATCH($K150,'سجل التحفيز'!$W$5:$W$2004,0)))</f>
        <v/>
      </c>
      <c r="P150" s="36">
        <f>IF($K150="","",INDEX('سجل التحفيز'!$D$5:$D$2004,MATCH($K150,'سجل التحفيز'!$W$5:$W$2004,0)))</f>
        <v/>
      </c>
      <c r="Q150" s="9">
        <f>IF($K150="","",INDEX('سجل التحفيز'!$E$5:$E$2004,MATCH($K150,'سجل التحفيز'!$W$5:$W$2004,0)))</f>
        <v/>
      </c>
      <c r="R150" s="9">
        <f>IF($K150="","",INDEX('سجل التحفيز'!$F$5:$F$2004,MATCH($K150,'سجل التحفيز'!$W$5:$W$2004,0)))</f>
        <v/>
      </c>
      <c r="S150" s="35">
        <f>IF($K150="","",INDEX('سجل التحفيز'!$G$5:$G$2004,MATCH($K150,'سجل التحفيز'!$W$5:$W$2004,0)))</f>
        <v/>
      </c>
    </row>
    <row r="151">
      <c r="B151" s="34">
        <f>IFERROR(INDEX(الموظفات!$B$5:$B$304,MATCH(114,الموظفات!$Q$5:$Q$304,0)),"")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التحفيز'!$W$5:$W$2004,"&gt;0",'سجل التحفيز'!$B$5:$B$2004,B151))</f>
        <v/>
      </c>
      <c r="E151" s="35">
        <f>IF(B151="","",COUNTIFS('سجل التحفيز'!$W$5:$W$2004,"&gt;0",'سجل التحفيز'!$B$5:$B$2004,B151,'سجل التحفيز'!$D$5:$D$2004,"ذهبي"))</f>
        <v/>
      </c>
      <c r="F151" s="35">
        <f>IF(B151="","",SUMIFS('سجل التحفيز'!$G$5:$G$2004,'سجل التحفيز'!$W$5:$W$2004,"&gt;0",'سجل التحفيز'!$B$5:$B$2004,B151))</f>
        <v/>
      </c>
      <c r="G151" s="35">
        <f>IF(B151="","",COUNTIF($D$38:$D$187,"&gt;"&amp;D151)+1)</f>
        <v/>
      </c>
      <c r="H151" s="35">
        <f>IF(B151="","",INDEX(الموظفات!$L$5:$L$304,MATCH(B151,الموظفات!$B$5:$B$304,0)))</f>
        <v/>
      </c>
      <c r="K151" s="36">
        <f>IF(114&gt;$B$10,"",114)</f>
        <v/>
      </c>
      <c r="L151" s="37">
        <f>IF($K151="","",INDEX('سجل التحفيز'!$A$5:$A$2004,MATCH($K151,'سجل التحفيز'!$W$5:$W$2004,0)))</f>
        <v/>
      </c>
      <c r="M151" s="9">
        <f>IF($K151="","",INDEX('سجل التحفيز'!$B$5:$B$2004,MATCH($K151,'سجل التحفيز'!$W$5:$W$2004,0)))</f>
        <v/>
      </c>
      <c r="N151" s="9">
        <f>IF($K151="","",INDEX('سجل التحفيز'!$M$5:$M$2004,MATCH($K151,'سجل التحفيز'!$W$5:$W$2004,0)))</f>
        <v/>
      </c>
      <c r="O151" s="9">
        <f>IF($K151="","",INDEX('سجل التحفيز'!$C$5:$C$2004,MATCH($K151,'سجل التحفيز'!$W$5:$W$2004,0)))</f>
        <v/>
      </c>
      <c r="P151" s="36">
        <f>IF($K151="","",INDEX('سجل التحفيز'!$D$5:$D$2004,MATCH($K151,'سجل التحفيز'!$W$5:$W$2004,0)))</f>
        <v/>
      </c>
      <c r="Q151" s="9">
        <f>IF($K151="","",INDEX('سجل التحفيز'!$E$5:$E$2004,MATCH($K151,'سجل التحفيز'!$W$5:$W$2004,0)))</f>
        <v/>
      </c>
      <c r="R151" s="9">
        <f>IF($K151="","",INDEX('سجل التحفيز'!$F$5:$F$2004,MATCH($K151,'سجل التحفيز'!$W$5:$W$2004,0)))</f>
        <v/>
      </c>
      <c r="S151" s="35">
        <f>IF($K151="","",INDEX('سجل التحفيز'!$G$5:$G$2004,MATCH($K151,'سجل التحفيز'!$W$5:$W$2004,0)))</f>
        <v/>
      </c>
    </row>
    <row r="152">
      <c r="B152" s="34">
        <f>IFERROR(INDEX(الموظفات!$B$5:$B$304,MATCH(115,الموظفات!$Q$5:$Q$304,0)),"")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التحفيز'!$W$5:$W$2004,"&gt;0",'سجل التحفيز'!$B$5:$B$2004,B152))</f>
        <v/>
      </c>
      <c r="E152" s="35">
        <f>IF(B152="","",COUNTIFS('سجل التحفيز'!$W$5:$W$2004,"&gt;0",'سجل التحفيز'!$B$5:$B$2004,B152,'سجل التحفيز'!$D$5:$D$2004,"ذهبي"))</f>
        <v/>
      </c>
      <c r="F152" s="35">
        <f>IF(B152="","",SUMIFS('سجل التحفيز'!$G$5:$G$2004,'سجل التحفيز'!$W$5:$W$2004,"&gt;0",'سجل التحفيز'!$B$5:$B$2004,B152))</f>
        <v/>
      </c>
      <c r="G152" s="35">
        <f>IF(B152="","",COUNTIF($D$38:$D$187,"&gt;"&amp;D152)+1)</f>
        <v/>
      </c>
      <c r="H152" s="35">
        <f>IF(B152="","",INDEX(الموظفات!$L$5:$L$304,MATCH(B152,الموظفات!$B$5:$B$304,0)))</f>
        <v/>
      </c>
      <c r="K152" s="36">
        <f>IF(115&gt;$B$10,"",115)</f>
        <v/>
      </c>
      <c r="L152" s="37">
        <f>IF($K152="","",INDEX('سجل التحفيز'!$A$5:$A$2004,MATCH($K152,'سجل التحفيز'!$W$5:$W$2004,0)))</f>
        <v/>
      </c>
      <c r="M152" s="9">
        <f>IF($K152="","",INDEX('سجل التحفيز'!$B$5:$B$2004,MATCH($K152,'سجل التحفيز'!$W$5:$W$2004,0)))</f>
        <v/>
      </c>
      <c r="N152" s="9">
        <f>IF($K152="","",INDEX('سجل التحفيز'!$M$5:$M$2004,MATCH($K152,'سجل التحفيز'!$W$5:$W$2004,0)))</f>
        <v/>
      </c>
      <c r="O152" s="9">
        <f>IF($K152="","",INDEX('سجل التحفيز'!$C$5:$C$2004,MATCH($K152,'سجل التحفيز'!$W$5:$W$2004,0)))</f>
        <v/>
      </c>
      <c r="P152" s="36">
        <f>IF($K152="","",INDEX('سجل التحفيز'!$D$5:$D$2004,MATCH($K152,'سجل التحفيز'!$W$5:$W$2004,0)))</f>
        <v/>
      </c>
      <c r="Q152" s="9">
        <f>IF($K152="","",INDEX('سجل التحفيز'!$E$5:$E$2004,MATCH($K152,'سجل التحفيز'!$W$5:$W$2004,0)))</f>
        <v/>
      </c>
      <c r="R152" s="9">
        <f>IF($K152="","",INDEX('سجل التحفيز'!$F$5:$F$2004,MATCH($K152,'سجل التحفيز'!$W$5:$W$2004,0)))</f>
        <v/>
      </c>
      <c r="S152" s="35">
        <f>IF($K152="","",INDEX('سجل التحفيز'!$G$5:$G$2004,MATCH($K152,'سجل التحفيز'!$W$5:$W$2004,0)))</f>
        <v/>
      </c>
    </row>
    <row r="153">
      <c r="B153" s="34">
        <f>IFERROR(INDEX(الموظفات!$B$5:$B$304,MATCH(116,الموظفات!$Q$5:$Q$304,0)),"")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التحفيز'!$W$5:$W$2004,"&gt;0",'سجل التحفيز'!$B$5:$B$2004,B153))</f>
        <v/>
      </c>
      <c r="E153" s="35">
        <f>IF(B153="","",COUNTIFS('سجل التحفيز'!$W$5:$W$2004,"&gt;0",'سجل التحفيز'!$B$5:$B$2004,B153,'سجل التحفيز'!$D$5:$D$2004,"ذهبي"))</f>
        <v/>
      </c>
      <c r="F153" s="35">
        <f>IF(B153="","",SUMIFS('سجل التحفيز'!$G$5:$G$2004,'سجل التحفيز'!$W$5:$W$2004,"&gt;0",'سجل التحفيز'!$B$5:$B$2004,B153))</f>
        <v/>
      </c>
      <c r="G153" s="35">
        <f>IF(B153="","",COUNTIF($D$38:$D$187,"&gt;"&amp;D153)+1)</f>
        <v/>
      </c>
      <c r="H153" s="35">
        <f>IF(B153="","",INDEX(الموظفات!$L$5:$L$304,MATCH(B153,الموظفات!$B$5:$B$304,0)))</f>
        <v/>
      </c>
      <c r="K153" s="36">
        <f>IF(116&gt;$B$10,"",116)</f>
        <v/>
      </c>
      <c r="L153" s="37">
        <f>IF($K153="","",INDEX('سجل التحفيز'!$A$5:$A$2004,MATCH($K153,'سجل التحفيز'!$W$5:$W$2004,0)))</f>
        <v/>
      </c>
      <c r="M153" s="9">
        <f>IF($K153="","",INDEX('سجل التحفيز'!$B$5:$B$2004,MATCH($K153,'سجل التحفيز'!$W$5:$W$2004,0)))</f>
        <v/>
      </c>
      <c r="N153" s="9">
        <f>IF($K153="","",INDEX('سجل التحفيز'!$M$5:$M$2004,MATCH($K153,'سجل التحفيز'!$W$5:$W$2004,0)))</f>
        <v/>
      </c>
      <c r="O153" s="9">
        <f>IF($K153="","",INDEX('سجل التحفيز'!$C$5:$C$2004,MATCH($K153,'سجل التحفيز'!$W$5:$W$2004,0)))</f>
        <v/>
      </c>
      <c r="P153" s="36">
        <f>IF($K153="","",INDEX('سجل التحفيز'!$D$5:$D$2004,MATCH($K153,'سجل التحفيز'!$W$5:$W$2004,0)))</f>
        <v/>
      </c>
      <c r="Q153" s="9">
        <f>IF($K153="","",INDEX('سجل التحفيز'!$E$5:$E$2004,MATCH($K153,'سجل التحفيز'!$W$5:$W$2004,0)))</f>
        <v/>
      </c>
      <c r="R153" s="9">
        <f>IF($K153="","",INDEX('سجل التحفيز'!$F$5:$F$2004,MATCH($K153,'سجل التحفيز'!$W$5:$W$2004,0)))</f>
        <v/>
      </c>
      <c r="S153" s="35">
        <f>IF($K153="","",INDEX('سجل التحفيز'!$G$5:$G$2004,MATCH($K153,'سجل التحفيز'!$W$5:$W$2004,0)))</f>
        <v/>
      </c>
    </row>
    <row r="154">
      <c r="B154" s="34">
        <f>IFERROR(INDEX(الموظفات!$B$5:$B$304,MATCH(117,الموظفات!$Q$5:$Q$304,0)),"")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التحفيز'!$W$5:$W$2004,"&gt;0",'سجل التحفيز'!$B$5:$B$2004,B154))</f>
        <v/>
      </c>
      <c r="E154" s="35">
        <f>IF(B154="","",COUNTIFS('سجل التحفيز'!$W$5:$W$2004,"&gt;0",'سجل التحفيز'!$B$5:$B$2004,B154,'سجل التحفيز'!$D$5:$D$2004,"ذهبي"))</f>
        <v/>
      </c>
      <c r="F154" s="35">
        <f>IF(B154="","",SUMIFS('سجل التحفيز'!$G$5:$G$2004,'سجل التحفيز'!$W$5:$W$2004,"&gt;0",'سجل التحفيز'!$B$5:$B$2004,B154))</f>
        <v/>
      </c>
      <c r="G154" s="35">
        <f>IF(B154="","",COUNTIF($D$38:$D$187,"&gt;"&amp;D154)+1)</f>
        <v/>
      </c>
      <c r="H154" s="35">
        <f>IF(B154="","",INDEX(الموظفات!$L$5:$L$304,MATCH(B154,الموظفات!$B$5:$B$304,0)))</f>
        <v/>
      </c>
      <c r="K154" s="36">
        <f>IF(117&gt;$B$10,"",117)</f>
        <v/>
      </c>
      <c r="L154" s="37">
        <f>IF($K154="","",INDEX('سجل التحفيز'!$A$5:$A$2004,MATCH($K154,'سجل التحفيز'!$W$5:$W$2004,0)))</f>
        <v/>
      </c>
      <c r="M154" s="9">
        <f>IF($K154="","",INDEX('سجل التحفيز'!$B$5:$B$2004,MATCH($K154,'سجل التحفيز'!$W$5:$W$2004,0)))</f>
        <v/>
      </c>
      <c r="N154" s="9">
        <f>IF($K154="","",INDEX('سجل التحفيز'!$M$5:$M$2004,MATCH($K154,'سجل التحفيز'!$W$5:$W$2004,0)))</f>
        <v/>
      </c>
      <c r="O154" s="9">
        <f>IF($K154="","",INDEX('سجل التحفيز'!$C$5:$C$2004,MATCH($K154,'سجل التحفيز'!$W$5:$W$2004,0)))</f>
        <v/>
      </c>
      <c r="P154" s="36">
        <f>IF($K154="","",INDEX('سجل التحفيز'!$D$5:$D$2004,MATCH($K154,'سجل التحفيز'!$W$5:$W$2004,0)))</f>
        <v/>
      </c>
      <c r="Q154" s="9">
        <f>IF($K154="","",INDEX('سجل التحفيز'!$E$5:$E$2004,MATCH($K154,'سجل التحفيز'!$W$5:$W$2004,0)))</f>
        <v/>
      </c>
      <c r="R154" s="9">
        <f>IF($K154="","",INDEX('سجل التحفيز'!$F$5:$F$2004,MATCH($K154,'سجل التحفيز'!$W$5:$W$2004,0)))</f>
        <v/>
      </c>
      <c r="S154" s="35">
        <f>IF($K154="","",INDEX('سجل التحفيز'!$G$5:$G$2004,MATCH($K154,'سجل التحفيز'!$W$5:$W$2004,0)))</f>
        <v/>
      </c>
    </row>
    <row r="155">
      <c r="B155" s="34">
        <f>IFERROR(INDEX(الموظفات!$B$5:$B$304,MATCH(118,الموظفات!$Q$5:$Q$304,0)),"")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التحفيز'!$W$5:$W$2004,"&gt;0",'سجل التحفيز'!$B$5:$B$2004,B155))</f>
        <v/>
      </c>
      <c r="E155" s="35">
        <f>IF(B155="","",COUNTIFS('سجل التحفيز'!$W$5:$W$2004,"&gt;0",'سجل التحفيز'!$B$5:$B$2004,B155,'سجل التحفيز'!$D$5:$D$2004,"ذهبي"))</f>
        <v/>
      </c>
      <c r="F155" s="35">
        <f>IF(B155="","",SUMIFS('سجل التحفيز'!$G$5:$G$2004,'سجل التحفيز'!$W$5:$W$2004,"&gt;0",'سجل التحفيز'!$B$5:$B$2004,B155))</f>
        <v/>
      </c>
      <c r="G155" s="35">
        <f>IF(B155="","",COUNTIF($D$38:$D$187,"&gt;"&amp;D155)+1)</f>
        <v/>
      </c>
      <c r="H155" s="35">
        <f>IF(B155="","",INDEX(الموظفات!$L$5:$L$304,MATCH(B155,الموظفات!$B$5:$B$304,0)))</f>
        <v/>
      </c>
      <c r="K155" s="36">
        <f>IF(118&gt;$B$10,"",118)</f>
        <v/>
      </c>
      <c r="L155" s="37">
        <f>IF($K155="","",INDEX('سجل التحفيز'!$A$5:$A$2004,MATCH($K155,'سجل التحفيز'!$W$5:$W$2004,0)))</f>
        <v/>
      </c>
      <c r="M155" s="9">
        <f>IF($K155="","",INDEX('سجل التحفيز'!$B$5:$B$2004,MATCH($K155,'سجل التحفيز'!$W$5:$W$2004,0)))</f>
        <v/>
      </c>
      <c r="N155" s="9">
        <f>IF($K155="","",INDEX('سجل التحفيز'!$M$5:$M$2004,MATCH($K155,'سجل التحفيز'!$W$5:$W$2004,0)))</f>
        <v/>
      </c>
      <c r="O155" s="9">
        <f>IF($K155="","",INDEX('سجل التحفيز'!$C$5:$C$2004,MATCH($K155,'سجل التحفيز'!$W$5:$W$2004,0)))</f>
        <v/>
      </c>
      <c r="P155" s="36">
        <f>IF($K155="","",INDEX('سجل التحفيز'!$D$5:$D$2004,MATCH($K155,'سجل التحفيز'!$W$5:$W$2004,0)))</f>
        <v/>
      </c>
      <c r="Q155" s="9">
        <f>IF($K155="","",INDEX('سجل التحفيز'!$E$5:$E$2004,MATCH($K155,'سجل التحفيز'!$W$5:$W$2004,0)))</f>
        <v/>
      </c>
      <c r="R155" s="9">
        <f>IF($K155="","",INDEX('سجل التحفيز'!$F$5:$F$2004,MATCH($K155,'سجل التحفيز'!$W$5:$W$2004,0)))</f>
        <v/>
      </c>
      <c r="S155" s="35">
        <f>IF($K155="","",INDEX('سجل التحفيز'!$G$5:$G$2004,MATCH($K155,'سجل التحفيز'!$W$5:$W$2004,0)))</f>
        <v/>
      </c>
    </row>
    <row r="156">
      <c r="B156" s="34">
        <f>IFERROR(INDEX(الموظفات!$B$5:$B$304,MATCH(119,الموظفات!$Q$5:$Q$304,0)),"")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التحفيز'!$W$5:$W$2004,"&gt;0",'سجل التحفيز'!$B$5:$B$2004,B156))</f>
        <v/>
      </c>
      <c r="E156" s="35">
        <f>IF(B156="","",COUNTIFS('سجل التحفيز'!$W$5:$W$2004,"&gt;0",'سجل التحفيز'!$B$5:$B$2004,B156,'سجل التحفيز'!$D$5:$D$2004,"ذهبي"))</f>
        <v/>
      </c>
      <c r="F156" s="35">
        <f>IF(B156="","",SUMIFS('سجل التحفيز'!$G$5:$G$2004,'سجل التحفيز'!$W$5:$W$2004,"&gt;0",'سجل التحفيز'!$B$5:$B$2004,B156))</f>
        <v/>
      </c>
      <c r="G156" s="35">
        <f>IF(B156="","",COUNTIF($D$38:$D$187,"&gt;"&amp;D156)+1)</f>
        <v/>
      </c>
      <c r="H156" s="35">
        <f>IF(B156="","",INDEX(الموظفات!$L$5:$L$304,MATCH(B156,الموظفات!$B$5:$B$304,0)))</f>
        <v/>
      </c>
      <c r="K156" s="36">
        <f>IF(119&gt;$B$10,"",119)</f>
        <v/>
      </c>
      <c r="L156" s="37">
        <f>IF($K156="","",INDEX('سجل التحفيز'!$A$5:$A$2004,MATCH($K156,'سجل التحفيز'!$W$5:$W$2004,0)))</f>
        <v/>
      </c>
      <c r="M156" s="9">
        <f>IF($K156="","",INDEX('سجل التحفيز'!$B$5:$B$2004,MATCH($K156,'سجل التحفيز'!$W$5:$W$2004,0)))</f>
        <v/>
      </c>
      <c r="N156" s="9">
        <f>IF($K156="","",INDEX('سجل التحفيز'!$M$5:$M$2004,MATCH($K156,'سجل التحفيز'!$W$5:$W$2004,0)))</f>
        <v/>
      </c>
      <c r="O156" s="9">
        <f>IF($K156="","",INDEX('سجل التحفيز'!$C$5:$C$2004,MATCH($K156,'سجل التحفيز'!$W$5:$W$2004,0)))</f>
        <v/>
      </c>
      <c r="P156" s="36">
        <f>IF($K156="","",INDEX('سجل التحفيز'!$D$5:$D$2004,MATCH($K156,'سجل التحفيز'!$W$5:$W$2004,0)))</f>
        <v/>
      </c>
      <c r="Q156" s="9">
        <f>IF($K156="","",INDEX('سجل التحفيز'!$E$5:$E$2004,MATCH($K156,'سجل التحفيز'!$W$5:$W$2004,0)))</f>
        <v/>
      </c>
      <c r="R156" s="9">
        <f>IF($K156="","",INDEX('سجل التحفيز'!$F$5:$F$2004,MATCH($K156,'سجل التحفيز'!$W$5:$W$2004,0)))</f>
        <v/>
      </c>
      <c r="S156" s="35">
        <f>IF($K156="","",INDEX('سجل التحفيز'!$G$5:$G$2004,MATCH($K156,'سجل التحفيز'!$W$5:$W$2004,0)))</f>
        <v/>
      </c>
    </row>
    <row r="157">
      <c r="B157" s="34">
        <f>IFERROR(INDEX(الموظفات!$B$5:$B$304,MATCH(120,الموظفات!$Q$5:$Q$304,0)),"")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التحفيز'!$W$5:$W$2004,"&gt;0",'سجل التحفيز'!$B$5:$B$2004,B157))</f>
        <v/>
      </c>
      <c r="E157" s="35">
        <f>IF(B157="","",COUNTIFS('سجل التحفيز'!$W$5:$W$2004,"&gt;0",'سجل التحفيز'!$B$5:$B$2004,B157,'سجل التحفيز'!$D$5:$D$2004,"ذهبي"))</f>
        <v/>
      </c>
      <c r="F157" s="35">
        <f>IF(B157="","",SUMIFS('سجل التحفيز'!$G$5:$G$2004,'سجل التحفيز'!$W$5:$W$2004,"&gt;0",'سجل التحفيز'!$B$5:$B$2004,B157))</f>
        <v/>
      </c>
      <c r="G157" s="35">
        <f>IF(B157="","",COUNTIF($D$38:$D$187,"&gt;"&amp;D157)+1)</f>
        <v/>
      </c>
      <c r="H157" s="35">
        <f>IF(B157="","",INDEX(الموظفات!$L$5:$L$304,MATCH(B157,الموظفات!$B$5:$B$304,0)))</f>
        <v/>
      </c>
      <c r="K157" s="36">
        <f>IF(120&gt;$B$10,"",120)</f>
        <v/>
      </c>
      <c r="L157" s="37">
        <f>IF($K157="","",INDEX('سجل التحفيز'!$A$5:$A$2004,MATCH($K157,'سجل التحفيز'!$W$5:$W$2004,0)))</f>
        <v/>
      </c>
      <c r="M157" s="9">
        <f>IF($K157="","",INDEX('سجل التحفيز'!$B$5:$B$2004,MATCH($K157,'سجل التحفيز'!$W$5:$W$2004,0)))</f>
        <v/>
      </c>
      <c r="N157" s="9">
        <f>IF($K157="","",INDEX('سجل التحفيز'!$M$5:$M$2004,MATCH($K157,'سجل التحفيز'!$W$5:$W$2004,0)))</f>
        <v/>
      </c>
      <c r="O157" s="9">
        <f>IF($K157="","",INDEX('سجل التحفيز'!$C$5:$C$2004,MATCH($K157,'سجل التحفيز'!$W$5:$W$2004,0)))</f>
        <v/>
      </c>
      <c r="P157" s="36">
        <f>IF($K157="","",INDEX('سجل التحفيز'!$D$5:$D$2004,MATCH($K157,'سجل التحفيز'!$W$5:$W$2004,0)))</f>
        <v/>
      </c>
      <c r="Q157" s="9">
        <f>IF($K157="","",INDEX('سجل التحفيز'!$E$5:$E$2004,MATCH($K157,'سجل التحفيز'!$W$5:$W$2004,0)))</f>
        <v/>
      </c>
      <c r="R157" s="9">
        <f>IF($K157="","",INDEX('سجل التحفيز'!$F$5:$F$2004,MATCH($K157,'سجل التحفيز'!$W$5:$W$2004,0)))</f>
        <v/>
      </c>
      <c r="S157" s="35">
        <f>IF($K157="","",INDEX('سجل التحفيز'!$G$5:$G$2004,MATCH($K157,'سجل التحفيز'!$W$5:$W$2004,0)))</f>
        <v/>
      </c>
    </row>
    <row r="158">
      <c r="B158" s="34">
        <f>IFERROR(INDEX(الموظفات!$B$5:$B$304,MATCH(121,الموظفات!$Q$5:$Q$304,0)),"")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التحفيز'!$W$5:$W$2004,"&gt;0",'سجل التحفيز'!$B$5:$B$2004,B158))</f>
        <v/>
      </c>
      <c r="E158" s="35">
        <f>IF(B158="","",COUNTIFS('سجل التحفيز'!$W$5:$W$2004,"&gt;0",'سجل التحفيز'!$B$5:$B$2004,B158,'سجل التحفيز'!$D$5:$D$2004,"ذهبي"))</f>
        <v/>
      </c>
      <c r="F158" s="35">
        <f>IF(B158="","",SUMIFS('سجل التحفيز'!$G$5:$G$2004,'سجل التحفيز'!$W$5:$W$2004,"&gt;0",'سجل التحفيز'!$B$5:$B$2004,B158))</f>
        <v/>
      </c>
      <c r="G158" s="35">
        <f>IF(B158="","",COUNTIF($D$38:$D$187,"&gt;"&amp;D158)+1)</f>
        <v/>
      </c>
      <c r="H158" s="35">
        <f>IF(B158="","",INDEX(الموظفات!$L$5:$L$304,MATCH(B158,الموظفات!$B$5:$B$304,0)))</f>
        <v/>
      </c>
      <c r="K158" s="36">
        <f>IF(121&gt;$B$10,"",121)</f>
        <v/>
      </c>
      <c r="L158" s="37">
        <f>IF($K158="","",INDEX('سجل التحفيز'!$A$5:$A$2004,MATCH($K158,'سجل التحفيز'!$W$5:$W$2004,0)))</f>
        <v/>
      </c>
      <c r="M158" s="9">
        <f>IF($K158="","",INDEX('سجل التحفيز'!$B$5:$B$2004,MATCH($K158,'سجل التحفيز'!$W$5:$W$2004,0)))</f>
        <v/>
      </c>
      <c r="N158" s="9">
        <f>IF($K158="","",INDEX('سجل التحفيز'!$M$5:$M$2004,MATCH($K158,'سجل التحفيز'!$W$5:$W$2004,0)))</f>
        <v/>
      </c>
      <c r="O158" s="9">
        <f>IF($K158="","",INDEX('سجل التحفيز'!$C$5:$C$2004,MATCH($K158,'سجل التحفيز'!$W$5:$W$2004,0)))</f>
        <v/>
      </c>
      <c r="P158" s="36">
        <f>IF($K158="","",INDEX('سجل التحفيز'!$D$5:$D$2004,MATCH($K158,'سجل التحفيز'!$W$5:$W$2004,0)))</f>
        <v/>
      </c>
      <c r="Q158" s="9">
        <f>IF($K158="","",INDEX('سجل التحفيز'!$E$5:$E$2004,MATCH($K158,'سجل التحفيز'!$W$5:$W$2004,0)))</f>
        <v/>
      </c>
      <c r="R158" s="9">
        <f>IF($K158="","",INDEX('سجل التحفيز'!$F$5:$F$2004,MATCH($K158,'سجل التحفيز'!$W$5:$W$2004,0)))</f>
        <v/>
      </c>
      <c r="S158" s="35">
        <f>IF($K158="","",INDEX('سجل التحفيز'!$G$5:$G$2004,MATCH($K158,'سجل التحفيز'!$W$5:$W$2004,0)))</f>
        <v/>
      </c>
    </row>
    <row r="159">
      <c r="B159" s="34">
        <f>IFERROR(INDEX(الموظفات!$B$5:$B$304,MATCH(122,الموظفات!$Q$5:$Q$304,0)),"")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التحفيز'!$W$5:$W$2004,"&gt;0",'سجل التحفيز'!$B$5:$B$2004,B159))</f>
        <v/>
      </c>
      <c r="E159" s="35">
        <f>IF(B159="","",COUNTIFS('سجل التحفيز'!$W$5:$W$2004,"&gt;0",'سجل التحفيز'!$B$5:$B$2004,B159,'سجل التحفيز'!$D$5:$D$2004,"ذهبي"))</f>
        <v/>
      </c>
      <c r="F159" s="35">
        <f>IF(B159="","",SUMIFS('سجل التحفيز'!$G$5:$G$2004,'سجل التحفيز'!$W$5:$W$2004,"&gt;0",'سجل التحفيز'!$B$5:$B$2004,B159))</f>
        <v/>
      </c>
      <c r="G159" s="35">
        <f>IF(B159="","",COUNTIF($D$38:$D$187,"&gt;"&amp;D159)+1)</f>
        <v/>
      </c>
      <c r="H159" s="35">
        <f>IF(B159="","",INDEX(الموظفات!$L$5:$L$304,MATCH(B159,الموظفات!$B$5:$B$304,0)))</f>
        <v/>
      </c>
      <c r="K159" s="36">
        <f>IF(122&gt;$B$10,"",122)</f>
        <v/>
      </c>
      <c r="L159" s="37">
        <f>IF($K159="","",INDEX('سجل التحفيز'!$A$5:$A$2004,MATCH($K159,'سجل التحفيز'!$W$5:$W$2004,0)))</f>
        <v/>
      </c>
      <c r="M159" s="9">
        <f>IF($K159="","",INDEX('سجل التحفيز'!$B$5:$B$2004,MATCH($K159,'سجل التحفيز'!$W$5:$W$2004,0)))</f>
        <v/>
      </c>
      <c r="N159" s="9">
        <f>IF($K159="","",INDEX('سجل التحفيز'!$M$5:$M$2004,MATCH($K159,'سجل التحفيز'!$W$5:$W$2004,0)))</f>
        <v/>
      </c>
      <c r="O159" s="9">
        <f>IF($K159="","",INDEX('سجل التحفيز'!$C$5:$C$2004,MATCH($K159,'سجل التحفيز'!$W$5:$W$2004,0)))</f>
        <v/>
      </c>
      <c r="P159" s="36">
        <f>IF($K159="","",INDEX('سجل التحفيز'!$D$5:$D$2004,MATCH($K159,'سجل التحفيز'!$W$5:$W$2004,0)))</f>
        <v/>
      </c>
      <c r="Q159" s="9">
        <f>IF($K159="","",INDEX('سجل التحفيز'!$E$5:$E$2004,MATCH($K159,'سجل التحفيز'!$W$5:$W$2004,0)))</f>
        <v/>
      </c>
      <c r="R159" s="9">
        <f>IF($K159="","",INDEX('سجل التحفيز'!$F$5:$F$2004,MATCH($K159,'سجل التحفيز'!$W$5:$W$2004,0)))</f>
        <v/>
      </c>
      <c r="S159" s="35">
        <f>IF($K159="","",INDEX('سجل التحفيز'!$G$5:$G$2004,MATCH($K159,'سجل التحفيز'!$W$5:$W$2004,0)))</f>
        <v/>
      </c>
    </row>
    <row r="160">
      <c r="B160" s="34">
        <f>IFERROR(INDEX(الموظفات!$B$5:$B$304,MATCH(123,الموظفات!$Q$5:$Q$304,0)),"")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التحفيز'!$W$5:$W$2004,"&gt;0",'سجل التحفيز'!$B$5:$B$2004,B160))</f>
        <v/>
      </c>
      <c r="E160" s="35">
        <f>IF(B160="","",COUNTIFS('سجل التحفيز'!$W$5:$W$2004,"&gt;0",'سجل التحفيز'!$B$5:$B$2004,B160,'سجل التحفيز'!$D$5:$D$2004,"ذهبي"))</f>
        <v/>
      </c>
      <c r="F160" s="35">
        <f>IF(B160="","",SUMIFS('سجل التحفيز'!$G$5:$G$2004,'سجل التحفيز'!$W$5:$W$2004,"&gt;0",'سجل التحفيز'!$B$5:$B$2004,B160))</f>
        <v/>
      </c>
      <c r="G160" s="35">
        <f>IF(B160="","",COUNTIF($D$38:$D$187,"&gt;"&amp;D160)+1)</f>
        <v/>
      </c>
      <c r="H160" s="35">
        <f>IF(B160="","",INDEX(الموظفات!$L$5:$L$304,MATCH(B160,الموظفات!$B$5:$B$304,0)))</f>
        <v/>
      </c>
      <c r="K160" s="36">
        <f>IF(123&gt;$B$10,"",123)</f>
        <v/>
      </c>
      <c r="L160" s="37">
        <f>IF($K160="","",INDEX('سجل التحفيز'!$A$5:$A$2004,MATCH($K160,'سجل التحفيز'!$W$5:$W$2004,0)))</f>
        <v/>
      </c>
      <c r="M160" s="9">
        <f>IF($K160="","",INDEX('سجل التحفيز'!$B$5:$B$2004,MATCH($K160,'سجل التحفيز'!$W$5:$W$2004,0)))</f>
        <v/>
      </c>
      <c r="N160" s="9">
        <f>IF($K160="","",INDEX('سجل التحفيز'!$M$5:$M$2004,MATCH($K160,'سجل التحفيز'!$W$5:$W$2004,0)))</f>
        <v/>
      </c>
      <c r="O160" s="9">
        <f>IF($K160="","",INDEX('سجل التحفيز'!$C$5:$C$2004,MATCH($K160,'سجل التحفيز'!$W$5:$W$2004,0)))</f>
        <v/>
      </c>
      <c r="P160" s="36">
        <f>IF($K160="","",INDEX('سجل التحفيز'!$D$5:$D$2004,MATCH($K160,'سجل التحفيز'!$W$5:$W$2004,0)))</f>
        <v/>
      </c>
      <c r="Q160" s="9">
        <f>IF($K160="","",INDEX('سجل التحفيز'!$E$5:$E$2004,MATCH($K160,'سجل التحفيز'!$W$5:$W$2004,0)))</f>
        <v/>
      </c>
      <c r="R160" s="9">
        <f>IF($K160="","",INDEX('سجل التحفيز'!$F$5:$F$2004,MATCH($K160,'سجل التحفيز'!$W$5:$W$2004,0)))</f>
        <v/>
      </c>
      <c r="S160" s="35">
        <f>IF($K160="","",INDEX('سجل التحفيز'!$G$5:$G$2004,MATCH($K160,'سجل التحفيز'!$W$5:$W$2004,0)))</f>
        <v/>
      </c>
    </row>
    <row r="161">
      <c r="B161" s="34">
        <f>IFERROR(INDEX(الموظفات!$B$5:$B$304,MATCH(124,الموظفات!$Q$5:$Q$304,0)),"")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التحفيز'!$W$5:$W$2004,"&gt;0",'سجل التحفيز'!$B$5:$B$2004,B161))</f>
        <v/>
      </c>
      <c r="E161" s="35">
        <f>IF(B161="","",COUNTIFS('سجل التحفيز'!$W$5:$W$2004,"&gt;0",'سجل التحفيز'!$B$5:$B$2004,B161,'سجل التحفيز'!$D$5:$D$2004,"ذهبي"))</f>
        <v/>
      </c>
      <c r="F161" s="35">
        <f>IF(B161="","",SUMIFS('سجل التحفيز'!$G$5:$G$2004,'سجل التحفيز'!$W$5:$W$2004,"&gt;0",'سجل التحفيز'!$B$5:$B$2004,B161))</f>
        <v/>
      </c>
      <c r="G161" s="35">
        <f>IF(B161="","",COUNTIF($D$38:$D$187,"&gt;"&amp;D161)+1)</f>
        <v/>
      </c>
      <c r="H161" s="35">
        <f>IF(B161="","",INDEX(الموظفات!$L$5:$L$304,MATCH(B161,الموظفات!$B$5:$B$304,0)))</f>
        <v/>
      </c>
      <c r="K161" s="36">
        <f>IF(124&gt;$B$10,"",124)</f>
        <v/>
      </c>
      <c r="L161" s="37">
        <f>IF($K161="","",INDEX('سجل التحفيز'!$A$5:$A$2004,MATCH($K161,'سجل التحفيز'!$W$5:$W$2004,0)))</f>
        <v/>
      </c>
      <c r="M161" s="9">
        <f>IF($K161="","",INDEX('سجل التحفيز'!$B$5:$B$2004,MATCH($K161,'سجل التحفيز'!$W$5:$W$2004,0)))</f>
        <v/>
      </c>
      <c r="N161" s="9">
        <f>IF($K161="","",INDEX('سجل التحفيز'!$M$5:$M$2004,MATCH($K161,'سجل التحفيز'!$W$5:$W$2004,0)))</f>
        <v/>
      </c>
      <c r="O161" s="9">
        <f>IF($K161="","",INDEX('سجل التحفيز'!$C$5:$C$2004,MATCH($K161,'سجل التحفيز'!$W$5:$W$2004,0)))</f>
        <v/>
      </c>
      <c r="P161" s="36">
        <f>IF($K161="","",INDEX('سجل التحفيز'!$D$5:$D$2004,MATCH($K161,'سجل التحفيز'!$W$5:$W$2004,0)))</f>
        <v/>
      </c>
      <c r="Q161" s="9">
        <f>IF($K161="","",INDEX('سجل التحفيز'!$E$5:$E$2004,MATCH($K161,'سجل التحفيز'!$W$5:$W$2004,0)))</f>
        <v/>
      </c>
      <c r="R161" s="9">
        <f>IF($K161="","",INDEX('سجل التحفيز'!$F$5:$F$2004,MATCH($K161,'سجل التحفيز'!$W$5:$W$2004,0)))</f>
        <v/>
      </c>
      <c r="S161" s="35">
        <f>IF($K161="","",INDEX('سجل التحفيز'!$G$5:$G$2004,MATCH($K161,'سجل التحفيز'!$W$5:$W$2004,0)))</f>
        <v/>
      </c>
    </row>
    <row r="162">
      <c r="B162" s="34">
        <f>IFERROR(INDEX(الموظفات!$B$5:$B$304,MATCH(125,الموظفات!$Q$5:$Q$304,0)),"")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التحفيز'!$W$5:$W$2004,"&gt;0",'سجل التحفيز'!$B$5:$B$2004,B162))</f>
        <v/>
      </c>
      <c r="E162" s="35">
        <f>IF(B162="","",COUNTIFS('سجل التحفيز'!$W$5:$W$2004,"&gt;0",'سجل التحفيز'!$B$5:$B$2004,B162,'سجل التحفيز'!$D$5:$D$2004,"ذهبي"))</f>
        <v/>
      </c>
      <c r="F162" s="35">
        <f>IF(B162="","",SUMIFS('سجل التحفيز'!$G$5:$G$2004,'سجل التحفيز'!$W$5:$W$2004,"&gt;0",'سجل التحفيز'!$B$5:$B$2004,B162))</f>
        <v/>
      </c>
      <c r="G162" s="35">
        <f>IF(B162="","",COUNTIF($D$38:$D$187,"&gt;"&amp;D162)+1)</f>
        <v/>
      </c>
      <c r="H162" s="35">
        <f>IF(B162="","",INDEX(الموظفات!$L$5:$L$304,MATCH(B162,الموظفات!$B$5:$B$304,0)))</f>
        <v/>
      </c>
      <c r="K162" s="36">
        <f>IF(125&gt;$B$10,"",125)</f>
        <v/>
      </c>
      <c r="L162" s="37">
        <f>IF($K162="","",INDEX('سجل التحفيز'!$A$5:$A$2004,MATCH($K162,'سجل التحفيز'!$W$5:$W$2004,0)))</f>
        <v/>
      </c>
      <c r="M162" s="9">
        <f>IF($K162="","",INDEX('سجل التحفيز'!$B$5:$B$2004,MATCH($K162,'سجل التحفيز'!$W$5:$W$2004,0)))</f>
        <v/>
      </c>
      <c r="N162" s="9">
        <f>IF($K162="","",INDEX('سجل التحفيز'!$M$5:$M$2004,MATCH($K162,'سجل التحفيز'!$W$5:$W$2004,0)))</f>
        <v/>
      </c>
      <c r="O162" s="9">
        <f>IF($K162="","",INDEX('سجل التحفيز'!$C$5:$C$2004,MATCH($K162,'سجل التحفيز'!$W$5:$W$2004,0)))</f>
        <v/>
      </c>
      <c r="P162" s="36">
        <f>IF($K162="","",INDEX('سجل التحفيز'!$D$5:$D$2004,MATCH($K162,'سجل التحفيز'!$W$5:$W$2004,0)))</f>
        <v/>
      </c>
      <c r="Q162" s="9">
        <f>IF($K162="","",INDEX('سجل التحفيز'!$E$5:$E$2004,MATCH($K162,'سجل التحفيز'!$W$5:$W$2004,0)))</f>
        <v/>
      </c>
      <c r="R162" s="9">
        <f>IF($K162="","",INDEX('سجل التحفيز'!$F$5:$F$2004,MATCH($K162,'سجل التحفيز'!$W$5:$W$2004,0)))</f>
        <v/>
      </c>
      <c r="S162" s="35">
        <f>IF($K162="","",INDEX('سجل التحفيز'!$G$5:$G$2004,MATCH($K162,'سجل التحفيز'!$W$5:$W$2004,0)))</f>
        <v/>
      </c>
    </row>
    <row r="163">
      <c r="B163" s="34">
        <f>IFERROR(INDEX(الموظفات!$B$5:$B$304,MATCH(126,الموظفات!$Q$5:$Q$304,0)),"")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التحفيز'!$W$5:$W$2004,"&gt;0",'سجل التحفيز'!$B$5:$B$2004,B163))</f>
        <v/>
      </c>
      <c r="E163" s="35">
        <f>IF(B163="","",COUNTIFS('سجل التحفيز'!$W$5:$W$2004,"&gt;0",'سجل التحفيز'!$B$5:$B$2004,B163,'سجل التحفيز'!$D$5:$D$2004,"ذهبي"))</f>
        <v/>
      </c>
      <c r="F163" s="35">
        <f>IF(B163="","",SUMIFS('سجل التحفيز'!$G$5:$G$2004,'سجل التحفيز'!$W$5:$W$2004,"&gt;0",'سجل التحفيز'!$B$5:$B$2004,B163))</f>
        <v/>
      </c>
      <c r="G163" s="35">
        <f>IF(B163="","",COUNTIF($D$38:$D$187,"&gt;"&amp;D163)+1)</f>
        <v/>
      </c>
      <c r="H163" s="35">
        <f>IF(B163="","",INDEX(الموظفات!$L$5:$L$304,MATCH(B163,الموظفات!$B$5:$B$304,0)))</f>
        <v/>
      </c>
      <c r="K163" s="36">
        <f>IF(126&gt;$B$10,"",126)</f>
        <v/>
      </c>
      <c r="L163" s="37">
        <f>IF($K163="","",INDEX('سجل التحفيز'!$A$5:$A$2004,MATCH($K163,'سجل التحفيز'!$W$5:$W$2004,0)))</f>
        <v/>
      </c>
      <c r="M163" s="9">
        <f>IF($K163="","",INDEX('سجل التحفيز'!$B$5:$B$2004,MATCH($K163,'سجل التحفيز'!$W$5:$W$2004,0)))</f>
        <v/>
      </c>
      <c r="N163" s="9">
        <f>IF($K163="","",INDEX('سجل التحفيز'!$M$5:$M$2004,MATCH($K163,'سجل التحفيز'!$W$5:$W$2004,0)))</f>
        <v/>
      </c>
      <c r="O163" s="9">
        <f>IF($K163="","",INDEX('سجل التحفيز'!$C$5:$C$2004,MATCH($K163,'سجل التحفيز'!$W$5:$W$2004,0)))</f>
        <v/>
      </c>
      <c r="P163" s="36">
        <f>IF($K163="","",INDEX('سجل التحفيز'!$D$5:$D$2004,MATCH($K163,'سجل التحفيز'!$W$5:$W$2004,0)))</f>
        <v/>
      </c>
      <c r="Q163" s="9">
        <f>IF($K163="","",INDEX('سجل التحفيز'!$E$5:$E$2004,MATCH($K163,'سجل التحفيز'!$W$5:$W$2004,0)))</f>
        <v/>
      </c>
      <c r="R163" s="9">
        <f>IF($K163="","",INDEX('سجل التحفيز'!$F$5:$F$2004,MATCH($K163,'سجل التحفيز'!$W$5:$W$2004,0)))</f>
        <v/>
      </c>
      <c r="S163" s="35">
        <f>IF($K163="","",INDEX('سجل التحفيز'!$G$5:$G$2004,MATCH($K163,'سجل التحفيز'!$W$5:$W$2004,0)))</f>
        <v/>
      </c>
    </row>
    <row r="164">
      <c r="B164" s="34">
        <f>IFERROR(INDEX(الموظفات!$B$5:$B$304,MATCH(127,الموظفات!$Q$5:$Q$304,0)),"")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التحفيز'!$W$5:$W$2004,"&gt;0",'سجل التحفيز'!$B$5:$B$2004,B164))</f>
        <v/>
      </c>
      <c r="E164" s="35">
        <f>IF(B164="","",COUNTIFS('سجل التحفيز'!$W$5:$W$2004,"&gt;0",'سجل التحفيز'!$B$5:$B$2004,B164,'سجل التحفيز'!$D$5:$D$2004,"ذهبي"))</f>
        <v/>
      </c>
      <c r="F164" s="35">
        <f>IF(B164="","",SUMIFS('سجل التحفيز'!$G$5:$G$2004,'سجل التحفيز'!$W$5:$W$2004,"&gt;0",'سجل التحفيز'!$B$5:$B$2004,B164))</f>
        <v/>
      </c>
      <c r="G164" s="35">
        <f>IF(B164="","",COUNTIF($D$38:$D$187,"&gt;"&amp;D164)+1)</f>
        <v/>
      </c>
      <c r="H164" s="35">
        <f>IF(B164="","",INDEX(الموظفات!$L$5:$L$304,MATCH(B164,الموظفات!$B$5:$B$304,0)))</f>
        <v/>
      </c>
      <c r="K164" s="36">
        <f>IF(127&gt;$B$10,"",127)</f>
        <v/>
      </c>
      <c r="L164" s="37">
        <f>IF($K164="","",INDEX('سجل التحفيز'!$A$5:$A$2004,MATCH($K164,'سجل التحفيز'!$W$5:$W$2004,0)))</f>
        <v/>
      </c>
      <c r="M164" s="9">
        <f>IF($K164="","",INDEX('سجل التحفيز'!$B$5:$B$2004,MATCH($K164,'سجل التحفيز'!$W$5:$W$2004,0)))</f>
        <v/>
      </c>
      <c r="N164" s="9">
        <f>IF($K164="","",INDEX('سجل التحفيز'!$M$5:$M$2004,MATCH($K164,'سجل التحفيز'!$W$5:$W$2004,0)))</f>
        <v/>
      </c>
      <c r="O164" s="9">
        <f>IF($K164="","",INDEX('سجل التحفيز'!$C$5:$C$2004,MATCH($K164,'سجل التحفيز'!$W$5:$W$2004,0)))</f>
        <v/>
      </c>
      <c r="P164" s="36">
        <f>IF($K164="","",INDEX('سجل التحفيز'!$D$5:$D$2004,MATCH($K164,'سجل التحفيز'!$W$5:$W$2004,0)))</f>
        <v/>
      </c>
      <c r="Q164" s="9">
        <f>IF($K164="","",INDEX('سجل التحفيز'!$E$5:$E$2004,MATCH($K164,'سجل التحفيز'!$W$5:$W$2004,0)))</f>
        <v/>
      </c>
      <c r="R164" s="9">
        <f>IF($K164="","",INDEX('سجل التحفيز'!$F$5:$F$2004,MATCH($K164,'سجل التحفيز'!$W$5:$W$2004,0)))</f>
        <v/>
      </c>
      <c r="S164" s="35">
        <f>IF($K164="","",INDEX('سجل التحفيز'!$G$5:$G$2004,MATCH($K164,'سجل التحفيز'!$W$5:$W$2004,0)))</f>
        <v/>
      </c>
    </row>
    <row r="165">
      <c r="B165" s="34">
        <f>IFERROR(INDEX(الموظفات!$B$5:$B$304,MATCH(128,الموظفات!$Q$5:$Q$304,0)),"")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التحفيز'!$W$5:$W$2004,"&gt;0",'سجل التحفيز'!$B$5:$B$2004,B165))</f>
        <v/>
      </c>
      <c r="E165" s="35">
        <f>IF(B165="","",COUNTIFS('سجل التحفيز'!$W$5:$W$2004,"&gt;0",'سجل التحفيز'!$B$5:$B$2004,B165,'سجل التحفيز'!$D$5:$D$2004,"ذهبي"))</f>
        <v/>
      </c>
      <c r="F165" s="35">
        <f>IF(B165="","",SUMIFS('سجل التحفيز'!$G$5:$G$2004,'سجل التحفيز'!$W$5:$W$2004,"&gt;0",'سجل التحفيز'!$B$5:$B$2004,B165))</f>
        <v/>
      </c>
      <c r="G165" s="35">
        <f>IF(B165="","",COUNTIF($D$38:$D$187,"&gt;"&amp;D165)+1)</f>
        <v/>
      </c>
      <c r="H165" s="35">
        <f>IF(B165="","",INDEX(الموظفات!$L$5:$L$304,MATCH(B165,الموظفات!$B$5:$B$304,0)))</f>
        <v/>
      </c>
      <c r="K165" s="36">
        <f>IF(128&gt;$B$10,"",128)</f>
        <v/>
      </c>
      <c r="L165" s="37">
        <f>IF($K165="","",INDEX('سجل التحفيز'!$A$5:$A$2004,MATCH($K165,'سجل التحفيز'!$W$5:$W$2004,0)))</f>
        <v/>
      </c>
      <c r="M165" s="9">
        <f>IF($K165="","",INDEX('سجل التحفيز'!$B$5:$B$2004,MATCH($K165,'سجل التحفيز'!$W$5:$W$2004,0)))</f>
        <v/>
      </c>
      <c r="N165" s="9">
        <f>IF($K165="","",INDEX('سجل التحفيز'!$M$5:$M$2004,MATCH($K165,'سجل التحفيز'!$W$5:$W$2004,0)))</f>
        <v/>
      </c>
      <c r="O165" s="9">
        <f>IF($K165="","",INDEX('سجل التحفيز'!$C$5:$C$2004,MATCH($K165,'سجل التحفيز'!$W$5:$W$2004,0)))</f>
        <v/>
      </c>
      <c r="P165" s="36">
        <f>IF($K165="","",INDEX('سجل التحفيز'!$D$5:$D$2004,MATCH($K165,'سجل التحفيز'!$W$5:$W$2004,0)))</f>
        <v/>
      </c>
      <c r="Q165" s="9">
        <f>IF($K165="","",INDEX('سجل التحفيز'!$E$5:$E$2004,MATCH($K165,'سجل التحفيز'!$W$5:$W$2004,0)))</f>
        <v/>
      </c>
      <c r="R165" s="9">
        <f>IF($K165="","",INDEX('سجل التحفيز'!$F$5:$F$2004,MATCH($K165,'سجل التحفيز'!$W$5:$W$2004,0)))</f>
        <v/>
      </c>
      <c r="S165" s="35">
        <f>IF($K165="","",INDEX('سجل التحفيز'!$G$5:$G$2004,MATCH($K165,'سجل التحفيز'!$W$5:$W$2004,0)))</f>
        <v/>
      </c>
    </row>
    <row r="166">
      <c r="B166" s="34">
        <f>IFERROR(INDEX(الموظفات!$B$5:$B$304,MATCH(129,الموظفات!$Q$5:$Q$304,0)),"")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التحفيز'!$W$5:$W$2004,"&gt;0",'سجل التحفيز'!$B$5:$B$2004,B166))</f>
        <v/>
      </c>
      <c r="E166" s="35">
        <f>IF(B166="","",COUNTIFS('سجل التحفيز'!$W$5:$W$2004,"&gt;0",'سجل التحفيز'!$B$5:$B$2004,B166,'سجل التحفيز'!$D$5:$D$2004,"ذهبي"))</f>
        <v/>
      </c>
      <c r="F166" s="35">
        <f>IF(B166="","",SUMIFS('سجل التحفيز'!$G$5:$G$2004,'سجل التحفيز'!$W$5:$W$2004,"&gt;0",'سجل التحفيز'!$B$5:$B$2004,B166))</f>
        <v/>
      </c>
      <c r="G166" s="35">
        <f>IF(B166="","",COUNTIF($D$38:$D$187,"&gt;"&amp;D166)+1)</f>
        <v/>
      </c>
      <c r="H166" s="35">
        <f>IF(B166="","",INDEX(الموظفات!$L$5:$L$304,MATCH(B166,الموظفات!$B$5:$B$304,0)))</f>
        <v/>
      </c>
      <c r="K166" s="36">
        <f>IF(129&gt;$B$10,"",129)</f>
        <v/>
      </c>
      <c r="L166" s="37">
        <f>IF($K166="","",INDEX('سجل التحفيز'!$A$5:$A$2004,MATCH($K166,'سجل التحفيز'!$W$5:$W$2004,0)))</f>
        <v/>
      </c>
      <c r="M166" s="9">
        <f>IF($K166="","",INDEX('سجل التحفيز'!$B$5:$B$2004,MATCH($K166,'سجل التحفيز'!$W$5:$W$2004,0)))</f>
        <v/>
      </c>
      <c r="N166" s="9">
        <f>IF($K166="","",INDEX('سجل التحفيز'!$M$5:$M$2004,MATCH($K166,'سجل التحفيز'!$W$5:$W$2004,0)))</f>
        <v/>
      </c>
      <c r="O166" s="9">
        <f>IF($K166="","",INDEX('سجل التحفيز'!$C$5:$C$2004,MATCH($K166,'سجل التحفيز'!$W$5:$W$2004,0)))</f>
        <v/>
      </c>
      <c r="P166" s="36">
        <f>IF($K166="","",INDEX('سجل التحفيز'!$D$5:$D$2004,MATCH($K166,'سجل التحفيز'!$W$5:$W$2004,0)))</f>
        <v/>
      </c>
      <c r="Q166" s="9">
        <f>IF($K166="","",INDEX('سجل التحفيز'!$E$5:$E$2004,MATCH($K166,'سجل التحفيز'!$W$5:$W$2004,0)))</f>
        <v/>
      </c>
      <c r="R166" s="9">
        <f>IF($K166="","",INDEX('سجل التحفيز'!$F$5:$F$2004,MATCH($K166,'سجل التحفيز'!$W$5:$W$2004,0)))</f>
        <v/>
      </c>
      <c r="S166" s="35">
        <f>IF($K166="","",INDEX('سجل التحفيز'!$G$5:$G$2004,MATCH($K166,'سجل التحفيز'!$W$5:$W$2004,0)))</f>
        <v/>
      </c>
    </row>
    <row r="167">
      <c r="B167" s="34">
        <f>IFERROR(INDEX(الموظفات!$B$5:$B$304,MATCH(130,الموظفات!$Q$5:$Q$304,0)),"")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التحفيز'!$W$5:$W$2004,"&gt;0",'سجل التحفيز'!$B$5:$B$2004,B167))</f>
        <v/>
      </c>
      <c r="E167" s="35">
        <f>IF(B167="","",COUNTIFS('سجل التحفيز'!$W$5:$W$2004,"&gt;0",'سجل التحفيز'!$B$5:$B$2004,B167,'سجل التحفيز'!$D$5:$D$2004,"ذهبي"))</f>
        <v/>
      </c>
      <c r="F167" s="35">
        <f>IF(B167="","",SUMIFS('سجل التحفيز'!$G$5:$G$2004,'سجل التحفيز'!$W$5:$W$2004,"&gt;0",'سجل التحفيز'!$B$5:$B$2004,B167))</f>
        <v/>
      </c>
      <c r="G167" s="35">
        <f>IF(B167="","",COUNTIF($D$38:$D$187,"&gt;"&amp;D167)+1)</f>
        <v/>
      </c>
      <c r="H167" s="35">
        <f>IF(B167="","",INDEX(الموظفات!$L$5:$L$304,MATCH(B167,الموظفات!$B$5:$B$304,0)))</f>
        <v/>
      </c>
      <c r="K167" s="36">
        <f>IF(130&gt;$B$10,"",130)</f>
        <v/>
      </c>
      <c r="L167" s="37">
        <f>IF($K167="","",INDEX('سجل التحفيز'!$A$5:$A$2004,MATCH($K167,'سجل التحفيز'!$W$5:$W$2004,0)))</f>
        <v/>
      </c>
      <c r="M167" s="9">
        <f>IF($K167="","",INDEX('سجل التحفيز'!$B$5:$B$2004,MATCH($K167,'سجل التحفيز'!$W$5:$W$2004,0)))</f>
        <v/>
      </c>
      <c r="N167" s="9">
        <f>IF($K167="","",INDEX('سجل التحفيز'!$M$5:$M$2004,MATCH($K167,'سجل التحفيز'!$W$5:$W$2004,0)))</f>
        <v/>
      </c>
      <c r="O167" s="9">
        <f>IF($K167="","",INDEX('سجل التحفيز'!$C$5:$C$2004,MATCH($K167,'سجل التحفيز'!$W$5:$W$2004,0)))</f>
        <v/>
      </c>
      <c r="P167" s="36">
        <f>IF($K167="","",INDEX('سجل التحفيز'!$D$5:$D$2004,MATCH($K167,'سجل التحفيز'!$W$5:$W$2004,0)))</f>
        <v/>
      </c>
      <c r="Q167" s="9">
        <f>IF($K167="","",INDEX('سجل التحفيز'!$E$5:$E$2004,MATCH($K167,'سجل التحفيز'!$W$5:$W$2004,0)))</f>
        <v/>
      </c>
      <c r="R167" s="9">
        <f>IF($K167="","",INDEX('سجل التحفيز'!$F$5:$F$2004,MATCH($K167,'سجل التحفيز'!$W$5:$W$2004,0)))</f>
        <v/>
      </c>
      <c r="S167" s="35">
        <f>IF($K167="","",INDEX('سجل التحفيز'!$G$5:$G$2004,MATCH($K167,'سجل التحفيز'!$W$5:$W$2004,0)))</f>
        <v/>
      </c>
    </row>
    <row r="168">
      <c r="B168" s="34">
        <f>IFERROR(INDEX(الموظفات!$B$5:$B$304,MATCH(131,الموظفات!$Q$5:$Q$304,0)),"")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التحفيز'!$W$5:$W$2004,"&gt;0",'سجل التحفيز'!$B$5:$B$2004,B168))</f>
        <v/>
      </c>
      <c r="E168" s="35">
        <f>IF(B168="","",COUNTIFS('سجل التحفيز'!$W$5:$W$2004,"&gt;0",'سجل التحفيز'!$B$5:$B$2004,B168,'سجل التحفيز'!$D$5:$D$2004,"ذهبي"))</f>
        <v/>
      </c>
      <c r="F168" s="35">
        <f>IF(B168="","",SUMIFS('سجل التحفيز'!$G$5:$G$2004,'سجل التحفيز'!$W$5:$W$2004,"&gt;0",'سجل التحفيز'!$B$5:$B$2004,B168))</f>
        <v/>
      </c>
      <c r="G168" s="35">
        <f>IF(B168="","",COUNTIF($D$38:$D$187,"&gt;"&amp;D168)+1)</f>
        <v/>
      </c>
      <c r="H168" s="35">
        <f>IF(B168="","",INDEX(الموظفات!$L$5:$L$304,MATCH(B168,الموظفات!$B$5:$B$304,0)))</f>
        <v/>
      </c>
      <c r="K168" s="36">
        <f>IF(131&gt;$B$10,"",131)</f>
        <v/>
      </c>
      <c r="L168" s="37">
        <f>IF($K168="","",INDEX('سجل التحفيز'!$A$5:$A$2004,MATCH($K168,'سجل التحفيز'!$W$5:$W$2004,0)))</f>
        <v/>
      </c>
      <c r="M168" s="9">
        <f>IF($K168="","",INDEX('سجل التحفيز'!$B$5:$B$2004,MATCH($K168,'سجل التحفيز'!$W$5:$W$2004,0)))</f>
        <v/>
      </c>
      <c r="N168" s="9">
        <f>IF($K168="","",INDEX('سجل التحفيز'!$M$5:$M$2004,MATCH($K168,'سجل التحفيز'!$W$5:$W$2004,0)))</f>
        <v/>
      </c>
      <c r="O168" s="9">
        <f>IF($K168="","",INDEX('سجل التحفيز'!$C$5:$C$2004,MATCH($K168,'سجل التحفيز'!$W$5:$W$2004,0)))</f>
        <v/>
      </c>
      <c r="P168" s="36">
        <f>IF($K168="","",INDEX('سجل التحفيز'!$D$5:$D$2004,MATCH($K168,'سجل التحفيز'!$W$5:$W$2004,0)))</f>
        <v/>
      </c>
      <c r="Q168" s="9">
        <f>IF($K168="","",INDEX('سجل التحفيز'!$E$5:$E$2004,MATCH($K168,'سجل التحفيز'!$W$5:$W$2004,0)))</f>
        <v/>
      </c>
      <c r="R168" s="9">
        <f>IF($K168="","",INDEX('سجل التحفيز'!$F$5:$F$2004,MATCH($K168,'سجل التحفيز'!$W$5:$W$2004,0)))</f>
        <v/>
      </c>
      <c r="S168" s="35">
        <f>IF($K168="","",INDEX('سجل التحفيز'!$G$5:$G$2004,MATCH($K168,'سجل التحفيز'!$W$5:$W$2004,0)))</f>
        <v/>
      </c>
    </row>
    <row r="169">
      <c r="B169" s="34">
        <f>IFERROR(INDEX(الموظفات!$B$5:$B$304,MATCH(132,الموظفات!$Q$5:$Q$304,0)),"")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التحفيز'!$W$5:$W$2004,"&gt;0",'سجل التحفيز'!$B$5:$B$2004,B169))</f>
        <v/>
      </c>
      <c r="E169" s="35">
        <f>IF(B169="","",COUNTIFS('سجل التحفيز'!$W$5:$W$2004,"&gt;0",'سجل التحفيز'!$B$5:$B$2004,B169,'سجل التحفيز'!$D$5:$D$2004,"ذهبي"))</f>
        <v/>
      </c>
      <c r="F169" s="35">
        <f>IF(B169="","",SUMIFS('سجل التحفيز'!$G$5:$G$2004,'سجل التحفيز'!$W$5:$W$2004,"&gt;0",'سجل التحفيز'!$B$5:$B$2004,B169))</f>
        <v/>
      </c>
      <c r="G169" s="35">
        <f>IF(B169="","",COUNTIF($D$38:$D$187,"&gt;"&amp;D169)+1)</f>
        <v/>
      </c>
      <c r="H169" s="35">
        <f>IF(B169="","",INDEX(الموظفات!$L$5:$L$304,MATCH(B169,الموظفات!$B$5:$B$304,0)))</f>
        <v/>
      </c>
      <c r="K169" s="36">
        <f>IF(132&gt;$B$10,"",132)</f>
        <v/>
      </c>
      <c r="L169" s="37">
        <f>IF($K169="","",INDEX('سجل التحفيز'!$A$5:$A$2004,MATCH($K169,'سجل التحفيز'!$W$5:$W$2004,0)))</f>
        <v/>
      </c>
      <c r="M169" s="9">
        <f>IF($K169="","",INDEX('سجل التحفيز'!$B$5:$B$2004,MATCH($K169,'سجل التحفيز'!$W$5:$W$2004,0)))</f>
        <v/>
      </c>
      <c r="N169" s="9">
        <f>IF($K169="","",INDEX('سجل التحفيز'!$M$5:$M$2004,MATCH($K169,'سجل التحفيز'!$W$5:$W$2004,0)))</f>
        <v/>
      </c>
      <c r="O169" s="9">
        <f>IF($K169="","",INDEX('سجل التحفيز'!$C$5:$C$2004,MATCH($K169,'سجل التحفيز'!$W$5:$W$2004,0)))</f>
        <v/>
      </c>
      <c r="P169" s="36">
        <f>IF($K169="","",INDEX('سجل التحفيز'!$D$5:$D$2004,MATCH($K169,'سجل التحفيز'!$W$5:$W$2004,0)))</f>
        <v/>
      </c>
      <c r="Q169" s="9">
        <f>IF($K169="","",INDEX('سجل التحفيز'!$E$5:$E$2004,MATCH($K169,'سجل التحفيز'!$W$5:$W$2004,0)))</f>
        <v/>
      </c>
      <c r="R169" s="9">
        <f>IF($K169="","",INDEX('سجل التحفيز'!$F$5:$F$2004,MATCH($K169,'سجل التحفيز'!$W$5:$W$2004,0)))</f>
        <v/>
      </c>
      <c r="S169" s="35">
        <f>IF($K169="","",INDEX('سجل التحفيز'!$G$5:$G$2004,MATCH($K169,'سجل التحفيز'!$W$5:$W$2004,0)))</f>
        <v/>
      </c>
    </row>
    <row r="170">
      <c r="B170" s="34">
        <f>IFERROR(INDEX(الموظفات!$B$5:$B$304,MATCH(133,الموظفات!$Q$5:$Q$304,0)),"")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التحفيز'!$W$5:$W$2004,"&gt;0",'سجل التحفيز'!$B$5:$B$2004,B170))</f>
        <v/>
      </c>
      <c r="E170" s="35">
        <f>IF(B170="","",COUNTIFS('سجل التحفيز'!$W$5:$W$2004,"&gt;0",'سجل التحفيز'!$B$5:$B$2004,B170,'سجل التحفيز'!$D$5:$D$2004,"ذهبي"))</f>
        <v/>
      </c>
      <c r="F170" s="35">
        <f>IF(B170="","",SUMIFS('سجل التحفيز'!$G$5:$G$2004,'سجل التحفيز'!$W$5:$W$2004,"&gt;0",'سجل التحفيز'!$B$5:$B$2004,B170))</f>
        <v/>
      </c>
      <c r="G170" s="35">
        <f>IF(B170="","",COUNTIF($D$38:$D$187,"&gt;"&amp;D170)+1)</f>
        <v/>
      </c>
      <c r="H170" s="35">
        <f>IF(B170="","",INDEX(الموظفات!$L$5:$L$304,MATCH(B170,الموظفات!$B$5:$B$304,0)))</f>
        <v/>
      </c>
      <c r="K170" s="36">
        <f>IF(133&gt;$B$10,"",133)</f>
        <v/>
      </c>
      <c r="L170" s="37">
        <f>IF($K170="","",INDEX('سجل التحفيز'!$A$5:$A$2004,MATCH($K170,'سجل التحفيز'!$W$5:$W$2004,0)))</f>
        <v/>
      </c>
      <c r="M170" s="9">
        <f>IF($K170="","",INDEX('سجل التحفيز'!$B$5:$B$2004,MATCH($K170,'سجل التحفيز'!$W$5:$W$2004,0)))</f>
        <v/>
      </c>
      <c r="N170" s="9">
        <f>IF($K170="","",INDEX('سجل التحفيز'!$M$5:$M$2004,MATCH($K170,'سجل التحفيز'!$W$5:$W$2004,0)))</f>
        <v/>
      </c>
      <c r="O170" s="9">
        <f>IF($K170="","",INDEX('سجل التحفيز'!$C$5:$C$2004,MATCH($K170,'سجل التحفيز'!$W$5:$W$2004,0)))</f>
        <v/>
      </c>
      <c r="P170" s="36">
        <f>IF($K170="","",INDEX('سجل التحفيز'!$D$5:$D$2004,MATCH($K170,'سجل التحفيز'!$W$5:$W$2004,0)))</f>
        <v/>
      </c>
      <c r="Q170" s="9">
        <f>IF($K170="","",INDEX('سجل التحفيز'!$E$5:$E$2004,MATCH($K170,'سجل التحفيز'!$W$5:$W$2004,0)))</f>
        <v/>
      </c>
      <c r="R170" s="9">
        <f>IF($K170="","",INDEX('سجل التحفيز'!$F$5:$F$2004,MATCH($K170,'سجل التحفيز'!$W$5:$W$2004,0)))</f>
        <v/>
      </c>
      <c r="S170" s="35">
        <f>IF($K170="","",INDEX('سجل التحفيز'!$G$5:$G$2004,MATCH($K170,'سجل التحفيز'!$W$5:$W$2004,0)))</f>
        <v/>
      </c>
    </row>
    <row r="171">
      <c r="B171" s="34">
        <f>IFERROR(INDEX(الموظفات!$B$5:$B$304,MATCH(134,الموظفات!$Q$5:$Q$304,0)),"")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التحفيز'!$W$5:$W$2004,"&gt;0",'سجل التحفيز'!$B$5:$B$2004,B171))</f>
        <v/>
      </c>
      <c r="E171" s="35">
        <f>IF(B171="","",COUNTIFS('سجل التحفيز'!$W$5:$W$2004,"&gt;0",'سجل التحفيز'!$B$5:$B$2004,B171,'سجل التحفيز'!$D$5:$D$2004,"ذهبي"))</f>
        <v/>
      </c>
      <c r="F171" s="35">
        <f>IF(B171="","",SUMIFS('سجل التحفيز'!$G$5:$G$2004,'سجل التحفيز'!$W$5:$W$2004,"&gt;0",'سجل التحفيز'!$B$5:$B$2004,B171))</f>
        <v/>
      </c>
      <c r="G171" s="35">
        <f>IF(B171="","",COUNTIF($D$38:$D$187,"&gt;"&amp;D171)+1)</f>
        <v/>
      </c>
      <c r="H171" s="35">
        <f>IF(B171="","",INDEX(الموظفات!$L$5:$L$304,MATCH(B171,الموظفات!$B$5:$B$304,0)))</f>
        <v/>
      </c>
      <c r="K171" s="36">
        <f>IF(134&gt;$B$10,"",134)</f>
        <v/>
      </c>
      <c r="L171" s="37">
        <f>IF($K171="","",INDEX('سجل التحفيز'!$A$5:$A$2004,MATCH($K171,'سجل التحفيز'!$W$5:$W$2004,0)))</f>
        <v/>
      </c>
      <c r="M171" s="9">
        <f>IF($K171="","",INDEX('سجل التحفيز'!$B$5:$B$2004,MATCH($K171,'سجل التحفيز'!$W$5:$W$2004,0)))</f>
        <v/>
      </c>
      <c r="N171" s="9">
        <f>IF($K171="","",INDEX('سجل التحفيز'!$M$5:$M$2004,MATCH($K171,'سجل التحفيز'!$W$5:$W$2004,0)))</f>
        <v/>
      </c>
      <c r="O171" s="9">
        <f>IF($K171="","",INDEX('سجل التحفيز'!$C$5:$C$2004,MATCH($K171,'سجل التحفيز'!$W$5:$W$2004,0)))</f>
        <v/>
      </c>
      <c r="P171" s="36">
        <f>IF($K171="","",INDEX('سجل التحفيز'!$D$5:$D$2004,MATCH($K171,'سجل التحفيز'!$W$5:$W$2004,0)))</f>
        <v/>
      </c>
      <c r="Q171" s="9">
        <f>IF($K171="","",INDEX('سجل التحفيز'!$E$5:$E$2004,MATCH($K171,'سجل التحفيز'!$W$5:$W$2004,0)))</f>
        <v/>
      </c>
      <c r="R171" s="9">
        <f>IF($K171="","",INDEX('سجل التحفيز'!$F$5:$F$2004,MATCH($K171,'سجل التحفيز'!$W$5:$W$2004,0)))</f>
        <v/>
      </c>
      <c r="S171" s="35">
        <f>IF($K171="","",INDEX('سجل التحفيز'!$G$5:$G$2004,MATCH($K171,'سجل التحفيز'!$W$5:$W$2004,0)))</f>
        <v/>
      </c>
    </row>
    <row r="172">
      <c r="B172" s="34">
        <f>IFERROR(INDEX(الموظفات!$B$5:$B$304,MATCH(135,الموظفات!$Q$5:$Q$304,0)),"")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التحفيز'!$W$5:$W$2004,"&gt;0",'سجل التحفيز'!$B$5:$B$2004,B172))</f>
        <v/>
      </c>
      <c r="E172" s="35">
        <f>IF(B172="","",COUNTIFS('سجل التحفيز'!$W$5:$W$2004,"&gt;0",'سجل التحفيز'!$B$5:$B$2004,B172,'سجل التحفيز'!$D$5:$D$2004,"ذهبي"))</f>
        <v/>
      </c>
      <c r="F172" s="35">
        <f>IF(B172="","",SUMIFS('سجل التحفيز'!$G$5:$G$2004,'سجل التحفيز'!$W$5:$W$2004,"&gt;0",'سجل التحفيز'!$B$5:$B$2004,B172))</f>
        <v/>
      </c>
      <c r="G172" s="35">
        <f>IF(B172="","",COUNTIF($D$38:$D$187,"&gt;"&amp;D172)+1)</f>
        <v/>
      </c>
      <c r="H172" s="35">
        <f>IF(B172="","",INDEX(الموظفات!$L$5:$L$304,MATCH(B172,الموظفات!$B$5:$B$304,0)))</f>
        <v/>
      </c>
      <c r="K172" s="36">
        <f>IF(135&gt;$B$10,"",135)</f>
        <v/>
      </c>
      <c r="L172" s="37">
        <f>IF($K172="","",INDEX('سجل التحفيز'!$A$5:$A$2004,MATCH($K172,'سجل التحفيز'!$W$5:$W$2004,0)))</f>
        <v/>
      </c>
      <c r="M172" s="9">
        <f>IF($K172="","",INDEX('سجل التحفيز'!$B$5:$B$2004,MATCH($K172,'سجل التحفيز'!$W$5:$W$2004,0)))</f>
        <v/>
      </c>
      <c r="N172" s="9">
        <f>IF($K172="","",INDEX('سجل التحفيز'!$M$5:$M$2004,MATCH($K172,'سجل التحفيز'!$W$5:$W$2004,0)))</f>
        <v/>
      </c>
      <c r="O172" s="9">
        <f>IF($K172="","",INDEX('سجل التحفيز'!$C$5:$C$2004,MATCH($K172,'سجل التحفيز'!$W$5:$W$2004,0)))</f>
        <v/>
      </c>
      <c r="P172" s="36">
        <f>IF($K172="","",INDEX('سجل التحفيز'!$D$5:$D$2004,MATCH($K172,'سجل التحفيز'!$W$5:$W$2004,0)))</f>
        <v/>
      </c>
      <c r="Q172" s="9">
        <f>IF($K172="","",INDEX('سجل التحفيز'!$E$5:$E$2004,MATCH($K172,'سجل التحفيز'!$W$5:$W$2004,0)))</f>
        <v/>
      </c>
      <c r="R172" s="9">
        <f>IF($K172="","",INDEX('سجل التحفيز'!$F$5:$F$2004,MATCH($K172,'سجل التحفيز'!$W$5:$W$2004,0)))</f>
        <v/>
      </c>
      <c r="S172" s="35">
        <f>IF($K172="","",INDEX('سجل التحفيز'!$G$5:$G$2004,MATCH($K172,'سجل التحفيز'!$W$5:$W$2004,0)))</f>
        <v/>
      </c>
    </row>
    <row r="173">
      <c r="B173" s="34">
        <f>IFERROR(INDEX(الموظفات!$B$5:$B$304,MATCH(136,الموظفات!$Q$5:$Q$304,0)),"")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التحفيز'!$W$5:$W$2004,"&gt;0",'سجل التحفيز'!$B$5:$B$2004,B173))</f>
        <v/>
      </c>
      <c r="E173" s="35">
        <f>IF(B173="","",COUNTIFS('سجل التحفيز'!$W$5:$W$2004,"&gt;0",'سجل التحفيز'!$B$5:$B$2004,B173,'سجل التحفيز'!$D$5:$D$2004,"ذهبي"))</f>
        <v/>
      </c>
      <c r="F173" s="35">
        <f>IF(B173="","",SUMIFS('سجل التحفيز'!$G$5:$G$2004,'سجل التحفيز'!$W$5:$W$2004,"&gt;0",'سجل التحفيز'!$B$5:$B$2004,B173))</f>
        <v/>
      </c>
      <c r="G173" s="35">
        <f>IF(B173="","",COUNTIF($D$38:$D$187,"&gt;"&amp;D173)+1)</f>
        <v/>
      </c>
      <c r="H173" s="35">
        <f>IF(B173="","",INDEX(الموظفات!$L$5:$L$304,MATCH(B173,الموظفات!$B$5:$B$304,0)))</f>
        <v/>
      </c>
      <c r="K173" s="36">
        <f>IF(136&gt;$B$10,"",136)</f>
        <v/>
      </c>
      <c r="L173" s="37">
        <f>IF($K173="","",INDEX('سجل التحفيز'!$A$5:$A$2004,MATCH($K173,'سجل التحفيز'!$W$5:$W$2004,0)))</f>
        <v/>
      </c>
      <c r="M173" s="9">
        <f>IF($K173="","",INDEX('سجل التحفيز'!$B$5:$B$2004,MATCH($K173,'سجل التحفيز'!$W$5:$W$2004,0)))</f>
        <v/>
      </c>
      <c r="N173" s="9">
        <f>IF($K173="","",INDEX('سجل التحفيز'!$M$5:$M$2004,MATCH($K173,'سجل التحفيز'!$W$5:$W$2004,0)))</f>
        <v/>
      </c>
      <c r="O173" s="9">
        <f>IF($K173="","",INDEX('سجل التحفيز'!$C$5:$C$2004,MATCH($K173,'سجل التحفيز'!$W$5:$W$2004,0)))</f>
        <v/>
      </c>
      <c r="P173" s="36">
        <f>IF($K173="","",INDEX('سجل التحفيز'!$D$5:$D$2004,MATCH($K173,'سجل التحفيز'!$W$5:$W$2004,0)))</f>
        <v/>
      </c>
      <c r="Q173" s="9">
        <f>IF($K173="","",INDEX('سجل التحفيز'!$E$5:$E$2004,MATCH($K173,'سجل التحفيز'!$W$5:$W$2004,0)))</f>
        <v/>
      </c>
      <c r="R173" s="9">
        <f>IF($K173="","",INDEX('سجل التحفيز'!$F$5:$F$2004,MATCH($K173,'سجل التحفيز'!$W$5:$W$2004,0)))</f>
        <v/>
      </c>
      <c r="S173" s="35">
        <f>IF($K173="","",INDEX('سجل التحفيز'!$G$5:$G$2004,MATCH($K173,'سجل التحفيز'!$W$5:$W$2004,0)))</f>
        <v/>
      </c>
    </row>
    <row r="174">
      <c r="B174" s="34">
        <f>IFERROR(INDEX(الموظفات!$B$5:$B$304,MATCH(137,الموظفات!$Q$5:$Q$304,0)),"")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التحفيز'!$W$5:$W$2004,"&gt;0",'سجل التحفيز'!$B$5:$B$2004,B174))</f>
        <v/>
      </c>
      <c r="E174" s="35">
        <f>IF(B174="","",COUNTIFS('سجل التحفيز'!$W$5:$W$2004,"&gt;0",'سجل التحفيز'!$B$5:$B$2004,B174,'سجل التحفيز'!$D$5:$D$2004,"ذهبي"))</f>
        <v/>
      </c>
      <c r="F174" s="35">
        <f>IF(B174="","",SUMIFS('سجل التحفيز'!$G$5:$G$2004,'سجل التحفيز'!$W$5:$W$2004,"&gt;0",'سجل التحفيز'!$B$5:$B$2004,B174))</f>
        <v/>
      </c>
      <c r="G174" s="35">
        <f>IF(B174="","",COUNTIF($D$38:$D$187,"&gt;"&amp;D174)+1)</f>
        <v/>
      </c>
      <c r="H174" s="35">
        <f>IF(B174="","",INDEX(الموظفات!$L$5:$L$304,MATCH(B174,الموظفات!$B$5:$B$304,0)))</f>
        <v/>
      </c>
      <c r="K174" s="36">
        <f>IF(137&gt;$B$10,"",137)</f>
        <v/>
      </c>
      <c r="L174" s="37">
        <f>IF($K174="","",INDEX('سجل التحفيز'!$A$5:$A$2004,MATCH($K174,'سجل التحفيز'!$W$5:$W$2004,0)))</f>
        <v/>
      </c>
      <c r="M174" s="9">
        <f>IF($K174="","",INDEX('سجل التحفيز'!$B$5:$B$2004,MATCH($K174,'سجل التحفيز'!$W$5:$W$2004,0)))</f>
        <v/>
      </c>
      <c r="N174" s="9">
        <f>IF($K174="","",INDEX('سجل التحفيز'!$M$5:$M$2004,MATCH($K174,'سجل التحفيز'!$W$5:$W$2004,0)))</f>
        <v/>
      </c>
      <c r="O174" s="9">
        <f>IF($K174="","",INDEX('سجل التحفيز'!$C$5:$C$2004,MATCH($K174,'سجل التحفيز'!$W$5:$W$2004,0)))</f>
        <v/>
      </c>
      <c r="P174" s="36">
        <f>IF($K174="","",INDEX('سجل التحفيز'!$D$5:$D$2004,MATCH($K174,'سجل التحفيز'!$W$5:$W$2004,0)))</f>
        <v/>
      </c>
      <c r="Q174" s="9">
        <f>IF($K174="","",INDEX('سجل التحفيز'!$E$5:$E$2004,MATCH($K174,'سجل التحفيز'!$W$5:$W$2004,0)))</f>
        <v/>
      </c>
      <c r="R174" s="9">
        <f>IF($K174="","",INDEX('سجل التحفيز'!$F$5:$F$2004,MATCH($K174,'سجل التحفيز'!$W$5:$W$2004,0)))</f>
        <v/>
      </c>
      <c r="S174" s="35">
        <f>IF($K174="","",INDEX('سجل التحفيز'!$G$5:$G$2004,MATCH($K174,'سجل التحفيز'!$W$5:$W$2004,0)))</f>
        <v/>
      </c>
    </row>
    <row r="175">
      <c r="B175" s="34">
        <f>IFERROR(INDEX(الموظفات!$B$5:$B$304,MATCH(138,الموظفات!$Q$5:$Q$304,0)),"")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التحفيز'!$W$5:$W$2004,"&gt;0",'سجل التحفيز'!$B$5:$B$2004,B175))</f>
        <v/>
      </c>
      <c r="E175" s="35">
        <f>IF(B175="","",COUNTIFS('سجل التحفيز'!$W$5:$W$2004,"&gt;0",'سجل التحفيز'!$B$5:$B$2004,B175,'سجل التحفيز'!$D$5:$D$2004,"ذهبي"))</f>
        <v/>
      </c>
      <c r="F175" s="35">
        <f>IF(B175="","",SUMIFS('سجل التحفيز'!$G$5:$G$2004,'سجل التحفيز'!$W$5:$W$2004,"&gt;0",'سجل التحفيز'!$B$5:$B$2004,B175))</f>
        <v/>
      </c>
      <c r="G175" s="35">
        <f>IF(B175="","",COUNTIF($D$38:$D$187,"&gt;"&amp;D175)+1)</f>
        <v/>
      </c>
      <c r="H175" s="35">
        <f>IF(B175="","",INDEX(الموظفات!$L$5:$L$304,MATCH(B175,الموظفات!$B$5:$B$304,0)))</f>
        <v/>
      </c>
      <c r="K175" s="36">
        <f>IF(138&gt;$B$10,"",138)</f>
        <v/>
      </c>
      <c r="L175" s="37">
        <f>IF($K175="","",INDEX('سجل التحفيز'!$A$5:$A$2004,MATCH($K175,'سجل التحفيز'!$W$5:$W$2004,0)))</f>
        <v/>
      </c>
      <c r="M175" s="9">
        <f>IF($K175="","",INDEX('سجل التحفيز'!$B$5:$B$2004,MATCH($K175,'سجل التحفيز'!$W$5:$W$2004,0)))</f>
        <v/>
      </c>
      <c r="N175" s="9">
        <f>IF($K175="","",INDEX('سجل التحفيز'!$M$5:$M$2004,MATCH($K175,'سجل التحفيز'!$W$5:$W$2004,0)))</f>
        <v/>
      </c>
      <c r="O175" s="9">
        <f>IF($K175="","",INDEX('سجل التحفيز'!$C$5:$C$2004,MATCH($K175,'سجل التحفيز'!$W$5:$W$2004,0)))</f>
        <v/>
      </c>
      <c r="P175" s="36">
        <f>IF($K175="","",INDEX('سجل التحفيز'!$D$5:$D$2004,MATCH($K175,'سجل التحفيز'!$W$5:$W$2004,0)))</f>
        <v/>
      </c>
      <c r="Q175" s="9">
        <f>IF($K175="","",INDEX('سجل التحفيز'!$E$5:$E$2004,MATCH($K175,'سجل التحفيز'!$W$5:$W$2004,0)))</f>
        <v/>
      </c>
      <c r="R175" s="9">
        <f>IF($K175="","",INDEX('سجل التحفيز'!$F$5:$F$2004,MATCH($K175,'سجل التحفيز'!$W$5:$W$2004,0)))</f>
        <v/>
      </c>
      <c r="S175" s="35">
        <f>IF($K175="","",INDEX('سجل التحفيز'!$G$5:$G$2004,MATCH($K175,'سجل التحفيز'!$W$5:$W$2004,0)))</f>
        <v/>
      </c>
    </row>
    <row r="176">
      <c r="B176" s="34">
        <f>IFERROR(INDEX(الموظفات!$B$5:$B$304,MATCH(139,الموظفات!$Q$5:$Q$304,0)),"")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التحفيز'!$W$5:$W$2004,"&gt;0",'سجل التحفيز'!$B$5:$B$2004,B176))</f>
        <v/>
      </c>
      <c r="E176" s="35">
        <f>IF(B176="","",COUNTIFS('سجل التحفيز'!$W$5:$W$2004,"&gt;0",'سجل التحفيز'!$B$5:$B$2004,B176,'سجل التحفيز'!$D$5:$D$2004,"ذهبي"))</f>
        <v/>
      </c>
      <c r="F176" s="35">
        <f>IF(B176="","",SUMIFS('سجل التحفيز'!$G$5:$G$2004,'سجل التحفيز'!$W$5:$W$2004,"&gt;0",'سجل التحفيز'!$B$5:$B$2004,B176))</f>
        <v/>
      </c>
      <c r="G176" s="35">
        <f>IF(B176="","",COUNTIF($D$38:$D$187,"&gt;"&amp;D176)+1)</f>
        <v/>
      </c>
      <c r="H176" s="35">
        <f>IF(B176="","",INDEX(الموظفات!$L$5:$L$304,MATCH(B176,الموظفات!$B$5:$B$304,0)))</f>
        <v/>
      </c>
      <c r="K176" s="36">
        <f>IF(139&gt;$B$10,"",139)</f>
        <v/>
      </c>
      <c r="L176" s="37">
        <f>IF($K176="","",INDEX('سجل التحفيز'!$A$5:$A$2004,MATCH($K176,'سجل التحفيز'!$W$5:$W$2004,0)))</f>
        <v/>
      </c>
      <c r="M176" s="9">
        <f>IF($K176="","",INDEX('سجل التحفيز'!$B$5:$B$2004,MATCH($K176,'سجل التحفيز'!$W$5:$W$2004,0)))</f>
        <v/>
      </c>
      <c r="N176" s="9">
        <f>IF($K176="","",INDEX('سجل التحفيز'!$M$5:$M$2004,MATCH($K176,'سجل التحفيز'!$W$5:$W$2004,0)))</f>
        <v/>
      </c>
      <c r="O176" s="9">
        <f>IF($K176="","",INDEX('سجل التحفيز'!$C$5:$C$2004,MATCH($K176,'سجل التحفيز'!$W$5:$W$2004,0)))</f>
        <v/>
      </c>
      <c r="P176" s="36">
        <f>IF($K176="","",INDEX('سجل التحفيز'!$D$5:$D$2004,MATCH($K176,'سجل التحفيز'!$W$5:$W$2004,0)))</f>
        <v/>
      </c>
      <c r="Q176" s="9">
        <f>IF($K176="","",INDEX('سجل التحفيز'!$E$5:$E$2004,MATCH($K176,'سجل التحفيز'!$W$5:$W$2004,0)))</f>
        <v/>
      </c>
      <c r="R176" s="9">
        <f>IF($K176="","",INDEX('سجل التحفيز'!$F$5:$F$2004,MATCH($K176,'سجل التحفيز'!$W$5:$W$2004,0)))</f>
        <v/>
      </c>
      <c r="S176" s="35">
        <f>IF($K176="","",INDEX('سجل التحفيز'!$G$5:$G$2004,MATCH($K176,'سجل التحفيز'!$W$5:$W$2004,0)))</f>
        <v/>
      </c>
    </row>
    <row r="177">
      <c r="B177" s="34">
        <f>IFERROR(INDEX(الموظفات!$B$5:$B$304,MATCH(140,الموظفات!$Q$5:$Q$304,0)),"")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التحفيز'!$W$5:$W$2004,"&gt;0",'سجل التحفيز'!$B$5:$B$2004,B177))</f>
        <v/>
      </c>
      <c r="E177" s="35">
        <f>IF(B177="","",COUNTIFS('سجل التحفيز'!$W$5:$W$2004,"&gt;0",'سجل التحفيز'!$B$5:$B$2004,B177,'سجل التحفيز'!$D$5:$D$2004,"ذهبي"))</f>
        <v/>
      </c>
      <c r="F177" s="35">
        <f>IF(B177="","",SUMIFS('سجل التحفيز'!$G$5:$G$2004,'سجل التحفيز'!$W$5:$W$2004,"&gt;0",'سجل التحفيز'!$B$5:$B$2004,B177))</f>
        <v/>
      </c>
      <c r="G177" s="35">
        <f>IF(B177="","",COUNTIF($D$38:$D$187,"&gt;"&amp;D177)+1)</f>
        <v/>
      </c>
      <c r="H177" s="35">
        <f>IF(B177="","",INDEX(الموظفات!$L$5:$L$304,MATCH(B177,الموظفات!$B$5:$B$304,0)))</f>
        <v/>
      </c>
      <c r="K177" s="36">
        <f>IF(140&gt;$B$10,"",140)</f>
        <v/>
      </c>
      <c r="L177" s="37">
        <f>IF($K177="","",INDEX('سجل التحفيز'!$A$5:$A$2004,MATCH($K177,'سجل التحفيز'!$W$5:$W$2004,0)))</f>
        <v/>
      </c>
      <c r="M177" s="9">
        <f>IF($K177="","",INDEX('سجل التحفيز'!$B$5:$B$2004,MATCH($K177,'سجل التحفيز'!$W$5:$W$2004,0)))</f>
        <v/>
      </c>
      <c r="N177" s="9">
        <f>IF($K177="","",INDEX('سجل التحفيز'!$M$5:$M$2004,MATCH($K177,'سجل التحفيز'!$W$5:$W$2004,0)))</f>
        <v/>
      </c>
      <c r="O177" s="9">
        <f>IF($K177="","",INDEX('سجل التحفيز'!$C$5:$C$2004,MATCH($K177,'سجل التحفيز'!$W$5:$W$2004,0)))</f>
        <v/>
      </c>
      <c r="P177" s="36">
        <f>IF($K177="","",INDEX('سجل التحفيز'!$D$5:$D$2004,MATCH($K177,'سجل التحفيز'!$W$5:$W$2004,0)))</f>
        <v/>
      </c>
      <c r="Q177" s="9">
        <f>IF($K177="","",INDEX('سجل التحفيز'!$E$5:$E$2004,MATCH($K177,'سجل التحفيز'!$W$5:$W$2004,0)))</f>
        <v/>
      </c>
      <c r="R177" s="9">
        <f>IF($K177="","",INDEX('سجل التحفيز'!$F$5:$F$2004,MATCH($K177,'سجل التحفيز'!$W$5:$W$2004,0)))</f>
        <v/>
      </c>
      <c r="S177" s="35">
        <f>IF($K177="","",INDEX('سجل التحفيز'!$G$5:$G$2004,MATCH($K177,'سجل التحفيز'!$W$5:$W$2004,0)))</f>
        <v/>
      </c>
    </row>
    <row r="178">
      <c r="B178" s="34">
        <f>IFERROR(INDEX(الموظفات!$B$5:$B$304,MATCH(141,الموظفات!$Q$5:$Q$304,0)),"")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التحفيز'!$W$5:$W$2004,"&gt;0",'سجل التحفيز'!$B$5:$B$2004,B178))</f>
        <v/>
      </c>
      <c r="E178" s="35">
        <f>IF(B178="","",COUNTIFS('سجل التحفيز'!$W$5:$W$2004,"&gt;0",'سجل التحفيز'!$B$5:$B$2004,B178,'سجل التحفيز'!$D$5:$D$2004,"ذهبي"))</f>
        <v/>
      </c>
      <c r="F178" s="35">
        <f>IF(B178="","",SUMIFS('سجل التحفيز'!$G$5:$G$2004,'سجل التحفيز'!$W$5:$W$2004,"&gt;0",'سجل التحفيز'!$B$5:$B$2004,B178))</f>
        <v/>
      </c>
      <c r="G178" s="35">
        <f>IF(B178="","",COUNTIF($D$38:$D$187,"&gt;"&amp;D178)+1)</f>
        <v/>
      </c>
      <c r="H178" s="35">
        <f>IF(B178="","",INDEX(الموظفات!$L$5:$L$304,MATCH(B178,الموظفات!$B$5:$B$304,0)))</f>
        <v/>
      </c>
      <c r="K178" s="36">
        <f>IF(141&gt;$B$10,"",141)</f>
        <v/>
      </c>
      <c r="L178" s="37">
        <f>IF($K178="","",INDEX('سجل التحفيز'!$A$5:$A$2004,MATCH($K178,'سجل التحفيز'!$W$5:$W$2004,0)))</f>
        <v/>
      </c>
      <c r="M178" s="9">
        <f>IF($K178="","",INDEX('سجل التحفيز'!$B$5:$B$2004,MATCH($K178,'سجل التحفيز'!$W$5:$W$2004,0)))</f>
        <v/>
      </c>
      <c r="N178" s="9">
        <f>IF($K178="","",INDEX('سجل التحفيز'!$M$5:$M$2004,MATCH($K178,'سجل التحفيز'!$W$5:$W$2004,0)))</f>
        <v/>
      </c>
      <c r="O178" s="9">
        <f>IF($K178="","",INDEX('سجل التحفيز'!$C$5:$C$2004,MATCH($K178,'سجل التحفيز'!$W$5:$W$2004,0)))</f>
        <v/>
      </c>
      <c r="P178" s="36">
        <f>IF($K178="","",INDEX('سجل التحفيز'!$D$5:$D$2004,MATCH($K178,'سجل التحفيز'!$W$5:$W$2004,0)))</f>
        <v/>
      </c>
      <c r="Q178" s="9">
        <f>IF($K178="","",INDEX('سجل التحفيز'!$E$5:$E$2004,MATCH($K178,'سجل التحفيز'!$W$5:$W$2004,0)))</f>
        <v/>
      </c>
      <c r="R178" s="9">
        <f>IF($K178="","",INDEX('سجل التحفيز'!$F$5:$F$2004,MATCH($K178,'سجل التحفيز'!$W$5:$W$2004,0)))</f>
        <v/>
      </c>
      <c r="S178" s="35">
        <f>IF($K178="","",INDEX('سجل التحفيز'!$G$5:$G$2004,MATCH($K178,'سجل التحفيز'!$W$5:$W$2004,0)))</f>
        <v/>
      </c>
    </row>
    <row r="179">
      <c r="B179" s="34">
        <f>IFERROR(INDEX(الموظفات!$B$5:$B$304,MATCH(142,الموظفات!$Q$5:$Q$304,0)),"")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التحفيز'!$W$5:$W$2004,"&gt;0",'سجل التحفيز'!$B$5:$B$2004,B179))</f>
        <v/>
      </c>
      <c r="E179" s="35">
        <f>IF(B179="","",COUNTIFS('سجل التحفيز'!$W$5:$W$2004,"&gt;0",'سجل التحفيز'!$B$5:$B$2004,B179,'سجل التحفيز'!$D$5:$D$2004,"ذهبي"))</f>
        <v/>
      </c>
      <c r="F179" s="35">
        <f>IF(B179="","",SUMIFS('سجل التحفيز'!$G$5:$G$2004,'سجل التحفيز'!$W$5:$W$2004,"&gt;0",'سجل التحفيز'!$B$5:$B$2004,B179))</f>
        <v/>
      </c>
      <c r="G179" s="35">
        <f>IF(B179="","",COUNTIF($D$38:$D$187,"&gt;"&amp;D179)+1)</f>
        <v/>
      </c>
      <c r="H179" s="35">
        <f>IF(B179="","",INDEX(الموظفات!$L$5:$L$304,MATCH(B179,الموظفات!$B$5:$B$304,0)))</f>
        <v/>
      </c>
      <c r="K179" s="36">
        <f>IF(142&gt;$B$10,"",142)</f>
        <v/>
      </c>
      <c r="L179" s="37">
        <f>IF($K179="","",INDEX('سجل التحفيز'!$A$5:$A$2004,MATCH($K179,'سجل التحفيز'!$W$5:$W$2004,0)))</f>
        <v/>
      </c>
      <c r="M179" s="9">
        <f>IF($K179="","",INDEX('سجل التحفيز'!$B$5:$B$2004,MATCH($K179,'سجل التحفيز'!$W$5:$W$2004,0)))</f>
        <v/>
      </c>
      <c r="N179" s="9">
        <f>IF($K179="","",INDEX('سجل التحفيز'!$M$5:$M$2004,MATCH($K179,'سجل التحفيز'!$W$5:$W$2004,0)))</f>
        <v/>
      </c>
      <c r="O179" s="9">
        <f>IF($K179="","",INDEX('سجل التحفيز'!$C$5:$C$2004,MATCH($K179,'سجل التحفيز'!$W$5:$W$2004,0)))</f>
        <v/>
      </c>
      <c r="P179" s="36">
        <f>IF($K179="","",INDEX('سجل التحفيز'!$D$5:$D$2004,MATCH($K179,'سجل التحفيز'!$W$5:$W$2004,0)))</f>
        <v/>
      </c>
      <c r="Q179" s="9">
        <f>IF($K179="","",INDEX('سجل التحفيز'!$E$5:$E$2004,MATCH($K179,'سجل التحفيز'!$W$5:$W$2004,0)))</f>
        <v/>
      </c>
      <c r="R179" s="9">
        <f>IF($K179="","",INDEX('سجل التحفيز'!$F$5:$F$2004,MATCH($K179,'سجل التحفيز'!$W$5:$W$2004,0)))</f>
        <v/>
      </c>
      <c r="S179" s="35">
        <f>IF($K179="","",INDEX('سجل التحفيز'!$G$5:$G$2004,MATCH($K179,'سجل التحفيز'!$W$5:$W$2004,0)))</f>
        <v/>
      </c>
    </row>
    <row r="180">
      <c r="B180" s="34">
        <f>IFERROR(INDEX(الموظفات!$B$5:$B$304,MATCH(143,الموظفات!$Q$5:$Q$304,0)),"")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التحفيز'!$W$5:$W$2004,"&gt;0",'سجل التحفيز'!$B$5:$B$2004,B180))</f>
        <v/>
      </c>
      <c r="E180" s="35">
        <f>IF(B180="","",COUNTIFS('سجل التحفيز'!$W$5:$W$2004,"&gt;0",'سجل التحفيز'!$B$5:$B$2004,B180,'سجل التحفيز'!$D$5:$D$2004,"ذهبي"))</f>
        <v/>
      </c>
      <c r="F180" s="35">
        <f>IF(B180="","",SUMIFS('سجل التحفيز'!$G$5:$G$2004,'سجل التحفيز'!$W$5:$W$2004,"&gt;0",'سجل التحفيز'!$B$5:$B$2004,B180))</f>
        <v/>
      </c>
      <c r="G180" s="35">
        <f>IF(B180="","",COUNTIF($D$38:$D$187,"&gt;"&amp;D180)+1)</f>
        <v/>
      </c>
      <c r="H180" s="35">
        <f>IF(B180="","",INDEX(الموظفات!$L$5:$L$304,MATCH(B180,الموظفات!$B$5:$B$304,0)))</f>
        <v/>
      </c>
      <c r="K180" s="36">
        <f>IF(143&gt;$B$10,"",143)</f>
        <v/>
      </c>
      <c r="L180" s="37">
        <f>IF($K180="","",INDEX('سجل التحفيز'!$A$5:$A$2004,MATCH($K180,'سجل التحفيز'!$W$5:$W$2004,0)))</f>
        <v/>
      </c>
      <c r="M180" s="9">
        <f>IF($K180="","",INDEX('سجل التحفيز'!$B$5:$B$2004,MATCH($K180,'سجل التحفيز'!$W$5:$W$2004,0)))</f>
        <v/>
      </c>
      <c r="N180" s="9">
        <f>IF($K180="","",INDEX('سجل التحفيز'!$M$5:$M$2004,MATCH($K180,'سجل التحفيز'!$W$5:$W$2004,0)))</f>
        <v/>
      </c>
      <c r="O180" s="9">
        <f>IF($K180="","",INDEX('سجل التحفيز'!$C$5:$C$2004,MATCH($K180,'سجل التحفيز'!$W$5:$W$2004,0)))</f>
        <v/>
      </c>
      <c r="P180" s="36">
        <f>IF($K180="","",INDEX('سجل التحفيز'!$D$5:$D$2004,MATCH($K180,'سجل التحفيز'!$W$5:$W$2004,0)))</f>
        <v/>
      </c>
      <c r="Q180" s="9">
        <f>IF($K180="","",INDEX('سجل التحفيز'!$E$5:$E$2004,MATCH($K180,'سجل التحفيز'!$W$5:$W$2004,0)))</f>
        <v/>
      </c>
      <c r="R180" s="9">
        <f>IF($K180="","",INDEX('سجل التحفيز'!$F$5:$F$2004,MATCH($K180,'سجل التحفيز'!$W$5:$W$2004,0)))</f>
        <v/>
      </c>
      <c r="S180" s="35">
        <f>IF($K180="","",INDEX('سجل التحفيز'!$G$5:$G$2004,MATCH($K180,'سجل التحفيز'!$W$5:$W$2004,0)))</f>
        <v/>
      </c>
    </row>
    <row r="181">
      <c r="B181" s="34">
        <f>IFERROR(INDEX(الموظفات!$B$5:$B$304,MATCH(144,الموظفات!$Q$5:$Q$304,0)),"")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التحفيز'!$W$5:$W$2004,"&gt;0",'سجل التحفيز'!$B$5:$B$2004,B181))</f>
        <v/>
      </c>
      <c r="E181" s="35">
        <f>IF(B181="","",COUNTIFS('سجل التحفيز'!$W$5:$W$2004,"&gt;0",'سجل التحفيز'!$B$5:$B$2004,B181,'سجل التحفيز'!$D$5:$D$2004,"ذهبي"))</f>
        <v/>
      </c>
      <c r="F181" s="35">
        <f>IF(B181="","",SUMIFS('سجل التحفيز'!$G$5:$G$2004,'سجل التحفيز'!$W$5:$W$2004,"&gt;0",'سجل التحفيز'!$B$5:$B$2004,B181))</f>
        <v/>
      </c>
      <c r="G181" s="35">
        <f>IF(B181="","",COUNTIF($D$38:$D$187,"&gt;"&amp;D181)+1)</f>
        <v/>
      </c>
      <c r="H181" s="35">
        <f>IF(B181="","",INDEX(الموظفات!$L$5:$L$304,MATCH(B181,الموظفات!$B$5:$B$304,0)))</f>
        <v/>
      </c>
      <c r="K181" s="36">
        <f>IF(144&gt;$B$10,"",144)</f>
        <v/>
      </c>
      <c r="L181" s="37">
        <f>IF($K181="","",INDEX('سجل التحفيز'!$A$5:$A$2004,MATCH($K181,'سجل التحفيز'!$W$5:$W$2004,0)))</f>
        <v/>
      </c>
      <c r="M181" s="9">
        <f>IF($K181="","",INDEX('سجل التحفيز'!$B$5:$B$2004,MATCH($K181,'سجل التحفيز'!$W$5:$W$2004,0)))</f>
        <v/>
      </c>
      <c r="N181" s="9">
        <f>IF($K181="","",INDEX('سجل التحفيز'!$M$5:$M$2004,MATCH($K181,'سجل التحفيز'!$W$5:$W$2004,0)))</f>
        <v/>
      </c>
      <c r="O181" s="9">
        <f>IF($K181="","",INDEX('سجل التحفيز'!$C$5:$C$2004,MATCH($K181,'سجل التحفيز'!$W$5:$W$2004,0)))</f>
        <v/>
      </c>
      <c r="P181" s="36">
        <f>IF($K181="","",INDEX('سجل التحفيز'!$D$5:$D$2004,MATCH($K181,'سجل التحفيز'!$W$5:$W$2004,0)))</f>
        <v/>
      </c>
      <c r="Q181" s="9">
        <f>IF($K181="","",INDEX('سجل التحفيز'!$E$5:$E$2004,MATCH($K181,'سجل التحفيز'!$W$5:$W$2004,0)))</f>
        <v/>
      </c>
      <c r="R181" s="9">
        <f>IF($K181="","",INDEX('سجل التحفيز'!$F$5:$F$2004,MATCH($K181,'سجل التحفيز'!$W$5:$W$2004,0)))</f>
        <v/>
      </c>
      <c r="S181" s="35">
        <f>IF($K181="","",INDEX('سجل التحفيز'!$G$5:$G$2004,MATCH($K181,'سجل التحفيز'!$W$5:$W$2004,0)))</f>
        <v/>
      </c>
    </row>
    <row r="182">
      <c r="B182" s="34">
        <f>IFERROR(INDEX(الموظفات!$B$5:$B$304,MATCH(145,الموظفات!$Q$5:$Q$304,0)),"")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التحفيز'!$W$5:$W$2004,"&gt;0",'سجل التحفيز'!$B$5:$B$2004,B182))</f>
        <v/>
      </c>
      <c r="E182" s="35">
        <f>IF(B182="","",COUNTIFS('سجل التحفيز'!$W$5:$W$2004,"&gt;0",'سجل التحفيز'!$B$5:$B$2004,B182,'سجل التحفيز'!$D$5:$D$2004,"ذهبي"))</f>
        <v/>
      </c>
      <c r="F182" s="35">
        <f>IF(B182="","",SUMIFS('سجل التحفيز'!$G$5:$G$2004,'سجل التحفيز'!$W$5:$W$2004,"&gt;0",'سجل التحفيز'!$B$5:$B$2004,B182))</f>
        <v/>
      </c>
      <c r="G182" s="35">
        <f>IF(B182="","",COUNTIF($D$38:$D$187,"&gt;"&amp;D182)+1)</f>
        <v/>
      </c>
      <c r="H182" s="35">
        <f>IF(B182="","",INDEX(الموظفات!$L$5:$L$304,MATCH(B182,الموظفات!$B$5:$B$304,0)))</f>
        <v/>
      </c>
      <c r="K182" s="36">
        <f>IF(145&gt;$B$10,"",145)</f>
        <v/>
      </c>
      <c r="L182" s="37">
        <f>IF($K182="","",INDEX('سجل التحفيز'!$A$5:$A$2004,MATCH($K182,'سجل التحفيز'!$W$5:$W$2004,0)))</f>
        <v/>
      </c>
      <c r="M182" s="9">
        <f>IF($K182="","",INDEX('سجل التحفيز'!$B$5:$B$2004,MATCH($K182,'سجل التحفيز'!$W$5:$W$2004,0)))</f>
        <v/>
      </c>
      <c r="N182" s="9">
        <f>IF($K182="","",INDEX('سجل التحفيز'!$M$5:$M$2004,MATCH($K182,'سجل التحفيز'!$W$5:$W$2004,0)))</f>
        <v/>
      </c>
      <c r="O182" s="9">
        <f>IF($K182="","",INDEX('سجل التحفيز'!$C$5:$C$2004,MATCH($K182,'سجل التحفيز'!$W$5:$W$2004,0)))</f>
        <v/>
      </c>
      <c r="P182" s="36">
        <f>IF($K182="","",INDEX('سجل التحفيز'!$D$5:$D$2004,MATCH($K182,'سجل التحفيز'!$W$5:$W$2004,0)))</f>
        <v/>
      </c>
      <c r="Q182" s="9">
        <f>IF($K182="","",INDEX('سجل التحفيز'!$E$5:$E$2004,MATCH($K182,'سجل التحفيز'!$W$5:$W$2004,0)))</f>
        <v/>
      </c>
      <c r="R182" s="9">
        <f>IF($K182="","",INDEX('سجل التحفيز'!$F$5:$F$2004,MATCH($K182,'سجل التحفيز'!$W$5:$W$2004,0)))</f>
        <v/>
      </c>
      <c r="S182" s="35">
        <f>IF($K182="","",INDEX('سجل التحفيز'!$G$5:$G$2004,MATCH($K182,'سجل التحفيز'!$W$5:$W$2004,0)))</f>
        <v/>
      </c>
    </row>
    <row r="183">
      <c r="B183" s="34">
        <f>IFERROR(INDEX(الموظفات!$B$5:$B$304,MATCH(146,الموظفات!$Q$5:$Q$304,0)),"")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التحفيز'!$W$5:$W$2004,"&gt;0",'سجل التحفيز'!$B$5:$B$2004,B183))</f>
        <v/>
      </c>
      <c r="E183" s="35">
        <f>IF(B183="","",COUNTIFS('سجل التحفيز'!$W$5:$W$2004,"&gt;0",'سجل التحفيز'!$B$5:$B$2004,B183,'سجل التحفيز'!$D$5:$D$2004,"ذهبي"))</f>
        <v/>
      </c>
      <c r="F183" s="35">
        <f>IF(B183="","",SUMIFS('سجل التحفيز'!$G$5:$G$2004,'سجل التحفيز'!$W$5:$W$2004,"&gt;0",'سجل التحفيز'!$B$5:$B$2004,B183))</f>
        <v/>
      </c>
      <c r="G183" s="35">
        <f>IF(B183="","",COUNTIF($D$38:$D$187,"&gt;"&amp;D183)+1)</f>
        <v/>
      </c>
      <c r="H183" s="35">
        <f>IF(B183="","",INDEX(الموظفات!$L$5:$L$304,MATCH(B183,الموظفات!$B$5:$B$304,0)))</f>
        <v/>
      </c>
      <c r="K183" s="36">
        <f>IF(146&gt;$B$10,"",146)</f>
        <v/>
      </c>
      <c r="L183" s="37">
        <f>IF($K183="","",INDEX('سجل التحفيز'!$A$5:$A$2004,MATCH($K183,'سجل التحفيز'!$W$5:$W$2004,0)))</f>
        <v/>
      </c>
      <c r="M183" s="9">
        <f>IF($K183="","",INDEX('سجل التحفيز'!$B$5:$B$2004,MATCH($K183,'سجل التحفيز'!$W$5:$W$2004,0)))</f>
        <v/>
      </c>
      <c r="N183" s="9">
        <f>IF($K183="","",INDEX('سجل التحفيز'!$M$5:$M$2004,MATCH($K183,'سجل التحفيز'!$W$5:$W$2004,0)))</f>
        <v/>
      </c>
      <c r="O183" s="9">
        <f>IF($K183="","",INDEX('سجل التحفيز'!$C$5:$C$2004,MATCH($K183,'سجل التحفيز'!$W$5:$W$2004,0)))</f>
        <v/>
      </c>
      <c r="P183" s="36">
        <f>IF($K183="","",INDEX('سجل التحفيز'!$D$5:$D$2004,MATCH($K183,'سجل التحفيز'!$W$5:$W$2004,0)))</f>
        <v/>
      </c>
      <c r="Q183" s="9">
        <f>IF($K183="","",INDEX('سجل التحفيز'!$E$5:$E$2004,MATCH($K183,'سجل التحفيز'!$W$5:$W$2004,0)))</f>
        <v/>
      </c>
      <c r="R183" s="9">
        <f>IF($K183="","",INDEX('سجل التحفيز'!$F$5:$F$2004,MATCH($K183,'سجل التحفيز'!$W$5:$W$2004,0)))</f>
        <v/>
      </c>
      <c r="S183" s="35">
        <f>IF($K183="","",INDEX('سجل التحفيز'!$G$5:$G$2004,MATCH($K183,'سجل التحفيز'!$W$5:$W$2004,0)))</f>
        <v/>
      </c>
    </row>
    <row r="184">
      <c r="B184" s="34">
        <f>IFERROR(INDEX(الموظفات!$B$5:$B$304,MATCH(147,الموظفات!$Q$5:$Q$304,0)),"")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التحفيز'!$W$5:$W$2004,"&gt;0",'سجل التحفيز'!$B$5:$B$2004,B184))</f>
        <v/>
      </c>
      <c r="E184" s="35">
        <f>IF(B184="","",COUNTIFS('سجل التحفيز'!$W$5:$W$2004,"&gt;0",'سجل التحفيز'!$B$5:$B$2004,B184,'سجل التحفيز'!$D$5:$D$2004,"ذهبي"))</f>
        <v/>
      </c>
      <c r="F184" s="35">
        <f>IF(B184="","",SUMIFS('سجل التحفيز'!$G$5:$G$2004,'سجل التحفيز'!$W$5:$W$2004,"&gt;0",'سجل التحفيز'!$B$5:$B$2004,B184))</f>
        <v/>
      </c>
      <c r="G184" s="35">
        <f>IF(B184="","",COUNTIF($D$38:$D$187,"&gt;"&amp;D184)+1)</f>
        <v/>
      </c>
      <c r="H184" s="35">
        <f>IF(B184="","",INDEX(الموظفات!$L$5:$L$304,MATCH(B184,الموظفات!$B$5:$B$304,0)))</f>
        <v/>
      </c>
      <c r="K184" s="36">
        <f>IF(147&gt;$B$10,"",147)</f>
        <v/>
      </c>
      <c r="L184" s="37">
        <f>IF($K184="","",INDEX('سجل التحفيز'!$A$5:$A$2004,MATCH($K184,'سجل التحفيز'!$W$5:$W$2004,0)))</f>
        <v/>
      </c>
      <c r="M184" s="9">
        <f>IF($K184="","",INDEX('سجل التحفيز'!$B$5:$B$2004,MATCH($K184,'سجل التحفيز'!$W$5:$W$2004,0)))</f>
        <v/>
      </c>
      <c r="N184" s="9">
        <f>IF($K184="","",INDEX('سجل التحفيز'!$M$5:$M$2004,MATCH($K184,'سجل التحفيز'!$W$5:$W$2004,0)))</f>
        <v/>
      </c>
      <c r="O184" s="9">
        <f>IF($K184="","",INDEX('سجل التحفيز'!$C$5:$C$2004,MATCH($K184,'سجل التحفيز'!$W$5:$W$2004,0)))</f>
        <v/>
      </c>
      <c r="P184" s="36">
        <f>IF($K184="","",INDEX('سجل التحفيز'!$D$5:$D$2004,MATCH($K184,'سجل التحفيز'!$W$5:$W$2004,0)))</f>
        <v/>
      </c>
      <c r="Q184" s="9">
        <f>IF($K184="","",INDEX('سجل التحفيز'!$E$5:$E$2004,MATCH($K184,'سجل التحفيز'!$W$5:$W$2004,0)))</f>
        <v/>
      </c>
      <c r="R184" s="9">
        <f>IF($K184="","",INDEX('سجل التحفيز'!$F$5:$F$2004,MATCH($K184,'سجل التحفيز'!$W$5:$W$2004,0)))</f>
        <v/>
      </c>
      <c r="S184" s="35">
        <f>IF($K184="","",INDEX('سجل التحفيز'!$G$5:$G$2004,MATCH($K184,'سجل التحفيز'!$W$5:$W$2004,0)))</f>
        <v/>
      </c>
    </row>
    <row r="185">
      <c r="B185" s="34">
        <f>IFERROR(INDEX(الموظفات!$B$5:$B$304,MATCH(148,الموظفات!$Q$5:$Q$304,0)),"")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التحفيز'!$W$5:$W$2004,"&gt;0",'سجل التحفيز'!$B$5:$B$2004,B185))</f>
        <v/>
      </c>
      <c r="E185" s="35">
        <f>IF(B185="","",COUNTIFS('سجل التحفيز'!$W$5:$W$2004,"&gt;0",'سجل التحفيز'!$B$5:$B$2004,B185,'سجل التحفيز'!$D$5:$D$2004,"ذهبي"))</f>
        <v/>
      </c>
      <c r="F185" s="35">
        <f>IF(B185="","",SUMIFS('سجل التحفيز'!$G$5:$G$2004,'سجل التحفيز'!$W$5:$W$2004,"&gt;0",'سجل التحفيز'!$B$5:$B$2004,B185))</f>
        <v/>
      </c>
      <c r="G185" s="35">
        <f>IF(B185="","",COUNTIF($D$38:$D$187,"&gt;"&amp;D185)+1)</f>
        <v/>
      </c>
      <c r="H185" s="35">
        <f>IF(B185="","",INDEX(الموظفات!$L$5:$L$304,MATCH(B185,الموظفات!$B$5:$B$304,0)))</f>
        <v/>
      </c>
      <c r="K185" s="36">
        <f>IF(148&gt;$B$10,"",148)</f>
        <v/>
      </c>
      <c r="L185" s="37">
        <f>IF($K185="","",INDEX('سجل التحفيز'!$A$5:$A$2004,MATCH($K185,'سجل التحفيز'!$W$5:$W$2004,0)))</f>
        <v/>
      </c>
      <c r="M185" s="9">
        <f>IF($K185="","",INDEX('سجل التحفيز'!$B$5:$B$2004,MATCH($K185,'سجل التحفيز'!$W$5:$W$2004,0)))</f>
        <v/>
      </c>
      <c r="N185" s="9">
        <f>IF($K185="","",INDEX('سجل التحفيز'!$M$5:$M$2004,MATCH($K185,'سجل التحفيز'!$W$5:$W$2004,0)))</f>
        <v/>
      </c>
      <c r="O185" s="9">
        <f>IF($K185="","",INDEX('سجل التحفيز'!$C$5:$C$2004,MATCH($K185,'سجل التحفيز'!$W$5:$W$2004,0)))</f>
        <v/>
      </c>
      <c r="P185" s="36">
        <f>IF($K185="","",INDEX('سجل التحفيز'!$D$5:$D$2004,MATCH($K185,'سجل التحفيز'!$W$5:$W$2004,0)))</f>
        <v/>
      </c>
      <c r="Q185" s="9">
        <f>IF($K185="","",INDEX('سجل التحفيز'!$E$5:$E$2004,MATCH($K185,'سجل التحفيز'!$W$5:$W$2004,0)))</f>
        <v/>
      </c>
      <c r="R185" s="9">
        <f>IF($K185="","",INDEX('سجل التحفيز'!$F$5:$F$2004,MATCH($K185,'سجل التحفيز'!$W$5:$W$2004,0)))</f>
        <v/>
      </c>
      <c r="S185" s="35">
        <f>IF($K185="","",INDEX('سجل التحفيز'!$G$5:$G$2004,MATCH($K185,'سجل التحفيز'!$W$5:$W$2004,0)))</f>
        <v/>
      </c>
    </row>
    <row r="186">
      <c r="B186" s="34">
        <f>IFERROR(INDEX(الموظفات!$B$5:$B$304,MATCH(149,الموظفات!$Q$5:$Q$304,0)),"")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التحفيز'!$W$5:$W$2004,"&gt;0",'سجل التحفيز'!$B$5:$B$2004,B186))</f>
        <v/>
      </c>
      <c r="E186" s="35">
        <f>IF(B186="","",COUNTIFS('سجل التحفيز'!$W$5:$W$2004,"&gt;0",'سجل التحفيز'!$B$5:$B$2004,B186,'سجل التحفيز'!$D$5:$D$2004,"ذهبي"))</f>
        <v/>
      </c>
      <c r="F186" s="35">
        <f>IF(B186="","",SUMIFS('سجل التحفيز'!$G$5:$G$2004,'سجل التحفيز'!$W$5:$W$2004,"&gt;0",'سجل التحفيز'!$B$5:$B$2004,B186))</f>
        <v/>
      </c>
      <c r="G186" s="35">
        <f>IF(B186="","",COUNTIF($D$38:$D$187,"&gt;"&amp;D186)+1)</f>
        <v/>
      </c>
      <c r="H186" s="35">
        <f>IF(B186="","",INDEX(الموظفات!$L$5:$L$304,MATCH(B186,الموظفات!$B$5:$B$304,0)))</f>
        <v/>
      </c>
      <c r="K186" s="36">
        <f>IF(149&gt;$B$10,"",149)</f>
        <v/>
      </c>
      <c r="L186" s="37">
        <f>IF($K186="","",INDEX('سجل التحفيز'!$A$5:$A$2004,MATCH($K186,'سجل التحفيز'!$W$5:$W$2004,0)))</f>
        <v/>
      </c>
      <c r="M186" s="9">
        <f>IF($K186="","",INDEX('سجل التحفيز'!$B$5:$B$2004,MATCH($K186,'سجل التحفيز'!$W$5:$W$2004,0)))</f>
        <v/>
      </c>
      <c r="N186" s="9">
        <f>IF($K186="","",INDEX('سجل التحفيز'!$M$5:$M$2004,MATCH($K186,'سجل التحفيز'!$W$5:$W$2004,0)))</f>
        <v/>
      </c>
      <c r="O186" s="9">
        <f>IF($K186="","",INDEX('سجل التحفيز'!$C$5:$C$2004,MATCH($K186,'سجل التحفيز'!$W$5:$W$2004,0)))</f>
        <v/>
      </c>
      <c r="P186" s="36">
        <f>IF($K186="","",INDEX('سجل التحفيز'!$D$5:$D$2004,MATCH($K186,'سجل التحفيز'!$W$5:$W$2004,0)))</f>
        <v/>
      </c>
      <c r="Q186" s="9">
        <f>IF($K186="","",INDEX('سجل التحفيز'!$E$5:$E$2004,MATCH($K186,'سجل التحفيز'!$W$5:$W$2004,0)))</f>
        <v/>
      </c>
      <c r="R186" s="9">
        <f>IF($K186="","",INDEX('سجل التحفيز'!$F$5:$F$2004,MATCH($K186,'سجل التحفيز'!$W$5:$W$2004,0)))</f>
        <v/>
      </c>
      <c r="S186" s="35">
        <f>IF($K186="","",INDEX('سجل التحفيز'!$G$5:$G$2004,MATCH($K186,'سجل التحفيز'!$W$5:$W$2004,0)))</f>
        <v/>
      </c>
    </row>
    <row r="187">
      <c r="B187" s="34">
        <f>IFERROR(INDEX(الموظفات!$B$5:$B$304,MATCH(150,الموظفات!$Q$5:$Q$304,0)),"")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التحفيز'!$W$5:$W$2004,"&gt;0",'سجل التحفيز'!$B$5:$B$2004,B187))</f>
        <v/>
      </c>
      <c r="E187" s="35">
        <f>IF(B187="","",COUNTIFS('سجل التحفيز'!$W$5:$W$2004,"&gt;0",'سجل التحفيز'!$B$5:$B$2004,B187,'سجل التحفيز'!$D$5:$D$2004,"ذهبي"))</f>
        <v/>
      </c>
      <c r="F187" s="35">
        <f>IF(B187="","",SUMIFS('سجل التحفيز'!$G$5:$G$2004,'سجل التحفيز'!$W$5:$W$2004,"&gt;0",'سجل التحفيز'!$B$5:$B$2004,B187))</f>
        <v/>
      </c>
      <c r="G187" s="35">
        <f>IF(B187="","",COUNTIF($D$38:$D$187,"&gt;"&amp;D187)+1)</f>
        <v/>
      </c>
      <c r="H187" s="35">
        <f>IF(B187="","",INDEX(الموظفات!$L$5:$L$304,MATCH(B187,الموظفات!$B$5:$B$304,0)))</f>
        <v/>
      </c>
      <c r="K187" s="36">
        <f>IF(150&gt;$B$10,"",150)</f>
        <v/>
      </c>
      <c r="L187" s="37">
        <f>IF($K187="","",INDEX('سجل التحفيز'!$A$5:$A$2004,MATCH($K187,'سجل التحفيز'!$W$5:$W$2004,0)))</f>
        <v/>
      </c>
      <c r="M187" s="9">
        <f>IF($K187="","",INDEX('سجل التحفيز'!$B$5:$B$2004,MATCH($K187,'سجل التحفيز'!$W$5:$W$2004,0)))</f>
        <v/>
      </c>
      <c r="N187" s="9">
        <f>IF($K187="","",INDEX('سجل التحفيز'!$M$5:$M$2004,MATCH($K187,'سجل التحفيز'!$W$5:$W$2004,0)))</f>
        <v/>
      </c>
      <c r="O187" s="9">
        <f>IF($K187="","",INDEX('سجل التحفيز'!$C$5:$C$2004,MATCH($K187,'سجل التحفيز'!$W$5:$W$2004,0)))</f>
        <v/>
      </c>
      <c r="P187" s="36">
        <f>IF($K187="","",INDEX('سجل التحفيز'!$D$5:$D$2004,MATCH($K187,'سجل التحفيز'!$W$5:$W$2004,0)))</f>
        <v/>
      </c>
      <c r="Q187" s="9">
        <f>IF($K187="","",INDEX('سجل التحفيز'!$E$5:$E$2004,MATCH($K187,'سجل التحفيز'!$W$5:$W$2004,0)))</f>
        <v/>
      </c>
      <c r="R187" s="9">
        <f>IF($K187="","",INDEX('سجل التحفيز'!$F$5:$F$2004,MATCH($K187,'سجل التحفيز'!$W$5:$W$2004,0)))</f>
        <v/>
      </c>
      <c r="S187" s="35">
        <f>IF($K187="","",INDEX('سجل التحفيز'!$G$5:$G$2004,MATCH($K187,'سجل التحفيز'!$W$5:$W$2004,0)))</f>
        <v/>
      </c>
    </row>
    <row r="188">
      <c r="K188" s="36">
        <f>IF(151&gt;$B$10,"",151)</f>
        <v/>
      </c>
      <c r="L188" s="37">
        <f>IF($K188="","",INDEX('سجل التحفيز'!$A$5:$A$2004,MATCH($K188,'سجل التحفيز'!$W$5:$W$2004,0)))</f>
        <v/>
      </c>
      <c r="M188" s="9">
        <f>IF($K188="","",INDEX('سجل التحفيز'!$B$5:$B$2004,MATCH($K188,'سجل التحفيز'!$W$5:$W$2004,0)))</f>
        <v/>
      </c>
      <c r="N188" s="9">
        <f>IF($K188="","",INDEX('سجل التحفيز'!$M$5:$M$2004,MATCH($K188,'سجل التحفيز'!$W$5:$W$2004,0)))</f>
        <v/>
      </c>
      <c r="O188" s="9">
        <f>IF($K188="","",INDEX('سجل التحفيز'!$C$5:$C$2004,MATCH($K188,'سجل التحفيز'!$W$5:$W$2004,0)))</f>
        <v/>
      </c>
      <c r="P188" s="36">
        <f>IF($K188="","",INDEX('سجل التحفيز'!$D$5:$D$2004,MATCH($K188,'سجل التحفيز'!$W$5:$W$2004,0)))</f>
        <v/>
      </c>
      <c r="Q188" s="9">
        <f>IF($K188="","",INDEX('سجل التحفيز'!$E$5:$E$2004,MATCH($K188,'سجل التحفيز'!$W$5:$W$2004,0)))</f>
        <v/>
      </c>
      <c r="R188" s="9">
        <f>IF($K188="","",INDEX('سجل التحفيز'!$F$5:$F$2004,MATCH($K188,'سجل التحفيز'!$W$5:$W$2004,0)))</f>
        <v/>
      </c>
      <c r="S188" s="35">
        <f>IF($K188="","",INDEX('سجل التحفيز'!$G$5:$G$2004,MATCH($K188,'سجل التحفيز'!$W$5:$W$2004,0)))</f>
        <v/>
      </c>
    </row>
    <row r="189">
      <c r="K189" s="36">
        <f>IF(152&gt;$B$10,"",152)</f>
        <v/>
      </c>
      <c r="L189" s="37">
        <f>IF($K189="","",INDEX('سجل التحفيز'!$A$5:$A$2004,MATCH($K189,'سجل التحفيز'!$W$5:$W$2004,0)))</f>
        <v/>
      </c>
      <c r="M189" s="9">
        <f>IF($K189="","",INDEX('سجل التحفيز'!$B$5:$B$2004,MATCH($K189,'سجل التحفيز'!$W$5:$W$2004,0)))</f>
        <v/>
      </c>
      <c r="N189" s="9">
        <f>IF($K189="","",INDEX('سجل التحفيز'!$M$5:$M$2004,MATCH($K189,'سجل التحفيز'!$W$5:$W$2004,0)))</f>
        <v/>
      </c>
      <c r="O189" s="9">
        <f>IF($K189="","",INDEX('سجل التحفيز'!$C$5:$C$2004,MATCH($K189,'سجل التحفيز'!$W$5:$W$2004,0)))</f>
        <v/>
      </c>
      <c r="P189" s="36">
        <f>IF($K189="","",INDEX('سجل التحفيز'!$D$5:$D$2004,MATCH($K189,'سجل التحفيز'!$W$5:$W$2004,0)))</f>
        <v/>
      </c>
      <c r="Q189" s="9">
        <f>IF($K189="","",INDEX('سجل التحفيز'!$E$5:$E$2004,MATCH($K189,'سجل التحفيز'!$W$5:$W$2004,0)))</f>
        <v/>
      </c>
      <c r="R189" s="9">
        <f>IF($K189="","",INDEX('سجل التحفيز'!$F$5:$F$2004,MATCH($K189,'سجل التحفيز'!$W$5:$W$2004,0)))</f>
        <v/>
      </c>
      <c r="S189" s="35">
        <f>IF($K189="","",INDEX('سجل التحفيز'!$G$5:$G$2004,MATCH($K189,'سجل التحفيز'!$W$5:$W$2004,0)))</f>
        <v/>
      </c>
    </row>
    <row r="190">
      <c r="K190" s="36">
        <f>IF(153&gt;$B$10,"",153)</f>
        <v/>
      </c>
      <c r="L190" s="37">
        <f>IF($K190="","",INDEX('سجل التحفيز'!$A$5:$A$2004,MATCH($K190,'سجل التحفيز'!$W$5:$W$2004,0)))</f>
        <v/>
      </c>
      <c r="M190" s="9">
        <f>IF($K190="","",INDEX('سجل التحفيز'!$B$5:$B$2004,MATCH($K190,'سجل التحفيز'!$W$5:$W$2004,0)))</f>
        <v/>
      </c>
      <c r="N190" s="9">
        <f>IF($K190="","",INDEX('سجل التحفيز'!$M$5:$M$2004,MATCH($K190,'سجل التحفيز'!$W$5:$W$2004,0)))</f>
        <v/>
      </c>
      <c r="O190" s="9">
        <f>IF($K190="","",INDEX('سجل التحفيز'!$C$5:$C$2004,MATCH($K190,'سجل التحفيز'!$W$5:$W$2004,0)))</f>
        <v/>
      </c>
      <c r="P190" s="36">
        <f>IF($K190="","",INDEX('سجل التحفيز'!$D$5:$D$2004,MATCH($K190,'سجل التحفيز'!$W$5:$W$2004,0)))</f>
        <v/>
      </c>
      <c r="Q190" s="9">
        <f>IF($K190="","",INDEX('سجل التحفيز'!$E$5:$E$2004,MATCH($K190,'سجل التحفيز'!$W$5:$W$2004,0)))</f>
        <v/>
      </c>
      <c r="R190" s="9">
        <f>IF($K190="","",INDEX('سجل التحفيز'!$F$5:$F$2004,MATCH($K190,'سجل التحفيز'!$W$5:$W$2004,0)))</f>
        <v/>
      </c>
      <c r="S190" s="35">
        <f>IF($K190="","",INDEX('سجل التحفيز'!$G$5:$G$2004,MATCH($K190,'سجل التحفيز'!$W$5:$W$2004,0)))</f>
        <v/>
      </c>
    </row>
    <row r="191">
      <c r="K191" s="36">
        <f>IF(154&gt;$B$10,"",154)</f>
        <v/>
      </c>
      <c r="L191" s="37">
        <f>IF($K191="","",INDEX('سجل التحفيز'!$A$5:$A$2004,MATCH($K191,'سجل التحفيز'!$W$5:$W$2004,0)))</f>
        <v/>
      </c>
      <c r="M191" s="9">
        <f>IF($K191="","",INDEX('سجل التحفيز'!$B$5:$B$2004,MATCH($K191,'سجل التحفيز'!$W$5:$W$2004,0)))</f>
        <v/>
      </c>
      <c r="N191" s="9">
        <f>IF($K191="","",INDEX('سجل التحفيز'!$M$5:$M$2004,MATCH($K191,'سجل التحفيز'!$W$5:$W$2004,0)))</f>
        <v/>
      </c>
      <c r="O191" s="9">
        <f>IF($K191="","",INDEX('سجل التحفيز'!$C$5:$C$2004,MATCH($K191,'سجل التحفيز'!$W$5:$W$2004,0)))</f>
        <v/>
      </c>
      <c r="P191" s="36">
        <f>IF($K191="","",INDEX('سجل التحفيز'!$D$5:$D$2004,MATCH($K191,'سجل التحفيز'!$W$5:$W$2004,0)))</f>
        <v/>
      </c>
      <c r="Q191" s="9">
        <f>IF($K191="","",INDEX('سجل التحفيز'!$E$5:$E$2004,MATCH($K191,'سجل التحفيز'!$W$5:$W$2004,0)))</f>
        <v/>
      </c>
      <c r="R191" s="9">
        <f>IF($K191="","",INDEX('سجل التحفيز'!$F$5:$F$2004,MATCH($K191,'سجل التحفيز'!$W$5:$W$2004,0)))</f>
        <v/>
      </c>
      <c r="S191" s="35">
        <f>IF($K191="","",INDEX('سجل التحفيز'!$G$5:$G$2004,MATCH($K191,'سجل التحفيز'!$W$5:$W$2004,0)))</f>
        <v/>
      </c>
    </row>
    <row r="192">
      <c r="K192" s="36">
        <f>IF(155&gt;$B$10,"",155)</f>
        <v/>
      </c>
      <c r="L192" s="37">
        <f>IF($K192="","",INDEX('سجل التحفيز'!$A$5:$A$2004,MATCH($K192,'سجل التحفيز'!$W$5:$W$2004,0)))</f>
        <v/>
      </c>
      <c r="M192" s="9">
        <f>IF($K192="","",INDEX('سجل التحفيز'!$B$5:$B$2004,MATCH($K192,'سجل التحفيز'!$W$5:$W$2004,0)))</f>
        <v/>
      </c>
      <c r="N192" s="9">
        <f>IF($K192="","",INDEX('سجل التحفيز'!$M$5:$M$2004,MATCH($K192,'سجل التحفيز'!$W$5:$W$2004,0)))</f>
        <v/>
      </c>
      <c r="O192" s="9">
        <f>IF($K192="","",INDEX('سجل التحفيز'!$C$5:$C$2004,MATCH($K192,'سجل التحفيز'!$W$5:$W$2004,0)))</f>
        <v/>
      </c>
      <c r="P192" s="36">
        <f>IF($K192="","",INDEX('سجل التحفيز'!$D$5:$D$2004,MATCH($K192,'سجل التحفيز'!$W$5:$W$2004,0)))</f>
        <v/>
      </c>
      <c r="Q192" s="9">
        <f>IF($K192="","",INDEX('سجل التحفيز'!$E$5:$E$2004,MATCH($K192,'سجل التحفيز'!$W$5:$W$2004,0)))</f>
        <v/>
      </c>
      <c r="R192" s="9">
        <f>IF($K192="","",INDEX('سجل التحفيز'!$F$5:$F$2004,MATCH($K192,'سجل التحفيز'!$W$5:$W$2004,0)))</f>
        <v/>
      </c>
      <c r="S192" s="35">
        <f>IF($K192="","",INDEX('سجل التحفيز'!$G$5:$G$2004,MATCH($K192,'سجل التحفيز'!$W$5:$W$2004,0)))</f>
        <v/>
      </c>
    </row>
    <row r="193">
      <c r="K193" s="36">
        <f>IF(156&gt;$B$10,"",156)</f>
        <v/>
      </c>
      <c r="L193" s="37">
        <f>IF($K193="","",INDEX('سجل التحفيز'!$A$5:$A$2004,MATCH($K193,'سجل التحفيز'!$W$5:$W$2004,0)))</f>
        <v/>
      </c>
      <c r="M193" s="9">
        <f>IF($K193="","",INDEX('سجل التحفيز'!$B$5:$B$2004,MATCH($K193,'سجل التحفيز'!$W$5:$W$2004,0)))</f>
        <v/>
      </c>
      <c r="N193" s="9">
        <f>IF($K193="","",INDEX('سجل التحفيز'!$M$5:$M$2004,MATCH($K193,'سجل التحفيز'!$W$5:$W$2004,0)))</f>
        <v/>
      </c>
      <c r="O193" s="9">
        <f>IF($K193="","",INDEX('سجل التحفيز'!$C$5:$C$2004,MATCH($K193,'سجل التحفيز'!$W$5:$W$2004,0)))</f>
        <v/>
      </c>
      <c r="P193" s="36">
        <f>IF($K193="","",INDEX('سجل التحفيز'!$D$5:$D$2004,MATCH($K193,'سجل التحفيز'!$W$5:$W$2004,0)))</f>
        <v/>
      </c>
      <c r="Q193" s="9">
        <f>IF($K193="","",INDEX('سجل التحفيز'!$E$5:$E$2004,MATCH($K193,'سجل التحفيز'!$W$5:$W$2004,0)))</f>
        <v/>
      </c>
      <c r="R193" s="9">
        <f>IF($K193="","",INDEX('سجل التحفيز'!$F$5:$F$2004,MATCH($K193,'سجل التحفيز'!$W$5:$W$2004,0)))</f>
        <v/>
      </c>
      <c r="S193" s="35">
        <f>IF($K193="","",INDEX('سجل التحفيز'!$G$5:$G$2004,MATCH($K193,'سجل التحفيز'!$W$5:$W$2004,0)))</f>
        <v/>
      </c>
    </row>
    <row r="194">
      <c r="K194" s="36">
        <f>IF(157&gt;$B$10,"",157)</f>
        <v/>
      </c>
      <c r="L194" s="37">
        <f>IF($K194="","",INDEX('سجل التحفيز'!$A$5:$A$2004,MATCH($K194,'سجل التحفيز'!$W$5:$W$2004,0)))</f>
        <v/>
      </c>
      <c r="M194" s="9">
        <f>IF($K194="","",INDEX('سجل التحفيز'!$B$5:$B$2004,MATCH($K194,'سجل التحفيز'!$W$5:$W$2004,0)))</f>
        <v/>
      </c>
      <c r="N194" s="9">
        <f>IF($K194="","",INDEX('سجل التحفيز'!$M$5:$M$2004,MATCH($K194,'سجل التحفيز'!$W$5:$W$2004,0)))</f>
        <v/>
      </c>
      <c r="O194" s="9">
        <f>IF($K194="","",INDEX('سجل التحفيز'!$C$5:$C$2004,MATCH($K194,'سجل التحفيز'!$W$5:$W$2004,0)))</f>
        <v/>
      </c>
      <c r="P194" s="36">
        <f>IF($K194="","",INDEX('سجل التحفيز'!$D$5:$D$2004,MATCH($K194,'سجل التحفيز'!$W$5:$W$2004,0)))</f>
        <v/>
      </c>
      <c r="Q194" s="9">
        <f>IF($K194="","",INDEX('سجل التحفيز'!$E$5:$E$2004,MATCH($K194,'سجل التحفيز'!$W$5:$W$2004,0)))</f>
        <v/>
      </c>
      <c r="R194" s="9">
        <f>IF($K194="","",INDEX('سجل التحفيز'!$F$5:$F$2004,MATCH($K194,'سجل التحفيز'!$W$5:$W$2004,0)))</f>
        <v/>
      </c>
      <c r="S194" s="35">
        <f>IF($K194="","",INDEX('سجل التحفيز'!$G$5:$G$2004,MATCH($K194,'سجل التحفيز'!$W$5:$W$2004,0)))</f>
        <v/>
      </c>
    </row>
    <row r="195">
      <c r="K195" s="36">
        <f>IF(158&gt;$B$10,"",158)</f>
        <v/>
      </c>
      <c r="L195" s="37">
        <f>IF($K195="","",INDEX('سجل التحفيز'!$A$5:$A$2004,MATCH($K195,'سجل التحفيز'!$W$5:$W$2004,0)))</f>
        <v/>
      </c>
      <c r="M195" s="9">
        <f>IF($K195="","",INDEX('سجل التحفيز'!$B$5:$B$2004,MATCH($K195,'سجل التحفيز'!$W$5:$W$2004,0)))</f>
        <v/>
      </c>
      <c r="N195" s="9">
        <f>IF($K195="","",INDEX('سجل التحفيز'!$M$5:$M$2004,MATCH($K195,'سجل التحفيز'!$W$5:$W$2004,0)))</f>
        <v/>
      </c>
      <c r="O195" s="9">
        <f>IF($K195="","",INDEX('سجل التحفيز'!$C$5:$C$2004,MATCH($K195,'سجل التحفيز'!$W$5:$W$2004,0)))</f>
        <v/>
      </c>
      <c r="P195" s="36">
        <f>IF($K195="","",INDEX('سجل التحفيز'!$D$5:$D$2004,MATCH($K195,'سجل التحفيز'!$W$5:$W$2004,0)))</f>
        <v/>
      </c>
      <c r="Q195" s="9">
        <f>IF($K195="","",INDEX('سجل التحفيز'!$E$5:$E$2004,MATCH($K195,'سجل التحفيز'!$W$5:$W$2004,0)))</f>
        <v/>
      </c>
      <c r="R195" s="9">
        <f>IF($K195="","",INDEX('سجل التحفيز'!$F$5:$F$2004,MATCH($K195,'سجل التحفيز'!$W$5:$W$2004,0)))</f>
        <v/>
      </c>
      <c r="S195" s="35">
        <f>IF($K195="","",INDEX('سجل التحفيز'!$G$5:$G$2004,MATCH($K195,'سجل التحفيز'!$W$5:$W$2004,0)))</f>
        <v/>
      </c>
    </row>
    <row r="196">
      <c r="K196" s="36">
        <f>IF(159&gt;$B$10,"",159)</f>
        <v/>
      </c>
      <c r="L196" s="37">
        <f>IF($K196="","",INDEX('سجل التحفيز'!$A$5:$A$2004,MATCH($K196,'سجل التحفيز'!$W$5:$W$2004,0)))</f>
        <v/>
      </c>
      <c r="M196" s="9">
        <f>IF($K196="","",INDEX('سجل التحفيز'!$B$5:$B$2004,MATCH($K196,'سجل التحفيز'!$W$5:$W$2004,0)))</f>
        <v/>
      </c>
      <c r="N196" s="9">
        <f>IF($K196="","",INDEX('سجل التحفيز'!$M$5:$M$2004,MATCH($K196,'سجل التحفيز'!$W$5:$W$2004,0)))</f>
        <v/>
      </c>
      <c r="O196" s="9">
        <f>IF($K196="","",INDEX('سجل التحفيز'!$C$5:$C$2004,MATCH($K196,'سجل التحفيز'!$W$5:$W$2004,0)))</f>
        <v/>
      </c>
      <c r="P196" s="36">
        <f>IF($K196="","",INDEX('سجل التحفيز'!$D$5:$D$2004,MATCH($K196,'سجل التحفيز'!$W$5:$W$2004,0)))</f>
        <v/>
      </c>
      <c r="Q196" s="9">
        <f>IF($K196="","",INDEX('سجل التحفيز'!$E$5:$E$2004,MATCH($K196,'سجل التحفيز'!$W$5:$W$2004,0)))</f>
        <v/>
      </c>
      <c r="R196" s="9">
        <f>IF($K196="","",INDEX('سجل التحفيز'!$F$5:$F$2004,MATCH($K196,'سجل التحفيز'!$W$5:$W$2004,0)))</f>
        <v/>
      </c>
      <c r="S196" s="35">
        <f>IF($K196="","",INDEX('سجل التحفيز'!$G$5:$G$2004,MATCH($K196,'سجل التحفيز'!$W$5:$W$2004,0)))</f>
        <v/>
      </c>
    </row>
    <row r="197">
      <c r="K197" s="36">
        <f>IF(160&gt;$B$10,"",160)</f>
        <v/>
      </c>
      <c r="L197" s="37">
        <f>IF($K197="","",INDEX('سجل التحفيز'!$A$5:$A$2004,MATCH($K197,'سجل التحفيز'!$W$5:$W$2004,0)))</f>
        <v/>
      </c>
      <c r="M197" s="9">
        <f>IF($K197="","",INDEX('سجل التحفيز'!$B$5:$B$2004,MATCH($K197,'سجل التحفيز'!$W$5:$W$2004,0)))</f>
        <v/>
      </c>
      <c r="N197" s="9">
        <f>IF($K197="","",INDEX('سجل التحفيز'!$M$5:$M$2004,MATCH($K197,'سجل التحفيز'!$W$5:$W$2004,0)))</f>
        <v/>
      </c>
      <c r="O197" s="9">
        <f>IF($K197="","",INDEX('سجل التحفيز'!$C$5:$C$2004,MATCH($K197,'سجل التحفيز'!$W$5:$W$2004,0)))</f>
        <v/>
      </c>
      <c r="P197" s="36">
        <f>IF($K197="","",INDEX('سجل التحفيز'!$D$5:$D$2004,MATCH($K197,'سجل التحفيز'!$W$5:$W$2004,0)))</f>
        <v/>
      </c>
      <c r="Q197" s="9">
        <f>IF($K197="","",INDEX('سجل التحفيز'!$E$5:$E$2004,MATCH($K197,'سجل التحفيز'!$W$5:$W$2004,0)))</f>
        <v/>
      </c>
      <c r="R197" s="9">
        <f>IF($K197="","",INDEX('سجل التحفيز'!$F$5:$F$2004,MATCH($K197,'سجل التحفيز'!$W$5:$W$2004,0)))</f>
        <v/>
      </c>
      <c r="S197" s="35">
        <f>IF($K197="","",INDEX('سجل التحفيز'!$G$5:$G$2004,MATCH($K197,'سجل التحفيز'!$W$5:$W$2004,0)))</f>
        <v/>
      </c>
    </row>
    <row r="198">
      <c r="K198" s="36">
        <f>IF(161&gt;$B$10,"",161)</f>
        <v/>
      </c>
      <c r="L198" s="37">
        <f>IF($K198="","",INDEX('سجل التحفيز'!$A$5:$A$2004,MATCH($K198,'سجل التحفيز'!$W$5:$W$2004,0)))</f>
        <v/>
      </c>
      <c r="M198" s="9">
        <f>IF($K198="","",INDEX('سجل التحفيز'!$B$5:$B$2004,MATCH($K198,'سجل التحفيز'!$W$5:$W$2004,0)))</f>
        <v/>
      </c>
      <c r="N198" s="9">
        <f>IF($K198="","",INDEX('سجل التحفيز'!$M$5:$M$2004,MATCH($K198,'سجل التحفيز'!$W$5:$W$2004,0)))</f>
        <v/>
      </c>
      <c r="O198" s="9">
        <f>IF($K198="","",INDEX('سجل التحفيز'!$C$5:$C$2004,MATCH($K198,'سجل التحفيز'!$W$5:$W$2004,0)))</f>
        <v/>
      </c>
      <c r="P198" s="36">
        <f>IF($K198="","",INDEX('سجل التحفيز'!$D$5:$D$2004,MATCH($K198,'سجل التحفيز'!$W$5:$W$2004,0)))</f>
        <v/>
      </c>
      <c r="Q198" s="9">
        <f>IF($K198="","",INDEX('سجل التحفيز'!$E$5:$E$2004,MATCH($K198,'سجل التحفيز'!$W$5:$W$2004,0)))</f>
        <v/>
      </c>
      <c r="R198" s="9">
        <f>IF($K198="","",INDEX('سجل التحفيز'!$F$5:$F$2004,MATCH($K198,'سجل التحفيز'!$W$5:$W$2004,0)))</f>
        <v/>
      </c>
      <c r="S198" s="35">
        <f>IF($K198="","",INDEX('سجل التحفيز'!$G$5:$G$2004,MATCH($K198,'سجل التحفيز'!$W$5:$W$2004,0)))</f>
        <v/>
      </c>
    </row>
    <row r="199">
      <c r="K199" s="36">
        <f>IF(162&gt;$B$10,"",162)</f>
        <v/>
      </c>
      <c r="L199" s="37">
        <f>IF($K199="","",INDEX('سجل التحفيز'!$A$5:$A$2004,MATCH($K199,'سجل التحفيز'!$W$5:$W$2004,0)))</f>
        <v/>
      </c>
      <c r="M199" s="9">
        <f>IF($K199="","",INDEX('سجل التحفيز'!$B$5:$B$2004,MATCH($K199,'سجل التحفيز'!$W$5:$W$2004,0)))</f>
        <v/>
      </c>
      <c r="N199" s="9">
        <f>IF($K199="","",INDEX('سجل التحفيز'!$M$5:$M$2004,MATCH($K199,'سجل التحفيز'!$W$5:$W$2004,0)))</f>
        <v/>
      </c>
      <c r="O199" s="9">
        <f>IF($K199="","",INDEX('سجل التحفيز'!$C$5:$C$2004,MATCH($K199,'سجل التحفيز'!$W$5:$W$2004,0)))</f>
        <v/>
      </c>
      <c r="P199" s="36">
        <f>IF($K199="","",INDEX('سجل التحفيز'!$D$5:$D$2004,MATCH($K199,'سجل التحفيز'!$W$5:$W$2004,0)))</f>
        <v/>
      </c>
      <c r="Q199" s="9">
        <f>IF($K199="","",INDEX('سجل التحفيز'!$E$5:$E$2004,MATCH($K199,'سجل التحفيز'!$W$5:$W$2004,0)))</f>
        <v/>
      </c>
      <c r="R199" s="9">
        <f>IF($K199="","",INDEX('سجل التحفيز'!$F$5:$F$2004,MATCH($K199,'سجل التحفيز'!$W$5:$W$2004,0)))</f>
        <v/>
      </c>
      <c r="S199" s="35">
        <f>IF($K199="","",INDEX('سجل التحفيز'!$G$5:$G$2004,MATCH($K199,'سجل التحفيز'!$W$5:$W$2004,0)))</f>
        <v/>
      </c>
    </row>
    <row r="200">
      <c r="K200" s="36">
        <f>IF(163&gt;$B$10,"",163)</f>
        <v/>
      </c>
      <c r="L200" s="37">
        <f>IF($K200="","",INDEX('سجل التحفيز'!$A$5:$A$2004,MATCH($K200,'سجل التحفيز'!$W$5:$W$2004,0)))</f>
        <v/>
      </c>
      <c r="M200" s="9">
        <f>IF($K200="","",INDEX('سجل التحفيز'!$B$5:$B$2004,MATCH($K200,'سجل التحفيز'!$W$5:$W$2004,0)))</f>
        <v/>
      </c>
      <c r="N200" s="9">
        <f>IF($K200="","",INDEX('سجل التحفيز'!$M$5:$M$2004,MATCH($K200,'سجل التحفيز'!$W$5:$W$2004,0)))</f>
        <v/>
      </c>
      <c r="O200" s="9">
        <f>IF($K200="","",INDEX('سجل التحفيز'!$C$5:$C$2004,MATCH($K200,'سجل التحفيز'!$W$5:$W$2004,0)))</f>
        <v/>
      </c>
      <c r="P200" s="36">
        <f>IF($K200="","",INDEX('سجل التحفيز'!$D$5:$D$2004,MATCH($K200,'سجل التحفيز'!$W$5:$W$2004,0)))</f>
        <v/>
      </c>
      <c r="Q200" s="9">
        <f>IF($K200="","",INDEX('سجل التحفيز'!$E$5:$E$2004,MATCH($K200,'سجل التحفيز'!$W$5:$W$2004,0)))</f>
        <v/>
      </c>
      <c r="R200" s="9">
        <f>IF($K200="","",INDEX('سجل التحفيز'!$F$5:$F$2004,MATCH($K200,'سجل التحفيز'!$W$5:$W$2004,0)))</f>
        <v/>
      </c>
      <c r="S200" s="35">
        <f>IF($K200="","",INDEX('سجل التحفيز'!$G$5:$G$2004,MATCH($K200,'سجل التحفيز'!$W$5:$W$2004,0)))</f>
        <v/>
      </c>
    </row>
    <row r="201">
      <c r="K201" s="36">
        <f>IF(164&gt;$B$10,"",164)</f>
        <v/>
      </c>
      <c r="L201" s="37">
        <f>IF($K201="","",INDEX('سجل التحفيز'!$A$5:$A$2004,MATCH($K201,'سجل التحفيز'!$W$5:$W$2004,0)))</f>
        <v/>
      </c>
      <c r="M201" s="9">
        <f>IF($K201="","",INDEX('سجل التحفيز'!$B$5:$B$2004,MATCH($K201,'سجل التحفيز'!$W$5:$W$2004,0)))</f>
        <v/>
      </c>
      <c r="N201" s="9">
        <f>IF($K201="","",INDEX('سجل التحفيز'!$M$5:$M$2004,MATCH($K201,'سجل التحفيز'!$W$5:$W$2004,0)))</f>
        <v/>
      </c>
      <c r="O201" s="9">
        <f>IF($K201="","",INDEX('سجل التحفيز'!$C$5:$C$2004,MATCH($K201,'سجل التحفيز'!$W$5:$W$2004,0)))</f>
        <v/>
      </c>
      <c r="P201" s="36">
        <f>IF($K201="","",INDEX('سجل التحفيز'!$D$5:$D$2004,MATCH($K201,'سجل التحفيز'!$W$5:$W$2004,0)))</f>
        <v/>
      </c>
      <c r="Q201" s="9">
        <f>IF($K201="","",INDEX('سجل التحفيز'!$E$5:$E$2004,MATCH($K201,'سجل التحفيز'!$W$5:$W$2004,0)))</f>
        <v/>
      </c>
      <c r="R201" s="9">
        <f>IF($K201="","",INDEX('سجل التحفيز'!$F$5:$F$2004,MATCH($K201,'سجل التحفيز'!$W$5:$W$2004,0)))</f>
        <v/>
      </c>
      <c r="S201" s="35">
        <f>IF($K201="","",INDEX('سجل التحفيز'!$G$5:$G$2004,MATCH($K201,'سجل التحفيز'!$W$5:$W$2004,0)))</f>
        <v/>
      </c>
    </row>
    <row r="202">
      <c r="K202" s="36">
        <f>IF(165&gt;$B$10,"",165)</f>
        <v/>
      </c>
      <c r="L202" s="37">
        <f>IF($K202="","",INDEX('سجل التحفيز'!$A$5:$A$2004,MATCH($K202,'سجل التحفيز'!$W$5:$W$2004,0)))</f>
        <v/>
      </c>
      <c r="M202" s="9">
        <f>IF($K202="","",INDEX('سجل التحفيز'!$B$5:$B$2004,MATCH($K202,'سجل التحفيز'!$W$5:$W$2004,0)))</f>
        <v/>
      </c>
      <c r="N202" s="9">
        <f>IF($K202="","",INDEX('سجل التحفيز'!$M$5:$M$2004,MATCH($K202,'سجل التحفيز'!$W$5:$W$2004,0)))</f>
        <v/>
      </c>
      <c r="O202" s="9">
        <f>IF($K202="","",INDEX('سجل التحفيز'!$C$5:$C$2004,MATCH($K202,'سجل التحفيز'!$W$5:$W$2004,0)))</f>
        <v/>
      </c>
      <c r="P202" s="36">
        <f>IF($K202="","",INDEX('سجل التحفيز'!$D$5:$D$2004,MATCH($K202,'سجل التحفيز'!$W$5:$W$2004,0)))</f>
        <v/>
      </c>
      <c r="Q202" s="9">
        <f>IF($K202="","",INDEX('سجل التحفيز'!$E$5:$E$2004,MATCH($K202,'سجل التحفيز'!$W$5:$W$2004,0)))</f>
        <v/>
      </c>
      <c r="R202" s="9">
        <f>IF($K202="","",INDEX('سجل التحفيز'!$F$5:$F$2004,MATCH($K202,'سجل التحفيز'!$W$5:$W$2004,0)))</f>
        <v/>
      </c>
      <c r="S202" s="35">
        <f>IF($K202="","",INDEX('سجل التحفيز'!$G$5:$G$2004,MATCH($K202,'سجل التحفيز'!$W$5:$W$2004,0)))</f>
        <v/>
      </c>
    </row>
    <row r="203">
      <c r="K203" s="36">
        <f>IF(166&gt;$B$10,"",166)</f>
        <v/>
      </c>
      <c r="L203" s="37">
        <f>IF($K203="","",INDEX('سجل التحفيز'!$A$5:$A$2004,MATCH($K203,'سجل التحفيز'!$W$5:$W$2004,0)))</f>
        <v/>
      </c>
      <c r="M203" s="9">
        <f>IF($K203="","",INDEX('سجل التحفيز'!$B$5:$B$2004,MATCH($K203,'سجل التحفيز'!$W$5:$W$2004,0)))</f>
        <v/>
      </c>
      <c r="N203" s="9">
        <f>IF($K203="","",INDEX('سجل التحفيز'!$M$5:$M$2004,MATCH($K203,'سجل التحفيز'!$W$5:$W$2004,0)))</f>
        <v/>
      </c>
      <c r="O203" s="9">
        <f>IF($K203="","",INDEX('سجل التحفيز'!$C$5:$C$2004,MATCH($K203,'سجل التحفيز'!$W$5:$W$2004,0)))</f>
        <v/>
      </c>
      <c r="P203" s="36">
        <f>IF($K203="","",INDEX('سجل التحفيز'!$D$5:$D$2004,MATCH($K203,'سجل التحفيز'!$W$5:$W$2004,0)))</f>
        <v/>
      </c>
      <c r="Q203" s="9">
        <f>IF($K203="","",INDEX('سجل التحفيز'!$E$5:$E$2004,MATCH($K203,'سجل التحفيز'!$W$5:$W$2004,0)))</f>
        <v/>
      </c>
      <c r="R203" s="9">
        <f>IF($K203="","",INDEX('سجل التحفيز'!$F$5:$F$2004,MATCH($K203,'سجل التحفيز'!$W$5:$W$2004,0)))</f>
        <v/>
      </c>
      <c r="S203" s="35">
        <f>IF($K203="","",INDEX('سجل التحفيز'!$G$5:$G$2004,MATCH($K203,'سجل التحفيز'!$W$5:$W$2004,0)))</f>
        <v/>
      </c>
    </row>
    <row r="204">
      <c r="K204" s="36">
        <f>IF(167&gt;$B$10,"",167)</f>
        <v/>
      </c>
      <c r="L204" s="37">
        <f>IF($K204="","",INDEX('سجل التحفيز'!$A$5:$A$2004,MATCH($K204,'سجل التحفيز'!$W$5:$W$2004,0)))</f>
        <v/>
      </c>
      <c r="M204" s="9">
        <f>IF($K204="","",INDEX('سجل التحفيز'!$B$5:$B$2004,MATCH($K204,'سجل التحفيز'!$W$5:$W$2004,0)))</f>
        <v/>
      </c>
      <c r="N204" s="9">
        <f>IF($K204="","",INDEX('سجل التحفيز'!$M$5:$M$2004,MATCH($K204,'سجل التحفيز'!$W$5:$W$2004,0)))</f>
        <v/>
      </c>
      <c r="O204" s="9">
        <f>IF($K204="","",INDEX('سجل التحفيز'!$C$5:$C$2004,MATCH($K204,'سجل التحفيز'!$W$5:$W$2004,0)))</f>
        <v/>
      </c>
      <c r="P204" s="36">
        <f>IF($K204="","",INDEX('سجل التحفيز'!$D$5:$D$2004,MATCH($K204,'سجل التحفيز'!$W$5:$W$2004,0)))</f>
        <v/>
      </c>
      <c r="Q204" s="9">
        <f>IF($K204="","",INDEX('سجل التحفيز'!$E$5:$E$2004,MATCH($K204,'سجل التحفيز'!$W$5:$W$2004,0)))</f>
        <v/>
      </c>
      <c r="R204" s="9">
        <f>IF($K204="","",INDEX('سجل التحفيز'!$F$5:$F$2004,MATCH($K204,'سجل التحفيز'!$W$5:$W$2004,0)))</f>
        <v/>
      </c>
      <c r="S204" s="35">
        <f>IF($K204="","",INDEX('سجل التحفيز'!$G$5:$G$2004,MATCH($K204,'سجل التحفيز'!$W$5:$W$2004,0)))</f>
        <v/>
      </c>
    </row>
    <row r="205">
      <c r="K205" s="36">
        <f>IF(168&gt;$B$10,"",168)</f>
        <v/>
      </c>
      <c r="L205" s="37">
        <f>IF($K205="","",INDEX('سجل التحفيز'!$A$5:$A$2004,MATCH($K205,'سجل التحفيز'!$W$5:$W$2004,0)))</f>
        <v/>
      </c>
      <c r="M205" s="9">
        <f>IF($K205="","",INDEX('سجل التحفيز'!$B$5:$B$2004,MATCH($K205,'سجل التحفيز'!$W$5:$W$2004,0)))</f>
        <v/>
      </c>
      <c r="N205" s="9">
        <f>IF($K205="","",INDEX('سجل التحفيز'!$M$5:$M$2004,MATCH($K205,'سجل التحفيز'!$W$5:$W$2004,0)))</f>
        <v/>
      </c>
      <c r="O205" s="9">
        <f>IF($K205="","",INDEX('سجل التحفيز'!$C$5:$C$2004,MATCH($K205,'سجل التحفيز'!$W$5:$W$2004,0)))</f>
        <v/>
      </c>
      <c r="P205" s="36">
        <f>IF($K205="","",INDEX('سجل التحفيز'!$D$5:$D$2004,MATCH($K205,'سجل التحفيز'!$W$5:$W$2004,0)))</f>
        <v/>
      </c>
      <c r="Q205" s="9">
        <f>IF($K205="","",INDEX('سجل التحفيز'!$E$5:$E$2004,MATCH($K205,'سجل التحفيز'!$W$5:$W$2004,0)))</f>
        <v/>
      </c>
      <c r="R205" s="9">
        <f>IF($K205="","",INDEX('سجل التحفيز'!$F$5:$F$2004,MATCH($K205,'سجل التحفيز'!$W$5:$W$2004,0)))</f>
        <v/>
      </c>
      <c r="S205" s="35">
        <f>IF($K205="","",INDEX('سجل التحفيز'!$G$5:$G$2004,MATCH($K205,'سجل التحفيز'!$W$5:$W$2004,0)))</f>
        <v/>
      </c>
    </row>
    <row r="206">
      <c r="K206" s="36">
        <f>IF(169&gt;$B$10,"",169)</f>
        <v/>
      </c>
      <c r="L206" s="37">
        <f>IF($K206="","",INDEX('سجل التحفيز'!$A$5:$A$2004,MATCH($K206,'سجل التحفيز'!$W$5:$W$2004,0)))</f>
        <v/>
      </c>
      <c r="M206" s="9">
        <f>IF($K206="","",INDEX('سجل التحفيز'!$B$5:$B$2004,MATCH($K206,'سجل التحفيز'!$W$5:$W$2004,0)))</f>
        <v/>
      </c>
      <c r="N206" s="9">
        <f>IF($K206="","",INDEX('سجل التحفيز'!$M$5:$M$2004,MATCH($K206,'سجل التحفيز'!$W$5:$W$2004,0)))</f>
        <v/>
      </c>
      <c r="O206" s="9">
        <f>IF($K206="","",INDEX('سجل التحفيز'!$C$5:$C$2004,MATCH($K206,'سجل التحفيز'!$W$5:$W$2004,0)))</f>
        <v/>
      </c>
      <c r="P206" s="36">
        <f>IF($K206="","",INDEX('سجل التحفيز'!$D$5:$D$2004,MATCH($K206,'سجل التحفيز'!$W$5:$W$2004,0)))</f>
        <v/>
      </c>
      <c r="Q206" s="9">
        <f>IF($K206="","",INDEX('سجل التحفيز'!$E$5:$E$2004,MATCH($K206,'سجل التحفيز'!$W$5:$W$2004,0)))</f>
        <v/>
      </c>
      <c r="R206" s="9">
        <f>IF($K206="","",INDEX('سجل التحفيز'!$F$5:$F$2004,MATCH($K206,'سجل التحفيز'!$W$5:$W$2004,0)))</f>
        <v/>
      </c>
      <c r="S206" s="35">
        <f>IF($K206="","",INDEX('سجل التحفيز'!$G$5:$G$2004,MATCH($K206,'سجل التحفيز'!$W$5:$W$2004,0)))</f>
        <v/>
      </c>
    </row>
    <row r="207">
      <c r="K207" s="36">
        <f>IF(170&gt;$B$10,"",170)</f>
        <v/>
      </c>
      <c r="L207" s="37">
        <f>IF($K207="","",INDEX('سجل التحفيز'!$A$5:$A$2004,MATCH($K207,'سجل التحفيز'!$W$5:$W$2004,0)))</f>
        <v/>
      </c>
      <c r="M207" s="9">
        <f>IF($K207="","",INDEX('سجل التحفيز'!$B$5:$B$2004,MATCH($K207,'سجل التحفيز'!$W$5:$W$2004,0)))</f>
        <v/>
      </c>
      <c r="N207" s="9">
        <f>IF($K207="","",INDEX('سجل التحفيز'!$M$5:$M$2004,MATCH($K207,'سجل التحفيز'!$W$5:$W$2004,0)))</f>
        <v/>
      </c>
      <c r="O207" s="9">
        <f>IF($K207="","",INDEX('سجل التحفيز'!$C$5:$C$2004,MATCH($K207,'سجل التحفيز'!$W$5:$W$2004,0)))</f>
        <v/>
      </c>
      <c r="P207" s="36">
        <f>IF($K207="","",INDEX('سجل التحفيز'!$D$5:$D$2004,MATCH($K207,'سجل التحفيز'!$W$5:$W$2004,0)))</f>
        <v/>
      </c>
      <c r="Q207" s="9">
        <f>IF($K207="","",INDEX('سجل التحفيز'!$E$5:$E$2004,MATCH($K207,'سجل التحفيز'!$W$5:$W$2004,0)))</f>
        <v/>
      </c>
      <c r="R207" s="9">
        <f>IF($K207="","",INDEX('سجل التحفيز'!$F$5:$F$2004,MATCH($K207,'سجل التحفيز'!$W$5:$W$2004,0)))</f>
        <v/>
      </c>
      <c r="S207" s="35">
        <f>IF($K207="","",INDEX('سجل التحفيز'!$G$5:$G$2004,MATCH($K207,'سجل التحفيز'!$W$5:$W$2004,0)))</f>
        <v/>
      </c>
    </row>
    <row r="208">
      <c r="K208" s="36">
        <f>IF(171&gt;$B$10,"",171)</f>
        <v/>
      </c>
      <c r="L208" s="37">
        <f>IF($K208="","",INDEX('سجل التحفيز'!$A$5:$A$2004,MATCH($K208,'سجل التحفيز'!$W$5:$W$2004,0)))</f>
        <v/>
      </c>
      <c r="M208" s="9">
        <f>IF($K208="","",INDEX('سجل التحفيز'!$B$5:$B$2004,MATCH($K208,'سجل التحفيز'!$W$5:$W$2004,0)))</f>
        <v/>
      </c>
      <c r="N208" s="9">
        <f>IF($K208="","",INDEX('سجل التحفيز'!$M$5:$M$2004,MATCH($K208,'سجل التحفيز'!$W$5:$W$2004,0)))</f>
        <v/>
      </c>
      <c r="O208" s="9">
        <f>IF($K208="","",INDEX('سجل التحفيز'!$C$5:$C$2004,MATCH($K208,'سجل التحفيز'!$W$5:$W$2004,0)))</f>
        <v/>
      </c>
      <c r="P208" s="36">
        <f>IF($K208="","",INDEX('سجل التحفيز'!$D$5:$D$2004,MATCH($K208,'سجل التحفيز'!$W$5:$W$2004,0)))</f>
        <v/>
      </c>
      <c r="Q208" s="9">
        <f>IF($K208="","",INDEX('سجل التحفيز'!$E$5:$E$2004,MATCH($K208,'سجل التحفيز'!$W$5:$W$2004,0)))</f>
        <v/>
      </c>
      <c r="R208" s="9">
        <f>IF($K208="","",INDEX('سجل التحفيز'!$F$5:$F$2004,MATCH($K208,'سجل التحفيز'!$W$5:$W$2004,0)))</f>
        <v/>
      </c>
      <c r="S208" s="35">
        <f>IF($K208="","",INDEX('سجل التحفيز'!$G$5:$G$2004,MATCH($K208,'سجل التحفيز'!$W$5:$W$2004,0)))</f>
        <v/>
      </c>
    </row>
    <row r="209">
      <c r="K209" s="36">
        <f>IF(172&gt;$B$10,"",172)</f>
        <v/>
      </c>
      <c r="L209" s="37">
        <f>IF($K209="","",INDEX('سجل التحفيز'!$A$5:$A$2004,MATCH($K209,'سجل التحفيز'!$W$5:$W$2004,0)))</f>
        <v/>
      </c>
      <c r="M209" s="9">
        <f>IF($K209="","",INDEX('سجل التحفيز'!$B$5:$B$2004,MATCH($K209,'سجل التحفيز'!$W$5:$W$2004,0)))</f>
        <v/>
      </c>
      <c r="N209" s="9">
        <f>IF($K209="","",INDEX('سجل التحفيز'!$M$5:$M$2004,MATCH($K209,'سجل التحفيز'!$W$5:$W$2004,0)))</f>
        <v/>
      </c>
      <c r="O209" s="9">
        <f>IF($K209="","",INDEX('سجل التحفيز'!$C$5:$C$2004,MATCH($K209,'سجل التحفيز'!$W$5:$W$2004,0)))</f>
        <v/>
      </c>
      <c r="P209" s="36">
        <f>IF($K209="","",INDEX('سجل التحفيز'!$D$5:$D$2004,MATCH($K209,'سجل التحفيز'!$W$5:$W$2004,0)))</f>
        <v/>
      </c>
      <c r="Q209" s="9">
        <f>IF($K209="","",INDEX('سجل التحفيز'!$E$5:$E$2004,MATCH($K209,'سجل التحفيز'!$W$5:$W$2004,0)))</f>
        <v/>
      </c>
      <c r="R209" s="9">
        <f>IF($K209="","",INDEX('سجل التحفيز'!$F$5:$F$2004,MATCH($K209,'سجل التحفيز'!$W$5:$W$2004,0)))</f>
        <v/>
      </c>
      <c r="S209" s="35">
        <f>IF($K209="","",INDEX('سجل التحفيز'!$G$5:$G$2004,MATCH($K209,'سجل التحفيز'!$W$5:$W$2004,0)))</f>
        <v/>
      </c>
    </row>
    <row r="210">
      <c r="K210" s="36">
        <f>IF(173&gt;$B$10,"",173)</f>
        <v/>
      </c>
      <c r="L210" s="37">
        <f>IF($K210="","",INDEX('سجل التحفيز'!$A$5:$A$2004,MATCH($K210,'سجل التحفيز'!$W$5:$W$2004,0)))</f>
        <v/>
      </c>
      <c r="M210" s="9">
        <f>IF($K210="","",INDEX('سجل التحفيز'!$B$5:$B$2004,MATCH($K210,'سجل التحفيز'!$W$5:$W$2004,0)))</f>
        <v/>
      </c>
      <c r="N210" s="9">
        <f>IF($K210="","",INDEX('سجل التحفيز'!$M$5:$M$2004,MATCH($K210,'سجل التحفيز'!$W$5:$W$2004,0)))</f>
        <v/>
      </c>
      <c r="O210" s="9">
        <f>IF($K210="","",INDEX('سجل التحفيز'!$C$5:$C$2004,MATCH($K210,'سجل التحفيز'!$W$5:$W$2004,0)))</f>
        <v/>
      </c>
      <c r="P210" s="36">
        <f>IF($K210="","",INDEX('سجل التحفيز'!$D$5:$D$2004,MATCH($K210,'سجل التحفيز'!$W$5:$W$2004,0)))</f>
        <v/>
      </c>
      <c r="Q210" s="9">
        <f>IF($K210="","",INDEX('سجل التحفيز'!$E$5:$E$2004,MATCH($K210,'سجل التحفيز'!$W$5:$W$2004,0)))</f>
        <v/>
      </c>
      <c r="R210" s="9">
        <f>IF($K210="","",INDEX('سجل التحفيز'!$F$5:$F$2004,MATCH($K210,'سجل التحفيز'!$W$5:$W$2004,0)))</f>
        <v/>
      </c>
      <c r="S210" s="35">
        <f>IF($K210="","",INDEX('سجل التحفيز'!$G$5:$G$2004,MATCH($K210,'سجل التحفيز'!$W$5:$W$2004,0)))</f>
        <v/>
      </c>
    </row>
    <row r="211">
      <c r="K211" s="36">
        <f>IF(174&gt;$B$10,"",174)</f>
        <v/>
      </c>
      <c r="L211" s="37">
        <f>IF($K211="","",INDEX('سجل التحفيز'!$A$5:$A$2004,MATCH($K211,'سجل التحفيز'!$W$5:$W$2004,0)))</f>
        <v/>
      </c>
      <c r="M211" s="9">
        <f>IF($K211="","",INDEX('سجل التحفيز'!$B$5:$B$2004,MATCH($K211,'سجل التحفيز'!$W$5:$W$2004,0)))</f>
        <v/>
      </c>
      <c r="N211" s="9">
        <f>IF($K211="","",INDEX('سجل التحفيز'!$M$5:$M$2004,MATCH($K211,'سجل التحفيز'!$W$5:$W$2004,0)))</f>
        <v/>
      </c>
      <c r="O211" s="9">
        <f>IF($K211="","",INDEX('سجل التحفيز'!$C$5:$C$2004,MATCH($K211,'سجل التحفيز'!$W$5:$W$2004,0)))</f>
        <v/>
      </c>
      <c r="P211" s="36">
        <f>IF($K211="","",INDEX('سجل التحفيز'!$D$5:$D$2004,MATCH($K211,'سجل التحفيز'!$W$5:$W$2004,0)))</f>
        <v/>
      </c>
      <c r="Q211" s="9">
        <f>IF($K211="","",INDEX('سجل التحفيز'!$E$5:$E$2004,MATCH($K211,'سجل التحفيز'!$W$5:$W$2004,0)))</f>
        <v/>
      </c>
      <c r="R211" s="9">
        <f>IF($K211="","",INDEX('سجل التحفيز'!$F$5:$F$2004,MATCH($K211,'سجل التحفيز'!$W$5:$W$2004,0)))</f>
        <v/>
      </c>
      <c r="S211" s="35">
        <f>IF($K211="","",INDEX('سجل التحفيز'!$G$5:$G$2004,MATCH($K211,'سجل التحفيز'!$W$5:$W$2004,0)))</f>
        <v/>
      </c>
    </row>
    <row r="212">
      <c r="K212" s="36">
        <f>IF(175&gt;$B$10,"",175)</f>
        <v/>
      </c>
      <c r="L212" s="37">
        <f>IF($K212="","",INDEX('سجل التحفيز'!$A$5:$A$2004,MATCH($K212,'سجل التحفيز'!$W$5:$W$2004,0)))</f>
        <v/>
      </c>
      <c r="M212" s="9">
        <f>IF($K212="","",INDEX('سجل التحفيز'!$B$5:$B$2004,MATCH($K212,'سجل التحفيز'!$W$5:$W$2004,0)))</f>
        <v/>
      </c>
      <c r="N212" s="9">
        <f>IF($K212="","",INDEX('سجل التحفيز'!$M$5:$M$2004,MATCH($K212,'سجل التحفيز'!$W$5:$W$2004,0)))</f>
        <v/>
      </c>
      <c r="O212" s="9">
        <f>IF($K212="","",INDEX('سجل التحفيز'!$C$5:$C$2004,MATCH($K212,'سجل التحفيز'!$W$5:$W$2004,0)))</f>
        <v/>
      </c>
      <c r="P212" s="36">
        <f>IF($K212="","",INDEX('سجل التحفيز'!$D$5:$D$2004,MATCH($K212,'سجل التحفيز'!$W$5:$W$2004,0)))</f>
        <v/>
      </c>
      <c r="Q212" s="9">
        <f>IF($K212="","",INDEX('سجل التحفيز'!$E$5:$E$2004,MATCH($K212,'سجل التحفيز'!$W$5:$W$2004,0)))</f>
        <v/>
      </c>
      <c r="R212" s="9">
        <f>IF($K212="","",INDEX('سجل التحفيز'!$F$5:$F$2004,MATCH($K212,'سجل التحفيز'!$W$5:$W$2004,0)))</f>
        <v/>
      </c>
      <c r="S212" s="35">
        <f>IF($K212="","",INDEX('سجل التحفيز'!$G$5:$G$2004,MATCH($K212,'سجل التحفيز'!$W$5:$W$2004,0)))</f>
        <v/>
      </c>
    </row>
    <row r="213">
      <c r="K213" s="36">
        <f>IF(176&gt;$B$10,"",176)</f>
        <v/>
      </c>
      <c r="L213" s="37">
        <f>IF($K213="","",INDEX('سجل التحفيز'!$A$5:$A$2004,MATCH($K213,'سجل التحفيز'!$W$5:$W$2004,0)))</f>
        <v/>
      </c>
      <c r="M213" s="9">
        <f>IF($K213="","",INDEX('سجل التحفيز'!$B$5:$B$2004,MATCH($K213,'سجل التحفيز'!$W$5:$W$2004,0)))</f>
        <v/>
      </c>
      <c r="N213" s="9">
        <f>IF($K213="","",INDEX('سجل التحفيز'!$M$5:$M$2004,MATCH($K213,'سجل التحفيز'!$W$5:$W$2004,0)))</f>
        <v/>
      </c>
      <c r="O213" s="9">
        <f>IF($K213="","",INDEX('سجل التحفيز'!$C$5:$C$2004,MATCH($K213,'سجل التحفيز'!$W$5:$W$2004,0)))</f>
        <v/>
      </c>
      <c r="P213" s="36">
        <f>IF($K213="","",INDEX('سجل التحفيز'!$D$5:$D$2004,MATCH($K213,'سجل التحفيز'!$W$5:$W$2004,0)))</f>
        <v/>
      </c>
      <c r="Q213" s="9">
        <f>IF($K213="","",INDEX('سجل التحفيز'!$E$5:$E$2004,MATCH($K213,'سجل التحفيز'!$W$5:$W$2004,0)))</f>
        <v/>
      </c>
      <c r="R213" s="9">
        <f>IF($K213="","",INDEX('سجل التحفيز'!$F$5:$F$2004,MATCH($K213,'سجل التحفيز'!$W$5:$W$2004,0)))</f>
        <v/>
      </c>
      <c r="S213" s="35">
        <f>IF($K213="","",INDEX('سجل التحفيز'!$G$5:$G$2004,MATCH($K213,'سجل التحفيز'!$W$5:$W$2004,0)))</f>
        <v/>
      </c>
    </row>
    <row r="214">
      <c r="K214" s="36">
        <f>IF(177&gt;$B$10,"",177)</f>
        <v/>
      </c>
      <c r="L214" s="37">
        <f>IF($K214="","",INDEX('سجل التحفيز'!$A$5:$A$2004,MATCH($K214,'سجل التحفيز'!$W$5:$W$2004,0)))</f>
        <v/>
      </c>
      <c r="M214" s="9">
        <f>IF($K214="","",INDEX('سجل التحفيز'!$B$5:$B$2004,MATCH($K214,'سجل التحفيز'!$W$5:$W$2004,0)))</f>
        <v/>
      </c>
      <c r="N214" s="9">
        <f>IF($K214="","",INDEX('سجل التحفيز'!$M$5:$M$2004,MATCH($K214,'سجل التحفيز'!$W$5:$W$2004,0)))</f>
        <v/>
      </c>
      <c r="O214" s="9">
        <f>IF($K214="","",INDEX('سجل التحفيز'!$C$5:$C$2004,MATCH($K214,'سجل التحفيز'!$W$5:$W$2004,0)))</f>
        <v/>
      </c>
      <c r="P214" s="36">
        <f>IF($K214="","",INDEX('سجل التحفيز'!$D$5:$D$2004,MATCH($K214,'سجل التحفيز'!$W$5:$W$2004,0)))</f>
        <v/>
      </c>
      <c r="Q214" s="9">
        <f>IF($K214="","",INDEX('سجل التحفيز'!$E$5:$E$2004,MATCH($K214,'سجل التحفيز'!$W$5:$W$2004,0)))</f>
        <v/>
      </c>
      <c r="R214" s="9">
        <f>IF($K214="","",INDEX('سجل التحفيز'!$F$5:$F$2004,MATCH($K214,'سجل التحفيز'!$W$5:$W$2004,0)))</f>
        <v/>
      </c>
      <c r="S214" s="35">
        <f>IF($K214="","",INDEX('سجل التحفيز'!$G$5:$G$2004,MATCH($K214,'سجل التحفيز'!$W$5:$W$2004,0)))</f>
        <v/>
      </c>
    </row>
    <row r="215">
      <c r="K215" s="36">
        <f>IF(178&gt;$B$10,"",178)</f>
        <v/>
      </c>
      <c r="L215" s="37">
        <f>IF($K215="","",INDEX('سجل التحفيز'!$A$5:$A$2004,MATCH($K215,'سجل التحفيز'!$W$5:$W$2004,0)))</f>
        <v/>
      </c>
      <c r="M215" s="9">
        <f>IF($K215="","",INDEX('سجل التحفيز'!$B$5:$B$2004,MATCH($K215,'سجل التحفيز'!$W$5:$W$2004,0)))</f>
        <v/>
      </c>
      <c r="N215" s="9">
        <f>IF($K215="","",INDEX('سجل التحفيز'!$M$5:$M$2004,MATCH($K215,'سجل التحفيز'!$W$5:$W$2004,0)))</f>
        <v/>
      </c>
      <c r="O215" s="9">
        <f>IF($K215="","",INDEX('سجل التحفيز'!$C$5:$C$2004,MATCH($K215,'سجل التحفيز'!$W$5:$W$2004,0)))</f>
        <v/>
      </c>
      <c r="P215" s="36">
        <f>IF($K215="","",INDEX('سجل التحفيز'!$D$5:$D$2004,MATCH($K215,'سجل التحفيز'!$W$5:$W$2004,0)))</f>
        <v/>
      </c>
      <c r="Q215" s="9">
        <f>IF($K215="","",INDEX('سجل التحفيز'!$E$5:$E$2004,MATCH($K215,'سجل التحفيز'!$W$5:$W$2004,0)))</f>
        <v/>
      </c>
      <c r="R215" s="9">
        <f>IF($K215="","",INDEX('سجل التحفيز'!$F$5:$F$2004,MATCH($K215,'سجل التحفيز'!$W$5:$W$2004,0)))</f>
        <v/>
      </c>
      <c r="S215" s="35">
        <f>IF($K215="","",INDEX('سجل التحفيز'!$G$5:$G$2004,MATCH($K215,'سجل التحفيز'!$W$5:$W$2004,0)))</f>
        <v/>
      </c>
    </row>
    <row r="216">
      <c r="K216" s="36">
        <f>IF(179&gt;$B$10,"",179)</f>
        <v/>
      </c>
      <c r="L216" s="37">
        <f>IF($K216="","",INDEX('سجل التحفيز'!$A$5:$A$2004,MATCH($K216,'سجل التحفيز'!$W$5:$W$2004,0)))</f>
        <v/>
      </c>
      <c r="M216" s="9">
        <f>IF($K216="","",INDEX('سجل التحفيز'!$B$5:$B$2004,MATCH($K216,'سجل التحفيز'!$W$5:$W$2004,0)))</f>
        <v/>
      </c>
      <c r="N216" s="9">
        <f>IF($K216="","",INDEX('سجل التحفيز'!$M$5:$M$2004,MATCH($K216,'سجل التحفيز'!$W$5:$W$2004,0)))</f>
        <v/>
      </c>
      <c r="O216" s="9">
        <f>IF($K216="","",INDEX('سجل التحفيز'!$C$5:$C$2004,MATCH($K216,'سجل التحفيز'!$W$5:$W$2004,0)))</f>
        <v/>
      </c>
      <c r="P216" s="36">
        <f>IF($K216="","",INDEX('سجل التحفيز'!$D$5:$D$2004,MATCH($K216,'سجل التحفيز'!$W$5:$W$2004,0)))</f>
        <v/>
      </c>
      <c r="Q216" s="9">
        <f>IF($K216="","",INDEX('سجل التحفيز'!$E$5:$E$2004,MATCH($K216,'سجل التحفيز'!$W$5:$W$2004,0)))</f>
        <v/>
      </c>
      <c r="R216" s="9">
        <f>IF($K216="","",INDEX('سجل التحفيز'!$F$5:$F$2004,MATCH($K216,'سجل التحفيز'!$W$5:$W$2004,0)))</f>
        <v/>
      </c>
      <c r="S216" s="35">
        <f>IF($K216="","",INDEX('سجل التحفيز'!$G$5:$G$2004,MATCH($K216,'سجل التحفيز'!$W$5:$W$2004,0)))</f>
        <v/>
      </c>
    </row>
    <row r="217">
      <c r="K217" s="36">
        <f>IF(180&gt;$B$10,"",180)</f>
        <v/>
      </c>
      <c r="L217" s="37">
        <f>IF($K217="","",INDEX('سجل التحفيز'!$A$5:$A$2004,MATCH($K217,'سجل التحفيز'!$W$5:$W$2004,0)))</f>
        <v/>
      </c>
      <c r="M217" s="9">
        <f>IF($K217="","",INDEX('سجل التحفيز'!$B$5:$B$2004,MATCH($K217,'سجل التحفيز'!$W$5:$W$2004,0)))</f>
        <v/>
      </c>
      <c r="N217" s="9">
        <f>IF($K217="","",INDEX('سجل التحفيز'!$M$5:$M$2004,MATCH($K217,'سجل التحفيز'!$W$5:$W$2004,0)))</f>
        <v/>
      </c>
      <c r="O217" s="9">
        <f>IF($K217="","",INDEX('سجل التحفيز'!$C$5:$C$2004,MATCH($K217,'سجل التحفيز'!$W$5:$W$2004,0)))</f>
        <v/>
      </c>
      <c r="P217" s="36">
        <f>IF($K217="","",INDEX('سجل التحفيز'!$D$5:$D$2004,MATCH($K217,'سجل التحفيز'!$W$5:$W$2004,0)))</f>
        <v/>
      </c>
      <c r="Q217" s="9">
        <f>IF($K217="","",INDEX('سجل التحفيز'!$E$5:$E$2004,MATCH($K217,'سجل التحفيز'!$W$5:$W$2004,0)))</f>
        <v/>
      </c>
      <c r="R217" s="9">
        <f>IF($K217="","",INDEX('سجل التحفيز'!$F$5:$F$2004,MATCH($K217,'سجل التحفيز'!$W$5:$W$2004,0)))</f>
        <v/>
      </c>
      <c r="S217" s="35">
        <f>IF($K217="","",INDEX('سجل التحفيز'!$G$5:$G$2004,MATCH($K217,'سجل التحفيز'!$W$5:$W$2004,0)))</f>
        <v/>
      </c>
    </row>
    <row r="218">
      <c r="K218" s="36">
        <f>IF(181&gt;$B$10,"",181)</f>
        <v/>
      </c>
      <c r="L218" s="37">
        <f>IF($K218="","",INDEX('سجل التحفيز'!$A$5:$A$2004,MATCH($K218,'سجل التحفيز'!$W$5:$W$2004,0)))</f>
        <v/>
      </c>
      <c r="M218" s="9">
        <f>IF($K218="","",INDEX('سجل التحفيز'!$B$5:$B$2004,MATCH($K218,'سجل التحفيز'!$W$5:$W$2004,0)))</f>
        <v/>
      </c>
      <c r="N218" s="9">
        <f>IF($K218="","",INDEX('سجل التحفيز'!$M$5:$M$2004,MATCH($K218,'سجل التحفيز'!$W$5:$W$2004,0)))</f>
        <v/>
      </c>
      <c r="O218" s="9">
        <f>IF($K218="","",INDEX('سجل التحفيز'!$C$5:$C$2004,MATCH($K218,'سجل التحفيز'!$W$5:$W$2004,0)))</f>
        <v/>
      </c>
      <c r="P218" s="36">
        <f>IF($K218="","",INDEX('سجل التحفيز'!$D$5:$D$2004,MATCH($K218,'سجل التحفيز'!$W$5:$W$2004,0)))</f>
        <v/>
      </c>
      <c r="Q218" s="9">
        <f>IF($K218="","",INDEX('سجل التحفيز'!$E$5:$E$2004,MATCH($K218,'سجل التحفيز'!$W$5:$W$2004,0)))</f>
        <v/>
      </c>
      <c r="R218" s="9">
        <f>IF($K218="","",INDEX('سجل التحفيز'!$F$5:$F$2004,MATCH($K218,'سجل التحفيز'!$W$5:$W$2004,0)))</f>
        <v/>
      </c>
      <c r="S218" s="35">
        <f>IF($K218="","",INDEX('سجل التحفيز'!$G$5:$G$2004,MATCH($K218,'سجل التحفيز'!$W$5:$W$2004,0)))</f>
        <v/>
      </c>
    </row>
    <row r="219">
      <c r="K219" s="36">
        <f>IF(182&gt;$B$10,"",182)</f>
        <v/>
      </c>
      <c r="L219" s="37">
        <f>IF($K219="","",INDEX('سجل التحفيز'!$A$5:$A$2004,MATCH($K219,'سجل التحفيز'!$W$5:$W$2004,0)))</f>
        <v/>
      </c>
      <c r="M219" s="9">
        <f>IF($K219="","",INDEX('سجل التحفيز'!$B$5:$B$2004,MATCH($K219,'سجل التحفيز'!$W$5:$W$2004,0)))</f>
        <v/>
      </c>
      <c r="N219" s="9">
        <f>IF($K219="","",INDEX('سجل التحفيز'!$M$5:$M$2004,MATCH($K219,'سجل التحفيز'!$W$5:$W$2004,0)))</f>
        <v/>
      </c>
      <c r="O219" s="9">
        <f>IF($K219="","",INDEX('سجل التحفيز'!$C$5:$C$2004,MATCH($K219,'سجل التحفيز'!$W$5:$W$2004,0)))</f>
        <v/>
      </c>
      <c r="P219" s="36">
        <f>IF($K219="","",INDEX('سجل التحفيز'!$D$5:$D$2004,MATCH($K219,'سجل التحفيز'!$W$5:$W$2004,0)))</f>
        <v/>
      </c>
      <c r="Q219" s="9">
        <f>IF($K219="","",INDEX('سجل التحفيز'!$E$5:$E$2004,MATCH($K219,'سجل التحفيز'!$W$5:$W$2004,0)))</f>
        <v/>
      </c>
      <c r="R219" s="9">
        <f>IF($K219="","",INDEX('سجل التحفيز'!$F$5:$F$2004,MATCH($K219,'سجل التحفيز'!$W$5:$W$2004,0)))</f>
        <v/>
      </c>
      <c r="S219" s="35">
        <f>IF($K219="","",INDEX('سجل التحفيز'!$G$5:$G$2004,MATCH($K219,'سجل التحفيز'!$W$5:$W$2004,0)))</f>
        <v/>
      </c>
    </row>
    <row r="220">
      <c r="K220" s="36">
        <f>IF(183&gt;$B$10,"",183)</f>
        <v/>
      </c>
      <c r="L220" s="37">
        <f>IF($K220="","",INDEX('سجل التحفيز'!$A$5:$A$2004,MATCH($K220,'سجل التحفيز'!$W$5:$W$2004,0)))</f>
        <v/>
      </c>
      <c r="M220" s="9">
        <f>IF($K220="","",INDEX('سجل التحفيز'!$B$5:$B$2004,MATCH($K220,'سجل التحفيز'!$W$5:$W$2004,0)))</f>
        <v/>
      </c>
      <c r="N220" s="9">
        <f>IF($K220="","",INDEX('سجل التحفيز'!$M$5:$M$2004,MATCH($K220,'سجل التحفيز'!$W$5:$W$2004,0)))</f>
        <v/>
      </c>
      <c r="O220" s="9">
        <f>IF($K220="","",INDEX('سجل التحفيز'!$C$5:$C$2004,MATCH($K220,'سجل التحفيز'!$W$5:$W$2004,0)))</f>
        <v/>
      </c>
      <c r="P220" s="36">
        <f>IF($K220="","",INDEX('سجل التحفيز'!$D$5:$D$2004,MATCH($K220,'سجل التحفيز'!$W$5:$W$2004,0)))</f>
        <v/>
      </c>
      <c r="Q220" s="9">
        <f>IF($K220="","",INDEX('سجل التحفيز'!$E$5:$E$2004,MATCH($K220,'سجل التحفيز'!$W$5:$W$2004,0)))</f>
        <v/>
      </c>
      <c r="R220" s="9">
        <f>IF($K220="","",INDEX('سجل التحفيز'!$F$5:$F$2004,MATCH($K220,'سجل التحفيز'!$W$5:$W$2004,0)))</f>
        <v/>
      </c>
      <c r="S220" s="35">
        <f>IF($K220="","",INDEX('سجل التحفيز'!$G$5:$G$2004,MATCH($K220,'سجل التحفيز'!$W$5:$W$2004,0)))</f>
        <v/>
      </c>
    </row>
    <row r="221">
      <c r="K221" s="36">
        <f>IF(184&gt;$B$10,"",184)</f>
        <v/>
      </c>
      <c r="L221" s="37">
        <f>IF($K221="","",INDEX('سجل التحفيز'!$A$5:$A$2004,MATCH($K221,'سجل التحفيز'!$W$5:$W$2004,0)))</f>
        <v/>
      </c>
      <c r="M221" s="9">
        <f>IF($K221="","",INDEX('سجل التحفيز'!$B$5:$B$2004,MATCH($K221,'سجل التحفيز'!$W$5:$W$2004,0)))</f>
        <v/>
      </c>
      <c r="N221" s="9">
        <f>IF($K221="","",INDEX('سجل التحفيز'!$M$5:$M$2004,MATCH($K221,'سجل التحفيز'!$W$5:$W$2004,0)))</f>
        <v/>
      </c>
      <c r="O221" s="9">
        <f>IF($K221="","",INDEX('سجل التحفيز'!$C$5:$C$2004,MATCH($K221,'سجل التحفيز'!$W$5:$W$2004,0)))</f>
        <v/>
      </c>
      <c r="P221" s="36">
        <f>IF($K221="","",INDEX('سجل التحفيز'!$D$5:$D$2004,MATCH($K221,'سجل التحفيز'!$W$5:$W$2004,0)))</f>
        <v/>
      </c>
      <c r="Q221" s="9">
        <f>IF($K221="","",INDEX('سجل التحفيز'!$E$5:$E$2004,MATCH($K221,'سجل التحفيز'!$W$5:$W$2004,0)))</f>
        <v/>
      </c>
      <c r="R221" s="9">
        <f>IF($K221="","",INDEX('سجل التحفيز'!$F$5:$F$2004,MATCH($K221,'سجل التحفيز'!$W$5:$W$2004,0)))</f>
        <v/>
      </c>
      <c r="S221" s="35">
        <f>IF($K221="","",INDEX('سجل التحفيز'!$G$5:$G$2004,MATCH($K221,'سجل التحفيز'!$W$5:$W$2004,0)))</f>
        <v/>
      </c>
    </row>
    <row r="222">
      <c r="K222" s="36">
        <f>IF(185&gt;$B$10,"",185)</f>
        <v/>
      </c>
      <c r="L222" s="37">
        <f>IF($K222="","",INDEX('سجل التحفيز'!$A$5:$A$2004,MATCH($K222,'سجل التحفيز'!$W$5:$W$2004,0)))</f>
        <v/>
      </c>
      <c r="M222" s="9">
        <f>IF($K222="","",INDEX('سجل التحفيز'!$B$5:$B$2004,MATCH($K222,'سجل التحفيز'!$W$5:$W$2004,0)))</f>
        <v/>
      </c>
      <c r="N222" s="9">
        <f>IF($K222="","",INDEX('سجل التحفيز'!$M$5:$M$2004,MATCH($K222,'سجل التحفيز'!$W$5:$W$2004,0)))</f>
        <v/>
      </c>
      <c r="O222" s="9">
        <f>IF($K222="","",INDEX('سجل التحفيز'!$C$5:$C$2004,MATCH($K222,'سجل التحفيز'!$W$5:$W$2004,0)))</f>
        <v/>
      </c>
      <c r="P222" s="36">
        <f>IF($K222="","",INDEX('سجل التحفيز'!$D$5:$D$2004,MATCH($K222,'سجل التحفيز'!$W$5:$W$2004,0)))</f>
        <v/>
      </c>
      <c r="Q222" s="9">
        <f>IF($K222="","",INDEX('سجل التحفيز'!$E$5:$E$2004,MATCH($K222,'سجل التحفيز'!$W$5:$W$2004,0)))</f>
        <v/>
      </c>
      <c r="R222" s="9">
        <f>IF($K222="","",INDEX('سجل التحفيز'!$F$5:$F$2004,MATCH($K222,'سجل التحفيز'!$W$5:$W$2004,0)))</f>
        <v/>
      </c>
      <c r="S222" s="35">
        <f>IF($K222="","",INDEX('سجل التحفيز'!$G$5:$G$2004,MATCH($K222,'سجل التحفيز'!$W$5:$W$2004,0)))</f>
        <v/>
      </c>
    </row>
    <row r="223">
      <c r="K223" s="36">
        <f>IF(186&gt;$B$10,"",186)</f>
        <v/>
      </c>
      <c r="L223" s="37">
        <f>IF($K223="","",INDEX('سجل التحفيز'!$A$5:$A$2004,MATCH($K223,'سجل التحفيز'!$W$5:$W$2004,0)))</f>
        <v/>
      </c>
      <c r="M223" s="9">
        <f>IF($K223="","",INDEX('سجل التحفيز'!$B$5:$B$2004,MATCH($K223,'سجل التحفيز'!$W$5:$W$2004,0)))</f>
        <v/>
      </c>
      <c r="N223" s="9">
        <f>IF($K223="","",INDEX('سجل التحفيز'!$M$5:$M$2004,MATCH($K223,'سجل التحفيز'!$W$5:$W$2004,0)))</f>
        <v/>
      </c>
      <c r="O223" s="9">
        <f>IF($K223="","",INDEX('سجل التحفيز'!$C$5:$C$2004,MATCH($K223,'سجل التحفيز'!$W$5:$W$2004,0)))</f>
        <v/>
      </c>
      <c r="P223" s="36">
        <f>IF($K223="","",INDEX('سجل التحفيز'!$D$5:$D$2004,MATCH($K223,'سجل التحفيز'!$W$5:$W$2004,0)))</f>
        <v/>
      </c>
      <c r="Q223" s="9">
        <f>IF($K223="","",INDEX('سجل التحفيز'!$E$5:$E$2004,MATCH($K223,'سجل التحفيز'!$W$5:$W$2004,0)))</f>
        <v/>
      </c>
      <c r="R223" s="9">
        <f>IF($K223="","",INDEX('سجل التحفيز'!$F$5:$F$2004,MATCH($K223,'سجل التحفيز'!$W$5:$W$2004,0)))</f>
        <v/>
      </c>
      <c r="S223" s="35">
        <f>IF($K223="","",INDEX('سجل التحفيز'!$G$5:$G$2004,MATCH($K223,'سجل التحفيز'!$W$5:$W$2004,0)))</f>
        <v/>
      </c>
    </row>
    <row r="224">
      <c r="K224" s="36">
        <f>IF(187&gt;$B$10,"",187)</f>
        <v/>
      </c>
      <c r="L224" s="37">
        <f>IF($K224="","",INDEX('سجل التحفيز'!$A$5:$A$2004,MATCH($K224,'سجل التحفيز'!$W$5:$W$2004,0)))</f>
        <v/>
      </c>
      <c r="M224" s="9">
        <f>IF($K224="","",INDEX('سجل التحفيز'!$B$5:$B$2004,MATCH($K224,'سجل التحفيز'!$W$5:$W$2004,0)))</f>
        <v/>
      </c>
      <c r="N224" s="9">
        <f>IF($K224="","",INDEX('سجل التحفيز'!$M$5:$M$2004,MATCH($K224,'سجل التحفيز'!$W$5:$W$2004,0)))</f>
        <v/>
      </c>
      <c r="O224" s="9">
        <f>IF($K224="","",INDEX('سجل التحفيز'!$C$5:$C$2004,MATCH($K224,'سجل التحفيز'!$W$5:$W$2004,0)))</f>
        <v/>
      </c>
      <c r="P224" s="36">
        <f>IF($K224="","",INDEX('سجل التحفيز'!$D$5:$D$2004,MATCH($K224,'سجل التحفيز'!$W$5:$W$2004,0)))</f>
        <v/>
      </c>
      <c r="Q224" s="9">
        <f>IF($K224="","",INDEX('سجل التحفيز'!$E$5:$E$2004,MATCH($K224,'سجل التحفيز'!$W$5:$W$2004,0)))</f>
        <v/>
      </c>
      <c r="R224" s="9">
        <f>IF($K224="","",INDEX('سجل التحفيز'!$F$5:$F$2004,MATCH($K224,'سجل التحفيز'!$W$5:$W$2004,0)))</f>
        <v/>
      </c>
      <c r="S224" s="35">
        <f>IF($K224="","",INDEX('سجل التحفيز'!$G$5:$G$2004,MATCH($K224,'سجل التحفيز'!$W$5:$W$2004,0)))</f>
        <v/>
      </c>
    </row>
    <row r="225">
      <c r="K225" s="36">
        <f>IF(188&gt;$B$10,"",188)</f>
        <v/>
      </c>
      <c r="L225" s="37">
        <f>IF($K225="","",INDEX('سجل التحفيز'!$A$5:$A$2004,MATCH($K225,'سجل التحفيز'!$W$5:$W$2004,0)))</f>
        <v/>
      </c>
      <c r="M225" s="9">
        <f>IF($K225="","",INDEX('سجل التحفيز'!$B$5:$B$2004,MATCH($K225,'سجل التحفيز'!$W$5:$W$2004,0)))</f>
        <v/>
      </c>
      <c r="N225" s="9">
        <f>IF($K225="","",INDEX('سجل التحفيز'!$M$5:$M$2004,MATCH($K225,'سجل التحفيز'!$W$5:$W$2004,0)))</f>
        <v/>
      </c>
      <c r="O225" s="9">
        <f>IF($K225="","",INDEX('سجل التحفيز'!$C$5:$C$2004,MATCH($K225,'سجل التحفيز'!$W$5:$W$2004,0)))</f>
        <v/>
      </c>
      <c r="P225" s="36">
        <f>IF($K225="","",INDEX('سجل التحفيز'!$D$5:$D$2004,MATCH($K225,'سجل التحفيز'!$W$5:$W$2004,0)))</f>
        <v/>
      </c>
      <c r="Q225" s="9">
        <f>IF($K225="","",INDEX('سجل التحفيز'!$E$5:$E$2004,MATCH($K225,'سجل التحفيز'!$W$5:$W$2004,0)))</f>
        <v/>
      </c>
      <c r="R225" s="9">
        <f>IF($K225="","",INDEX('سجل التحفيز'!$F$5:$F$2004,MATCH($K225,'سجل التحفيز'!$W$5:$W$2004,0)))</f>
        <v/>
      </c>
      <c r="S225" s="35">
        <f>IF($K225="","",INDEX('سجل التحفيز'!$G$5:$G$2004,MATCH($K225,'سجل التحفيز'!$W$5:$W$2004,0)))</f>
        <v/>
      </c>
    </row>
    <row r="226">
      <c r="K226" s="36">
        <f>IF(189&gt;$B$10,"",189)</f>
        <v/>
      </c>
      <c r="L226" s="37">
        <f>IF($K226="","",INDEX('سجل التحفيز'!$A$5:$A$2004,MATCH($K226,'سجل التحفيز'!$W$5:$W$2004,0)))</f>
        <v/>
      </c>
      <c r="M226" s="9">
        <f>IF($K226="","",INDEX('سجل التحفيز'!$B$5:$B$2004,MATCH($K226,'سجل التحفيز'!$W$5:$W$2004,0)))</f>
        <v/>
      </c>
      <c r="N226" s="9">
        <f>IF($K226="","",INDEX('سجل التحفيز'!$M$5:$M$2004,MATCH($K226,'سجل التحفيز'!$W$5:$W$2004,0)))</f>
        <v/>
      </c>
      <c r="O226" s="9">
        <f>IF($K226="","",INDEX('سجل التحفيز'!$C$5:$C$2004,MATCH($K226,'سجل التحفيز'!$W$5:$W$2004,0)))</f>
        <v/>
      </c>
      <c r="P226" s="36">
        <f>IF($K226="","",INDEX('سجل التحفيز'!$D$5:$D$2004,MATCH($K226,'سجل التحفيز'!$W$5:$W$2004,0)))</f>
        <v/>
      </c>
      <c r="Q226" s="9">
        <f>IF($K226="","",INDEX('سجل التحفيز'!$E$5:$E$2004,MATCH($K226,'سجل التحفيز'!$W$5:$W$2004,0)))</f>
        <v/>
      </c>
      <c r="R226" s="9">
        <f>IF($K226="","",INDEX('سجل التحفيز'!$F$5:$F$2004,MATCH($K226,'سجل التحفيز'!$W$5:$W$2004,0)))</f>
        <v/>
      </c>
      <c r="S226" s="35">
        <f>IF($K226="","",INDEX('سجل التحفيز'!$G$5:$G$2004,MATCH($K226,'سجل التحفيز'!$W$5:$W$2004,0)))</f>
        <v/>
      </c>
    </row>
    <row r="227">
      <c r="K227" s="36">
        <f>IF(190&gt;$B$10,"",190)</f>
        <v/>
      </c>
      <c r="L227" s="37">
        <f>IF($K227="","",INDEX('سجل التحفيز'!$A$5:$A$2004,MATCH($K227,'سجل التحفيز'!$W$5:$W$2004,0)))</f>
        <v/>
      </c>
      <c r="M227" s="9">
        <f>IF($K227="","",INDEX('سجل التحفيز'!$B$5:$B$2004,MATCH($K227,'سجل التحفيز'!$W$5:$W$2004,0)))</f>
        <v/>
      </c>
      <c r="N227" s="9">
        <f>IF($K227="","",INDEX('سجل التحفيز'!$M$5:$M$2004,MATCH($K227,'سجل التحفيز'!$W$5:$W$2004,0)))</f>
        <v/>
      </c>
      <c r="O227" s="9">
        <f>IF($K227="","",INDEX('سجل التحفيز'!$C$5:$C$2004,MATCH($K227,'سجل التحفيز'!$W$5:$W$2004,0)))</f>
        <v/>
      </c>
      <c r="P227" s="36">
        <f>IF($K227="","",INDEX('سجل التحفيز'!$D$5:$D$2004,MATCH($K227,'سجل التحفيز'!$W$5:$W$2004,0)))</f>
        <v/>
      </c>
      <c r="Q227" s="9">
        <f>IF($K227="","",INDEX('سجل التحفيز'!$E$5:$E$2004,MATCH($K227,'سجل التحفيز'!$W$5:$W$2004,0)))</f>
        <v/>
      </c>
      <c r="R227" s="9">
        <f>IF($K227="","",INDEX('سجل التحفيز'!$F$5:$F$2004,MATCH($K227,'سجل التحفيز'!$W$5:$W$2004,0)))</f>
        <v/>
      </c>
      <c r="S227" s="35">
        <f>IF($K227="","",INDEX('سجل التحفيز'!$G$5:$G$2004,MATCH($K227,'سجل التحفيز'!$W$5:$W$2004,0)))</f>
        <v/>
      </c>
    </row>
    <row r="228">
      <c r="K228" s="36">
        <f>IF(191&gt;$B$10,"",191)</f>
        <v/>
      </c>
      <c r="L228" s="37">
        <f>IF($K228="","",INDEX('سجل التحفيز'!$A$5:$A$2004,MATCH($K228,'سجل التحفيز'!$W$5:$W$2004,0)))</f>
        <v/>
      </c>
      <c r="M228" s="9">
        <f>IF($K228="","",INDEX('سجل التحفيز'!$B$5:$B$2004,MATCH($K228,'سجل التحفيز'!$W$5:$W$2004,0)))</f>
        <v/>
      </c>
      <c r="N228" s="9">
        <f>IF($K228="","",INDEX('سجل التحفيز'!$M$5:$M$2004,MATCH($K228,'سجل التحفيز'!$W$5:$W$2004,0)))</f>
        <v/>
      </c>
      <c r="O228" s="9">
        <f>IF($K228="","",INDEX('سجل التحفيز'!$C$5:$C$2004,MATCH($K228,'سجل التحفيز'!$W$5:$W$2004,0)))</f>
        <v/>
      </c>
      <c r="P228" s="36">
        <f>IF($K228="","",INDEX('سجل التحفيز'!$D$5:$D$2004,MATCH($K228,'سجل التحفيز'!$W$5:$W$2004,0)))</f>
        <v/>
      </c>
      <c r="Q228" s="9">
        <f>IF($K228="","",INDEX('سجل التحفيز'!$E$5:$E$2004,MATCH($K228,'سجل التحفيز'!$W$5:$W$2004,0)))</f>
        <v/>
      </c>
      <c r="R228" s="9">
        <f>IF($K228="","",INDEX('سجل التحفيز'!$F$5:$F$2004,MATCH($K228,'سجل التحفيز'!$W$5:$W$2004,0)))</f>
        <v/>
      </c>
      <c r="S228" s="35">
        <f>IF($K228="","",INDEX('سجل التحفيز'!$G$5:$G$2004,MATCH($K228,'سجل التحفيز'!$W$5:$W$2004,0)))</f>
        <v/>
      </c>
    </row>
    <row r="229">
      <c r="K229" s="36">
        <f>IF(192&gt;$B$10,"",192)</f>
        <v/>
      </c>
      <c r="L229" s="37">
        <f>IF($K229="","",INDEX('سجل التحفيز'!$A$5:$A$2004,MATCH($K229,'سجل التحفيز'!$W$5:$W$2004,0)))</f>
        <v/>
      </c>
      <c r="M229" s="9">
        <f>IF($K229="","",INDEX('سجل التحفيز'!$B$5:$B$2004,MATCH($K229,'سجل التحفيز'!$W$5:$W$2004,0)))</f>
        <v/>
      </c>
      <c r="N229" s="9">
        <f>IF($K229="","",INDEX('سجل التحفيز'!$M$5:$M$2004,MATCH($K229,'سجل التحفيز'!$W$5:$W$2004,0)))</f>
        <v/>
      </c>
      <c r="O229" s="9">
        <f>IF($K229="","",INDEX('سجل التحفيز'!$C$5:$C$2004,MATCH($K229,'سجل التحفيز'!$W$5:$W$2004,0)))</f>
        <v/>
      </c>
      <c r="P229" s="36">
        <f>IF($K229="","",INDEX('سجل التحفيز'!$D$5:$D$2004,MATCH($K229,'سجل التحفيز'!$W$5:$W$2004,0)))</f>
        <v/>
      </c>
      <c r="Q229" s="9">
        <f>IF($K229="","",INDEX('سجل التحفيز'!$E$5:$E$2004,MATCH($K229,'سجل التحفيز'!$W$5:$W$2004,0)))</f>
        <v/>
      </c>
      <c r="R229" s="9">
        <f>IF($K229="","",INDEX('سجل التحفيز'!$F$5:$F$2004,MATCH($K229,'سجل التحفيز'!$W$5:$W$2004,0)))</f>
        <v/>
      </c>
      <c r="S229" s="35">
        <f>IF($K229="","",INDEX('سجل التحفيز'!$G$5:$G$2004,MATCH($K229,'سجل التحفيز'!$W$5:$W$2004,0)))</f>
        <v/>
      </c>
    </row>
    <row r="230">
      <c r="K230" s="36">
        <f>IF(193&gt;$B$10,"",193)</f>
        <v/>
      </c>
      <c r="L230" s="37">
        <f>IF($K230="","",INDEX('سجل التحفيز'!$A$5:$A$2004,MATCH($K230,'سجل التحفيز'!$W$5:$W$2004,0)))</f>
        <v/>
      </c>
      <c r="M230" s="9">
        <f>IF($K230="","",INDEX('سجل التحفيز'!$B$5:$B$2004,MATCH($K230,'سجل التحفيز'!$W$5:$W$2004,0)))</f>
        <v/>
      </c>
      <c r="N230" s="9">
        <f>IF($K230="","",INDEX('سجل التحفيز'!$M$5:$M$2004,MATCH($K230,'سجل التحفيز'!$W$5:$W$2004,0)))</f>
        <v/>
      </c>
      <c r="O230" s="9">
        <f>IF($K230="","",INDEX('سجل التحفيز'!$C$5:$C$2004,MATCH($K230,'سجل التحفيز'!$W$5:$W$2004,0)))</f>
        <v/>
      </c>
      <c r="P230" s="36">
        <f>IF($K230="","",INDEX('سجل التحفيز'!$D$5:$D$2004,MATCH($K230,'سجل التحفيز'!$W$5:$W$2004,0)))</f>
        <v/>
      </c>
      <c r="Q230" s="9">
        <f>IF($K230="","",INDEX('سجل التحفيز'!$E$5:$E$2004,MATCH($K230,'سجل التحفيز'!$W$5:$W$2004,0)))</f>
        <v/>
      </c>
      <c r="R230" s="9">
        <f>IF($K230="","",INDEX('سجل التحفيز'!$F$5:$F$2004,MATCH($K230,'سجل التحفيز'!$W$5:$W$2004,0)))</f>
        <v/>
      </c>
      <c r="S230" s="35">
        <f>IF($K230="","",INDEX('سجل التحفيز'!$G$5:$G$2004,MATCH($K230,'سجل التحفيز'!$W$5:$W$2004,0)))</f>
        <v/>
      </c>
    </row>
    <row r="231">
      <c r="K231" s="36">
        <f>IF(194&gt;$B$10,"",194)</f>
        <v/>
      </c>
      <c r="L231" s="37">
        <f>IF($K231="","",INDEX('سجل التحفيز'!$A$5:$A$2004,MATCH($K231,'سجل التحفيز'!$W$5:$W$2004,0)))</f>
        <v/>
      </c>
      <c r="M231" s="9">
        <f>IF($K231="","",INDEX('سجل التحفيز'!$B$5:$B$2004,MATCH($K231,'سجل التحفيز'!$W$5:$W$2004,0)))</f>
        <v/>
      </c>
      <c r="N231" s="9">
        <f>IF($K231="","",INDEX('سجل التحفيز'!$M$5:$M$2004,MATCH($K231,'سجل التحفيز'!$W$5:$W$2004,0)))</f>
        <v/>
      </c>
      <c r="O231" s="9">
        <f>IF($K231="","",INDEX('سجل التحفيز'!$C$5:$C$2004,MATCH($K231,'سجل التحفيز'!$W$5:$W$2004,0)))</f>
        <v/>
      </c>
      <c r="P231" s="36">
        <f>IF($K231="","",INDEX('سجل التحفيز'!$D$5:$D$2004,MATCH($K231,'سجل التحفيز'!$W$5:$W$2004,0)))</f>
        <v/>
      </c>
      <c r="Q231" s="9">
        <f>IF($K231="","",INDEX('سجل التحفيز'!$E$5:$E$2004,MATCH($K231,'سجل التحفيز'!$W$5:$W$2004,0)))</f>
        <v/>
      </c>
      <c r="R231" s="9">
        <f>IF($K231="","",INDEX('سجل التحفيز'!$F$5:$F$2004,MATCH($K231,'سجل التحفيز'!$W$5:$W$2004,0)))</f>
        <v/>
      </c>
      <c r="S231" s="35">
        <f>IF($K231="","",INDEX('سجل التحفيز'!$G$5:$G$2004,MATCH($K231,'سجل التحفيز'!$W$5:$W$2004,0)))</f>
        <v/>
      </c>
    </row>
    <row r="232">
      <c r="K232" s="36">
        <f>IF(195&gt;$B$10,"",195)</f>
        <v/>
      </c>
      <c r="L232" s="37">
        <f>IF($K232="","",INDEX('سجل التحفيز'!$A$5:$A$2004,MATCH($K232,'سجل التحفيز'!$W$5:$W$2004,0)))</f>
        <v/>
      </c>
      <c r="M232" s="9">
        <f>IF($K232="","",INDEX('سجل التحفيز'!$B$5:$B$2004,MATCH($K232,'سجل التحفيز'!$W$5:$W$2004,0)))</f>
        <v/>
      </c>
      <c r="N232" s="9">
        <f>IF($K232="","",INDEX('سجل التحفيز'!$M$5:$M$2004,MATCH($K232,'سجل التحفيز'!$W$5:$W$2004,0)))</f>
        <v/>
      </c>
      <c r="O232" s="9">
        <f>IF($K232="","",INDEX('سجل التحفيز'!$C$5:$C$2004,MATCH($K232,'سجل التحفيز'!$W$5:$W$2004,0)))</f>
        <v/>
      </c>
      <c r="P232" s="36">
        <f>IF($K232="","",INDEX('سجل التحفيز'!$D$5:$D$2004,MATCH($K232,'سجل التحفيز'!$W$5:$W$2004,0)))</f>
        <v/>
      </c>
      <c r="Q232" s="9">
        <f>IF($K232="","",INDEX('سجل التحفيز'!$E$5:$E$2004,MATCH($K232,'سجل التحفيز'!$W$5:$W$2004,0)))</f>
        <v/>
      </c>
      <c r="R232" s="9">
        <f>IF($K232="","",INDEX('سجل التحفيز'!$F$5:$F$2004,MATCH($K232,'سجل التحفيز'!$W$5:$W$2004,0)))</f>
        <v/>
      </c>
      <c r="S232" s="35">
        <f>IF($K232="","",INDEX('سجل التحفيز'!$G$5:$G$2004,MATCH($K232,'سجل التحفيز'!$W$5:$W$2004,0)))</f>
        <v/>
      </c>
    </row>
    <row r="233">
      <c r="K233" s="36">
        <f>IF(196&gt;$B$10,"",196)</f>
        <v/>
      </c>
      <c r="L233" s="37">
        <f>IF($K233="","",INDEX('سجل التحفيز'!$A$5:$A$2004,MATCH($K233,'سجل التحفيز'!$W$5:$W$2004,0)))</f>
        <v/>
      </c>
      <c r="M233" s="9">
        <f>IF($K233="","",INDEX('سجل التحفيز'!$B$5:$B$2004,MATCH($K233,'سجل التحفيز'!$W$5:$W$2004,0)))</f>
        <v/>
      </c>
      <c r="N233" s="9">
        <f>IF($K233="","",INDEX('سجل التحفيز'!$M$5:$M$2004,MATCH($K233,'سجل التحفيز'!$W$5:$W$2004,0)))</f>
        <v/>
      </c>
      <c r="O233" s="9">
        <f>IF($K233="","",INDEX('سجل التحفيز'!$C$5:$C$2004,MATCH($K233,'سجل التحفيز'!$W$5:$W$2004,0)))</f>
        <v/>
      </c>
      <c r="P233" s="36">
        <f>IF($K233="","",INDEX('سجل التحفيز'!$D$5:$D$2004,MATCH($K233,'سجل التحفيز'!$W$5:$W$2004,0)))</f>
        <v/>
      </c>
      <c r="Q233" s="9">
        <f>IF($K233="","",INDEX('سجل التحفيز'!$E$5:$E$2004,MATCH($K233,'سجل التحفيز'!$W$5:$W$2004,0)))</f>
        <v/>
      </c>
      <c r="R233" s="9">
        <f>IF($K233="","",INDEX('سجل التحفيز'!$F$5:$F$2004,MATCH($K233,'سجل التحفيز'!$W$5:$W$2004,0)))</f>
        <v/>
      </c>
      <c r="S233" s="35">
        <f>IF($K233="","",INDEX('سجل التحفيز'!$G$5:$G$2004,MATCH($K233,'سجل التحفيز'!$W$5:$W$2004,0)))</f>
        <v/>
      </c>
    </row>
    <row r="234">
      <c r="K234" s="36">
        <f>IF(197&gt;$B$10,"",197)</f>
        <v/>
      </c>
      <c r="L234" s="37">
        <f>IF($K234="","",INDEX('سجل التحفيز'!$A$5:$A$2004,MATCH($K234,'سجل التحفيز'!$W$5:$W$2004,0)))</f>
        <v/>
      </c>
      <c r="M234" s="9">
        <f>IF($K234="","",INDEX('سجل التحفيز'!$B$5:$B$2004,MATCH($K234,'سجل التحفيز'!$W$5:$W$2004,0)))</f>
        <v/>
      </c>
      <c r="N234" s="9">
        <f>IF($K234="","",INDEX('سجل التحفيز'!$M$5:$M$2004,MATCH($K234,'سجل التحفيز'!$W$5:$W$2004,0)))</f>
        <v/>
      </c>
      <c r="O234" s="9">
        <f>IF($K234="","",INDEX('سجل التحفيز'!$C$5:$C$2004,MATCH($K234,'سجل التحفيز'!$W$5:$W$2004,0)))</f>
        <v/>
      </c>
      <c r="P234" s="36">
        <f>IF($K234="","",INDEX('سجل التحفيز'!$D$5:$D$2004,MATCH($K234,'سجل التحفيز'!$W$5:$W$2004,0)))</f>
        <v/>
      </c>
      <c r="Q234" s="9">
        <f>IF($K234="","",INDEX('سجل التحفيز'!$E$5:$E$2004,MATCH($K234,'سجل التحفيز'!$W$5:$W$2004,0)))</f>
        <v/>
      </c>
      <c r="R234" s="9">
        <f>IF($K234="","",INDEX('سجل التحفيز'!$F$5:$F$2004,MATCH($K234,'سجل التحفيز'!$W$5:$W$2004,0)))</f>
        <v/>
      </c>
      <c r="S234" s="35">
        <f>IF($K234="","",INDEX('سجل التحفيز'!$G$5:$G$2004,MATCH($K234,'سجل التحفيز'!$W$5:$W$2004,0)))</f>
        <v/>
      </c>
    </row>
    <row r="235">
      <c r="K235" s="36">
        <f>IF(198&gt;$B$10,"",198)</f>
        <v/>
      </c>
      <c r="L235" s="37">
        <f>IF($K235="","",INDEX('سجل التحفيز'!$A$5:$A$2004,MATCH($K235,'سجل التحفيز'!$W$5:$W$2004,0)))</f>
        <v/>
      </c>
      <c r="M235" s="9">
        <f>IF($K235="","",INDEX('سجل التحفيز'!$B$5:$B$2004,MATCH($K235,'سجل التحفيز'!$W$5:$W$2004,0)))</f>
        <v/>
      </c>
      <c r="N235" s="9">
        <f>IF($K235="","",INDEX('سجل التحفيز'!$M$5:$M$2004,MATCH($K235,'سجل التحفيز'!$W$5:$W$2004,0)))</f>
        <v/>
      </c>
      <c r="O235" s="9">
        <f>IF($K235="","",INDEX('سجل التحفيز'!$C$5:$C$2004,MATCH($K235,'سجل التحفيز'!$W$5:$W$2004,0)))</f>
        <v/>
      </c>
      <c r="P235" s="36">
        <f>IF($K235="","",INDEX('سجل التحفيز'!$D$5:$D$2004,MATCH($K235,'سجل التحفيز'!$W$5:$W$2004,0)))</f>
        <v/>
      </c>
      <c r="Q235" s="9">
        <f>IF($K235="","",INDEX('سجل التحفيز'!$E$5:$E$2004,MATCH($K235,'سجل التحفيز'!$W$5:$W$2004,0)))</f>
        <v/>
      </c>
      <c r="R235" s="9">
        <f>IF($K235="","",INDEX('سجل التحفيز'!$F$5:$F$2004,MATCH($K235,'سجل التحفيز'!$W$5:$W$2004,0)))</f>
        <v/>
      </c>
      <c r="S235" s="35">
        <f>IF($K235="","",INDEX('سجل التحفيز'!$G$5:$G$2004,MATCH($K235,'سجل التحفيز'!$W$5:$W$2004,0)))</f>
        <v/>
      </c>
    </row>
    <row r="236">
      <c r="K236" s="36">
        <f>IF(199&gt;$B$10,"",199)</f>
        <v/>
      </c>
      <c r="L236" s="37">
        <f>IF($K236="","",INDEX('سجل التحفيز'!$A$5:$A$2004,MATCH($K236,'سجل التحفيز'!$W$5:$W$2004,0)))</f>
        <v/>
      </c>
      <c r="M236" s="9">
        <f>IF($K236="","",INDEX('سجل التحفيز'!$B$5:$B$2004,MATCH($K236,'سجل التحفيز'!$W$5:$W$2004,0)))</f>
        <v/>
      </c>
      <c r="N236" s="9">
        <f>IF($K236="","",INDEX('سجل التحفيز'!$M$5:$M$2004,MATCH($K236,'سجل التحفيز'!$W$5:$W$2004,0)))</f>
        <v/>
      </c>
      <c r="O236" s="9">
        <f>IF($K236="","",INDEX('سجل التحفيز'!$C$5:$C$2004,MATCH($K236,'سجل التحفيز'!$W$5:$W$2004,0)))</f>
        <v/>
      </c>
      <c r="P236" s="36">
        <f>IF($K236="","",INDEX('سجل التحفيز'!$D$5:$D$2004,MATCH($K236,'سجل التحفيز'!$W$5:$W$2004,0)))</f>
        <v/>
      </c>
      <c r="Q236" s="9">
        <f>IF($K236="","",INDEX('سجل التحفيز'!$E$5:$E$2004,MATCH($K236,'سجل التحفيز'!$W$5:$W$2004,0)))</f>
        <v/>
      </c>
      <c r="R236" s="9">
        <f>IF($K236="","",INDEX('سجل التحفيز'!$F$5:$F$2004,MATCH($K236,'سجل التحفيز'!$W$5:$W$2004,0)))</f>
        <v/>
      </c>
      <c r="S236" s="35">
        <f>IF($K236="","",INDEX('سجل التحفيز'!$G$5:$G$2004,MATCH($K236,'سجل التحفيز'!$W$5:$W$2004,0)))</f>
        <v/>
      </c>
    </row>
    <row r="237">
      <c r="K237" s="36">
        <f>IF(200&gt;$B$10,"",200)</f>
        <v/>
      </c>
      <c r="L237" s="37">
        <f>IF($K237="","",INDEX('سجل التحفيز'!$A$5:$A$2004,MATCH($K237,'سجل التحفيز'!$W$5:$W$2004,0)))</f>
        <v/>
      </c>
      <c r="M237" s="9">
        <f>IF($K237="","",INDEX('سجل التحفيز'!$B$5:$B$2004,MATCH($K237,'سجل التحفيز'!$W$5:$W$2004,0)))</f>
        <v/>
      </c>
      <c r="N237" s="9">
        <f>IF($K237="","",INDEX('سجل التحفيز'!$M$5:$M$2004,MATCH($K237,'سجل التحفيز'!$W$5:$W$2004,0)))</f>
        <v/>
      </c>
      <c r="O237" s="9">
        <f>IF($K237="","",INDEX('سجل التحفيز'!$C$5:$C$2004,MATCH($K237,'سجل التحفيز'!$W$5:$W$2004,0)))</f>
        <v/>
      </c>
      <c r="P237" s="36">
        <f>IF($K237="","",INDEX('سجل التحفيز'!$D$5:$D$2004,MATCH($K237,'سجل التحفيز'!$W$5:$W$2004,0)))</f>
        <v/>
      </c>
      <c r="Q237" s="9">
        <f>IF($K237="","",INDEX('سجل التحفيز'!$E$5:$E$2004,MATCH($K237,'سجل التحفيز'!$W$5:$W$2004,0)))</f>
        <v/>
      </c>
      <c r="R237" s="9">
        <f>IF($K237="","",INDEX('سجل التحفيز'!$F$5:$F$2004,MATCH($K237,'سجل التحفيز'!$W$5:$W$2004,0)))</f>
        <v/>
      </c>
      <c r="S237" s="35">
        <f>IF($K237="","",INDEX('سجل التحفيز'!$G$5:$G$2004,MATCH($K237,'سجل التحفيز'!$W$5:$W$2004,0)))</f>
        <v/>
      </c>
    </row>
    <row r="238">
      <c r="K238" s="36">
        <f>IF(201&gt;$B$10,"",201)</f>
        <v/>
      </c>
      <c r="L238" s="37">
        <f>IF($K238="","",INDEX('سجل التحفيز'!$A$5:$A$2004,MATCH($K238,'سجل التحفيز'!$W$5:$W$2004,0)))</f>
        <v/>
      </c>
      <c r="M238" s="9">
        <f>IF($K238="","",INDEX('سجل التحفيز'!$B$5:$B$2004,MATCH($K238,'سجل التحفيز'!$W$5:$W$2004,0)))</f>
        <v/>
      </c>
      <c r="N238" s="9">
        <f>IF($K238="","",INDEX('سجل التحفيز'!$M$5:$M$2004,MATCH($K238,'سجل التحفيز'!$W$5:$W$2004,0)))</f>
        <v/>
      </c>
      <c r="O238" s="9">
        <f>IF($K238="","",INDEX('سجل التحفيز'!$C$5:$C$2004,MATCH($K238,'سجل التحفيز'!$W$5:$W$2004,0)))</f>
        <v/>
      </c>
      <c r="P238" s="36">
        <f>IF($K238="","",INDEX('سجل التحفيز'!$D$5:$D$2004,MATCH($K238,'سجل التحفيز'!$W$5:$W$2004,0)))</f>
        <v/>
      </c>
      <c r="Q238" s="9">
        <f>IF($K238="","",INDEX('سجل التحفيز'!$E$5:$E$2004,MATCH($K238,'سجل التحفيز'!$W$5:$W$2004,0)))</f>
        <v/>
      </c>
      <c r="R238" s="9">
        <f>IF($K238="","",INDEX('سجل التحفيز'!$F$5:$F$2004,MATCH($K238,'سجل التحفيز'!$W$5:$W$2004,0)))</f>
        <v/>
      </c>
      <c r="S238" s="35">
        <f>IF($K238="","",INDEX('سجل التحفيز'!$G$5:$G$2004,MATCH($K238,'سجل التحفيز'!$W$5:$W$2004,0)))</f>
        <v/>
      </c>
    </row>
    <row r="239">
      <c r="K239" s="36">
        <f>IF(202&gt;$B$10,"",202)</f>
        <v/>
      </c>
      <c r="L239" s="37">
        <f>IF($K239="","",INDEX('سجل التحفيز'!$A$5:$A$2004,MATCH($K239,'سجل التحفيز'!$W$5:$W$2004,0)))</f>
        <v/>
      </c>
      <c r="M239" s="9">
        <f>IF($K239="","",INDEX('سجل التحفيز'!$B$5:$B$2004,MATCH($K239,'سجل التحفيز'!$W$5:$W$2004,0)))</f>
        <v/>
      </c>
      <c r="N239" s="9">
        <f>IF($K239="","",INDEX('سجل التحفيز'!$M$5:$M$2004,MATCH($K239,'سجل التحفيز'!$W$5:$W$2004,0)))</f>
        <v/>
      </c>
      <c r="O239" s="9">
        <f>IF($K239="","",INDEX('سجل التحفيز'!$C$5:$C$2004,MATCH($K239,'سجل التحفيز'!$W$5:$W$2004,0)))</f>
        <v/>
      </c>
      <c r="P239" s="36">
        <f>IF($K239="","",INDEX('سجل التحفيز'!$D$5:$D$2004,MATCH($K239,'سجل التحفيز'!$W$5:$W$2004,0)))</f>
        <v/>
      </c>
      <c r="Q239" s="9">
        <f>IF($K239="","",INDEX('سجل التحفيز'!$E$5:$E$2004,MATCH($K239,'سجل التحفيز'!$W$5:$W$2004,0)))</f>
        <v/>
      </c>
      <c r="R239" s="9">
        <f>IF($K239="","",INDEX('سجل التحفيز'!$F$5:$F$2004,MATCH($K239,'سجل التحفيز'!$W$5:$W$2004,0)))</f>
        <v/>
      </c>
      <c r="S239" s="35">
        <f>IF($K239="","",INDEX('سجل التحفيز'!$G$5:$G$2004,MATCH($K239,'سجل التحفيز'!$W$5:$W$2004,0)))</f>
        <v/>
      </c>
    </row>
    <row r="240">
      <c r="K240" s="36">
        <f>IF(203&gt;$B$10,"",203)</f>
        <v/>
      </c>
      <c r="L240" s="37">
        <f>IF($K240="","",INDEX('سجل التحفيز'!$A$5:$A$2004,MATCH($K240,'سجل التحفيز'!$W$5:$W$2004,0)))</f>
        <v/>
      </c>
      <c r="M240" s="9">
        <f>IF($K240="","",INDEX('سجل التحفيز'!$B$5:$B$2004,MATCH($K240,'سجل التحفيز'!$W$5:$W$2004,0)))</f>
        <v/>
      </c>
      <c r="N240" s="9">
        <f>IF($K240="","",INDEX('سجل التحفيز'!$M$5:$M$2004,MATCH($K240,'سجل التحفيز'!$W$5:$W$2004,0)))</f>
        <v/>
      </c>
      <c r="O240" s="9">
        <f>IF($K240="","",INDEX('سجل التحفيز'!$C$5:$C$2004,MATCH($K240,'سجل التحفيز'!$W$5:$W$2004,0)))</f>
        <v/>
      </c>
      <c r="P240" s="36">
        <f>IF($K240="","",INDEX('سجل التحفيز'!$D$5:$D$2004,MATCH($K240,'سجل التحفيز'!$W$5:$W$2004,0)))</f>
        <v/>
      </c>
      <c r="Q240" s="9">
        <f>IF($K240="","",INDEX('سجل التحفيز'!$E$5:$E$2004,MATCH($K240,'سجل التحفيز'!$W$5:$W$2004,0)))</f>
        <v/>
      </c>
      <c r="R240" s="9">
        <f>IF($K240="","",INDEX('سجل التحفيز'!$F$5:$F$2004,MATCH($K240,'سجل التحفيز'!$W$5:$W$2004,0)))</f>
        <v/>
      </c>
      <c r="S240" s="35">
        <f>IF($K240="","",INDEX('سجل التحفيز'!$G$5:$G$2004,MATCH($K240,'سجل التحفيز'!$W$5:$W$2004,0)))</f>
        <v/>
      </c>
    </row>
    <row r="241">
      <c r="K241" s="36">
        <f>IF(204&gt;$B$10,"",204)</f>
        <v/>
      </c>
      <c r="L241" s="37">
        <f>IF($K241="","",INDEX('سجل التحفيز'!$A$5:$A$2004,MATCH($K241,'سجل التحفيز'!$W$5:$W$2004,0)))</f>
        <v/>
      </c>
      <c r="M241" s="9">
        <f>IF($K241="","",INDEX('سجل التحفيز'!$B$5:$B$2004,MATCH($K241,'سجل التحفيز'!$W$5:$W$2004,0)))</f>
        <v/>
      </c>
      <c r="N241" s="9">
        <f>IF($K241="","",INDEX('سجل التحفيز'!$M$5:$M$2004,MATCH($K241,'سجل التحفيز'!$W$5:$W$2004,0)))</f>
        <v/>
      </c>
      <c r="O241" s="9">
        <f>IF($K241="","",INDEX('سجل التحفيز'!$C$5:$C$2004,MATCH($K241,'سجل التحفيز'!$W$5:$W$2004,0)))</f>
        <v/>
      </c>
      <c r="P241" s="36">
        <f>IF($K241="","",INDEX('سجل التحفيز'!$D$5:$D$2004,MATCH($K241,'سجل التحفيز'!$W$5:$W$2004,0)))</f>
        <v/>
      </c>
      <c r="Q241" s="9">
        <f>IF($K241="","",INDEX('سجل التحفيز'!$E$5:$E$2004,MATCH($K241,'سجل التحفيز'!$W$5:$W$2004,0)))</f>
        <v/>
      </c>
      <c r="R241" s="9">
        <f>IF($K241="","",INDEX('سجل التحفيز'!$F$5:$F$2004,MATCH($K241,'سجل التحفيز'!$W$5:$W$2004,0)))</f>
        <v/>
      </c>
      <c r="S241" s="35">
        <f>IF($K241="","",INDEX('سجل التحفيز'!$G$5:$G$2004,MATCH($K241,'سجل التحفيز'!$W$5:$W$2004,0)))</f>
        <v/>
      </c>
    </row>
    <row r="242">
      <c r="K242" s="36">
        <f>IF(205&gt;$B$10,"",205)</f>
        <v/>
      </c>
      <c r="L242" s="37">
        <f>IF($K242="","",INDEX('سجل التحفيز'!$A$5:$A$2004,MATCH($K242,'سجل التحفيز'!$W$5:$W$2004,0)))</f>
        <v/>
      </c>
      <c r="M242" s="9">
        <f>IF($K242="","",INDEX('سجل التحفيز'!$B$5:$B$2004,MATCH($K242,'سجل التحفيز'!$W$5:$W$2004,0)))</f>
        <v/>
      </c>
      <c r="N242" s="9">
        <f>IF($K242="","",INDEX('سجل التحفيز'!$M$5:$M$2004,MATCH($K242,'سجل التحفيز'!$W$5:$W$2004,0)))</f>
        <v/>
      </c>
      <c r="O242" s="9">
        <f>IF($K242="","",INDEX('سجل التحفيز'!$C$5:$C$2004,MATCH($K242,'سجل التحفيز'!$W$5:$W$2004,0)))</f>
        <v/>
      </c>
      <c r="P242" s="36">
        <f>IF($K242="","",INDEX('سجل التحفيز'!$D$5:$D$2004,MATCH($K242,'سجل التحفيز'!$W$5:$W$2004,0)))</f>
        <v/>
      </c>
      <c r="Q242" s="9">
        <f>IF($K242="","",INDEX('سجل التحفيز'!$E$5:$E$2004,MATCH($K242,'سجل التحفيز'!$W$5:$W$2004,0)))</f>
        <v/>
      </c>
      <c r="R242" s="9">
        <f>IF($K242="","",INDEX('سجل التحفيز'!$F$5:$F$2004,MATCH($K242,'سجل التحفيز'!$W$5:$W$2004,0)))</f>
        <v/>
      </c>
      <c r="S242" s="35">
        <f>IF($K242="","",INDEX('سجل التحفيز'!$G$5:$G$2004,MATCH($K242,'سجل التحفيز'!$W$5:$W$2004,0)))</f>
        <v/>
      </c>
    </row>
    <row r="243">
      <c r="K243" s="36">
        <f>IF(206&gt;$B$10,"",206)</f>
        <v/>
      </c>
      <c r="L243" s="37">
        <f>IF($K243="","",INDEX('سجل التحفيز'!$A$5:$A$2004,MATCH($K243,'سجل التحفيز'!$W$5:$W$2004,0)))</f>
        <v/>
      </c>
      <c r="M243" s="9">
        <f>IF($K243="","",INDEX('سجل التحفيز'!$B$5:$B$2004,MATCH($K243,'سجل التحفيز'!$W$5:$W$2004,0)))</f>
        <v/>
      </c>
      <c r="N243" s="9">
        <f>IF($K243="","",INDEX('سجل التحفيز'!$M$5:$M$2004,MATCH($K243,'سجل التحفيز'!$W$5:$W$2004,0)))</f>
        <v/>
      </c>
      <c r="O243" s="9">
        <f>IF($K243="","",INDEX('سجل التحفيز'!$C$5:$C$2004,MATCH($K243,'سجل التحفيز'!$W$5:$W$2004,0)))</f>
        <v/>
      </c>
      <c r="P243" s="36">
        <f>IF($K243="","",INDEX('سجل التحفيز'!$D$5:$D$2004,MATCH($K243,'سجل التحفيز'!$W$5:$W$2004,0)))</f>
        <v/>
      </c>
      <c r="Q243" s="9">
        <f>IF($K243="","",INDEX('سجل التحفيز'!$E$5:$E$2004,MATCH($K243,'سجل التحفيز'!$W$5:$W$2004,0)))</f>
        <v/>
      </c>
      <c r="R243" s="9">
        <f>IF($K243="","",INDEX('سجل التحفيز'!$F$5:$F$2004,MATCH($K243,'سجل التحفيز'!$W$5:$W$2004,0)))</f>
        <v/>
      </c>
      <c r="S243" s="35">
        <f>IF($K243="","",INDEX('سجل التحفيز'!$G$5:$G$2004,MATCH($K243,'سجل التحفيز'!$W$5:$W$2004,0)))</f>
        <v/>
      </c>
    </row>
    <row r="244">
      <c r="K244" s="36">
        <f>IF(207&gt;$B$10,"",207)</f>
        <v/>
      </c>
      <c r="L244" s="37">
        <f>IF($K244="","",INDEX('سجل التحفيز'!$A$5:$A$2004,MATCH($K244,'سجل التحفيز'!$W$5:$W$2004,0)))</f>
        <v/>
      </c>
      <c r="M244" s="9">
        <f>IF($K244="","",INDEX('سجل التحفيز'!$B$5:$B$2004,MATCH($K244,'سجل التحفيز'!$W$5:$W$2004,0)))</f>
        <v/>
      </c>
      <c r="N244" s="9">
        <f>IF($K244="","",INDEX('سجل التحفيز'!$M$5:$M$2004,MATCH($K244,'سجل التحفيز'!$W$5:$W$2004,0)))</f>
        <v/>
      </c>
      <c r="O244" s="9">
        <f>IF($K244="","",INDEX('سجل التحفيز'!$C$5:$C$2004,MATCH($K244,'سجل التحفيز'!$W$5:$W$2004,0)))</f>
        <v/>
      </c>
      <c r="P244" s="36">
        <f>IF($K244="","",INDEX('سجل التحفيز'!$D$5:$D$2004,MATCH($K244,'سجل التحفيز'!$W$5:$W$2004,0)))</f>
        <v/>
      </c>
      <c r="Q244" s="9">
        <f>IF($K244="","",INDEX('سجل التحفيز'!$E$5:$E$2004,MATCH($K244,'سجل التحفيز'!$W$5:$W$2004,0)))</f>
        <v/>
      </c>
      <c r="R244" s="9">
        <f>IF($K244="","",INDEX('سجل التحفيز'!$F$5:$F$2004,MATCH($K244,'سجل التحفيز'!$W$5:$W$2004,0)))</f>
        <v/>
      </c>
      <c r="S244" s="35">
        <f>IF($K244="","",INDEX('سجل التحفيز'!$G$5:$G$2004,MATCH($K244,'سجل التحفيز'!$W$5:$W$2004,0)))</f>
        <v/>
      </c>
    </row>
    <row r="245">
      <c r="K245" s="36">
        <f>IF(208&gt;$B$10,"",208)</f>
        <v/>
      </c>
      <c r="L245" s="37">
        <f>IF($K245="","",INDEX('سجل التحفيز'!$A$5:$A$2004,MATCH($K245,'سجل التحفيز'!$W$5:$W$2004,0)))</f>
        <v/>
      </c>
      <c r="M245" s="9">
        <f>IF($K245="","",INDEX('سجل التحفيز'!$B$5:$B$2004,MATCH($K245,'سجل التحفيز'!$W$5:$W$2004,0)))</f>
        <v/>
      </c>
      <c r="N245" s="9">
        <f>IF($K245="","",INDEX('سجل التحفيز'!$M$5:$M$2004,MATCH($K245,'سجل التحفيز'!$W$5:$W$2004,0)))</f>
        <v/>
      </c>
      <c r="O245" s="9">
        <f>IF($K245="","",INDEX('سجل التحفيز'!$C$5:$C$2004,MATCH($K245,'سجل التحفيز'!$W$5:$W$2004,0)))</f>
        <v/>
      </c>
      <c r="P245" s="36">
        <f>IF($K245="","",INDEX('سجل التحفيز'!$D$5:$D$2004,MATCH($K245,'سجل التحفيز'!$W$5:$W$2004,0)))</f>
        <v/>
      </c>
      <c r="Q245" s="9">
        <f>IF($K245="","",INDEX('سجل التحفيز'!$E$5:$E$2004,MATCH($K245,'سجل التحفيز'!$W$5:$W$2004,0)))</f>
        <v/>
      </c>
      <c r="R245" s="9">
        <f>IF($K245="","",INDEX('سجل التحفيز'!$F$5:$F$2004,MATCH($K245,'سجل التحفيز'!$W$5:$W$2004,0)))</f>
        <v/>
      </c>
      <c r="S245" s="35">
        <f>IF($K245="","",INDEX('سجل التحفيز'!$G$5:$G$2004,MATCH($K245,'سجل التحفيز'!$W$5:$W$2004,0)))</f>
        <v/>
      </c>
    </row>
    <row r="246">
      <c r="K246" s="36">
        <f>IF(209&gt;$B$10,"",209)</f>
        <v/>
      </c>
      <c r="L246" s="37">
        <f>IF($K246="","",INDEX('سجل التحفيز'!$A$5:$A$2004,MATCH($K246,'سجل التحفيز'!$W$5:$W$2004,0)))</f>
        <v/>
      </c>
      <c r="M246" s="9">
        <f>IF($K246="","",INDEX('سجل التحفيز'!$B$5:$B$2004,MATCH($K246,'سجل التحفيز'!$W$5:$W$2004,0)))</f>
        <v/>
      </c>
      <c r="N246" s="9">
        <f>IF($K246="","",INDEX('سجل التحفيز'!$M$5:$M$2004,MATCH($K246,'سجل التحفيز'!$W$5:$W$2004,0)))</f>
        <v/>
      </c>
      <c r="O246" s="9">
        <f>IF($K246="","",INDEX('سجل التحفيز'!$C$5:$C$2004,MATCH($K246,'سجل التحفيز'!$W$5:$W$2004,0)))</f>
        <v/>
      </c>
      <c r="P246" s="36">
        <f>IF($K246="","",INDEX('سجل التحفيز'!$D$5:$D$2004,MATCH($K246,'سجل التحفيز'!$W$5:$W$2004,0)))</f>
        <v/>
      </c>
      <c r="Q246" s="9">
        <f>IF($K246="","",INDEX('سجل التحفيز'!$E$5:$E$2004,MATCH($K246,'سجل التحفيز'!$W$5:$W$2004,0)))</f>
        <v/>
      </c>
      <c r="R246" s="9">
        <f>IF($K246="","",INDEX('سجل التحفيز'!$F$5:$F$2004,MATCH($K246,'سجل التحفيز'!$W$5:$W$2004,0)))</f>
        <v/>
      </c>
      <c r="S246" s="35">
        <f>IF($K246="","",INDEX('سجل التحفيز'!$G$5:$G$2004,MATCH($K246,'سجل التحفيز'!$W$5:$W$2004,0)))</f>
        <v/>
      </c>
    </row>
    <row r="247">
      <c r="K247" s="36">
        <f>IF(210&gt;$B$10,"",210)</f>
        <v/>
      </c>
      <c r="L247" s="37">
        <f>IF($K247="","",INDEX('سجل التحفيز'!$A$5:$A$2004,MATCH($K247,'سجل التحفيز'!$W$5:$W$2004,0)))</f>
        <v/>
      </c>
      <c r="M247" s="9">
        <f>IF($K247="","",INDEX('سجل التحفيز'!$B$5:$B$2004,MATCH($K247,'سجل التحفيز'!$W$5:$W$2004,0)))</f>
        <v/>
      </c>
      <c r="N247" s="9">
        <f>IF($K247="","",INDEX('سجل التحفيز'!$M$5:$M$2004,MATCH($K247,'سجل التحفيز'!$W$5:$W$2004,0)))</f>
        <v/>
      </c>
      <c r="O247" s="9">
        <f>IF($K247="","",INDEX('سجل التحفيز'!$C$5:$C$2004,MATCH($K247,'سجل التحفيز'!$W$5:$W$2004,0)))</f>
        <v/>
      </c>
      <c r="P247" s="36">
        <f>IF($K247="","",INDEX('سجل التحفيز'!$D$5:$D$2004,MATCH($K247,'سجل التحفيز'!$W$5:$W$2004,0)))</f>
        <v/>
      </c>
      <c r="Q247" s="9">
        <f>IF($K247="","",INDEX('سجل التحفيز'!$E$5:$E$2004,MATCH($K247,'سجل التحفيز'!$W$5:$W$2004,0)))</f>
        <v/>
      </c>
      <c r="R247" s="9">
        <f>IF($K247="","",INDEX('سجل التحفيز'!$F$5:$F$2004,MATCH($K247,'سجل التحفيز'!$W$5:$W$2004,0)))</f>
        <v/>
      </c>
      <c r="S247" s="35">
        <f>IF($K247="","",INDEX('سجل التحفيز'!$G$5:$G$2004,MATCH($K247,'سجل التحفيز'!$W$5:$W$2004,0)))</f>
        <v/>
      </c>
    </row>
    <row r="248">
      <c r="K248" s="36">
        <f>IF(211&gt;$B$10,"",211)</f>
        <v/>
      </c>
      <c r="L248" s="37">
        <f>IF($K248="","",INDEX('سجل التحفيز'!$A$5:$A$2004,MATCH($K248,'سجل التحفيز'!$W$5:$W$2004,0)))</f>
        <v/>
      </c>
      <c r="M248" s="9">
        <f>IF($K248="","",INDEX('سجل التحفيز'!$B$5:$B$2004,MATCH($K248,'سجل التحفيز'!$W$5:$W$2004,0)))</f>
        <v/>
      </c>
      <c r="N248" s="9">
        <f>IF($K248="","",INDEX('سجل التحفيز'!$M$5:$M$2004,MATCH($K248,'سجل التحفيز'!$W$5:$W$2004,0)))</f>
        <v/>
      </c>
      <c r="O248" s="9">
        <f>IF($K248="","",INDEX('سجل التحفيز'!$C$5:$C$2004,MATCH($K248,'سجل التحفيز'!$W$5:$W$2004,0)))</f>
        <v/>
      </c>
      <c r="P248" s="36">
        <f>IF($K248="","",INDEX('سجل التحفيز'!$D$5:$D$2004,MATCH($K248,'سجل التحفيز'!$W$5:$W$2004,0)))</f>
        <v/>
      </c>
      <c r="Q248" s="9">
        <f>IF($K248="","",INDEX('سجل التحفيز'!$E$5:$E$2004,MATCH($K248,'سجل التحفيز'!$W$5:$W$2004,0)))</f>
        <v/>
      </c>
      <c r="R248" s="9">
        <f>IF($K248="","",INDEX('سجل التحفيز'!$F$5:$F$2004,MATCH($K248,'سجل التحفيز'!$W$5:$W$2004,0)))</f>
        <v/>
      </c>
      <c r="S248" s="35">
        <f>IF($K248="","",INDEX('سجل التحفيز'!$G$5:$G$2004,MATCH($K248,'سجل التحفيز'!$W$5:$W$2004,0)))</f>
        <v/>
      </c>
    </row>
    <row r="249">
      <c r="K249" s="36">
        <f>IF(212&gt;$B$10,"",212)</f>
        <v/>
      </c>
      <c r="L249" s="37">
        <f>IF($K249="","",INDEX('سجل التحفيز'!$A$5:$A$2004,MATCH($K249,'سجل التحفيز'!$W$5:$W$2004,0)))</f>
        <v/>
      </c>
      <c r="M249" s="9">
        <f>IF($K249="","",INDEX('سجل التحفيز'!$B$5:$B$2004,MATCH($K249,'سجل التحفيز'!$W$5:$W$2004,0)))</f>
        <v/>
      </c>
      <c r="N249" s="9">
        <f>IF($K249="","",INDEX('سجل التحفيز'!$M$5:$M$2004,MATCH($K249,'سجل التحفيز'!$W$5:$W$2004,0)))</f>
        <v/>
      </c>
      <c r="O249" s="9">
        <f>IF($K249="","",INDEX('سجل التحفيز'!$C$5:$C$2004,MATCH($K249,'سجل التحفيز'!$W$5:$W$2004,0)))</f>
        <v/>
      </c>
      <c r="P249" s="36">
        <f>IF($K249="","",INDEX('سجل التحفيز'!$D$5:$D$2004,MATCH($K249,'سجل التحفيز'!$W$5:$W$2004,0)))</f>
        <v/>
      </c>
      <c r="Q249" s="9">
        <f>IF($K249="","",INDEX('سجل التحفيز'!$E$5:$E$2004,MATCH($K249,'سجل التحفيز'!$W$5:$W$2004,0)))</f>
        <v/>
      </c>
      <c r="R249" s="9">
        <f>IF($K249="","",INDEX('سجل التحفيز'!$F$5:$F$2004,MATCH($K249,'سجل التحفيز'!$W$5:$W$2004,0)))</f>
        <v/>
      </c>
      <c r="S249" s="35">
        <f>IF($K249="","",INDEX('سجل التحفيز'!$G$5:$G$2004,MATCH($K249,'سجل التحفيز'!$W$5:$W$2004,0)))</f>
        <v/>
      </c>
    </row>
    <row r="250">
      <c r="K250" s="36">
        <f>IF(213&gt;$B$10,"",213)</f>
        <v/>
      </c>
      <c r="L250" s="37">
        <f>IF($K250="","",INDEX('سجل التحفيز'!$A$5:$A$2004,MATCH($K250,'سجل التحفيز'!$W$5:$W$2004,0)))</f>
        <v/>
      </c>
      <c r="M250" s="9">
        <f>IF($K250="","",INDEX('سجل التحفيز'!$B$5:$B$2004,MATCH($K250,'سجل التحفيز'!$W$5:$W$2004,0)))</f>
        <v/>
      </c>
      <c r="N250" s="9">
        <f>IF($K250="","",INDEX('سجل التحفيز'!$M$5:$M$2004,MATCH($K250,'سجل التحفيز'!$W$5:$W$2004,0)))</f>
        <v/>
      </c>
      <c r="O250" s="9">
        <f>IF($K250="","",INDEX('سجل التحفيز'!$C$5:$C$2004,MATCH($K250,'سجل التحفيز'!$W$5:$W$2004,0)))</f>
        <v/>
      </c>
      <c r="P250" s="36">
        <f>IF($K250="","",INDEX('سجل التحفيز'!$D$5:$D$2004,MATCH($K250,'سجل التحفيز'!$W$5:$W$2004,0)))</f>
        <v/>
      </c>
      <c r="Q250" s="9">
        <f>IF($K250="","",INDEX('سجل التحفيز'!$E$5:$E$2004,MATCH($K250,'سجل التحفيز'!$W$5:$W$2004,0)))</f>
        <v/>
      </c>
      <c r="R250" s="9">
        <f>IF($K250="","",INDEX('سجل التحفيز'!$F$5:$F$2004,MATCH($K250,'سجل التحفيز'!$W$5:$W$2004,0)))</f>
        <v/>
      </c>
      <c r="S250" s="35">
        <f>IF($K250="","",INDEX('سجل التحفيز'!$G$5:$G$2004,MATCH($K250,'سجل التحفيز'!$W$5:$W$2004,0)))</f>
        <v/>
      </c>
    </row>
    <row r="251">
      <c r="K251" s="36">
        <f>IF(214&gt;$B$10,"",214)</f>
        <v/>
      </c>
      <c r="L251" s="37">
        <f>IF($K251="","",INDEX('سجل التحفيز'!$A$5:$A$2004,MATCH($K251,'سجل التحفيز'!$W$5:$W$2004,0)))</f>
        <v/>
      </c>
      <c r="M251" s="9">
        <f>IF($K251="","",INDEX('سجل التحفيز'!$B$5:$B$2004,MATCH($K251,'سجل التحفيز'!$W$5:$W$2004,0)))</f>
        <v/>
      </c>
      <c r="N251" s="9">
        <f>IF($K251="","",INDEX('سجل التحفيز'!$M$5:$M$2004,MATCH($K251,'سجل التحفيز'!$W$5:$W$2004,0)))</f>
        <v/>
      </c>
      <c r="O251" s="9">
        <f>IF($K251="","",INDEX('سجل التحفيز'!$C$5:$C$2004,MATCH($K251,'سجل التحفيز'!$W$5:$W$2004,0)))</f>
        <v/>
      </c>
      <c r="P251" s="36">
        <f>IF($K251="","",INDEX('سجل التحفيز'!$D$5:$D$2004,MATCH($K251,'سجل التحفيز'!$W$5:$W$2004,0)))</f>
        <v/>
      </c>
      <c r="Q251" s="9">
        <f>IF($K251="","",INDEX('سجل التحفيز'!$E$5:$E$2004,MATCH($K251,'سجل التحفيز'!$W$5:$W$2004,0)))</f>
        <v/>
      </c>
      <c r="R251" s="9">
        <f>IF($K251="","",INDEX('سجل التحفيز'!$F$5:$F$2004,MATCH($K251,'سجل التحفيز'!$W$5:$W$2004,0)))</f>
        <v/>
      </c>
      <c r="S251" s="35">
        <f>IF($K251="","",INDEX('سجل التحفيز'!$G$5:$G$2004,MATCH($K251,'سجل التحفيز'!$W$5:$W$2004,0)))</f>
        <v/>
      </c>
    </row>
    <row r="252">
      <c r="K252" s="36">
        <f>IF(215&gt;$B$10,"",215)</f>
        <v/>
      </c>
      <c r="L252" s="37">
        <f>IF($K252="","",INDEX('سجل التحفيز'!$A$5:$A$2004,MATCH($K252,'سجل التحفيز'!$W$5:$W$2004,0)))</f>
        <v/>
      </c>
      <c r="M252" s="9">
        <f>IF($K252="","",INDEX('سجل التحفيز'!$B$5:$B$2004,MATCH($K252,'سجل التحفيز'!$W$5:$W$2004,0)))</f>
        <v/>
      </c>
      <c r="N252" s="9">
        <f>IF($K252="","",INDEX('سجل التحفيز'!$M$5:$M$2004,MATCH($K252,'سجل التحفيز'!$W$5:$W$2004,0)))</f>
        <v/>
      </c>
      <c r="O252" s="9">
        <f>IF($K252="","",INDEX('سجل التحفيز'!$C$5:$C$2004,MATCH($K252,'سجل التحفيز'!$W$5:$W$2004,0)))</f>
        <v/>
      </c>
      <c r="P252" s="36">
        <f>IF($K252="","",INDEX('سجل التحفيز'!$D$5:$D$2004,MATCH($K252,'سجل التحفيز'!$W$5:$W$2004,0)))</f>
        <v/>
      </c>
      <c r="Q252" s="9">
        <f>IF($K252="","",INDEX('سجل التحفيز'!$E$5:$E$2004,MATCH($K252,'سجل التحفيز'!$W$5:$W$2004,0)))</f>
        <v/>
      </c>
      <c r="R252" s="9">
        <f>IF($K252="","",INDEX('سجل التحفيز'!$F$5:$F$2004,MATCH($K252,'سجل التحفيز'!$W$5:$W$2004,0)))</f>
        <v/>
      </c>
      <c r="S252" s="35">
        <f>IF($K252="","",INDEX('سجل التحفيز'!$G$5:$G$2004,MATCH($K252,'سجل التحفيز'!$W$5:$W$2004,0)))</f>
        <v/>
      </c>
    </row>
    <row r="253">
      <c r="K253" s="36">
        <f>IF(216&gt;$B$10,"",216)</f>
        <v/>
      </c>
      <c r="L253" s="37">
        <f>IF($K253="","",INDEX('سجل التحفيز'!$A$5:$A$2004,MATCH($K253,'سجل التحفيز'!$W$5:$W$2004,0)))</f>
        <v/>
      </c>
      <c r="M253" s="9">
        <f>IF($K253="","",INDEX('سجل التحفيز'!$B$5:$B$2004,MATCH($K253,'سجل التحفيز'!$W$5:$W$2004,0)))</f>
        <v/>
      </c>
      <c r="N253" s="9">
        <f>IF($K253="","",INDEX('سجل التحفيز'!$M$5:$M$2004,MATCH($K253,'سجل التحفيز'!$W$5:$W$2004,0)))</f>
        <v/>
      </c>
      <c r="O253" s="9">
        <f>IF($K253="","",INDEX('سجل التحفيز'!$C$5:$C$2004,MATCH($K253,'سجل التحفيز'!$W$5:$W$2004,0)))</f>
        <v/>
      </c>
      <c r="P253" s="36">
        <f>IF($K253="","",INDEX('سجل التحفيز'!$D$5:$D$2004,MATCH($K253,'سجل التحفيز'!$W$5:$W$2004,0)))</f>
        <v/>
      </c>
      <c r="Q253" s="9">
        <f>IF($K253="","",INDEX('سجل التحفيز'!$E$5:$E$2004,MATCH($K253,'سجل التحفيز'!$W$5:$W$2004,0)))</f>
        <v/>
      </c>
      <c r="R253" s="9">
        <f>IF($K253="","",INDEX('سجل التحفيز'!$F$5:$F$2004,MATCH($K253,'سجل التحفيز'!$W$5:$W$2004,0)))</f>
        <v/>
      </c>
      <c r="S253" s="35">
        <f>IF($K253="","",INDEX('سجل التحفيز'!$G$5:$G$2004,MATCH($K253,'سجل التحفيز'!$W$5:$W$2004,0)))</f>
        <v/>
      </c>
    </row>
    <row r="254">
      <c r="K254" s="36">
        <f>IF(217&gt;$B$10,"",217)</f>
        <v/>
      </c>
      <c r="L254" s="37">
        <f>IF($K254="","",INDEX('سجل التحفيز'!$A$5:$A$2004,MATCH($K254,'سجل التحفيز'!$W$5:$W$2004,0)))</f>
        <v/>
      </c>
      <c r="M254" s="9">
        <f>IF($K254="","",INDEX('سجل التحفيز'!$B$5:$B$2004,MATCH($K254,'سجل التحفيز'!$W$5:$W$2004,0)))</f>
        <v/>
      </c>
      <c r="N254" s="9">
        <f>IF($K254="","",INDEX('سجل التحفيز'!$M$5:$M$2004,MATCH($K254,'سجل التحفيز'!$W$5:$W$2004,0)))</f>
        <v/>
      </c>
      <c r="O254" s="9">
        <f>IF($K254="","",INDEX('سجل التحفيز'!$C$5:$C$2004,MATCH($K254,'سجل التحفيز'!$W$5:$W$2004,0)))</f>
        <v/>
      </c>
      <c r="P254" s="36">
        <f>IF($K254="","",INDEX('سجل التحفيز'!$D$5:$D$2004,MATCH($K254,'سجل التحفيز'!$W$5:$W$2004,0)))</f>
        <v/>
      </c>
      <c r="Q254" s="9">
        <f>IF($K254="","",INDEX('سجل التحفيز'!$E$5:$E$2004,MATCH($K254,'سجل التحفيز'!$W$5:$W$2004,0)))</f>
        <v/>
      </c>
      <c r="R254" s="9">
        <f>IF($K254="","",INDEX('سجل التحفيز'!$F$5:$F$2004,MATCH($K254,'سجل التحفيز'!$W$5:$W$2004,0)))</f>
        <v/>
      </c>
      <c r="S254" s="35">
        <f>IF($K254="","",INDEX('سجل التحفيز'!$G$5:$G$2004,MATCH($K254,'سجل التحفيز'!$W$5:$W$2004,0)))</f>
        <v/>
      </c>
    </row>
    <row r="255">
      <c r="K255" s="36">
        <f>IF(218&gt;$B$10,"",218)</f>
        <v/>
      </c>
      <c r="L255" s="37">
        <f>IF($K255="","",INDEX('سجل التحفيز'!$A$5:$A$2004,MATCH($K255,'سجل التحفيز'!$W$5:$W$2004,0)))</f>
        <v/>
      </c>
      <c r="M255" s="9">
        <f>IF($K255="","",INDEX('سجل التحفيز'!$B$5:$B$2004,MATCH($K255,'سجل التحفيز'!$W$5:$W$2004,0)))</f>
        <v/>
      </c>
      <c r="N255" s="9">
        <f>IF($K255="","",INDEX('سجل التحفيز'!$M$5:$M$2004,MATCH($K255,'سجل التحفيز'!$W$5:$W$2004,0)))</f>
        <v/>
      </c>
      <c r="O255" s="9">
        <f>IF($K255="","",INDEX('سجل التحفيز'!$C$5:$C$2004,MATCH($K255,'سجل التحفيز'!$W$5:$W$2004,0)))</f>
        <v/>
      </c>
      <c r="P255" s="36">
        <f>IF($K255="","",INDEX('سجل التحفيز'!$D$5:$D$2004,MATCH($K255,'سجل التحفيز'!$W$5:$W$2004,0)))</f>
        <v/>
      </c>
      <c r="Q255" s="9">
        <f>IF($K255="","",INDEX('سجل التحفيز'!$E$5:$E$2004,MATCH($K255,'سجل التحفيز'!$W$5:$W$2004,0)))</f>
        <v/>
      </c>
      <c r="R255" s="9">
        <f>IF($K255="","",INDEX('سجل التحفيز'!$F$5:$F$2004,MATCH($K255,'سجل التحفيز'!$W$5:$W$2004,0)))</f>
        <v/>
      </c>
      <c r="S255" s="35">
        <f>IF($K255="","",INDEX('سجل التحفيز'!$G$5:$G$2004,MATCH($K255,'سجل التحفيز'!$W$5:$W$2004,0)))</f>
        <v/>
      </c>
    </row>
    <row r="256">
      <c r="K256" s="36">
        <f>IF(219&gt;$B$10,"",219)</f>
        <v/>
      </c>
      <c r="L256" s="37">
        <f>IF($K256="","",INDEX('سجل التحفيز'!$A$5:$A$2004,MATCH($K256,'سجل التحفيز'!$W$5:$W$2004,0)))</f>
        <v/>
      </c>
      <c r="M256" s="9">
        <f>IF($K256="","",INDEX('سجل التحفيز'!$B$5:$B$2004,MATCH($K256,'سجل التحفيز'!$W$5:$W$2004,0)))</f>
        <v/>
      </c>
      <c r="N256" s="9">
        <f>IF($K256="","",INDEX('سجل التحفيز'!$M$5:$M$2004,MATCH($K256,'سجل التحفيز'!$W$5:$W$2004,0)))</f>
        <v/>
      </c>
      <c r="O256" s="9">
        <f>IF($K256="","",INDEX('سجل التحفيز'!$C$5:$C$2004,MATCH($K256,'سجل التحفيز'!$W$5:$W$2004,0)))</f>
        <v/>
      </c>
      <c r="P256" s="36">
        <f>IF($K256="","",INDEX('سجل التحفيز'!$D$5:$D$2004,MATCH($K256,'سجل التحفيز'!$W$5:$W$2004,0)))</f>
        <v/>
      </c>
      <c r="Q256" s="9">
        <f>IF($K256="","",INDEX('سجل التحفيز'!$E$5:$E$2004,MATCH($K256,'سجل التحفيز'!$W$5:$W$2004,0)))</f>
        <v/>
      </c>
      <c r="R256" s="9">
        <f>IF($K256="","",INDEX('سجل التحفيز'!$F$5:$F$2004,MATCH($K256,'سجل التحفيز'!$W$5:$W$2004,0)))</f>
        <v/>
      </c>
      <c r="S256" s="35">
        <f>IF($K256="","",INDEX('سجل التحفيز'!$G$5:$G$2004,MATCH($K256,'سجل التحفيز'!$W$5:$W$2004,0)))</f>
        <v/>
      </c>
    </row>
    <row r="257">
      <c r="K257" s="36">
        <f>IF(220&gt;$B$10,"",220)</f>
        <v/>
      </c>
      <c r="L257" s="37">
        <f>IF($K257="","",INDEX('سجل التحفيز'!$A$5:$A$2004,MATCH($K257,'سجل التحفيز'!$W$5:$W$2004,0)))</f>
        <v/>
      </c>
      <c r="M257" s="9">
        <f>IF($K257="","",INDEX('سجل التحفيز'!$B$5:$B$2004,MATCH($K257,'سجل التحفيز'!$W$5:$W$2004,0)))</f>
        <v/>
      </c>
      <c r="N257" s="9">
        <f>IF($K257="","",INDEX('سجل التحفيز'!$M$5:$M$2004,MATCH($K257,'سجل التحفيز'!$W$5:$W$2004,0)))</f>
        <v/>
      </c>
      <c r="O257" s="9">
        <f>IF($K257="","",INDEX('سجل التحفيز'!$C$5:$C$2004,MATCH($K257,'سجل التحفيز'!$W$5:$W$2004,0)))</f>
        <v/>
      </c>
      <c r="P257" s="36">
        <f>IF($K257="","",INDEX('سجل التحفيز'!$D$5:$D$2004,MATCH($K257,'سجل التحفيز'!$W$5:$W$2004,0)))</f>
        <v/>
      </c>
      <c r="Q257" s="9">
        <f>IF($K257="","",INDEX('سجل التحفيز'!$E$5:$E$2004,MATCH($K257,'سجل التحفيز'!$W$5:$W$2004,0)))</f>
        <v/>
      </c>
      <c r="R257" s="9">
        <f>IF($K257="","",INDEX('سجل التحفيز'!$F$5:$F$2004,MATCH($K257,'سجل التحفيز'!$W$5:$W$2004,0)))</f>
        <v/>
      </c>
      <c r="S257" s="35">
        <f>IF($K257="","",INDEX('سجل التحفيز'!$G$5:$G$2004,MATCH($K257,'سجل التحفيز'!$W$5:$W$2004,0)))</f>
        <v/>
      </c>
    </row>
    <row r="258">
      <c r="K258" s="36">
        <f>IF(221&gt;$B$10,"",221)</f>
        <v/>
      </c>
      <c r="L258" s="37">
        <f>IF($K258="","",INDEX('سجل التحفيز'!$A$5:$A$2004,MATCH($K258,'سجل التحفيز'!$W$5:$W$2004,0)))</f>
        <v/>
      </c>
      <c r="M258" s="9">
        <f>IF($K258="","",INDEX('سجل التحفيز'!$B$5:$B$2004,MATCH($K258,'سجل التحفيز'!$W$5:$W$2004,0)))</f>
        <v/>
      </c>
      <c r="N258" s="9">
        <f>IF($K258="","",INDEX('سجل التحفيز'!$M$5:$M$2004,MATCH($K258,'سجل التحفيز'!$W$5:$W$2004,0)))</f>
        <v/>
      </c>
      <c r="O258" s="9">
        <f>IF($K258="","",INDEX('سجل التحفيز'!$C$5:$C$2004,MATCH($K258,'سجل التحفيز'!$W$5:$W$2004,0)))</f>
        <v/>
      </c>
      <c r="P258" s="36">
        <f>IF($K258="","",INDEX('سجل التحفيز'!$D$5:$D$2004,MATCH($K258,'سجل التحفيز'!$W$5:$W$2004,0)))</f>
        <v/>
      </c>
      <c r="Q258" s="9">
        <f>IF($K258="","",INDEX('سجل التحفيز'!$E$5:$E$2004,MATCH($K258,'سجل التحفيز'!$W$5:$W$2004,0)))</f>
        <v/>
      </c>
      <c r="R258" s="9">
        <f>IF($K258="","",INDEX('سجل التحفيز'!$F$5:$F$2004,MATCH($K258,'سجل التحفيز'!$W$5:$W$2004,0)))</f>
        <v/>
      </c>
      <c r="S258" s="35">
        <f>IF($K258="","",INDEX('سجل التحفيز'!$G$5:$G$2004,MATCH($K258,'سجل التحفيز'!$W$5:$W$2004,0)))</f>
        <v/>
      </c>
    </row>
    <row r="259">
      <c r="K259" s="36">
        <f>IF(222&gt;$B$10,"",222)</f>
        <v/>
      </c>
      <c r="L259" s="37">
        <f>IF($K259="","",INDEX('سجل التحفيز'!$A$5:$A$2004,MATCH($K259,'سجل التحفيز'!$W$5:$W$2004,0)))</f>
        <v/>
      </c>
      <c r="M259" s="9">
        <f>IF($K259="","",INDEX('سجل التحفيز'!$B$5:$B$2004,MATCH($K259,'سجل التحفيز'!$W$5:$W$2004,0)))</f>
        <v/>
      </c>
      <c r="N259" s="9">
        <f>IF($K259="","",INDEX('سجل التحفيز'!$M$5:$M$2004,MATCH($K259,'سجل التحفيز'!$W$5:$W$2004,0)))</f>
        <v/>
      </c>
      <c r="O259" s="9">
        <f>IF($K259="","",INDEX('سجل التحفيز'!$C$5:$C$2004,MATCH($K259,'سجل التحفيز'!$W$5:$W$2004,0)))</f>
        <v/>
      </c>
      <c r="P259" s="36">
        <f>IF($K259="","",INDEX('سجل التحفيز'!$D$5:$D$2004,MATCH($K259,'سجل التحفيز'!$W$5:$W$2004,0)))</f>
        <v/>
      </c>
      <c r="Q259" s="9">
        <f>IF($K259="","",INDEX('سجل التحفيز'!$E$5:$E$2004,MATCH($K259,'سجل التحفيز'!$W$5:$W$2004,0)))</f>
        <v/>
      </c>
      <c r="R259" s="9">
        <f>IF($K259="","",INDEX('سجل التحفيز'!$F$5:$F$2004,MATCH($K259,'سجل التحفيز'!$W$5:$W$2004,0)))</f>
        <v/>
      </c>
      <c r="S259" s="35">
        <f>IF($K259="","",INDEX('سجل التحفيز'!$G$5:$G$2004,MATCH($K259,'سجل التحفيز'!$W$5:$W$2004,0)))</f>
        <v/>
      </c>
    </row>
    <row r="260">
      <c r="K260" s="36">
        <f>IF(223&gt;$B$10,"",223)</f>
        <v/>
      </c>
      <c r="L260" s="37">
        <f>IF($K260="","",INDEX('سجل التحفيز'!$A$5:$A$2004,MATCH($K260,'سجل التحفيز'!$W$5:$W$2004,0)))</f>
        <v/>
      </c>
      <c r="M260" s="9">
        <f>IF($K260="","",INDEX('سجل التحفيز'!$B$5:$B$2004,MATCH($K260,'سجل التحفيز'!$W$5:$W$2004,0)))</f>
        <v/>
      </c>
      <c r="N260" s="9">
        <f>IF($K260="","",INDEX('سجل التحفيز'!$M$5:$M$2004,MATCH($K260,'سجل التحفيز'!$W$5:$W$2004,0)))</f>
        <v/>
      </c>
      <c r="O260" s="9">
        <f>IF($K260="","",INDEX('سجل التحفيز'!$C$5:$C$2004,MATCH($K260,'سجل التحفيز'!$W$5:$W$2004,0)))</f>
        <v/>
      </c>
      <c r="P260" s="36">
        <f>IF($K260="","",INDEX('سجل التحفيز'!$D$5:$D$2004,MATCH($K260,'سجل التحفيز'!$W$5:$W$2004,0)))</f>
        <v/>
      </c>
      <c r="Q260" s="9">
        <f>IF($K260="","",INDEX('سجل التحفيز'!$E$5:$E$2004,MATCH($K260,'سجل التحفيز'!$W$5:$W$2004,0)))</f>
        <v/>
      </c>
      <c r="R260" s="9">
        <f>IF($K260="","",INDEX('سجل التحفيز'!$F$5:$F$2004,MATCH($K260,'سجل التحفيز'!$W$5:$W$2004,0)))</f>
        <v/>
      </c>
      <c r="S260" s="35">
        <f>IF($K260="","",INDEX('سجل التحفيز'!$G$5:$G$2004,MATCH($K260,'سجل التحفيز'!$W$5:$W$2004,0)))</f>
        <v/>
      </c>
    </row>
    <row r="261">
      <c r="K261" s="36">
        <f>IF(224&gt;$B$10,"",224)</f>
        <v/>
      </c>
      <c r="L261" s="37">
        <f>IF($K261="","",INDEX('سجل التحفيز'!$A$5:$A$2004,MATCH($K261,'سجل التحفيز'!$W$5:$W$2004,0)))</f>
        <v/>
      </c>
      <c r="M261" s="9">
        <f>IF($K261="","",INDEX('سجل التحفيز'!$B$5:$B$2004,MATCH($K261,'سجل التحفيز'!$W$5:$W$2004,0)))</f>
        <v/>
      </c>
      <c r="N261" s="9">
        <f>IF($K261="","",INDEX('سجل التحفيز'!$M$5:$M$2004,MATCH($K261,'سجل التحفيز'!$W$5:$W$2004,0)))</f>
        <v/>
      </c>
      <c r="O261" s="9">
        <f>IF($K261="","",INDEX('سجل التحفيز'!$C$5:$C$2004,MATCH($K261,'سجل التحفيز'!$W$5:$W$2004,0)))</f>
        <v/>
      </c>
      <c r="P261" s="36">
        <f>IF($K261="","",INDEX('سجل التحفيز'!$D$5:$D$2004,MATCH($K261,'سجل التحفيز'!$W$5:$W$2004,0)))</f>
        <v/>
      </c>
      <c r="Q261" s="9">
        <f>IF($K261="","",INDEX('سجل التحفيز'!$E$5:$E$2004,MATCH($K261,'سجل التحفيز'!$W$5:$W$2004,0)))</f>
        <v/>
      </c>
      <c r="R261" s="9">
        <f>IF($K261="","",INDEX('سجل التحفيز'!$F$5:$F$2004,MATCH($K261,'سجل التحفيز'!$W$5:$W$2004,0)))</f>
        <v/>
      </c>
      <c r="S261" s="35">
        <f>IF($K261="","",INDEX('سجل التحفيز'!$G$5:$G$2004,MATCH($K261,'سجل التحفيز'!$W$5:$W$2004,0)))</f>
        <v/>
      </c>
    </row>
    <row r="262">
      <c r="K262" s="36">
        <f>IF(225&gt;$B$10,"",225)</f>
        <v/>
      </c>
      <c r="L262" s="37">
        <f>IF($K262="","",INDEX('سجل التحفيز'!$A$5:$A$2004,MATCH($K262,'سجل التحفيز'!$W$5:$W$2004,0)))</f>
        <v/>
      </c>
      <c r="M262" s="9">
        <f>IF($K262="","",INDEX('سجل التحفيز'!$B$5:$B$2004,MATCH($K262,'سجل التحفيز'!$W$5:$W$2004,0)))</f>
        <v/>
      </c>
      <c r="N262" s="9">
        <f>IF($K262="","",INDEX('سجل التحفيز'!$M$5:$M$2004,MATCH($K262,'سجل التحفيز'!$W$5:$W$2004,0)))</f>
        <v/>
      </c>
      <c r="O262" s="9">
        <f>IF($K262="","",INDEX('سجل التحفيز'!$C$5:$C$2004,MATCH($K262,'سجل التحفيز'!$W$5:$W$2004,0)))</f>
        <v/>
      </c>
      <c r="P262" s="36">
        <f>IF($K262="","",INDEX('سجل التحفيز'!$D$5:$D$2004,MATCH($K262,'سجل التحفيز'!$W$5:$W$2004,0)))</f>
        <v/>
      </c>
      <c r="Q262" s="9">
        <f>IF($K262="","",INDEX('سجل التحفيز'!$E$5:$E$2004,MATCH($K262,'سجل التحفيز'!$W$5:$W$2004,0)))</f>
        <v/>
      </c>
      <c r="R262" s="9">
        <f>IF($K262="","",INDEX('سجل التحفيز'!$F$5:$F$2004,MATCH($K262,'سجل التحفيز'!$W$5:$W$2004,0)))</f>
        <v/>
      </c>
      <c r="S262" s="35">
        <f>IF($K262="","",INDEX('سجل التحفيز'!$G$5:$G$2004,MATCH($K262,'سجل التحفيز'!$W$5:$W$2004,0)))</f>
        <v/>
      </c>
    </row>
    <row r="263">
      <c r="K263" s="36">
        <f>IF(226&gt;$B$10,"",226)</f>
        <v/>
      </c>
      <c r="L263" s="37">
        <f>IF($K263="","",INDEX('سجل التحفيز'!$A$5:$A$2004,MATCH($K263,'سجل التحفيز'!$W$5:$W$2004,0)))</f>
        <v/>
      </c>
      <c r="M263" s="9">
        <f>IF($K263="","",INDEX('سجل التحفيز'!$B$5:$B$2004,MATCH($K263,'سجل التحفيز'!$W$5:$W$2004,0)))</f>
        <v/>
      </c>
      <c r="N263" s="9">
        <f>IF($K263="","",INDEX('سجل التحفيز'!$M$5:$M$2004,MATCH($K263,'سجل التحفيز'!$W$5:$W$2004,0)))</f>
        <v/>
      </c>
      <c r="O263" s="9">
        <f>IF($K263="","",INDEX('سجل التحفيز'!$C$5:$C$2004,MATCH($K263,'سجل التحفيز'!$W$5:$W$2004,0)))</f>
        <v/>
      </c>
      <c r="P263" s="36">
        <f>IF($K263="","",INDEX('سجل التحفيز'!$D$5:$D$2004,MATCH($K263,'سجل التحفيز'!$W$5:$W$2004,0)))</f>
        <v/>
      </c>
      <c r="Q263" s="9">
        <f>IF($K263="","",INDEX('سجل التحفيز'!$E$5:$E$2004,MATCH($K263,'سجل التحفيز'!$W$5:$W$2004,0)))</f>
        <v/>
      </c>
      <c r="R263" s="9">
        <f>IF($K263="","",INDEX('سجل التحفيز'!$F$5:$F$2004,MATCH($K263,'سجل التحفيز'!$W$5:$W$2004,0)))</f>
        <v/>
      </c>
      <c r="S263" s="35">
        <f>IF($K263="","",INDEX('سجل التحفيز'!$G$5:$G$2004,MATCH($K263,'سجل التحفيز'!$W$5:$W$2004,0)))</f>
        <v/>
      </c>
    </row>
    <row r="264">
      <c r="K264" s="36">
        <f>IF(227&gt;$B$10,"",227)</f>
        <v/>
      </c>
      <c r="L264" s="37">
        <f>IF($K264="","",INDEX('سجل التحفيز'!$A$5:$A$2004,MATCH($K264,'سجل التحفيز'!$W$5:$W$2004,0)))</f>
        <v/>
      </c>
      <c r="M264" s="9">
        <f>IF($K264="","",INDEX('سجل التحفيز'!$B$5:$B$2004,MATCH($K264,'سجل التحفيز'!$W$5:$W$2004,0)))</f>
        <v/>
      </c>
      <c r="N264" s="9">
        <f>IF($K264="","",INDEX('سجل التحفيز'!$M$5:$M$2004,MATCH($K264,'سجل التحفيز'!$W$5:$W$2004,0)))</f>
        <v/>
      </c>
      <c r="O264" s="9">
        <f>IF($K264="","",INDEX('سجل التحفيز'!$C$5:$C$2004,MATCH($K264,'سجل التحفيز'!$W$5:$W$2004,0)))</f>
        <v/>
      </c>
      <c r="P264" s="36">
        <f>IF($K264="","",INDEX('سجل التحفيز'!$D$5:$D$2004,MATCH($K264,'سجل التحفيز'!$W$5:$W$2004,0)))</f>
        <v/>
      </c>
      <c r="Q264" s="9">
        <f>IF($K264="","",INDEX('سجل التحفيز'!$E$5:$E$2004,MATCH($K264,'سجل التحفيز'!$W$5:$W$2004,0)))</f>
        <v/>
      </c>
      <c r="R264" s="9">
        <f>IF($K264="","",INDEX('سجل التحفيز'!$F$5:$F$2004,MATCH($K264,'سجل التحفيز'!$W$5:$W$2004,0)))</f>
        <v/>
      </c>
      <c r="S264" s="35">
        <f>IF($K264="","",INDEX('سجل التحفيز'!$G$5:$G$2004,MATCH($K264,'سجل التحفيز'!$W$5:$W$2004,0)))</f>
        <v/>
      </c>
    </row>
    <row r="265">
      <c r="K265" s="36">
        <f>IF(228&gt;$B$10,"",228)</f>
        <v/>
      </c>
      <c r="L265" s="37">
        <f>IF($K265="","",INDEX('سجل التحفيز'!$A$5:$A$2004,MATCH($K265,'سجل التحفيز'!$W$5:$W$2004,0)))</f>
        <v/>
      </c>
      <c r="M265" s="9">
        <f>IF($K265="","",INDEX('سجل التحفيز'!$B$5:$B$2004,MATCH($K265,'سجل التحفيز'!$W$5:$W$2004,0)))</f>
        <v/>
      </c>
      <c r="N265" s="9">
        <f>IF($K265="","",INDEX('سجل التحفيز'!$M$5:$M$2004,MATCH($K265,'سجل التحفيز'!$W$5:$W$2004,0)))</f>
        <v/>
      </c>
      <c r="O265" s="9">
        <f>IF($K265="","",INDEX('سجل التحفيز'!$C$5:$C$2004,MATCH($K265,'سجل التحفيز'!$W$5:$W$2004,0)))</f>
        <v/>
      </c>
      <c r="P265" s="36">
        <f>IF($K265="","",INDEX('سجل التحفيز'!$D$5:$D$2004,MATCH($K265,'سجل التحفيز'!$W$5:$W$2004,0)))</f>
        <v/>
      </c>
      <c r="Q265" s="9">
        <f>IF($K265="","",INDEX('سجل التحفيز'!$E$5:$E$2004,MATCH($K265,'سجل التحفيز'!$W$5:$W$2004,0)))</f>
        <v/>
      </c>
      <c r="R265" s="9">
        <f>IF($K265="","",INDEX('سجل التحفيز'!$F$5:$F$2004,MATCH($K265,'سجل التحفيز'!$W$5:$W$2004,0)))</f>
        <v/>
      </c>
      <c r="S265" s="35">
        <f>IF($K265="","",INDEX('سجل التحفيز'!$G$5:$G$2004,MATCH($K265,'سجل التحفيز'!$W$5:$W$2004,0)))</f>
        <v/>
      </c>
    </row>
    <row r="266">
      <c r="K266" s="36">
        <f>IF(229&gt;$B$10,"",229)</f>
        <v/>
      </c>
      <c r="L266" s="37">
        <f>IF($K266="","",INDEX('سجل التحفيز'!$A$5:$A$2004,MATCH($K266,'سجل التحفيز'!$W$5:$W$2004,0)))</f>
        <v/>
      </c>
      <c r="M266" s="9">
        <f>IF($K266="","",INDEX('سجل التحفيز'!$B$5:$B$2004,MATCH($K266,'سجل التحفيز'!$W$5:$W$2004,0)))</f>
        <v/>
      </c>
      <c r="N266" s="9">
        <f>IF($K266="","",INDEX('سجل التحفيز'!$M$5:$M$2004,MATCH($K266,'سجل التحفيز'!$W$5:$W$2004,0)))</f>
        <v/>
      </c>
      <c r="O266" s="9">
        <f>IF($K266="","",INDEX('سجل التحفيز'!$C$5:$C$2004,MATCH($K266,'سجل التحفيز'!$W$5:$W$2004,0)))</f>
        <v/>
      </c>
      <c r="P266" s="36">
        <f>IF($K266="","",INDEX('سجل التحفيز'!$D$5:$D$2004,MATCH($K266,'سجل التحفيز'!$W$5:$W$2004,0)))</f>
        <v/>
      </c>
      <c r="Q266" s="9">
        <f>IF($K266="","",INDEX('سجل التحفيز'!$E$5:$E$2004,MATCH($K266,'سجل التحفيز'!$W$5:$W$2004,0)))</f>
        <v/>
      </c>
      <c r="R266" s="9">
        <f>IF($K266="","",INDEX('سجل التحفيز'!$F$5:$F$2004,MATCH($K266,'سجل التحفيز'!$W$5:$W$2004,0)))</f>
        <v/>
      </c>
      <c r="S266" s="35">
        <f>IF($K266="","",INDEX('سجل التحفيز'!$G$5:$G$2004,MATCH($K266,'سجل التحفيز'!$W$5:$W$2004,0)))</f>
        <v/>
      </c>
    </row>
    <row r="267">
      <c r="K267" s="36">
        <f>IF(230&gt;$B$10,"",230)</f>
        <v/>
      </c>
      <c r="L267" s="37">
        <f>IF($K267="","",INDEX('سجل التحفيز'!$A$5:$A$2004,MATCH($K267,'سجل التحفيز'!$W$5:$W$2004,0)))</f>
        <v/>
      </c>
      <c r="M267" s="9">
        <f>IF($K267="","",INDEX('سجل التحفيز'!$B$5:$B$2004,MATCH($K267,'سجل التحفيز'!$W$5:$W$2004,0)))</f>
        <v/>
      </c>
      <c r="N267" s="9">
        <f>IF($K267="","",INDEX('سجل التحفيز'!$M$5:$M$2004,MATCH($K267,'سجل التحفيز'!$W$5:$W$2004,0)))</f>
        <v/>
      </c>
      <c r="O267" s="9">
        <f>IF($K267="","",INDEX('سجل التحفيز'!$C$5:$C$2004,MATCH($K267,'سجل التحفيز'!$W$5:$W$2004,0)))</f>
        <v/>
      </c>
      <c r="P267" s="36">
        <f>IF($K267="","",INDEX('سجل التحفيز'!$D$5:$D$2004,MATCH($K267,'سجل التحفيز'!$W$5:$W$2004,0)))</f>
        <v/>
      </c>
      <c r="Q267" s="9">
        <f>IF($K267="","",INDEX('سجل التحفيز'!$E$5:$E$2004,MATCH($K267,'سجل التحفيز'!$W$5:$W$2004,0)))</f>
        <v/>
      </c>
      <c r="R267" s="9">
        <f>IF($K267="","",INDEX('سجل التحفيز'!$F$5:$F$2004,MATCH($K267,'سجل التحفيز'!$W$5:$W$2004,0)))</f>
        <v/>
      </c>
      <c r="S267" s="35">
        <f>IF($K267="","",INDEX('سجل التحفيز'!$G$5:$G$2004,MATCH($K267,'سجل التحفيز'!$W$5:$W$2004,0)))</f>
        <v/>
      </c>
    </row>
    <row r="268">
      <c r="K268" s="36">
        <f>IF(231&gt;$B$10,"",231)</f>
        <v/>
      </c>
      <c r="L268" s="37">
        <f>IF($K268="","",INDEX('سجل التحفيز'!$A$5:$A$2004,MATCH($K268,'سجل التحفيز'!$W$5:$W$2004,0)))</f>
        <v/>
      </c>
      <c r="M268" s="9">
        <f>IF($K268="","",INDEX('سجل التحفيز'!$B$5:$B$2004,MATCH($K268,'سجل التحفيز'!$W$5:$W$2004,0)))</f>
        <v/>
      </c>
      <c r="N268" s="9">
        <f>IF($K268="","",INDEX('سجل التحفيز'!$M$5:$M$2004,MATCH($K268,'سجل التحفيز'!$W$5:$W$2004,0)))</f>
        <v/>
      </c>
      <c r="O268" s="9">
        <f>IF($K268="","",INDEX('سجل التحفيز'!$C$5:$C$2004,MATCH($K268,'سجل التحفيز'!$W$5:$W$2004,0)))</f>
        <v/>
      </c>
      <c r="P268" s="36">
        <f>IF($K268="","",INDEX('سجل التحفيز'!$D$5:$D$2004,MATCH($K268,'سجل التحفيز'!$W$5:$W$2004,0)))</f>
        <v/>
      </c>
      <c r="Q268" s="9">
        <f>IF($K268="","",INDEX('سجل التحفيز'!$E$5:$E$2004,MATCH($K268,'سجل التحفيز'!$W$5:$W$2004,0)))</f>
        <v/>
      </c>
      <c r="R268" s="9">
        <f>IF($K268="","",INDEX('سجل التحفيز'!$F$5:$F$2004,MATCH($K268,'سجل التحفيز'!$W$5:$W$2004,0)))</f>
        <v/>
      </c>
      <c r="S268" s="35">
        <f>IF($K268="","",INDEX('سجل التحفيز'!$G$5:$G$2004,MATCH($K268,'سجل التحفيز'!$W$5:$W$2004,0)))</f>
        <v/>
      </c>
    </row>
    <row r="269">
      <c r="K269" s="36">
        <f>IF(232&gt;$B$10,"",232)</f>
        <v/>
      </c>
      <c r="L269" s="37">
        <f>IF($K269="","",INDEX('سجل التحفيز'!$A$5:$A$2004,MATCH($K269,'سجل التحفيز'!$W$5:$W$2004,0)))</f>
        <v/>
      </c>
      <c r="M269" s="9">
        <f>IF($K269="","",INDEX('سجل التحفيز'!$B$5:$B$2004,MATCH($K269,'سجل التحفيز'!$W$5:$W$2004,0)))</f>
        <v/>
      </c>
      <c r="N269" s="9">
        <f>IF($K269="","",INDEX('سجل التحفيز'!$M$5:$M$2004,MATCH($K269,'سجل التحفيز'!$W$5:$W$2004,0)))</f>
        <v/>
      </c>
      <c r="O269" s="9">
        <f>IF($K269="","",INDEX('سجل التحفيز'!$C$5:$C$2004,MATCH($K269,'سجل التحفيز'!$W$5:$W$2004,0)))</f>
        <v/>
      </c>
      <c r="P269" s="36">
        <f>IF($K269="","",INDEX('سجل التحفيز'!$D$5:$D$2004,MATCH($K269,'سجل التحفيز'!$W$5:$W$2004,0)))</f>
        <v/>
      </c>
      <c r="Q269" s="9">
        <f>IF($K269="","",INDEX('سجل التحفيز'!$E$5:$E$2004,MATCH($K269,'سجل التحفيز'!$W$5:$W$2004,0)))</f>
        <v/>
      </c>
      <c r="R269" s="9">
        <f>IF($K269="","",INDEX('سجل التحفيز'!$F$5:$F$2004,MATCH($K269,'سجل التحفيز'!$W$5:$W$2004,0)))</f>
        <v/>
      </c>
      <c r="S269" s="35">
        <f>IF($K269="","",INDEX('سجل التحفيز'!$G$5:$G$2004,MATCH($K269,'سجل التحفيز'!$W$5:$W$2004,0)))</f>
        <v/>
      </c>
    </row>
    <row r="270">
      <c r="K270" s="36">
        <f>IF(233&gt;$B$10,"",233)</f>
        <v/>
      </c>
      <c r="L270" s="37">
        <f>IF($K270="","",INDEX('سجل التحفيز'!$A$5:$A$2004,MATCH($K270,'سجل التحفيز'!$W$5:$W$2004,0)))</f>
        <v/>
      </c>
      <c r="M270" s="9">
        <f>IF($K270="","",INDEX('سجل التحفيز'!$B$5:$B$2004,MATCH($K270,'سجل التحفيز'!$W$5:$W$2004,0)))</f>
        <v/>
      </c>
      <c r="N270" s="9">
        <f>IF($K270="","",INDEX('سجل التحفيز'!$M$5:$M$2004,MATCH($K270,'سجل التحفيز'!$W$5:$W$2004,0)))</f>
        <v/>
      </c>
      <c r="O270" s="9">
        <f>IF($K270="","",INDEX('سجل التحفيز'!$C$5:$C$2004,MATCH($K270,'سجل التحفيز'!$W$5:$W$2004,0)))</f>
        <v/>
      </c>
      <c r="P270" s="36">
        <f>IF($K270="","",INDEX('سجل التحفيز'!$D$5:$D$2004,MATCH($K270,'سجل التحفيز'!$W$5:$W$2004,0)))</f>
        <v/>
      </c>
      <c r="Q270" s="9">
        <f>IF($K270="","",INDEX('سجل التحفيز'!$E$5:$E$2004,MATCH($K270,'سجل التحفيز'!$W$5:$W$2004,0)))</f>
        <v/>
      </c>
      <c r="R270" s="9">
        <f>IF($K270="","",INDEX('سجل التحفيز'!$F$5:$F$2004,MATCH($K270,'سجل التحفيز'!$W$5:$W$2004,0)))</f>
        <v/>
      </c>
      <c r="S270" s="35">
        <f>IF($K270="","",INDEX('سجل التحفيز'!$G$5:$G$2004,MATCH($K270,'سجل التحفيز'!$W$5:$W$2004,0)))</f>
        <v/>
      </c>
    </row>
    <row r="271">
      <c r="K271" s="36">
        <f>IF(234&gt;$B$10,"",234)</f>
        <v/>
      </c>
      <c r="L271" s="37">
        <f>IF($K271="","",INDEX('سجل التحفيز'!$A$5:$A$2004,MATCH($K271,'سجل التحفيز'!$W$5:$W$2004,0)))</f>
        <v/>
      </c>
      <c r="M271" s="9">
        <f>IF($K271="","",INDEX('سجل التحفيز'!$B$5:$B$2004,MATCH($K271,'سجل التحفيز'!$W$5:$W$2004,0)))</f>
        <v/>
      </c>
      <c r="N271" s="9">
        <f>IF($K271="","",INDEX('سجل التحفيز'!$M$5:$M$2004,MATCH($K271,'سجل التحفيز'!$W$5:$W$2004,0)))</f>
        <v/>
      </c>
      <c r="O271" s="9">
        <f>IF($K271="","",INDEX('سجل التحفيز'!$C$5:$C$2004,MATCH($K271,'سجل التحفيز'!$W$5:$W$2004,0)))</f>
        <v/>
      </c>
      <c r="P271" s="36">
        <f>IF($K271="","",INDEX('سجل التحفيز'!$D$5:$D$2004,MATCH($K271,'سجل التحفيز'!$W$5:$W$2004,0)))</f>
        <v/>
      </c>
      <c r="Q271" s="9">
        <f>IF($K271="","",INDEX('سجل التحفيز'!$E$5:$E$2004,MATCH($K271,'سجل التحفيز'!$W$5:$W$2004,0)))</f>
        <v/>
      </c>
      <c r="R271" s="9">
        <f>IF($K271="","",INDEX('سجل التحفيز'!$F$5:$F$2004,MATCH($K271,'سجل التحفيز'!$W$5:$W$2004,0)))</f>
        <v/>
      </c>
      <c r="S271" s="35">
        <f>IF($K271="","",INDEX('سجل التحفيز'!$G$5:$G$2004,MATCH($K271,'سجل التحفيز'!$W$5:$W$2004,0)))</f>
        <v/>
      </c>
    </row>
    <row r="272">
      <c r="K272" s="36">
        <f>IF(235&gt;$B$10,"",235)</f>
        <v/>
      </c>
      <c r="L272" s="37">
        <f>IF($K272="","",INDEX('سجل التحفيز'!$A$5:$A$2004,MATCH($K272,'سجل التحفيز'!$W$5:$W$2004,0)))</f>
        <v/>
      </c>
      <c r="M272" s="9">
        <f>IF($K272="","",INDEX('سجل التحفيز'!$B$5:$B$2004,MATCH($K272,'سجل التحفيز'!$W$5:$W$2004,0)))</f>
        <v/>
      </c>
      <c r="N272" s="9">
        <f>IF($K272="","",INDEX('سجل التحفيز'!$M$5:$M$2004,MATCH($K272,'سجل التحفيز'!$W$5:$W$2004,0)))</f>
        <v/>
      </c>
      <c r="O272" s="9">
        <f>IF($K272="","",INDEX('سجل التحفيز'!$C$5:$C$2004,MATCH($K272,'سجل التحفيز'!$W$5:$W$2004,0)))</f>
        <v/>
      </c>
      <c r="P272" s="36">
        <f>IF($K272="","",INDEX('سجل التحفيز'!$D$5:$D$2004,MATCH($K272,'سجل التحفيز'!$W$5:$W$2004,0)))</f>
        <v/>
      </c>
      <c r="Q272" s="9">
        <f>IF($K272="","",INDEX('سجل التحفيز'!$E$5:$E$2004,MATCH($K272,'سجل التحفيز'!$W$5:$W$2004,0)))</f>
        <v/>
      </c>
      <c r="R272" s="9">
        <f>IF($K272="","",INDEX('سجل التحفيز'!$F$5:$F$2004,MATCH($K272,'سجل التحفيز'!$W$5:$W$2004,0)))</f>
        <v/>
      </c>
      <c r="S272" s="35">
        <f>IF($K272="","",INDEX('سجل التحفيز'!$G$5:$G$2004,MATCH($K272,'سجل التحفيز'!$W$5:$W$2004,0)))</f>
        <v/>
      </c>
    </row>
    <row r="273">
      <c r="K273" s="36">
        <f>IF(236&gt;$B$10,"",236)</f>
        <v/>
      </c>
      <c r="L273" s="37">
        <f>IF($K273="","",INDEX('سجل التحفيز'!$A$5:$A$2004,MATCH($K273,'سجل التحفيز'!$W$5:$W$2004,0)))</f>
        <v/>
      </c>
      <c r="M273" s="9">
        <f>IF($K273="","",INDEX('سجل التحفيز'!$B$5:$B$2004,MATCH($K273,'سجل التحفيز'!$W$5:$W$2004,0)))</f>
        <v/>
      </c>
      <c r="N273" s="9">
        <f>IF($K273="","",INDEX('سجل التحفيز'!$M$5:$M$2004,MATCH($K273,'سجل التحفيز'!$W$5:$W$2004,0)))</f>
        <v/>
      </c>
      <c r="O273" s="9">
        <f>IF($K273="","",INDEX('سجل التحفيز'!$C$5:$C$2004,MATCH($K273,'سجل التحفيز'!$W$5:$W$2004,0)))</f>
        <v/>
      </c>
      <c r="P273" s="36">
        <f>IF($K273="","",INDEX('سجل التحفيز'!$D$5:$D$2004,MATCH($K273,'سجل التحفيز'!$W$5:$W$2004,0)))</f>
        <v/>
      </c>
      <c r="Q273" s="9">
        <f>IF($K273="","",INDEX('سجل التحفيز'!$E$5:$E$2004,MATCH($K273,'سجل التحفيز'!$W$5:$W$2004,0)))</f>
        <v/>
      </c>
      <c r="R273" s="9">
        <f>IF($K273="","",INDEX('سجل التحفيز'!$F$5:$F$2004,MATCH($K273,'سجل التحفيز'!$W$5:$W$2004,0)))</f>
        <v/>
      </c>
      <c r="S273" s="35">
        <f>IF($K273="","",INDEX('سجل التحفيز'!$G$5:$G$2004,MATCH($K273,'سجل التحفيز'!$W$5:$W$2004,0)))</f>
        <v/>
      </c>
    </row>
    <row r="274">
      <c r="K274" s="36">
        <f>IF(237&gt;$B$10,"",237)</f>
        <v/>
      </c>
      <c r="L274" s="37">
        <f>IF($K274="","",INDEX('سجل التحفيز'!$A$5:$A$2004,MATCH($K274,'سجل التحفيز'!$W$5:$W$2004,0)))</f>
        <v/>
      </c>
      <c r="M274" s="9">
        <f>IF($K274="","",INDEX('سجل التحفيز'!$B$5:$B$2004,MATCH($K274,'سجل التحفيز'!$W$5:$W$2004,0)))</f>
        <v/>
      </c>
      <c r="N274" s="9">
        <f>IF($K274="","",INDEX('سجل التحفيز'!$M$5:$M$2004,MATCH($K274,'سجل التحفيز'!$W$5:$W$2004,0)))</f>
        <v/>
      </c>
      <c r="O274" s="9">
        <f>IF($K274="","",INDEX('سجل التحفيز'!$C$5:$C$2004,MATCH($K274,'سجل التحفيز'!$W$5:$W$2004,0)))</f>
        <v/>
      </c>
      <c r="P274" s="36">
        <f>IF($K274="","",INDEX('سجل التحفيز'!$D$5:$D$2004,MATCH($K274,'سجل التحفيز'!$W$5:$W$2004,0)))</f>
        <v/>
      </c>
      <c r="Q274" s="9">
        <f>IF($K274="","",INDEX('سجل التحفيز'!$E$5:$E$2004,MATCH($K274,'سجل التحفيز'!$W$5:$W$2004,0)))</f>
        <v/>
      </c>
      <c r="R274" s="9">
        <f>IF($K274="","",INDEX('سجل التحفيز'!$F$5:$F$2004,MATCH($K274,'سجل التحفيز'!$W$5:$W$2004,0)))</f>
        <v/>
      </c>
      <c r="S274" s="35">
        <f>IF($K274="","",INDEX('سجل التحفيز'!$G$5:$G$2004,MATCH($K274,'سجل التحفيز'!$W$5:$W$2004,0)))</f>
        <v/>
      </c>
    </row>
    <row r="275">
      <c r="K275" s="36">
        <f>IF(238&gt;$B$10,"",238)</f>
        <v/>
      </c>
      <c r="L275" s="37">
        <f>IF($K275="","",INDEX('سجل التحفيز'!$A$5:$A$2004,MATCH($K275,'سجل التحفيز'!$W$5:$W$2004,0)))</f>
        <v/>
      </c>
      <c r="M275" s="9">
        <f>IF($K275="","",INDEX('سجل التحفيز'!$B$5:$B$2004,MATCH($K275,'سجل التحفيز'!$W$5:$W$2004,0)))</f>
        <v/>
      </c>
      <c r="N275" s="9">
        <f>IF($K275="","",INDEX('سجل التحفيز'!$M$5:$M$2004,MATCH($K275,'سجل التحفيز'!$W$5:$W$2004,0)))</f>
        <v/>
      </c>
      <c r="O275" s="9">
        <f>IF($K275="","",INDEX('سجل التحفيز'!$C$5:$C$2004,MATCH($K275,'سجل التحفيز'!$W$5:$W$2004,0)))</f>
        <v/>
      </c>
      <c r="P275" s="36">
        <f>IF($K275="","",INDEX('سجل التحفيز'!$D$5:$D$2004,MATCH($K275,'سجل التحفيز'!$W$5:$W$2004,0)))</f>
        <v/>
      </c>
      <c r="Q275" s="9">
        <f>IF($K275="","",INDEX('سجل التحفيز'!$E$5:$E$2004,MATCH($K275,'سجل التحفيز'!$W$5:$W$2004,0)))</f>
        <v/>
      </c>
      <c r="R275" s="9">
        <f>IF($K275="","",INDEX('سجل التحفيز'!$F$5:$F$2004,MATCH($K275,'سجل التحفيز'!$W$5:$W$2004,0)))</f>
        <v/>
      </c>
      <c r="S275" s="35">
        <f>IF($K275="","",INDEX('سجل التحفيز'!$G$5:$G$2004,MATCH($K275,'سجل التحفيز'!$W$5:$W$2004,0)))</f>
        <v/>
      </c>
    </row>
    <row r="276">
      <c r="K276" s="36">
        <f>IF(239&gt;$B$10,"",239)</f>
        <v/>
      </c>
      <c r="L276" s="37">
        <f>IF($K276="","",INDEX('سجل التحفيز'!$A$5:$A$2004,MATCH($K276,'سجل التحفيز'!$W$5:$W$2004,0)))</f>
        <v/>
      </c>
      <c r="M276" s="9">
        <f>IF($K276="","",INDEX('سجل التحفيز'!$B$5:$B$2004,MATCH($K276,'سجل التحفيز'!$W$5:$W$2004,0)))</f>
        <v/>
      </c>
      <c r="N276" s="9">
        <f>IF($K276="","",INDEX('سجل التحفيز'!$M$5:$M$2004,MATCH($K276,'سجل التحفيز'!$W$5:$W$2004,0)))</f>
        <v/>
      </c>
      <c r="O276" s="9">
        <f>IF($K276="","",INDEX('سجل التحفيز'!$C$5:$C$2004,MATCH($K276,'سجل التحفيز'!$W$5:$W$2004,0)))</f>
        <v/>
      </c>
      <c r="P276" s="36">
        <f>IF($K276="","",INDEX('سجل التحفيز'!$D$5:$D$2004,MATCH($K276,'سجل التحفيز'!$W$5:$W$2004,0)))</f>
        <v/>
      </c>
      <c r="Q276" s="9">
        <f>IF($K276="","",INDEX('سجل التحفيز'!$E$5:$E$2004,MATCH($K276,'سجل التحفيز'!$W$5:$W$2004,0)))</f>
        <v/>
      </c>
      <c r="R276" s="9">
        <f>IF($K276="","",INDEX('سجل التحفيز'!$F$5:$F$2004,MATCH($K276,'سجل التحفيز'!$W$5:$W$2004,0)))</f>
        <v/>
      </c>
      <c r="S276" s="35">
        <f>IF($K276="","",INDEX('سجل التحفيز'!$G$5:$G$2004,MATCH($K276,'سجل التحفيز'!$W$5:$W$2004,0)))</f>
        <v/>
      </c>
    </row>
    <row r="277">
      <c r="K277" s="36">
        <f>IF(240&gt;$B$10,"",240)</f>
        <v/>
      </c>
      <c r="L277" s="37">
        <f>IF($K277="","",INDEX('سجل التحفيز'!$A$5:$A$2004,MATCH($K277,'سجل التحفيز'!$W$5:$W$2004,0)))</f>
        <v/>
      </c>
      <c r="M277" s="9">
        <f>IF($K277="","",INDEX('سجل التحفيز'!$B$5:$B$2004,MATCH($K277,'سجل التحفيز'!$W$5:$W$2004,0)))</f>
        <v/>
      </c>
      <c r="N277" s="9">
        <f>IF($K277="","",INDEX('سجل التحفيز'!$M$5:$M$2004,MATCH($K277,'سجل التحفيز'!$W$5:$W$2004,0)))</f>
        <v/>
      </c>
      <c r="O277" s="9">
        <f>IF($K277="","",INDEX('سجل التحفيز'!$C$5:$C$2004,MATCH($K277,'سجل التحفيز'!$W$5:$W$2004,0)))</f>
        <v/>
      </c>
      <c r="P277" s="36">
        <f>IF($K277="","",INDEX('سجل التحفيز'!$D$5:$D$2004,MATCH($K277,'سجل التحفيز'!$W$5:$W$2004,0)))</f>
        <v/>
      </c>
      <c r="Q277" s="9">
        <f>IF($K277="","",INDEX('سجل التحفيز'!$E$5:$E$2004,MATCH($K277,'سجل التحفيز'!$W$5:$W$2004,0)))</f>
        <v/>
      </c>
      <c r="R277" s="9">
        <f>IF($K277="","",INDEX('سجل التحفيز'!$F$5:$F$2004,MATCH($K277,'سجل التحفيز'!$W$5:$W$2004,0)))</f>
        <v/>
      </c>
      <c r="S277" s="35">
        <f>IF($K277="","",INDEX('سجل التحفيز'!$G$5:$G$2004,MATCH($K277,'سجل التحفيز'!$W$5:$W$2004,0)))</f>
        <v/>
      </c>
    </row>
    <row r="278">
      <c r="K278" s="36">
        <f>IF(241&gt;$B$10,"",241)</f>
        <v/>
      </c>
      <c r="L278" s="37">
        <f>IF($K278="","",INDEX('سجل التحفيز'!$A$5:$A$2004,MATCH($K278,'سجل التحفيز'!$W$5:$W$2004,0)))</f>
        <v/>
      </c>
      <c r="M278" s="9">
        <f>IF($K278="","",INDEX('سجل التحفيز'!$B$5:$B$2004,MATCH($K278,'سجل التحفيز'!$W$5:$W$2004,0)))</f>
        <v/>
      </c>
      <c r="N278" s="9">
        <f>IF($K278="","",INDEX('سجل التحفيز'!$M$5:$M$2004,MATCH($K278,'سجل التحفيز'!$W$5:$W$2004,0)))</f>
        <v/>
      </c>
      <c r="O278" s="9">
        <f>IF($K278="","",INDEX('سجل التحفيز'!$C$5:$C$2004,MATCH($K278,'سجل التحفيز'!$W$5:$W$2004,0)))</f>
        <v/>
      </c>
      <c r="P278" s="36">
        <f>IF($K278="","",INDEX('سجل التحفيز'!$D$5:$D$2004,MATCH($K278,'سجل التحفيز'!$W$5:$W$2004,0)))</f>
        <v/>
      </c>
      <c r="Q278" s="9">
        <f>IF($K278="","",INDEX('سجل التحفيز'!$E$5:$E$2004,MATCH($K278,'سجل التحفيز'!$W$5:$W$2004,0)))</f>
        <v/>
      </c>
      <c r="R278" s="9">
        <f>IF($K278="","",INDEX('سجل التحفيز'!$F$5:$F$2004,MATCH($K278,'سجل التحفيز'!$W$5:$W$2004,0)))</f>
        <v/>
      </c>
      <c r="S278" s="35">
        <f>IF($K278="","",INDEX('سجل التحفيز'!$G$5:$G$2004,MATCH($K278,'سجل التحفيز'!$W$5:$W$2004,0)))</f>
        <v/>
      </c>
    </row>
    <row r="279">
      <c r="K279" s="36">
        <f>IF(242&gt;$B$10,"",242)</f>
        <v/>
      </c>
      <c r="L279" s="37">
        <f>IF($K279="","",INDEX('سجل التحفيز'!$A$5:$A$2004,MATCH($K279,'سجل التحفيز'!$W$5:$W$2004,0)))</f>
        <v/>
      </c>
      <c r="M279" s="9">
        <f>IF($K279="","",INDEX('سجل التحفيز'!$B$5:$B$2004,MATCH($K279,'سجل التحفيز'!$W$5:$W$2004,0)))</f>
        <v/>
      </c>
      <c r="N279" s="9">
        <f>IF($K279="","",INDEX('سجل التحفيز'!$M$5:$M$2004,MATCH($K279,'سجل التحفيز'!$W$5:$W$2004,0)))</f>
        <v/>
      </c>
      <c r="O279" s="9">
        <f>IF($K279="","",INDEX('سجل التحفيز'!$C$5:$C$2004,MATCH($K279,'سجل التحفيز'!$W$5:$W$2004,0)))</f>
        <v/>
      </c>
      <c r="P279" s="36">
        <f>IF($K279="","",INDEX('سجل التحفيز'!$D$5:$D$2004,MATCH($K279,'سجل التحفيز'!$W$5:$W$2004,0)))</f>
        <v/>
      </c>
      <c r="Q279" s="9">
        <f>IF($K279="","",INDEX('سجل التحفيز'!$E$5:$E$2004,MATCH($K279,'سجل التحفيز'!$W$5:$W$2004,0)))</f>
        <v/>
      </c>
      <c r="R279" s="9">
        <f>IF($K279="","",INDEX('سجل التحفيز'!$F$5:$F$2004,MATCH($K279,'سجل التحفيز'!$W$5:$W$2004,0)))</f>
        <v/>
      </c>
      <c r="S279" s="35">
        <f>IF($K279="","",INDEX('سجل التحفيز'!$G$5:$G$2004,MATCH($K279,'سجل التحفيز'!$W$5:$W$2004,0)))</f>
        <v/>
      </c>
    </row>
    <row r="280">
      <c r="K280" s="36">
        <f>IF(243&gt;$B$10,"",243)</f>
        <v/>
      </c>
      <c r="L280" s="37">
        <f>IF($K280="","",INDEX('سجل التحفيز'!$A$5:$A$2004,MATCH($K280,'سجل التحفيز'!$W$5:$W$2004,0)))</f>
        <v/>
      </c>
      <c r="M280" s="9">
        <f>IF($K280="","",INDEX('سجل التحفيز'!$B$5:$B$2004,MATCH($K280,'سجل التحفيز'!$W$5:$W$2004,0)))</f>
        <v/>
      </c>
      <c r="N280" s="9">
        <f>IF($K280="","",INDEX('سجل التحفيز'!$M$5:$M$2004,MATCH($K280,'سجل التحفيز'!$W$5:$W$2004,0)))</f>
        <v/>
      </c>
      <c r="O280" s="9">
        <f>IF($K280="","",INDEX('سجل التحفيز'!$C$5:$C$2004,MATCH($K280,'سجل التحفيز'!$W$5:$W$2004,0)))</f>
        <v/>
      </c>
      <c r="P280" s="36">
        <f>IF($K280="","",INDEX('سجل التحفيز'!$D$5:$D$2004,MATCH($K280,'سجل التحفيز'!$W$5:$W$2004,0)))</f>
        <v/>
      </c>
      <c r="Q280" s="9">
        <f>IF($K280="","",INDEX('سجل التحفيز'!$E$5:$E$2004,MATCH($K280,'سجل التحفيز'!$W$5:$W$2004,0)))</f>
        <v/>
      </c>
      <c r="R280" s="9">
        <f>IF($K280="","",INDEX('سجل التحفيز'!$F$5:$F$2004,MATCH($K280,'سجل التحفيز'!$W$5:$W$2004,0)))</f>
        <v/>
      </c>
      <c r="S280" s="35">
        <f>IF($K280="","",INDEX('سجل التحفيز'!$G$5:$G$2004,MATCH($K280,'سجل التحفيز'!$W$5:$W$2004,0)))</f>
        <v/>
      </c>
    </row>
    <row r="281">
      <c r="K281" s="36">
        <f>IF(244&gt;$B$10,"",244)</f>
        <v/>
      </c>
      <c r="L281" s="37">
        <f>IF($K281="","",INDEX('سجل التحفيز'!$A$5:$A$2004,MATCH($K281,'سجل التحفيز'!$W$5:$W$2004,0)))</f>
        <v/>
      </c>
      <c r="M281" s="9">
        <f>IF($K281="","",INDEX('سجل التحفيز'!$B$5:$B$2004,MATCH($K281,'سجل التحفيز'!$W$5:$W$2004,0)))</f>
        <v/>
      </c>
      <c r="N281" s="9">
        <f>IF($K281="","",INDEX('سجل التحفيز'!$M$5:$M$2004,MATCH($K281,'سجل التحفيز'!$W$5:$W$2004,0)))</f>
        <v/>
      </c>
      <c r="O281" s="9">
        <f>IF($K281="","",INDEX('سجل التحفيز'!$C$5:$C$2004,MATCH($K281,'سجل التحفيز'!$W$5:$W$2004,0)))</f>
        <v/>
      </c>
      <c r="P281" s="36">
        <f>IF($K281="","",INDEX('سجل التحفيز'!$D$5:$D$2004,MATCH($K281,'سجل التحفيز'!$W$5:$W$2004,0)))</f>
        <v/>
      </c>
      <c r="Q281" s="9">
        <f>IF($K281="","",INDEX('سجل التحفيز'!$E$5:$E$2004,MATCH($K281,'سجل التحفيز'!$W$5:$W$2004,0)))</f>
        <v/>
      </c>
      <c r="R281" s="9">
        <f>IF($K281="","",INDEX('سجل التحفيز'!$F$5:$F$2004,MATCH($K281,'سجل التحفيز'!$W$5:$W$2004,0)))</f>
        <v/>
      </c>
      <c r="S281" s="35">
        <f>IF($K281="","",INDEX('سجل التحفيز'!$G$5:$G$2004,MATCH($K281,'سجل التحفيز'!$W$5:$W$2004,0)))</f>
        <v/>
      </c>
    </row>
    <row r="282">
      <c r="K282" s="36">
        <f>IF(245&gt;$B$10,"",245)</f>
        <v/>
      </c>
      <c r="L282" s="37">
        <f>IF($K282="","",INDEX('سجل التحفيز'!$A$5:$A$2004,MATCH($K282,'سجل التحفيز'!$W$5:$W$2004,0)))</f>
        <v/>
      </c>
      <c r="M282" s="9">
        <f>IF($K282="","",INDEX('سجل التحفيز'!$B$5:$B$2004,MATCH($K282,'سجل التحفيز'!$W$5:$W$2004,0)))</f>
        <v/>
      </c>
      <c r="N282" s="9">
        <f>IF($K282="","",INDEX('سجل التحفيز'!$M$5:$M$2004,MATCH($K282,'سجل التحفيز'!$W$5:$W$2004,0)))</f>
        <v/>
      </c>
      <c r="O282" s="9">
        <f>IF($K282="","",INDEX('سجل التحفيز'!$C$5:$C$2004,MATCH($K282,'سجل التحفيز'!$W$5:$W$2004,0)))</f>
        <v/>
      </c>
      <c r="P282" s="36">
        <f>IF($K282="","",INDEX('سجل التحفيز'!$D$5:$D$2004,MATCH($K282,'سجل التحفيز'!$W$5:$W$2004,0)))</f>
        <v/>
      </c>
      <c r="Q282" s="9">
        <f>IF($K282="","",INDEX('سجل التحفيز'!$E$5:$E$2004,MATCH($K282,'سجل التحفيز'!$W$5:$W$2004,0)))</f>
        <v/>
      </c>
      <c r="R282" s="9">
        <f>IF($K282="","",INDEX('سجل التحفيز'!$F$5:$F$2004,MATCH($K282,'سجل التحفيز'!$W$5:$W$2004,0)))</f>
        <v/>
      </c>
      <c r="S282" s="35">
        <f>IF($K282="","",INDEX('سجل التحفيز'!$G$5:$G$2004,MATCH($K282,'سجل التحفيز'!$W$5:$W$2004,0)))</f>
        <v/>
      </c>
    </row>
    <row r="283">
      <c r="K283" s="36">
        <f>IF(246&gt;$B$10,"",246)</f>
        <v/>
      </c>
      <c r="L283" s="37">
        <f>IF($K283="","",INDEX('سجل التحفيز'!$A$5:$A$2004,MATCH($K283,'سجل التحفيز'!$W$5:$W$2004,0)))</f>
        <v/>
      </c>
      <c r="M283" s="9">
        <f>IF($K283="","",INDEX('سجل التحفيز'!$B$5:$B$2004,MATCH($K283,'سجل التحفيز'!$W$5:$W$2004,0)))</f>
        <v/>
      </c>
      <c r="N283" s="9">
        <f>IF($K283="","",INDEX('سجل التحفيز'!$M$5:$M$2004,MATCH($K283,'سجل التحفيز'!$W$5:$W$2004,0)))</f>
        <v/>
      </c>
      <c r="O283" s="9">
        <f>IF($K283="","",INDEX('سجل التحفيز'!$C$5:$C$2004,MATCH($K283,'سجل التحفيز'!$W$5:$W$2004,0)))</f>
        <v/>
      </c>
      <c r="P283" s="36">
        <f>IF($K283="","",INDEX('سجل التحفيز'!$D$5:$D$2004,MATCH($K283,'سجل التحفيز'!$W$5:$W$2004,0)))</f>
        <v/>
      </c>
      <c r="Q283" s="9">
        <f>IF($K283="","",INDEX('سجل التحفيز'!$E$5:$E$2004,MATCH($K283,'سجل التحفيز'!$W$5:$W$2004,0)))</f>
        <v/>
      </c>
      <c r="R283" s="9">
        <f>IF($K283="","",INDEX('سجل التحفيز'!$F$5:$F$2004,MATCH($K283,'سجل التحفيز'!$W$5:$W$2004,0)))</f>
        <v/>
      </c>
      <c r="S283" s="35">
        <f>IF($K283="","",INDEX('سجل التحفيز'!$G$5:$G$2004,MATCH($K283,'سجل التحفيز'!$W$5:$W$2004,0)))</f>
        <v/>
      </c>
    </row>
    <row r="284">
      <c r="K284" s="36">
        <f>IF(247&gt;$B$10,"",247)</f>
        <v/>
      </c>
      <c r="L284" s="37">
        <f>IF($K284="","",INDEX('سجل التحفيز'!$A$5:$A$2004,MATCH($K284,'سجل التحفيز'!$W$5:$W$2004,0)))</f>
        <v/>
      </c>
      <c r="M284" s="9">
        <f>IF($K284="","",INDEX('سجل التحفيز'!$B$5:$B$2004,MATCH($K284,'سجل التحفيز'!$W$5:$W$2004,0)))</f>
        <v/>
      </c>
      <c r="N284" s="9">
        <f>IF($K284="","",INDEX('سجل التحفيز'!$M$5:$M$2004,MATCH($K284,'سجل التحفيز'!$W$5:$W$2004,0)))</f>
        <v/>
      </c>
      <c r="O284" s="9">
        <f>IF($K284="","",INDEX('سجل التحفيز'!$C$5:$C$2004,MATCH($K284,'سجل التحفيز'!$W$5:$W$2004,0)))</f>
        <v/>
      </c>
      <c r="P284" s="36">
        <f>IF($K284="","",INDEX('سجل التحفيز'!$D$5:$D$2004,MATCH($K284,'سجل التحفيز'!$W$5:$W$2004,0)))</f>
        <v/>
      </c>
      <c r="Q284" s="9">
        <f>IF($K284="","",INDEX('سجل التحفيز'!$E$5:$E$2004,MATCH($K284,'سجل التحفيز'!$W$5:$W$2004,0)))</f>
        <v/>
      </c>
      <c r="R284" s="9">
        <f>IF($K284="","",INDEX('سجل التحفيز'!$F$5:$F$2004,MATCH($K284,'سجل التحفيز'!$W$5:$W$2004,0)))</f>
        <v/>
      </c>
      <c r="S284" s="35">
        <f>IF($K284="","",INDEX('سجل التحفيز'!$G$5:$G$2004,MATCH($K284,'سجل التحفيز'!$W$5:$W$2004,0)))</f>
        <v/>
      </c>
    </row>
    <row r="285">
      <c r="K285" s="36">
        <f>IF(248&gt;$B$10,"",248)</f>
        <v/>
      </c>
      <c r="L285" s="37">
        <f>IF($K285="","",INDEX('سجل التحفيز'!$A$5:$A$2004,MATCH($K285,'سجل التحفيز'!$W$5:$W$2004,0)))</f>
        <v/>
      </c>
      <c r="M285" s="9">
        <f>IF($K285="","",INDEX('سجل التحفيز'!$B$5:$B$2004,MATCH($K285,'سجل التحفيز'!$W$5:$W$2004,0)))</f>
        <v/>
      </c>
      <c r="N285" s="9">
        <f>IF($K285="","",INDEX('سجل التحفيز'!$M$5:$M$2004,MATCH($K285,'سجل التحفيز'!$W$5:$W$2004,0)))</f>
        <v/>
      </c>
      <c r="O285" s="9">
        <f>IF($K285="","",INDEX('سجل التحفيز'!$C$5:$C$2004,MATCH($K285,'سجل التحفيز'!$W$5:$W$2004,0)))</f>
        <v/>
      </c>
      <c r="P285" s="36">
        <f>IF($K285="","",INDEX('سجل التحفيز'!$D$5:$D$2004,MATCH($K285,'سجل التحفيز'!$W$5:$W$2004,0)))</f>
        <v/>
      </c>
      <c r="Q285" s="9">
        <f>IF($K285="","",INDEX('سجل التحفيز'!$E$5:$E$2004,MATCH($K285,'سجل التحفيز'!$W$5:$W$2004,0)))</f>
        <v/>
      </c>
      <c r="R285" s="9">
        <f>IF($K285="","",INDEX('سجل التحفيز'!$F$5:$F$2004,MATCH($K285,'سجل التحفيز'!$W$5:$W$2004,0)))</f>
        <v/>
      </c>
      <c r="S285" s="35">
        <f>IF($K285="","",INDEX('سجل التحفيز'!$G$5:$G$2004,MATCH($K285,'سجل التحفيز'!$W$5:$W$2004,0)))</f>
        <v/>
      </c>
    </row>
    <row r="286">
      <c r="K286" s="36">
        <f>IF(249&gt;$B$10,"",249)</f>
        <v/>
      </c>
      <c r="L286" s="37">
        <f>IF($K286="","",INDEX('سجل التحفيز'!$A$5:$A$2004,MATCH($K286,'سجل التحفيز'!$W$5:$W$2004,0)))</f>
        <v/>
      </c>
      <c r="M286" s="9">
        <f>IF($K286="","",INDEX('سجل التحفيز'!$B$5:$B$2004,MATCH($K286,'سجل التحفيز'!$W$5:$W$2004,0)))</f>
        <v/>
      </c>
      <c r="N286" s="9">
        <f>IF($K286="","",INDEX('سجل التحفيز'!$M$5:$M$2004,MATCH($K286,'سجل التحفيز'!$W$5:$W$2004,0)))</f>
        <v/>
      </c>
      <c r="O286" s="9">
        <f>IF($K286="","",INDEX('سجل التحفيز'!$C$5:$C$2004,MATCH($K286,'سجل التحفيز'!$W$5:$W$2004,0)))</f>
        <v/>
      </c>
      <c r="P286" s="36">
        <f>IF($K286="","",INDEX('سجل التحفيز'!$D$5:$D$2004,MATCH($K286,'سجل التحفيز'!$W$5:$W$2004,0)))</f>
        <v/>
      </c>
      <c r="Q286" s="9">
        <f>IF($K286="","",INDEX('سجل التحفيز'!$E$5:$E$2004,MATCH($K286,'سجل التحفيز'!$W$5:$W$2004,0)))</f>
        <v/>
      </c>
      <c r="R286" s="9">
        <f>IF($K286="","",INDEX('سجل التحفيز'!$F$5:$F$2004,MATCH($K286,'سجل التحفيز'!$W$5:$W$2004,0)))</f>
        <v/>
      </c>
      <c r="S286" s="35">
        <f>IF($K286="","",INDEX('سجل التحفيز'!$G$5:$G$2004,MATCH($K286,'سجل التحفيز'!$W$5:$W$2004,0)))</f>
        <v/>
      </c>
    </row>
    <row r="287">
      <c r="K287" s="36">
        <f>IF(250&gt;$B$10,"",250)</f>
        <v/>
      </c>
      <c r="L287" s="37">
        <f>IF($K287="","",INDEX('سجل التحفيز'!$A$5:$A$2004,MATCH($K287,'سجل التحفيز'!$W$5:$W$2004,0)))</f>
        <v/>
      </c>
      <c r="M287" s="9">
        <f>IF($K287="","",INDEX('سجل التحفيز'!$B$5:$B$2004,MATCH($K287,'سجل التحفيز'!$W$5:$W$2004,0)))</f>
        <v/>
      </c>
      <c r="N287" s="9">
        <f>IF($K287="","",INDEX('سجل التحفيز'!$M$5:$M$2004,MATCH($K287,'سجل التحفيز'!$W$5:$W$2004,0)))</f>
        <v/>
      </c>
      <c r="O287" s="9">
        <f>IF($K287="","",INDEX('سجل التحفيز'!$C$5:$C$2004,MATCH($K287,'سجل التحفيز'!$W$5:$W$2004,0)))</f>
        <v/>
      </c>
      <c r="P287" s="36">
        <f>IF($K287="","",INDEX('سجل التحفيز'!$D$5:$D$2004,MATCH($K287,'سجل التحفيز'!$W$5:$W$2004,0)))</f>
        <v/>
      </c>
      <c r="Q287" s="9">
        <f>IF($K287="","",INDEX('سجل التحفيز'!$E$5:$E$2004,MATCH($K287,'سجل التحفيز'!$W$5:$W$2004,0)))</f>
        <v/>
      </c>
      <c r="R287" s="9">
        <f>IF($K287="","",INDEX('سجل التحفيز'!$F$5:$F$2004,MATCH($K287,'سجل التحفيز'!$W$5:$W$2004,0)))</f>
        <v/>
      </c>
      <c r="S287" s="35">
        <f>IF($K287="","",INDEX('سجل التحفيز'!$G$5:$G$2004,MATCH($K287,'سجل التحفيز'!$W$5:$W$2004,0)))</f>
        <v/>
      </c>
    </row>
    <row r="288">
      <c r="K288" s="36">
        <f>IF(251&gt;$B$10,"",251)</f>
        <v/>
      </c>
      <c r="L288" s="37">
        <f>IF($K288="","",INDEX('سجل التحفيز'!$A$5:$A$2004,MATCH($K288,'سجل التحفيز'!$W$5:$W$2004,0)))</f>
        <v/>
      </c>
      <c r="M288" s="9">
        <f>IF($K288="","",INDEX('سجل التحفيز'!$B$5:$B$2004,MATCH($K288,'سجل التحفيز'!$W$5:$W$2004,0)))</f>
        <v/>
      </c>
      <c r="N288" s="9">
        <f>IF($K288="","",INDEX('سجل التحفيز'!$M$5:$M$2004,MATCH($K288,'سجل التحفيز'!$W$5:$W$2004,0)))</f>
        <v/>
      </c>
      <c r="O288" s="9">
        <f>IF($K288="","",INDEX('سجل التحفيز'!$C$5:$C$2004,MATCH($K288,'سجل التحفيز'!$W$5:$W$2004,0)))</f>
        <v/>
      </c>
      <c r="P288" s="36">
        <f>IF($K288="","",INDEX('سجل التحفيز'!$D$5:$D$2004,MATCH($K288,'سجل التحفيز'!$W$5:$W$2004,0)))</f>
        <v/>
      </c>
      <c r="Q288" s="9">
        <f>IF($K288="","",INDEX('سجل التحفيز'!$E$5:$E$2004,MATCH($K288,'سجل التحفيز'!$W$5:$W$2004,0)))</f>
        <v/>
      </c>
      <c r="R288" s="9">
        <f>IF($K288="","",INDEX('سجل التحفيز'!$F$5:$F$2004,MATCH($K288,'سجل التحفيز'!$W$5:$W$2004,0)))</f>
        <v/>
      </c>
      <c r="S288" s="35">
        <f>IF($K288="","",INDEX('سجل التحفيز'!$G$5:$G$2004,MATCH($K288,'سجل التحفيز'!$W$5:$W$2004,0)))</f>
        <v/>
      </c>
    </row>
    <row r="289">
      <c r="K289" s="36">
        <f>IF(252&gt;$B$10,"",252)</f>
        <v/>
      </c>
      <c r="L289" s="37">
        <f>IF($K289="","",INDEX('سجل التحفيز'!$A$5:$A$2004,MATCH($K289,'سجل التحفيز'!$W$5:$W$2004,0)))</f>
        <v/>
      </c>
      <c r="M289" s="9">
        <f>IF($K289="","",INDEX('سجل التحفيز'!$B$5:$B$2004,MATCH($K289,'سجل التحفيز'!$W$5:$W$2004,0)))</f>
        <v/>
      </c>
      <c r="N289" s="9">
        <f>IF($K289="","",INDEX('سجل التحفيز'!$M$5:$M$2004,MATCH($K289,'سجل التحفيز'!$W$5:$W$2004,0)))</f>
        <v/>
      </c>
      <c r="O289" s="9">
        <f>IF($K289="","",INDEX('سجل التحفيز'!$C$5:$C$2004,MATCH($K289,'سجل التحفيز'!$W$5:$W$2004,0)))</f>
        <v/>
      </c>
      <c r="P289" s="36">
        <f>IF($K289="","",INDEX('سجل التحفيز'!$D$5:$D$2004,MATCH($K289,'سجل التحفيز'!$W$5:$W$2004,0)))</f>
        <v/>
      </c>
      <c r="Q289" s="9">
        <f>IF($K289="","",INDEX('سجل التحفيز'!$E$5:$E$2004,MATCH($K289,'سجل التحفيز'!$W$5:$W$2004,0)))</f>
        <v/>
      </c>
      <c r="R289" s="9">
        <f>IF($K289="","",INDEX('سجل التحفيز'!$F$5:$F$2004,MATCH($K289,'سجل التحفيز'!$W$5:$W$2004,0)))</f>
        <v/>
      </c>
      <c r="S289" s="35">
        <f>IF($K289="","",INDEX('سجل التحفيز'!$G$5:$G$2004,MATCH($K289,'سجل التحفيز'!$W$5:$W$2004,0)))</f>
        <v/>
      </c>
    </row>
    <row r="290">
      <c r="K290" s="36">
        <f>IF(253&gt;$B$10,"",253)</f>
        <v/>
      </c>
      <c r="L290" s="37">
        <f>IF($K290="","",INDEX('سجل التحفيز'!$A$5:$A$2004,MATCH($K290,'سجل التحفيز'!$W$5:$W$2004,0)))</f>
        <v/>
      </c>
      <c r="M290" s="9">
        <f>IF($K290="","",INDEX('سجل التحفيز'!$B$5:$B$2004,MATCH($K290,'سجل التحفيز'!$W$5:$W$2004,0)))</f>
        <v/>
      </c>
      <c r="N290" s="9">
        <f>IF($K290="","",INDEX('سجل التحفيز'!$M$5:$M$2004,MATCH($K290,'سجل التحفيز'!$W$5:$W$2004,0)))</f>
        <v/>
      </c>
      <c r="O290" s="9">
        <f>IF($K290="","",INDEX('سجل التحفيز'!$C$5:$C$2004,MATCH($K290,'سجل التحفيز'!$W$5:$W$2004,0)))</f>
        <v/>
      </c>
      <c r="P290" s="36">
        <f>IF($K290="","",INDEX('سجل التحفيز'!$D$5:$D$2004,MATCH($K290,'سجل التحفيز'!$W$5:$W$2004,0)))</f>
        <v/>
      </c>
      <c r="Q290" s="9">
        <f>IF($K290="","",INDEX('سجل التحفيز'!$E$5:$E$2004,MATCH($K290,'سجل التحفيز'!$W$5:$W$2004,0)))</f>
        <v/>
      </c>
      <c r="R290" s="9">
        <f>IF($K290="","",INDEX('سجل التحفيز'!$F$5:$F$2004,MATCH($K290,'سجل التحفيز'!$W$5:$W$2004,0)))</f>
        <v/>
      </c>
      <c r="S290" s="35">
        <f>IF($K290="","",INDEX('سجل التحفيز'!$G$5:$G$2004,MATCH($K290,'سجل التحفيز'!$W$5:$W$2004,0)))</f>
        <v/>
      </c>
    </row>
    <row r="291">
      <c r="K291" s="36">
        <f>IF(254&gt;$B$10,"",254)</f>
        <v/>
      </c>
      <c r="L291" s="37">
        <f>IF($K291="","",INDEX('سجل التحفيز'!$A$5:$A$2004,MATCH($K291,'سجل التحفيز'!$W$5:$W$2004,0)))</f>
        <v/>
      </c>
      <c r="M291" s="9">
        <f>IF($K291="","",INDEX('سجل التحفيز'!$B$5:$B$2004,MATCH($K291,'سجل التحفيز'!$W$5:$W$2004,0)))</f>
        <v/>
      </c>
      <c r="N291" s="9">
        <f>IF($K291="","",INDEX('سجل التحفيز'!$M$5:$M$2004,MATCH($K291,'سجل التحفيز'!$W$5:$W$2004,0)))</f>
        <v/>
      </c>
      <c r="O291" s="9">
        <f>IF($K291="","",INDEX('سجل التحفيز'!$C$5:$C$2004,MATCH($K291,'سجل التحفيز'!$W$5:$W$2004,0)))</f>
        <v/>
      </c>
      <c r="P291" s="36">
        <f>IF($K291="","",INDEX('سجل التحفيز'!$D$5:$D$2004,MATCH($K291,'سجل التحفيز'!$W$5:$W$2004,0)))</f>
        <v/>
      </c>
      <c r="Q291" s="9">
        <f>IF($K291="","",INDEX('سجل التحفيز'!$E$5:$E$2004,MATCH($K291,'سجل التحفيز'!$W$5:$W$2004,0)))</f>
        <v/>
      </c>
      <c r="R291" s="9">
        <f>IF($K291="","",INDEX('سجل التحفيز'!$F$5:$F$2004,MATCH($K291,'سجل التحفيز'!$W$5:$W$2004,0)))</f>
        <v/>
      </c>
      <c r="S291" s="35">
        <f>IF($K291="","",INDEX('سجل التحفيز'!$G$5:$G$2004,MATCH($K291,'سجل التحفيز'!$W$5:$W$2004,0)))</f>
        <v/>
      </c>
    </row>
    <row r="292">
      <c r="K292" s="36">
        <f>IF(255&gt;$B$10,"",255)</f>
        <v/>
      </c>
      <c r="L292" s="37">
        <f>IF($K292="","",INDEX('سجل التحفيز'!$A$5:$A$2004,MATCH($K292,'سجل التحفيز'!$W$5:$W$2004,0)))</f>
        <v/>
      </c>
      <c r="M292" s="9">
        <f>IF($K292="","",INDEX('سجل التحفيز'!$B$5:$B$2004,MATCH($K292,'سجل التحفيز'!$W$5:$W$2004,0)))</f>
        <v/>
      </c>
      <c r="N292" s="9">
        <f>IF($K292="","",INDEX('سجل التحفيز'!$M$5:$M$2004,MATCH($K292,'سجل التحفيز'!$W$5:$W$2004,0)))</f>
        <v/>
      </c>
      <c r="O292" s="9">
        <f>IF($K292="","",INDEX('سجل التحفيز'!$C$5:$C$2004,MATCH($K292,'سجل التحفيز'!$W$5:$W$2004,0)))</f>
        <v/>
      </c>
      <c r="P292" s="36">
        <f>IF($K292="","",INDEX('سجل التحفيز'!$D$5:$D$2004,MATCH($K292,'سجل التحفيز'!$W$5:$W$2004,0)))</f>
        <v/>
      </c>
      <c r="Q292" s="9">
        <f>IF($K292="","",INDEX('سجل التحفيز'!$E$5:$E$2004,MATCH($K292,'سجل التحفيز'!$W$5:$W$2004,0)))</f>
        <v/>
      </c>
      <c r="R292" s="9">
        <f>IF($K292="","",INDEX('سجل التحفيز'!$F$5:$F$2004,MATCH($K292,'سجل التحفيز'!$W$5:$W$2004,0)))</f>
        <v/>
      </c>
      <c r="S292" s="35">
        <f>IF($K292="","",INDEX('سجل التحفيز'!$G$5:$G$2004,MATCH($K292,'سجل التحفيز'!$W$5:$W$2004,0)))</f>
        <v/>
      </c>
    </row>
    <row r="293">
      <c r="K293" s="36">
        <f>IF(256&gt;$B$10,"",256)</f>
        <v/>
      </c>
      <c r="L293" s="37">
        <f>IF($K293="","",INDEX('سجل التحفيز'!$A$5:$A$2004,MATCH($K293,'سجل التحفيز'!$W$5:$W$2004,0)))</f>
        <v/>
      </c>
      <c r="M293" s="9">
        <f>IF($K293="","",INDEX('سجل التحفيز'!$B$5:$B$2004,MATCH($K293,'سجل التحفيز'!$W$5:$W$2004,0)))</f>
        <v/>
      </c>
      <c r="N293" s="9">
        <f>IF($K293="","",INDEX('سجل التحفيز'!$M$5:$M$2004,MATCH($K293,'سجل التحفيز'!$W$5:$W$2004,0)))</f>
        <v/>
      </c>
      <c r="O293" s="9">
        <f>IF($K293="","",INDEX('سجل التحفيز'!$C$5:$C$2004,MATCH($K293,'سجل التحفيز'!$W$5:$W$2004,0)))</f>
        <v/>
      </c>
      <c r="P293" s="36">
        <f>IF($K293="","",INDEX('سجل التحفيز'!$D$5:$D$2004,MATCH($K293,'سجل التحفيز'!$W$5:$W$2004,0)))</f>
        <v/>
      </c>
      <c r="Q293" s="9">
        <f>IF($K293="","",INDEX('سجل التحفيز'!$E$5:$E$2004,MATCH($K293,'سجل التحفيز'!$W$5:$W$2004,0)))</f>
        <v/>
      </c>
      <c r="R293" s="9">
        <f>IF($K293="","",INDEX('سجل التحفيز'!$F$5:$F$2004,MATCH($K293,'سجل التحفيز'!$W$5:$W$2004,0)))</f>
        <v/>
      </c>
      <c r="S293" s="35">
        <f>IF($K293="","",INDEX('سجل التحفيز'!$G$5:$G$2004,MATCH($K293,'سجل التحفيز'!$W$5:$W$2004,0)))</f>
        <v/>
      </c>
    </row>
    <row r="294">
      <c r="K294" s="36">
        <f>IF(257&gt;$B$10,"",257)</f>
        <v/>
      </c>
      <c r="L294" s="37">
        <f>IF($K294="","",INDEX('سجل التحفيز'!$A$5:$A$2004,MATCH($K294,'سجل التحفيز'!$W$5:$W$2004,0)))</f>
        <v/>
      </c>
      <c r="M294" s="9">
        <f>IF($K294="","",INDEX('سجل التحفيز'!$B$5:$B$2004,MATCH($K294,'سجل التحفيز'!$W$5:$W$2004,0)))</f>
        <v/>
      </c>
      <c r="N294" s="9">
        <f>IF($K294="","",INDEX('سجل التحفيز'!$M$5:$M$2004,MATCH($K294,'سجل التحفيز'!$W$5:$W$2004,0)))</f>
        <v/>
      </c>
      <c r="O294" s="9">
        <f>IF($K294="","",INDEX('سجل التحفيز'!$C$5:$C$2004,MATCH($K294,'سجل التحفيز'!$W$5:$W$2004,0)))</f>
        <v/>
      </c>
      <c r="P294" s="36">
        <f>IF($K294="","",INDEX('سجل التحفيز'!$D$5:$D$2004,MATCH($K294,'سجل التحفيز'!$W$5:$W$2004,0)))</f>
        <v/>
      </c>
      <c r="Q294" s="9">
        <f>IF($K294="","",INDEX('سجل التحفيز'!$E$5:$E$2004,MATCH($K294,'سجل التحفيز'!$W$5:$W$2004,0)))</f>
        <v/>
      </c>
      <c r="R294" s="9">
        <f>IF($K294="","",INDEX('سجل التحفيز'!$F$5:$F$2004,MATCH($K294,'سجل التحفيز'!$W$5:$W$2004,0)))</f>
        <v/>
      </c>
      <c r="S294" s="35">
        <f>IF($K294="","",INDEX('سجل التحفيز'!$G$5:$G$2004,MATCH($K294,'سجل التحفيز'!$W$5:$W$2004,0)))</f>
        <v/>
      </c>
    </row>
    <row r="295">
      <c r="K295" s="36">
        <f>IF(258&gt;$B$10,"",258)</f>
        <v/>
      </c>
      <c r="L295" s="37">
        <f>IF($K295="","",INDEX('سجل التحفيز'!$A$5:$A$2004,MATCH($K295,'سجل التحفيز'!$W$5:$W$2004,0)))</f>
        <v/>
      </c>
      <c r="M295" s="9">
        <f>IF($K295="","",INDEX('سجل التحفيز'!$B$5:$B$2004,MATCH($K295,'سجل التحفيز'!$W$5:$W$2004,0)))</f>
        <v/>
      </c>
      <c r="N295" s="9">
        <f>IF($K295="","",INDEX('سجل التحفيز'!$M$5:$M$2004,MATCH($K295,'سجل التحفيز'!$W$5:$W$2004,0)))</f>
        <v/>
      </c>
      <c r="O295" s="9">
        <f>IF($K295="","",INDEX('سجل التحفيز'!$C$5:$C$2004,MATCH($K295,'سجل التحفيز'!$W$5:$W$2004,0)))</f>
        <v/>
      </c>
      <c r="P295" s="36">
        <f>IF($K295="","",INDEX('سجل التحفيز'!$D$5:$D$2004,MATCH($K295,'سجل التحفيز'!$W$5:$W$2004,0)))</f>
        <v/>
      </c>
      <c r="Q295" s="9">
        <f>IF($K295="","",INDEX('سجل التحفيز'!$E$5:$E$2004,MATCH($K295,'سجل التحفيز'!$W$5:$W$2004,0)))</f>
        <v/>
      </c>
      <c r="R295" s="9">
        <f>IF($K295="","",INDEX('سجل التحفيز'!$F$5:$F$2004,MATCH($K295,'سجل التحفيز'!$W$5:$W$2004,0)))</f>
        <v/>
      </c>
      <c r="S295" s="35">
        <f>IF($K295="","",INDEX('سجل التحفيز'!$G$5:$G$2004,MATCH($K295,'سجل التحفيز'!$W$5:$W$2004,0)))</f>
        <v/>
      </c>
    </row>
    <row r="296">
      <c r="K296" s="36">
        <f>IF(259&gt;$B$10,"",259)</f>
        <v/>
      </c>
      <c r="L296" s="37">
        <f>IF($K296="","",INDEX('سجل التحفيز'!$A$5:$A$2004,MATCH($K296,'سجل التحفيز'!$W$5:$W$2004,0)))</f>
        <v/>
      </c>
      <c r="M296" s="9">
        <f>IF($K296="","",INDEX('سجل التحفيز'!$B$5:$B$2004,MATCH($K296,'سجل التحفيز'!$W$5:$W$2004,0)))</f>
        <v/>
      </c>
      <c r="N296" s="9">
        <f>IF($K296="","",INDEX('سجل التحفيز'!$M$5:$M$2004,MATCH($K296,'سجل التحفيز'!$W$5:$W$2004,0)))</f>
        <v/>
      </c>
      <c r="O296" s="9">
        <f>IF($K296="","",INDEX('سجل التحفيز'!$C$5:$C$2004,MATCH($K296,'سجل التحفيز'!$W$5:$W$2004,0)))</f>
        <v/>
      </c>
      <c r="P296" s="36">
        <f>IF($K296="","",INDEX('سجل التحفيز'!$D$5:$D$2004,MATCH($K296,'سجل التحفيز'!$W$5:$W$2004,0)))</f>
        <v/>
      </c>
      <c r="Q296" s="9">
        <f>IF($K296="","",INDEX('سجل التحفيز'!$E$5:$E$2004,MATCH($K296,'سجل التحفيز'!$W$5:$W$2004,0)))</f>
        <v/>
      </c>
      <c r="R296" s="9">
        <f>IF($K296="","",INDEX('سجل التحفيز'!$F$5:$F$2004,MATCH($K296,'سجل التحفيز'!$W$5:$W$2004,0)))</f>
        <v/>
      </c>
      <c r="S296" s="35">
        <f>IF($K296="","",INDEX('سجل التحفيز'!$G$5:$G$2004,MATCH($K296,'سجل التحفيز'!$W$5:$W$2004,0)))</f>
        <v/>
      </c>
    </row>
    <row r="297">
      <c r="K297" s="36">
        <f>IF(260&gt;$B$10,"",260)</f>
        <v/>
      </c>
      <c r="L297" s="37">
        <f>IF($K297="","",INDEX('سجل التحفيز'!$A$5:$A$2004,MATCH($K297,'سجل التحفيز'!$W$5:$W$2004,0)))</f>
        <v/>
      </c>
      <c r="M297" s="9">
        <f>IF($K297="","",INDEX('سجل التحفيز'!$B$5:$B$2004,MATCH($K297,'سجل التحفيز'!$W$5:$W$2004,0)))</f>
        <v/>
      </c>
      <c r="N297" s="9">
        <f>IF($K297="","",INDEX('سجل التحفيز'!$M$5:$M$2004,MATCH($K297,'سجل التحفيز'!$W$5:$W$2004,0)))</f>
        <v/>
      </c>
      <c r="O297" s="9">
        <f>IF($K297="","",INDEX('سجل التحفيز'!$C$5:$C$2004,MATCH($K297,'سجل التحفيز'!$W$5:$W$2004,0)))</f>
        <v/>
      </c>
      <c r="P297" s="36">
        <f>IF($K297="","",INDEX('سجل التحفيز'!$D$5:$D$2004,MATCH($K297,'سجل التحفيز'!$W$5:$W$2004,0)))</f>
        <v/>
      </c>
      <c r="Q297" s="9">
        <f>IF($K297="","",INDEX('سجل التحفيز'!$E$5:$E$2004,MATCH($K297,'سجل التحفيز'!$W$5:$W$2004,0)))</f>
        <v/>
      </c>
      <c r="R297" s="9">
        <f>IF($K297="","",INDEX('سجل التحفيز'!$F$5:$F$2004,MATCH($K297,'سجل التحفيز'!$W$5:$W$2004,0)))</f>
        <v/>
      </c>
      <c r="S297" s="35">
        <f>IF($K297="","",INDEX('سجل التحفيز'!$G$5:$G$2004,MATCH($K297,'سجل التحفيز'!$W$5:$W$2004,0)))</f>
        <v/>
      </c>
    </row>
    <row r="298">
      <c r="K298" s="36">
        <f>IF(261&gt;$B$10,"",261)</f>
        <v/>
      </c>
      <c r="L298" s="37">
        <f>IF($K298="","",INDEX('سجل التحفيز'!$A$5:$A$2004,MATCH($K298,'سجل التحفيز'!$W$5:$W$2004,0)))</f>
        <v/>
      </c>
      <c r="M298" s="9">
        <f>IF($K298="","",INDEX('سجل التحفيز'!$B$5:$B$2004,MATCH($K298,'سجل التحفيز'!$W$5:$W$2004,0)))</f>
        <v/>
      </c>
      <c r="N298" s="9">
        <f>IF($K298="","",INDEX('سجل التحفيز'!$M$5:$M$2004,MATCH($K298,'سجل التحفيز'!$W$5:$W$2004,0)))</f>
        <v/>
      </c>
      <c r="O298" s="9">
        <f>IF($K298="","",INDEX('سجل التحفيز'!$C$5:$C$2004,MATCH($K298,'سجل التحفيز'!$W$5:$W$2004,0)))</f>
        <v/>
      </c>
      <c r="P298" s="36">
        <f>IF($K298="","",INDEX('سجل التحفيز'!$D$5:$D$2004,MATCH($K298,'سجل التحفيز'!$W$5:$W$2004,0)))</f>
        <v/>
      </c>
      <c r="Q298" s="9">
        <f>IF($K298="","",INDEX('سجل التحفيز'!$E$5:$E$2004,MATCH($K298,'سجل التحفيز'!$W$5:$W$2004,0)))</f>
        <v/>
      </c>
      <c r="R298" s="9">
        <f>IF($K298="","",INDEX('سجل التحفيز'!$F$5:$F$2004,MATCH($K298,'سجل التحفيز'!$W$5:$W$2004,0)))</f>
        <v/>
      </c>
      <c r="S298" s="35">
        <f>IF($K298="","",INDEX('سجل التحفيز'!$G$5:$G$2004,MATCH($K298,'سجل التحفيز'!$W$5:$W$2004,0)))</f>
        <v/>
      </c>
    </row>
    <row r="299">
      <c r="K299" s="36">
        <f>IF(262&gt;$B$10,"",262)</f>
        <v/>
      </c>
      <c r="L299" s="37">
        <f>IF($K299="","",INDEX('سجل التحفيز'!$A$5:$A$2004,MATCH($K299,'سجل التحفيز'!$W$5:$W$2004,0)))</f>
        <v/>
      </c>
      <c r="M299" s="9">
        <f>IF($K299="","",INDEX('سجل التحفيز'!$B$5:$B$2004,MATCH($K299,'سجل التحفيز'!$W$5:$W$2004,0)))</f>
        <v/>
      </c>
      <c r="N299" s="9">
        <f>IF($K299="","",INDEX('سجل التحفيز'!$M$5:$M$2004,MATCH($K299,'سجل التحفيز'!$W$5:$W$2004,0)))</f>
        <v/>
      </c>
      <c r="O299" s="9">
        <f>IF($K299="","",INDEX('سجل التحفيز'!$C$5:$C$2004,MATCH($K299,'سجل التحفيز'!$W$5:$W$2004,0)))</f>
        <v/>
      </c>
      <c r="P299" s="36">
        <f>IF($K299="","",INDEX('سجل التحفيز'!$D$5:$D$2004,MATCH($K299,'سجل التحفيز'!$W$5:$W$2004,0)))</f>
        <v/>
      </c>
      <c r="Q299" s="9">
        <f>IF($K299="","",INDEX('سجل التحفيز'!$E$5:$E$2004,MATCH($K299,'سجل التحفيز'!$W$5:$W$2004,0)))</f>
        <v/>
      </c>
      <c r="R299" s="9">
        <f>IF($K299="","",INDEX('سجل التحفيز'!$F$5:$F$2004,MATCH($K299,'سجل التحفيز'!$W$5:$W$2004,0)))</f>
        <v/>
      </c>
      <c r="S299" s="35">
        <f>IF($K299="","",INDEX('سجل التحفيز'!$G$5:$G$2004,MATCH($K299,'سجل التحفيز'!$W$5:$W$2004,0)))</f>
        <v/>
      </c>
    </row>
    <row r="300">
      <c r="K300" s="36">
        <f>IF(263&gt;$B$10,"",263)</f>
        <v/>
      </c>
      <c r="L300" s="37">
        <f>IF($K300="","",INDEX('سجل التحفيز'!$A$5:$A$2004,MATCH($K300,'سجل التحفيز'!$W$5:$W$2004,0)))</f>
        <v/>
      </c>
      <c r="M300" s="9">
        <f>IF($K300="","",INDEX('سجل التحفيز'!$B$5:$B$2004,MATCH($K300,'سجل التحفيز'!$W$5:$W$2004,0)))</f>
        <v/>
      </c>
      <c r="N300" s="9">
        <f>IF($K300="","",INDEX('سجل التحفيز'!$M$5:$M$2004,MATCH($K300,'سجل التحفيز'!$W$5:$W$2004,0)))</f>
        <v/>
      </c>
      <c r="O300" s="9">
        <f>IF($K300="","",INDEX('سجل التحفيز'!$C$5:$C$2004,MATCH($K300,'سجل التحفيز'!$W$5:$W$2004,0)))</f>
        <v/>
      </c>
      <c r="P300" s="36">
        <f>IF($K300="","",INDEX('سجل التحفيز'!$D$5:$D$2004,MATCH($K300,'سجل التحفيز'!$W$5:$W$2004,0)))</f>
        <v/>
      </c>
      <c r="Q300" s="9">
        <f>IF($K300="","",INDEX('سجل التحفيز'!$E$5:$E$2004,MATCH($K300,'سجل التحفيز'!$W$5:$W$2004,0)))</f>
        <v/>
      </c>
      <c r="R300" s="9">
        <f>IF($K300="","",INDEX('سجل التحفيز'!$F$5:$F$2004,MATCH($K300,'سجل التحفيز'!$W$5:$W$2004,0)))</f>
        <v/>
      </c>
      <c r="S300" s="35">
        <f>IF($K300="","",INDEX('سجل التحفيز'!$G$5:$G$2004,MATCH($K300,'سجل التحفيز'!$W$5:$W$2004,0)))</f>
        <v/>
      </c>
    </row>
    <row r="301">
      <c r="K301" s="36">
        <f>IF(264&gt;$B$10,"",264)</f>
        <v/>
      </c>
      <c r="L301" s="37">
        <f>IF($K301="","",INDEX('سجل التحفيز'!$A$5:$A$2004,MATCH($K301,'سجل التحفيز'!$W$5:$W$2004,0)))</f>
        <v/>
      </c>
      <c r="M301" s="9">
        <f>IF($K301="","",INDEX('سجل التحفيز'!$B$5:$B$2004,MATCH($K301,'سجل التحفيز'!$W$5:$W$2004,0)))</f>
        <v/>
      </c>
      <c r="N301" s="9">
        <f>IF($K301="","",INDEX('سجل التحفيز'!$M$5:$M$2004,MATCH($K301,'سجل التحفيز'!$W$5:$W$2004,0)))</f>
        <v/>
      </c>
      <c r="O301" s="9">
        <f>IF($K301="","",INDEX('سجل التحفيز'!$C$5:$C$2004,MATCH($K301,'سجل التحفيز'!$W$5:$W$2004,0)))</f>
        <v/>
      </c>
      <c r="P301" s="36">
        <f>IF($K301="","",INDEX('سجل التحفيز'!$D$5:$D$2004,MATCH($K301,'سجل التحفيز'!$W$5:$W$2004,0)))</f>
        <v/>
      </c>
      <c r="Q301" s="9">
        <f>IF($K301="","",INDEX('سجل التحفيز'!$E$5:$E$2004,MATCH($K301,'سجل التحفيز'!$W$5:$W$2004,0)))</f>
        <v/>
      </c>
      <c r="R301" s="9">
        <f>IF($K301="","",INDEX('سجل التحفيز'!$F$5:$F$2004,MATCH($K301,'سجل التحفيز'!$W$5:$W$2004,0)))</f>
        <v/>
      </c>
      <c r="S301" s="35">
        <f>IF($K301="","",INDEX('سجل التحفيز'!$G$5:$G$2004,MATCH($K301,'سجل التحفيز'!$W$5:$W$2004,0)))</f>
        <v/>
      </c>
    </row>
    <row r="302">
      <c r="K302" s="36">
        <f>IF(265&gt;$B$10,"",265)</f>
        <v/>
      </c>
      <c r="L302" s="37">
        <f>IF($K302="","",INDEX('سجل التحفيز'!$A$5:$A$2004,MATCH($K302,'سجل التحفيز'!$W$5:$W$2004,0)))</f>
        <v/>
      </c>
      <c r="M302" s="9">
        <f>IF($K302="","",INDEX('سجل التحفيز'!$B$5:$B$2004,MATCH($K302,'سجل التحفيز'!$W$5:$W$2004,0)))</f>
        <v/>
      </c>
      <c r="N302" s="9">
        <f>IF($K302="","",INDEX('سجل التحفيز'!$M$5:$M$2004,MATCH($K302,'سجل التحفيز'!$W$5:$W$2004,0)))</f>
        <v/>
      </c>
      <c r="O302" s="9">
        <f>IF($K302="","",INDEX('سجل التحفيز'!$C$5:$C$2004,MATCH($K302,'سجل التحفيز'!$W$5:$W$2004,0)))</f>
        <v/>
      </c>
      <c r="P302" s="36">
        <f>IF($K302="","",INDEX('سجل التحفيز'!$D$5:$D$2004,MATCH($K302,'سجل التحفيز'!$W$5:$W$2004,0)))</f>
        <v/>
      </c>
      <c r="Q302" s="9">
        <f>IF($K302="","",INDEX('سجل التحفيز'!$E$5:$E$2004,MATCH($K302,'سجل التحفيز'!$W$5:$W$2004,0)))</f>
        <v/>
      </c>
      <c r="R302" s="9">
        <f>IF($K302="","",INDEX('سجل التحفيز'!$F$5:$F$2004,MATCH($K302,'سجل التحفيز'!$W$5:$W$2004,0)))</f>
        <v/>
      </c>
      <c r="S302" s="35">
        <f>IF($K302="","",INDEX('سجل التحفيز'!$G$5:$G$2004,MATCH($K302,'سجل التحفيز'!$W$5:$W$2004,0)))</f>
        <v/>
      </c>
    </row>
    <row r="303">
      <c r="K303" s="36">
        <f>IF(266&gt;$B$10,"",266)</f>
        <v/>
      </c>
      <c r="L303" s="37">
        <f>IF($K303="","",INDEX('سجل التحفيز'!$A$5:$A$2004,MATCH($K303,'سجل التحفيز'!$W$5:$W$2004,0)))</f>
        <v/>
      </c>
      <c r="M303" s="9">
        <f>IF($K303="","",INDEX('سجل التحفيز'!$B$5:$B$2004,MATCH($K303,'سجل التحفيز'!$W$5:$W$2004,0)))</f>
        <v/>
      </c>
      <c r="N303" s="9">
        <f>IF($K303="","",INDEX('سجل التحفيز'!$M$5:$M$2004,MATCH($K303,'سجل التحفيز'!$W$5:$W$2004,0)))</f>
        <v/>
      </c>
      <c r="O303" s="9">
        <f>IF($K303="","",INDEX('سجل التحفيز'!$C$5:$C$2004,MATCH($K303,'سجل التحفيز'!$W$5:$W$2004,0)))</f>
        <v/>
      </c>
      <c r="P303" s="36">
        <f>IF($K303="","",INDEX('سجل التحفيز'!$D$5:$D$2004,MATCH($K303,'سجل التحفيز'!$W$5:$W$2004,0)))</f>
        <v/>
      </c>
      <c r="Q303" s="9">
        <f>IF($K303="","",INDEX('سجل التحفيز'!$E$5:$E$2004,MATCH($K303,'سجل التحفيز'!$W$5:$W$2004,0)))</f>
        <v/>
      </c>
      <c r="R303" s="9">
        <f>IF($K303="","",INDEX('سجل التحفيز'!$F$5:$F$2004,MATCH($K303,'سجل التحفيز'!$W$5:$W$2004,0)))</f>
        <v/>
      </c>
      <c r="S303" s="35">
        <f>IF($K303="","",INDEX('سجل التحفيز'!$G$5:$G$2004,MATCH($K303,'سجل التحفيز'!$W$5:$W$2004,0)))</f>
        <v/>
      </c>
    </row>
    <row r="304">
      <c r="K304" s="36">
        <f>IF(267&gt;$B$10,"",267)</f>
        <v/>
      </c>
      <c r="L304" s="37">
        <f>IF($K304="","",INDEX('سجل التحفيز'!$A$5:$A$2004,MATCH($K304,'سجل التحفيز'!$W$5:$W$2004,0)))</f>
        <v/>
      </c>
      <c r="M304" s="9">
        <f>IF($K304="","",INDEX('سجل التحفيز'!$B$5:$B$2004,MATCH($K304,'سجل التحفيز'!$W$5:$W$2004,0)))</f>
        <v/>
      </c>
      <c r="N304" s="9">
        <f>IF($K304="","",INDEX('سجل التحفيز'!$M$5:$M$2004,MATCH($K304,'سجل التحفيز'!$W$5:$W$2004,0)))</f>
        <v/>
      </c>
      <c r="O304" s="9">
        <f>IF($K304="","",INDEX('سجل التحفيز'!$C$5:$C$2004,MATCH($K304,'سجل التحفيز'!$W$5:$W$2004,0)))</f>
        <v/>
      </c>
      <c r="P304" s="36">
        <f>IF($K304="","",INDEX('سجل التحفيز'!$D$5:$D$2004,MATCH($K304,'سجل التحفيز'!$W$5:$W$2004,0)))</f>
        <v/>
      </c>
      <c r="Q304" s="9">
        <f>IF($K304="","",INDEX('سجل التحفيز'!$E$5:$E$2004,MATCH($K304,'سجل التحفيز'!$W$5:$W$2004,0)))</f>
        <v/>
      </c>
      <c r="R304" s="9">
        <f>IF($K304="","",INDEX('سجل التحفيز'!$F$5:$F$2004,MATCH($K304,'سجل التحفيز'!$W$5:$W$2004,0)))</f>
        <v/>
      </c>
      <c r="S304" s="35">
        <f>IF($K304="","",INDEX('سجل التحفيز'!$G$5:$G$2004,MATCH($K304,'سجل التحفيز'!$W$5:$W$2004,0)))</f>
        <v/>
      </c>
    </row>
    <row r="305">
      <c r="K305" s="36">
        <f>IF(268&gt;$B$10,"",268)</f>
        <v/>
      </c>
      <c r="L305" s="37">
        <f>IF($K305="","",INDEX('سجل التحفيز'!$A$5:$A$2004,MATCH($K305,'سجل التحفيز'!$W$5:$W$2004,0)))</f>
        <v/>
      </c>
      <c r="M305" s="9">
        <f>IF($K305="","",INDEX('سجل التحفيز'!$B$5:$B$2004,MATCH($K305,'سجل التحفيز'!$W$5:$W$2004,0)))</f>
        <v/>
      </c>
      <c r="N305" s="9">
        <f>IF($K305="","",INDEX('سجل التحفيز'!$M$5:$M$2004,MATCH($K305,'سجل التحفيز'!$W$5:$W$2004,0)))</f>
        <v/>
      </c>
      <c r="O305" s="9">
        <f>IF($K305="","",INDEX('سجل التحفيز'!$C$5:$C$2004,MATCH($K305,'سجل التحفيز'!$W$5:$W$2004,0)))</f>
        <v/>
      </c>
      <c r="P305" s="36">
        <f>IF($K305="","",INDEX('سجل التحفيز'!$D$5:$D$2004,MATCH($K305,'سجل التحفيز'!$W$5:$W$2004,0)))</f>
        <v/>
      </c>
      <c r="Q305" s="9">
        <f>IF($K305="","",INDEX('سجل التحفيز'!$E$5:$E$2004,MATCH($K305,'سجل التحفيز'!$W$5:$W$2004,0)))</f>
        <v/>
      </c>
      <c r="R305" s="9">
        <f>IF($K305="","",INDEX('سجل التحفيز'!$F$5:$F$2004,MATCH($K305,'سجل التحفيز'!$W$5:$W$2004,0)))</f>
        <v/>
      </c>
      <c r="S305" s="35">
        <f>IF($K305="","",INDEX('سجل التحفيز'!$G$5:$G$2004,MATCH($K305,'سجل التحفيز'!$W$5:$W$2004,0)))</f>
        <v/>
      </c>
    </row>
    <row r="306">
      <c r="K306" s="36">
        <f>IF(269&gt;$B$10,"",269)</f>
        <v/>
      </c>
      <c r="L306" s="37">
        <f>IF($K306="","",INDEX('سجل التحفيز'!$A$5:$A$2004,MATCH($K306,'سجل التحفيز'!$W$5:$W$2004,0)))</f>
        <v/>
      </c>
      <c r="M306" s="9">
        <f>IF($K306="","",INDEX('سجل التحفيز'!$B$5:$B$2004,MATCH($K306,'سجل التحفيز'!$W$5:$W$2004,0)))</f>
        <v/>
      </c>
      <c r="N306" s="9">
        <f>IF($K306="","",INDEX('سجل التحفيز'!$M$5:$M$2004,MATCH($K306,'سجل التحفيز'!$W$5:$W$2004,0)))</f>
        <v/>
      </c>
      <c r="O306" s="9">
        <f>IF($K306="","",INDEX('سجل التحفيز'!$C$5:$C$2004,MATCH($K306,'سجل التحفيز'!$W$5:$W$2004,0)))</f>
        <v/>
      </c>
      <c r="P306" s="36">
        <f>IF($K306="","",INDEX('سجل التحفيز'!$D$5:$D$2004,MATCH($K306,'سجل التحفيز'!$W$5:$W$2004,0)))</f>
        <v/>
      </c>
      <c r="Q306" s="9">
        <f>IF($K306="","",INDEX('سجل التحفيز'!$E$5:$E$2004,MATCH($K306,'سجل التحفيز'!$W$5:$W$2004,0)))</f>
        <v/>
      </c>
      <c r="R306" s="9">
        <f>IF($K306="","",INDEX('سجل التحفيز'!$F$5:$F$2004,MATCH($K306,'سجل التحفيز'!$W$5:$W$2004,0)))</f>
        <v/>
      </c>
      <c r="S306" s="35">
        <f>IF($K306="","",INDEX('سجل التحفيز'!$G$5:$G$2004,MATCH($K306,'سجل التحفيز'!$W$5:$W$2004,0)))</f>
        <v/>
      </c>
    </row>
    <row r="307">
      <c r="K307" s="36">
        <f>IF(270&gt;$B$10,"",270)</f>
        <v/>
      </c>
      <c r="L307" s="37">
        <f>IF($K307="","",INDEX('سجل التحفيز'!$A$5:$A$2004,MATCH($K307,'سجل التحفيز'!$W$5:$W$2004,0)))</f>
        <v/>
      </c>
      <c r="M307" s="9">
        <f>IF($K307="","",INDEX('سجل التحفيز'!$B$5:$B$2004,MATCH($K307,'سجل التحفيز'!$W$5:$W$2004,0)))</f>
        <v/>
      </c>
      <c r="N307" s="9">
        <f>IF($K307="","",INDEX('سجل التحفيز'!$M$5:$M$2004,MATCH($K307,'سجل التحفيز'!$W$5:$W$2004,0)))</f>
        <v/>
      </c>
      <c r="O307" s="9">
        <f>IF($K307="","",INDEX('سجل التحفيز'!$C$5:$C$2004,MATCH($K307,'سجل التحفيز'!$W$5:$W$2004,0)))</f>
        <v/>
      </c>
      <c r="P307" s="36">
        <f>IF($K307="","",INDEX('سجل التحفيز'!$D$5:$D$2004,MATCH($K307,'سجل التحفيز'!$W$5:$W$2004,0)))</f>
        <v/>
      </c>
      <c r="Q307" s="9">
        <f>IF($K307="","",INDEX('سجل التحفيز'!$E$5:$E$2004,MATCH($K307,'سجل التحفيز'!$W$5:$W$2004,0)))</f>
        <v/>
      </c>
      <c r="R307" s="9">
        <f>IF($K307="","",INDEX('سجل التحفيز'!$F$5:$F$2004,MATCH($K307,'سجل التحفيز'!$W$5:$W$2004,0)))</f>
        <v/>
      </c>
      <c r="S307" s="35">
        <f>IF($K307="","",INDEX('سجل التحفيز'!$G$5:$G$2004,MATCH($K307,'سجل التحفيز'!$W$5:$W$2004,0)))</f>
        <v/>
      </c>
    </row>
    <row r="308">
      <c r="K308" s="36">
        <f>IF(271&gt;$B$10,"",271)</f>
        <v/>
      </c>
      <c r="L308" s="37">
        <f>IF($K308="","",INDEX('سجل التحفيز'!$A$5:$A$2004,MATCH($K308,'سجل التحفيز'!$W$5:$W$2004,0)))</f>
        <v/>
      </c>
      <c r="M308" s="9">
        <f>IF($K308="","",INDEX('سجل التحفيز'!$B$5:$B$2004,MATCH($K308,'سجل التحفيز'!$W$5:$W$2004,0)))</f>
        <v/>
      </c>
      <c r="N308" s="9">
        <f>IF($K308="","",INDEX('سجل التحفيز'!$M$5:$M$2004,MATCH($K308,'سجل التحفيز'!$W$5:$W$2004,0)))</f>
        <v/>
      </c>
      <c r="O308" s="9">
        <f>IF($K308="","",INDEX('سجل التحفيز'!$C$5:$C$2004,MATCH($K308,'سجل التحفيز'!$W$5:$W$2004,0)))</f>
        <v/>
      </c>
      <c r="P308" s="36">
        <f>IF($K308="","",INDEX('سجل التحفيز'!$D$5:$D$2004,MATCH($K308,'سجل التحفيز'!$W$5:$W$2004,0)))</f>
        <v/>
      </c>
      <c r="Q308" s="9">
        <f>IF($K308="","",INDEX('سجل التحفيز'!$E$5:$E$2004,MATCH($K308,'سجل التحفيز'!$W$5:$W$2004,0)))</f>
        <v/>
      </c>
      <c r="R308" s="9">
        <f>IF($K308="","",INDEX('سجل التحفيز'!$F$5:$F$2004,MATCH($K308,'سجل التحفيز'!$W$5:$W$2004,0)))</f>
        <v/>
      </c>
      <c r="S308" s="35">
        <f>IF($K308="","",INDEX('سجل التحفيز'!$G$5:$G$2004,MATCH($K308,'سجل التحفيز'!$W$5:$W$2004,0)))</f>
        <v/>
      </c>
    </row>
    <row r="309">
      <c r="K309" s="36">
        <f>IF(272&gt;$B$10,"",272)</f>
        <v/>
      </c>
      <c r="L309" s="37">
        <f>IF($K309="","",INDEX('سجل التحفيز'!$A$5:$A$2004,MATCH($K309,'سجل التحفيز'!$W$5:$W$2004,0)))</f>
        <v/>
      </c>
      <c r="M309" s="9">
        <f>IF($K309="","",INDEX('سجل التحفيز'!$B$5:$B$2004,MATCH($K309,'سجل التحفيز'!$W$5:$W$2004,0)))</f>
        <v/>
      </c>
      <c r="N309" s="9">
        <f>IF($K309="","",INDEX('سجل التحفيز'!$M$5:$M$2004,MATCH($K309,'سجل التحفيز'!$W$5:$W$2004,0)))</f>
        <v/>
      </c>
      <c r="O309" s="9">
        <f>IF($K309="","",INDEX('سجل التحفيز'!$C$5:$C$2004,MATCH($K309,'سجل التحفيز'!$W$5:$W$2004,0)))</f>
        <v/>
      </c>
      <c r="P309" s="36">
        <f>IF($K309="","",INDEX('سجل التحفيز'!$D$5:$D$2004,MATCH($K309,'سجل التحفيز'!$W$5:$W$2004,0)))</f>
        <v/>
      </c>
      <c r="Q309" s="9">
        <f>IF($K309="","",INDEX('سجل التحفيز'!$E$5:$E$2004,MATCH($K309,'سجل التحفيز'!$W$5:$W$2004,0)))</f>
        <v/>
      </c>
      <c r="R309" s="9">
        <f>IF($K309="","",INDEX('سجل التحفيز'!$F$5:$F$2004,MATCH($K309,'سجل التحفيز'!$W$5:$W$2004,0)))</f>
        <v/>
      </c>
      <c r="S309" s="35">
        <f>IF($K309="","",INDEX('سجل التحفيز'!$G$5:$G$2004,MATCH($K309,'سجل التحفيز'!$W$5:$W$2004,0)))</f>
        <v/>
      </c>
    </row>
    <row r="310">
      <c r="K310" s="36">
        <f>IF(273&gt;$B$10,"",273)</f>
        <v/>
      </c>
      <c r="L310" s="37">
        <f>IF($K310="","",INDEX('سجل التحفيز'!$A$5:$A$2004,MATCH($K310,'سجل التحفيز'!$W$5:$W$2004,0)))</f>
        <v/>
      </c>
      <c r="M310" s="9">
        <f>IF($K310="","",INDEX('سجل التحفيز'!$B$5:$B$2004,MATCH($K310,'سجل التحفيز'!$W$5:$W$2004,0)))</f>
        <v/>
      </c>
      <c r="N310" s="9">
        <f>IF($K310="","",INDEX('سجل التحفيز'!$M$5:$M$2004,MATCH($K310,'سجل التحفيز'!$W$5:$W$2004,0)))</f>
        <v/>
      </c>
      <c r="O310" s="9">
        <f>IF($K310="","",INDEX('سجل التحفيز'!$C$5:$C$2004,MATCH($K310,'سجل التحفيز'!$W$5:$W$2004,0)))</f>
        <v/>
      </c>
      <c r="P310" s="36">
        <f>IF($K310="","",INDEX('سجل التحفيز'!$D$5:$D$2004,MATCH($K310,'سجل التحفيز'!$W$5:$W$2004,0)))</f>
        <v/>
      </c>
      <c r="Q310" s="9">
        <f>IF($K310="","",INDEX('سجل التحفيز'!$E$5:$E$2004,MATCH($K310,'سجل التحفيز'!$W$5:$W$2004,0)))</f>
        <v/>
      </c>
      <c r="R310" s="9">
        <f>IF($K310="","",INDEX('سجل التحفيز'!$F$5:$F$2004,MATCH($K310,'سجل التحفيز'!$W$5:$W$2004,0)))</f>
        <v/>
      </c>
      <c r="S310" s="35">
        <f>IF($K310="","",INDEX('سجل التحفيز'!$G$5:$G$2004,MATCH($K310,'سجل التحفيز'!$W$5:$W$2004,0)))</f>
        <v/>
      </c>
    </row>
    <row r="311">
      <c r="K311" s="36">
        <f>IF(274&gt;$B$10,"",274)</f>
        <v/>
      </c>
      <c r="L311" s="37">
        <f>IF($K311="","",INDEX('سجل التحفيز'!$A$5:$A$2004,MATCH($K311,'سجل التحفيز'!$W$5:$W$2004,0)))</f>
        <v/>
      </c>
      <c r="M311" s="9">
        <f>IF($K311="","",INDEX('سجل التحفيز'!$B$5:$B$2004,MATCH($K311,'سجل التحفيز'!$W$5:$W$2004,0)))</f>
        <v/>
      </c>
      <c r="N311" s="9">
        <f>IF($K311="","",INDEX('سجل التحفيز'!$M$5:$M$2004,MATCH($K311,'سجل التحفيز'!$W$5:$W$2004,0)))</f>
        <v/>
      </c>
      <c r="O311" s="9">
        <f>IF($K311="","",INDEX('سجل التحفيز'!$C$5:$C$2004,MATCH($K311,'سجل التحفيز'!$W$5:$W$2004,0)))</f>
        <v/>
      </c>
      <c r="P311" s="36">
        <f>IF($K311="","",INDEX('سجل التحفيز'!$D$5:$D$2004,MATCH($K311,'سجل التحفيز'!$W$5:$W$2004,0)))</f>
        <v/>
      </c>
      <c r="Q311" s="9">
        <f>IF($K311="","",INDEX('سجل التحفيز'!$E$5:$E$2004,MATCH($K311,'سجل التحفيز'!$W$5:$W$2004,0)))</f>
        <v/>
      </c>
      <c r="R311" s="9">
        <f>IF($K311="","",INDEX('سجل التحفيز'!$F$5:$F$2004,MATCH($K311,'سجل التحفيز'!$W$5:$W$2004,0)))</f>
        <v/>
      </c>
      <c r="S311" s="35">
        <f>IF($K311="","",INDEX('سجل التحفيز'!$G$5:$G$2004,MATCH($K311,'سجل التحفيز'!$W$5:$W$2004,0)))</f>
        <v/>
      </c>
    </row>
    <row r="312">
      <c r="K312" s="36">
        <f>IF(275&gt;$B$10,"",275)</f>
        <v/>
      </c>
      <c r="L312" s="37">
        <f>IF($K312="","",INDEX('سجل التحفيز'!$A$5:$A$2004,MATCH($K312,'سجل التحفيز'!$W$5:$W$2004,0)))</f>
        <v/>
      </c>
      <c r="M312" s="9">
        <f>IF($K312="","",INDEX('سجل التحفيز'!$B$5:$B$2004,MATCH($K312,'سجل التحفيز'!$W$5:$W$2004,0)))</f>
        <v/>
      </c>
      <c r="N312" s="9">
        <f>IF($K312="","",INDEX('سجل التحفيز'!$M$5:$M$2004,MATCH($K312,'سجل التحفيز'!$W$5:$W$2004,0)))</f>
        <v/>
      </c>
      <c r="O312" s="9">
        <f>IF($K312="","",INDEX('سجل التحفيز'!$C$5:$C$2004,MATCH($K312,'سجل التحفيز'!$W$5:$W$2004,0)))</f>
        <v/>
      </c>
      <c r="P312" s="36">
        <f>IF($K312="","",INDEX('سجل التحفيز'!$D$5:$D$2004,MATCH($K312,'سجل التحفيز'!$W$5:$W$2004,0)))</f>
        <v/>
      </c>
      <c r="Q312" s="9">
        <f>IF($K312="","",INDEX('سجل التحفيز'!$E$5:$E$2004,MATCH($K312,'سجل التحفيز'!$W$5:$W$2004,0)))</f>
        <v/>
      </c>
      <c r="R312" s="9">
        <f>IF($K312="","",INDEX('سجل التحفيز'!$F$5:$F$2004,MATCH($K312,'سجل التحفيز'!$W$5:$W$2004,0)))</f>
        <v/>
      </c>
      <c r="S312" s="35">
        <f>IF($K312="","",INDEX('سجل التحفيز'!$G$5:$G$2004,MATCH($K312,'سجل التحفيز'!$W$5:$W$2004,0)))</f>
        <v/>
      </c>
    </row>
    <row r="313">
      <c r="K313" s="36">
        <f>IF(276&gt;$B$10,"",276)</f>
        <v/>
      </c>
      <c r="L313" s="37">
        <f>IF($K313="","",INDEX('سجل التحفيز'!$A$5:$A$2004,MATCH($K313,'سجل التحفيز'!$W$5:$W$2004,0)))</f>
        <v/>
      </c>
      <c r="M313" s="9">
        <f>IF($K313="","",INDEX('سجل التحفيز'!$B$5:$B$2004,MATCH($K313,'سجل التحفيز'!$W$5:$W$2004,0)))</f>
        <v/>
      </c>
      <c r="N313" s="9">
        <f>IF($K313="","",INDEX('سجل التحفيز'!$M$5:$M$2004,MATCH($K313,'سجل التحفيز'!$W$5:$W$2004,0)))</f>
        <v/>
      </c>
      <c r="O313" s="9">
        <f>IF($K313="","",INDEX('سجل التحفيز'!$C$5:$C$2004,MATCH($K313,'سجل التحفيز'!$W$5:$W$2004,0)))</f>
        <v/>
      </c>
      <c r="P313" s="36">
        <f>IF($K313="","",INDEX('سجل التحفيز'!$D$5:$D$2004,MATCH($K313,'سجل التحفيز'!$W$5:$W$2004,0)))</f>
        <v/>
      </c>
      <c r="Q313" s="9">
        <f>IF($K313="","",INDEX('سجل التحفيز'!$E$5:$E$2004,MATCH($K313,'سجل التحفيز'!$W$5:$W$2004,0)))</f>
        <v/>
      </c>
      <c r="R313" s="9">
        <f>IF($K313="","",INDEX('سجل التحفيز'!$F$5:$F$2004,MATCH($K313,'سجل التحفيز'!$W$5:$W$2004,0)))</f>
        <v/>
      </c>
      <c r="S313" s="35">
        <f>IF($K313="","",INDEX('سجل التحفيز'!$G$5:$G$2004,MATCH($K313,'سجل التحفيز'!$W$5:$W$2004,0)))</f>
        <v/>
      </c>
    </row>
    <row r="314">
      <c r="K314" s="36">
        <f>IF(277&gt;$B$10,"",277)</f>
        <v/>
      </c>
      <c r="L314" s="37">
        <f>IF($K314="","",INDEX('سجل التحفيز'!$A$5:$A$2004,MATCH($K314,'سجل التحفيز'!$W$5:$W$2004,0)))</f>
        <v/>
      </c>
      <c r="M314" s="9">
        <f>IF($K314="","",INDEX('سجل التحفيز'!$B$5:$B$2004,MATCH($K314,'سجل التحفيز'!$W$5:$W$2004,0)))</f>
        <v/>
      </c>
      <c r="N314" s="9">
        <f>IF($K314="","",INDEX('سجل التحفيز'!$M$5:$M$2004,MATCH($K314,'سجل التحفيز'!$W$5:$W$2004,0)))</f>
        <v/>
      </c>
      <c r="O314" s="9">
        <f>IF($K314="","",INDEX('سجل التحفيز'!$C$5:$C$2004,MATCH($K314,'سجل التحفيز'!$W$5:$W$2004,0)))</f>
        <v/>
      </c>
      <c r="P314" s="36">
        <f>IF($K314="","",INDEX('سجل التحفيز'!$D$5:$D$2004,MATCH($K314,'سجل التحفيز'!$W$5:$W$2004,0)))</f>
        <v/>
      </c>
      <c r="Q314" s="9">
        <f>IF($K314="","",INDEX('سجل التحفيز'!$E$5:$E$2004,MATCH($K314,'سجل التحفيز'!$W$5:$W$2004,0)))</f>
        <v/>
      </c>
      <c r="R314" s="9">
        <f>IF($K314="","",INDEX('سجل التحفيز'!$F$5:$F$2004,MATCH($K314,'سجل التحفيز'!$W$5:$W$2004,0)))</f>
        <v/>
      </c>
      <c r="S314" s="35">
        <f>IF($K314="","",INDEX('سجل التحفيز'!$G$5:$G$2004,MATCH($K314,'سجل التحفيز'!$W$5:$W$2004,0)))</f>
        <v/>
      </c>
    </row>
    <row r="315">
      <c r="K315" s="36">
        <f>IF(278&gt;$B$10,"",278)</f>
        <v/>
      </c>
      <c r="L315" s="37">
        <f>IF($K315="","",INDEX('سجل التحفيز'!$A$5:$A$2004,MATCH($K315,'سجل التحفيز'!$W$5:$W$2004,0)))</f>
        <v/>
      </c>
      <c r="M315" s="9">
        <f>IF($K315="","",INDEX('سجل التحفيز'!$B$5:$B$2004,MATCH($K315,'سجل التحفيز'!$W$5:$W$2004,0)))</f>
        <v/>
      </c>
      <c r="N315" s="9">
        <f>IF($K315="","",INDEX('سجل التحفيز'!$M$5:$M$2004,MATCH($K315,'سجل التحفيز'!$W$5:$W$2004,0)))</f>
        <v/>
      </c>
      <c r="O315" s="9">
        <f>IF($K315="","",INDEX('سجل التحفيز'!$C$5:$C$2004,MATCH($K315,'سجل التحفيز'!$W$5:$W$2004,0)))</f>
        <v/>
      </c>
      <c r="P315" s="36">
        <f>IF($K315="","",INDEX('سجل التحفيز'!$D$5:$D$2004,MATCH($K315,'سجل التحفيز'!$W$5:$W$2004,0)))</f>
        <v/>
      </c>
      <c r="Q315" s="9">
        <f>IF($K315="","",INDEX('سجل التحفيز'!$E$5:$E$2004,MATCH($K315,'سجل التحفيز'!$W$5:$W$2004,0)))</f>
        <v/>
      </c>
      <c r="R315" s="9">
        <f>IF($K315="","",INDEX('سجل التحفيز'!$F$5:$F$2004,MATCH($K315,'سجل التحفيز'!$W$5:$W$2004,0)))</f>
        <v/>
      </c>
      <c r="S315" s="35">
        <f>IF($K315="","",INDEX('سجل التحفيز'!$G$5:$G$2004,MATCH($K315,'سجل التحفيز'!$W$5:$W$2004,0)))</f>
        <v/>
      </c>
    </row>
    <row r="316">
      <c r="K316" s="36">
        <f>IF(279&gt;$B$10,"",279)</f>
        <v/>
      </c>
      <c r="L316" s="37">
        <f>IF($K316="","",INDEX('سجل التحفيز'!$A$5:$A$2004,MATCH($K316,'سجل التحفيز'!$W$5:$W$2004,0)))</f>
        <v/>
      </c>
      <c r="M316" s="9">
        <f>IF($K316="","",INDEX('سجل التحفيز'!$B$5:$B$2004,MATCH($K316,'سجل التحفيز'!$W$5:$W$2004,0)))</f>
        <v/>
      </c>
      <c r="N316" s="9">
        <f>IF($K316="","",INDEX('سجل التحفيز'!$M$5:$M$2004,MATCH($K316,'سجل التحفيز'!$W$5:$W$2004,0)))</f>
        <v/>
      </c>
      <c r="O316" s="9">
        <f>IF($K316="","",INDEX('سجل التحفيز'!$C$5:$C$2004,MATCH($K316,'سجل التحفيز'!$W$5:$W$2004,0)))</f>
        <v/>
      </c>
      <c r="P316" s="36">
        <f>IF($K316="","",INDEX('سجل التحفيز'!$D$5:$D$2004,MATCH($K316,'سجل التحفيز'!$W$5:$W$2004,0)))</f>
        <v/>
      </c>
      <c r="Q316" s="9">
        <f>IF($K316="","",INDEX('سجل التحفيز'!$E$5:$E$2004,MATCH($K316,'سجل التحفيز'!$W$5:$W$2004,0)))</f>
        <v/>
      </c>
      <c r="R316" s="9">
        <f>IF($K316="","",INDEX('سجل التحفيز'!$F$5:$F$2004,MATCH($K316,'سجل التحفيز'!$W$5:$W$2004,0)))</f>
        <v/>
      </c>
      <c r="S316" s="35">
        <f>IF($K316="","",INDEX('سجل التحفيز'!$G$5:$G$2004,MATCH($K316,'سجل التحفيز'!$W$5:$W$2004,0)))</f>
        <v/>
      </c>
    </row>
    <row r="317">
      <c r="K317" s="36">
        <f>IF(280&gt;$B$10,"",280)</f>
        <v/>
      </c>
      <c r="L317" s="37">
        <f>IF($K317="","",INDEX('سجل التحفيز'!$A$5:$A$2004,MATCH($K317,'سجل التحفيز'!$W$5:$W$2004,0)))</f>
        <v/>
      </c>
      <c r="M317" s="9">
        <f>IF($K317="","",INDEX('سجل التحفيز'!$B$5:$B$2004,MATCH($K317,'سجل التحفيز'!$W$5:$W$2004,0)))</f>
        <v/>
      </c>
      <c r="N317" s="9">
        <f>IF($K317="","",INDEX('سجل التحفيز'!$M$5:$M$2004,MATCH($K317,'سجل التحفيز'!$W$5:$W$2004,0)))</f>
        <v/>
      </c>
      <c r="O317" s="9">
        <f>IF($K317="","",INDEX('سجل التحفيز'!$C$5:$C$2004,MATCH($K317,'سجل التحفيز'!$W$5:$W$2004,0)))</f>
        <v/>
      </c>
      <c r="P317" s="36">
        <f>IF($K317="","",INDEX('سجل التحفيز'!$D$5:$D$2004,MATCH($K317,'سجل التحفيز'!$W$5:$W$2004,0)))</f>
        <v/>
      </c>
      <c r="Q317" s="9">
        <f>IF($K317="","",INDEX('سجل التحفيز'!$E$5:$E$2004,MATCH($K317,'سجل التحفيز'!$W$5:$W$2004,0)))</f>
        <v/>
      </c>
      <c r="R317" s="9">
        <f>IF($K317="","",INDEX('سجل التحفيز'!$F$5:$F$2004,MATCH($K317,'سجل التحفيز'!$W$5:$W$2004,0)))</f>
        <v/>
      </c>
      <c r="S317" s="35">
        <f>IF($K317="","",INDEX('سجل التحفيز'!$G$5:$G$2004,MATCH($K317,'سجل التحفيز'!$W$5:$W$2004,0)))</f>
        <v/>
      </c>
    </row>
    <row r="318">
      <c r="K318" s="36">
        <f>IF(281&gt;$B$10,"",281)</f>
        <v/>
      </c>
      <c r="L318" s="37">
        <f>IF($K318="","",INDEX('سجل التحفيز'!$A$5:$A$2004,MATCH($K318,'سجل التحفيز'!$W$5:$W$2004,0)))</f>
        <v/>
      </c>
      <c r="M318" s="9">
        <f>IF($K318="","",INDEX('سجل التحفيز'!$B$5:$B$2004,MATCH($K318,'سجل التحفيز'!$W$5:$W$2004,0)))</f>
        <v/>
      </c>
      <c r="N318" s="9">
        <f>IF($K318="","",INDEX('سجل التحفيز'!$M$5:$M$2004,MATCH($K318,'سجل التحفيز'!$W$5:$W$2004,0)))</f>
        <v/>
      </c>
      <c r="O318" s="9">
        <f>IF($K318="","",INDEX('سجل التحفيز'!$C$5:$C$2004,MATCH($K318,'سجل التحفيز'!$W$5:$W$2004,0)))</f>
        <v/>
      </c>
      <c r="P318" s="36">
        <f>IF($K318="","",INDEX('سجل التحفيز'!$D$5:$D$2004,MATCH($K318,'سجل التحفيز'!$W$5:$W$2004,0)))</f>
        <v/>
      </c>
      <c r="Q318" s="9">
        <f>IF($K318="","",INDEX('سجل التحفيز'!$E$5:$E$2004,MATCH($K318,'سجل التحفيز'!$W$5:$W$2004,0)))</f>
        <v/>
      </c>
      <c r="R318" s="9">
        <f>IF($K318="","",INDEX('سجل التحفيز'!$F$5:$F$2004,MATCH($K318,'سجل التحفيز'!$W$5:$W$2004,0)))</f>
        <v/>
      </c>
      <c r="S318" s="35">
        <f>IF($K318="","",INDEX('سجل التحفيز'!$G$5:$G$2004,MATCH($K318,'سجل التحفيز'!$W$5:$W$2004,0)))</f>
        <v/>
      </c>
    </row>
    <row r="319">
      <c r="K319" s="36">
        <f>IF(282&gt;$B$10,"",282)</f>
        <v/>
      </c>
      <c r="L319" s="37">
        <f>IF($K319="","",INDEX('سجل التحفيز'!$A$5:$A$2004,MATCH($K319,'سجل التحفيز'!$W$5:$W$2004,0)))</f>
        <v/>
      </c>
      <c r="M319" s="9">
        <f>IF($K319="","",INDEX('سجل التحفيز'!$B$5:$B$2004,MATCH($K319,'سجل التحفيز'!$W$5:$W$2004,0)))</f>
        <v/>
      </c>
      <c r="N319" s="9">
        <f>IF($K319="","",INDEX('سجل التحفيز'!$M$5:$M$2004,MATCH($K319,'سجل التحفيز'!$W$5:$W$2004,0)))</f>
        <v/>
      </c>
      <c r="O319" s="9">
        <f>IF($K319="","",INDEX('سجل التحفيز'!$C$5:$C$2004,MATCH($K319,'سجل التحفيز'!$W$5:$W$2004,0)))</f>
        <v/>
      </c>
      <c r="P319" s="36">
        <f>IF($K319="","",INDEX('سجل التحفيز'!$D$5:$D$2004,MATCH($K319,'سجل التحفيز'!$W$5:$W$2004,0)))</f>
        <v/>
      </c>
      <c r="Q319" s="9">
        <f>IF($K319="","",INDEX('سجل التحفيز'!$E$5:$E$2004,MATCH($K319,'سجل التحفيز'!$W$5:$W$2004,0)))</f>
        <v/>
      </c>
      <c r="R319" s="9">
        <f>IF($K319="","",INDEX('سجل التحفيز'!$F$5:$F$2004,MATCH($K319,'سجل التحفيز'!$W$5:$W$2004,0)))</f>
        <v/>
      </c>
      <c r="S319" s="35">
        <f>IF($K319="","",INDEX('سجل التحفيز'!$G$5:$G$2004,MATCH($K319,'سجل التحفيز'!$W$5:$W$2004,0)))</f>
        <v/>
      </c>
    </row>
    <row r="320">
      <c r="K320" s="36">
        <f>IF(283&gt;$B$10,"",283)</f>
        <v/>
      </c>
      <c r="L320" s="37">
        <f>IF($K320="","",INDEX('سجل التحفيز'!$A$5:$A$2004,MATCH($K320,'سجل التحفيز'!$W$5:$W$2004,0)))</f>
        <v/>
      </c>
      <c r="M320" s="9">
        <f>IF($K320="","",INDEX('سجل التحفيز'!$B$5:$B$2004,MATCH($K320,'سجل التحفيز'!$W$5:$W$2004,0)))</f>
        <v/>
      </c>
      <c r="N320" s="9">
        <f>IF($K320="","",INDEX('سجل التحفيز'!$M$5:$M$2004,MATCH($K320,'سجل التحفيز'!$W$5:$W$2004,0)))</f>
        <v/>
      </c>
      <c r="O320" s="9">
        <f>IF($K320="","",INDEX('سجل التحفيز'!$C$5:$C$2004,MATCH($K320,'سجل التحفيز'!$W$5:$W$2004,0)))</f>
        <v/>
      </c>
      <c r="P320" s="36">
        <f>IF($K320="","",INDEX('سجل التحفيز'!$D$5:$D$2004,MATCH($K320,'سجل التحفيز'!$W$5:$W$2004,0)))</f>
        <v/>
      </c>
      <c r="Q320" s="9">
        <f>IF($K320="","",INDEX('سجل التحفيز'!$E$5:$E$2004,MATCH($K320,'سجل التحفيز'!$W$5:$W$2004,0)))</f>
        <v/>
      </c>
      <c r="R320" s="9">
        <f>IF($K320="","",INDEX('سجل التحفيز'!$F$5:$F$2004,MATCH($K320,'سجل التحفيز'!$W$5:$W$2004,0)))</f>
        <v/>
      </c>
      <c r="S320" s="35">
        <f>IF($K320="","",INDEX('سجل التحفيز'!$G$5:$G$2004,MATCH($K320,'سجل التحفيز'!$W$5:$W$2004,0)))</f>
        <v/>
      </c>
    </row>
    <row r="321">
      <c r="K321" s="36">
        <f>IF(284&gt;$B$10,"",284)</f>
        <v/>
      </c>
      <c r="L321" s="37">
        <f>IF($K321="","",INDEX('سجل التحفيز'!$A$5:$A$2004,MATCH($K321,'سجل التحفيز'!$W$5:$W$2004,0)))</f>
        <v/>
      </c>
      <c r="M321" s="9">
        <f>IF($K321="","",INDEX('سجل التحفيز'!$B$5:$B$2004,MATCH($K321,'سجل التحفيز'!$W$5:$W$2004,0)))</f>
        <v/>
      </c>
      <c r="N321" s="9">
        <f>IF($K321="","",INDEX('سجل التحفيز'!$M$5:$M$2004,MATCH($K321,'سجل التحفيز'!$W$5:$W$2004,0)))</f>
        <v/>
      </c>
      <c r="O321" s="9">
        <f>IF($K321="","",INDEX('سجل التحفيز'!$C$5:$C$2004,MATCH($K321,'سجل التحفيز'!$W$5:$W$2004,0)))</f>
        <v/>
      </c>
      <c r="P321" s="36">
        <f>IF($K321="","",INDEX('سجل التحفيز'!$D$5:$D$2004,MATCH($K321,'سجل التحفيز'!$W$5:$W$2004,0)))</f>
        <v/>
      </c>
      <c r="Q321" s="9">
        <f>IF($K321="","",INDEX('سجل التحفيز'!$E$5:$E$2004,MATCH($K321,'سجل التحفيز'!$W$5:$W$2004,0)))</f>
        <v/>
      </c>
      <c r="R321" s="9">
        <f>IF($K321="","",INDEX('سجل التحفيز'!$F$5:$F$2004,MATCH($K321,'سجل التحفيز'!$W$5:$W$2004,0)))</f>
        <v/>
      </c>
      <c r="S321" s="35">
        <f>IF($K321="","",INDEX('سجل التحفيز'!$G$5:$G$2004,MATCH($K321,'سجل التحفيز'!$W$5:$W$2004,0)))</f>
        <v/>
      </c>
    </row>
    <row r="322">
      <c r="K322" s="36">
        <f>IF(285&gt;$B$10,"",285)</f>
        <v/>
      </c>
      <c r="L322" s="37">
        <f>IF($K322="","",INDEX('سجل التحفيز'!$A$5:$A$2004,MATCH($K322,'سجل التحفيز'!$W$5:$W$2004,0)))</f>
        <v/>
      </c>
      <c r="M322" s="9">
        <f>IF($K322="","",INDEX('سجل التحفيز'!$B$5:$B$2004,MATCH($K322,'سجل التحفيز'!$W$5:$W$2004,0)))</f>
        <v/>
      </c>
      <c r="N322" s="9">
        <f>IF($K322="","",INDEX('سجل التحفيز'!$M$5:$M$2004,MATCH($K322,'سجل التحفيز'!$W$5:$W$2004,0)))</f>
        <v/>
      </c>
      <c r="O322" s="9">
        <f>IF($K322="","",INDEX('سجل التحفيز'!$C$5:$C$2004,MATCH($K322,'سجل التحفيز'!$W$5:$W$2004,0)))</f>
        <v/>
      </c>
      <c r="P322" s="36">
        <f>IF($K322="","",INDEX('سجل التحفيز'!$D$5:$D$2004,MATCH($K322,'سجل التحفيز'!$W$5:$W$2004,0)))</f>
        <v/>
      </c>
      <c r="Q322" s="9">
        <f>IF($K322="","",INDEX('سجل التحفيز'!$E$5:$E$2004,MATCH($K322,'سجل التحفيز'!$W$5:$W$2004,0)))</f>
        <v/>
      </c>
      <c r="R322" s="9">
        <f>IF($K322="","",INDEX('سجل التحفيز'!$F$5:$F$2004,MATCH($K322,'سجل التحفيز'!$W$5:$W$2004,0)))</f>
        <v/>
      </c>
      <c r="S322" s="35">
        <f>IF($K322="","",INDEX('سجل التحفيز'!$G$5:$G$2004,MATCH($K322,'سجل التحفيز'!$W$5:$W$2004,0)))</f>
        <v/>
      </c>
    </row>
    <row r="323">
      <c r="K323" s="36">
        <f>IF(286&gt;$B$10,"",286)</f>
        <v/>
      </c>
      <c r="L323" s="37">
        <f>IF($K323="","",INDEX('سجل التحفيز'!$A$5:$A$2004,MATCH($K323,'سجل التحفيز'!$W$5:$W$2004,0)))</f>
        <v/>
      </c>
      <c r="M323" s="9">
        <f>IF($K323="","",INDEX('سجل التحفيز'!$B$5:$B$2004,MATCH($K323,'سجل التحفيز'!$W$5:$W$2004,0)))</f>
        <v/>
      </c>
      <c r="N323" s="9">
        <f>IF($K323="","",INDEX('سجل التحفيز'!$M$5:$M$2004,MATCH($K323,'سجل التحفيز'!$W$5:$W$2004,0)))</f>
        <v/>
      </c>
      <c r="O323" s="9">
        <f>IF($K323="","",INDEX('سجل التحفيز'!$C$5:$C$2004,MATCH($K323,'سجل التحفيز'!$W$5:$W$2004,0)))</f>
        <v/>
      </c>
      <c r="P323" s="36">
        <f>IF($K323="","",INDEX('سجل التحفيز'!$D$5:$D$2004,MATCH($K323,'سجل التحفيز'!$W$5:$W$2004,0)))</f>
        <v/>
      </c>
      <c r="Q323" s="9">
        <f>IF($K323="","",INDEX('سجل التحفيز'!$E$5:$E$2004,MATCH($K323,'سجل التحفيز'!$W$5:$W$2004,0)))</f>
        <v/>
      </c>
      <c r="R323" s="9">
        <f>IF($K323="","",INDEX('سجل التحفيز'!$F$5:$F$2004,MATCH($K323,'سجل التحفيز'!$W$5:$W$2004,0)))</f>
        <v/>
      </c>
      <c r="S323" s="35">
        <f>IF($K323="","",INDEX('سجل التحفيز'!$G$5:$G$2004,MATCH($K323,'سجل التحفيز'!$W$5:$W$2004,0)))</f>
        <v/>
      </c>
    </row>
    <row r="324">
      <c r="K324" s="36">
        <f>IF(287&gt;$B$10,"",287)</f>
        <v/>
      </c>
      <c r="L324" s="37">
        <f>IF($K324="","",INDEX('سجل التحفيز'!$A$5:$A$2004,MATCH($K324,'سجل التحفيز'!$W$5:$W$2004,0)))</f>
        <v/>
      </c>
      <c r="M324" s="9">
        <f>IF($K324="","",INDEX('سجل التحفيز'!$B$5:$B$2004,MATCH($K324,'سجل التحفيز'!$W$5:$W$2004,0)))</f>
        <v/>
      </c>
      <c r="N324" s="9">
        <f>IF($K324="","",INDEX('سجل التحفيز'!$M$5:$M$2004,MATCH($K324,'سجل التحفيز'!$W$5:$W$2004,0)))</f>
        <v/>
      </c>
      <c r="O324" s="9">
        <f>IF($K324="","",INDEX('سجل التحفيز'!$C$5:$C$2004,MATCH($K324,'سجل التحفيز'!$W$5:$W$2004,0)))</f>
        <v/>
      </c>
      <c r="P324" s="36">
        <f>IF($K324="","",INDEX('سجل التحفيز'!$D$5:$D$2004,MATCH($K324,'سجل التحفيز'!$W$5:$W$2004,0)))</f>
        <v/>
      </c>
      <c r="Q324" s="9">
        <f>IF($K324="","",INDEX('سجل التحفيز'!$E$5:$E$2004,MATCH($K324,'سجل التحفيز'!$W$5:$W$2004,0)))</f>
        <v/>
      </c>
      <c r="R324" s="9">
        <f>IF($K324="","",INDEX('سجل التحفيز'!$F$5:$F$2004,MATCH($K324,'سجل التحفيز'!$W$5:$W$2004,0)))</f>
        <v/>
      </c>
      <c r="S324" s="35">
        <f>IF($K324="","",INDEX('سجل التحفيز'!$G$5:$G$2004,MATCH($K324,'سجل التحفيز'!$W$5:$W$2004,0)))</f>
        <v/>
      </c>
    </row>
    <row r="325">
      <c r="K325" s="36">
        <f>IF(288&gt;$B$10,"",288)</f>
        <v/>
      </c>
      <c r="L325" s="37">
        <f>IF($K325="","",INDEX('سجل التحفيز'!$A$5:$A$2004,MATCH($K325,'سجل التحفيز'!$W$5:$W$2004,0)))</f>
        <v/>
      </c>
      <c r="M325" s="9">
        <f>IF($K325="","",INDEX('سجل التحفيز'!$B$5:$B$2004,MATCH($K325,'سجل التحفيز'!$W$5:$W$2004,0)))</f>
        <v/>
      </c>
      <c r="N325" s="9">
        <f>IF($K325="","",INDEX('سجل التحفيز'!$M$5:$M$2004,MATCH($K325,'سجل التحفيز'!$W$5:$W$2004,0)))</f>
        <v/>
      </c>
      <c r="O325" s="9">
        <f>IF($K325="","",INDEX('سجل التحفيز'!$C$5:$C$2004,MATCH($K325,'سجل التحفيز'!$W$5:$W$2004,0)))</f>
        <v/>
      </c>
      <c r="P325" s="36">
        <f>IF($K325="","",INDEX('سجل التحفيز'!$D$5:$D$2004,MATCH($K325,'سجل التحفيز'!$W$5:$W$2004,0)))</f>
        <v/>
      </c>
      <c r="Q325" s="9">
        <f>IF($K325="","",INDEX('سجل التحفيز'!$E$5:$E$2004,MATCH($K325,'سجل التحفيز'!$W$5:$W$2004,0)))</f>
        <v/>
      </c>
      <c r="R325" s="9">
        <f>IF($K325="","",INDEX('سجل التحفيز'!$F$5:$F$2004,MATCH($K325,'سجل التحفيز'!$W$5:$W$2004,0)))</f>
        <v/>
      </c>
      <c r="S325" s="35">
        <f>IF($K325="","",INDEX('سجل التحفيز'!$G$5:$G$2004,MATCH($K325,'سجل التحفيز'!$W$5:$W$2004,0)))</f>
        <v/>
      </c>
    </row>
    <row r="326">
      <c r="K326" s="36">
        <f>IF(289&gt;$B$10,"",289)</f>
        <v/>
      </c>
      <c r="L326" s="37">
        <f>IF($K326="","",INDEX('سجل التحفيز'!$A$5:$A$2004,MATCH($K326,'سجل التحفيز'!$W$5:$W$2004,0)))</f>
        <v/>
      </c>
      <c r="M326" s="9">
        <f>IF($K326="","",INDEX('سجل التحفيز'!$B$5:$B$2004,MATCH($K326,'سجل التحفيز'!$W$5:$W$2004,0)))</f>
        <v/>
      </c>
      <c r="N326" s="9">
        <f>IF($K326="","",INDEX('سجل التحفيز'!$M$5:$M$2004,MATCH($K326,'سجل التحفيز'!$W$5:$W$2004,0)))</f>
        <v/>
      </c>
      <c r="O326" s="9">
        <f>IF($K326="","",INDEX('سجل التحفيز'!$C$5:$C$2004,MATCH($K326,'سجل التحفيز'!$W$5:$W$2004,0)))</f>
        <v/>
      </c>
      <c r="P326" s="36">
        <f>IF($K326="","",INDEX('سجل التحفيز'!$D$5:$D$2004,MATCH($K326,'سجل التحفيز'!$W$5:$W$2004,0)))</f>
        <v/>
      </c>
      <c r="Q326" s="9">
        <f>IF($K326="","",INDEX('سجل التحفيز'!$E$5:$E$2004,MATCH($K326,'سجل التحفيز'!$W$5:$W$2004,0)))</f>
        <v/>
      </c>
      <c r="R326" s="9">
        <f>IF($K326="","",INDEX('سجل التحفيز'!$F$5:$F$2004,MATCH($K326,'سجل التحفيز'!$W$5:$W$2004,0)))</f>
        <v/>
      </c>
      <c r="S326" s="35">
        <f>IF($K326="","",INDEX('سجل التحفيز'!$G$5:$G$2004,MATCH($K326,'سجل التحفيز'!$W$5:$W$2004,0)))</f>
        <v/>
      </c>
    </row>
    <row r="327">
      <c r="K327" s="36">
        <f>IF(290&gt;$B$10,"",290)</f>
        <v/>
      </c>
      <c r="L327" s="37">
        <f>IF($K327="","",INDEX('سجل التحفيز'!$A$5:$A$2004,MATCH($K327,'سجل التحفيز'!$W$5:$W$2004,0)))</f>
        <v/>
      </c>
      <c r="M327" s="9">
        <f>IF($K327="","",INDEX('سجل التحفيز'!$B$5:$B$2004,MATCH($K327,'سجل التحفيز'!$W$5:$W$2004,0)))</f>
        <v/>
      </c>
      <c r="N327" s="9">
        <f>IF($K327="","",INDEX('سجل التحفيز'!$M$5:$M$2004,MATCH($K327,'سجل التحفيز'!$W$5:$W$2004,0)))</f>
        <v/>
      </c>
      <c r="O327" s="9">
        <f>IF($K327="","",INDEX('سجل التحفيز'!$C$5:$C$2004,MATCH($K327,'سجل التحفيز'!$W$5:$W$2004,0)))</f>
        <v/>
      </c>
      <c r="P327" s="36">
        <f>IF($K327="","",INDEX('سجل التحفيز'!$D$5:$D$2004,MATCH($K327,'سجل التحفيز'!$W$5:$W$2004,0)))</f>
        <v/>
      </c>
      <c r="Q327" s="9">
        <f>IF($K327="","",INDEX('سجل التحفيز'!$E$5:$E$2004,MATCH($K327,'سجل التحفيز'!$W$5:$W$2004,0)))</f>
        <v/>
      </c>
      <c r="R327" s="9">
        <f>IF($K327="","",INDEX('سجل التحفيز'!$F$5:$F$2004,MATCH($K327,'سجل التحفيز'!$W$5:$W$2004,0)))</f>
        <v/>
      </c>
      <c r="S327" s="35">
        <f>IF($K327="","",INDEX('سجل التحفيز'!$G$5:$G$2004,MATCH($K327,'سجل التحفيز'!$W$5:$W$2004,0)))</f>
        <v/>
      </c>
    </row>
    <row r="328">
      <c r="K328" s="36">
        <f>IF(291&gt;$B$10,"",291)</f>
        <v/>
      </c>
      <c r="L328" s="37">
        <f>IF($K328="","",INDEX('سجل التحفيز'!$A$5:$A$2004,MATCH($K328,'سجل التحفيز'!$W$5:$W$2004,0)))</f>
        <v/>
      </c>
      <c r="M328" s="9">
        <f>IF($K328="","",INDEX('سجل التحفيز'!$B$5:$B$2004,MATCH($K328,'سجل التحفيز'!$W$5:$W$2004,0)))</f>
        <v/>
      </c>
      <c r="N328" s="9">
        <f>IF($K328="","",INDEX('سجل التحفيز'!$M$5:$M$2004,MATCH($K328,'سجل التحفيز'!$W$5:$W$2004,0)))</f>
        <v/>
      </c>
      <c r="O328" s="9">
        <f>IF($K328="","",INDEX('سجل التحفيز'!$C$5:$C$2004,MATCH($K328,'سجل التحفيز'!$W$5:$W$2004,0)))</f>
        <v/>
      </c>
      <c r="P328" s="36">
        <f>IF($K328="","",INDEX('سجل التحفيز'!$D$5:$D$2004,MATCH($K328,'سجل التحفيز'!$W$5:$W$2004,0)))</f>
        <v/>
      </c>
      <c r="Q328" s="9">
        <f>IF($K328="","",INDEX('سجل التحفيز'!$E$5:$E$2004,MATCH($K328,'سجل التحفيز'!$W$5:$W$2004,0)))</f>
        <v/>
      </c>
      <c r="R328" s="9">
        <f>IF($K328="","",INDEX('سجل التحفيز'!$F$5:$F$2004,MATCH($K328,'سجل التحفيز'!$W$5:$W$2004,0)))</f>
        <v/>
      </c>
      <c r="S328" s="35">
        <f>IF($K328="","",INDEX('سجل التحفيز'!$G$5:$G$2004,MATCH($K328,'سجل التحفيز'!$W$5:$W$2004,0)))</f>
        <v/>
      </c>
    </row>
    <row r="329">
      <c r="K329" s="36">
        <f>IF(292&gt;$B$10,"",292)</f>
        <v/>
      </c>
      <c r="L329" s="37">
        <f>IF($K329="","",INDEX('سجل التحفيز'!$A$5:$A$2004,MATCH($K329,'سجل التحفيز'!$W$5:$W$2004,0)))</f>
        <v/>
      </c>
      <c r="M329" s="9">
        <f>IF($K329="","",INDEX('سجل التحفيز'!$B$5:$B$2004,MATCH($K329,'سجل التحفيز'!$W$5:$W$2004,0)))</f>
        <v/>
      </c>
      <c r="N329" s="9">
        <f>IF($K329="","",INDEX('سجل التحفيز'!$M$5:$M$2004,MATCH($K329,'سجل التحفيز'!$W$5:$W$2004,0)))</f>
        <v/>
      </c>
      <c r="O329" s="9">
        <f>IF($K329="","",INDEX('سجل التحفيز'!$C$5:$C$2004,MATCH($K329,'سجل التحفيز'!$W$5:$W$2004,0)))</f>
        <v/>
      </c>
      <c r="P329" s="36">
        <f>IF($K329="","",INDEX('سجل التحفيز'!$D$5:$D$2004,MATCH($K329,'سجل التحفيز'!$W$5:$W$2004,0)))</f>
        <v/>
      </c>
      <c r="Q329" s="9">
        <f>IF($K329="","",INDEX('سجل التحفيز'!$E$5:$E$2004,MATCH($K329,'سجل التحفيز'!$W$5:$W$2004,0)))</f>
        <v/>
      </c>
      <c r="R329" s="9">
        <f>IF($K329="","",INDEX('سجل التحفيز'!$F$5:$F$2004,MATCH($K329,'سجل التحفيز'!$W$5:$W$2004,0)))</f>
        <v/>
      </c>
      <c r="S329" s="35">
        <f>IF($K329="","",INDEX('سجل التحفيز'!$G$5:$G$2004,MATCH($K329,'سجل التحفيز'!$W$5:$W$2004,0)))</f>
        <v/>
      </c>
    </row>
    <row r="330">
      <c r="K330" s="36">
        <f>IF(293&gt;$B$10,"",293)</f>
        <v/>
      </c>
      <c r="L330" s="37">
        <f>IF($K330="","",INDEX('سجل التحفيز'!$A$5:$A$2004,MATCH($K330,'سجل التحفيز'!$W$5:$W$2004,0)))</f>
        <v/>
      </c>
      <c r="M330" s="9">
        <f>IF($K330="","",INDEX('سجل التحفيز'!$B$5:$B$2004,MATCH($K330,'سجل التحفيز'!$W$5:$W$2004,0)))</f>
        <v/>
      </c>
      <c r="N330" s="9">
        <f>IF($K330="","",INDEX('سجل التحفيز'!$M$5:$M$2004,MATCH($K330,'سجل التحفيز'!$W$5:$W$2004,0)))</f>
        <v/>
      </c>
      <c r="O330" s="9">
        <f>IF($K330="","",INDEX('سجل التحفيز'!$C$5:$C$2004,MATCH($K330,'سجل التحفيز'!$W$5:$W$2004,0)))</f>
        <v/>
      </c>
      <c r="P330" s="36">
        <f>IF($K330="","",INDEX('سجل التحفيز'!$D$5:$D$2004,MATCH($K330,'سجل التحفيز'!$W$5:$W$2004,0)))</f>
        <v/>
      </c>
      <c r="Q330" s="9">
        <f>IF($K330="","",INDEX('سجل التحفيز'!$E$5:$E$2004,MATCH($K330,'سجل التحفيز'!$W$5:$W$2004,0)))</f>
        <v/>
      </c>
      <c r="R330" s="9">
        <f>IF($K330="","",INDEX('سجل التحفيز'!$F$5:$F$2004,MATCH($K330,'سجل التحفيز'!$W$5:$W$2004,0)))</f>
        <v/>
      </c>
      <c r="S330" s="35">
        <f>IF($K330="","",INDEX('سجل التحفيز'!$G$5:$G$2004,MATCH($K330,'سجل التحفيز'!$W$5:$W$2004,0)))</f>
        <v/>
      </c>
    </row>
    <row r="331">
      <c r="K331" s="36">
        <f>IF(294&gt;$B$10,"",294)</f>
        <v/>
      </c>
      <c r="L331" s="37">
        <f>IF($K331="","",INDEX('سجل التحفيز'!$A$5:$A$2004,MATCH($K331,'سجل التحفيز'!$W$5:$W$2004,0)))</f>
        <v/>
      </c>
      <c r="M331" s="9">
        <f>IF($K331="","",INDEX('سجل التحفيز'!$B$5:$B$2004,MATCH($K331,'سجل التحفيز'!$W$5:$W$2004,0)))</f>
        <v/>
      </c>
      <c r="N331" s="9">
        <f>IF($K331="","",INDEX('سجل التحفيز'!$M$5:$M$2004,MATCH($K331,'سجل التحفيز'!$W$5:$W$2004,0)))</f>
        <v/>
      </c>
      <c r="O331" s="9">
        <f>IF($K331="","",INDEX('سجل التحفيز'!$C$5:$C$2004,MATCH($K331,'سجل التحفيز'!$W$5:$W$2004,0)))</f>
        <v/>
      </c>
      <c r="P331" s="36">
        <f>IF($K331="","",INDEX('سجل التحفيز'!$D$5:$D$2004,MATCH($K331,'سجل التحفيز'!$W$5:$W$2004,0)))</f>
        <v/>
      </c>
      <c r="Q331" s="9">
        <f>IF($K331="","",INDEX('سجل التحفيز'!$E$5:$E$2004,MATCH($K331,'سجل التحفيز'!$W$5:$W$2004,0)))</f>
        <v/>
      </c>
      <c r="R331" s="9">
        <f>IF($K331="","",INDEX('سجل التحفيز'!$F$5:$F$2004,MATCH($K331,'سجل التحفيز'!$W$5:$W$2004,0)))</f>
        <v/>
      </c>
      <c r="S331" s="35">
        <f>IF($K331="","",INDEX('سجل التحفيز'!$G$5:$G$2004,MATCH($K331,'سجل التحفيز'!$W$5:$W$2004,0)))</f>
        <v/>
      </c>
    </row>
    <row r="332">
      <c r="K332" s="36">
        <f>IF(295&gt;$B$10,"",295)</f>
        <v/>
      </c>
      <c r="L332" s="37">
        <f>IF($K332="","",INDEX('سجل التحفيز'!$A$5:$A$2004,MATCH($K332,'سجل التحفيز'!$W$5:$W$2004,0)))</f>
        <v/>
      </c>
      <c r="M332" s="9">
        <f>IF($K332="","",INDEX('سجل التحفيز'!$B$5:$B$2004,MATCH($K332,'سجل التحفيز'!$W$5:$W$2004,0)))</f>
        <v/>
      </c>
      <c r="N332" s="9">
        <f>IF($K332="","",INDEX('سجل التحفيز'!$M$5:$M$2004,MATCH($K332,'سجل التحفيز'!$W$5:$W$2004,0)))</f>
        <v/>
      </c>
      <c r="O332" s="9">
        <f>IF($K332="","",INDEX('سجل التحفيز'!$C$5:$C$2004,MATCH($K332,'سجل التحفيز'!$W$5:$W$2004,0)))</f>
        <v/>
      </c>
      <c r="P332" s="36">
        <f>IF($K332="","",INDEX('سجل التحفيز'!$D$5:$D$2004,MATCH($K332,'سجل التحفيز'!$W$5:$W$2004,0)))</f>
        <v/>
      </c>
      <c r="Q332" s="9">
        <f>IF($K332="","",INDEX('سجل التحفيز'!$E$5:$E$2004,MATCH($K332,'سجل التحفيز'!$W$5:$W$2004,0)))</f>
        <v/>
      </c>
      <c r="R332" s="9">
        <f>IF($K332="","",INDEX('سجل التحفيز'!$F$5:$F$2004,MATCH($K332,'سجل التحفيز'!$W$5:$W$2004,0)))</f>
        <v/>
      </c>
      <c r="S332" s="35">
        <f>IF($K332="","",INDEX('سجل التحفيز'!$G$5:$G$2004,MATCH($K332,'سجل التحفيز'!$W$5:$W$2004,0)))</f>
        <v/>
      </c>
    </row>
    <row r="333">
      <c r="K333" s="36">
        <f>IF(296&gt;$B$10,"",296)</f>
        <v/>
      </c>
      <c r="L333" s="37">
        <f>IF($K333="","",INDEX('سجل التحفيز'!$A$5:$A$2004,MATCH($K333,'سجل التحفيز'!$W$5:$W$2004,0)))</f>
        <v/>
      </c>
      <c r="M333" s="9">
        <f>IF($K333="","",INDEX('سجل التحفيز'!$B$5:$B$2004,MATCH($K333,'سجل التحفيز'!$W$5:$W$2004,0)))</f>
        <v/>
      </c>
      <c r="N333" s="9">
        <f>IF($K333="","",INDEX('سجل التحفيز'!$M$5:$M$2004,MATCH($K333,'سجل التحفيز'!$W$5:$W$2004,0)))</f>
        <v/>
      </c>
      <c r="O333" s="9">
        <f>IF($K333="","",INDEX('سجل التحفيز'!$C$5:$C$2004,MATCH($K333,'سجل التحفيز'!$W$5:$W$2004,0)))</f>
        <v/>
      </c>
      <c r="P333" s="36">
        <f>IF($K333="","",INDEX('سجل التحفيز'!$D$5:$D$2004,MATCH($K333,'سجل التحفيز'!$W$5:$W$2004,0)))</f>
        <v/>
      </c>
      <c r="Q333" s="9">
        <f>IF($K333="","",INDEX('سجل التحفيز'!$E$5:$E$2004,MATCH($K333,'سجل التحفيز'!$W$5:$W$2004,0)))</f>
        <v/>
      </c>
      <c r="R333" s="9">
        <f>IF($K333="","",INDEX('سجل التحفيز'!$F$5:$F$2004,MATCH($K333,'سجل التحفيز'!$W$5:$W$2004,0)))</f>
        <v/>
      </c>
      <c r="S333" s="35">
        <f>IF($K333="","",INDEX('سجل التحفيز'!$G$5:$G$2004,MATCH($K333,'سجل التحفيز'!$W$5:$W$2004,0)))</f>
        <v/>
      </c>
    </row>
    <row r="334">
      <c r="K334" s="36">
        <f>IF(297&gt;$B$10,"",297)</f>
        <v/>
      </c>
      <c r="L334" s="37">
        <f>IF($K334="","",INDEX('سجل التحفيز'!$A$5:$A$2004,MATCH($K334,'سجل التحفيز'!$W$5:$W$2004,0)))</f>
        <v/>
      </c>
      <c r="M334" s="9">
        <f>IF($K334="","",INDEX('سجل التحفيز'!$B$5:$B$2004,MATCH($K334,'سجل التحفيز'!$W$5:$W$2004,0)))</f>
        <v/>
      </c>
      <c r="N334" s="9">
        <f>IF($K334="","",INDEX('سجل التحفيز'!$M$5:$M$2004,MATCH($K334,'سجل التحفيز'!$W$5:$W$2004,0)))</f>
        <v/>
      </c>
      <c r="O334" s="9">
        <f>IF($K334="","",INDEX('سجل التحفيز'!$C$5:$C$2004,MATCH($K334,'سجل التحفيز'!$W$5:$W$2004,0)))</f>
        <v/>
      </c>
      <c r="P334" s="36">
        <f>IF($K334="","",INDEX('سجل التحفيز'!$D$5:$D$2004,MATCH($K334,'سجل التحفيز'!$W$5:$W$2004,0)))</f>
        <v/>
      </c>
      <c r="Q334" s="9">
        <f>IF($K334="","",INDEX('سجل التحفيز'!$E$5:$E$2004,MATCH($K334,'سجل التحفيز'!$W$5:$W$2004,0)))</f>
        <v/>
      </c>
      <c r="R334" s="9">
        <f>IF($K334="","",INDEX('سجل التحفيز'!$F$5:$F$2004,MATCH($K334,'سجل التحفيز'!$W$5:$W$2004,0)))</f>
        <v/>
      </c>
      <c r="S334" s="35">
        <f>IF($K334="","",INDEX('سجل التحفيز'!$G$5:$G$2004,MATCH($K334,'سجل التحفيز'!$W$5:$W$2004,0)))</f>
        <v/>
      </c>
    </row>
    <row r="335">
      <c r="K335" s="36">
        <f>IF(298&gt;$B$10,"",298)</f>
        <v/>
      </c>
      <c r="L335" s="37">
        <f>IF($K335="","",INDEX('سجل التحفيز'!$A$5:$A$2004,MATCH($K335,'سجل التحفيز'!$W$5:$W$2004,0)))</f>
        <v/>
      </c>
      <c r="M335" s="9">
        <f>IF($K335="","",INDEX('سجل التحفيز'!$B$5:$B$2004,MATCH($K335,'سجل التحفيز'!$W$5:$W$2004,0)))</f>
        <v/>
      </c>
      <c r="N335" s="9">
        <f>IF($K335="","",INDEX('سجل التحفيز'!$M$5:$M$2004,MATCH($K335,'سجل التحفيز'!$W$5:$W$2004,0)))</f>
        <v/>
      </c>
      <c r="O335" s="9">
        <f>IF($K335="","",INDEX('سجل التحفيز'!$C$5:$C$2004,MATCH($K335,'سجل التحفيز'!$W$5:$W$2004,0)))</f>
        <v/>
      </c>
      <c r="P335" s="36">
        <f>IF($K335="","",INDEX('سجل التحفيز'!$D$5:$D$2004,MATCH($K335,'سجل التحفيز'!$W$5:$W$2004,0)))</f>
        <v/>
      </c>
      <c r="Q335" s="9">
        <f>IF($K335="","",INDEX('سجل التحفيز'!$E$5:$E$2004,MATCH($K335,'سجل التحفيز'!$W$5:$W$2004,0)))</f>
        <v/>
      </c>
      <c r="R335" s="9">
        <f>IF($K335="","",INDEX('سجل التحفيز'!$F$5:$F$2004,MATCH($K335,'سجل التحفيز'!$W$5:$W$2004,0)))</f>
        <v/>
      </c>
      <c r="S335" s="35">
        <f>IF($K335="","",INDEX('سجل التحفيز'!$G$5:$G$2004,MATCH($K335,'سجل التحفيز'!$W$5:$W$2004,0)))</f>
        <v/>
      </c>
    </row>
    <row r="336">
      <c r="K336" s="36">
        <f>IF(299&gt;$B$10,"",299)</f>
        <v/>
      </c>
      <c r="L336" s="37">
        <f>IF($K336="","",INDEX('سجل التحفيز'!$A$5:$A$2004,MATCH($K336,'سجل التحفيز'!$W$5:$W$2004,0)))</f>
        <v/>
      </c>
      <c r="M336" s="9">
        <f>IF($K336="","",INDEX('سجل التحفيز'!$B$5:$B$2004,MATCH($K336,'سجل التحفيز'!$W$5:$W$2004,0)))</f>
        <v/>
      </c>
      <c r="N336" s="9">
        <f>IF($K336="","",INDEX('سجل التحفيز'!$M$5:$M$2004,MATCH($K336,'سجل التحفيز'!$W$5:$W$2004,0)))</f>
        <v/>
      </c>
      <c r="O336" s="9">
        <f>IF($K336="","",INDEX('سجل التحفيز'!$C$5:$C$2004,MATCH($K336,'سجل التحفيز'!$W$5:$W$2004,0)))</f>
        <v/>
      </c>
      <c r="P336" s="36">
        <f>IF($K336="","",INDEX('سجل التحفيز'!$D$5:$D$2004,MATCH($K336,'سجل التحفيز'!$W$5:$W$2004,0)))</f>
        <v/>
      </c>
      <c r="Q336" s="9">
        <f>IF($K336="","",INDEX('سجل التحفيز'!$E$5:$E$2004,MATCH($K336,'سجل التحفيز'!$W$5:$W$2004,0)))</f>
        <v/>
      </c>
      <c r="R336" s="9">
        <f>IF($K336="","",INDEX('سجل التحفيز'!$F$5:$F$2004,MATCH($K336,'سجل التحفيز'!$W$5:$W$2004,0)))</f>
        <v/>
      </c>
      <c r="S336" s="35">
        <f>IF($K336="","",INDEX('سجل التحفيز'!$G$5:$G$2004,MATCH($K336,'سجل التحفيز'!$W$5:$W$2004,0)))</f>
        <v/>
      </c>
    </row>
    <row r="337">
      <c r="K337" s="36">
        <f>IF(300&gt;$B$10,"",300)</f>
        <v/>
      </c>
      <c r="L337" s="37">
        <f>IF($K337="","",INDEX('سجل التحفيز'!$A$5:$A$2004,MATCH($K337,'سجل التحفيز'!$W$5:$W$2004,0)))</f>
        <v/>
      </c>
      <c r="M337" s="9">
        <f>IF($K337="","",INDEX('سجل التحفيز'!$B$5:$B$2004,MATCH($K337,'سجل التحفيز'!$W$5:$W$2004,0)))</f>
        <v/>
      </c>
      <c r="N337" s="9">
        <f>IF($K337="","",INDEX('سجل التحفيز'!$M$5:$M$2004,MATCH($K337,'سجل التحفيز'!$W$5:$W$2004,0)))</f>
        <v/>
      </c>
      <c r="O337" s="9">
        <f>IF($K337="","",INDEX('سجل التحفيز'!$C$5:$C$2004,MATCH($K337,'سجل التحفيز'!$W$5:$W$2004,0)))</f>
        <v/>
      </c>
      <c r="P337" s="36">
        <f>IF($K337="","",INDEX('سجل التحفيز'!$D$5:$D$2004,MATCH($K337,'سجل التحفيز'!$W$5:$W$2004,0)))</f>
        <v/>
      </c>
      <c r="Q337" s="9">
        <f>IF($K337="","",INDEX('سجل التحفيز'!$E$5:$E$2004,MATCH($K337,'سجل التحفيز'!$W$5:$W$2004,0)))</f>
        <v/>
      </c>
      <c r="R337" s="9">
        <f>IF($K337="","",INDEX('سجل التحفيز'!$F$5:$F$2004,MATCH($K337,'سجل التحفيز'!$W$5:$W$2004,0)))</f>
        <v/>
      </c>
      <c r="S337" s="35">
        <f>IF($K337="","",INDEX('سجل التحفيز'!$G$5:$G$2004,MATCH($K337,'سجل التحفيز'!$W$5:$W$2004,0)))</f>
        <v/>
      </c>
    </row>
    <row r="339">
      <c r="K339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38:H187">
    <cfRule type="expression" priority="1" dxfId="3">
      <formula>$B38&lt;&gt;""</formula>
    </cfRule>
    <cfRule type="expression" priority="2" dxfId="1">
      <formula>AND($B38&lt;&gt;"",$G38=1)</formula>
    </cfRule>
  </conditionalFormatting>
  <conditionalFormatting sqref="K38:S337">
    <cfRule type="expression" priority="3" dxfId="3">
      <formula>$K38&lt;&gt;""</formula>
    </cfRule>
    <cfRule type="expression" priority="4" dxfId="4">
      <formula>AND($K38&lt;&gt;"",$P38="ذهبي")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S33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التقرير الشهري — أكتوبر</t>
        </is>
      </c>
    </row>
    <row r="2" ht="30" customHeight="1">
      <c r="A2" s="2" t="inlineStr">
        <is>
          <t>تقرير ثابت لهذا الشهر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شهري</t>
        </is>
      </c>
    </row>
    <row r="6">
      <c r="B6" s="22" t="inlineStr">
        <is>
          <t>الشهر</t>
        </is>
      </c>
      <c r="C6" s="25" t="inlineStr">
        <is>
          <t>أكتوبر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—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التحفيز'!$X$5:$X$2004)</f>
        <v/>
      </c>
      <c r="C10" s="28">
        <f>COUNT(الموظفات!$R$5:$R$304)</f>
        <v/>
      </c>
      <c r="D10" s="28">
        <f>COUNTIFS('سجل التحفيز'!$X$5:$X$2004,"&gt;0",'سجل التحفيز'!$D$5:$D$2004,"ذهبي")</f>
        <v/>
      </c>
      <c r="E10" s="28">
        <f>COUNTIFS('سجل التحفيز'!$X$5:$X$2004,"&gt;0",'سجل التحفيز'!$D$5:$D$2004,"أساسي")</f>
        <v/>
      </c>
      <c r="F10" s="28">
        <f>SUMIFS('سجل التحفيز'!$G$5:$G$2004,'سجل التحفيز'!$X$5:$X$2004,"&gt;0")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التحفيز'!$X$5:$X$2004,"&gt;0",'سجل التحفيز'!$C$5:$C$2004,B14,'سجل التحفيز'!$D$5:$D$2004,"أساسي")</f>
        <v/>
      </c>
      <c r="D14" s="31">
        <f>COUNTIFS('سجل التحفيز'!$X$5:$X$2004,"&gt;0",'سجل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التحفيز'!$X$5:$X$2004,"&gt;0",'سجل التحفيز'!$C$5:$C$2004,B14)</f>
        <v/>
      </c>
    </row>
    <row r="15">
      <c r="B15" s="30">
        <f>الإعدادات!A8</f>
        <v/>
      </c>
      <c r="C15" s="31">
        <f>COUNTIFS('سجل التحفيز'!$X$5:$X$2004,"&gt;0",'سجل التحفيز'!$C$5:$C$2004,B15,'سجل التحفيز'!$D$5:$D$2004,"أساسي")</f>
        <v/>
      </c>
      <c r="D15" s="31">
        <f>COUNTIFS('سجل التحفيز'!$X$5:$X$2004,"&gt;0",'سجل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التحفيز'!$X$5:$X$2004,"&gt;0",'سجل التحفيز'!$C$5:$C$2004,B15)</f>
        <v/>
      </c>
    </row>
    <row r="16">
      <c r="B16" s="30">
        <f>الإعدادات!A9</f>
        <v/>
      </c>
      <c r="C16" s="31">
        <f>COUNTIFS('سجل التحفيز'!$X$5:$X$2004,"&gt;0",'سجل التحفيز'!$C$5:$C$2004,B16,'سجل التحفيز'!$D$5:$D$2004,"أساسي")</f>
        <v/>
      </c>
      <c r="D16" s="31">
        <f>COUNTIFS('سجل التحفيز'!$X$5:$X$2004,"&gt;0",'سجل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التحفيز'!$X$5:$X$2004,"&gt;0",'سجل التحفيز'!$C$5:$C$2004,B16)</f>
        <v/>
      </c>
    </row>
    <row r="17">
      <c r="B17" s="30">
        <f>الإعدادات!A10</f>
        <v/>
      </c>
      <c r="C17" s="31">
        <f>COUNTIFS('سجل التحفيز'!$X$5:$X$2004,"&gt;0",'سجل التحفيز'!$C$5:$C$2004,B17,'سجل التحفيز'!$D$5:$D$2004,"أساسي")</f>
        <v/>
      </c>
      <c r="D17" s="31">
        <f>COUNTIFS('سجل التحفيز'!$X$5:$X$2004,"&gt;0",'سجل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التحفيز'!$X$5:$X$2004,"&gt;0",'سجل التحفيز'!$C$5:$C$2004,B17)</f>
        <v/>
      </c>
    </row>
    <row r="18">
      <c r="B18" s="30">
        <f>الإعدادات!A11</f>
        <v/>
      </c>
      <c r="C18" s="31">
        <f>COUNTIFS('سجل التحفيز'!$X$5:$X$2004,"&gt;0",'سجل التحفيز'!$C$5:$C$2004,B18,'سجل التحفيز'!$D$5:$D$2004,"أساسي")</f>
        <v/>
      </c>
      <c r="D18" s="31">
        <f>COUNTIFS('سجل التحفيز'!$X$5:$X$2004,"&gt;0",'سجل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التحفيز'!$X$5:$X$2004,"&gt;0",'سجل التحفيز'!$C$5:$C$2004,B18)</f>
        <v/>
      </c>
    </row>
    <row r="19">
      <c r="B19" s="30">
        <f>الإعدادات!A12</f>
        <v/>
      </c>
      <c r="C19" s="31">
        <f>COUNTIFS('سجل التحفيز'!$X$5:$X$2004,"&gt;0",'سجل التحفيز'!$C$5:$C$2004,B19,'سجل التحفيز'!$D$5:$D$2004,"أساسي")</f>
        <v/>
      </c>
      <c r="D19" s="31">
        <f>COUNTIFS('سجل التحفيز'!$X$5:$X$2004,"&gt;0",'سجل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التحفيز'!$X$5:$X$2004,"&gt;0",'سجل التحفيز'!$C$5:$C$2004,B19)</f>
        <v/>
      </c>
    </row>
    <row r="20">
      <c r="B20" s="30">
        <f>الإعدادات!A13</f>
        <v/>
      </c>
      <c r="C20" s="31">
        <f>COUNTIFS('سجل التحفيز'!$X$5:$X$2004,"&gt;0",'سجل التحفيز'!$C$5:$C$2004,B20,'سجل التحفيز'!$D$5:$D$2004,"أساسي")</f>
        <v/>
      </c>
      <c r="D20" s="31">
        <f>COUNTIFS('سجل التحفيز'!$X$5:$X$2004,"&gt;0",'سجل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التحفيز'!$X$5:$X$2004,"&gt;0",'سجل التحفيز'!$C$5:$C$2004,B20)</f>
        <v/>
      </c>
    </row>
    <row r="21">
      <c r="B21" s="30">
        <f>الإعدادات!A14</f>
        <v/>
      </c>
      <c r="C21" s="31">
        <f>COUNTIFS('سجل التحفيز'!$X$5:$X$2004,"&gt;0",'سجل التحفيز'!$C$5:$C$2004,B21,'سجل التحفيز'!$D$5:$D$2004,"أساسي")</f>
        <v/>
      </c>
      <c r="D21" s="31">
        <f>COUNTIFS('سجل التحفيز'!$X$5:$X$2004,"&gt;0",'سجل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التحفيز'!$X$5:$X$2004,"&gt;0",'سجل التحفيز'!$C$5:$C$2004,B21)</f>
        <v/>
      </c>
    </row>
    <row r="22">
      <c r="B22" s="30">
        <f>الإعدادات!A15</f>
        <v/>
      </c>
      <c r="C22" s="31">
        <f>COUNTIFS('سجل التحفيز'!$X$5:$X$2004,"&gt;0",'سجل التحفيز'!$C$5:$C$2004,B22,'سجل التحفيز'!$D$5:$D$2004,"أساسي")</f>
        <v/>
      </c>
      <c r="D22" s="31">
        <f>COUNTIFS('سجل التحفيز'!$X$5:$X$2004,"&gt;0",'سجل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التحفيز'!$X$5:$X$2004,"&gt;0",'سجل التحفيز'!$C$5:$C$2004,B22)</f>
        <v/>
      </c>
    </row>
    <row r="23">
      <c r="B23" s="30">
        <f>الإعدادات!A16</f>
        <v/>
      </c>
      <c r="C23" s="31">
        <f>COUNTIFS('سجل التحفيز'!$X$5:$X$2004,"&gt;0",'سجل التحفيز'!$C$5:$C$2004,B23,'سجل التحفيز'!$D$5:$D$2004,"أساسي")</f>
        <v/>
      </c>
      <c r="D23" s="31">
        <f>COUNTIFS('سجل التحفيز'!$X$5:$X$2004,"&gt;0",'سجل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التحفيز'!$X$5:$X$2004,"&gt;0",'سجل التحفيز'!$C$5:$C$2004,B23)</f>
        <v/>
      </c>
    </row>
    <row r="24">
      <c r="B24" s="30">
        <f>الإعدادات!A17</f>
        <v/>
      </c>
      <c r="C24" s="31">
        <f>COUNTIFS('سجل التحفيز'!$X$5:$X$2004,"&gt;0",'سجل التحفيز'!$C$5:$C$2004,B24,'سجل التحفيز'!$D$5:$D$2004,"أساسي")</f>
        <v/>
      </c>
      <c r="D24" s="31">
        <f>COUNTIFS('سجل التحفيز'!$X$5:$X$2004,"&gt;0",'سجل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التحفيز'!$X$5:$X$2004,"&gt;0",'سجل التحفيز'!$C$5:$C$2004,B24)</f>
        <v/>
      </c>
    </row>
    <row r="25">
      <c r="B25" s="30">
        <f>الإعدادات!A18</f>
        <v/>
      </c>
      <c r="C25" s="31">
        <f>COUNTIFS('سجل التحفيز'!$X$5:$X$2004,"&gt;0",'سجل التحفيز'!$C$5:$C$2004,B25,'سجل التحفيز'!$D$5:$D$2004,"أساسي")</f>
        <v/>
      </c>
      <c r="D25" s="31">
        <f>COUNTIFS('سجل التحفيز'!$X$5:$X$2004,"&gt;0",'سجل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التحفيز'!$X$5:$X$2004,"&gt;0",'سجل التحفيز'!$C$5:$C$2004,B25)</f>
        <v/>
      </c>
    </row>
    <row r="26">
      <c r="B26" s="30">
        <f>الإعدادات!A19</f>
        <v/>
      </c>
      <c r="C26" s="31">
        <f>COUNTIFS('سجل التحفيز'!$X$5:$X$2004,"&gt;0",'سجل التحفيز'!$C$5:$C$2004,B26,'سجل التحفيز'!$D$5:$D$2004,"أساسي")</f>
        <v/>
      </c>
      <c r="D26" s="31">
        <f>COUNTIFS('سجل التحفيز'!$X$5:$X$2004,"&gt;0",'سجل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التحفيز'!$X$5:$X$2004,"&gt;0",'سجل التحفيز'!$C$5:$C$2004,B26)</f>
        <v/>
      </c>
    </row>
    <row r="27">
      <c r="B27" s="30">
        <f>الإعدادات!A20</f>
        <v/>
      </c>
      <c r="C27" s="31">
        <f>COUNTIFS('سجل التحفيز'!$X$5:$X$2004,"&gt;0",'سجل التحفيز'!$C$5:$C$2004,B27,'سجل التحفيز'!$D$5:$D$2004,"أساسي")</f>
        <v/>
      </c>
      <c r="D27" s="31">
        <f>COUNTIFS('سجل التحفيز'!$X$5:$X$2004,"&gt;0",'سجل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التحفيز'!$X$5:$X$2004,"&gt;0",'سجل التحفيز'!$C$5:$C$2004,B27)</f>
        <v/>
      </c>
    </row>
    <row r="28">
      <c r="B28" s="30">
        <f>الإعدادات!A21</f>
        <v/>
      </c>
      <c r="C28" s="31">
        <f>COUNTIFS('سجل التحفيز'!$X$5:$X$2004,"&gt;0",'سجل التحفيز'!$C$5:$C$2004,B28,'سجل التحفيز'!$D$5:$D$2004,"أساسي")</f>
        <v/>
      </c>
      <c r="D28" s="31">
        <f>COUNTIFS('سجل التحفيز'!$X$5:$X$2004,"&gt;0",'سجل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التحفيز'!$X$5:$X$2004,"&gt;0",'سجل التحفيز'!$C$5:$C$2004,B28)</f>
        <v/>
      </c>
    </row>
    <row r="29">
      <c r="B29" s="30">
        <f>الإعدادات!A22</f>
        <v/>
      </c>
      <c r="C29" s="31">
        <f>COUNTIFS('سجل التحفيز'!$X$5:$X$2004,"&gt;0",'سجل التحفيز'!$C$5:$C$2004,B29,'سجل التحفيز'!$D$5:$D$2004,"أساسي")</f>
        <v/>
      </c>
      <c r="D29" s="31">
        <f>COUNTIFS('سجل التحفيز'!$X$5:$X$2004,"&gt;0",'سجل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التحفيز'!$X$5:$X$2004,"&gt;0",'سجل التحفيز'!$C$5:$C$2004,B29)</f>
        <v/>
      </c>
    </row>
    <row r="30">
      <c r="B30" s="30">
        <f>الإعدادات!A23</f>
        <v/>
      </c>
      <c r="C30" s="31">
        <f>COUNTIFS('سجل التحفيز'!$X$5:$X$2004,"&gt;0",'سجل التحفيز'!$C$5:$C$2004,B30,'سجل التحفيز'!$D$5:$D$2004,"أساسي")</f>
        <v/>
      </c>
      <c r="D30" s="31">
        <f>COUNTIFS('سجل التحفيز'!$X$5:$X$2004,"&gt;0",'سجل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التحفيز'!$X$5:$X$2004,"&gt;0",'سجل التحفيز'!$C$5:$C$2004,B30)</f>
        <v/>
      </c>
    </row>
    <row r="31">
      <c r="B31" s="30">
        <f>الإعدادات!A24</f>
        <v/>
      </c>
      <c r="C31" s="31">
        <f>COUNTIFS('سجل التحفيز'!$X$5:$X$2004,"&gt;0",'سجل التحفيز'!$C$5:$C$2004,B31,'سجل التحفيز'!$D$5:$D$2004,"أساسي")</f>
        <v/>
      </c>
      <c r="D31" s="31">
        <f>COUNTIFS('سجل التحفيز'!$X$5:$X$2004,"&gt;0",'سجل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التحفيز'!$X$5:$X$2004,"&gt;0",'سجل التحفيز'!$C$5:$C$2004,B31)</f>
        <v/>
      </c>
    </row>
    <row r="32">
      <c r="B32" s="30">
        <f>الإعدادات!A25</f>
        <v/>
      </c>
      <c r="C32" s="31">
        <f>COUNTIFS('سجل التحفيز'!$X$5:$X$2004,"&gt;0",'سجل التحفيز'!$C$5:$C$2004,B32,'سجل التحفيز'!$D$5:$D$2004,"أساسي")</f>
        <v/>
      </c>
      <c r="D32" s="31">
        <f>COUNTIFS('سجل التحفيز'!$X$5:$X$2004,"&gt;0",'سجل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التحفيز'!$X$5:$X$2004,"&gt;0",'سجل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الموظفات المُكرَّمات ضمن فترة التقرير</t>
        </is>
      </c>
      <c r="K36" s="29" t="inlineStr">
        <is>
          <t>تفاصيل التكريمات ضمن فترة التقرير</t>
        </is>
      </c>
    </row>
    <row r="37">
      <c r="B37" s="13" t="inlineStr">
        <is>
          <t>اسم الموظفة</t>
        </is>
      </c>
      <c r="C37" s="13" t="inlineStr">
        <is>
          <t>القسم</t>
        </is>
      </c>
      <c r="D37" s="13" t="inlineStr">
        <is>
          <t>عدد التكريمات</t>
        </is>
      </c>
      <c r="E37" s="13" t="inlineStr">
        <is>
          <t>معايير ذهبية</t>
        </is>
      </c>
      <c r="F37" s="13" t="inlineStr">
        <is>
          <t>القيمة (ر.ق)</t>
        </is>
      </c>
      <c r="G37" s="13" t="inlineStr">
        <is>
          <t>الترتيب</t>
        </is>
      </c>
      <c r="H37" s="13" t="inlineStr">
        <is>
          <t>أمري تدللي (السنة)</t>
        </is>
      </c>
      <c r="K37" s="13" t="inlineStr">
        <is>
          <t>م</t>
        </is>
      </c>
      <c r="L37" s="13" t="inlineStr">
        <is>
          <t>التاريخ</t>
        </is>
      </c>
      <c r="M37" s="13" t="inlineStr">
        <is>
          <t>اسم الموظفة</t>
        </is>
      </c>
      <c r="N37" s="13" t="inlineStr">
        <is>
          <t>القسم</t>
        </is>
      </c>
      <c r="O37" s="13" t="inlineStr">
        <is>
          <t>المجال</t>
        </is>
      </c>
      <c r="P37" s="13" t="inlineStr">
        <is>
          <t>المستوى</t>
        </is>
      </c>
      <c r="Q37" s="13" t="inlineStr">
        <is>
          <t>المعيار المحقق</t>
        </is>
      </c>
      <c r="R37" s="13" t="inlineStr">
        <is>
          <t>المكافأة الممنوحة</t>
        </is>
      </c>
      <c r="S37" s="13" t="inlineStr">
        <is>
          <t>القيمة (ر.ق)</t>
        </is>
      </c>
    </row>
    <row r="38">
      <c r="B38" s="34">
        <f>IFERROR(INDEX(الموظفات!$B$5:$B$304,MATCH(1,الموظفات!$R$5:$R$304,0)),"")</f>
        <v/>
      </c>
      <c r="C38" s="34">
        <f>IF(B38="","",INDEX(الموظفات!$D$5:$D$304,MATCH(B38,الموظفات!$B$5:$B$304,0))&amp;"")</f>
        <v/>
      </c>
      <c r="D38" s="35">
        <f>IF(B38="","",COUNTIFS('سجل التحفيز'!$X$5:$X$2004,"&gt;0",'سجل التحفيز'!$B$5:$B$2004,B38))</f>
        <v/>
      </c>
      <c r="E38" s="35">
        <f>IF(B38="","",COUNTIFS('سجل التحفيز'!$X$5:$X$2004,"&gt;0",'سجل التحفيز'!$B$5:$B$2004,B38,'سجل التحفيز'!$D$5:$D$2004,"ذهبي"))</f>
        <v/>
      </c>
      <c r="F38" s="35">
        <f>IF(B38="","",SUMIFS('سجل التحفيز'!$G$5:$G$2004,'سجل التحفيز'!$X$5:$X$2004,"&gt;0",'سجل التحفيز'!$B$5:$B$2004,B38))</f>
        <v/>
      </c>
      <c r="G38" s="35">
        <f>IF(B38="","",COUNTIF($D$38:$D$187,"&gt;"&amp;D38)+1)</f>
        <v/>
      </c>
      <c r="H38" s="35">
        <f>IF(B38="","",INDEX(الموظفات!$L$5:$L$304,MATCH(B38,الموظفات!$B$5:$B$304,0)))</f>
        <v/>
      </c>
      <c r="K38" s="36">
        <f>IF(1&gt;$B$10,"",1)</f>
        <v/>
      </c>
      <c r="L38" s="37">
        <f>IF($K38="","",INDEX('سجل التحفيز'!$A$5:$A$2004,MATCH($K38,'سجل التحفيز'!$X$5:$X$2004,0)))</f>
        <v/>
      </c>
      <c r="M38" s="9">
        <f>IF($K38="","",INDEX('سجل التحفيز'!$B$5:$B$2004,MATCH($K38,'سجل التحفيز'!$X$5:$X$2004,0)))</f>
        <v/>
      </c>
      <c r="N38" s="9">
        <f>IF($K38="","",INDEX('سجل التحفيز'!$M$5:$M$2004,MATCH($K38,'سجل التحفيز'!$X$5:$X$2004,0)))</f>
        <v/>
      </c>
      <c r="O38" s="9">
        <f>IF($K38="","",INDEX('سجل التحفيز'!$C$5:$C$2004,MATCH($K38,'سجل التحفيز'!$X$5:$X$2004,0)))</f>
        <v/>
      </c>
      <c r="P38" s="36">
        <f>IF($K38="","",INDEX('سجل التحفيز'!$D$5:$D$2004,MATCH($K38,'سجل التحفيز'!$X$5:$X$2004,0)))</f>
        <v/>
      </c>
      <c r="Q38" s="9">
        <f>IF($K38="","",INDEX('سجل التحفيز'!$E$5:$E$2004,MATCH($K38,'سجل التحفيز'!$X$5:$X$2004,0)))</f>
        <v/>
      </c>
      <c r="R38" s="9">
        <f>IF($K38="","",INDEX('سجل التحفيز'!$F$5:$F$2004,MATCH($K38,'سجل التحفيز'!$X$5:$X$2004,0)))</f>
        <v/>
      </c>
      <c r="S38" s="35">
        <f>IF($K38="","",INDEX('سجل التحفيز'!$G$5:$G$2004,MATCH($K38,'سجل التحفيز'!$X$5:$X$2004,0)))</f>
        <v/>
      </c>
    </row>
    <row r="39">
      <c r="B39" s="34">
        <f>IFERROR(INDEX(الموظفات!$B$5:$B$304,MATCH(2,الموظفات!$R$5:$R$304,0)),"")</f>
        <v/>
      </c>
      <c r="C39" s="34">
        <f>IF(B39="","",INDEX(الموظفات!$D$5:$D$304,MATCH(B39,الموظفات!$B$5:$B$304,0))&amp;"")</f>
        <v/>
      </c>
      <c r="D39" s="35">
        <f>IF(B39="","",COUNTIFS('سجل التحفيز'!$X$5:$X$2004,"&gt;0",'سجل التحفيز'!$B$5:$B$2004,B39))</f>
        <v/>
      </c>
      <c r="E39" s="35">
        <f>IF(B39="","",COUNTIFS('سجل التحفيز'!$X$5:$X$2004,"&gt;0",'سجل التحفيز'!$B$5:$B$2004,B39,'سجل التحفيز'!$D$5:$D$2004,"ذهبي"))</f>
        <v/>
      </c>
      <c r="F39" s="35">
        <f>IF(B39="","",SUMIFS('سجل التحفيز'!$G$5:$G$2004,'سجل التحفيز'!$X$5:$X$2004,"&gt;0",'سجل التحفيز'!$B$5:$B$2004,B39))</f>
        <v/>
      </c>
      <c r="G39" s="35">
        <f>IF(B39="","",COUNTIF($D$38:$D$187,"&gt;"&amp;D39)+1)</f>
        <v/>
      </c>
      <c r="H39" s="35">
        <f>IF(B39="","",INDEX(الموظفات!$L$5:$L$304,MATCH(B39,الموظفات!$B$5:$B$304,0)))</f>
        <v/>
      </c>
      <c r="K39" s="36">
        <f>IF(2&gt;$B$10,"",2)</f>
        <v/>
      </c>
      <c r="L39" s="37">
        <f>IF($K39="","",INDEX('سجل التحفيز'!$A$5:$A$2004,MATCH($K39,'سجل التحفيز'!$X$5:$X$2004,0)))</f>
        <v/>
      </c>
      <c r="M39" s="9">
        <f>IF($K39="","",INDEX('سجل التحفيز'!$B$5:$B$2004,MATCH($K39,'سجل التحفيز'!$X$5:$X$2004,0)))</f>
        <v/>
      </c>
      <c r="N39" s="9">
        <f>IF($K39="","",INDEX('سجل التحفيز'!$M$5:$M$2004,MATCH($K39,'سجل التحفيز'!$X$5:$X$2004,0)))</f>
        <v/>
      </c>
      <c r="O39" s="9">
        <f>IF($K39="","",INDEX('سجل التحفيز'!$C$5:$C$2004,MATCH($K39,'سجل التحفيز'!$X$5:$X$2004,0)))</f>
        <v/>
      </c>
      <c r="P39" s="36">
        <f>IF($K39="","",INDEX('سجل التحفيز'!$D$5:$D$2004,MATCH($K39,'سجل التحفيز'!$X$5:$X$2004,0)))</f>
        <v/>
      </c>
      <c r="Q39" s="9">
        <f>IF($K39="","",INDEX('سجل التحفيز'!$E$5:$E$2004,MATCH($K39,'سجل التحفيز'!$X$5:$X$2004,0)))</f>
        <v/>
      </c>
      <c r="R39" s="9">
        <f>IF($K39="","",INDEX('سجل التحفيز'!$F$5:$F$2004,MATCH($K39,'سجل التحفيز'!$X$5:$X$2004,0)))</f>
        <v/>
      </c>
      <c r="S39" s="35">
        <f>IF($K39="","",INDEX('سجل التحفيز'!$G$5:$G$2004,MATCH($K39,'سجل التحفيز'!$X$5:$X$2004,0)))</f>
        <v/>
      </c>
    </row>
    <row r="40">
      <c r="B40" s="34">
        <f>IFERROR(INDEX(الموظفات!$B$5:$B$304,MATCH(3,الموظفات!$R$5:$R$304,0)),"")</f>
        <v/>
      </c>
      <c r="C40" s="34">
        <f>IF(B40="","",INDEX(الموظفات!$D$5:$D$304,MATCH(B40,الموظفات!$B$5:$B$304,0))&amp;"")</f>
        <v/>
      </c>
      <c r="D40" s="35">
        <f>IF(B40="","",COUNTIFS('سجل التحفيز'!$X$5:$X$2004,"&gt;0",'سجل التحفيز'!$B$5:$B$2004,B40))</f>
        <v/>
      </c>
      <c r="E40" s="35">
        <f>IF(B40="","",COUNTIFS('سجل التحفيز'!$X$5:$X$2004,"&gt;0",'سجل التحفيز'!$B$5:$B$2004,B40,'سجل التحفيز'!$D$5:$D$2004,"ذهبي"))</f>
        <v/>
      </c>
      <c r="F40" s="35">
        <f>IF(B40="","",SUMIFS('سجل التحفيز'!$G$5:$G$2004,'سجل التحفيز'!$X$5:$X$2004,"&gt;0",'سجل التحفيز'!$B$5:$B$2004,B40))</f>
        <v/>
      </c>
      <c r="G40" s="35">
        <f>IF(B40="","",COUNTIF($D$38:$D$187,"&gt;"&amp;D40)+1)</f>
        <v/>
      </c>
      <c r="H40" s="35">
        <f>IF(B40="","",INDEX(الموظفات!$L$5:$L$304,MATCH(B40,الموظفات!$B$5:$B$304,0)))</f>
        <v/>
      </c>
      <c r="K40" s="36">
        <f>IF(3&gt;$B$10,"",3)</f>
        <v/>
      </c>
      <c r="L40" s="37">
        <f>IF($K40="","",INDEX('سجل التحفيز'!$A$5:$A$2004,MATCH($K40,'سجل التحفيز'!$X$5:$X$2004,0)))</f>
        <v/>
      </c>
      <c r="M40" s="9">
        <f>IF($K40="","",INDEX('سجل التحفيز'!$B$5:$B$2004,MATCH($K40,'سجل التحفيز'!$X$5:$X$2004,0)))</f>
        <v/>
      </c>
      <c r="N40" s="9">
        <f>IF($K40="","",INDEX('سجل التحفيز'!$M$5:$M$2004,MATCH($K40,'سجل التحفيز'!$X$5:$X$2004,0)))</f>
        <v/>
      </c>
      <c r="O40" s="9">
        <f>IF($K40="","",INDEX('سجل التحفيز'!$C$5:$C$2004,MATCH($K40,'سجل التحفيز'!$X$5:$X$2004,0)))</f>
        <v/>
      </c>
      <c r="P40" s="36">
        <f>IF($K40="","",INDEX('سجل التحفيز'!$D$5:$D$2004,MATCH($K40,'سجل التحفيز'!$X$5:$X$2004,0)))</f>
        <v/>
      </c>
      <c r="Q40" s="9">
        <f>IF($K40="","",INDEX('سجل التحفيز'!$E$5:$E$2004,MATCH($K40,'سجل التحفيز'!$X$5:$X$2004,0)))</f>
        <v/>
      </c>
      <c r="R40" s="9">
        <f>IF($K40="","",INDEX('سجل التحفيز'!$F$5:$F$2004,MATCH($K40,'سجل التحفيز'!$X$5:$X$2004,0)))</f>
        <v/>
      </c>
      <c r="S40" s="35">
        <f>IF($K40="","",INDEX('سجل التحفيز'!$G$5:$G$2004,MATCH($K40,'سجل التحفيز'!$X$5:$X$2004,0)))</f>
        <v/>
      </c>
    </row>
    <row r="41">
      <c r="B41" s="34">
        <f>IFERROR(INDEX(الموظفات!$B$5:$B$304,MATCH(4,الموظفات!$R$5:$R$304,0)),"")</f>
        <v/>
      </c>
      <c r="C41" s="34">
        <f>IF(B41="","",INDEX(الموظفات!$D$5:$D$304,MATCH(B41,الموظفات!$B$5:$B$304,0))&amp;"")</f>
        <v/>
      </c>
      <c r="D41" s="35">
        <f>IF(B41="","",COUNTIFS('سجل التحفيز'!$X$5:$X$2004,"&gt;0",'سجل التحفيز'!$B$5:$B$2004,B41))</f>
        <v/>
      </c>
      <c r="E41" s="35">
        <f>IF(B41="","",COUNTIFS('سجل التحفيز'!$X$5:$X$2004,"&gt;0",'سجل التحفيز'!$B$5:$B$2004,B41,'سجل التحفيز'!$D$5:$D$2004,"ذهبي"))</f>
        <v/>
      </c>
      <c r="F41" s="35">
        <f>IF(B41="","",SUMIFS('سجل التحفيز'!$G$5:$G$2004,'سجل التحفيز'!$X$5:$X$2004,"&gt;0",'سجل التحفيز'!$B$5:$B$2004,B41))</f>
        <v/>
      </c>
      <c r="G41" s="35">
        <f>IF(B41="","",COUNTIF($D$38:$D$187,"&gt;"&amp;D41)+1)</f>
        <v/>
      </c>
      <c r="H41" s="35">
        <f>IF(B41="","",INDEX(الموظفات!$L$5:$L$304,MATCH(B41,الموظفات!$B$5:$B$304,0)))</f>
        <v/>
      </c>
      <c r="K41" s="36">
        <f>IF(4&gt;$B$10,"",4)</f>
        <v/>
      </c>
      <c r="L41" s="37">
        <f>IF($K41="","",INDEX('سجل التحفيز'!$A$5:$A$2004,MATCH($K41,'سجل التحفيز'!$X$5:$X$2004,0)))</f>
        <v/>
      </c>
      <c r="M41" s="9">
        <f>IF($K41="","",INDEX('سجل التحفيز'!$B$5:$B$2004,MATCH($K41,'سجل التحفيز'!$X$5:$X$2004,0)))</f>
        <v/>
      </c>
      <c r="N41" s="9">
        <f>IF($K41="","",INDEX('سجل التحفيز'!$M$5:$M$2004,MATCH($K41,'سجل التحفيز'!$X$5:$X$2004,0)))</f>
        <v/>
      </c>
      <c r="O41" s="9">
        <f>IF($K41="","",INDEX('سجل التحفيز'!$C$5:$C$2004,MATCH($K41,'سجل التحفيز'!$X$5:$X$2004,0)))</f>
        <v/>
      </c>
      <c r="P41" s="36">
        <f>IF($K41="","",INDEX('سجل التحفيز'!$D$5:$D$2004,MATCH($K41,'سجل التحفيز'!$X$5:$X$2004,0)))</f>
        <v/>
      </c>
      <c r="Q41" s="9">
        <f>IF($K41="","",INDEX('سجل التحفيز'!$E$5:$E$2004,MATCH($K41,'سجل التحفيز'!$X$5:$X$2004,0)))</f>
        <v/>
      </c>
      <c r="R41" s="9">
        <f>IF($K41="","",INDEX('سجل التحفيز'!$F$5:$F$2004,MATCH($K41,'سجل التحفيز'!$X$5:$X$2004,0)))</f>
        <v/>
      </c>
      <c r="S41" s="35">
        <f>IF($K41="","",INDEX('سجل التحفيز'!$G$5:$G$2004,MATCH($K41,'سجل التحفيز'!$X$5:$X$2004,0)))</f>
        <v/>
      </c>
    </row>
    <row r="42">
      <c r="B42" s="34">
        <f>IFERROR(INDEX(الموظفات!$B$5:$B$304,MATCH(5,الموظفات!$R$5:$R$304,0)),"")</f>
        <v/>
      </c>
      <c r="C42" s="34">
        <f>IF(B42="","",INDEX(الموظفات!$D$5:$D$304,MATCH(B42,الموظفات!$B$5:$B$304,0))&amp;"")</f>
        <v/>
      </c>
      <c r="D42" s="35">
        <f>IF(B42="","",COUNTIFS('سجل التحفيز'!$X$5:$X$2004,"&gt;0",'سجل التحفيز'!$B$5:$B$2004,B42))</f>
        <v/>
      </c>
      <c r="E42" s="35">
        <f>IF(B42="","",COUNTIFS('سجل التحفيز'!$X$5:$X$2004,"&gt;0",'سجل التحفيز'!$B$5:$B$2004,B42,'سجل التحفيز'!$D$5:$D$2004,"ذهبي"))</f>
        <v/>
      </c>
      <c r="F42" s="35">
        <f>IF(B42="","",SUMIFS('سجل التحفيز'!$G$5:$G$2004,'سجل التحفيز'!$X$5:$X$2004,"&gt;0",'سجل التحفيز'!$B$5:$B$2004,B42))</f>
        <v/>
      </c>
      <c r="G42" s="35">
        <f>IF(B42="","",COUNTIF($D$38:$D$187,"&gt;"&amp;D42)+1)</f>
        <v/>
      </c>
      <c r="H42" s="35">
        <f>IF(B42="","",INDEX(الموظفات!$L$5:$L$304,MATCH(B42,الموظفات!$B$5:$B$304,0)))</f>
        <v/>
      </c>
      <c r="K42" s="36">
        <f>IF(5&gt;$B$10,"",5)</f>
        <v/>
      </c>
      <c r="L42" s="37">
        <f>IF($K42="","",INDEX('سجل التحفيز'!$A$5:$A$2004,MATCH($K42,'سجل التحفيز'!$X$5:$X$2004,0)))</f>
        <v/>
      </c>
      <c r="M42" s="9">
        <f>IF($K42="","",INDEX('سجل التحفيز'!$B$5:$B$2004,MATCH($K42,'سجل التحفيز'!$X$5:$X$2004,0)))</f>
        <v/>
      </c>
      <c r="N42" s="9">
        <f>IF($K42="","",INDEX('سجل التحفيز'!$M$5:$M$2004,MATCH($K42,'سجل التحفيز'!$X$5:$X$2004,0)))</f>
        <v/>
      </c>
      <c r="O42" s="9">
        <f>IF($K42="","",INDEX('سجل التحفيز'!$C$5:$C$2004,MATCH($K42,'سجل التحفيز'!$X$5:$X$2004,0)))</f>
        <v/>
      </c>
      <c r="P42" s="36">
        <f>IF($K42="","",INDEX('سجل التحفيز'!$D$5:$D$2004,MATCH($K42,'سجل التحفيز'!$X$5:$X$2004,0)))</f>
        <v/>
      </c>
      <c r="Q42" s="9">
        <f>IF($K42="","",INDEX('سجل التحفيز'!$E$5:$E$2004,MATCH($K42,'سجل التحفيز'!$X$5:$X$2004,0)))</f>
        <v/>
      </c>
      <c r="R42" s="9">
        <f>IF($K42="","",INDEX('سجل التحفيز'!$F$5:$F$2004,MATCH($K42,'سجل التحفيز'!$X$5:$X$2004,0)))</f>
        <v/>
      </c>
      <c r="S42" s="35">
        <f>IF($K42="","",INDEX('سجل التحفيز'!$G$5:$G$2004,MATCH($K42,'سجل التحفيز'!$X$5:$X$2004,0)))</f>
        <v/>
      </c>
    </row>
    <row r="43">
      <c r="B43" s="34">
        <f>IFERROR(INDEX(الموظفات!$B$5:$B$304,MATCH(6,الموظفات!$R$5:$R$304,0)),"")</f>
        <v/>
      </c>
      <c r="C43" s="34">
        <f>IF(B43="","",INDEX(الموظفات!$D$5:$D$304,MATCH(B43,الموظفات!$B$5:$B$304,0))&amp;"")</f>
        <v/>
      </c>
      <c r="D43" s="35">
        <f>IF(B43="","",COUNTIFS('سجل التحفيز'!$X$5:$X$2004,"&gt;0",'سجل التحفيز'!$B$5:$B$2004,B43))</f>
        <v/>
      </c>
      <c r="E43" s="35">
        <f>IF(B43="","",COUNTIFS('سجل التحفيز'!$X$5:$X$2004,"&gt;0",'سجل التحفيز'!$B$5:$B$2004,B43,'سجل التحفيز'!$D$5:$D$2004,"ذهبي"))</f>
        <v/>
      </c>
      <c r="F43" s="35">
        <f>IF(B43="","",SUMIFS('سجل التحفيز'!$G$5:$G$2004,'سجل التحفيز'!$X$5:$X$2004,"&gt;0",'سجل التحفيز'!$B$5:$B$2004,B43))</f>
        <v/>
      </c>
      <c r="G43" s="35">
        <f>IF(B43="","",COUNTIF($D$38:$D$187,"&gt;"&amp;D43)+1)</f>
        <v/>
      </c>
      <c r="H43" s="35">
        <f>IF(B43="","",INDEX(الموظفات!$L$5:$L$304,MATCH(B43,الموظفات!$B$5:$B$304,0)))</f>
        <v/>
      </c>
      <c r="K43" s="36">
        <f>IF(6&gt;$B$10,"",6)</f>
        <v/>
      </c>
      <c r="L43" s="37">
        <f>IF($K43="","",INDEX('سجل التحفيز'!$A$5:$A$2004,MATCH($K43,'سجل التحفيز'!$X$5:$X$2004,0)))</f>
        <v/>
      </c>
      <c r="M43" s="9">
        <f>IF($K43="","",INDEX('سجل التحفيز'!$B$5:$B$2004,MATCH($K43,'سجل التحفيز'!$X$5:$X$2004,0)))</f>
        <v/>
      </c>
      <c r="N43" s="9">
        <f>IF($K43="","",INDEX('سجل التحفيز'!$M$5:$M$2004,MATCH($K43,'سجل التحفيز'!$X$5:$X$2004,0)))</f>
        <v/>
      </c>
      <c r="O43" s="9">
        <f>IF($K43="","",INDEX('سجل التحفيز'!$C$5:$C$2004,MATCH($K43,'سجل التحفيز'!$X$5:$X$2004,0)))</f>
        <v/>
      </c>
      <c r="P43" s="36">
        <f>IF($K43="","",INDEX('سجل التحفيز'!$D$5:$D$2004,MATCH($K43,'سجل التحفيز'!$X$5:$X$2004,0)))</f>
        <v/>
      </c>
      <c r="Q43" s="9">
        <f>IF($K43="","",INDEX('سجل التحفيز'!$E$5:$E$2004,MATCH($K43,'سجل التحفيز'!$X$5:$X$2004,0)))</f>
        <v/>
      </c>
      <c r="R43" s="9">
        <f>IF($K43="","",INDEX('سجل التحفيز'!$F$5:$F$2004,MATCH($K43,'سجل التحفيز'!$X$5:$X$2004,0)))</f>
        <v/>
      </c>
      <c r="S43" s="35">
        <f>IF($K43="","",INDEX('سجل التحفيز'!$G$5:$G$2004,MATCH($K43,'سجل التحفيز'!$X$5:$X$2004,0)))</f>
        <v/>
      </c>
    </row>
    <row r="44">
      <c r="B44" s="34">
        <f>IFERROR(INDEX(الموظفات!$B$5:$B$304,MATCH(7,الموظفات!$R$5:$R$304,0)),"")</f>
        <v/>
      </c>
      <c r="C44" s="34">
        <f>IF(B44="","",INDEX(الموظفات!$D$5:$D$304,MATCH(B44,الموظفات!$B$5:$B$304,0))&amp;"")</f>
        <v/>
      </c>
      <c r="D44" s="35">
        <f>IF(B44="","",COUNTIFS('سجل التحفيز'!$X$5:$X$2004,"&gt;0",'سجل التحفيز'!$B$5:$B$2004,B44))</f>
        <v/>
      </c>
      <c r="E44" s="35">
        <f>IF(B44="","",COUNTIFS('سجل التحفيز'!$X$5:$X$2004,"&gt;0",'سجل التحفيز'!$B$5:$B$2004,B44,'سجل التحفيز'!$D$5:$D$2004,"ذهبي"))</f>
        <v/>
      </c>
      <c r="F44" s="35">
        <f>IF(B44="","",SUMIFS('سجل التحفيز'!$G$5:$G$2004,'سجل التحفيز'!$X$5:$X$2004,"&gt;0",'سجل التحفيز'!$B$5:$B$2004,B44))</f>
        <v/>
      </c>
      <c r="G44" s="35">
        <f>IF(B44="","",COUNTIF($D$38:$D$187,"&gt;"&amp;D44)+1)</f>
        <v/>
      </c>
      <c r="H44" s="35">
        <f>IF(B44="","",INDEX(الموظفات!$L$5:$L$304,MATCH(B44,الموظفات!$B$5:$B$304,0)))</f>
        <v/>
      </c>
      <c r="K44" s="36">
        <f>IF(7&gt;$B$10,"",7)</f>
        <v/>
      </c>
      <c r="L44" s="37">
        <f>IF($K44="","",INDEX('سجل التحفيز'!$A$5:$A$2004,MATCH($K44,'سجل التحفيز'!$X$5:$X$2004,0)))</f>
        <v/>
      </c>
      <c r="M44" s="9">
        <f>IF($K44="","",INDEX('سجل التحفيز'!$B$5:$B$2004,MATCH($K44,'سجل التحفيز'!$X$5:$X$2004,0)))</f>
        <v/>
      </c>
      <c r="N44" s="9">
        <f>IF($K44="","",INDEX('سجل التحفيز'!$M$5:$M$2004,MATCH($K44,'سجل التحفيز'!$X$5:$X$2004,0)))</f>
        <v/>
      </c>
      <c r="O44" s="9">
        <f>IF($K44="","",INDEX('سجل التحفيز'!$C$5:$C$2004,MATCH($K44,'سجل التحفيز'!$X$5:$X$2004,0)))</f>
        <v/>
      </c>
      <c r="P44" s="36">
        <f>IF($K44="","",INDEX('سجل التحفيز'!$D$5:$D$2004,MATCH($K44,'سجل التحفيز'!$X$5:$X$2004,0)))</f>
        <v/>
      </c>
      <c r="Q44" s="9">
        <f>IF($K44="","",INDEX('سجل التحفيز'!$E$5:$E$2004,MATCH($K44,'سجل التحفيز'!$X$5:$X$2004,0)))</f>
        <v/>
      </c>
      <c r="R44" s="9">
        <f>IF($K44="","",INDEX('سجل التحفيز'!$F$5:$F$2004,MATCH($K44,'سجل التحفيز'!$X$5:$X$2004,0)))</f>
        <v/>
      </c>
      <c r="S44" s="35">
        <f>IF($K44="","",INDEX('سجل التحفيز'!$G$5:$G$2004,MATCH($K44,'سجل التحفيز'!$X$5:$X$2004,0)))</f>
        <v/>
      </c>
    </row>
    <row r="45">
      <c r="B45" s="34">
        <f>IFERROR(INDEX(الموظفات!$B$5:$B$304,MATCH(8,الموظفات!$R$5:$R$304,0)),"")</f>
        <v/>
      </c>
      <c r="C45" s="34">
        <f>IF(B45="","",INDEX(الموظفات!$D$5:$D$304,MATCH(B45,الموظفات!$B$5:$B$304,0))&amp;"")</f>
        <v/>
      </c>
      <c r="D45" s="35">
        <f>IF(B45="","",COUNTIFS('سجل التحفيز'!$X$5:$X$2004,"&gt;0",'سجل التحفيز'!$B$5:$B$2004,B45))</f>
        <v/>
      </c>
      <c r="E45" s="35">
        <f>IF(B45="","",COUNTIFS('سجل التحفيز'!$X$5:$X$2004,"&gt;0",'سجل التحفيز'!$B$5:$B$2004,B45,'سجل التحفيز'!$D$5:$D$2004,"ذهبي"))</f>
        <v/>
      </c>
      <c r="F45" s="35">
        <f>IF(B45="","",SUMIFS('سجل التحفيز'!$G$5:$G$2004,'سجل التحفيز'!$X$5:$X$2004,"&gt;0",'سجل التحفيز'!$B$5:$B$2004,B45))</f>
        <v/>
      </c>
      <c r="G45" s="35">
        <f>IF(B45="","",COUNTIF($D$38:$D$187,"&gt;"&amp;D45)+1)</f>
        <v/>
      </c>
      <c r="H45" s="35">
        <f>IF(B45="","",INDEX(الموظفات!$L$5:$L$304,MATCH(B45,الموظفات!$B$5:$B$304,0)))</f>
        <v/>
      </c>
      <c r="K45" s="36">
        <f>IF(8&gt;$B$10,"",8)</f>
        <v/>
      </c>
      <c r="L45" s="37">
        <f>IF($K45="","",INDEX('سجل التحفيز'!$A$5:$A$2004,MATCH($K45,'سجل التحفيز'!$X$5:$X$2004,0)))</f>
        <v/>
      </c>
      <c r="M45" s="9">
        <f>IF($K45="","",INDEX('سجل التحفيز'!$B$5:$B$2004,MATCH($K45,'سجل التحفيز'!$X$5:$X$2004,0)))</f>
        <v/>
      </c>
      <c r="N45" s="9">
        <f>IF($K45="","",INDEX('سجل التحفيز'!$M$5:$M$2004,MATCH($K45,'سجل التحفيز'!$X$5:$X$2004,0)))</f>
        <v/>
      </c>
      <c r="O45" s="9">
        <f>IF($K45="","",INDEX('سجل التحفيز'!$C$5:$C$2004,MATCH($K45,'سجل التحفيز'!$X$5:$X$2004,0)))</f>
        <v/>
      </c>
      <c r="P45" s="36">
        <f>IF($K45="","",INDEX('سجل التحفيز'!$D$5:$D$2004,MATCH($K45,'سجل التحفيز'!$X$5:$X$2004,0)))</f>
        <v/>
      </c>
      <c r="Q45" s="9">
        <f>IF($K45="","",INDEX('سجل التحفيز'!$E$5:$E$2004,MATCH($K45,'سجل التحفيز'!$X$5:$X$2004,0)))</f>
        <v/>
      </c>
      <c r="R45" s="9">
        <f>IF($K45="","",INDEX('سجل التحفيز'!$F$5:$F$2004,MATCH($K45,'سجل التحفيز'!$X$5:$X$2004,0)))</f>
        <v/>
      </c>
      <c r="S45" s="35">
        <f>IF($K45="","",INDEX('سجل التحفيز'!$G$5:$G$2004,MATCH($K45,'سجل التحفيز'!$X$5:$X$2004,0)))</f>
        <v/>
      </c>
    </row>
    <row r="46">
      <c r="B46" s="34">
        <f>IFERROR(INDEX(الموظفات!$B$5:$B$304,MATCH(9,الموظفات!$R$5:$R$304,0)),"")</f>
        <v/>
      </c>
      <c r="C46" s="34">
        <f>IF(B46="","",INDEX(الموظفات!$D$5:$D$304,MATCH(B46,الموظفات!$B$5:$B$304,0))&amp;"")</f>
        <v/>
      </c>
      <c r="D46" s="35">
        <f>IF(B46="","",COUNTIFS('سجل التحفيز'!$X$5:$X$2004,"&gt;0",'سجل التحفيز'!$B$5:$B$2004,B46))</f>
        <v/>
      </c>
      <c r="E46" s="35">
        <f>IF(B46="","",COUNTIFS('سجل التحفيز'!$X$5:$X$2004,"&gt;0",'سجل التحفيز'!$B$5:$B$2004,B46,'سجل التحفيز'!$D$5:$D$2004,"ذهبي"))</f>
        <v/>
      </c>
      <c r="F46" s="35">
        <f>IF(B46="","",SUMIFS('سجل التحفيز'!$G$5:$G$2004,'سجل التحفيز'!$X$5:$X$2004,"&gt;0",'سجل التحفيز'!$B$5:$B$2004,B46))</f>
        <v/>
      </c>
      <c r="G46" s="35">
        <f>IF(B46="","",COUNTIF($D$38:$D$187,"&gt;"&amp;D46)+1)</f>
        <v/>
      </c>
      <c r="H46" s="35">
        <f>IF(B46="","",INDEX(الموظفات!$L$5:$L$304,MATCH(B46,الموظفات!$B$5:$B$304,0)))</f>
        <v/>
      </c>
      <c r="K46" s="36">
        <f>IF(9&gt;$B$10,"",9)</f>
        <v/>
      </c>
      <c r="L46" s="37">
        <f>IF($K46="","",INDEX('سجل التحفيز'!$A$5:$A$2004,MATCH($K46,'سجل التحفيز'!$X$5:$X$2004,0)))</f>
        <v/>
      </c>
      <c r="M46" s="9">
        <f>IF($K46="","",INDEX('سجل التحفيز'!$B$5:$B$2004,MATCH($K46,'سجل التحفيز'!$X$5:$X$2004,0)))</f>
        <v/>
      </c>
      <c r="N46" s="9">
        <f>IF($K46="","",INDEX('سجل التحفيز'!$M$5:$M$2004,MATCH($K46,'سجل التحفيز'!$X$5:$X$2004,0)))</f>
        <v/>
      </c>
      <c r="O46" s="9">
        <f>IF($K46="","",INDEX('سجل التحفيز'!$C$5:$C$2004,MATCH($K46,'سجل التحفيز'!$X$5:$X$2004,0)))</f>
        <v/>
      </c>
      <c r="P46" s="36">
        <f>IF($K46="","",INDEX('سجل التحفيز'!$D$5:$D$2004,MATCH($K46,'سجل التحفيز'!$X$5:$X$2004,0)))</f>
        <v/>
      </c>
      <c r="Q46" s="9">
        <f>IF($K46="","",INDEX('سجل التحفيز'!$E$5:$E$2004,MATCH($K46,'سجل التحفيز'!$X$5:$X$2004,0)))</f>
        <v/>
      </c>
      <c r="R46" s="9">
        <f>IF($K46="","",INDEX('سجل التحفيز'!$F$5:$F$2004,MATCH($K46,'سجل التحفيز'!$X$5:$X$2004,0)))</f>
        <v/>
      </c>
      <c r="S46" s="35">
        <f>IF($K46="","",INDEX('سجل التحفيز'!$G$5:$G$2004,MATCH($K46,'سجل التحفيز'!$X$5:$X$2004,0)))</f>
        <v/>
      </c>
    </row>
    <row r="47">
      <c r="B47" s="34">
        <f>IFERROR(INDEX(الموظفات!$B$5:$B$304,MATCH(10,الموظفات!$R$5:$R$304,0)),"")</f>
        <v/>
      </c>
      <c r="C47" s="34">
        <f>IF(B47="","",INDEX(الموظفات!$D$5:$D$304,MATCH(B47,الموظفات!$B$5:$B$304,0))&amp;"")</f>
        <v/>
      </c>
      <c r="D47" s="35">
        <f>IF(B47="","",COUNTIFS('سجل التحفيز'!$X$5:$X$2004,"&gt;0",'سجل التحفيز'!$B$5:$B$2004,B47))</f>
        <v/>
      </c>
      <c r="E47" s="35">
        <f>IF(B47="","",COUNTIFS('سجل التحفيز'!$X$5:$X$2004,"&gt;0",'سجل التحفيز'!$B$5:$B$2004,B47,'سجل التحفيز'!$D$5:$D$2004,"ذهبي"))</f>
        <v/>
      </c>
      <c r="F47" s="35">
        <f>IF(B47="","",SUMIFS('سجل التحفيز'!$G$5:$G$2004,'سجل التحفيز'!$X$5:$X$2004,"&gt;0",'سجل التحفيز'!$B$5:$B$2004,B47))</f>
        <v/>
      </c>
      <c r="G47" s="35">
        <f>IF(B47="","",COUNTIF($D$38:$D$187,"&gt;"&amp;D47)+1)</f>
        <v/>
      </c>
      <c r="H47" s="35">
        <f>IF(B47="","",INDEX(الموظفات!$L$5:$L$304,MATCH(B47,الموظفات!$B$5:$B$304,0)))</f>
        <v/>
      </c>
      <c r="K47" s="36">
        <f>IF(10&gt;$B$10,"",10)</f>
        <v/>
      </c>
      <c r="L47" s="37">
        <f>IF($K47="","",INDEX('سجل التحفيز'!$A$5:$A$2004,MATCH($K47,'سجل التحفيز'!$X$5:$X$2004,0)))</f>
        <v/>
      </c>
      <c r="M47" s="9">
        <f>IF($K47="","",INDEX('سجل التحفيز'!$B$5:$B$2004,MATCH($K47,'سجل التحفيز'!$X$5:$X$2004,0)))</f>
        <v/>
      </c>
      <c r="N47" s="9">
        <f>IF($K47="","",INDEX('سجل التحفيز'!$M$5:$M$2004,MATCH($K47,'سجل التحفيز'!$X$5:$X$2004,0)))</f>
        <v/>
      </c>
      <c r="O47" s="9">
        <f>IF($K47="","",INDEX('سجل التحفيز'!$C$5:$C$2004,MATCH($K47,'سجل التحفيز'!$X$5:$X$2004,0)))</f>
        <v/>
      </c>
      <c r="P47" s="36">
        <f>IF($K47="","",INDEX('سجل التحفيز'!$D$5:$D$2004,MATCH($K47,'سجل التحفيز'!$X$5:$X$2004,0)))</f>
        <v/>
      </c>
      <c r="Q47" s="9">
        <f>IF($K47="","",INDEX('سجل التحفيز'!$E$5:$E$2004,MATCH($K47,'سجل التحفيز'!$X$5:$X$2004,0)))</f>
        <v/>
      </c>
      <c r="R47" s="9">
        <f>IF($K47="","",INDEX('سجل التحفيز'!$F$5:$F$2004,MATCH($K47,'سجل التحفيز'!$X$5:$X$2004,0)))</f>
        <v/>
      </c>
      <c r="S47" s="35">
        <f>IF($K47="","",INDEX('سجل التحفيز'!$G$5:$G$2004,MATCH($K47,'سجل التحفيز'!$X$5:$X$2004,0)))</f>
        <v/>
      </c>
    </row>
    <row r="48">
      <c r="B48" s="34">
        <f>IFERROR(INDEX(الموظفات!$B$5:$B$304,MATCH(11,الموظفات!$R$5:$R$304,0)),"")</f>
        <v/>
      </c>
      <c r="C48" s="34">
        <f>IF(B48="","",INDEX(الموظفات!$D$5:$D$304,MATCH(B48,الموظفات!$B$5:$B$304,0))&amp;"")</f>
        <v/>
      </c>
      <c r="D48" s="35">
        <f>IF(B48="","",COUNTIFS('سجل التحفيز'!$X$5:$X$2004,"&gt;0",'سجل التحفيز'!$B$5:$B$2004,B48))</f>
        <v/>
      </c>
      <c r="E48" s="35">
        <f>IF(B48="","",COUNTIFS('سجل التحفيز'!$X$5:$X$2004,"&gt;0",'سجل التحفيز'!$B$5:$B$2004,B48,'سجل التحفيز'!$D$5:$D$2004,"ذهبي"))</f>
        <v/>
      </c>
      <c r="F48" s="35">
        <f>IF(B48="","",SUMIFS('سجل التحفيز'!$G$5:$G$2004,'سجل التحفيز'!$X$5:$X$2004,"&gt;0",'سجل التحفيز'!$B$5:$B$2004,B48))</f>
        <v/>
      </c>
      <c r="G48" s="35">
        <f>IF(B48="","",COUNTIF($D$38:$D$187,"&gt;"&amp;D48)+1)</f>
        <v/>
      </c>
      <c r="H48" s="35">
        <f>IF(B48="","",INDEX(الموظفات!$L$5:$L$304,MATCH(B48,الموظفات!$B$5:$B$304,0)))</f>
        <v/>
      </c>
      <c r="K48" s="36">
        <f>IF(11&gt;$B$10,"",11)</f>
        <v/>
      </c>
      <c r="L48" s="37">
        <f>IF($K48="","",INDEX('سجل التحفيز'!$A$5:$A$2004,MATCH($K48,'سجل التحفيز'!$X$5:$X$2004,0)))</f>
        <v/>
      </c>
      <c r="M48" s="9">
        <f>IF($K48="","",INDEX('سجل التحفيز'!$B$5:$B$2004,MATCH($K48,'سجل التحفيز'!$X$5:$X$2004,0)))</f>
        <v/>
      </c>
      <c r="N48" s="9">
        <f>IF($K48="","",INDEX('سجل التحفيز'!$M$5:$M$2004,MATCH($K48,'سجل التحفيز'!$X$5:$X$2004,0)))</f>
        <v/>
      </c>
      <c r="O48" s="9">
        <f>IF($K48="","",INDEX('سجل التحفيز'!$C$5:$C$2004,MATCH($K48,'سجل التحفيز'!$X$5:$X$2004,0)))</f>
        <v/>
      </c>
      <c r="P48" s="36">
        <f>IF($K48="","",INDEX('سجل التحفيز'!$D$5:$D$2004,MATCH($K48,'سجل التحفيز'!$X$5:$X$2004,0)))</f>
        <v/>
      </c>
      <c r="Q48" s="9">
        <f>IF($K48="","",INDEX('سجل التحفيز'!$E$5:$E$2004,MATCH($K48,'سجل التحفيز'!$X$5:$X$2004,0)))</f>
        <v/>
      </c>
      <c r="R48" s="9">
        <f>IF($K48="","",INDEX('سجل التحفيز'!$F$5:$F$2004,MATCH($K48,'سجل التحفيز'!$X$5:$X$2004,0)))</f>
        <v/>
      </c>
      <c r="S48" s="35">
        <f>IF($K48="","",INDEX('سجل التحفيز'!$G$5:$G$2004,MATCH($K48,'سجل التحفيز'!$X$5:$X$2004,0)))</f>
        <v/>
      </c>
    </row>
    <row r="49">
      <c r="B49" s="34">
        <f>IFERROR(INDEX(الموظفات!$B$5:$B$304,MATCH(12,الموظفات!$R$5:$R$304,0)),"")</f>
        <v/>
      </c>
      <c r="C49" s="34">
        <f>IF(B49="","",INDEX(الموظفات!$D$5:$D$304,MATCH(B49,الموظفات!$B$5:$B$304,0))&amp;"")</f>
        <v/>
      </c>
      <c r="D49" s="35">
        <f>IF(B49="","",COUNTIFS('سجل التحفيز'!$X$5:$X$2004,"&gt;0",'سجل التحفيز'!$B$5:$B$2004,B49))</f>
        <v/>
      </c>
      <c r="E49" s="35">
        <f>IF(B49="","",COUNTIFS('سجل التحفيز'!$X$5:$X$2004,"&gt;0",'سجل التحفيز'!$B$5:$B$2004,B49,'سجل التحفيز'!$D$5:$D$2004,"ذهبي"))</f>
        <v/>
      </c>
      <c r="F49" s="35">
        <f>IF(B49="","",SUMIFS('سجل التحفيز'!$G$5:$G$2004,'سجل التحفيز'!$X$5:$X$2004,"&gt;0",'سجل التحفيز'!$B$5:$B$2004,B49))</f>
        <v/>
      </c>
      <c r="G49" s="35">
        <f>IF(B49="","",COUNTIF($D$38:$D$187,"&gt;"&amp;D49)+1)</f>
        <v/>
      </c>
      <c r="H49" s="35">
        <f>IF(B49="","",INDEX(الموظفات!$L$5:$L$304,MATCH(B49,الموظفات!$B$5:$B$304,0)))</f>
        <v/>
      </c>
      <c r="K49" s="36">
        <f>IF(12&gt;$B$10,"",12)</f>
        <v/>
      </c>
      <c r="L49" s="37">
        <f>IF($K49="","",INDEX('سجل التحفيز'!$A$5:$A$2004,MATCH($K49,'سجل التحفيز'!$X$5:$X$2004,0)))</f>
        <v/>
      </c>
      <c r="M49" s="9">
        <f>IF($K49="","",INDEX('سجل التحفيز'!$B$5:$B$2004,MATCH($K49,'سجل التحفيز'!$X$5:$X$2004,0)))</f>
        <v/>
      </c>
      <c r="N49" s="9">
        <f>IF($K49="","",INDEX('سجل التحفيز'!$M$5:$M$2004,MATCH($K49,'سجل التحفيز'!$X$5:$X$2004,0)))</f>
        <v/>
      </c>
      <c r="O49" s="9">
        <f>IF($K49="","",INDEX('سجل التحفيز'!$C$5:$C$2004,MATCH($K49,'سجل التحفيز'!$X$5:$X$2004,0)))</f>
        <v/>
      </c>
      <c r="P49" s="36">
        <f>IF($K49="","",INDEX('سجل التحفيز'!$D$5:$D$2004,MATCH($K49,'سجل التحفيز'!$X$5:$X$2004,0)))</f>
        <v/>
      </c>
      <c r="Q49" s="9">
        <f>IF($K49="","",INDEX('سجل التحفيز'!$E$5:$E$2004,MATCH($K49,'سجل التحفيز'!$X$5:$X$2004,0)))</f>
        <v/>
      </c>
      <c r="R49" s="9">
        <f>IF($K49="","",INDEX('سجل التحفيز'!$F$5:$F$2004,MATCH($K49,'سجل التحفيز'!$X$5:$X$2004,0)))</f>
        <v/>
      </c>
      <c r="S49" s="35">
        <f>IF($K49="","",INDEX('سجل التحفيز'!$G$5:$G$2004,MATCH($K49,'سجل التحفيز'!$X$5:$X$2004,0)))</f>
        <v/>
      </c>
    </row>
    <row r="50">
      <c r="B50" s="34">
        <f>IFERROR(INDEX(الموظفات!$B$5:$B$304,MATCH(13,الموظفات!$R$5:$R$304,0)),"")</f>
        <v/>
      </c>
      <c r="C50" s="34">
        <f>IF(B50="","",INDEX(الموظفات!$D$5:$D$304,MATCH(B50,الموظفات!$B$5:$B$304,0))&amp;"")</f>
        <v/>
      </c>
      <c r="D50" s="35">
        <f>IF(B50="","",COUNTIFS('سجل التحفيز'!$X$5:$X$2004,"&gt;0",'سجل التحفيز'!$B$5:$B$2004,B50))</f>
        <v/>
      </c>
      <c r="E50" s="35">
        <f>IF(B50="","",COUNTIFS('سجل التحفيز'!$X$5:$X$2004,"&gt;0",'سجل التحفيز'!$B$5:$B$2004,B50,'سجل التحفيز'!$D$5:$D$2004,"ذهبي"))</f>
        <v/>
      </c>
      <c r="F50" s="35">
        <f>IF(B50="","",SUMIFS('سجل التحفيز'!$G$5:$G$2004,'سجل التحفيز'!$X$5:$X$2004,"&gt;0",'سجل التحفيز'!$B$5:$B$2004,B50))</f>
        <v/>
      </c>
      <c r="G50" s="35">
        <f>IF(B50="","",COUNTIF($D$38:$D$187,"&gt;"&amp;D50)+1)</f>
        <v/>
      </c>
      <c r="H50" s="35">
        <f>IF(B50="","",INDEX(الموظفات!$L$5:$L$304,MATCH(B50,الموظفات!$B$5:$B$304,0)))</f>
        <v/>
      </c>
      <c r="K50" s="36">
        <f>IF(13&gt;$B$10,"",13)</f>
        <v/>
      </c>
      <c r="L50" s="37">
        <f>IF($K50="","",INDEX('سجل التحفيز'!$A$5:$A$2004,MATCH($K50,'سجل التحفيز'!$X$5:$X$2004,0)))</f>
        <v/>
      </c>
      <c r="M50" s="9">
        <f>IF($K50="","",INDEX('سجل التحفيز'!$B$5:$B$2004,MATCH($K50,'سجل التحفيز'!$X$5:$X$2004,0)))</f>
        <v/>
      </c>
      <c r="N50" s="9">
        <f>IF($K50="","",INDEX('سجل التحفيز'!$M$5:$M$2004,MATCH($K50,'سجل التحفيز'!$X$5:$X$2004,0)))</f>
        <v/>
      </c>
      <c r="O50" s="9">
        <f>IF($K50="","",INDEX('سجل التحفيز'!$C$5:$C$2004,MATCH($K50,'سجل التحفيز'!$X$5:$X$2004,0)))</f>
        <v/>
      </c>
      <c r="P50" s="36">
        <f>IF($K50="","",INDEX('سجل التحفيز'!$D$5:$D$2004,MATCH($K50,'سجل التحفيز'!$X$5:$X$2004,0)))</f>
        <v/>
      </c>
      <c r="Q50" s="9">
        <f>IF($K50="","",INDEX('سجل التحفيز'!$E$5:$E$2004,MATCH($K50,'سجل التحفيز'!$X$5:$X$2004,0)))</f>
        <v/>
      </c>
      <c r="R50" s="9">
        <f>IF($K50="","",INDEX('سجل التحفيز'!$F$5:$F$2004,MATCH($K50,'سجل التحفيز'!$X$5:$X$2004,0)))</f>
        <v/>
      </c>
      <c r="S50" s="35">
        <f>IF($K50="","",INDEX('سجل التحفيز'!$G$5:$G$2004,MATCH($K50,'سجل التحفيز'!$X$5:$X$2004,0)))</f>
        <v/>
      </c>
    </row>
    <row r="51">
      <c r="B51" s="34">
        <f>IFERROR(INDEX(الموظفات!$B$5:$B$304,MATCH(14,الموظفات!$R$5:$R$304,0)),"")</f>
        <v/>
      </c>
      <c r="C51" s="34">
        <f>IF(B51="","",INDEX(الموظفات!$D$5:$D$304,MATCH(B51,الموظفات!$B$5:$B$304,0))&amp;"")</f>
        <v/>
      </c>
      <c r="D51" s="35">
        <f>IF(B51="","",COUNTIFS('سجل التحفيز'!$X$5:$X$2004,"&gt;0",'سجل التحفيز'!$B$5:$B$2004,B51))</f>
        <v/>
      </c>
      <c r="E51" s="35">
        <f>IF(B51="","",COUNTIFS('سجل التحفيز'!$X$5:$X$2004,"&gt;0",'سجل التحفيز'!$B$5:$B$2004,B51,'سجل التحفيز'!$D$5:$D$2004,"ذهبي"))</f>
        <v/>
      </c>
      <c r="F51" s="35">
        <f>IF(B51="","",SUMIFS('سجل التحفيز'!$G$5:$G$2004,'سجل التحفيز'!$X$5:$X$2004,"&gt;0",'سجل التحفيز'!$B$5:$B$2004,B51))</f>
        <v/>
      </c>
      <c r="G51" s="35">
        <f>IF(B51="","",COUNTIF($D$38:$D$187,"&gt;"&amp;D51)+1)</f>
        <v/>
      </c>
      <c r="H51" s="35">
        <f>IF(B51="","",INDEX(الموظفات!$L$5:$L$304,MATCH(B51,الموظفات!$B$5:$B$304,0)))</f>
        <v/>
      </c>
      <c r="K51" s="36">
        <f>IF(14&gt;$B$10,"",14)</f>
        <v/>
      </c>
      <c r="L51" s="37">
        <f>IF($K51="","",INDEX('سجل التحفيز'!$A$5:$A$2004,MATCH($K51,'سجل التحفيز'!$X$5:$X$2004,0)))</f>
        <v/>
      </c>
      <c r="M51" s="9">
        <f>IF($K51="","",INDEX('سجل التحفيز'!$B$5:$B$2004,MATCH($K51,'سجل التحفيز'!$X$5:$X$2004,0)))</f>
        <v/>
      </c>
      <c r="N51" s="9">
        <f>IF($K51="","",INDEX('سجل التحفيز'!$M$5:$M$2004,MATCH($K51,'سجل التحفيز'!$X$5:$X$2004,0)))</f>
        <v/>
      </c>
      <c r="O51" s="9">
        <f>IF($K51="","",INDEX('سجل التحفيز'!$C$5:$C$2004,MATCH($K51,'سجل التحفيز'!$X$5:$X$2004,0)))</f>
        <v/>
      </c>
      <c r="P51" s="36">
        <f>IF($K51="","",INDEX('سجل التحفيز'!$D$5:$D$2004,MATCH($K51,'سجل التحفيز'!$X$5:$X$2004,0)))</f>
        <v/>
      </c>
      <c r="Q51" s="9">
        <f>IF($K51="","",INDEX('سجل التحفيز'!$E$5:$E$2004,MATCH($K51,'سجل التحفيز'!$X$5:$X$2004,0)))</f>
        <v/>
      </c>
      <c r="R51" s="9">
        <f>IF($K51="","",INDEX('سجل التحفيز'!$F$5:$F$2004,MATCH($K51,'سجل التحفيز'!$X$5:$X$2004,0)))</f>
        <v/>
      </c>
      <c r="S51" s="35">
        <f>IF($K51="","",INDEX('سجل التحفيز'!$G$5:$G$2004,MATCH($K51,'سجل التحفيز'!$X$5:$X$2004,0)))</f>
        <v/>
      </c>
    </row>
    <row r="52">
      <c r="B52" s="34">
        <f>IFERROR(INDEX(الموظفات!$B$5:$B$304,MATCH(15,الموظفات!$R$5:$R$304,0)),"")</f>
        <v/>
      </c>
      <c r="C52" s="34">
        <f>IF(B52="","",INDEX(الموظفات!$D$5:$D$304,MATCH(B52,الموظفات!$B$5:$B$304,0))&amp;"")</f>
        <v/>
      </c>
      <c r="D52" s="35">
        <f>IF(B52="","",COUNTIFS('سجل التحفيز'!$X$5:$X$2004,"&gt;0",'سجل التحفيز'!$B$5:$B$2004,B52))</f>
        <v/>
      </c>
      <c r="E52" s="35">
        <f>IF(B52="","",COUNTIFS('سجل التحفيز'!$X$5:$X$2004,"&gt;0",'سجل التحفيز'!$B$5:$B$2004,B52,'سجل التحفيز'!$D$5:$D$2004,"ذهبي"))</f>
        <v/>
      </c>
      <c r="F52" s="35">
        <f>IF(B52="","",SUMIFS('سجل التحفيز'!$G$5:$G$2004,'سجل التحفيز'!$X$5:$X$2004,"&gt;0",'سجل التحفيز'!$B$5:$B$2004,B52))</f>
        <v/>
      </c>
      <c r="G52" s="35">
        <f>IF(B52="","",COUNTIF($D$38:$D$187,"&gt;"&amp;D52)+1)</f>
        <v/>
      </c>
      <c r="H52" s="35">
        <f>IF(B52="","",INDEX(الموظفات!$L$5:$L$304,MATCH(B52,الموظفات!$B$5:$B$304,0)))</f>
        <v/>
      </c>
      <c r="K52" s="36">
        <f>IF(15&gt;$B$10,"",15)</f>
        <v/>
      </c>
      <c r="L52" s="37">
        <f>IF($K52="","",INDEX('سجل التحفيز'!$A$5:$A$2004,MATCH($K52,'سجل التحفيز'!$X$5:$X$2004,0)))</f>
        <v/>
      </c>
      <c r="M52" s="9">
        <f>IF($K52="","",INDEX('سجل التحفيز'!$B$5:$B$2004,MATCH($K52,'سجل التحفيز'!$X$5:$X$2004,0)))</f>
        <v/>
      </c>
      <c r="N52" s="9">
        <f>IF($K52="","",INDEX('سجل التحفيز'!$M$5:$M$2004,MATCH($K52,'سجل التحفيز'!$X$5:$X$2004,0)))</f>
        <v/>
      </c>
      <c r="O52" s="9">
        <f>IF($K52="","",INDEX('سجل التحفيز'!$C$5:$C$2004,MATCH($K52,'سجل التحفيز'!$X$5:$X$2004,0)))</f>
        <v/>
      </c>
      <c r="P52" s="36">
        <f>IF($K52="","",INDEX('سجل التحفيز'!$D$5:$D$2004,MATCH($K52,'سجل التحفيز'!$X$5:$X$2004,0)))</f>
        <v/>
      </c>
      <c r="Q52" s="9">
        <f>IF($K52="","",INDEX('سجل التحفيز'!$E$5:$E$2004,MATCH($K52,'سجل التحفيز'!$X$5:$X$2004,0)))</f>
        <v/>
      </c>
      <c r="R52" s="9">
        <f>IF($K52="","",INDEX('سجل التحفيز'!$F$5:$F$2004,MATCH($K52,'سجل التحفيز'!$X$5:$X$2004,0)))</f>
        <v/>
      </c>
      <c r="S52" s="35">
        <f>IF($K52="","",INDEX('سجل التحفيز'!$G$5:$G$2004,MATCH($K52,'سجل التحفيز'!$X$5:$X$2004,0)))</f>
        <v/>
      </c>
    </row>
    <row r="53">
      <c r="B53" s="34">
        <f>IFERROR(INDEX(الموظفات!$B$5:$B$304,MATCH(16,الموظفات!$R$5:$R$304,0)),"")</f>
        <v/>
      </c>
      <c r="C53" s="34">
        <f>IF(B53="","",INDEX(الموظفات!$D$5:$D$304,MATCH(B53,الموظفات!$B$5:$B$304,0))&amp;"")</f>
        <v/>
      </c>
      <c r="D53" s="35">
        <f>IF(B53="","",COUNTIFS('سجل التحفيز'!$X$5:$X$2004,"&gt;0",'سجل التحفيز'!$B$5:$B$2004,B53))</f>
        <v/>
      </c>
      <c r="E53" s="35">
        <f>IF(B53="","",COUNTIFS('سجل التحفيز'!$X$5:$X$2004,"&gt;0",'سجل التحفيز'!$B$5:$B$2004,B53,'سجل التحفيز'!$D$5:$D$2004,"ذهبي"))</f>
        <v/>
      </c>
      <c r="F53" s="35">
        <f>IF(B53="","",SUMIFS('سجل التحفيز'!$G$5:$G$2004,'سجل التحفيز'!$X$5:$X$2004,"&gt;0",'سجل التحفيز'!$B$5:$B$2004,B53))</f>
        <v/>
      </c>
      <c r="G53" s="35">
        <f>IF(B53="","",COUNTIF($D$38:$D$187,"&gt;"&amp;D53)+1)</f>
        <v/>
      </c>
      <c r="H53" s="35">
        <f>IF(B53="","",INDEX(الموظفات!$L$5:$L$304,MATCH(B53,الموظفات!$B$5:$B$304,0)))</f>
        <v/>
      </c>
      <c r="K53" s="36">
        <f>IF(16&gt;$B$10,"",16)</f>
        <v/>
      </c>
      <c r="L53" s="37">
        <f>IF($K53="","",INDEX('سجل التحفيز'!$A$5:$A$2004,MATCH($K53,'سجل التحفيز'!$X$5:$X$2004,0)))</f>
        <v/>
      </c>
      <c r="M53" s="9">
        <f>IF($K53="","",INDEX('سجل التحفيز'!$B$5:$B$2004,MATCH($K53,'سجل التحفيز'!$X$5:$X$2004,0)))</f>
        <v/>
      </c>
      <c r="N53" s="9">
        <f>IF($K53="","",INDEX('سجل التحفيز'!$M$5:$M$2004,MATCH($K53,'سجل التحفيز'!$X$5:$X$2004,0)))</f>
        <v/>
      </c>
      <c r="O53" s="9">
        <f>IF($K53="","",INDEX('سجل التحفيز'!$C$5:$C$2004,MATCH($K53,'سجل التحفيز'!$X$5:$X$2004,0)))</f>
        <v/>
      </c>
      <c r="P53" s="36">
        <f>IF($K53="","",INDEX('سجل التحفيز'!$D$5:$D$2004,MATCH($K53,'سجل التحفيز'!$X$5:$X$2004,0)))</f>
        <v/>
      </c>
      <c r="Q53" s="9">
        <f>IF($K53="","",INDEX('سجل التحفيز'!$E$5:$E$2004,MATCH($K53,'سجل التحفيز'!$X$5:$X$2004,0)))</f>
        <v/>
      </c>
      <c r="R53" s="9">
        <f>IF($K53="","",INDEX('سجل التحفيز'!$F$5:$F$2004,MATCH($K53,'سجل التحفيز'!$X$5:$X$2004,0)))</f>
        <v/>
      </c>
      <c r="S53" s="35">
        <f>IF($K53="","",INDEX('سجل التحفيز'!$G$5:$G$2004,MATCH($K53,'سجل التحفيز'!$X$5:$X$2004,0)))</f>
        <v/>
      </c>
    </row>
    <row r="54">
      <c r="B54" s="34">
        <f>IFERROR(INDEX(الموظفات!$B$5:$B$304,MATCH(17,الموظفات!$R$5:$R$304,0)),"")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التحفيز'!$X$5:$X$2004,"&gt;0",'سجل التحفيز'!$B$5:$B$2004,B54))</f>
        <v/>
      </c>
      <c r="E54" s="35">
        <f>IF(B54="","",COUNTIFS('سجل التحفيز'!$X$5:$X$2004,"&gt;0",'سجل التحفيز'!$B$5:$B$2004,B54,'سجل التحفيز'!$D$5:$D$2004,"ذهبي"))</f>
        <v/>
      </c>
      <c r="F54" s="35">
        <f>IF(B54="","",SUMIFS('سجل التحفيز'!$G$5:$G$2004,'سجل التحفيز'!$X$5:$X$2004,"&gt;0",'سجل التحفيز'!$B$5:$B$2004,B54))</f>
        <v/>
      </c>
      <c r="G54" s="35">
        <f>IF(B54="","",COUNTIF($D$38:$D$187,"&gt;"&amp;D54)+1)</f>
        <v/>
      </c>
      <c r="H54" s="35">
        <f>IF(B54="","",INDEX(الموظفات!$L$5:$L$304,MATCH(B54,الموظفات!$B$5:$B$304,0)))</f>
        <v/>
      </c>
      <c r="K54" s="36">
        <f>IF(17&gt;$B$10,"",17)</f>
        <v/>
      </c>
      <c r="L54" s="37">
        <f>IF($K54="","",INDEX('سجل التحفيز'!$A$5:$A$2004,MATCH($K54,'سجل التحفيز'!$X$5:$X$2004,0)))</f>
        <v/>
      </c>
      <c r="M54" s="9">
        <f>IF($K54="","",INDEX('سجل التحفيز'!$B$5:$B$2004,MATCH($K54,'سجل التحفيز'!$X$5:$X$2004,0)))</f>
        <v/>
      </c>
      <c r="N54" s="9">
        <f>IF($K54="","",INDEX('سجل التحفيز'!$M$5:$M$2004,MATCH($K54,'سجل التحفيز'!$X$5:$X$2004,0)))</f>
        <v/>
      </c>
      <c r="O54" s="9">
        <f>IF($K54="","",INDEX('سجل التحفيز'!$C$5:$C$2004,MATCH($K54,'سجل التحفيز'!$X$5:$X$2004,0)))</f>
        <v/>
      </c>
      <c r="P54" s="36">
        <f>IF($K54="","",INDEX('سجل التحفيز'!$D$5:$D$2004,MATCH($K54,'سجل التحفيز'!$X$5:$X$2004,0)))</f>
        <v/>
      </c>
      <c r="Q54" s="9">
        <f>IF($K54="","",INDEX('سجل التحفيز'!$E$5:$E$2004,MATCH($K54,'سجل التحفيز'!$X$5:$X$2004,0)))</f>
        <v/>
      </c>
      <c r="R54" s="9">
        <f>IF($K54="","",INDEX('سجل التحفيز'!$F$5:$F$2004,MATCH($K54,'سجل التحفيز'!$X$5:$X$2004,0)))</f>
        <v/>
      </c>
      <c r="S54" s="35">
        <f>IF($K54="","",INDEX('سجل التحفيز'!$G$5:$G$2004,MATCH($K54,'سجل التحفيز'!$X$5:$X$2004,0)))</f>
        <v/>
      </c>
    </row>
    <row r="55">
      <c r="B55" s="34">
        <f>IFERROR(INDEX(الموظفات!$B$5:$B$304,MATCH(18,الموظفات!$R$5:$R$304,0)),"")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التحفيز'!$X$5:$X$2004,"&gt;0",'سجل التحفيز'!$B$5:$B$2004,B55))</f>
        <v/>
      </c>
      <c r="E55" s="35">
        <f>IF(B55="","",COUNTIFS('سجل التحفيز'!$X$5:$X$2004,"&gt;0",'سجل التحفيز'!$B$5:$B$2004,B55,'سجل التحفيز'!$D$5:$D$2004,"ذهبي"))</f>
        <v/>
      </c>
      <c r="F55" s="35">
        <f>IF(B55="","",SUMIFS('سجل التحفيز'!$G$5:$G$2004,'سجل التحفيز'!$X$5:$X$2004,"&gt;0",'سجل التحفيز'!$B$5:$B$2004,B55))</f>
        <v/>
      </c>
      <c r="G55" s="35">
        <f>IF(B55="","",COUNTIF($D$38:$D$187,"&gt;"&amp;D55)+1)</f>
        <v/>
      </c>
      <c r="H55" s="35">
        <f>IF(B55="","",INDEX(الموظفات!$L$5:$L$304,MATCH(B55,الموظفات!$B$5:$B$304,0)))</f>
        <v/>
      </c>
      <c r="K55" s="36">
        <f>IF(18&gt;$B$10,"",18)</f>
        <v/>
      </c>
      <c r="L55" s="37">
        <f>IF($K55="","",INDEX('سجل التحفيز'!$A$5:$A$2004,MATCH($K55,'سجل التحفيز'!$X$5:$X$2004,0)))</f>
        <v/>
      </c>
      <c r="M55" s="9">
        <f>IF($K55="","",INDEX('سجل التحفيز'!$B$5:$B$2004,MATCH($K55,'سجل التحفيز'!$X$5:$X$2004,0)))</f>
        <v/>
      </c>
      <c r="N55" s="9">
        <f>IF($K55="","",INDEX('سجل التحفيز'!$M$5:$M$2004,MATCH($K55,'سجل التحفيز'!$X$5:$X$2004,0)))</f>
        <v/>
      </c>
      <c r="O55" s="9">
        <f>IF($K55="","",INDEX('سجل التحفيز'!$C$5:$C$2004,MATCH($K55,'سجل التحفيز'!$X$5:$X$2004,0)))</f>
        <v/>
      </c>
      <c r="P55" s="36">
        <f>IF($K55="","",INDEX('سجل التحفيز'!$D$5:$D$2004,MATCH($K55,'سجل التحفيز'!$X$5:$X$2004,0)))</f>
        <v/>
      </c>
      <c r="Q55" s="9">
        <f>IF($K55="","",INDEX('سجل التحفيز'!$E$5:$E$2004,MATCH($K55,'سجل التحفيز'!$X$5:$X$2004,0)))</f>
        <v/>
      </c>
      <c r="R55" s="9">
        <f>IF($K55="","",INDEX('سجل التحفيز'!$F$5:$F$2004,MATCH($K55,'سجل التحفيز'!$X$5:$X$2004,0)))</f>
        <v/>
      </c>
      <c r="S55" s="35">
        <f>IF($K55="","",INDEX('سجل التحفيز'!$G$5:$G$2004,MATCH($K55,'سجل التحفيز'!$X$5:$X$2004,0)))</f>
        <v/>
      </c>
    </row>
    <row r="56">
      <c r="B56" s="34">
        <f>IFERROR(INDEX(الموظفات!$B$5:$B$304,MATCH(19,الموظفات!$R$5:$R$304,0)),"")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التحفيز'!$X$5:$X$2004,"&gt;0",'سجل التحفيز'!$B$5:$B$2004,B56))</f>
        <v/>
      </c>
      <c r="E56" s="35">
        <f>IF(B56="","",COUNTIFS('سجل التحفيز'!$X$5:$X$2004,"&gt;0",'سجل التحفيز'!$B$5:$B$2004,B56,'سجل التحفيز'!$D$5:$D$2004,"ذهبي"))</f>
        <v/>
      </c>
      <c r="F56" s="35">
        <f>IF(B56="","",SUMIFS('سجل التحفيز'!$G$5:$G$2004,'سجل التحفيز'!$X$5:$X$2004,"&gt;0",'سجل التحفيز'!$B$5:$B$2004,B56))</f>
        <v/>
      </c>
      <c r="G56" s="35">
        <f>IF(B56="","",COUNTIF($D$38:$D$187,"&gt;"&amp;D56)+1)</f>
        <v/>
      </c>
      <c r="H56" s="35">
        <f>IF(B56="","",INDEX(الموظفات!$L$5:$L$304,MATCH(B56,الموظفات!$B$5:$B$304,0)))</f>
        <v/>
      </c>
      <c r="K56" s="36">
        <f>IF(19&gt;$B$10,"",19)</f>
        <v/>
      </c>
      <c r="L56" s="37">
        <f>IF($K56="","",INDEX('سجل التحفيز'!$A$5:$A$2004,MATCH($K56,'سجل التحفيز'!$X$5:$X$2004,0)))</f>
        <v/>
      </c>
      <c r="M56" s="9">
        <f>IF($K56="","",INDEX('سجل التحفيز'!$B$5:$B$2004,MATCH($K56,'سجل التحفيز'!$X$5:$X$2004,0)))</f>
        <v/>
      </c>
      <c r="N56" s="9">
        <f>IF($K56="","",INDEX('سجل التحفيز'!$M$5:$M$2004,MATCH($K56,'سجل التحفيز'!$X$5:$X$2004,0)))</f>
        <v/>
      </c>
      <c r="O56" s="9">
        <f>IF($K56="","",INDEX('سجل التحفيز'!$C$5:$C$2004,MATCH($K56,'سجل التحفيز'!$X$5:$X$2004,0)))</f>
        <v/>
      </c>
      <c r="P56" s="36">
        <f>IF($K56="","",INDEX('سجل التحفيز'!$D$5:$D$2004,MATCH($K56,'سجل التحفيز'!$X$5:$X$2004,0)))</f>
        <v/>
      </c>
      <c r="Q56" s="9">
        <f>IF($K56="","",INDEX('سجل التحفيز'!$E$5:$E$2004,MATCH($K56,'سجل التحفيز'!$X$5:$X$2004,0)))</f>
        <v/>
      </c>
      <c r="R56" s="9">
        <f>IF($K56="","",INDEX('سجل التحفيز'!$F$5:$F$2004,MATCH($K56,'سجل التحفيز'!$X$5:$X$2004,0)))</f>
        <v/>
      </c>
      <c r="S56" s="35">
        <f>IF($K56="","",INDEX('سجل التحفيز'!$G$5:$G$2004,MATCH($K56,'سجل التحفيز'!$X$5:$X$2004,0)))</f>
        <v/>
      </c>
    </row>
    <row r="57">
      <c r="B57" s="34">
        <f>IFERROR(INDEX(الموظفات!$B$5:$B$304,MATCH(20,الموظفات!$R$5:$R$304,0)),"")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التحفيز'!$X$5:$X$2004,"&gt;0",'سجل التحفيز'!$B$5:$B$2004,B57))</f>
        <v/>
      </c>
      <c r="E57" s="35">
        <f>IF(B57="","",COUNTIFS('سجل التحفيز'!$X$5:$X$2004,"&gt;0",'سجل التحفيز'!$B$5:$B$2004,B57,'سجل التحفيز'!$D$5:$D$2004,"ذهبي"))</f>
        <v/>
      </c>
      <c r="F57" s="35">
        <f>IF(B57="","",SUMIFS('سجل التحفيز'!$G$5:$G$2004,'سجل التحفيز'!$X$5:$X$2004,"&gt;0",'سجل التحفيز'!$B$5:$B$2004,B57))</f>
        <v/>
      </c>
      <c r="G57" s="35">
        <f>IF(B57="","",COUNTIF($D$38:$D$187,"&gt;"&amp;D57)+1)</f>
        <v/>
      </c>
      <c r="H57" s="35">
        <f>IF(B57="","",INDEX(الموظفات!$L$5:$L$304,MATCH(B57,الموظفات!$B$5:$B$304,0)))</f>
        <v/>
      </c>
      <c r="K57" s="36">
        <f>IF(20&gt;$B$10,"",20)</f>
        <v/>
      </c>
      <c r="L57" s="37">
        <f>IF($K57="","",INDEX('سجل التحفيز'!$A$5:$A$2004,MATCH($K57,'سجل التحفيز'!$X$5:$X$2004,0)))</f>
        <v/>
      </c>
      <c r="M57" s="9">
        <f>IF($K57="","",INDEX('سجل التحفيز'!$B$5:$B$2004,MATCH($K57,'سجل التحفيز'!$X$5:$X$2004,0)))</f>
        <v/>
      </c>
      <c r="N57" s="9">
        <f>IF($K57="","",INDEX('سجل التحفيز'!$M$5:$M$2004,MATCH($K57,'سجل التحفيز'!$X$5:$X$2004,0)))</f>
        <v/>
      </c>
      <c r="O57" s="9">
        <f>IF($K57="","",INDEX('سجل التحفيز'!$C$5:$C$2004,MATCH($K57,'سجل التحفيز'!$X$5:$X$2004,0)))</f>
        <v/>
      </c>
      <c r="P57" s="36">
        <f>IF($K57="","",INDEX('سجل التحفيز'!$D$5:$D$2004,MATCH($K57,'سجل التحفيز'!$X$5:$X$2004,0)))</f>
        <v/>
      </c>
      <c r="Q57" s="9">
        <f>IF($K57="","",INDEX('سجل التحفيز'!$E$5:$E$2004,MATCH($K57,'سجل التحفيز'!$X$5:$X$2004,0)))</f>
        <v/>
      </c>
      <c r="R57" s="9">
        <f>IF($K57="","",INDEX('سجل التحفيز'!$F$5:$F$2004,MATCH($K57,'سجل التحفيز'!$X$5:$X$2004,0)))</f>
        <v/>
      </c>
      <c r="S57" s="35">
        <f>IF($K57="","",INDEX('سجل التحفيز'!$G$5:$G$2004,MATCH($K57,'سجل التحفيز'!$X$5:$X$2004,0)))</f>
        <v/>
      </c>
    </row>
    <row r="58">
      <c r="B58" s="34">
        <f>IFERROR(INDEX(الموظفات!$B$5:$B$304,MATCH(21,الموظفات!$R$5:$R$304,0)),"")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التحفيز'!$X$5:$X$2004,"&gt;0",'سجل التحفيز'!$B$5:$B$2004,B58))</f>
        <v/>
      </c>
      <c r="E58" s="35">
        <f>IF(B58="","",COUNTIFS('سجل التحفيز'!$X$5:$X$2004,"&gt;0",'سجل التحفيز'!$B$5:$B$2004,B58,'سجل التحفيز'!$D$5:$D$2004,"ذهبي"))</f>
        <v/>
      </c>
      <c r="F58" s="35">
        <f>IF(B58="","",SUMIFS('سجل التحفيز'!$G$5:$G$2004,'سجل التحفيز'!$X$5:$X$2004,"&gt;0",'سجل التحفيز'!$B$5:$B$2004,B58))</f>
        <v/>
      </c>
      <c r="G58" s="35">
        <f>IF(B58="","",COUNTIF($D$38:$D$187,"&gt;"&amp;D58)+1)</f>
        <v/>
      </c>
      <c r="H58" s="35">
        <f>IF(B58="","",INDEX(الموظفات!$L$5:$L$304,MATCH(B58,الموظفات!$B$5:$B$304,0)))</f>
        <v/>
      </c>
      <c r="K58" s="36">
        <f>IF(21&gt;$B$10,"",21)</f>
        <v/>
      </c>
      <c r="L58" s="37">
        <f>IF($K58="","",INDEX('سجل التحفيز'!$A$5:$A$2004,MATCH($K58,'سجل التحفيز'!$X$5:$X$2004,0)))</f>
        <v/>
      </c>
      <c r="M58" s="9">
        <f>IF($K58="","",INDEX('سجل التحفيز'!$B$5:$B$2004,MATCH($K58,'سجل التحفيز'!$X$5:$X$2004,0)))</f>
        <v/>
      </c>
      <c r="N58" s="9">
        <f>IF($K58="","",INDEX('سجل التحفيز'!$M$5:$M$2004,MATCH($K58,'سجل التحفيز'!$X$5:$X$2004,0)))</f>
        <v/>
      </c>
      <c r="O58" s="9">
        <f>IF($K58="","",INDEX('سجل التحفيز'!$C$5:$C$2004,MATCH($K58,'سجل التحفيز'!$X$5:$X$2004,0)))</f>
        <v/>
      </c>
      <c r="P58" s="36">
        <f>IF($K58="","",INDEX('سجل التحفيز'!$D$5:$D$2004,MATCH($K58,'سجل التحفيز'!$X$5:$X$2004,0)))</f>
        <v/>
      </c>
      <c r="Q58" s="9">
        <f>IF($K58="","",INDEX('سجل التحفيز'!$E$5:$E$2004,MATCH($K58,'سجل التحفيز'!$X$5:$X$2004,0)))</f>
        <v/>
      </c>
      <c r="R58" s="9">
        <f>IF($K58="","",INDEX('سجل التحفيز'!$F$5:$F$2004,MATCH($K58,'سجل التحفيز'!$X$5:$X$2004,0)))</f>
        <v/>
      </c>
      <c r="S58" s="35">
        <f>IF($K58="","",INDEX('سجل التحفيز'!$G$5:$G$2004,MATCH($K58,'سجل التحفيز'!$X$5:$X$2004,0)))</f>
        <v/>
      </c>
    </row>
    <row r="59">
      <c r="B59" s="34">
        <f>IFERROR(INDEX(الموظفات!$B$5:$B$304,MATCH(22,الموظفات!$R$5:$R$304,0)),"")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التحفيز'!$X$5:$X$2004,"&gt;0",'سجل التحفيز'!$B$5:$B$2004,B59))</f>
        <v/>
      </c>
      <c r="E59" s="35">
        <f>IF(B59="","",COUNTIFS('سجل التحفيز'!$X$5:$X$2004,"&gt;0",'سجل التحفيز'!$B$5:$B$2004,B59,'سجل التحفيز'!$D$5:$D$2004,"ذهبي"))</f>
        <v/>
      </c>
      <c r="F59" s="35">
        <f>IF(B59="","",SUMIFS('سجل التحفيز'!$G$5:$G$2004,'سجل التحفيز'!$X$5:$X$2004,"&gt;0",'سجل التحفيز'!$B$5:$B$2004,B59))</f>
        <v/>
      </c>
      <c r="G59" s="35">
        <f>IF(B59="","",COUNTIF($D$38:$D$187,"&gt;"&amp;D59)+1)</f>
        <v/>
      </c>
      <c r="H59" s="35">
        <f>IF(B59="","",INDEX(الموظفات!$L$5:$L$304,MATCH(B59,الموظفات!$B$5:$B$304,0)))</f>
        <v/>
      </c>
      <c r="K59" s="36">
        <f>IF(22&gt;$B$10,"",22)</f>
        <v/>
      </c>
      <c r="L59" s="37">
        <f>IF($K59="","",INDEX('سجل التحفيز'!$A$5:$A$2004,MATCH($K59,'سجل التحفيز'!$X$5:$X$2004,0)))</f>
        <v/>
      </c>
      <c r="M59" s="9">
        <f>IF($K59="","",INDEX('سجل التحفيز'!$B$5:$B$2004,MATCH($K59,'سجل التحفيز'!$X$5:$X$2004,0)))</f>
        <v/>
      </c>
      <c r="N59" s="9">
        <f>IF($K59="","",INDEX('سجل التحفيز'!$M$5:$M$2004,MATCH($K59,'سجل التحفيز'!$X$5:$X$2004,0)))</f>
        <v/>
      </c>
      <c r="O59" s="9">
        <f>IF($K59="","",INDEX('سجل التحفيز'!$C$5:$C$2004,MATCH($K59,'سجل التحفيز'!$X$5:$X$2004,0)))</f>
        <v/>
      </c>
      <c r="P59" s="36">
        <f>IF($K59="","",INDEX('سجل التحفيز'!$D$5:$D$2004,MATCH($K59,'سجل التحفيز'!$X$5:$X$2004,0)))</f>
        <v/>
      </c>
      <c r="Q59" s="9">
        <f>IF($K59="","",INDEX('سجل التحفيز'!$E$5:$E$2004,MATCH($K59,'سجل التحفيز'!$X$5:$X$2004,0)))</f>
        <v/>
      </c>
      <c r="R59" s="9">
        <f>IF($K59="","",INDEX('سجل التحفيز'!$F$5:$F$2004,MATCH($K59,'سجل التحفيز'!$X$5:$X$2004,0)))</f>
        <v/>
      </c>
      <c r="S59" s="35">
        <f>IF($K59="","",INDEX('سجل التحفيز'!$G$5:$G$2004,MATCH($K59,'سجل التحفيز'!$X$5:$X$2004,0)))</f>
        <v/>
      </c>
    </row>
    <row r="60">
      <c r="B60" s="34">
        <f>IFERROR(INDEX(الموظفات!$B$5:$B$304,MATCH(23,الموظفات!$R$5:$R$304,0)),"")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التحفيز'!$X$5:$X$2004,"&gt;0",'سجل التحفيز'!$B$5:$B$2004,B60))</f>
        <v/>
      </c>
      <c r="E60" s="35">
        <f>IF(B60="","",COUNTIFS('سجل التحفيز'!$X$5:$X$2004,"&gt;0",'سجل التحفيز'!$B$5:$B$2004,B60,'سجل التحفيز'!$D$5:$D$2004,"ذهبي"))</f>
        <v/>
      </c>
      <c r="F60" s="35">
        <f>IF(B60="","",SUMIFS('سجل التحفيز'!$G$5:$G$2004,'سجل التحفيز'!$X$5:$X$2004,"&gt;0",'سجل التحفيز'!$B$5:$B$2004,B60))</f>
        <v/>
      </c>
      <c r="G60" s="35">
        <f>IF(B60="","",COUNTIF($D$38:$D$187,"&gt;"&amp;D60)+1)</f>
        <v/>
      </c>
      <c r="H60" s="35">
        <f>IF(B60="","",INDEX(الموظفات!$L$5:$L$304,MATCH(B60,الموظفات!$B$5:$B$304,0)))</f>
        <v/>
      </c>
      <c r="K60" s="36">
        <f>IF(23&gt;$B$10,"",23)</f>
        <v/>
      </c>
      <c r="L60" s="37">
        <f>IF($K60="","",INDEX('سجل التحفيز'!$A$5:$A$2004,MATCH($K60,'سجل التحفيز'!$X$5:$X$2004,0)))</f>
        <v/>
      </c>
      <c r="M60" s="9">
        <f>IF($K60="","",INDEX('سجل التحفيز'!$B$5:$B$2004,MATCH($K60,'سجل التحفيز'!$X$5:$X$2004,0)))</f>
        <v/>
      </c>
      <c r="N60" s="9">
        <f>IF($K60="","",INDEX('سجل التحفيز'!$M$5:$M$2004,MATCH($K60,'سجل التحفيز'!$X$5:$X$2004,0)))</f>
        <v/>
      </c>
      <c r="O60" s="9">
        <f>IF($K60="","",INDEX('سجل التحفيز'!$C$5:$C$2004,MATCH($K60,'سجل التحفيز'!$X$5:$X$2004,0)))</f>
        <v/>
      </c>
      <c r="P60" s="36">
        <f>IF($K60="","",INDEX('سجل التحفيز'!$D$5:$D$2004,MATCH($K60,'سجل التحفيز'!$X$5:$X$2004,0)))</f>
        <v/>
      </c>
      <c r="Q60" s="9">
        <f>IF($K60="","",INDEX('سجل التحفيز'!$E$5:$E$2004,MATCH($K60,'سجل التحفيز'!$X$5:$X$2004,0)))</f>
        <v/>
      </c>
      <c r="R60" s="9">
        <f>IF($K60="","",INDEX('سجل التحفيز'!$F$5:$F$2004,MATCH($K60,'سجل التحفيز'!$X$5:$X$2004,0)))</f>
        <v/>
      </c>
      <c r="S60" s="35">
        <f>IF($K60="","",INDEX('سجل التحفيز'!$G$5:$G$2004,MATCH($K60,'سجل التحفيز'!$X$5:$X$2004,0)))</f>
        <v/>
      </c>
    </row>
    <row r="61">
      <c r="B61" s="34">
        <f>IFERROR(INDEX(الموظفات!$B$5:$B$304,MATCH(24,الموظفات!$R$5:$R$304,0)),"")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التحفيز'!$X$5:$X$2004,"&gt;0",'سجل التحفيز'!$B$5:$B$2004,B61))</f>
        <v/>
      </c>
      <c r="E61" s="35">
        <f>IF(B61="","",COUNTIFS('سجل التحفيز'!$X$5:$X$2004,"&gt;0",'سجل التحفيز'!$B$5:$B$2004,B61,'سجل التحفيز'!$D$5:$D$2004,"ذهبي"))</f>
        <v/>
      </c>
      <c r="F61" s="35">
        <f>IF(B61="","",SUMIFS('سجل التحفيز'!$G$5:$G$2004,'سجل التحفيز'!$X$5:$X$2004,"&gt;0",'سجل التحفيز'!$B$5:$B$2004,B61))</f>
        <v/>
      </c>
      <c r="G61" s="35">
        <f>IF(B61="","",COUNTIF($D$38:$D$187,"&gt;"&amp;D61)+1)</f>
        <v/>
      </c>
      <c r="H61" s="35">
        <f>IF(B61="","",INDEX(الموظفات!$L$5:$L$304,MATCH(B61,الموظفات!$B$5:$B$304,0)))</f>
        <v/>
      </c>
      <c r="K61" s="36">
        <f>IF(24&gt;$B$10,"",24)</f>
        <v/>
      </c>
      <c r="L61" s="37">
        <f>IF($K61="","",INDEX('سجل التحفيز'!$A$5:$A$2004,MATCH($K61,'سجل التحفيز'!$X$5:$X$2004,0)))</f>
        <v/>
      </c>
      <c r="M61" s="9">
        <f>IF($K61="","",INDEX('سجل التحفيز'!$B$5:$B$2004,MATCH($K61,'سجل التحفيز'!$X$5:$X$2004,0)))</f>
        <v/>
      </c>
      <c r="N61" s="9">
        <f>IF($K61="","",INDEX('سجل التحفيز'!$M$5:$M$2004,MATCH($K61,'سجل التحفيز'!$X$5:$X$2004,0)))</f>
        <v/>
      </c>
      <c r="O61" s="9">
        <f>IF($K61="","",INDEX('سجل التحفيز'!$C$5:$C$2004,MATCH($K61,'سجل التحفيز'!$X$5:$X$2004,0)))</f>
        <v/>
      </c>
      <c r="P61" s="36">
        <f>IF($K61="","",INDEX('سجل التحفيز'!$D$5:$D$2004,MATCH($K61,'سجل التحفيز'!$X$5:$X$2004,0)))</f>
        <v/>
      </c>
      <c r="Q61" s="9">
        <f>IF($K61="","",INDEX('سجل التحفيز'!$E$5:$E$2004,MATCH($K61,'سجل التحفيز'!$X$5:$X$2004,0)))</f>
        <v/>
      </c>
      <c r="R61" s="9">
        <f>IF($K61="","",INDEX('سجل التحفيز'!$F$5:$F$2004,MATCH($K61,'سجل التحفيز'!$X$5:$X$2004,0)))</f>
        <v/>
      </c>
      <c r="S61" s="35">
        <f>IF($K61="","",INDEX('سجل التحفيز'!$G$5:$G$2004,MATCH($K61,'سجل التحفيز'!$X$5:$X$2004,0)))</f>
        <v/>
      </c>
    </row>
    <row r="62">
      <c r="B62" s="34">
        <f>IFERROR(INDEX(الموظفات!$B$5:$B$304,MATCH(25,الموظفات!$R$5:$R$304,0)),"")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التحفيز'!$X$5:$X$2004,"&gt;0",'سجل التحفيز'!$B$5:$B$2004,B62))</f>
        <v/>
      </c>
      <c r="E62" s="35">
        <f>IF(B62="","",COUNTIFS('سجل التحفيز'!$X$5:$X$2004,"&gt;0",'سجل التحفيز'!$B$5:$B$2004,B62,'سجل التحفيز'!$D$5:$D$2004,"ذهبي"))</f>
        <v/>
      </c>
      <c r="F62" s="35">
        <f>IF(B62="","",SUMIFS('سجل التحفيز'!$G$5:$G$2004,'سجل التحفيز'!$X$5:$X$2004,"&gt;0",'سجل التحفيز'!$B$5:$B$2004,B62))</f>
        <v/>
      </c>
      <c r="G62" s="35">
        <f>IF(B62="","",COUNTIF($D$38:$D$187,"&gt;"&amp;D62)+1)</f>
        <v/>
      </c>
      <c r="H62" s="35">
        <f>IF(B62="","",INDEX(الموظفات!$L$5:$L$304,MATCH(B62,الموظفات!$B$5:$B$304,0)))</f>
        <v/>
      </c>
      <c r="K62" s="36">
        <f>IF(25&gt;$B$10,"",25)</f>
        <v/>
      </c>
      <c r="L62" s="37">
        <f>IF($K62="","",INDEX('سجل التحفيز'!$A$5:$A$2004,MATCH($K62,'سجل التحفيز'!$X$5:$X$2004,0)))</f>
        <v/>
      </c>
      <c r="M62" s="9">
        <f>IF($K62="","",INDEX('سجل التحفيز'!$B$5:$B$2004,MATCH($K62,'سجل التحفيز'!$X$5:$X$2004,0)))</f>
        <v/>
      </c>
      <c r="N62" s="9">
        <f>IF($K62="","",INDEX('سجل التحفيز'!$M$5:$M$2004,MATCH($K62,'سجل التحفيز'!$X$5:$X$2004,0)))</f>
        <v/>
      </c>
      <c r="O62" s="9">
        <f>IF($K62="","",INDEX('سجل التحفيز'!$C$5:$C$2004,MATCH($K62,'سجل التحفيز'!$X$5:$X$2004,0)))</f>
        <v/>
      </c>
      <c r="P62" s="36">
        <f>IF($K62="","",INDEX('سجل التحفيز'!$D$5:$D$2004,MATCH($K62,'سجل التحفيز'!$X$5:$X$2004,0)))</f>
        <v/>
      </c>
      <c r="Q62" s="9">
        <f>IF($K62="","",INDEX('سجل التحفيز'!$E$5:$E$2004,MATCH($K62,'سجل التحفيز'!$X$5:$X$2004,0)))</f>
        <v/>
      </c>
      <c r="R62" s="9">
        <f>IF($K62="","",INDEX('سجل التحفيز'!$F$5:$F$2004,MATCH($K62,'سجل التحفيز'!$X$5:$X$2004,0)))</f>
        <v/>
      </c>
      <c r="S62" s="35">
        <f>IF($K62="","",INDEX('سجل التحفيز'!$G$5:$G$2004,MATCH($K62,'سجل التحفيز'!$X$5:$X$2004,0)))</f>
        <v/>
      </c>
    </row>
    <row r="63">
      <c r="B63" s="34">
        <f>IFERROR(INDEX(الموظفات!$B$5:$B$304,MATCH(26,الموظفات!$R$5:$R$304,0)),"")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التحفيز'!$X$5:$X$2004,"&gt;0",'سجل التحفيز'!$B$5:$B$2004,B63))</f>
        <v/>
      </c>
      <c r="E63" s="35">
        <f>IF(B63="","",COUNTIFS('سجل التحفيز'!$X$5:$X$2004,"&gt;0",'سجل التحفيز'!$B$5:$B$2004,B63,'سجل التحفيز'!$D$5:$D$2004,"ذهبي"))</f>
        <v/>
      </c>
      <c r="F63" s="35">
        <f>IF(B63="","",SUMIFS('سجل التحفيز'!$G$5:$G$2004,'سجل التحفيز'!$X$5:$X$2004,"&gt;0",'سجل التحفيز'!$B$5:$B$2004,B63))</f>
        <v/>
      </c>
      <c r="G63" s="35">
        <f>IF(B63="","",COUNTIF($D$38:$D$187,"&gt;"&amp;D63)+1)</f>
        <v/>
      </c>
      <c r="H63" s="35">
        <f>IF(B63="","",INDEX(الموظفات!$L$5:$L$304,MATCH(B63,الموظفات!$B$5:$B$304,0)))</f>
        <v/>
      </c>
      <c r="K63" s="36">
        <f>IF(26&gt;$B$10,"",26)</f>
        <v/>
      </c>
      <c r="L63" s="37">
        <f>IF($K63="","",INDEX('سجل التحفيز'!$A$5:$A$2004,MATCH($K63,'سجل التحفيز'!$X$5:$X$2004,0)))</f>
        <v/>
      </c>
      <c r="M63" s="9">
        <f>IF($K63="","",INDEX('سجل التحفيز'!$B$5:$B$2004,MATCH($K63,'سجل التحفيز'!$X$5:$X$2004,0)))</f>
        <v/>
      </c>
      <c r="N63" s="9">
        <f>IF($K63="","",INDEX('سجل التحفيز'!$M$5:$M$2004,MATCH($K63,'سجل التحفيز'!$X$5:$X$2004,0)))</f>
        <v/>
      </c>
      <c r="O63" s="9">
        <f>IF($K63="","",INDEX('سجل التحفيز'!$C$5:$C$2004,MATCH($K63,'سجل التحفيز'!$X$5:$X$2004,0)))</f>
        <v/>
      </c>
      <c r="P63" s="36">
        <f>IF($K63="","",INDEX('سجل التحفيز'!$D$5:$D$2004,MATCH($K63,'سجل التحفيز'!$X$5:$X$2004,0)))</f>
        <v/>
      </c>
      <c r="Q63" s="9">
        <f>IF($K63="","",INDEX('سجل التحفيز'!$E$5:$E$2004,MATCH($K63,'سجل التحفيز'!$X$5:$X$2004,0)))</f>
        <v/>
      </c>
      <c r="R63" s="9">
        <f>IF($K63="","",INDEX('سجل التحفيز'!$F$5:$F$2004,MATCH($K63,'سجل التحفيز'!$X$5:$X$2004,0)))</f>
        <v/>
      </c>
      <c r="S63" s="35">
        <f>IF($K63="","",INDEX('سجل التحفيز'!$G$5:$G$2004,MATCH($K63,'سجل التحفيز'!$X$5:$X$2004,0)))</f>
        <v/>
      </c>
    </row>
    <row r="64">
      <c r="B64" s="34">
        <f>IFERROR(INDEX(الموظفات!$B$5:$B$304,MATCH(27,الموظفات!$R$5:$R$304,0)),"")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التحفيز'!$X$5:$X$2004,"&gt;0",'سجل التحفيز'!$B$5:$B$2004,B64))</f>
        <v/>
      </c>
      <c r="E64" s="35">
        <f>IF(B64="","",COUNTIFS('سجل التحفيز'!$X$5:$X$2004,"&gt;0",'سجل التحفيز'!$B$5:$B$2004,B64,'سجل التحفيز'!$D$5:$D$2004,"ذهبي"))</f>
        <v/>
      </c>
      <c r="F64" s="35">
        <f>IF(B64="","",SUMIFS('سجل التحفيز'!$G$5:$G$2004,'سجل التحفيز'!$X$5:$X$2004,"&gt;0",'سجل التحفيز'!$B$5:$B$2004,B64))</f>
        <v/>
      </c>
      <c r="G64" s="35">
        <f>IF(B64="","",COUNTIF($D$38:$D$187,"&gt;"&amp;D64)+1)</f>
        <v/>
      </c>
      <c r="H64" s="35">
        <f>IF(B64="","",INDEX(الموظفات!$L$5:$L$304,MATCH(B64,الموظفات!$B$5:$B$304,0)))</f>
        <v/>
      </c>
      <c r="K64" s="36">
        <f>IF(27&gt;$B$10,"",27)</f>
        <v/>
      </c>
      <c r="L64" s="37">
        <f>IF($K64="","",INDEX('سجل التحفيز'!$A$5:$A$2004,MATCH($K64,'سجل التحفيز'!$X$5:$X$2004,0)))</f>
        <v/>
      </c>
      <c r="M64" s="9">
        <f>IF($K64="","",INDEX('سجل التحفيز'!$B$5:$B$2004,MATCH($K64,'سجل التحفيز'!$X$5:$X$2004,0)))</f>
        <v/>
      </c>
      <c r="N64" s="9">
        <f>IF($K64="","",INDEX('سجل التحفيز'!$M$5:$M$2004,MATCH($K64,'سجل التحفيز'!$X$5:$X$2004,0)))</f>
        <v/>
      </c>
      <c r="O64" s="9">
        <f>IF($K64="","",INDEX('سجل التحفيز'!$C$5:$C$2004,MATCH($K64,'سجل التحفيز'!$X$5:$X$2004,0)))</f>
        <v/>
      </c>
      <c r="P64" s="36">
        <f>IF($K64="","",INDEX('سجل التحفيز'!$D$5:$D$2004,MATCH($K64,'سجل التحفيز'!$X$5:$X$2004,0)))</f>
        <v/>
      </c>
      <c r="Q64" s="9">
        <f>IF($K64="","",INDEX('سجل التحفيز'!$E$5:$E$2004,MATCH($K64,'سجل التحفيز'!$X$5:$X$2004,0)))</f>
        <v/>
      </c>
      <c r="R64" s="9">
        <f>IF($K64="","",INDEX('سجل التحفيز'!$F$5:$F$2004,MATCH($K64,'سجل التحفيز'!$X$5:$X$2004,0)))</f>
        <v/>
      </c>
      <c r="S64" s="35">
        <f>IF($K64="","",INDEX('سجل التحفيز'!$G$5:$G$2004,MATCH($K64,'سجل التحفيز'!$X$5:$X$2004,0)))</f>
        <v/>
      </c>
    </row>
    <row r="65">
      <c r="B65" s="34">
        <f>IFERROR(INDEX(الموظفات!$B$5:$B$304,MATCH(28,الموظفات!$R$5:$R$304,0)),"")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التحفيز'!$X$5:$X$2004,"&gt;0",'سجل التحفيز'!$B$5:$B$2004,B65))</f>
        <v/>
      </c>
      <c r="E65" s="35">
        <f>IF(B65="","",COUNTIFS('سجل التحفيز'!$X$5:$X$2004,"&gt;0",'سجل التحفيز'!$B$5:$B$2004,B65,'سجل التحفيز'!$D$5:$D$2004,"ذهبي"))</f>
        <v/>
      </c>
      <c r="F65" s="35">
        <f>IF(B65="","",SUMIFS('سجل التحفيز'!$G$5:$G$2004,'سجل التحفيز'!$X$5:$X$2004,"&gt;0",'سجل التحفيز'!$B$5:$B$2004,B65))</f>
        <v/>
      </c>
      <c r="G65" s="35">
        <f>IF(B65="","",COUNTIF($D$38:$D$187,"&gt;"&amp;D65)+1)</f>
        <v/>
      </c>
      <c r="H65" s="35">
        <f>IF(B65="","",INDEX(الموظفات!$L$5:$L$304,MATCH(B65,الموظفات!$B$5:$B$304,0)))</f>
        <v/>
      </c>
      <c r="K65" s="36">
        <f>IF(28&gt;$B$10,"",28)</f>
        <v/>
      </c>
      <c r="L65" s="37">
        <f>IF($K65="","",INDEX('سجل التحفيز'!$A$5:$A$2004,MATCH($K65,'سجل التحفيز'!$X$5:$X$2004,0)))</f>
        <v/>
      </c>
      <c r="M65" s="9">
        <f>IF($K65="","",INDEX('سجل التحفيز'!$B$5:$B$2004,MATCH($K65,'سجل التحفيز'!$X$5:$X$2004,0)))</f>
        <v/>
      </c>
      <c r="N65" s="9">
        <f>IF($K65="","",INDEX('سجل التحفيز'!$M$5:$M$2004,MATCH($K65,'سجل التحفيز'!$X$5:$X$2004,0)))</f>
        <v/>
      </c>
      <c r="O65" s="9">
        <f>IF($K65="","",INDEX('سجل التحفيز'!$C$5:$C$2004,MATCH($K65,'سجل التحفيز'!$X$5:$X$2004,0)))</f>
        <v/>
      </c>
      <c r="P65" s="36">
        <f>IF($K65="","",INDEX('سجل التحفيز'!$D$5:$D$2004,MATCH($K65,'سجل التحفيز'!$X$5:$X$2004,0)))</f>
        <v/>
      </c>
      <c r="Q65" s="9">
        <f>IF($K65="","",INDEX('سجل التحفيز'!$E$5:$E$2004,MATCH($K65,'سجل التحفيز'!$X$5:$X$2004,0)))</f>
        <v/>
      </c>
      <c r="R65" s="9">
        <f>IF($K65="","",INDEX('سجل التحفيز'!$F$5:$F$2004,MATCH($K65,'سجل التحفيز'!$X$5:$X$2004,0)))</f>
        <v/>
      </c>
      <c r="S65" s="35">
        <f>IF($K65="","",INDEX('سجل التحفيز'!$G$5:$G$2004,MATCH($K65,'سجل التحفيز'!$X$5:$X$2004,0)))</f>
        <v/>
      </c>
    </row>
    <row r="66">
      <c r="B66" s="34">
        <f>IFERROR(INDEX(الموظفات!$B$5:$B$304,MATCH(29,الموظفات!$R$5:$R$304,0)),"")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التحفيز'!$X$5:$X$2004,"&gt;0",'سجل التحفيز'!$B$5:$B$2004,B66))</f>
        <v/>
      </c>
      <c r="E66" s="35">
        <f>IF(B66="","",COUNTIFS('سجل التحفيز'!$X$5:$X$2004,"&gt;0",'سجل التحفيز'!$B$5:$B$2004,B66,'سجل التحفيز'!$D$5:$D$2004,"ذهبي"))</f>
        <v/>
      </c>
      <c r="F66" s="35">
        <f>IF(B66="","",SUMIFS('سجل التحفيز'!$G$5:$G$2004,'سجل التحفيز'!$X$5:$X$2004,"&gt;0",'سجل التحفيز'!$B$5:$B$2004,B66))</f>
        <v/>
      </c>
      <c r="G66" s="35">
        <f>IF(B66="","",COUNTIF($D$38:$D$187,"&gt;"&amp;D66)+1)</f>
        <v/>
      </c>
      <c r="H66" s="35">
        <f>IF(B66="","",INDEX(الموظفات!$L$5:$L$304,MATCH(B66,الموظفات!$B$5:$B$304,0)))</f>
        <v/>
      </c>
      <c r="K66" s="36">
        <f>IF(29&gt;$B$10,"",29)</f>
        <v/>
      </c>
      <c r="L66" s="37">
        <f>IF($K66="","",INDEX('سجل التحفيز'!$A$5:$A$2004,MATCH($K66,'سجل التحفيز'!$X$5:$X$2004,0)))</f>
        <v/>
      </c>
      <c r="M66" s="9">
        <f>IF($K66="","",INDEX('سجل التحفيز'!$B$5:$B$2004,MATCH($K66,'سجل التحفيز'!$X$5:$X$2004,0)))</f>
        <v/>
      </c>
      <c r="N66" s="9">
        <f>IF($K66="","",INDEX('سجل التحفيز'!$M$5:$M$2004,MATCH($K66,'سجل التحفيز'!$X$5:$X$2004,0)))</f>
        <v/>
      </c>
      <c r="O66" s="9">
        <f>IF($K66="","",INDEX('سجل التحفيز'!$C$5:$C$2004,MATCH($K66,'سجل التحفيز'!$X$5:$X$2004,0)))</f>
        <v/>
      </c>
      <c r="P66" s="36">
        <f>IF($K66="","",INDEX('سجل التحفيز'!$D$5:$D$2004,MATCH($K66,'سجل التحفيز'!$X$5:$X$2004,0)))</f>
        <v/>
      </c>
      <c r="Q66" s="9">
        <f>IF($K66="","",INDEX('سجل التحفيز'!$E$5:$E$2004,MATCH($K66,'سجل التحفيز'!$X$5:$X$2004,0)))</f>
        <v/>
      </c>
      <c r="R66" s="9">
        <f>IF($K66="","",INDEX('سجل التحفيز'!$F$5:$F$2004,MATCH($K66,'سجل التحفيز'!$X$5:$X$2004,0)))</f>
        <v/>
      </c>
      <c r="S66" s="35">
        <f>IF($K66="","",INDEX('سجل التحفيز'!$G$5:$G$2004,MATCH($K66,'سجل التحفيز'!$X$5:$X$2004,0)))</f>
        <v/>
      </c>
    </row>
    <row r="67">
      <c r="B67" s="34">
        <f>IFERROR(INDEX(الموظفات!$B$5:$B$304,MATCH(30,الموظفات!$R$5:$R$304,0)),"")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التحفيز'!$X$5:$X$2004,"&gt;0",'سجل التحفيز'!$B$5:$B$2004,B67))</f>
        <v/>
      </c>
      <c r="E67" s="35">
        <f>IF(B67="","",COUNTIFS('سجل التحفيز'!$X$5:$X$2004,"&gt;0",'سجل التحفيز'!$B$5:$B$2004,B67,'سجل التحفيز'!$D$5:$D$2004,"ذهبي"))</f>
        <v/>
      </c>
      <c r="F67" s="35">
        <f>IF(B67="","",SUMIFS('سجل التحفيز'!$G$5:$G$2004,'سجل التحفيز'!$X$5:$X$2004,"&gt;0",'سجل التحفيز'!$B$5:$B$2004,B67))</f>
        <v/>
      </c>
      <c r="G67" s="35">
        <f>IF(B67="","",COUNTIF($D$38:$D$187,"&gt;"&amp;D67)+1)</f>
        <v/>
      </c>
      <c r="H67" s="35">
        <f>IF(B67="","",INDEX(الموظفات!$L$5:$L$304,MATCH(B67,الموظفات!$B$5:$B$304,0)))</f>
        <v/>
      </c>
      <c r="K67" s="36">
        <f>IF(30&gt;$B$10,"",30)</f>
        <v/>
      </c>
      <c r="L67" s="37">
        <f>IF($K67="","",INDEX('سجل التحفيز'!$A$5:$A$2004,MATCH($K67,'سجل التحفيز'!$X$5:$X$2004,0)))</f>
        <v/>
      </c>
      <c r="M67" s="9">
        <f>IF($K67="","",INDEX('سجل التحفيز'!$B$5:$B$2004,MATCH($K67,'سجل التحفيز'!$X$5:$X$2004,0)))</f>
        <v/>
      </c>
      <c r="N67" s="9">
        <f>IF($K67="","",INDEX('سجل التحفيز'!$M$5:$M$2004,MATCH($K67,'سجل التحفيز'!$X$5:$X$2004,0)))</f>
        <v/>
      </c>
      <c r="O67" s="9">
        <f>IF($K67="","",INDEX('سجل التحفيز'!$C$5:$C$2004,MATCH($K67,'سجل التحفيز'!$X$5:$X$2004,0)))</f>
        <v/>
      </c>
      <c r="P67" s="36">
        <f>IF($K67="","",INDEX('سجل التحفيز'!$D$5:$D$2004,MATCH($K67,'سجل التحفيز'!$X$5:$X$2004,0)))</f>
        <v/>
      </c>
      <c r="Q67" s="9">
        <f>IF($K67="","",INDEX('سجل التحفيز'!$E$5:$E$2004,MATCH($K67,'سجل التحفيز'!$X$5:$X$2004,0)))</f>
        <v/>
      </c>
      <c r="R67" s="9">
        <f>IF($K67="","",INDEX('سجل التحفيز'!$F$5:$F$2004,MATCH($K67,'سجل التحفيز'!$X$5:$X$2004,0)))</f>
        <v/>
      </c>
      <c r="S67" s="35">
        <f>IF($K67="","",INDEX('سجل التحفيز'!$G$5:$G$2004,MATCH($K67,'سجل التحفيز'!$X$5:$X$2004,0)))</f>
        <v/>
      </c>
    </row>
    <row r="68">
      <c r="B68" s="34">
        <f>IFERROR(INDEX(الموظفات!$B$5:$B$304,MATCH(31,الموظفات!$R$5:$R$304,0)),"")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التحفيز'!$X$5:$X$2004,"&gt;0",'سجل التحفيز'!$B$5:$B$2004,B68))</f>
        <v/>
      </c>
      <c r="E68" s="35">
        <f>IF(B68="","",COUNTIFS('سجل التحفيز'!$X$5:$X$2004,"&gt;0",'سجل التحفيز'!$B$5:$B$2004,B68,'سجل التحفيز'!$D$5:$D$2004,"ذهبي"))</f>
        <v/>
      </c>
      <c r="F68" s="35">
        <f>IF(B68="","",SUMIFS('سجل التحفيز'!$G$5:$G$2004,'سجل التحفيز'!$X$5:$X$2004,"&gt;0",'سجل التحفيز'!$B$5:$B$2004,B68))</f>
        <v/>
      </c>
      <c r="G68" s="35">
        <f>IF(B68="","",COUNTIF($D$38:$D$187,"&gt;"&amp;D68)+1)</f>
        <v/>
      </c>
      <c r="H68" s="35">
        <f>IF(B68="","",INDEX(الموظفات!$L$5:$L$304,MATCH(B68,الموظفات!$B$5:$B$304,0)))</f>
        <v/>
      </c>
      <c r="K68" s="36">
        <f>IF(31&gt;$B$10,"",31)</f>
        <v/>
      </c>
      <c r="L68" s="37">
        <f>IF($K68="","",INDEX('سجل التحفيز'!$A$5:$A$2004,MATCH($K68,'سجل التحفيز'!$X$5:$X$2004,0)))</f>
        <v/>
      </c>
      <c r="M68" s="9">
        <f>IF($K68="","",INDEX('سجل التحفيز'!$B$5:$B$2004,MATCH($K68,'سجل التحفيز'!$X$5:$X$2004,0)))</f>
        <v/>
      </c>
      <c r="N68" s="9">
        <f>IF($K68="","",INDEX('سجل التحفيز'!$M$5:$M$2004,MATCH($K68,'سجل التحفيز'!$X$5:$X$2004,0)))</f>
        <v/>
      </c>
      <c r="O68" s="9">
        <f>IF($K68="","",INDEX('سجل التحفيز'!$C$5:$C$2004,MATCH($K68,'سجل التحفيز'!$X$5:$X$2004,0)))</f>
        <v/>
      </c>
      <c r="P68" s="36">
        <f>IF($K68="","",INDEX('سجل التحفيز'!$D$5:$D$2004,MATCH($K68,'سجل التحفيز'!$X$5:$X$2004,0)))</f>
        <v/>
      </c>
      <c r="Q68" s="9">
        <f>IF($K68="","",INDEX('سجل التحفيز'!$E$5:$E$2004,MATCH($K68,'سجل التحفيز'!$X$5:$X$2004,0)))</f>
        <v/>
      </c>
      <c r="R68" s="9">
        <f>IF($K68="","",INDEX('سجل التحفيز'!$F$5:$F$2004,MATCH($K68,'سجل التحفيز'!$X$5:$X$2004,0)))</f>
        <v/>
      </c>
      <c r="S68" s="35">
        <f>IF($K68="","",INDEX('سجل التحفيز'!$G$5:$G$2004,MATCH($K68,'سجل التحفيز'!$X$5:$X$2004,0)))</f>
        <v/>
      </c>
    </row>
    <row r="69">
      <c r="B69" s="34">
        <f>IFERROR(INDEX(الموظفات!$B$5:$B$304,MATCH(32,الموظفات!$R$5:$R$304,0)),"")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التحفيز'!$X$5:$X$2004,"&gt;0",'سجل التحفيز'!$B$5:$B$2004,B69))</f>
        <v/>
      </c>
      <c r="E69" s="35">
        <f>IF(B69="","",COUNTIFS('سجل التحفيز'!$X$5:$X$2004,"&gt;0",'سجل التحفيز'!$B$5:$B$2004,B69,'سجل التحفيز'!$D$5:$D$2004,"ذهبي"))</f>
        <v/>
      </c>
      <c r="F69" s="35">
        <f>IF(B69="","",SUMIFS('سجل التحفيز'!$G$5:$G$2004,'سجل التحفيز'!$X$5:$X$2004,"&gt;0",'سجل التحفيز'!$B$5:$B$2004,B69))</f>
        <v/>
      </c>
      <c r="G69" s="35">
        <f>IF(B69="","",COUNTIF($D$38:$D$187,"&gt;"&amp;D69)+1)</f>
        <v/>
      </c>
      <c r="H69" s="35">
        <f>IF(B69="","",INDEX(الموظفات!$L$5:$L$304,MATCH(B69,الموظفات!$B$5:$B$304,0)))</f>
        <v/>
      </c>
      <c r="K69" s="36">
        <f>IF(32&gt;$B$10,"",32)</f>
        <v/>
      </c>
      <c r="L69" s="37">
        <f>IF($K69="","",INDEX('سجل التحفيز'!$A$5:$A$2004,MATCH($K69,'سجل التحفيز'!$X$5:$X$2004,0)))</f>
        <v/>
      </c>
      <c r="M69" s="9">
        <f>IF($K69="","",INDEX('سجل التحفيز'!$B$5:$B$2004,MATCH($K69,'سجل التحفيز'!$X$5:$X$2004,0)))</f>
        <v/>
      </c>
      <c r="N69" s="9">
        <f>IF($K69="","",INDEX('سجل التحفيز'!$M$5:$M$2004,MATCH($K69,'سجل التحفيز'!$X$5:$X$2004,0)))</f>
        <v/>
      </c>
      <c r="O69" s="9">
        <f>IF($K69="","",INDEX('سجل التحفيز'!$C$5:$C$2004,MATCH($K69,'سجل التحفيز'!$X$5:$X$2004,0)))</f>
        <v/>
      </c>
      <c r="P69" s="36">
        <f>IF($K69="","",INDEX('سجل التحفيز'!$D$5:$D$2004,MATCH($K69,'سجل التحفيز'!$X$5:$X$2004,0)))</f>
        <v/>
      </c>
      <c r="Q69" s="9">
        <f>IF($K69="","",INDEX('سجل التحفيز'!$E$5:$E$2004,MATCH($K69,'سجل التحفيز'!$X$5:$X$2004,0)))</f>
        <v/>
      </c>
      <c r="R69" s="9">
        <f>IF($K69="","",INDEX('سجل التحفيز'!$F$5:$F$2004,MATCH($K69,'سجل التحفيز'!$X$5:$X$2004,0)))</f>
        <v/>
      </c>
      <c r="S69" s="35">
        <f>IF($K69="","",INDEX('سجل التحفيز'!$G$5:$G$2004,MATCH($K69,'سجل التحفيز'!$X$5:$X$2004,0)))</f>
        <v/>
      </c>
    </row>
    <row r="70">
      <c r="B70" s="34">
        <f>IFERROR(INDEX(الموظفات!$B$5:$B$304,MATCH(33,الموظفات!$R$5:$R$304,0)),"")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التحفيز'!$X$5:$X$2004,"&gt;0",'سجل التحفيز'!$B$5:$B$2004,B70))</f>
        <v/>
      </c>
      <c r="E70" s="35">
        <f>IF(B70="","",COUNTIFS('سجل التحفيز'!$X$5:$X$2004,"&gt;0",'سجل التحفيز'!$B$5:$B$2004,B70,'سجل التحفيز'!$D$5:$D$2004,"ذهبي"))</f>
        <v/>
      </c>
      <c r="F70" s="35">
        <f>IF(B70="","",SUMIFS('سجل التحفيز'!$G$5:$G$2004,'سجل التحفيز'!$X$5:$X$2004,"&gt;0",'سجل التحفيز'!$B$5:$B$2004,B70))</f>
        <v/>
      </c>
      <c r="G70" s="35">
        <f>IF(B70="","",COUNTIF($D$38:$D$187,"&gt;"&amp;D70)+1)</f>
        <v/>
      </c>
      <c r="H70" s="35">
        <f>IF(B70="","",INDEX(الموظفات!$L$5:$L$304,MATCH(B70,الموظفات!$B$5:$B$304,0)))</f>
        <v/>
      </c>
      <c r="K70" s="36">
        <f>IF(33&gt;$B$10,"",33)</f>
        <v/>
      </c>
      <c r="L70" s="37">
        <f>IF($K70="","",INDEX('سجل التحفيز'!$A$5:$A$2004,MATCH($K70,'سجل التحفيز'!$X$5:$X$2004,0)))</f>
        <v/>
      </c>
      <c r="M70" s="9">
        <f>IF($K70="","",INDEX('سجل التحفيز'!$B$5:$B$2004,MATCH($K70,'سجل التحفيز'!$X$5:$X$2004,0)))</f>
        <v/>
      </c>
      <c r="N70" s="9">
        <f>IF($K70="","",INDEX('سجل التحفيز'!$M$5:$M$2004,MATCH($K70,'سجل التحفيز'!$X$5:$X$2004,0)))</f>
        <v/>
      </c>
      <c r="O70" s="9">
        <f>IF($K70="","",INDEX('سجل التحفيز'!$C$5:$C$2004,MATCH($K70,'سجل التحفيز'!$X$5:$X$2004,0)))</f>
        <v/>
      </c>
      <c r="P70" s="36">
        <f>IF($K70="","",INDEX('سجل التحفيز'!$D$5:$D$2004,MATCH($K70,'سجل التحفيز'!$X$5:$X$2004,0)))</f>
        <v/>
      </c>
      <c r="Q70" s="9">
        <f>IF($K70="","",INDEX('سجل التحفيز'!$E$5:$E$2004,MATCH($K70,'سجل التحفيز'!$X$5:$X$2004,0)))</f>
        <v/>
      </c>
      <c r="R70" s="9">
        <f>IF($K70="","",INDEX('سجل التحفيز'!$F$5:$F$2004,MATCH($K70,'سجل التحفيز'!$X$5:$X$2004,0)))</f>
        <v/>
      </c>
      <c r="S70" s="35">
        <f>IF($K70="","",INDEX('سجل التحفيز'!$G$5:$G$2004,MATCH($K70,'سجل التحفيز'!$X$5:$X$2004,0)))</f>
        <v/>
      </c>
    </row>
    <row r="71">
      <c r="B71" s="34">
        <f>IFERROR(INDEX(الموظفات!$B$5:$B$304,MATCH(34,الموظفات!$R$5:$R$304,0)),"")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التحفيز'!$X$5:$X$2004,"&gt;0",'سجل التحفيز'!$B$5:$B$2004,B71))</f>
        <v/>
      </c>
      <c r="E71" s="35">
        <f>IF(B71="","",COUNTIFS('سجل التحفيز'!$X$5:$X$2004,"&gt;0",'سجل التحفيز'!$B$5:$B$2004,B71,'سجل التحفيز'!$D$5:$D$2004,"ذهبي"))</f>
        <v/>
      </c>
      <c r="F71" s="35">
        <f>IF(B71="","",SUMIFS('سجل التحفيز'!$G$5:$G$2004,'سجل التحفيز'!$X$5:$X$2004,"&gt;0",'سجل التحفيز'!$B$5:$B$2004,B71))</f>
        <v/>
      </c>
      <c r="G71" s="35">
        <f>IF(B71="","",COUNTIF($D$38:$D$187,"&gt;"&amp;D71)+1)</f>
        <v/>
      </c>
      <c r="H71" s="35">
        <f>IF(B71="","",INDEX(الموظفات!$L$5:$L$304,MATCH(B71,الموظفات!$B$5:$B$304,0)))</f>
        <v/>
      </c>
      <c r="K71" s="36">
        <f>IF(34&gt;$B$10,"",34)</f>
        <v/>
      </c>
      <c r="L71" s="37">
        <f>IF($K71="","",INDEX('سجل التحفيز'!$A$5:$A$2004,MATCH($K71,'سجل التحفيز'!$X$5:$X$2004,0)))</f>
        <v/>
      </c>
      <c r="M71" s="9">
        <f>IF($K71="","",INDEX('سجل التحفيز'!$B$5:$B$2004,MATCH($K71,'سجل التحفيز'!$X$5:$X$2004,0)))</f>
        <v/>
      </c>
      <c r="N71" s="9">
        <f>IF($K71="","",INDEX('سجل التحفيز'!$M$5:$M$2004,MATCH($K71,'سجل التحفيز'!$X$5:$X$2004,0)))</f>
        <v/>
      </c>
      <c r="O71" s="9">
        <f>IF($K71="","",INDEX('سجل التحفيز'!$C$5:$C$2004,MATCH($K71,'سجل التحفيز'!$X$5:$X$2004,0)))</f>
        <v/>
      </c>
      <c r="P71" s="36">
        <f>IF($K71="","",INDEX('سجل التحفيز'!$D$5:$D$2004,MATCH($K71,'سجل التحفيز'!$X$5:$X$2004,0)))</f>
        <v/>
      </c>
      <c r="Q71" s="9">
        <f>IF($K71="","",INDEX('سجل التحفيز'!$E$5:$E$2004,MATCH($K71,'سجل التحفيز'!$X$5:$X$2004,0)))</f>
        <v/>
      </c>
      <c r="R71" s="9">
        <f>IF($K71="","",INDEX('سجل التحفيز'!$F$5:$F$2004,MATCH($K71,'سجل التحفيز'!$X$5:$X$2004,0)))</f>
        <v/>
      </c>
      <c r="S71" s="35">
        <f>IF($K71="","",INDEX('سجل التحفيز'!$G$5:$G$2004,MATCH($K71,'سجل التحفيز'!$X$5:$X$2004,0)))</f>
        <v/>
      </c>
    </row>
    <row r="72">
      <c r="B72" s="34">
        <f>IFERROR(INDEX(الموظفات!$B$5:$B$304,MATCH(35,الموظفات!$R$5:$R$304,0)),"")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التحفيز'!$X$5:$X$2004,"&gt;0",'سجل التحفيز'!$B$5:$B$2004,B72))</f>
        <v/>
      </c>
      <c r="E72" s="35">
        <f>IF(B72="","",COUNTIFS('سجل التحفيز'!$X$5:$X$2004,"&gt;0",'سجل التحفيز'!$B$5:$B$2004,B72,'سجل التحفيز'!$D$5:$D$2004,"ذهبي"))</f>
        <v/>
      </c>
      <c r="F72" s="35">
        <f>IF(B72="","",SUMIFS('سجل التحفيز'!$G$5:$G$2004,'سجل التحفيز'!$X$5:$X$2004,"&gt;0",'سجل التحفيز'!$B$5:$B$2004,B72))</f>
        <v/>
      </c>
      <c r="G72" s="35">
        <f>IF(B72="","",COUNTIF($D$38:$D$187,"&gt;"&amp;D72)+1)</f>
        <v/>
      </c>
      <c r="H72" s="35">
        <f>IF(B72="","",INDEX(الموظفات!$L$5:$L$304,MATCH(B72,الموظفات!$B$5:$B$304,0)))</f>
        <v/>
      </c>
      <c r="K72" s="36">
        <f>IF(35&gt;$B$10,"",35)</f>
        <v/>
      </c>
      <c r="L72" s="37">
        <f>IF($K72="","",INDEX('سجل التحفيز'!$A$5:$A$2004,MATCH($K72,'سجل التحفيز'!$X$5:$X$2004,0)))</f>
        <v/>
      </c>
      <c r="M72" s="9">
        <f>IF($K72="","",INDEX('سجل التحفيز'!$B$5:$B$2004,MATCH($K72,'سجل التحفيز'!$X$5:$X$2004,0)))</f>
        <v/>
      </c>
      <c r="N72" s="9">
        <f>IF($K72="","",INDEX('سجل التحفيز'!$M$5:$M$2004,MATCH($K72,'سجل التحفيز'!$X$5:$X$2004,0)))</f>
        <v/>
      </c>
      <c r="O72" s="9">
        <f>IF($K72="","",INDEX('سجل التحفيز'!$C$5:$C$2004,MATCH($K72,'سجل التحفيز'!$X$5:$X$2004,0)))</f>
        <v/>
      </c>
      <c r="P72" s="36">
        <f>IF($K72="","",INDEX('سجل التحفيز'!$D$5:$D$2004,MATCH($K72,'سجل التحفيز'!$X$5:$X$2004,0)))</f>
        <v/>
      </c>
      <c r="Q72" s="9">
        <f>IF($K72="","",INDEX('سجل التحفيز'!$E$5:$E$2004,MATCH($K72,'سجل التحفيز'!$X$5:$X$2004,0)))</f>
        <v/>
      </c>
      <c r="R72" s="9">
        <f>IF($K72="","",INDEX('سجل التحفيز'!$F$5:$F$2004,MATCH($K72,'سجل التحفيز'!$X$5:$X$2004,0)))</f>
        <v/>
      </c>
      <c r="S72" s="35">
        <f>IF($K72="","",INDEX('سجل التحفيز'!$G$5:$G$2004,MATCH($K72,'سجل التحفيز'!$X$5:$X$2004,0)))</f>
        <v/>
      </c>
    </row>
    <row r="73">
      <c r="B73" s="34">
        <f>IFERROR(INDEX(الموظفات!$B$5:$B$304,MATCH(36,الموظفات!$R$5:$R$304,0)),"")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التحفيز'!$X$5:$X$2004,"&gt;0",'سجل التحفيز'!$B$5:$B$2004,B73))</f>
        <v/>
      </c>
      <c r="E73" s="35">
        <f>IF(B73="","",COUNTIFS('سجل التحفيز'!$X$5:$X$2004,"&gt;0",'سجل التحفيز'!$B$5:$B$2004,B73,'سجل التحفيز'!$D$5:$D$2004,"ذهبي"))</f>
        <v/>
      </c>
      <c r="F73" s="35">
        <f>IF(B73="","",SUMIFS('سجل التحفيز'!$G$5:$G$2004,'سجل التحفيز'!$X$5:$X$2004,"&gt;0",'سجل التحفيز'!$B$5:$B$2004,B73))</f>
        <v/>
      </c>
      <c r="G73" s="35">
        <f>IF(B73="","",COUNTIF($D$38:$D$187,"&gt;"&amp;D73)+1)</f>
        <v/>
      </c>
      <c r="H73" s="35">
        <f>IF(B73="","",INDEX(الموظفات!$L$5:$L$304,MATCH(B73,الموظفات!$B$5:$B$304,0)))</f>
        <v/>
      </c>
      <c r="K73" s="36">
        <f>IF(36&gt;$B$10,"",36)</f>
        <v/>
      </c>
      <c r="L73" s="37">
        <f>IF($K73="","",INDEX('سجل التحفيز'!$A$5:$A$2004,MATCH($K73,'سجل التحفيز'!$X$5:$X$2004,0)))</f>
        <v/>
      </c>
      <c r="M73" s="9">
        <f>IF($K73="","",INDEX('سجل التحفيز'!$B$5:$B$2004,MATCH($K73,'سجل التحفيز'!$X$5:$X$2004,0)))</f>
        <v/>
      </c>
      <c r="N73" s="9">
        <f>IF($K73="","",INDEX('سجل التحفيز'!$M$5:$M$2004,MATCH($K73,'سجل التحفيز'!$X$5:$X$2004,0)))</f>
        <v/>
      </c>
      <c r="O73" s="9">
        <f>IF($K73="","",INDEX('سجل التحفيز'!$C$5:$C$2004,MATCH($K73,'سجل التحفيز'!$X$5:$X$2004,0)))</f>
        <v/>
      </c>
      <c r="P73" s="36">
        <f>IF($K73="","",INDEX('سجل التحفيز'!$D$5:$D$2004,MATCH($K73,'سجل التحفيز'!$X$5:$X$2004,0)))</f>
        <v/>
      </c>
      <c r="Q73" s="9">
        <f>IF($K73="","",INDEX('سجل التحفيز'!$E$5:$E$2004,MATCH($K73,'سجل التحفيز'!$X$5:$X$2004,0)))</f>
        <v/>
      </c>
      <c r="R73" s="9">
        <f>IF($K73="","",INDEX('سجل التحفيز'!$F$5:$F$2004,MATCH($K73,'سجل التحفيز'!$X$5:$X$2004,0)))</f>
        <v/>
      </c>
      <c r="S73" s="35">
        <f>IF($K73="","",INDEX('سجل التحفيز'!$G$5:$G$2004,MATCH($K73,'سجل التحفيز'!$X$5:$X$2004,0)))</f>
        <v/>
      </c>
    </row>
    <row r="74">
      <c r="B74" s="34">
        <f>IFERROR(INDEX(الموظفات!$B$5:$B$304,MATCH(37,الموظفات!$R$5:$R$304,0)),"")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التحفيز'!$X$5:$X$2004,"&gt;0",'سجل التحفيز'!$B$5:$B$2004,B74))</f>
        <v/>
      </c>
      <c r="E74" s="35">
        <f>IF(B74="","",COUNTIFS('سجل التحفيز'!$X$5:$X$2004,"&gt;0",'سجل التحفيز'!$B$5:$B$2004,B74,'سجل التحفيز'!$D$5:$D$2004,"ذهبي"))</f>
        <v/>
      </c>
      <c r="F74" s="35">
        <f>IF(B74="","",SUMIFS('سجل التحفيز'!$G$5:$G$2004,'سجل التحفيز'!$X$5:$X$2004,"&gt;0",'سجل التحفيز'!$B$5:$B$2004,B74))</f>
        <v/>
      </c>
      <c r="G74" s="35">
        <f>IF(B74="","",COUNTIF($D$38:$D$187,"&gt;"&amp;D74)+1)</f>
        <v/>
      </c>
      <c r="H74" s="35">
        <f>IF(B74="","",INDEX(الموظفات!$L$5:$L$304,MATCH(B74,الموظفات!$B$5:$B$304,0)))</f>
        <v/>
      </c>
      <c r="K74" s="36">
        <f>IF(37&gt;$B$10,"",37)</f>
        <v/>
      </c>
      <c r="L74" s="37">
        <f>IF($K74="","",INDEX('سجل التحفيز'!$A$5:$A$2004,MATCH($K74,'سجل التحفيز'!$X$5:$X$2004,0)))</f>
        <v/>
      </c>
      <c r="M74" s="9">
        <f>IF($K74="","",INDEX('سجل التحفيز'!$B$5:$B$2004,MATCH($K74,'سجل التحفيز'!$X$5:$X$2004,0)))</f>
        <v/>
      </c>
      <c r="N74" s="9">
        <f>IF($K74="","",INDEX('سجل التحفيز'!$M$5:$M$2004,MATCH($K74,'سجل التحفيز'!$X$5:$X$2004,0)))</f>
        <v/>
      </c>
      <c r="O74" s="9">
        <f>IF($K74="","",INDEX('سجل التحفيز'!$C$5:$C$2004,MATCH($K74,'سجل التحفيز'!$X$5:$X$2004,0)))</f>
        <v/>
      </c>
      <c r="P74" s="36">
        <f>IF($K74="","",INDEX('سجل التحفيز'!$D$5:$D$2004,MATCH($K74,'سجل التحفيز'!$X$5:$X$2004,0)))</f>
        <v/>
      </c>
      <c r="Q74" s="9">
        <f>IF($K74="","",INDEX('سجل التحفيز'!$E$5:$E$2004,MATCH($K74,'سجل التحفيز'!$X$5:$X$2004,0)))</f>
        <v/>
      </c>
      <c r="R74" s="9">
        <f>IF($K74="","",INDEX('سجل التحفيز'!$F$5:$F$2004,MATCH($K74,'سجل التحفيز'!$X$5:$X$2004,0)))</f>
        <v/>
      </c>
      <c r="S74" s="35">
        <f>IF($K74="","",INDEX('سجل التحفيز'!$G$5:$G$2004,MATCH($K74,'سجل التحفيز'!$X$5:$X$2004,0)))</f>
        <v/>
      </c>
    </row>
    <row r="75">
      <c r="B75" s="34">
        <f>IFERROR(INDEX(الموظفات!$B$5:$B$304,MATCH(38,الموظفات!$R$5:$R$304,0)),"")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التحفيز'!$X$5:$X$2004,"&gt;0",'سجل التحفيز'!$B$5:$B$2004,B75))</f>
        <v/>
      </c>
      <c r="E75" s="35">
        <f>IF(B75="","",COUNTIFS('سجل التحفيز'!$X$5:$X$2004,"&gt;0",'سجل التحفيز'!$B$5:$B$2004,B75,'سجل التحفيز'!$D$5:$D$2004,"ذهبي"))</f>
        <v/>
      </c>
      <c r="F75" s="35">
        <f>IF(B75="","",SUMIFS('سجل التحفيز'!$G$5:$G$2004,'سجل التحفيز'!$X$5:$X$2004,"&gt;0",'سجل التحفيز'!$B$5:$B$2004,B75))</f>
        <v/>
      </c>
      <c r="G75" s="35">
        <f>IF(B75="","",COUNTIF($D$38:$D$187,"&gt;"&amp;D75)+1)</f>
        <v/>
      </c>
      <c r="H75" s="35">
        <f>IF(B75="","",INDEX(الموظفات!$L$5:$L$304,MATCH(B75,الموظفات!$B$5:$B$304,0)))</f>
        <v/>
      </c>
      <c r="K75" s="36">
        <f>IF(38&gt;$B$10,"",38)</f>
        <v/>
      </c>
      <c r="L75" s="37">
        <f>IF($K75="","",INDEX('سجل التحفيز'!$A$5:$A$2004,MATCH($K75,'سجل التحفيز'!$X$5:$X$2004,0)))</f>
        <v/>
      </c>
      <c r="M75" s="9">
        <f>IF($K75="","",INDEX('سجل التحفيز'!$B$5:$B$2004,MATCH($K75,'سجل التحفيز'!$X$5:$X$2004,0)))</f>
        <v/>
      </c>
      <c r="N75" s="9">
        <f>IF($K75="","",INDEX('سجل التحفيز'!$M$5:$M$2004,MATCH($K75,'سجل التحفيز'!$X$5:$X$2004,0)))</f>
        <v/>
      </c>
      <c r="O75" s="9">
        <f>IF($K75="","",INDEX('سجل التحفيز'!$C$5:$C$2004,MATCH($K75,'سجل التحفيز'!$X$5:$X$2004,0)))</f>
        <v/>
      </c>
      <c r="P75" s="36">
        <f>IF($K75="","",INDEX('سجل التحفيز'!$D$5:$D$2004,MATCH($K75,'سجل التحفيز'!$X$5:$X$2004,0)))</f>
        <v/>
      </c>
      <c r="Q75" s="9">
        <f>IF($K75="","",INDEX('سجل التحفيز'!$E$5:$E$2004,MATCH($K75,'سجل التحفيز'!$X$5:$X$2004,0)))</f>
        <v/>
      </c>
      <c r="R75" s="9">
        <f>IF($K75="","",INDEX('سجل التحفيز'!$F$5:$F$2004,MATCH($K75,'سجل التحفيز'!$X$5:$X$2004,0)))</f>
        <v/>
      </c>
      <c r="S75" s="35">
        <f>IF($K75="","",INDEX('سجل التحفيز'!$G$5:$G$2004,MATCH($K75,'سجل التحفيز'!$X$5:$X$2004,0)))</f>
        <v/>
      </c>
    </row>
    <row r="76">
      <c r="B76" s="34">
        <f>IFERROR(INDEX(الموظفات!$B$5:$B$304,MATCH(39,الموظفات!$R$5:$R$304,0)),"")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التحفيز'!$X$5:$X$2004,"&gt;0",'سجل التحفيز'!$B$5:$B$2004,B76))</f>
        <v/>
      </c>
      <c r="E76" s="35">
        <f>IF(B76="","",COUNTIFS('سجل التحفيز'!$X$5:$X$2004,"&gt;0",'سجل التحفيز'!$B$5:$B$2004,B76,'سجل التحفيز'!$D$5:$D$2004,"ذهبي"))</f>
        <v/>
      </c>
      <c r="F76" s="35">
        <f>IF(B76="","",SUMIFS('سجل التحفيز'!$G$5:$G$2004,'سجل التحفيز'!$X$5:$X$2004,"&gt;0",'سجل التحفيز'!$B$5:$B$2004,B76))</f>
        <v/>
      </c>
      <c r="G76" s="35">
        <f>IF(B76="","",COUNTIF($D$38:$D$187,"&gt;"&amp;D76)+1)</f>
        <v/>
      </c>
      <c r="H76" s="35">
        <f>IF(B76="","",INDEX(الموظفات!$L$5:$L$304,MATCH(B76,الموظفات!$B$5:$B$304,0)))</f>
        <v/>
      </c>
      <c r="K76" s="36">
        <f>IF(39&gt;$B$10,"",39)</f>
        <v/>
      </c>
      <c r="L76" s="37">
        <f>IF($K76="","",INDEX('سجل التحفيز'!$A$5:$A$2004,MATCH($K76,'سجل التحفيز'!$X$5:$X$2004,0)))</f>
        <v/>
      </c>
      <c r="M76" s="9">
        <f>IF($K76="","",INDEX('سجل التحفيز'!$B$5:$B$2004,MATCH($K76,'سجل التحفيز'!$X$5:$X$2004,0)))</f>
        <v/>
      </c>
      <c r="N76" s="9">
        <f>IF($K76="","",INDEX('سجل التحفيز'!$M$5:$M$2004,MATCH($K76,'سجل التحفيز'!$X$5:$X$2004,0)))</f>
        <v/>
      </c>
      <c r="O76" s="9">
        <f>IF($K76="","",INDEX('سجل التحفيز'!$C$5:$C$2004,MATCH($K76,'سجل التحفيز'!$X$5:$X$2004,0)))</f>
        <v/>
      </c>
      <c r="P76" s="36">
        <f>IF($K76="","",INDEX('سجل التحفيز'!$D$5:$D$2004,MATCH($K76,'سجل التحفيز'!$X$5:$X$2004,0)))</f>
        <v/>
      </c>
      <c r="Q76" s="9">
        <f>IF($K76="","",INDEX('سجل التحفيز'!$E$5:$E$2004,MATCH($K76,'سجل التحفيز'!$X$5:$X$2004,0)))</f>
        <v/>
      </c>
      <c r="R76" s="9">
        <f>IF($K76="","",INDEX('سجل التحفيز'!$F$5:$F$2004,MATCH($K76,'سجل التحفيز'!$X$5:$X$2004,0)))</f>
        <v/>
      </c>
      <c r="S76" s="35">
        <f>IF($K76="","",INDEX('سجل التحفيز'!$G$5:$G$2004,MATCH($K76,'سجل التحفيز'!$X$5:$X$2004,0)))</f>
        <v/>
      </c>
    </row>
    <row r="77">
      <c r="B77" s="34">
        <f>IFERROR(INDEX(الموظفات!$B$5:$B$304,MATCH(40,الموظفات!$R$5:$R$304,0)),"")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التحفيز'!$X$5:$X$2004,"&gt;0",'سجل التحفيز'!$B$5:$B$2004,B77))</f>
        <v/>
      </c>
      <c r="E77" s="35">
        <f>IF(B77="","",COUNTIFS('سجل التحفيز'!$X$5:$X$2004,"&gt;0",'سجل التحفيز'!$B$5:$B$2004,B77,'سجل التحفيز'!$D$5:$D$2004,"ذهبي"))</f>
        <v/>
      </c>
      <c r="F77" s="35">
        <f>IF(B77="","",SUMIFS('سجل التحفيز'!$G$5:$G$2004,'سجل التحفيز'!$X$5:$X$2004,"&gt;0",'سجل التحفيز'!$B$5:$B$2004,B77))</f>
        <v/>
      </c>
      <c r="G77" s="35">
        <f>IF(B77="","",COUNTIF($D$38:$D$187,"&gt;"&amp;D77)+1)</f>
        <v/>
      </c>
      <c r="H77" s="35">
        <f>IF(B77="","",INDEX(الموظفات!$L$5:$L$304,MATCH(B77,الموظفات!$B$5:$B$304,0)))</f>
        <v/>
      </c>
      <c r="K77" s="36">
        <f>IF(40&gt;$B$10,"",40)</f>
        <v/>
      </c>
      <c r="L77" s="37">
        <f>IF($K77="","",INDEX('سجل التحفيز'!$A$5:$A$2004,MATCH($K77,'سجل التحفيز'!$X$5:$X$2004,0)))</f>
        <v/>
      </c>
      <c r="M77" s="9">
        <f>IF($K77="","",INDEX('سجل التحفيز'!$B$5:$B$2004,MATCH($K77,'سجل التحفيز'!$X$5:$X$2004,0)))</f>
        <v/>
      </c>
      <c r="N77" s="9">
        <f>IF($K77="","",INDEX('سجل التحفيز'!$M$5:$M$2004,MATCH($K77,'سجل التحفيز'!$X$5:$X$2004,0)))</f>
        <v/>
      </c>
      <c r="O77" s="9">
        <f>IF($K77="","",INDEX('سجل التحفيز'!$C$5:$C$2004,MATCH($K77,'سجل التحفيز'!$X$5:$X$2004,0)))</f>
        <v/>
      </c>
      <c r="P77" s="36">
        <f>IF($K77="","",INDEX('سجل التحفيز'!$D$5:$D$2004,MATCH($K77,'سجل التحفيز'!$X$5:$X$2004,0)))</f>
        <v/>
      </c>
      <c r="Q77" s="9">
        <f>IF($K77="","",INDEX('سجل التحفيز'!$E$5:$E$2004,MATCH($K77,'سجل التحفيز'!$X$5:$X$2004,0)))</f>
        <v/>
      </c>
      <c r="R77" s="9">
        <f>IF($K77="","",INDEX('سجل التحفيز'!$F$5:$F$2004,MATCH($K77,'سجل التحفيز'!$X$5:$X$2004,0)))</f>
        <v/>
      </c>
      <c r="S77" s="35">
        <f>IF($K77="","",INDEX('سجل التحفيز'!$G$5:$G$2004,MATCH($K77,'سجل التحفيز'!$X$5:$X$2004,0)))</f>
        <v/>
      </c>
    </row>
    <row r="78">
      <c r="B78" s="34">
        <f>IFERROR(INDEX(الموظفات!$B$5:$B$304,MATCH(41,الموظفات!$R$5:$R$304,0)),"")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التحفيز'!$X$5:$X$2004,"&gt;0",'سجل التحفيز'!$B$5:$B$2004,B78))</f>
        <v/>
      </c>
      <c r="E78" s="35">
        <f>IF(B78="","",COUNTIFS('سجل التحفيز'!$X$5:$X$2004,"&gt;0",'سجل التحفيز'!$B$5:$B$2004,B78,'سجل التحفيز'!$D$5:$D$2004,"ذهبي"))</f>
        <v/>
      </c>
      <c r="F78" s="35">
        <f>IF(B78="","",SUMIFS('سجل التحفيز'!$G$5:$G$2004,'سجل التحفيز'!$X$5:$X$2004,"&gt;0",'سجل التحفيز'!$B$5:$B$2004,B78))</f>
        <v/>
      </c>
      <c r="G78" s="35">
        <f>IF(B78="","",COUNTIF($D$38:$D$187,"&gt;"&amp;D78)+1)</f>
        <v/>
      </c>
      <c r="H78" s="35">
        <f>IF(B78="","",INDEX(الموظفات!$L$5:$L$304,MATCH(B78,الموظفات!$B$5:$B$304,0)))</f>
        <v/>
      </c>
      <c r="K78" s="36">
        <f>IF(41&gt;$B$10,"",41)</f>
        <v/>
      </c>
      <c r="L78" s="37">
        <f>IF($K78="","",INDEX('سجل التحفيز'!$A$5:$A$2004,MATCH($K78,'سجل التحفيز'!$X$5:$X$2004,0)))</f>
        <v/>
      </c>
      <c r="M78" s="9">
        <f>IF($K78="","",INDEX('سجل التحفيز'!$B$5:$B$2004,MATCH($K78,'سجل التحفيز'!$X$5:$X$2004,0)))</f>
        <v/>
      </c>
      <c r="N78" s="9">
        <f>IF($K78="","",INDEX('سجل التحفيز'!$M$5:$M$2004,MATCH($K78,'سجل التحفيز'!$X$5:$X$2004,0)))</f>
        <v/>
      </c>
      <c r="O78" s="9">
        <f>IF($K78="","",INDEX('سجل التحفيز'!$C$5:$C$2004,MATCH($K78,'سجل التحفيز'!$X$5:$X$2004,0)))</f>
        <v/>
      </c>
      <c r="P78" s="36">
        <f>IF($K78="","",INDEX('سجل التحفيز'!$D$5:$D$2004,MATCH($K78,'سجل التحفيز'!$X$5:$X$2004,0)))</f>
        <v/>
      </c>
      <c r="Q78" s="9">
        <f>IF($K78="","",INDEX('سجل التحفيز'!$E$5:$E$2004,MATCH($K78,'سجل التحفيز'!$X$5:$X$2004,0)))</f>
        <v/>
      </c>
      <c r="R78" s="9">
        <f>IF($K78="","",INDEX('سجل التحفيز'!$F$5:$F$2004,MATCH($K78,'سجل التحفيز'!$X$5:$X$2004,0)))</f>
        <v/>
      </c>
      <c r="S78" s="35">
        <f>IF($K78="","",INDEX('سجل التحفيز'!$G$5:$G$2004,MATCH($K78,'سجل التحفيز'!$X$5:$X$2004,0)))</f>
        <v/>
      </c>
    </row>
    <row r="79">
      <c r="B79" s="34">
        <f>IFERROR(INDEX(الموظفات!$B$5:$B$304,MATCH(42,الموظفات!$R$5:$R$304,0)),"")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التحفيز'!$X$5:$X$2004,"&gt;0",'سجل التحفيز'!$B$5:$B$2004,B79))</f>
        <v/>
      </c>
      <c r="E79" s="35">
        <f>IF(B79="","",COUNTIFS('سجل التحفيز'!$X$5:$X$2004,"&gt;0",'سجل التحفيز'!$B$5:$B$2004,B79,'سجل التحفيز'!$D$5:$D$2004,"ذهبي"))</f>
        <v/>
      </c>
      <c r="F79" s="35">
        <f>IF(B79="","",SUMIFS('سجل التحفيز'!$G$5:$G$2004,'سجل التحفيز'!$X$5:$X$2004,"&gt;0",'سجل التحفيز'!$B$5:$B$2004,B79))</f>
        <v/>
      </c>
      <c r="G79" s="35">
        <f>IF(B79="","",COUNTIF($D$38:$D$187,"&gt;"&amp;D79)+1)</f>
        <v/>
      </c>
      <c r="H79" s="35">
        <f>IF(B79="","",INDEX(الموظفات!$L$5:$L$304,MATCH(B79,الموظفات!$B$5:$B$304,0)))</f>
        <v/>
      </c>
      <c r="K79" s="36">
        <f>IF(42&gt;$B$10,"",42)</f>
        <v/>
      </c>
      <c r="L79" s="37">
        <f>IF($K79="","",INDEX('سجل التحفيز'!$A$5:$A$2004,MATCH($K79,'سجل التحفيز'!$X$5:$X$2004,0)))</f>
        <v/>
      </c>
      <c r="M79" s="9">
        <f>IF($K79="","",INDEX('سجل التحفيز'!$B$5:$B$2004,MATCH($K79,'سجل التحفيز'!$X$5:$X$2004,0)))</f>
        <v/>
      </c>
      <c r="N79" s="9">
        <f>IF($K79="","",INDEX('سجل التحفيز'!$M$5:$M$2004,MATCH($K79,'سجل التحفيز'!$X$5:$X$2004,0)))</f>
        <v/>
      </c>
      <c r="O79" s="9">
        <f>IF($K79="","",INDEX('سجل التحفيز'!$C$5:$C$2004,MATCH($K79,'سجل التحفيز'!$X$5:$X$2004,0)))</f>
        <v/>
      </c>
      <c r="P79" s="36">
        <f>IF($K79="","",INDEX('سجل التحفيز'!$D$5:$D$2004,MATCH($K79,'سجل التحفيز'!$X$5:$X$2004,0)))</f>
        <v/>
      </c>
      <c r="Q79" s="9">
        <f>IF($K79="","",INDEX('سجل التحفيز'!$E$5:$E$2004,MATCH($K79,'سجل التحفيز'!$X$5:$X$2004,0)))</f>
        <v/>
      </c>
      <c r="R79" s="9">
        <f>IF($K79="","",INDEX('سجل التحفيز'!$F$5:$F$2004,MATCH($K79,'سجل التحفيز'!$X$5:$X$2004,0)))</f>
        <v/>
      </c>
      <c r="S79" s="35">
        <f>IF($K79="","",INDEX('سجل التحفيز'!$G$5:$G$2004,MATCH($K79,'سجل التحفيز'!$X$5:$X$2004,0)))</f>
        <v/>
      </c>
    </row>
    <row r="80">
      <c r="B80" s="34">
        <f>IFERROR(INDEX(الموظفات!$B$5:$B$304,MATCH(43,الموظفات!$R$5:$R$304,0)),"")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التحفيز'!$X$5:$X$2004,"&gt;0",'سجل التحفيز'!$B$5:$B$2004,B80))</f>
        <v/>
      </c>
      <c r="E80" s="35">
        <f>IF(B80="","",COUNTIFS('سجل التحفيز'!$X$5:$X$2004,"&gt;0",'سجل التحفيز'!$B$5:$B$2004,B80,'سجل التحفيز'!$D$5:$D$2004,"ذهبي"))</f>
        <v/>
      </c>
      <c r="F80" s="35">
        <f>IF(B80="","",SUMIFS('سجل التحفيز'!$G$5:$G$2004,'سجل التحفيز'!$X$5:$X$2004,"&gt;0",'سجل التحفيز'!$B$5:$B$2004,B80))</f>
        <v/>
      </c>
      <c r="G80" s="35">
        <f>IF(B80="","",COUNTIF($D$38:$D$187,"&gt;"&amp;D80)+1)</f>
        <v/>
      </c>
      <c r="H80" s="35">
        <f>IF(B80="","",INDEX(الموظفات!$L$5:$L$304,MATCH(B80,الموظفات!$B$5:$B$304,0)))</f>
        <v/>
      </c>
      <c r="K80" s="36">
        <f>IF(43&gt;$B$10,"",43)</f>
        <v/>
      </c>
      <c r="L80" s="37">
        <f>IF($K80="","",INDEX('سجل التحفيز'!$A$5:$A$2004,MATCH($K80,'سجل التحفيز'!$X$5:$X$2004,0)))</f>
        <v/>
      </c>
      <c r="M80" s="9">
        <f>IF($K80="","",INDEX('سجل التحفيز'!$B$5:$B$2004,MATCH($K80,'سجل التحفيز'!$X$5:$X$2004,0)))</f>
        <v/>
      </c>
      <c r="N80" s="9">
        <f>IF($K80="","",INDEX('سجل التحفيز'!$M$5:$M$2004,MATCH($K80,'سجل التحفيز'!$X$5:$X$2004,0)))</f>
        <v/>
      </c>
      <c r="O80" s="9">
        <f>IF($K80="","",INDEX('سجل التحفيز'!$C$5:$C$2004,MATCH($K80,'سجل التحفيز'!$X$5:$X$2004,0)))</f>
        <v/>
      </c>
      <c r="P80" s="36">
        <f>IF($K80="","",INDEX('سجل التحفيز'!$D$5:$D$2004,MATCH($K80,'سجل التحفيز'!$X$5:$X$2004,0)))</f>
        <v/>
      </c>
      <c r="Q80" s="9">
        <f>IF($K80="","",INDEX('سجل التحفيز'!$E$5:$E$2004,MATCH($K80,'سجل التحفيز'!$X$5:$X$2004,0)))</f>
        <v/>
      </c>
      <c r="R80" s="9">
        <f>IF($K80="","",INDEX('سجل التحفيز'!$F$5:$F$2004,MATCH($K80,'سجل التحفيز'!$X$5:$X$2004,0)))</f>
        <v/>
      </c>
      <c r="S80" s="35">
        <f>IF($K80="","",INDEX('سجل التحفيز'!$G$5:$G$2004,MATCH($K80,'سجل التحفيز'!$X$5:$X$2004,0)))</f>
        <v/>
      </c>
    </row>
    <row r="81">
      <c r="B81" s="34">
        <f>IFERROR(INDEX(الموظفات!$B$5:$B$304,MATCH(44,الموظفات!$R$5:$R$304,0)),"")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التحفيز'!$X$5:$X$2004,"&gt;0",'سجل التحفيز'!$B$5:$B$2004,B81))</f>
        <v/>
      </c>
      <c r="E81" s="35">
        <f>IF(B81="","",COUNTIFS('سجل التحفيز'!$X$5:$X$2004,"&gt;0",'سجل التحفيز'!$B$5:$B$2004,B81,'سجل التحفيز'!$D$5:$D$2004,"ذهبي"))</f>
        <v/>
      </c>
      <c r="F81" s="35">
        <f>IF(B81="","",SUMIFS('سجل التحفيز'!$G$5:$G$2004,'سجل التحفيز'!$X$5:$X$2004,"&gt;0",'سجل التحفيز'!$B$5:$B$2004,B81))</f>
        <v/>
      </c>
      <c r="G81" s="35">
        <f>IF(B81="","",COUNTIF($D$38:$D$187,"&gt;"&amp;D81)+1)</f>
        <v/>
      </c>
      <c r="H81" s="35">
        <f>IF(B81="","",INDEX(الموظفات!$L$5:$L$304,MATCH(B81,الموظفات!$B$5:$B$304,0)))</f>
        <v/>
      </c>
      <c r="K81" s="36">
        <f>IF(44&gt;$B$10,"",44)</f>
        <v/>
      </c>
      <c r="L81" s="37">
        <f>IF($K81="","",INDEX('سجل التحفيز'!$A$5:$A$2004,MATCH($K81,'سجل التحفيز'!$X$5:$X$2004,0)))</f>
        <v/>
      </c>
      <c r="M81" s="9">
        <f>IF($K81="","",INDEX('سجل التحفيز'!$B$5:$B$2004,MATCH($K81,'سجل التحفيز'!$X$5:$X$2004,0)))</f>
        <v/>
      </c>
      <c r="N81" s="9">
        <f>IF($K81="","",INDEX('سجل التحفيز'!$M$5:$M$2004,MATCH($K81,'سجل التحفيز'!$X$5:$X$2004,0)))</f>
        <v/>
      </c>
      <c r="O81" s="9">
        <f>IF($K81="","",INDEX('سجل التحفيز'!$C$5:$C$2004,MATCH($K81,'سجل التحفيز'!$X$5:$X$2004,0)))</f>
        <v/>
      </c>
      <c r="P81" s="36">
        <f>IF($K81="","",INDEX('سجل التحفيز'!$D$5:$D$2004,MATCH($K81,'سجل التحفيز'!$X$5:$X$2004,0)))</f>
        <v/>
      </c>
      <c r="Q81" s="9">
        <f>IF($K81="","",INDEX('سجل التحفيز'!$E$5:$E$2004,MATCH($K81,'سجل التحفيز'!$X$5:$X$2004,0)))</f>
        <v/>
      </c>
      <c r="R81" s="9">
        <f>IF($K81="","",INDEX('سجل التحفيز'!$F$5:$F$2004,MATCH($K81,'سجل التحفيز'!$X$5:$X$2004,0)))</f>
        <v/>
      </c>
      <c r="S81" s="35">
        <f>IF($K81="","",INDEX('سجل التحفيز'!$G$5:$G$2004,MATCH($K81,'سجل التحفيز'!$X$5:$X$2004,0)))</f>
        <v/>
      </c>
    </row>
    <row r="82">
      <c r="B82" s="34">
        <f>IFERROR(INDEX(الموظفات!$B$5:$B$304,MATCH(45,الموظفات!$R$5:$R$304,0)),"")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التحفيز'!$X$5:$X$2004,"&gt;0",'سجل التحفيز'!$B$5:$B$2004,B82))</f>
        <v/>
      </c>
      <c r="E82" s="35">
        <f>IF(B82="","",COUNTIFS('سجل التحفيز'!$X$5:$X$2004,"&gt;0",'سجل التحفيز'!$B$5:$B$2004,B82,'سجل التحفيز'!$D$5:$D$2004,"ذهبي"))</f>
        <v/>
      </c>
      <c r="F82" s="35">
        <f>IF(B82="","",SUMIFS('سجل التحفيز'!$G$5:$G$2004,'سجل التحفيز'!$X$5:$X$2004,"&gt;0",'سجل التحفيز'!$B$5:$B$2004,B82))</f>
        <v/>
      </c>
      <c r="G82" s="35">
        <f>IF(B82="","",COUNTIF($D$38:$D$187,"&gt;"&amp;D82)+1)</f>
        <v/>
      </c>
      <c r="H82" s="35">
        <f>IF(B82="","",INDEX(الموظفات!$L$5:$L$304,MATCH(B82,الموظفات!$B$5:$B$304,0)))</f>
        <v/>
      </c>
      <c r="K82" s="36">
        <f>IF(45&gt;$B$10,"",45)</f>
        <v/>
      </c>
      <c r="L82" s="37">
        <f>IF($K82="","",INDEX('سجل التحفيز'!$A$5:$A$2004,MATCH($K82,'سجل التحفيز'!$X$5:$X$2004,0)))</f>
        <v/>
      </c>
      <c r="M82" s="9">
        <f>IF($K82="","",INDEX('سجل التحفيز'!$B$5:$B$2004,MATCH($K82,'سجل التحفيز'!$X$5:$X$2004,0)))</f>
        <v/>
      </c>
      <c r="N82" s="9">
        <f>IF($K82="","",INDEX('سجل التحفيز'!$M$5:$M$2004,MATCH($K82,'سجل التحفيز'!$X$5:$X$2004,0)))</f>
        <v/>
      </c>
      <c r="O82" s="9">
        <f>IF($K82="","",INDEX('سجل التحفيز'!$C$5:$C$2004,MATCH($K82,'سجل التحفيز'!$X$5:$X$2004,0)))</f>
        <v/>
      </c>
      <c r="P82" s="36">
        <f>IF($K82="","",INDEX('سجل التحفيز'!$D$5:$D$2004,MATCH($K82,'سجل التحفيز'!$X$5:$X$2004,0)))</f>
        <v/>
      </c>
      <c r="Q82" s="9">
        <f>IF($K82="","",INDEX('سجل التحفيز'!$E$5:$E$2004,MATCH($K82,'سجل التحفيز'!$X$5:$X$2004,0)))</f>
        <v/>
      </c>
      <c r="R82" s="9">
        <f>IF($K82="","",INDEX('سجل التحفيز'!$F$5:$F$2004,MATCH($K82,'سجل التحفيز'!$X$5:$X$2004,0)))</f>
        <v/>
      </c>
      <c r="S82" s="35">
        <f>IF($K82="","",INDEX('سجل التحفيز'!$G$5:$G$2004,MATCH($K82,'سجل التحفيز'!$X$5:$X$2004,0)))</f>
        <v/>
      </c>
    </row>
    <row r="83">
      <c r="B83" s="34">
        <f>IFERROR(INDEX(الموظفات!$B$5:$B$304,MATCH(46,الموظفات!$R$5:$R$304,0)),"")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التحفيز'!$X$5:$X$2004,"&gt;0",'سجل التحفيز'!$B$5:$B$2004,B83))</f>
        <v/>
      </c>
      <c r="E83" s="35">
        <f>IF(B83="","",COUNTIFS('سجل التحفيز'!$X$5:$X$2004,"&gt;0",'سجل التحفيز'!$B$5:$B$2004,B83,'سجل التحفيز'!$D$5:$D$2004,"ذهبي"))</f>
        <v/>
      </c>
      <c r="F83" s="35">
        <f>IF(B83="","",SUMIFS('سجل التحفيز'!$G$5:$G$2004,'سجل التحفيز'!$X$5:$X$2004,"&gt;0",'سجل التحفيز'!$B$5:$B$2004,B83))</f>
        <v/>
      </c>
      <c r="G83" s="35">
        <f>IF(B83="","",COUNTIF($D$38:$D$187,"&gt;"&amp;D83)+1)</f>
        <v/>
      </c>
      <c r="H83" s="35">
        <f>IF(B83="","",INDEX(الموظفات!$L$5:$L$304,MATCH(B83,الموظفات!$B$5:$B$304,0)))</f>
        <v/>
      </c>
      <c r="K83" s="36">
        <f>IF(46&gt;$B$10,"",46)</f>
        <v/>
      </c>
      <c r="L83" s="37">
        <f>IF($K83="","",INDEX('سجل التحفيز'!$A$5:$A$2004,MATCH($K83,'سجل التحفيز'!$X$5:$X$2004,0)))</f>
        <v/>
      </c>
      <c r="M83" s="9">
        <f>IF($K83="","",INDEX('سجل التحفيز'!$B$5:$B$2004,MATCH($K83,'سجل التحفيز'!$X$5:$X$2004,0)))</f>
        <v/>
      </c>
      <c r="N83" s="9">
        <f>IF($K83="","",INDEX('سجل التحفيز'!$M$5:$M$2004,MATCH($K83,'سجل التحفيز'!$X$5:$X$2004,0)))</f>
        <v/>
      </c>
      <c r="O83" s="9">
        <f>IF($K83="","",INDEX('سجل التحفيز'!$C$5:$C$2004,MATCH($K83,'سجل التحفيز'!$X$5:$X$2004,0)))</f>
        <v/>
      </c>
      <c r="P83" s="36">
        <f>IF($K83="","",INDEX('سجل التحفيز'!$D$5:$D$2004,MATCH($K83,'سجل التحفيز'!$X$5:$X$2004,0)))</f>
        <v/>
      </c>
      <c r="Q83" s="9">
        <f>IF($K83="","",INDEX('سجل التحفيز'!$E$5:$E$2004,MATCH($K83,'سجل التحفيز'!$X$5:$X$2004,0)))</f>
        <v/>
      </c>
      <c r="R83" s="9">
        <f>IF($K83="","",INDEX('سجل التحفيز'!$F$5:$F$2004,MATCH($K83,'سجل التحفيز'!$X$5:$X$2004,0)))</f>
        <v/>
      </c>
      <c r="S83" s="35">
        <f>IF($K83="","",INDEX('سجل التحفيز'!$G$5:$G$2004,MATCH($K83,'سجل التحفيز'!$X$5:$X$2004,0)))</f>
        <v/>
      </c>
    </row>
    <row r="84">
      <c r="B84" s="34">
        <f>IFERROR(INDEX(الموظفات!$B$5:$B$304,MATCH(47,الموظفات!$R$5:$R$304,0)),"")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التحفيز'!$X$5:$X$2004,"&gt;0",'سجل التحفيز'!$B$5:$B$2004,B84))</f>
        <v/>
      </c>
      <c r="E84" s="35">
        <f>IF(B84="","",COUNTIFS('سجل التحفيز'!$X$5:$X$2004,"&gt;0",'سجل التحفيز'!$B$5:$B$2004,B84,'سجل التحفيز'!$D$5:$D$2004,"ذهبي"))</f>
        <v/>
      </c>
      <c r="F84" s="35">
        <f>IF(B84="","",SUMIFS('سجل التحفيز'!$G$5:$G$2004,'سجل التحفيز'!$X$5:$X$2004,"&gt;0",'سجل التحفيز'!$B$5:$B$2004,B84))</f>
        <v/>
      </c>
      <c r="G84" s="35">
        <f>IF(B84="","",COUNTIF($D$38:$D$187,"&gt;"&amp;D84)+1)</f>
        <v/>
      </c>
      <c r="H84" s="35">
        <f>IF(B84="","",INDEX(الموظفات!$L$5:$L$304,MATCH(B84,الموظفات!$B$5:$B$304,0)))</f>
        <v/>
      </c>
      <c r="K84" s="36">
        <f>IF(47&gt;$B$10,"",47)</f>
        <v/>
      </c>
      <c r="L84" s="37">
        <f>IF($K84="","",INDEX('سجل التحفيز'!$A$5:$A$2004,MATCH($K84,'سجل التحفيز'!$X$5:$X$2004,0)))</f>
        <v/>
      </c>
      <c r="M84" s="9">
        <f>IF($K84="","",INDEX('سجل التحفيز'!$B$5:$B$2004,MATCH($K84,'سجل التحفيز'!$X$5:$X$2004,0)))</f>
        <v/>
      </c>
      <c r="N84" s="9">
        <f>IF($K84="","",INDEX('سجل التحفيز'!$M$5:$M$2004,MATCH($K84,'سجل التحفيز'!$X$5:$X$2004,0)))</f>
        <v/>
      </c>
      <c r="O84" s="9">
        <f>IF($K84="","",INDEX('سجل التحفيز'!$C$5:$C$2004,MATCH($K84,'سجل التحفيز'!$X$5:$X$2004,0)))</f>
        <v/>
      </c>
      <c r="P84" s="36">
        <f>IF($K84="","",INDEX('سجل التحفيز'!$D$5:$D$2004,MATCH($K84,'سجل التحفيز'!$X$5:$X$2004,0)))</f>
        <v/>
      </c>
      <c r="Q84" s="9">
        <f>IF($K84="","",INDEX('سجل التحفيز'!$E$5:$E$2004,MATCH($K84,'سجل التحفيز'!$X$5:$X$2004,0)))</f>
        <v/>
      </c>
      <c r="R84" s="9">
        <f>IF($K84="","",INDEX('سجل التحفيز'!$F$5:$F$2004,MATCH($K84,'سجل التحفيز'!$X$5:$X$2004,0)))</f>
        <v/>
      </c>
      <c r="S84" s="35">
        <f>IF($K84="","",INDEX('سجل التحفيز'!$G$5:$G$2004,MATCH($K84,'سجل التحفيز'!$X$5:$X$2004,0)))</f>
        <v/>
      </c>
    </row>
    <row r="85">
      <c r="B85" s="34">
        <f>IFERROR(INDEX(الموظفات!$B$5:$B$304,MATCH(48,الموظفات!$R$5:$R$304,0)),"")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التحفيز'!$X$5:$X$2004,"&gt;0",'سجل التحفيز'!$B$5:$B$2004,B85))</f>
        <v/>
      </c>
      <c r="E85" s="35">
        <f>IF(B85="","",COUNTIFS('سجل التحفيز'!$X$5:$X$2004,"&gt;0",'سجل التحفيز'!$B$5:$B$2004,B85,'سجل التحفيز'!$D$5:$D$2004,"ذهبي"))</f>
        <v/>
      </c>
      <c r="F85" s="35">
        <f>IF(B85="","",SUMIFS('سجل التحفيز'!$G$5:$G$2004,'سجل التحفيز'!$X$5:$X$2004,"&gt;0",'سجل التحفيز'!$B$5:$B$2004,B85))</f>
        <v/>
      </c>
      <c r="G85" s="35">
        <f>IF(B85="","",COUNTIF($D$38:$D$187,"&gt;"&amp;D85)+1)</f>
        <v/>
      </c>
      <c r="H85" s="35">
        <f>IF(B85="","",INDEX(الموظفات!$L$5:$L$304,MATCH(B85,الموظفات!$B$5:$B$304,0)))</f>
        <v/>
      </c>
      <c r="K85" s="36">
        <f>IF(48&gt;$B$10,"",48)</f>
        <v/>
      </c>
      <c r="L85" s="37">
        <f>IF($K85="","",INDEX('سجل التحفيز'!$A$5:$A$2004,MATCH($K85,'سجل التحفيز'!$X$5:$X$2004,0)))</f>
        <v/>
      </c>
      <c r="M85" s="9">
        <f>IF($K85="","",INDEX('سجل التحفيز'!$B$5:$B$2004,MATCH($K85,'سجل التحفيز'!$X$5:$X$2004,0)))</f>
        <v/>
      </c>
      <c r="N85" s="9">
        <f>IF($K85="","",INDEX('سجل التحفيز'!$M$5:$M$2004,MATCH($K85,'سجل التحفيز'!$X$5:$X$2004,0)))</f>
        <v/>
      </c>
      <c r="O85" s="9">
        <f>IF($K85="","",INDEX('سجل التحفيز'!$C$5:$C$2004,MATCH($K85,'سجل التحفيز'!$X$5:$X$2004,0)))</f>
        <v/>
      </c>
      <c r="P85" s="36">
        <f>IF($K85="","",INDEX('سجل التحفيز'!$D$5:$D$2004,MATCH($K85,'سجل التحفيز'!$X$5:$X$2004,0)))</f>
        <v/>
      </c>
      <c r="Q85" s="9">
        <f>IF($K85="","",INDEX('سجل التحفيز'!$E$5:$E$2004,MATCH($K85,'سجل التحفيز'!$X$5:$X$2004,0)))</f>
        <v/>
      </c>
      <c r="R85" s="9">
        <f>IF($K85="","",INDEX('سجل التحفيز'!$F$5:$F$2004,MATCH($K85,'سجل التحفيز'!$X$5:$X$2004,0)))</f>
        <v/>
      </c>
      <c r="S85" s="35">
        <f>IF($K85="","",INDEX('سجل التحفيز'!$G$5:$G$2004,MATCH($K85,'سجل التحفيز'!$X$5:$X$2004,0)))</f>
        <v/>
      </c>
    </row>
    <row r="86">
      <c r="B86" s="34">
        <f>IFERROR(INDEX(الموظفات!$B$5:$B$304,MATCH(49,الموظفات!$R$5:$R$304,0)),"")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التحفيز'!$X$5:$X$2004,"&gt;0",'سجل التحفيز'!$B$5:$B$2004,B86))</f>
        <v/>
      </c>
      <c r="E86" s="35">
        <f>IF(B86="","",COUNTIFS('سجل التحفيز'!$X$5:$X$2004,"&gt;0",'سجل التحفيز'!$B$5:$B$2004,B86,'سجل التحفيز'!$D$5:$D$2004,"ذهبي"))</f>
        <v/>
      </c>
      <c r="F86" s="35">
        <f>IF(B86="","",SUMIFS('سجل التحفيز'!$G$5:$G$2004,'سجل التحفيز'!$X$5:$X$2004,"&gt;0",'سجل التحفيز'!$B$5:$B$2004,B86))</f>
        <v/>
      </c>
      <c r="G86" s="35">
        <f>IF(B86="","",COUNTIF($D$38:$D$187,"&gt;"&amp;D86)+1)</f>
        <v/>
      </c>
      <c r="H86" s="35">
        <f>IF(B86="","",INDEX(الموظفات!$L$5:$L$304,MATCH(B86,الموظفات!$B$5:$B$304,0)))</f>
        <v/>
      </c>
      <c r="K86" s="36">
        <f>IF(49&gt;$B$10,"",49)</f>
        <v/>
      </c>
      <c r="L86" s="37">
        <f>IF($K86="","",INDEX('سجل التحفيز'!$A$5:$A$2004,MATCH($K86,'سجل التحفيز'!$X$5:$X$2004,0)))</f>
        <v/>
      </c>
      <c r="M86" s="9">
        <f>IF($K86="","",INDEX('سجل التحفيز'!$B$5:$B$2004,MATCH($K86,'سجل التحفيز'!$X$5:$X$2004,0)))</f>
        <v/>
      </c>
      <c r="N86" s="9">
        <f>IF($K86="","",INDEX('سجل التحفيز'!$M$5:$M$2004,MATCH($K86,'سجل التحفيز'!$X$5:$X$2004,0)))</f>
        <v/>
      </c>
      <c r="O86" s="9">
        <f>IF($K86="","",INDEX('سجل التحفيز'!$C$5:$C$2004,MATCH($K86,'سجل التحفيز'!$X$5:$X$2004,0)))</f>
        <v/>
      </c>
      <c r="P86" s="36">
        <f>IF($K86="","",INDEX('سجل التحفيز'!$D$5:$D$2004,MATCH($K86,'سجل التحفيز'!$X$5:$X$2004,0)))</f>
        <v/>
      </c>
      <c r="Q86" s="9">
        <f>IF($K86="","",INDEX('سجل التحفيز'!$E$5:$E$2004,MATCH($K86,'سجل التحفيز'!$X$5:$X$2004,0)))</f>
        <v/>
      </c>
      <c r="R86" s="9">
        <f>IF($K86="","",INDEX('سجل التحفيز'!$F$5:$F$2004,MATCH($K86,'سجل التحفيز'!$X$5:$X$2004,0)))</f>
        <v/>
      </c>
      <c r="S86" s="35">
        <f>IF($K86="","",INDEX('سجل التحفيز'!$G$5:$G$2004,MATCH($K86,'سجل التحفيز'!$X$5:$X$2004,0)))</f>
        <v/>
      </c>
    </row>
    <row r="87">
      <c r="B87" s="34">
        <f>IFERROR(INDEX(الموظفات!$B$5:$B$304,MATCH(50,الموظفات!$R$5:$R$304,0)),"")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التحفيز'!$X$5:$X$2004,"&gt;0",'سجل التحفيز'!$B$5:$B$2004,B87))</f>
        <v/>
      </c>
      <c r="E87" s="35">
        <f>IF(B87="","",COUNTIFS('سجل التحفيز'!$X$5:$X$2004,"&gt;0",'سجل التحفيز'!$B$5:$B$2004,B87,'سجل التحفيز'!$D$5:$D$2004,"ذهبي"))</f>
        <v/>
      </c>
      <c r="F87" s="35">
        <f>IF(B87="","",SUMIFS('سجل التحفيز'!$G$5:$G$2004,'سجل التحفيز'!$X$5:$X$2004,"&gt;0",'سجل التحفيز'!$B$5:$B$2004,B87))</f>
        <v/>
      </c>
      <c r="G87" s="35">
        <f>IF(B87="","",COUNTIF($D$38:$D$187,"&gt;"&amp;D87)+1)</f>
        <v/>
      </c>
      <c r="H87" s="35">
        <f>IF(B87="","",INDEX(الموظفات!$L$5:$L$304,MATCH(B87,الموظفات!$B$5:$B$304,0)))</f>
        <v/>
      </c>
      <c r="K87" s="36">
        <f>IF(50&gt;$B$10,"",50)</f>
        <v/>
      </c>
      <c r="L87" s="37">
        <f>IF($K87="","",INDEX('سجل التحفيز'!$A$5:$A$2004,MATCH($K87,'سجل التحفيز'!$X$5:$X$2004,0)))</f>
        <v/>
      </c>
      <c r="M87" s="9">
        <f>IF($K87="","",INDEX('سجل التحفيز'!$B$5:$B$2004,MATCH($K87,'سجل التحفيز'!$X$5:$X$2004,0)))</f>
        <v/>
      </c>
      <c r="N87" s="9">
        <f>IF($K87="","",INDEX('سجل التحفيز'!$M$5:$M$2004,MATCH($K87,'سجل التحفيز'!$X$5:$X$2004,0)))</f>
        <v/>
      </c>
      <c r="O87" s="9">
        <f>IF($K87="","",INDEX('سجل التحفيز'!$C$5:$C$2004,MATCH($K87,'سجل التحفيز'!$X$5:$X$2004,0)))</f>
        <v/>
      </c>
      <c r="P87" s="36">
        <f>IF($K87="","",INDEX('سجل التحفيز'!$D$5:$D$2004,MATCH($K87,'سجل التحفيز'!$X$5:$X$2004,0)))</f>
        <v/>
      </c>
      <c r="Q87" s="9">
        <f>IF($K87="","",INDEX('سجل التحفيز'!$E$5:$E$2004,MATCH($K87,'سجل التحفيز'!$X$5:$X$2004,0)))</f>
        <v/>
      </c>
      <c r="R87" s="9">
        <f>IF($K87="","",INDEX('سجل التحفيز'!$F$5:$F$2004,MATCH($K87,'سجل التحفيز'!$X$5:$X$2004,0)))</f>
        <v/>
      </c>
      <c r="S87" s="35">
        <f>IF($K87="","",INDEX('سجل التحفيز'!$G$5:$G$2004,MATCH($K87,'سجل التحفيز'!$X$5:$X$2004,0)))</f>
        <v/>
      </c>
    </row>
    <row r="88">
      <c r="B88" s="34">
        <f>IFERROR(INDEX(الموظفات!$B$5:$B$304,MATCH(51,الموظفات!$R$5:$R$304,0)),"")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التحفيز'!$X$5:$X$2004,"&gt;0",'سجل التحفيز'!$B$5:$B$2004,B88))</f>
        <v/>
      </c>
      <c r="E88" s="35">
        <f>IF(B88="","",COUNTIFS('سجل التحفيز'!$X$5:$X$2004,"&gt;0",'سجل التحفيز'!$B$5:$B$2004,B88,'سجل التحفيز'!$D$5:$D$2004,"ذهبي"))</f>
        <v/>
      </c>
      <c r="F88" s="35">
        <f>IF(B88="","",SUMIFS('سجل التحفيز'!$G$5:$G$2004,'سجل التحفيز'!$X$5:$X$2004,"&gt;0",'سجل التحفيز'!$B$5:$B$2004,B88))</f>
        <v/>
      </c>
      <c r="G88" s="35">
        <f>IF(B88="","",COUNTIF($D$38:$D$187,"&gt;"&amp;D88)+1)</f>
        <v/>
      </c>
      <c r="H88" s="35">
        <f>IF(B88="","",INDEX(الموظفات!$L$5:$L$304,MATCH(B88,الموظفات!$B$5:$B$304,0)))</f>
        <v/>
      </c>
      <c r="K88" s="36">
        <f>IF(51&gt;$B$10,"",51)</f>
        <v/>
      </c>
      <c r="L88" s="37">
        <f>IF($K88="","",INDEX('سجل التحفيز'!$A$5:$A$2004,MATCH($K88,'سجل التحفيز'!$X$5:$X$2004,0)))</f>
        <v/>
      </c>
      <c r="M88" s="9">
        <f>IF($K88="","",INDEX('سجل التحفيز'!$B$5:$B$2004,MATCH($K88,'سجل التحفيز'!$X$5:$X$2004,0)))</f>
        <v/>
      </c>
      <c r="N88" s="9">
        <f>IF($K88="","",INDEX('سجل التحفيز'!$M$5:$M$2004,MATCH($K88,'سجل التحفيز'!$X$5:$X$2004,0)))</f>
        <v/>
      </c>
      <c r="O88" s="9">
        <f>IF($K88="","",INDEX('سجل التحفيز'!$C$5:$C$2004,MATCH($K88,'سجل التحفيز'!$X$5:$X$2004,0)))</f>
        <v/>
      </c>
      <c r="P88" s="36">
        <f>IF($K88="","",INDEX('سجل التحفيز'!$D$5:$D$2004,MATCH($K88,'سجل التحفيز'!$X$5:$X$2004,0)))</f>
        <v/>
      </c>
      <c r="Q88" s="9">
        <f>IF($K88="","",INDEX('سجل التحفيز'!$E$5:$E$2004,MATCH($K88,'سجل التحفيز'!$X$5:$X$2004,0)))</f>
        <v/>
      </c>
      <c r="R88" s="9">
        <f>IF($K88="","",INDEX('سجل التحفيز'!$F$5:$F$2004,MATCH($K88,'سجل التحفيز'!$X$5:$X$2004,0)))</f>
        <v/>
      </c>
      <c r="S88" s="35">
        <f>IF($K88="","",INDEX('سجل التحفيز'!$G$5:$G$2004,MATCH($K88,'سجل التحفيز'!$X$5:$X$2004,0)))</f>
        <v/>
      </c>
    </row>
    <row r="89">
      <c r="B89" s="34">
        <f>IFERROR(INDEX(الموظفات!$B$5:$B$304,MATCH(52,الموظفات!$R$5:$R$304,0)),"")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التحفيز'!$X$5:$X$2004,"&gt;0",'سجل التحفيز'!$B$5:$B$2004,B89))</f>
        <v/>
      </c>
      <c r="E89" s="35">
        <f>IF(B89="","",COUNTIFS('سجل التحفيز'!$X$5:$X$2004,"&gt;0",'سجل التحفيز'!$B$5:$B$2004,B89,'سجل التحفيز'!$D$5:$D$2004,"ذهبي"))</f>
        <v/>
      </c>
      <c r="F89" s="35">
        <f>IF(B89="","",SUMIFS('سجل التحفيز'!$G$5:$G$2004,'سجل التحفيز'!$X$5:$X$2004,"&gt;0",'سجل التحفيز'!$B$5:$B$2004,B89))</f>
        <v/>
      </c>
      <c r="G89" s="35">
        <f>IF(B89="","",COUNTIF($D$38:$D$187,"&gt;"&amp;D89)+1)</f>
        <v/>
      </c>
      <c r="H89" s="35">
        <f>IF(B89="","",INDEX(الموظفات!$L$5:$L$304,MATCH(B89,الموظفات!$B$5:$B$304,0)))</f>
        <v/>
      </c>
      <c r="K89" s="36">
        <f>IF(52&gt;$B$10,"",52)</f>
        <v/>
      </c>
      <c r="L89" s="37">
        <f>IF($K89="","",INDEX('سجل التحفيز'!$A$5:$A$2004,MATCH($K89,'سجل التحفيز'!$X$5:$X$2004,0)))</f>
        <v/>
      </c>
      <c r="M89" s="9">
        <f>IF($K89="","",INDEX('سجل التحفيز'!$B$5:$B$2004,MATCH($K89,'سجل التحفيز'!$X$5:$X$2004,0)))</f>
        <v/>
      </c>
      <c r="N89" s="9">
        <f>IF($K89="","",INDEX('سجل التحفيز'!$M$5:$M$2004,MATCH($K89,'سجل التحفيز'!$X$5:$X$2004,0)))</f>
        <v/>
      </c>
      <c r="O89" s="9">
        <f>IF($K89="","",INDEX('سجل التحفيز'!$C$5:$C$2004,MATCH($K89,'سجل التحفيز'!$X$5:$X$2004,0)))</f>
        <v/>
      </c>
      <c r="P89" s="36">
        <f>IF($K89="","",INDEX('سجل التحفيز'!$D$5:$D$2004,MATCH($K89,'سجل التحفيز'!$X$5:$X$2004,0)))</f>
        <v/>
      </c>
      <c r="Q89" s="9">
        <f>IF($K89="","",INDEX('سجل التحفيز'!$E$5:$E$2004,MATCH($K89,'سجل التحفيز'!$X$5:$X$2004,0)))</f>
        <v/>
      </c>
      <c r="R89" s="9">
        <f>IF($K89="","",INDEX('سجل التحفيز'!$F$5:$F$2004,MATCH($K89,'سجل التحفيز'!$X$5:$X$2004,0)))</f>
        <v/>
      </c>
      <c r="S89" s="35">
        <f>IF($K89="","",INDEX('سجل التحفيز'!$G$5:$G$2004,MATCH($K89,'سجل التحفيز'!$X$5:$X$2004,0)))</f>
        <v/>
      </c>
    </row>
    <row r="90">
      <c r="B90" s="34">
        <f>IFERROR(INDEX(الموظفات!$B$5:$B$304,MATCH(53,الموظفات!$R$5:$R$304,0)),"")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التحفيز'!$X$5:$X$2004,"&gt;0",'سجل التحفيز'!$B$5:$B$2004,B90))</f>
        <v/>
      </c>
      <c r="E90" s="35">
        <f>IF(B90="","",COUNTIFS('سجل التحفيز'!$X$5:$X$2004,"&gt;0",'سجل التحفيز'!$B$5:$B$2004,B90,'سجل التحفيز'!$D$5:$D$2004,"ذهبي"))</f>
        <v/>
      </c>
      <c r="F90" s="35">
        <f>IF(B90="","",SUMIFS('سجل التحفيز'!$G$5:$G$2004,'سجل التحفيز'!$X$5:$X$2004,"&gt;0",'سجل التحفيز'!$B$5:$B$2004,B90))</f>
        <v/>
      </c>
      <c r="G90" s="35">
        <f>IF(B90="","",COUNTIF($D$38:$D$187,"&gt;"&amp;D90)+1)</f>
        <v/>
      </c>
      <c r="H90" s="35">
        <f>IF(B90="","",INDEX(الموظفات!$L$5:$L$304,MATCH(B90,الموظفات!$B$5:$B$304,0)))</f>
        <v/>
      </c>
      <c r="K90" s="36">
        <f>IF(53&gt;$B$10,"",53)</f>
        <v/>
      </c>
      <c r="L90" s="37">
        <f>IF($K90="","",INDEX('سجل التحفيز'!$A$5:$A$2004,MATCH($K90,'سجل التحفيز'!$X$5:$X$2004,0)))</f>
        <v/>
      </c>
      <c r="M90" s="9">
        <f>IF($K90="","",INDEX('سجل التحفيز'!$B$5:$B$2004,MATCH($K90,'سجل التحفيز'!$X$5:$X$2004,0)))</f>
        <v/>
      </c>
      <c r="N90" s="9">
        <f>IF($K90="","",INDEX('سجل التحفيز'!$M$5:$M$2004,MATCH($K90,'سجل التحفيز'!$X$5:$X$2004,0)))</f>
        <v/>
      </c>
      <c r="O90" s="9">
        <f>IF($K90="","",INDEX('سجل التحفيز'!$C$5:$C$2004,MATCH($K90,'سجل التحفيز'!$X$5:$X$2004,0)))</f>
        <v/>
      </c>
      <c r="P90" s="36">
        <f>IF($K90="","",INDEX('سجل التحفيز'!$D$5:$D$2004,MATCH($K90,'سجل التحفيز'!$X$5:$X$2004,0)))</f>
        <v/>
      </c>
      <c r="Q90" s="9">
        <f>IF($K90="","",INDEX('سجل التحفيز'!$E$5:$E$2004,MATCH($K90,'سجل التحفيز'!$X$5:$X$2004,0)))</f>
        <v/>
      </c>
      <c r="R90" s="9">
        <f>IF($K90="","",INDEX('سجل التحفيز'!$F$5:$F$2004,MATCH($K90,'سجل التحفيز'!$X$5:$X$2004,0)))</f>
        <v/>
      </c>
      <c r="S90" s="35">
        <f>IF($K90="","",INDEX('سجل التحفيز'!$G$5:$G$2004,MATCH($K90,'سجل التحفيز'!$X$5:$X$2004,0)))</f>
        <v/>
      </c>
    </row>
    <row r="91">
      <c r="B91" s="34">
        <f>IFERROR(INDEX(الموظفات!$B$5:$B$304,MATCH(54,الموظفات!$R$5:$R$304,0)),"")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التحفيز'!$X$5:$X$2004,"&gt;0",'سجل التحفيز'!$B$5:$B$2004,B91))</f>
        <v/>
      </c>
      <c r="E91" s="35">
        <f>IF(B91="","",COUNTIFS('سجل التحفيز'!$X$5:$X$2004,"&gt;0",'سجل التحفيز'!$B$5:$B$2004,B91,'سجل التحفيز'!$D$5:$D$2004,"ذهبي"))</f>
        <v/>
      </c>
      <c r="F91" s="35">
        <f>IF(B91="","",SUMIFS('سجل التحفيز'!$G$5:$G$2004,'سجل التحفيز'!$X$5:$X$2004,"&gt;0",'سجل التحفيز'!$B$5:$B$2004,B91))</f>
        <v/>
      </c>
      <c r="G91" s="35">
        <f>IF(B91="","",COUNTIF($D$38:$D$187,"&gt;"&amp;D91)+1)</f>
        <v/>
      </c>
      <c r="H91" s="35">
        <f>IF(B91="","",INDEX(الموظفات!$L$5:$L$304,MATCH(B91,الموظفات!$B$5:$B$304,0)))</f>
        <v/>
      </c>
      <c r="K91" s="36">
        <f>IF(54&gt;$B$10,"",54)</f>
        <v/>
      </c>
      <c r="L91" s="37">
        <f>IF($K91="","",INDEX('سجل التحفيز'!$A$5:$A$2004,MATCH($K91,'سجل التحفيز'!$X$5:$X$2004,0)))</f>
        <v/>
      </c>
      <c r="M91" s="9">
        <f>IF($K91="","",INDEX('سجل التحفيز'!$B$5:$B$2004,MATCH($K91,'سجل التحفيز'!$X$5:$X$2004,0)))</f>
        <v/>
      </c>
      <c r="N91" s="9">
        <f>IF($K91="","",INDEX('سجل التحفيز'!$M$5:$M$2004,MATCH($K91,'سجل التحفيز'!$X$5:$X$2004,0)))</f>
        <v/>
      </c>
      <c r="O91" s="9">
        <f>IF($K91="","",INDEX('سجل التحفيز'!$C$5:$C$2004,MATCH($K91,'سجل التحفيز'!$X$5:$X$2004,0)))</f>
        <v/>
      </c>
      <c r="P91" s="36">
        <f>IF($K91="","",INDEX('سجل التحفيز'!$D$5:$D$2004,MATCH($K91,'سجل التحفيز'!$X$5:$X$2004,0)))</f>
        <v/>
      </c>
      <c r="Q91" s="9">
        <f>IF($K91="","",INDEX('سجل التحفيز'!$E$5:$E$2004,MATCH($K91,'سجل التحفيز'!$X$5:$X$2004,0)))</f>
        <v/>
      </c>
      <c r="R91" s="9">
        <f>IF($K91="","",INDEX('سجل التحفيز'!$F$5:$F$2004,MATCH($K91,'سجل التحفيز'!$X$5:$X$2004,0)))</f>
        <v/>
      </c>
      <c r="S91" s="35">
        <f>IF($K91="","",INDEX('سجل التحفيز'!$G$5:$G$2004,MATCH($K91,'سجل التحفيز'!$X$5:$X$2004,0)))</f>
        <v/>
      </c>
    </row>
    <row r="92">
      <c r="B92" s="34">
        <f>IFERROR(INDEX(الموظفات!$B$5:$B$304,MATCH(55,الموظفات!$R$5:$R$304,0)),"")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التحفيز'!$X$5:$X$2004,"&gt;0",'سجل التحفيز'!$B$5:$B$2004,B92))</f>
        <v/>
      </c>
      <c r="E92" s="35">
        <f>IF(B92="","",COUNTIFS('سجل التحفيز'!$X$5:$X$2004,"&gt;0",'سجل التحفيز'!$B$5:$B$2004,B92,'سجل التحفيز'!$D$5:$D$2004,"ذهبي"))</f>
        <v/>
      </c>
      <c r="F92" s="35">
        <f>IF(B92="","",SUMIFS('سجل التحفيز'!$G$5:$G$2004,'سجل التحفيز'!$X$5:$X$2004,"&gt;0",'سجل التحفيز'!$B$5:$B$2004,B92))</f>
        <v/>
      </c>
      <c r="G92" s="35">
        <f>IF(B92="","",COUNTIF($D$38:$D$187,"&gt;"&amp;D92)+1)</f>
        <v/>
      </c>
      <c r="H92" s="35">
        <f>IF(B92="","",INDEX(الموظفات!$L$5:$L$304,MATCH(B92,الموظفات!$B$5:$B$304,0)))</f>
        <v/>
      </c>
      <c r="K92" s="36">
        <f>IF(55&gt;$B$10,"",55)</f>
        <v/>
      </c>
      <c r="L92" s="37">
        <f>IF($K92="","",INDEX('سجل التحفيز'!$A$5:$A$2004,MATCH($K92,'سجل التحفيز'!$X$5:$X$2004,0)))</f>
        <v/>
      </c>
      <c r="M92" s="9">
        <f>IF($K92="","",INDEX('سجل التحفيز'!$B$5:$B$2004,MATCH($K92,'سجل التحفيز'!$X$5:$X$2004,0)))</f>
        <v/>
      </c>
      <c r="N92" s="9">
        <f>IF($K92="","",INDEX('سجل التحفيز'!$M$5:$M$2004,MATCH($K92,'سجل التحفيز'!$X$5:$X$2004,0)))</f>
        <v/>
      </c>
      <c r="O92" s="9">
        <f>IF($K92="","",INDEX('سجل التحفيز'!$C$5:$C$2004,MATCH($K92,'سجل التحفيز'!$X$5:$X$2004,0)))</f>
        <v/>
      </c>
      <c r="P92" s="36">
        <f>IF($K92="","",INDEX('سجل التحفيز'!$D$5:$D$2004,MATCH($K92,'سجل التحفيز'!$X$5:$X$2004,0)))</f>
        <v/>
      </c>
      <c r="Q92" s="9">
        <f>IF($K92="","",INDEX('سجل التحفيز'!$E$5:$E$2004,MATCH($K92,'سجل التحفيز'!$X$5:$X$2004,0)))</f>
        <v/>
      </c>
      <c r="R92" s="9">
        <f>IF($K92="","",INDEX('سجل التحفيز'!$F$5:$F$2004,MATCH($K92,'سجل التحفيز'!$X$5:$X$2004,0)))</f>
        <v/>
      </c>
      <c r="S92" s="35">
        <f>IF($K92="","",INDEX('سجل التحفيز'!$G$5:$G$2004,MATCH($K92,'سجل التحفيز'!$X$5:$X$2004,0)))</f>
        <v/>
      </c>
    </row>
    <row r="93">
      <c r="B93" s="34">
        <f>IFERROR(INDEX(الموظفات!$B$5:$B$304,MATCH(56,الموظفات!$R$5:$R$304,0)),"")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التحفيز'!$X$5:$X$2004,"&gt;0",'سجل التحفيز'!$B$5:$B$2004,B93))</f>
        <v/>
      </c>
      <c r="E93" s="35">
        <f>IF(B93="","",COUNTIFS('سجل التحفيز'!$X$5:$X$2004,"&gt;0",'سجل التحفيز'!$B$5:$B$2004,B93,'سجل التحفيز'!$D$5:$D$2004,"ذهبي"))</f>
        <v/>
      </c>
      <c r="F93" s="35">
        <f>IF(B93="","",SUMIFS('سجل التحفيز'!$G$5:$G$2004,'سجل التحفيز'!$X$5:$X$2004,"&gt;0",'سجل التحفيز'!$B$5:$B$2004,B93))</f>
        <v/>
      </c>
      <c r="G93" s="35">
        <f>IF(B93="","",COUNTIF($D$38:$D$187,"&gt;"&amp;D93)+1)</f>
        <v/>
      </c>
      <c r="H93" s="35">
        <f>IF(B93="","",INDEX(الموظفات!$L$5:$L$304,MATCH(B93,الموظفات!$B$5:$B$304,0)))</f>
        <v/>
      </c>
      <c r="K93" s="36">
        <f>IF(56&gt;$B$10,"",56)</f>
        <v/>
      </c>
      <c r="L93" s="37">
        <f>IF($K93="","",INDEX('سجل التحفيز'!$A$5:$A$2004,MATCH($K93,'سجل التحفيز'!$X$5:$X$2004,0)))</f>
        <v/>
      </c>
      <c r="M93" s="9">
        <f>IF($K93="","",INDEX('سجل التحفيز'!$B$5:$B$2004,MATCH($K93,'سجل التحفيز'!$X$5:$X$2004,0)))</f>
        <v/>
      </c>
      <c r="N93" s="9">
        <f>IF($K93="","",INDEX('سجل التحفيز'!$M$5:$M$2004,MATCH($K93,'سجل التحفيز'!$X$5:$X$2004,0)))</f>
        <v/>
      </c>
      <c r="O93" s="9">
        <f>IF($K93="","",INDEX('سجل التحفيز'!$C$5:$C$2004,MATCH($K93,'سجل التحفيز'!$X$5:$X$2004,0)))</f>
        <v/>
      </c>
      <c r="P93" s="36">
        <f>IF($K93="","",INDEX('سجل التحفيز'!$D$5:$D$2004,MATCH($K93,'سجل التحفيز'!$X$5:$X$2004,0)))</f>
        <v/>
      </c>
      <c r="Q93" s="9">
        <f>IF($K93="","",INDEX('سجل التحفيز'!$E$5:$E$2004,MATCH($K93,'سجل التحفيز'!$X$5:$X$2004,0)))</f>
        <v/>
      </c>
      <c r="R93" s="9">
        <f>IF($K93="","",INDEX('سجل التحفيز'!$F$5:$F$2004,MATCH($K93,'سجل التحفيز'!$X$5:$X$2004,0)))</f>
        <v/>
      </c>
      <c r="S93" s="35">
        <f>IF($K93="","",INDEX('سجل التحفيز'!$G$5:$G$2004,MATCH($K93,'سجل التحفيز'!$X$5:$X$2004,0)))</f>
        <v/>
      </c>
    </row>
    <row r="94">
      <c r="B94" s="34">
        <f>IFERROR(INDEX(الموظفات!$B$5:$B$304,MATCH(57,الموظفات!$R$5:$R$304,0)),"")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التحفيز'!$X$5:$X$2004,"&gt;0",'سجل التحفيز'!$B$5:$B$2004,B94))</f>
        <v/>
      </c>
      <c r="E94" s="35">
        <f>IF(B94="","",COUNTIFS('سجل التحفيز'!$X$5:$X$2004,"&gt;0",'سجل التحفيز'!$B$5:$B$2004,B94,'سجل التحفيز'!$D$5:$D$2004,"ذهبي"))</f>
        <v/>
      </c>
      <c r="F94" s="35">
        <f>IF(B94="","",SUMIFS('سجل التحفيز'!$G$5:$G$2004,'سجل التحفيز'!$X$5:$X$2004,"&gt;0",'سجل التحفيز'!$B$5:$B$2004,B94))</f>
        <v/>
      </c>
      <c r="G94" s="35">
        <f>IF(B94="","",COUNTIF($D$38:$D$187,"&gt;"&amp;D94)+1)</f>
        <v/>
      </c>
      <c r="H94" s="35">
        <f>IF(B94="","",INDEX(الموظفات!$L$5:$L$304,MATCH(B94,الموظفات!$B$5:$B$304,0)))</f>
        <v/>
      </c>
      <c r="K94" s="36">
        <f>IF(57&gt;$B$10,"",57)</f>
        <v/>
      </c>
      <c r="L94" s="37">
        <f>IF($K94="","",INDEX('سجل التحفيز'!$A$5:$A$2004,MATCH($K94,'سجل التحفيز'!$X$5:$X$2004,0)))</f>
        <v/>
      </c>
      <c r="M94" s="9">
        <f>IF($K94="","",INDEX('سجل التحفيز'!$B$5:$B$2004,MATCH($K94,'سجل التحفيز'!$X$5:$X$2004,0)))</f>
        <v/>
      </c>
      <c r="N94" s="9">
        <f>IF($K94="","",INDEX('سجل التحفيز'!$M$5:$M$2004,MATCH($K94,'سجل التحفيز'!$X$5:$X$2004,0)))</f>
        <v/>
      </c>
      <c r="O94" s="9">
        <f>IF($K94="","",INDEX('سجل التحفيز'!$C$5:$C$2004,MATCH($K94,'سجل التحفيز'!$X$5:$X$2004,0)))</f>
        <v/>
      </c>
      <c r="P94" s="36">
        <f>IF($K94="","",INDEX('سجل التحفيز'!$D$5:$D$2004,MATCH($K94,'سجل التحفيز'!$X$5:$X$2004,0)))</f>
        <v/>
      </c>
      <c r="Q94" s="9">
        <f>IF($K94="","",INDEX('سجل التحفيز'!$E$5:$E$2004,MATCH($K94,'سجل التحفيز'!$X$5:$X$2004,0)))</f>
        <v/>
      </c>
      <c r="R94" s="9">
        <f>IF($K94="","",INDEX('سجل التحفيز'!$F$5:$F$2004,MATCH($K94,'سجل التحفيز'!$X$5:$X$2004,0)))</f>
        <v/>
      </c>
      <c r="S94" s="35">
        <f>IF($K94="","",INDEX('سجل التحفيز'!$G$5:$G$2004,MATCH($K94,'سجل التحفيز'!$X$5:$X$2004,0)))</f>
        <v/>
      </c>
    </row>
    <row r="95">
      <c r="B95" s="34">
        <f>IFERROR(INDEX(الموظفات!$B$5:$B$304,MATCH(58,الموظفات!$R$5:$R$304,0)),"")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التحفيز'!$X$5:$X$2004,"&gt;0",'سجل التحفيز'!$B$5:$B$2004,B95))</f>
        <v/>
      </c>
      <c r="E95" s="35">
        <f>IF(B95="","",COUNTIFS('سجل التحفيز'!$X$5:$X$2004,"&gt;0",'سجل التحفيز'!$B$5:$B$2004,B95,'سجل التحفيز'!$D$5:$D$2004,"ذهبي"))</f>
        <v/>
      </c>
      <c r="F95" s="35">
        <f>IF(B95="","",SUMIFS('سجل التحفيز'!$G$5:$G$2004,'سجل التحفيز'!$X$5:$X$2004,"&gt;0",'سجل التحفيز'!$B$5:$B$2004,B95))</f>
        <v/>
      </c>
      <c r="G95" s="35">
        <f>IF(B95="","",COUNTIF($D$38:$D$187,"&gt;"&amp;D95)+1)</f>
        <v/>
      </c>
      <c r="H95" s="35">
        <f>IF(B95="","",INDEX(الموظفات!$L$5:$L$304,MATCH(B95,الموظفات!$B$5:$B$304,0)))</f>
        <v/>
      </c>
      <c r="K95" s="36">
        <f>IF(58&gt;$B$10,"",58)</f>
        <v/>
      </c>
      <c r="L95" s="37">
        <f>IF($K95="","",INDEX('سجل التحفيز'!$A$5:$A$2004,MATCH($K95,'سجل التحفيز'!$X$5:$X$2004,0)))</f>
        <v/>
      </c>
      <c r="M95" s="9">
        <f>IF($K95="","",INDEX('سجل التحفيز'!$B$5:$B$2004,MATCH($K95,'سجل التحفيز'!$X$5:$X$2004,0)))</f>
        <v/>
      </c>
      <c r="N95" s="9">
        <f>IF($K95="","",INDEX('سجل التحفيز'!$M$5:$M$2004,MATCH($K95,'سجل التحفيز'!$X$5:$X$2004,0)))</f>
        <v/>
      </c>
      <c r="O95" s="9">
        <f>IF($K95="","",INDEX('سجل التحفيز'!$C$5:$C$2004,MATCH($K95,'سجل التحفيز'!$X$5:$X$2004,0)))</f>
        <v/>
      </c>
      <c r="P95" s="36">
        <f>IF($K95="","",INDEX('سجل التحفيز'!$D$5:$D$2004,MATCH($K95,'سجل التحفيز'!$X$5:$X$2004,0)))</f>
        <v/>
      </c>
      <c r="Q95" s="9">
        <f>IF($K95="","",INDEX('سجل التحفيز'!$E$5:$E$2004,MATCH($K95,'سجل التحفيز'!$X$5:$X$2004,0)))</f>
        <v/>
      </c>
      <c r="R95" s="9">
        <f>IF($K95="","",INDEX('سجل التحفيز'!$F$5:$F$2004,MATCH($K95,'سجل التحفيز'!$X$5:$X$2004,0)))</f>
        <v/>
      </c>
      <c r="S95" s="35">
        <f>IF($K95="","",INDEX('سجل التحفيز'!$G$5:$G$2004,MATCH($K95,'سجل التحفيز'!$X$5:$X$2004,0)))</f>
        <v/>
      </c>
    </row>
    <row r="96">
      <c r="B96" s="34">
        <f>IFERROR(INDEX(الموظفات!$B$5:$B$304,MATCH(59,الموظفات!$R$5:$R$304,0)),"")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التحفيز'!$X$5:$X$2004,"&gt;0",'سجل التحفيز'!$B$5:$B$2004,B96))</f>
        <v/>
      </c>
      <c r="E96" s="35">
        <f>IF(B96="","",COUNTIFS('سجل التحفيز'!$X$5:$X$2004,"&gt;0",'سجل التحفيز'!$B$5:$B$2004,B96,'سجل التحفيز'!$D$5:$D$2004,"ذهبي"))</f>
        <v/>
      </c>
      <c r="F96" s="35">
        <f>IF(B96="","",SUMIFS('سجل التحفيز'!$G$5:$G$2004,'سجل التحفيز'!$X$5:$X$2004,"&gt;0",'سجل التحفيز'!$B$5:$B$2004,B96))</f>
        <v/>
      </c>
      <c r="G96" s="35">
        <f>IF(B96="","",COUNTIF($D$38:$D$187,"&gt;"&amp;D96)+1)</f>
        <v/>
      </c>
      <c r="H96" s="35">
        <f>IF(B96="","",INDEX(الموظفات!$L$5:$L$304,MATCH(B96,الموظفات!$B$5:$B$304,0)))</f>
        <v/>
      </c>
      <c r="K96" s="36">
        <f>IF(59&gt;$B$10,"",59)</f>
        <v/>
      </c>
      <c r="L96" s="37">
        <f>IF($K96="","",INDEX('سجل التحفيز'!$A$5:$A$2004,MATCH($K96,'سجل التحفيز'!$X$5:$X$2004,0)))</f>
        <v/>
      </c>
      <c r="M96" s="9">
        <f>IF($K96="","",INDEX('سجل التحفيز'!$B$5:$B$2004,MATCH($K96,'سجل التحفيز'!$X$5:$X$2004,0)))</f>
        <v/>
      </c>
      <c r="N96" s="9">
        <f>IF($K96="","",INDEX('سجل التحفيز'!$M$5:$M$2004,MATCH($K96,'سجل التحفيز'!$X$5:$X$2004,0)))</f>
        <v/>
      </c>
      <c r="O96" s="9">
        <f>IF($K96="","",INDEX('سجل التحفيز'!$C$5:$C$2004,MATCH($K96,'سجل التحفيز'!$X$5:$X$2004,0)))</f>
        <v/>
      </c>
      <c r="P96" s="36">
        <f>IF($K96="","",INDEX('سجل التحفيز'!$D$5:$D$2004,MATCH($K96,'سجل التحفيز'!$X$5:$X$2004,0)))</f>
        <v/>
      </c>
      <c r="Q96" s="9">
        <f>IF($K96="","",INDEX('سجل التحفيز'!$E$5:$E$2004,MATCH($K96,'سجل التحفيز'!$X$5:$X$2004,0)))</f>
        <v/>
      </c>
      <c r="R96" s="9">
        <f>IF($K96="","",INDEX('سجل التحفيز'!$F$5:$F$2004,MATCH($K96,'سجل التحفيز'!$X$5:$X$2004,0)))</f>
        <v/>
      </c>
      <c r="S96" s="35">
        <f>IF($K96="","",INDEX('سجل التحفيز'!$G$5:$G$2004,MATCH($K96,'سجل التحفيز'!$X$5:$X$2004,0)))</f>
        <v/>
      </c>
    </row>
    <row r="97">
      <c r="B97" s="34">
        <f>IFERROR(INDEX(الموظفات!$B$5:$B$304,MATCH(60,الموظفات!$R$5:$R$304,0)),"")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التحفيز'!$X$5:$X$2004,"&gt;0",'سجل التحفيز'!$B$5:$B$2004,B97))</f>
        <v/>
      </c>
      <c r="E97" s="35">
        <f>IF(B97="","",COUNTIFS('سجل التحفيز'!$X$5:$X$2004,"&gt;0",'سجل التحفيز'!$B$5:$B$2004,B97,'سجل التحفيز'!$D$5:$D$2004,"ذهبي"))</f>
        <v/>
      </c>
      <c r="F97" s="35">
        <f>IF(B97="","",SUMIFS('سجل التحفيز'!$G$5:$G$2004,'سجل التحفيز'!$X$5:$X$2004,"&gt;0",'سجل التحفيز'!$B$5:$B$2004,B97))</f>
        <v/>
      </c>
      <c r="G97" s="35">
        <f>IF(B97="","",COUNTIF($D$38:$D$187,"&gt;"&amp;D97)+1)</f>
        <v/>
      </c>
      <c r="H97" s="35">
        <f>IF(B97="","",INDEX(الموظفات!$L$5:$L$304,MATCH(B97,الموظفات!$B$5:$B$304,0)))</f>
        <v/>
      </c>
      <c r="K97" s="36">
        <f>IF(60&gt;$B$10,"",60)</f>
        <v/>
      </c>
      <c r="L97" s="37">
        <f>IF($K97="","",INDEX('سجل التحفيز'!$A$5:$A$2004,MATCH($K97,'سجل التحفيز'!$X$5:$X$2004,0)))</f>
        <v/>
      </c>
      <c r="M97" s="9">
        <f>IF($K97="","",INDEX('سجل التحفيز'!$B$5:$B$2004,MATCH($K97,'سجل التحفيز'!$X$5:$X$2004,0)))</f>
        <v/>
      </c>
      <c r="N97" s="9">
        <f>IF($K97="","",INDEX('سجل التحفيز'!$M$5:$M$2004,MATCH($K97,'سجل التحفيز'!$X$5:$X$2004,0)))</f>
        <v/>
      </c>
      <c r="O97" s="9">
        <f>IF($K97="","",INDEX('سجل التحفيز'!$C$5:$C$2004,MATCH($K97,'سجل التحفيز'!$X$5:$X$2004,0)))</f>
        <v/>
      </c>
      <c r="P97" s="36">
        <f>IF($K97="","",INDEX('سجل التحفيز'!$D$5:$D$2004,MATCH($K97,'سجل التحفيز'!$X$5:$X$2004,0)))</f>
        <v/>
      </c>
      <c r="Q97" s="9">
        <f>IF($K97="","",INDEX('سجل التحفيز'!$E$5:$E$2004,MATCH($K97,'سجل التحفيز'!$X$5:$X$2004,0)))</f>
        <v/>
      </c>
      <c r="R97" s="9">
        <f>IF($K97="","",INDEX('سجل التحفيز'!$F$5:$F$2004,MATCH($K97,'سجل التحفيز'!$X$5:$X$2004,0)))</f>
        <v/>
      </c>
      <c r="S97" s="35">
        <f>IF($K97="","",INDEX('سجل التحفيز'!$G$5:$G$2004,MATCH($K97,'سجل التحفيز'!$X$5:$X$2004,0)))</f>
        <v/>
      </c>
    </row>
    <row r="98">
      <c r="B98" s="34">
        <f>IFERROR(INDEX(الموظفات!$B$5:$B$304,MATCH(61,الموظفات!$R$5:$R$304,0)),"")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التحفيز'!$X$5:$X$2004,"&gt;0",'سجل التحفيز'!$B$5:$B$2004,B98))</f>
        <v/>
      </c>
      <c r="E98" s="35">
        <f>IF(B98="","",COUNTIFS('سجل التحفيز'!$X$5:$X$2004,"&gt;0",'سجل التحفيز'!$B$5:$B$2004,B98,'سجل التحفيز'!$D$5:$D$2004,"ذهبي"))</f>
        <v/>
      </c>
      <c r="F98" s="35">
        <f>IF(B98="","",SUMIFS('سجل التحفيز'!$G$5:$G$2004,'سجل التحفيز'!$X$5:$X$2004,"&gt;0",'سجل التحفيز'!$B$5:$B$2004,B98))</f>
        <v/>
      </c>
      <c r="G98" s="35">
        <f>IF(B98="","",COUNTIF($D$38:$D$187,"&gt;"&amp;D98)+1)</f>
        <v/>
      </c>
      <c r="H98" s="35">
        <f>IF(B98="","",INDEX(الموظفات!$L$5:$L$304,MATCH(B98,الموظفات!$B$5:$B$304,0)))</f>
        <v/>
      </c>
      <c r="K98" s="36">
        <f>IF(61&gt;$B$10,"",61)</f>
        <v/>
      </c>
      <c r="L98" s="37">
        <f>IF($K98="","",INDEX('سجل التحفيز'!$A$5:$A$2004,MATCH($K98,'سجل التحفيز'!$X$5:$X$2004,0)))</f>
        <v/>
      </c>
      <c r="M98" s="9">
        <f>IF($K98="","",INDEX('سجل التحفيز'!$B$5:$B$2004,MATCH($K98,'سجل التحفيز'!$X$5:$X$2004,0)))</f>
        <v/>
      </c>
      <c r="N98" s="9">
        <f>IF($K98="","",INDEX('سجل التحفيز'!$M$5:$M$2004,MATCH($K98,'سجل التحفيز'!$X$5:$X$2004,0)))</f>
        <v/>
      </c>
      <c r="O98" s="9">
        <f>IF($K98="","",INDEX('سجل التحفيز'!$C$5:$C$2004,MATCH($K98,'سجل التحفيز'!$X$5:$X$2004,0)))</f>
        <v/>
      </c>
      <c r="P98" s="36">
        <f>IF($K98="","",INDEX('سجل التحفيز'!$D$5:$D$2004,MATCH($K98,'سجل التحفيز'!$X$5:$X$2004,0)))</f>
        <v/>
      </c>
      <c r="Q98" s="9">
        <f>IF($K98="","",INDEX('سجل التحفيز'!$E$5:$E$2004,MATCH($K98,'سجل التحفيز'!$X$5:$X$2004,0)))</f>
        <v/>
      </c>
      <c r="R98" s="9">
        <f>IF($K98="","",INDEX('سجل التحفيز'!$F$5:$F$2004,MATCH($K98,'سجل التحفيز'!$X$5:$X$2004,0)))</f>
        <v/>
      </c>
      <c r="S98" s="35">
        <f>IF($K98="","",INDEX('سجل التحفيز'!$G$5:$G$2004,MATCH($K98,'سجل التحفيز'!$X$5:$X$2004,0)))</f>
        <v/>
      </c>
    </row>
    <row r="99">
      <c r="B99" s="34">
        <f>IFERROR(INDEX(الموظفات!$B$5:$B$304,MATCH(62,الموظفات!$R$5:$R$304,0)),"")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التحفيز'!$X$5:$X$2004,"&gt;0",'سجل التحفيز'!$B$5:$B$2004,B99))</f>
        <v/>
      </c>
      <c r="E99" s="35">
        <f>IF(B99="","",COUNTIFS('سجل التحفيز'!$X$5:$X$2004,"&gt;0",'سجل التحفيز'!$B$5:$B$2004,B99,'سجل التحفيز'!$D$5:$D$2004,"ذهبي"))</f>
        <v/>
      </c>
      <c r="F99" s="35">
        <f>IF(B99="","",SUMIFS('سجل التحفيز'!$G$5:$G$2004,'سجل التحفيز'!$X$5:$X$2004,"&gt;0",'سجل التحفيز'!$B$5:$B$2004,B99))</f>
        <v/>
      </c>
      <c r="G99" s="35">
        <f>IF(B99="","",COUNTIF($D$38:$D$187,"&gt;"&amp;D99)+1)</f>
        <v/>
      </c>
      <c r="H99" s="35">
        <f>IF(B99="","",INDEX(الموظفات!$L$5:$L$304,MATCH(B99,الموظفات!$B$5:$B$304,0)))</f>
        <v/>
      </c>
      <c r="K99" s="36">
        <f>IF(62&gt;$B$10,"",62)</f>
        <v/>
      </c>
      <c r="L99" s="37">
        <f>IF($K99="","",INDEX('سجل التحفيز'!$A$5:$A$2004,MATCH($K99,'سجل التحفيز'!$X$5:$X$2004,0)))</f>
        <v/>
      </c>
      <c r="M99" s="9">
        <f>IF($K99="","",INDEX('سجل التحفيز'!$B$5:$B$2004,MATCH($K99,'سجل التحفيز'!$X$5:$X$2004,0)))</f>
        <v/>
      </c>
      <c r="N99" s="9">
        <f>IF($K99="","",INDEX('سجل التحفيز'!$M$5:$M$2004,MATCH($K99,'سجل التحفيز'!$X$5:$X$2004,0)))</f>
        <v/>
      </c>
      <c r="O99" s="9">
        <f>IF($K99="","",INDEX('سجل التحفيز'!$C$5:$C$2004,MATCH($K99,'سجل التحفيز'!$X$5:$X$2004,0)))</f>
        <v/>
      </c>
      <c r="P99" s="36">
        <f>IF($K99="","",INDEX('سجل التحفيز'!$D$5:$D$2004,MATCH($K99,'سجل التحفيز'!$X$5:$X$2004,0)))</f>
        <v/>
      </c>
      <c r="Q99" s="9">
        <f>IF($K99="","",INDEX('سجل التحفيز'!$E$5:$E$2004,MATCH($K99,'سجل التحفيز'!$X$5:$X$2004,0)))</f>
        <v/>
      </c>
      <c r="R99" s="9">
        <f>IF($K99="","",INDEX('سجل التحفيز'!$F$5:$F$2004,MATCH($K99,'سجل التحفيز'!$X$5:$X$2004,0)))</f>
        <v/>
      </c>
      <c r="S99" s="35">
        <f>IF($K99="","",INDEX('سجل التحفيز'!$G$5:$G$2004,MATCH($K99,'سجل التحفيز'!$X$5:$X$2004,0)))</f>
        <v/>
      </c>
    </row>
    <row r="100">
      <c r="B100" s="34">
        <f>IFERROR(INDEX(الموظفات!$B$5:$B$304,MATCH(63,الموظفات!$R$5:$R$304,0)),"")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التحفيز'!$X$5:$X$2004,"&gt;0",'سجل التحفيز'!$B$5:$B$2004,B100))</f>
        <v/>
      </c>
      <c r="E100" s="35">
        <f>IF(B100="","",COUNTIFS('سجل التحفيز'!$X$5:$X$2004,"&gt;0",'سجل التحفيز'!$B$5:$B$2004,B100,'سجل التحفيز'!$D$5:$D$2004,"ذهبي"))</f>
        <v/>
      </c>
      <c r="F100" s="35">
        <f>IF(B100="","",SUMIFS('سجل التحفيز'!$G$5:$G$2004,'سجل التحفيز'!$X$5:$X$2004,"&gt;0",'سجل التحفيز'!$B$5:$B$2004,B100))</f>
        <v/>
      </c>
      <c r="G100" s="35">
        <f>IF(B100="","",COUNTIF($D$38:$D$187,"&gt;"&amp;D100)+1)</f>
        <v/>
      </c>
      <c r="H100" s="35">
        <f>IF(B100="","",INDEX(الموظفات!$L$5:$L$304,MATCH(B100,الموظفات!$B$5:$B$304,0)))</f>
        <v/>
      </c>
      <c r="K100" s="36">
        <f>IF(63&gt;$B$10,"",63)</f>
        <v/>
      </c>
      <c r="L100" s="37">
        <f>IF($K100="","",INDEX('سجل التحفيز'!$A$5:$A$2004,MATCH($K100,'سجل التحفيز'!$X$5:$X$2004,0)))</f>
        <v/>
      </c>
      <c r="M100" s="9">
        <f>IF($K100="","",INDEX('سجل التحفيز'!$B$5:$B$2004,MATCH($K100,'سجل التحفيز'!$X$5:$X$2004,0)))</f>
        <v/>
      </c>
      <c r="N100" s="9">
        <f>IF($K100="","",INDEX('سجل التحفيز'!$M$5:$M$2004,MATCH($K100,'سجل التحفيز'!$X$5:$X$2004,0)))</f>
        <v/>
      </c>
      <c r="O100" s="9">
        <f>IF($K100="","",INDEX('سجل التحفيز'!$C$5:$C$2004,MATCH($K100,'سجل التحفيز'!$X$5:$X$2004,0)))</f>
        <v/>
      </c>
      <c r="P100" s="36">
        <f>IF($K100="","",INDEX('سجل التحفيز'!$D$5:$D$2004,MATCH($K100,'سجل التحفيز'!$X$5:$X$2004,0)))</f>
        <v/>
      </c>
      <c r="Q100" s="9">
        <f>IF($K100="","",INDEX('سجل التحفيز'!$E$5:$E$2004,MATCH($K100,'سجل التحفيز'!$X$5:$X$2004,0)))</f>
        <v/>
      </c>
      <c r="R100" s="9">
        <f>IF($K100="","",INDEX('سجل التحفيز'!$F$5:$F$2004,MATCH($K100,'سجل التحفيز'!$X$5:$X$2004,0)))</f>
        <v/>
      </c>
      <c r="S100" s="35">
        <f>IF($K100="","",INDEX('سجل التحفيز'!$G$5:$G$2004,MATCH($K100,'سجل التحفيز'!$X$5:$X$2004,0)))</f>
        <v/>
      </c>
    </row>
    <row r="101">
      <c r="B101" s="34">
        <f>IFERROR(INDEX(الموظفات!$B$5:$B$304,MATCH(64,الموظفات!$R$5:$R$304,0)),"")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التحفيز'!$X$5:$X$2004,"&gt;0",'سجل التحفيز'!$B$5:$B$2004,B101))</f>
        <v/>
      </c>
      <c r="E101" s="35">
        <f>IF(B101="","",COUNTIFS('سجل التحفيز'!$X$5:$X$2004,"&gt;0",'سجل التحفيز'!$B$5:$B$2004,B101,'سجل التحفيز'!$D$5:$D$2004,"ذهبي"))</f>
        <v/>
      </c>
      <c r="F101" s="35">
        <f>IF(B101="","",SUMIFS('سجل التحفيز'!$G$5:$G$2004,'سجل التحفيز'!$X$5:$X$2004,"&gt;0",'سجل التحفيز'!$B$5:$B$2004,B101))</f>
        <v/>
      </c>
      <c r="G101" s="35">
        <f>IF(B101="","",COUNTIF($D$38:$D$187,"&gt;"&amp;D101)+1)</f>
        <v/>
      </c>
      <c r="H101" s="35">
        <f>IF(B101="","",INDEX(الموظفات!$L$5:$L$304,MATCH(B101,الموظفات!$B$5:$B$304,0)))</f>
        <v/>
      </c>
      <c r="K101" s="36">
        <f>IF(64&gt;$B$10,"",64)</f>
        <v/>
      </c>
      <c r="L101" s="37">
        <f>IF($K101="","",INDEX('سجل التحفيز'!$A$5:$A$2004,MATCH($K101,'سجل التحفيز'!$X$5:$X$2004,0)))</f>
        <v/>
      </c>
      <c r="M101" s="9">
        <f>IF($K101="","",INDEX('سجل التحفيز'!$B$5:$B$2004,MATCH($K101,'سجل التحفيز'!$X$5:$X$2004,0)))</f>
        <v/>
      </c>
      <c r="N101" s="9">
        <f>IF($K101="","",INDEX('سجل التحفيز'!$M$5:$M$2004,MATCH($K101,'سجل التحفيز'!$X$5:$X$2004,0)))</f>
        <v/>
      </c>
      <c r="O101" s="9">
        <f>IF($K101="","",INDEX('سجل التحفيز'!$C$5:$C$2004,MATCH($K101,'سجل التحفيز'!$X$5:$X$2004,0)))</f>
        <v/>
      </c>
      <c r="P101" s="36">
        <f>IF($K101="","",INDEX('سجل التحفيز'!$D$5:$D$2004,MATCH($K101,'سجل التحفيز'!$X$5:$X$2004,0)))</f>
        <v/>
      </c>
      <c r="Q101" s="9">
        <f>IF($K101="","",INDEX('سجل التحفيز'!$E$5:$E$2004,MATCH($K101,'سجل التحفيز'!$X$5:$X$2004,0)))</f>
        <v/>
      </c>
      <c r="R101" s="9">
        <f>IF($K101="","",INDEX('سجل التحفيز'!$F$5:$F$2004,MATCH($K101,'سجل التحفيز'!$X$5:$X$2004,0)))</f>
        <v/>
      </c>
      <c r="S101" s="35">
        <f>IF($K101="","",INDEX('سجل التحفيز'!$G$5:$G$2004,MATCH($K101,'سجل التحفيز'!$X$5:$X$2004,0)))</f>
        <v/>
      </c>
    </row>
    <row r="102">
      <c r="B102" s="34">
        <f>IFERROR(INDEX(الموظفات!$B$5:$B$304,MATCH(65,الموظفات!$R$5:$R$304,0)),"")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التحفيز'!$X$5:$X$2004,"&gt;0",'سجل التحفيز'!$B$5:$B$2004,B102))</f>
        <v/>
      </c>
      <c r="E102" s="35">
        <f>IF(B102="","",COUNTIFS('سجل التحفيز'!$X$5:$X$2004,"&gt;0",'سجل التحفيز'!$B$5:$B$2004,B102,'سجل التحفيز'!$D$5:$D$2004,"ذهبي"))</f>
        <v/>
      </c>
      <c r="F102" s="35">
        <f>IF(B102="","",SUMIFS('سجل التحفيز'!$G$5:$G$2004,'سجل التحفيز'!$X$5:$X$2004,"&gt;0",'سجل التحفيز'!$B$5:$B$2004,B102))</f>
        <v/>
      </c>
      <c r="G102" s="35">
        <f>IF(B102="","",COUNTIF($D$38:$D$187,"&gt;"&amp;D102)+1)</f>
        <v/>
      </c>
      <c r="H102" s="35">
        <f>IF(B102="","",INDEX(الموظفات!$L$5:$L$304,MATCH(B102,الموظفات!$B$5:$B$304,0)))</f>
        <v/>
      </c>
      <c r="K102" s="36">
        <f>IF(65&gt;$B$10,"",65)</f>
        <v/>
      </c>
      <c r="L102" s="37">
        <f>IF($K102="","",INDEX('سجل التحفيز'!$A$5:$A$2004,MATCH($K102,'سجل التحفيز'!$X$5:$X$2004,0)))</f>
        <v/>
      </c>
      <c r="M102" s="9">
        <f>IF($K102="","",INDEX('سجل التحفيز'!$B$5:$B$2004,MATCH($K102,'سجل التحفيز'!$X$5:$X$2004,0)))</f>
        <v/>
      </c>
      <c r="N102" s="9">
        <f>IF($K102="","",INDEX('سجل التحفيز'!$M$5:$M$2004,MATCH($K102,'سجل التحفيز'!$X$5:$X$2004,0)))</f>
        <v/>
      </c>
      <c r="O102" s="9">
        <f>IF($K102="","",INDEX('سجل التحفيز'!$C$5:$C$2004,MATCH($K102,'سجل التحفيز'!$X$5:$X$2004,0)))</f>
        <v/>
      </c>
      <c r="P102" s="36">
        <f>IF($K102="","",INDEX('سجل التحفيز'!$D$5:$D$2004,MATCH($K102,'سجل التحفيز'!$X$5:$X$2004,0)))</f>
        <v/>
      </c>
      <c r="Q102" s="9">
        <f>IF($K102="","",INDEX('سجل التحفيز'!$E$5:$E$2004,MATCH($K102,'سجل التحفيز'!$X$5:$X$2004,0)))</f>
        <v/>
      </c>
      <c r="R102" s="9">
        <f>IF($K102="","",INDEX('سجل التحفيز'!$F$5:$F$2004,MATCH($K102,'سجل التحفيز'!$X$5:$X$2004,0)))</f>
        <v/>
      </c>
      <c r="S102" s="35">
        <f>IF($K102="","",INDEX('سجل التحفيز'!$G$5:$G$2004,MATCH($K102,'سجل التحفيز'!$X$5:$X$2004,0)))</f>
        <v/>
      </c>
    </row>
    <row r="103">
      <c r="B103" s="34">
        <f>IFERROR(INDEX(الموظفات!$B$5:$B$304,MATCH(66,الموظفات!$R$5:$R$304,0)),"")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التحفيز'!$X$5:$X$2004,"&gt;0",'سجل التحفيز'!$B$5:$B$2004,B103))</f>
        <v/>
      </c>
      <c r="E103" s="35">
        <f>IF(B103="","",COUNTIFS('سجل التحفيز'!$X$5:$X$2004,"&gt;0",'سجل التحفيز'!$B$5:$B$2004,B103,'سجل التحفيز'!$D$5:$D$2004,"ذهبي"))</f>
        <v/>
      </c>
      <c r="F103" s="35">
        <f>IF(B103="","",SUMIFS('سجل التحفيز'!$G$5:$G$2004,'سجل التحفيز'!$X$5:$X$2004,"&gt;0",'سجل التحفيز'!$B$5:$B$2004,B103))</f>
        <v/>
      </c>
      <c r="G103" s="35">
        <f>IF(B103="","",COUNTIF($D$38:$D$187,"&gt;"&amp;D103)+1)</f>
        <v/>
      </c>
      <c r="H103" s="35">
        <f>IF(B103="","",INDEX(الموظفات!$L$5:$L$304,MATCH(B103,الموظفات!$B$5:$B$304,0)))</f>
        <v/>
      </c>
      <c r="K103" s="36">
        <f>IF(66&gt;$B$10,"",66)</f>
        <v/>
      </c>
      <c r="L103" s="37">
        <f>IF($K103="","",INDEX('سجل التحفيز'!$A$5:$A$2004,MATCH($K103,'سجل التحفيز'!$X$5:$X$2004,0)))</f>
        <v/>
      </c>
      <c r="M103" s="9">
        <f>IF($K103="","",INDEX('سجل التحفيز'!$B$5:$B$2004,MATCH($K103,'سجل التحفيز'!$X$5:$X$2004,0)))</f>
        <v/>
      </c>
      <c r="N103" s="9">
        <f>IF($K103="","",INDEX('سجل التحفيز'!$M$5:$M$2004,MATCH($K103,'سجل التحفيز'!$X$5:$X$2004,0)))</f>
        <v/>
      </c>
      <c r="O103" s="9">
        <f>IF($K103="","",INDEX('سجل التحفيز'!$C$5:$C$2004,MATCH($K103,'سجل التحفيز'!$X$5:$X$2004,0)))</f>
        <v/>
      </c>
      <c r="P103" s="36">
        <f>IF($K103="","",INDEX('سجل التحفيز'!$D$5:$D$2004,MATCH($K103,'سجل التحفيز'!$X$5:$X$2004,0)))</f>
        <v/>
      </c>
      <c r="Q103" s="9">
        <f>IF($K103="","",INDEX('سجل التحفيز'!$E$5:$E$2004,MATCH($K103,'سجل التحفيز'!$X$5:$X$2004,0)))</f>
        <v/>
      </c>
      <c r="R103" s="9">
        <f>IF($K103="","",INDEX('سجل التحفيز'!$F$5:$F$2004,MATCH($K103,'سجل التحفيز'!$X$5:$X$2004,0)))</f>
        <v/>
      </c>
      <c r="S103" s="35">
        <f>IF($K103="","",INDEX('سجل التحفيز'!$G$5:$G$2004,MATCH($K103,'سجل التحفيز'!$X$5:$X$2004,0)))</f>
        <v/>
      </c>
    </row>
    <row r="104">
      <c r="B104" s="34">
        <f>IFERROR(INDEX(الموظفات!$B$5:$B$304,MATCH(67,الموظفات!$R$5:$R$304,0)),"")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التحفيز'!$X$5:$X$2004,"&gt;0",'سجل التحفيز'!$B$5:$B$2004,B104))</f>
        <v/>
      </c>
      <c r="E104" s="35">
        <f>IF(B104="","",COUNTIFS('سجل التحفيز'!$X$5:$X$2004,"&gt;0",'سجل التحفيز'!$B$5:$B$2004,B104,'سجل التحفيز'!$D$5:$D$2004,"ذهبي"))</f>
        <v/>
      </c>
      <c r="F104" s="35">
        <f>IF(B104="","",SUMIFS('سجل التحفيز'!$G$5:$G$2004,'سجل التحفيز'!$X$5:$X$2004,"&gt;0",'سجل التحفيز'!$B$5:$B$2004,B104))</f>
        <v/>
      </c>
      <c r="G104" s="35">
        <f>IF(B104="","",COUNTIF($D$38:$D$187,"&gt;"&amp;D104)+1)</f>
        <v/>
      </c>
      <c r="H104" s="35">
        <f>IF(B104="","",INDEX(الموظفات!$L$5:$L$304,MATCH(B104,الموظفات!$B$5:$B$304,0)))</f>
        <v/>
      </c>
      <c r="K104" s="36">
        <f>IF(67&gt;$B$10,"",67)</f>
        <v/>
      </c>
      <c r="L104" s="37">
        <f>IF($K104="","",INDEX('سجل التحفيز'!$A$5:$A$2004,MATCH($K104,'سجل التحفيز'!$X$5:$X$2004,0)))</f>
        <v/>
      </c>
      <c r="M104" s="9">
        <f>IF($K104="","",INDEX('سجل التحفيز'!$B$5:$B$2004,MATCH($K104,'سجل التحفيز'!$X$5:$X$2004,0)))</f>
        <v/>
      </c>
      <c r="N104" s="9">
        <f>IF($K104="","",INDEX('سجل التحفيز'!$M$5:$M$2004,MATCH($K104,'سجل التحفيز'!$X$5:$X$2004,0)))</f>
        <v/>
      </c>
      <c r="O104" s="9">
        <f>IF($K104="","",INDEX('سجل التحفيز'!$C$5:$C$2004,MATCH($K104,'سجل التحفيز'!$X$5:$X$2004,0)))</f>
        <v/>
      </c>
      <c r="P104" s="36">
        <f>IF($K104="","",INDEX('سجل التحفيز'!$D$5:$D$2004,MATCH($K104,'سجل التحفيز'!$X$5:$X$2004,0)))</f>
        <v/>
      </c>
      <c r="Q104" s="9">
        <f>IF($K104="","",INDEX('سجل التحفيز'!$E$5:$E$2004,MATCH($K104,'سجل التحفيز'!$X$5:$X$2004,0)))</f>
        <v/>
      </c>
      <c r="R104" s="9">
        <f>IF($K104="","",INDEX('سجل التحفيز'!$F$5:$F$2004,MATCH($K104,'سجل التحفيز'!$X$5:$X$2004,0)))</f>
        <v/>
      </c>
      <c r="S104" s="35">
        <f>IF($K104="","",INDEX('سجل التحفيز'!$G$5:$G$2004,MATCH($K104,'سجل التحفيز'!$X$5:$X$2004,0)))</f>
        <v/>
      </c>
    </row>
    <row r="105">
      <c r="B105" s="34">
        <f>IFERROR(INDEX(الموظفات!$B$5:$B$304,MATCH(68,الموظفات!$R$5:$R$304,0)),"")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التحفيز'!$X$5:$X$2004,"&gt;0",'سجل التحفيز'!$B$5:$B$2004,B105))</f>
        <v/>
      </c>
      <c r="E105" s="35">
        <f>IF(B105="","",COUNTIFS('سجل التحفيز'!$X$5:$X$2004,"&gt;0",'سجل التحفيز'!$B$5:$B$2004,B105,'سجل التحفيز'!$D$5:$D$2004,"ذهبي"))</f>
        <v/>
      </c>
      <c r="F105" s="35">
        <f>IF(B105="","",SUMIFS('سجل التحفيز'!$G$5:$G$2004,'سجل التحفيز'!$X$5:$X$2004,"&gt;0",'سجل التحفيز'!$B$5:$B$2004,B105))</f>
        <v/>
      </c>
      <c r="G105" s="35">
        <f>IF(B105="","",COUNTIF($D$38:$D$187,"&gt;"&amp;D105)+1)</f>
        <v/>
      </c>
      <c r="H105" s="35">
        <f>IF(B105="","",INDEX(الموظفات!$L$5:$L$304,MATCH(B105,الموظفات!$B$5:$B$304,0)))</f>
        <v/>
      </c>
      <c r="K105" s="36">
        <f>IF(68&gt;$B$10,"",68)</f>
        <v/>
      </c>
      <c r="L105" s="37">
        <f>IF($K105="","",INDEX('سجل التحفيز'!$A$5:$A$2004,MATCH($K105,'سجل التحفيز'!$X$5:$X$2004,0)))</f>
        <v/>
      </c>
      <c r="M105" s="9">
        <f>IF($K105="","",INDEX('سجل التحفيز'!$B$5:$B$2004,MATCH($K105,'سجل التحفيز'!$X$5:$X$2004,0)))</f>
        <v/>
      </c>
      <c r="N105" s="9">
        <f>IF($K105="","",INDEX('سجل التحفيز'!$M$5:$M$2004,MATCH($K105,'سجل التحفيز'!$X$5:$X$2004,0)))</f>
        <v/>
      </c>
      <c r="O105" s="9">
        <f>IF($K105="","",INDEX('سجل التحفيز'!$C$5:$C$2004,MATCH($K105,'سجل التحفيز'!$X$5:$X$2004,0)))</f>
        <v/>
      </c>
      <c r="P105" s="36">
        <f>IF($K105="","",INDEX('سجل التحفيز'!$D$5:$D$2004,MATCH($K105,'سجل التحفيز'!$X$5:$X$2004,0)))</f>
        <v/>
      </c>
      <c r="Q105" s="9">
        <f>IF($K105="","",INDEX('سجل التحفيز'!$E$5:$E$2004,MATCH($K105,'سجل التحفيز'!$X$5:$X$2004,0)))</f>
        <v/>
      </c>
      <c r="R105" s="9">
        <f>IF($K105="","",INDEX('سجل التحفيز'!$F$5:$F$2004,MATCH($K105,'سجل التحفيز'!$X$5:$X$2004,0)))</f>
        <v/>
      </c>
      <c r="S105" s="35">
        <f>IF($K105="","",INDEX('سجل التحفيز'!$G$5:$G$2004,MATCH($K105,'سجل التحفيز'!$X$5:$X$2004,0)))</f>
        <v/>
      </c>
    </row>
    <row r="106">
      <c r="B106" s="34">
        <f>IFERROR(INDEX(الموظفات!$B$5:$B$304,MATCH(69,الموظفات!$R$5:$R$304,0)),"")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التحفيز'!$X$5:$X$2004,"&gt;0",'سجل التحفيز'!$B$5:$B$2004,B106))</f>
        <v/>
      </c>
      <c r="E106" s="35">
        <f>IF(B106="","",COUNTIFS('سجل التحفيز'!$X$5:$X$2004,"&gt;0",'سجل التحفيز'!$B$5:$B$2004,B106,'سجل التحفيز'!$D$5:$D$2004,"ذهبي"))</f>
        <v/>
      </c>
      <c r="F106" s="35">
        <f>IF(B106="","",SUMIFS('سجل التحفيز'!$G$5:$G$2004,'سجل التحفيز'!$X$5:$X$2004,"&gt;0",'سجل التحفيز'!$B$5:$B$2004,B106))</f>
        <v/>
      </c>
      <c r="G106" s="35">
        <f>IF(B106="","",COUNTIF($D$38:$D$187,"&gt;"&amp;D106)+1)</f>
        <v/>
      </c>
      <c r="H106" s="35">
        <f>IF(B106="","",INDEX(الموظفات!$L$5:$L$304,MATCH(B106,الموظفات!$B$5:$B$304,0)))</f>
        <v/>
      </c>
      <c r="K106" s="36">
        <f>IF(69&gt;$B$10,"",69)</f>
        <v/>
      </c>
      <c r="L106" s="37">
        <f>IF($K106="","",INDEX('سجل التحفيز'!$A$5:$A$2004,MATCH($K106,'سجل التحفيز'!$X$5:$X$2004,0)))</f>
        <v/>
      </c>
      <c r="M106" s="9">
        <f>IF($K106="","",INDEX('سجل التحفيز'!$B$5:$B$2004,MATCH($K106,'سجل التحفيز'!$X$5:$X$2004,0)))</f>
        <v/>
      </c>
      <c r="N106" s="9">
        <f>IF($K106="","",INDEX('سجل التحفيز'!$M$5:$M$2004,MATCH($K106,'سجل التحفيز'!$X$5:$X$2004,0)))</f>
        <v/>
      </c>
      <c r="O106" s="9">
        <f>IF($K106="","",INDEX('سجل التحفيز'!$C$5:$C$2004,MATCH($K106,'سجل التحفيز'!$X$5:$X$2004,0)))</f>
        <v/>
      </c>
      <c r="P106" s="36">
        <f>IF($K106="","",INDEX('سجل التحفيز'!$D$5:$D$2004,MATCH($K106,'سجل التحفيز'!$X$5:$X$2004,0)))</f>
        <v/>
      </c>
      <c r="Q106" s="9">
        <f>IF($K106="","",INDEX('سجل التحفيز'!$E$5:$E$2004,MATCH($K106,'سجل التحفيز'!$X$5:$X$2004,0)))</f>
        <v/>
      </c>
      <c r="R106" s="9">
        <f>IF($K106="","",INDEX('سجل التحفيز'!$F$5:$F$2004,MATCH($K106,'سجل التحفيز'!$X$5:$X$2004,0)))</f>
        <v/>
      </c>
      <c r="S106" s="35">
        <f>IF($K106="","",INDEX('سجل التحفيز'!$G$5:$G$2004,MATCH($K106,'سجل التحفيز'!$X$5:$X$2004,0)))</f>
        <v/>
      </c>
    </row>
    <row r="107">
      <c r="B107" s="34">
        <f>IFERROR(INDEX(الموظفات!$B$5:$B$304,MATCH(70,الموظفات!$R$5:$R$304,0)),"")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التحفيز'!$X$5:$X$2004,"&gt;0",'سجل التحفيز'!$B$5:$B$2004,B107))</f>
        <v/>
      </c>
      <c r="E107" s="35">
        <f>IF(B107="","",COUNTIFS('سجل التحفيز'!$X$5:$X$2004,"&gt;0",'سجل التحفيز'!$B$5:$B$2004,B107,'سجل التحفيز'!$D$5:$D$2004,"ذهبي"))</f>
        <v/>
      </c>
      <c r="F107" s="35">
        <f>IF(B107="","",SUMIFS('سجل التحفيز'!$G$5:$G$2004,'سجل التحفيز'!$X$5:$X$2004,"&gt;0",'سجل التحفيز'!$B$5:$B$2004,B107))</f>
        <v/>
      </c>
      <c r="G107" s="35">
        <f>IF(B107="","",COUNTIF($D$38:$D$187,"&gt;"&amp;D107)+1)</f>
        <v/>
      </c>
      <c r="H107" s="35">
        <f>IF(B107="","",INDEX(الموظفات!$L$5:$L$304,MATCH(B107,الموظفات!$B$5:$B$304,0)))</f>
        <v/>
      </c>
      <c r="K107" s="36">
        <f>IF(70&gt;$B$10,"",70)</f>
        <v/>
      </c>
      <c r="L107" s="37">
        <f>IF($K107="","",INDEX('سجل التحفيز'!$A$5:$A$2004,MATCH($K107,'سجل التحفيز'!$X$5:$X$2004,0)))</f>
        <v/>
      </c>
      <c r="M107" s="9">
        <f>IF($K107="","",INDEX('سجل التحفيز'!$B$5:$B$2004,MATCH($K107,'سجل التحفيز'!$X$5:$X$2004,0)))</f>
        <v/>
      </c>
      <c r="N107" s="9">
        <f>IF($K107="","",INDEX('سجل التحفيز'!$M$5:$M$2004,MATCH($K107,'سجل التحفيز'!$X$5:$X$2004,0)))</f>
        <v/>
      </c>
      <c r="O107" s="9">
        <f>IF($K107="","",INDEX('سجل التحفيز'!$C$5:$C$2004,MATCH($K107,'سجل التحفيز'!$X$5:$X$2004,0)))</f>
        <v/>
      </c>
      <c r="P107" s="36">
        <f>IF($K107="","",INDEX('سجل التحفيز'!$D$5:$D$2004,MATCH($K107,'سجل التحفيز'!$X$5:$X$2004,0)))</f>
        <v/>
      </c>
      <c r="Q107" s="9">
        <f>IF($K107="","",INDEX('سجل التحفيز'!$E$5:$E$2004,MATCH($K107,'سجل التحفيز'!$X$5:$X$2004,0)))</f>
        <v/>
      </c>
      <c r="R107" s="9">
        <f>IF($K107="","",INDEX('سجل التحفيز'!$F$5:$F$2004,MATCH($K107,'سجل التحفيز'!$X$5:$X$2004,0)))</f>
        <v/>
      </c>
      <c r="S107" s="35">
        <f>IF($K107="","",INDEX('سجل التحفيز'!$G$5:$G$2004,MATCH($K107,'سجل التحفيز'!$X$5:$X$2004,0)))</f>
        <v/>
      </c>
    </row>
    <row r="108">
      <c r="B108" s="34">
        <f>IFERROR(INDEX(الموظفات!$B$5:$B$304,MATCH(71,الموظفات!$R$5:$R$304,0)),"")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التحفيز'!$X$5:$X$2004,"&gt;0",'سجل التحفيز'!$B$5:$B$2004,B108))</f>
        <v/>
      </c>
      <c r="E108" s="35">
        <f>IF(B108="","",COUNTIFS('سجل التحفيز'!$X$5:$X$2004,"&gt;0",'سجل التحفيز'!$B$5:$B$2004,B108,'سجل التحفيز'!$D$5:$D$2004,"ذهبي"))</f>
        <v/>
      </c>
      <c r="F108" s="35">
        <f>IF(B108="","",SUMIFS('سجل التحفيز'!$G$5:$G$2004,'سجل التحفيز'!$X$5:$X$2004,"&gt;0",'سجل التحفيز'!$B$5:$B$2004,B108))</f>
        <v/>
      </c>
      <c r="G108" s="35">
        <f>IF(B108="","",COUNTIF($D$38:$D$187,"&gt;"&amp;D108)+1)</f>
        <v/>
      </c>
      <c r="H108" s="35">
        <f>IF(B108="","",INDEX(الموظفات!$L$5:$L$304,MATCH(B108,الموظفات!$B$5:$B$304,0)))</f>
        <v/>
      </c>
      <c r="K108" s="36">
        <f>IF(71&gt;$B$10,"",71)</f>
        <v/>
      </c>
      <c r="L108" s="37">
        <f>IF($K108="","",INDEX('سجل التحفيز'!$A$5:$A$2004,MATCH($K108,'سجل التحفيز'!$X$5:$X$2004,0)))</f>
        <v/>
      </c>
      <c r="M108" s="9">
        <f>IF($K108="","",INDEX('سجل التحفيز'!$B$5:$B$2004,MATCH($K108,'سجل التحفيز'!$X$5:$X$2004,0)))</f>
        <v/>
      </c>
      <c r="N108" s="9">
        <f>IF($K108="","",INDEX('سجل التحفيز'!$M$5:$M$2004,MATCH($K108,'سجل التحفيز'!$X$5:$X$2004,0)))</f>
        <v/>
      </c>
      <c r="O108" s="9">
        <f>IF($K108="","",INDEX('سجل التحفيز'!$C$5:$C$2004,MATCH($K108,'سجل التحفيز'!$X$5:$X$2004,0)))</f>
        <v/>
      </c>
      <c r="P108" s="36">
        <f>IF($K108="","",INDEX('سجل التحفيز'!$D$5:$D$2004,MATCH($K108,'سجل التحفيز'!$X$5:$X$2004,0)))</f>
        <v/>
      </c>
      <c r="Q108" s="9">
        <f>IF($K108="","",INDEX('سجل التحفيز'!$E$5:$E$2004,MATCH($K108,'سجل التحفيز'!$X$5:$X$2004,0)))</f>
        <v/>
      </c>
      <c r="R108" s="9">
        <f>IF($K108="","",INDEX('سجل التحفيز'!$F$5:$F$2004,MATCH($K108,'سجل التحفيز'!$X$5:$X$2004,0)))</f>
        <v/>
      </c>
      <c r="S108" s="35">
        <f>IF($K108="","",INDEX('سجل التحفيز'!$G$5:$G$2004,MATCH($K108,'سجل التحفيز'!$X$5:$X$2004,0)))</f>
        <v/>
      </c>
    </row>
    <row r="109">
      <c r="B109" s="34">
        <f>IFERROR(INDEX(الموظفات!$B$5:$B$304,MATCH(72,الموظفات!$R$5:$R$304,0)),"")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التحفيز'!$X$5:$X$2004,"&gt;0",'سجل التحفيز'!$B$5:$B$2004,B109))</f>
        <v/>
      </c>
      <c r="E109" s="35">
        <f>IF(B109="","",COUNTIFS('سجل التحفيز'!$X$5:$X$2004,"&gt;0",'سجل التحفيز'!$B$5:$B$2004,B109,'سجل التحفيز'!$D$5:$D$2004,"ذهبي"))</f>
        <v/>
      </c>
      <c r="F109" s="35">
        <f>IF(B109="","",SUMIFS('سجل التحفيز'!$G$5:$G$2004,'سجل التحفيز'!$X$5:$X$2004,"&gt;0",'سجل التحفيز'!$B$5:$B$2004,B109))</f>
        <v/>
      </c>
      <c r="G109" s="35">
        <f>IF(B109="","",COUNTIF($D$38:$D$187,"&gt;"&amp;D109)+1)</f>
        <v/>
      </c>
      <c r="H109" s="35">
        <f>IF(B109="","",INDEX(الموظفات!$L$5:$L$304,MATCH(B109,الموظفات!$B$5:$B$304,0)))</f>
        <v/>
      </c>
      <c r="K109" s="36">
        <f>IF(72&gt;$B$10,"",72)</f>
        <v/>
      </c>
      <c r="L109" s="37">
        <f>IF($K109="","",INDEX('سجل التحفيز'!$A$5:$A$2004,MATCH($K109,'سجل التحفيز'!$X$5:$X$2004,0)))</f>
        <v/>
      </c>
      <c r="M109" s="9">
        <f>IF($K109="","",INDEX('سجل التحفيز'!$B$5:$B$2004,MATCH($K109,'سجل التحفيز'!$X$5:$X$2004,0)))</f>
        <v/>
      </c>
      <c r="N109" s="9">
        <f>IF($K109="","",INDEX('سجل التحفيز'!$M$5:$M$2004,MATCH($K109,'سجل التحفيز'!$X$5:$X$2004,0)))</f>
        <v/>
      </c>
      <c r="O109" s="9">
        <f>IF($K109="","",INDEX('سجل التحفيز'!$C$5:$C$2004,MATCH($K109,'سجل التحفيز'!$X$5:$X$2004,0)))</f>
        <v/>
      </c>
      <c r="P109" s="36">
        <f>IF($K109="","",INDEX('سجل التحفيز'!$D$5:$D$2004,MATCH($K109,'سجل التحفيز'!$X$5:$X$2004,0)))</f>
        <v/>
      </c>
      <c r="Q109" s="9">
        <f>IF($K109="","",INDEX('سجل التحفيز'!$E$5:$E$2004,MATCH($K109,'سجل التحفيز'!$X$5:$X$2004,0)))</f>
        <v/>
      </c>
      <c r="R109" s="9">
        <f>IF($K109="","",INDEX('سجل التحفيز'!$F$5:$F$2004,MATCH($K109,'سجل التحفيز'!$X$5:$X$2004,0)))</f>
        <v/>
      </c>
      <c r="S109" s="35">
        <f>IF($K109="","",INDEX('سجل التحفيز'!$G$5:$G$2004,MATCH($K109,'سجل التحفيز'!$X$5:$X$2004,0)))</f>
        <v/>
      </c>
    </row>
    <row r="110">
      <c r="B110" s="34">
        <f>IFERROR(INDEX(الموظفات!$B$5:$B$304,MATCH(73,الموظفات!$R$5:$R$304,0)),"")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التحفيز'!$X$5:$X$2004,"&gt;0",'سجل التحفيز'!$B$5:$B$2004,B110))</f>
        <v/>
      </c>
      <c r="E110" s="35">
        <f>IF(B110="","",COUNTIFS('سجل التحفيز'!$X$5:$X$2004,"&gt;0",'سجل التحفيز'!$B$5:$B$2004,B110,'سجل التحفيز'!$D$5:$D$2004,"ذهبي"))</f>
        <v/>
      </c>
      <c r="F110" s="35">
        <f>IF(B110="","",SUMIFS('سجل التحفيز'!$G$5:$G$2004,'سجل التحفيز'!$X$5:$X$2004,"&gt;0",'سجل التحفيز'!$B$5:$B$2004,B110))</f>
        <v/>
      </c>
      <c r="G110" s="35">
        <f>IF(B110="","",COUNTIF($D$38:$D$187,"&gt;"&amp;D110)+1)</f>
        <v/>
      </c>
      <c r="H110" s="35">
        <f>IF(B110="","",INDEX(الموظفات!$L$5:$L$304,MATCH(B110,الموظفات!$B$5:$B$304,0)))</f>
        <v/>
      </c>
      <c r="K110" s="36">
        <f>IF(73&gt;$B$10,"",73)</f>
        <v/>
      </c>
      <c r="L110" s="37">
        <f>IF($K110="","",INDEX('سجل التحفيز'!$A$5:$A$2004,MATCH($K110,'سجل التحفيز'!$X$5:$X$2004,0)))</f>
        <v/>
      </c>
      <c r="M110" s="9">
        <f>IF($K110="","",INDEX('سجل التحفيز'!$B$5:$B$2004,MATCH($K110,'سجل التحفيز'!$X$5:$X$2004,0)))</f>
        <v/>
      </c>
      <c r="N110" s="9">
        <f>IF($K110="","",INDEX('سجل التحفيز'!$M$5:$M$2004,MATCH($K110,'سجل التحفيز'!$X$5:$X$2004,0)))</f>
        <v/>
      </c>
      <c r="O110" s="9">
        <f>IF($K110="","",INDEX('سجل التحفيز'!$C$5:$C$2004,MATCH($K110,'سجل التحفيز'!$X$5:$X$2004,0)))</f>
        <v/>
      </c>
      <c r="P110" s="36">
        <f>IF($K110="","",INDEX('سجل التحفيز'!$D$5:$D$2004,MATCH($K110,'سجل التحفيز'!$X$5:$X$2004,0)))</f>
        <v/>
      </c>
      <c r="Q110" s="9">
        <f>IF($K110="","",INDEX('سجل التحفيز'!$E$5:$E$2004,MATCH($K110,'سجل التحفيز'!$X$5:$X$2004,0)))</f>
        <v/>
      </c>
      <c r="R110" s="9">
        <f>IF($K110="","",INDEX('سجل التحفيز'!$F$5:$F$2004,MATCH($K110,'سجل التحفيز'!$X$5:$X$2004,0)))</f>
        <v/>
      </c>
      <c r="S110" s="35">
        <f>IF($K110="","",INDEX('سجل التحفيز'!$G$5:$G$2004,MATCH($K110,'سجل التحفيز'!$X$5:$X$2004,0)))</f>
        <v/>
      </c>
    </row>
    <row r="111">
      <c r="B111" s="34">
        <f>IFERROR(INDEX(الموظفات!$B$5:$B$304,MATCH(74,الموظفات!$R$5:$R$304,0)),"")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التحفيز'!$X$5:$X$2004,"&gt;0",'سجل التحفيز'!$B$5:$B$2004,B111))</f>
        <v/>
      </c>
      <c r="E111" s="35">
        <f>IF(B111="","",COUNTIFS('سجل التحفيز'!$X$5:$X$2004,"&gt;0",'سجل التحفيز'!$B$5:$B$2004,B111,'سجل التحفيز'!$D$5:$D$2004,"ذهبي"))</f>
        <v/>
      </c>
      <c r="F111" s="35">
        <f>IF(B111="","",SUMIFS('سجل التحفيز'!$G$5:$G$2004,'سجل التحفيز'!$X$5:$X$2004,"&gt;0",'سجل التحفيز'!$B$5:$B$2004,B111))</f>
        <v/>
      </c>
      <c r="G111" s="35">
        <f>IF(B111="","",COUNTIF($D$38:$D$187,"&gt;"&amp;D111)+1)</f>
        <v/>
      </c>
      <c r="H111" s="35">
        <f>IF(B111="","",INDEX(الموظفات!$L$5:$L$304,MATCH(B111,الموظفات!$B$5:$B$304,0)))</f>
        <v/>
      </c>
      <c r="K111" s="36">
        <f>IF(74&gt;$B$10,"",74)</f>
        <v/>
      </c>
      <c r="L111" s="37">
        <f>IF($K111="","",INDEX('سجل التحفيز'!$A$5:$A$2004,MATCH($K111,'سجل التحفيز'!$X$5:$X$2004,0)))</f>
        <v/>
      </c>
      <c r="M111" s="9">
        <f>IF($K111="","",INDEX('سجل التحفيز'!$B$5:$B$2004,MATCH($K111,'سجل التحفيز'!$X$5:$X$2004,0)))</f>
        <v/>
      </c>
      <c r="N111" s="9">
        <f>IF($K111="","",INDEX('سجل التحفيز'!$M$5:$M$2004,MATCH($K111,'سجل التحفيز'!$X$5:$X$2004,0)))</f>
        <v/>
      </c>
      <c r="O111" s="9">
        <f>IF($K111="","",INDEX('سجل التحفيز'!$C$5:$C$2004,MATCH($K111,'سجل التحفيز'!$X$5:$X$2004,0)))</f>
        <v/>
      </c>
      <c r="P111" s="36">
        <f>IF($K111="","",INDEX('سجل التحفيز'!$D$5:$D$2004,MATCH($K111,'سجل التحفيز'!$X$5:$X$2004,0)))</f>
        <v/>
      </c>
      <c r="Q111" s="9">
        <f>IF($K111="","",INDEX('سجل التحفيز'!$E$5:$E$2004,MATCH($K111,'سجل التحفيز'!$X$5:$X$2004,0)))</f>
        <v/>
      </c>
      <c r="R111" s="9">
        <f>IF($K111="","",INDEX('سجل التحفيز'!$F$5:$F$2004,MATCH($K111,'سجل التحفيز'!$X$5:$X$2004,0)))</f>
        <v/>
      </c>
      <c r="S111" s="35">
        <f>IF($K111="","",INDEX('سجل التحفيز'!$G$5:$G$2004,MATCH($K111,'سجل التحفيز'!$X$5:$X$2004,0)))</f>
        <v/>
      </c>
    </row>
    <row r="112">
      <c r="B112" s="34">
        <f>IFERROR(INDEX(الموظفات!$B$5:$B$304,MATCH(75,الموظفات!$R$5:$R$304,0)),"")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التحفيز'!$X$5:$X$2004,"&gt;0",'سجل التحفيز'!$B$5:$B$2004,B112))</f>
        <v/>
      </c>
      <c r="E112" s="35">
        <f>IF(B112="","",COUNTIFS('سجل التحفيز'!$X$5:$X$2004,"&gt;0",'سجل التحفيز'!$B$5:$B$2004,B112,'سجل التحفيز'!$D$5:$D$2004,"ذهبي"))</f>
        <v/>
      </c>
      <c r="F112" s="35">
        <f>IF(B112="","",SUMIFS('سجل التحفيز'!$G$5:$G$2004,'سجل التحفيز'!$X$5:$X$2004,"&gt;0",'سجل التحفيز'!$B$5:$B$2004,B112))</f>
        <v/>
      </c>
      <c r="G112" s="35">
        <f>IF(B112="","",COUNTIF($D$38:$D$187,"&gt;"&amp;D112)+1)</f>
        <v/>
      </c>
      <c r="H112" s="35">
        <f>IF(B112="","",INDEX(الموظفات!$L$5:$L$304,MATCH(B112,الموظفات!$B$5:$B$304,0)))</f>
        <v/>
      </c>
      <c r="K112" s="36">
        <f>IF(75&gt;$B$10,"",75)</f>
        <v/>
      </c>
      <c r="L112" s="37">
        <f>IF($K112="","",INDEX('سجل التحفيز'!$A$5:$A$2004,MATCH($K112,'سجل التحفيز'!$X$5:$X$2004,0)))</f>
        <v/>
      </c>
      <c r="M112" s="9">
        <f>IF($K112="","",INDEX('سجل التحفيز'!$B$5:$B$2004,MATCH($K112,'سجل التحفيز'!$X$5:$X$2004,0)))</f>
        <v/>
      </c>
      <c r="N112" s="9">
        <f>IF($K112="","",INDEX('سجل التحفيز'!$M$5:$M$2004,MATCH($K112,'سجل التحفيز'!$X$5:$X$2004,0)))</f>
        <v/>
      </c>
      <c r="O112" s="9">
        <f>IF($K112="","",INDEX('سجل التحفيز'!$C$5:$C$2004,MATCH($K112,'سجل التحفيز'!$X$5:$X$2004,0)))</f>
        <v/>
      </c>
      <c r="P112" s="36">
        <f>IF($K112="","",INDEX('سجل التحفيز'!$D$5:$D$2004,MATCH($K112,'سجل التحفيز'!$X$5:$X$2004,0)))</f>
        <v/>
      </c>
      <c r="Q112" s="9">
        <f>IF($K112="","",INDEX('سجل التحفيز'!$E$5:$E$2004,MATCH($K112,'سجل التحفيز'!$X$5:$X$2004,0)))</f>
        <v/>
      </c>
      <c r="R112" s="9">
        <f>IF($K112="","",INDEX('سجل التحفيز'!$F$5:$F$2004,MATCH($K112,'سجل التحفيز'!$X$5:$X$2004,0)))</f>
        <v/>
      </c>
      <c r="S112" s="35">
        <f>IF($K112="","",INDEX('سجل التحفيز'!$G$5:$G$2004,MATCH($K112,'سجل التحفيز'!$X$5:$X$2004,0)))</f>
        <v/>
      </c>
    </row>
    <row r="113">
      <c r="B113" s="34">
        <f>IFERROR(INDEX(الموظفات!$B$5:$B$304,MATCH(76,الموظفات!$R$5:$R$304,0)),"")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التحفيز'!$X$5:$X$2004,"&gt;0",'سجل التحفيز'!$B$5:$B$2004,B113))</f>
        <v/>
      </c>
      <c r="E113" s="35">
        <f>IF(B113="","",COUNTIFS('سجل التحفيز'!$X$5:$X$2004,"&gt;0",'سجل التحفيز'!$B$5:$B$2004,B113,'سجل التحفيز'!$D$5:$D$2004,"ذهبي"))</f>
        <v/>
      </c>
      <c r="F113" s="35">
        <f>IF(B113="","",SUMIFS('سجل التحفيز'!$G$5:$G$2004,'سجل التحفيز'!$X$5:$X$2004,"&gt;0",'سجل التحفيز'!$B$5:$B$2004,B113))</f>
        <v/>
      </c>
      <c r="G113" s="35">
        <f>IF(B113="","",COUNTIF($D$38:$D$187,"&gt;"&amp;D113)+1)</f>
        <v/>
      </c>
      <c r="H113" s="35">
        <f>IF(B113="","",INDEX(الموظفات!$L$5:$L$304,MATCH(B113,الموظفات!$B$5:$B$304,0)))</f>
        <v/>
      </c>
      <c r="K113" s="36">
        <f>IF(76&gt;$B$10,"",76)</f>
        <v/>
      </c>
      <c r="L113" s="37">
        <f>IF($K113="","",INDEX('سجل التحفيز'!$A$5:$A$2004,MATCH($K113,'سجل التحفيز'!$X$5:$X$2004,0)))</f>
        <v/>
      </c>
      <c r="M113" s="9">
        <f>IF($K113="","",INDEX('سجل التحفيز'!$B$5:$B$2004,MATCH($K113,'سجل التحفيز'!$X$5:$X$2004,0)))</f>
        <v/>
      </c>
      <c r="N113" s="9">
        <f>IF($K113="","",INDEX('سجل التحفيز'!$M$5:$M$2004,MATCH($K113,'سجل التحفيز'!$X$5:$X$2004,0)))</f>
        <v/>
      </c>
      <c r="O113" s="9">
        <f>IF($K113="","",INDEX('سجل التحفيز'!$C$5:$C$2004,MATCH($K113,'سجل التحفيز'!$X$5:$X$2004,0)))</f>
        <v/>
      </c>
      <c r="P113" s="36">
        <f>IF($K113="","",INDEX('سجل التحفيز'!$D$5:$D$2004,MATCH($K113,'سجل التحفيز'!$X$5:$X$2004,0)))</f>
        <v/>
      </c>
      <c r="Q113" s="9">
        <f>IF($K113="","",INDEX('سجل التحفيز'!$E$5:$E$2004,MATCH($K113,'سجل التحفيز'!$X$5:$X$2004,0)))</f>
        <v/>
      </c>
      <c r="R113" s="9">
        <f>IF($K113="","",INDEX('سجل التحفيز'!$F$5:$F$2004,MATCH($K113,'سجل التحفيز'!$X$5:$X$2004,0)))</f>
        <v/>
      </c>
      <c r="S113" s="35">
        <f>IF($K113="","",INDEX('سجل التحفيز'!$G$5:$G$2004,MATCH($K113,'سجل التحفيز'!$X$5:$X$2004,0)))</f>
        <v/>
      </c>
    </row>
    <row r="114">
      <c r="B114" s="34">
        <f>IFERROR(INDEX(الموظفات!$B$5:$B$304,MATCH(77,الموظفات!$R$5:$R$304,0)),"")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التحفيز'!$X$5:$X$2004,"&gt;0",'سجل التحفيز'!$B$5:$B$2004,B114))</f>
        <v/>
      </c>
      <c r="E114" s="35">
        <f>IF(B114="","",COUNTIFS('سجل التحفيز'!$X$5:$X$2004,"&gt;0",'سجل التحفيز'!$B$5:$B$2004,B114,'سجل التحفيز'!$D$5:$D$2004,"ذهبي"))</f>
        <v/>
      </c>
      <c r="F114" s="35">
        <f>IF(B114="","",SUMIFS('سجل التحفيز'!$G$5:$G$2004,'سجل التحفيز'!$X$5:$X$2004,"&gt;0",'سجل التحفيز'!$B$5:$B$2004,B114))</f>
        <v/>
      </c>
      <c r="G114" s="35">
        <f>IF(B114="","",COUNTIF($D$38:$D$187,"&gt;"&amp;D114)+1)</f>
        <v/>
      </c>
      <c r="H114" s="35">
        <f>IF(B114="","",INDEX(الموظفات!$L$5:$L$304,MATCH(B114,الموظفات!$B$5:$B$304,0)))</f>
        <v/>
      </c>
      <c r="K114" s="36">
        <f>IF(77&gt;$B$10,"",77)</f>
        <v/>
      </c>
      <c r="L114" s="37">
        <f>IF($K114="","",INDEX('سجل التحفيز'!$A$5:$A$2004,MATCH($K114,'سجل التحفيز'!$X$5:$X$2004,0)))</f>
        <v/>
      </c>
      <c r="M114" s="9">
        <f>IF($K114="","",INDEX('سجل التحفيز'!$B$5:$B$2004,MATCH($K114,'سجل التحفيز'!$X$5:$X$2004,0)))</f>
        <v/>
      </c>
      <c r="N114" s="9">
        <f>IF($K114="","",INDEX('سجل التحفيز'!$M$5:$M$2004,MATCH($K114,'سجل التحفيز'!$X$5:$X$2004,0)))</f>
        <v/>
      </c>
      <c r="O114" s="9">
        <f>IF($K114="","",INDEX('سجل التحفيز'!$C$5:$C$2004,MATCH($K114,'سجل التحفيز'!$X$5:$X$2004,0)))</f>
        <v/>
      </c>
      <c r="P114" s="36">
        <f>IF($K114="","",INDEX('سجل التحفيز'!$D$5:$D$2004,MATCH($K114,'سجل التحفيز'!$X$5:$X$2004,0)))</f>
        <v/>
      </c>
      <c r="Q114" s="9">
        <f>IF($K114="","",INDEX('سجل التحفيز'!$E$5:$E$2004,MATCH($K114,'سجل التحفيز'!$X$5:$X$2004,0)))</f>
        <v/>
      </c>
      <c r="R114" s="9">
        <f>IF($K114="","",INDEX('سجل التحفيز'!$F$5:$F$2004,MATCH($K114,'سجل التحفيز'!$X$5:$X$2004,0)))</f>
        <v/>
      </c>
      <c r="S114" s="35">
        <f>IF($K114="","",INDEX('سجل التحفيز'!$G$5:$G$2004,MATCH($K114,'سجل التحفيز'!$X$5:$X$2004,0)))</f>
        <v/>
      </c>
    </row>
    <row r="115">
      <c r="B115" s="34">
        <f>IFERROR(INDEX(الموظفات!$B$5:$B$304,MATCH(78,الموظفات!$R$5:$R$304,0)),"")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التحفيز'!$X$5:$X$2004,"&gt;0",'سجل التحفيز'!$B$5:$B$2004,B115))</f>
        <v/>
      </c>
      <c r="E115" s="35">
        <f>IF(B115="","",COUNTIFS('سجل التحفيز'!$X$5:$X$2004,"&gt;0",'سجل التحفيز'!$B$5:$B$2004,B115,'سجل التحفيز'!$D$5:$D$2004,"ذهبي"))</f>
        <v/>
      </c>
      <c r="F115" s="35">
        <f>IF(B115="","",SUMIFS('سجل التحفيز'!$G$5:$G$2004,'سجل التحفيز'!$X$5:$X$2004,"&gt;0",'سجل التحفيز'!$B$5:$B$2004,B115))</f>
        <v/>
      </c>
      <c r="G115" s="35">
        <f>IF(B115="","",COUNTIF($D$38:$D$187,"&gt;"&amp;D115)+1)</f>
        <v/>
      </c>
      <c r="H115" s="35">
        <f>IF(B115="","",INDEX(الموظفات!$L$5:$L$304,MATCH(B115,الموظفات!$B$5:$B$304,0)))</f>
        <v/>
      </c>
      <c r="K115" s="36">
        <f>IF(78&gt;$B$10,"",78)</f>
        <v/>
      </c>
      <c r="L115" s="37">
        <f>IF($K115="","",INDEX('سجل التحفيز'!$A$5:$A$2004,MATCH($K115,'سجل التحفيز'!$X$5:$X$2004,0)))</f>
        <v/>
      </c>
      <c r="M115" s="9">
        <f>IF($K115="","",INDEX('سجل التحفيز'!$B$5:$B$2004,MATCH($K115,'سجل التحفيز'!$X$5:$X$2004,0)))</f>
        <v/>
      </c>
      <c r="N115" s="9">
        <f>IF($K115="","",INDEX('سجل التحفيز'!$M$5:$M$2004,MATCH($K115,'سجل التحفيز'!$X$5:$X$2004,0)))</f>
        <v/>
      </c>
      <c r="O115" s="9">
        <f>IF($K115="","",INDEX('سجل التحفيز'!$C$5:$C$2004,MATCH($K115,'سجل التحفيز'!$X$5:$X$2004,0)))</f>
        <v/>
      </c>
      <c r="P115" s="36">
        <f>IF($K115="","",INDEX('سجل التحفيز'!$D$5:$D$2004,MATCH($K115,'سجل التحفيز'!$X$5:$X$2004,0)))</f>
        <v/>
      </c>
      <c r="Q115" s="9">
        <f>IF($K115="","",INDEX('سجل التحفيز'!$E$5:$E$2004,MATCH($K115,'سجل التحفيز'!$X$5:$X$2004,0)))</f>
        <v/>
      </c>
      <c r="R115" s="9">
        <f>IF($K115="","",INDEX('سجل التحفيز'!$F$5:$F$2004,MATCH($K115,'سجل التحفيز'!$X$5:$X$2004,0)))</f>
        <v/>
      </c>
      <c r="S115" s="35">
        <f>IF($K115="","",INDEX('سجل التحفيز'!$G$5:$G$2004,MATCH($K115,'سجل التحفيز'!$X$5:$X$2004,0)))</f>
        <v/>
      </c>
    </row>
    <row r="116">
      <c r="B116" s="34">
        <f>IFERROR(INDEX(الموظفات!$B$5:$B$304,MATCH(79,الموظفات!$R$5:$R$304,0)),"")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التحفيز'!$X$5:$X$2004,"&gt;0",'سجل التحفيز'!$B$5:$B$2004,B116))</f>
        <v/>
      </c>
      <c r="E116" s="35">
        <f>IF(B116="","",COUNTIFS('سجل التحفيز'!$X$5:$X$2004,"&gt;0",'سجل التحفيز'!$B$5:$B$2004,B116,'سجل التحفيز'!$D$5:$D$2004,"ذهبي"))</f>
        <v/>
      </c>
      <c r="F116" s="35">
        <f>IF(B116="","",SUMIFS('سجل التحفيز'!$G$5:$G$2004,'سجل التحفيز'!$X$5:$X$2004,"&gt;0",'سجل التحفيز'!$B$5:$B$2004,B116))</f>
        <v/>
      </c>
      <c r="G116" s="35">
        <f>IF(B116="","",COUNTIF($D$38:$D$187,"&gt;"&amp;D116)+1)</f>
        <v/>
      </c>
      <c r="H116" s="35">
        <f>IF(B116="","",INDEX(الموظفات!$L$5:$L$304,MATCH(B116,الموظفات!$B$5:$B$304,0)))</f>
        <v/>
      </c>
      <c r="K116" s="36">
        <f>IF(79&gt;$B$10,"",79)</f>
        <v/>
      </c>
      <c r="L116" s="37">
        <f>IF($K116="","",INDEX('سجل التحفيز'!$A$5:$A$2004,MATCH($K116,'سجل التحفيز'!$X$5:$X$2004,0)))</f>
        <v/>
      </c>
      <c r="M116" s="9">
        <f>IF($K116="","",INDEX('سجل التحفيز'!$B$5:$B$2004,MATCH($K116,'سجل التحفيز'!$X$5:$X$2004,0)))</f>
        <v/>
      </c>
      <c r="N116" s="9">
        <f>IF($K116="","",INDEX('سجل التحفيز'!$M$5:$M$2004,MATCH($K116,'سجل التحفيز'!$X$5:$X$2004,0)))</f>
        <v/>
      </c>
      <c r="O116" s="9">
        <f>IF($K116="","",INDEX('سجل التحفيز'!$C$5:$C$2004,MATCH($K116,'سجل التحفيز'!$X$5:$X$2004,0)))</f>
        <v/>
      </c>
      <c r="P116" s="36">
        <f>IF($K116="","",INDEX('سجل التحفيز'!$D$5:$D$2004,MATCH($K116,'سجل التحفيز'!$X$5:$X$2004,0)))</f>
        <v/>
      </c>
      <c r="Q116" s="9">
        <f>IF($K116="","",INDEX('سجل التحفيز'!$E$5:$E$2004,MATCH($K116,'سجل التحفيز'!$X$5:$X$2004,0)))</f>
        <v/>
      </c>
      <c r="R116" s="9">
        <f>IF($K116="","",INDEX('سجل التحفيز'!$F$5:$F$2004,MATCH($K116,'سجل التحفيز'!$X$5:$X$2004,0)))</f>
        <v/>
      </c>
      <c r="S116" s="35">
        <f>IF($K116="","",INDEX('سجل التحفيز'!$G$5:$G$2004,MATCH($K116,'سجل التحفيز'!$X$5:$X$2004,0)))</f>
        <v/>
      </c>
    </row>
    <row r="117">
      <c r="B117" s="34">
        <f>IFERROR(INDEX(الموظفات!$B$5:$B$304,MATCH(80,الموظفات!$R$5:$R$304,0)),"")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التحفيز'!$X$5:$X$2004,"&gt;0",'سجل التحفيز'!$B$5:$B$2004,B117))</f>
        <v/>
      </c>
      <c r="E117" s="35">
        <f>IF(B117="","",COUNTIFS('سجل التحفيز'!$X$5:$X$2004,"&gt;0",'سجل التحفيز'!$B$5:$B$2004,B117,'سجل التحفيز'!$D$5:$D$2004,"ذهبي"))</f>
        <v/>
      </c>
      <c r="F117" s="35">
        <f>IF(B117="","",SUMIFS('سجل التحفيز'!$G$5:$G$2004,'سجل التحفيز'!$X$5:$X$2004,"&gt;0",'سجل التحفيز'!$B$5:$B$2004,B117))</f>
        <v/>
      </c>
      <c r="G117" s="35">
        <f>IF(B117="","",COUNTIF($D$38:$D$187,"&gt;"&amp;D117)+1)</f>
        <v/>
      </c>
      <c r="H117" s="35">
        <f>IF(B117="","",INDEX(الموظفات!$L$5:$L$304,MATCH(B117,الموظفات!$B$5:$B$304,0)))</f>
        <v/>
      </c>
      <c r="K117" s="36">
        <f>IF(80&gt;$B$10,"",80)</f>
        <v/>
      </c>
      <c r="L117" s="37">
        <f>IF($K117="","",INDEX('سجل التحفيز'!$A$5:$A$2004,MATCH($K117,'سجل التحفيز'!$X$5:$X$2004,0)))</f>
        <v/>
      </c>
      <c r="M117" s="9">
        <f>IF($K117="","",INDEX('سجل التحفيز'!$B$5:$B$2004,MATCH($K117,'سجل التحفيز'!$X$5:$X$2004,0)))</f>
        <v/>
      </c>
      <c r="N117" s="9">
        <f>IF($K117="","",INDEX('سجل التحفيز'!$M$5:$M$2004,MATCH($K117,'سجل التحفيز'!$X$5:$X$2004,0)))</f>
        <v/>
      </c>
      <c r="O117" s="9">
        <f>IF($K117="","",INDEX('سجل التحفيز'!$C$5:$C$2004,MATCH($K117,'سجل التحفيز'!$X$5:$X$2004,0)))</f>
        <v/>
      </c>
      <c r="P117" s="36">
        <f>IF($K117="","",INDEX('سجل التحفيز'!$D$5:$D$2004,MATCH($K117,'سجل التحفيز'!$X$5:$X$2004,0)))</f>
        <v/>
      </c>
      <c r="Q117" s="9">
        <f>IF($K117="","",INDEX('سجل التحفيز'!$E$5:$E$2004,MATCH($K117,'سجل التحفيز'!$X$5:$X$2004,0)))</f>
        <v/>
      </c>
      <c r="R117" s="9">
        <f>IF($K117="","",INDEX('سجل التحفيز'!$F$5:$F$2004,MATCH($K117,'سجل التحفيز'!$X$5:$X$2004,0)))</f>
        <v/>
      </c>
      <c r="S117" s="35">
        <f>IF($K117="","",INDEX('سجل التحفيز'!$G$5:$G$2004,MATCH($K117,'سجل التحفيز'!$X$5:$X$2004,0)))</f>
        <v/>
      </c>
    </row>
    <row r="118">
      <c r="B118" s="34">
        <f>IFERROR(INDEX(الموظفات!$B$5:$B$304,MATCH(81,الموظفات!$R$5:$R$304,0)),"")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التحفيز'!$X$5:$X$2004,"&gt;0",'سجل التحفيز'!$B$5:$B$2004,B118))</f>
        <v/>
      </c>
      <c r="E118" s="35">
        <f>IF(B118="","",COUNTIFS('سجل التحفيز'!$X$5:$X$2004,"&gt;0",'سجل التحفيز'!$B$5:$B$2004,B118,'سجل التحفيز'!$D$5:$D$2004,"ذهبي"))</f>
        <v/>
      </c>
      <c r="F118" s="35">
        <f>IF(B118="","",SUMIFS('سجل التحفيز'!$G$5:$G$2004,'سجل التحفيز'!$X$5:$X$2004,"&gt;0",'سجل التحفيز'!$B$5:$B$2004,B118))</f>
        <v/>
      </c>
      <c r="G118" s="35">
        <f>IF(B118="","",COUNTIF($D$38:$D$187,"&gt;"&amp;D118)+1)</f>
        <v/>
      </c>
      <c r="H118" s="35">
        <f>IF(B118="","",INDEX(الموظفات!$L$5:$L$304,MATCH(B118,الموظفات!$B$5:$B$304,0)))</f>
        <v/>
      </c>
      <c r="K118" s="36">
        <f>IF(81&gt;$B$10,"",81)</f>
        <v/>
      </c>
      <c r="L118" s="37">
        <f>IF($K118="","",INDEX('سجل التحفيز'!$A$5:$A$2004,MATCH($K118,'سجل التحفيز'!$X$5:$X$2004,0)))</f>
        <v/>
      </c>
      <c r="M118" s="9">
        <f>IF($K118="","",INDEX('سجل التحفيز'!$B$5:$B$2004,MATCH($K118,'سجل التحفيز'!$X$5:$X$2004,0)))</f>
        <v/>
      </c>
      <c r="N118" s="9">
        <f>IF($K118="","",INDEX('سجل التحفيز'!$M$5:$M$2004,MATCH($K118,'سجل التحفيز'!$X$5:$X$2004,0)))</f>
        <v/>
      </c>
      <c r="O118" s="9">
        <f>IF($K118="","",INDEX('سجل التحفيز'!$C$5:$C$2004,MATCH($K118,'سجل التحفيز'!$X$5:$X$2004,0)))</f>
        <v/>
      </c>
      <c r="P118" s="36">
        <f>IF($K118="","",INDEX('سجل التحفيز'!$D$5:$D$2004,MATCH($K118,'سجل التحفيز'!$X$5:$X$2004,0)))</f>
        <v/>
      </c>
      <c r="Q118" s="9">
        <f>IF($K118="","",INDEX('سجل التحفيز'!$E$5:$E$2004,MATCH($K118,'سجل التحفيز'!$X$5:$X$2004,0)))</f>
        <v/>
      </c>
      <c r="R118" s="9">
        <f>IF($K118="","",INDEX('سجل التحفيز'!$F$5:$F$2004,MATCH($K118,'سجل التحفيز'!$X$5:$X$2004,0)))</f>
        <v/>
      </c>
      <c r="S118" s="35">
        <f>IF($K118="","",INDEX('سجل التحفيز'!$G$5:$G$2004,MATCH($K118,'سجل التحفيز'!$X$5:$X$2004,0)))</f>
        <v/>
      </c>
    </row>
    <row r="119">
      <c r="B119" s="34">
        <f>IFERROR(INDEX(الموظفات!$B$5:$B$304,MATCH(82,الموظفات!$R$5:$R$304,0)),"")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التحفيز'!$X$5:$X$2004,"&gt;0",'سجل التحفيز'!$B$5:$B$2004,B119))</f>
        <v/>
      </c>
      <c r="E119" s="35">
        <f>IF(B119="","",COUNTIFS('سجل التحفيز'!$X$5:$X$2004,"&gt;0",'سجل التحفيز'!$B$5:$B$2004,B119,'سجل التحفيز'!$D$5:$D$2004,"ذهبي"))</f>
        <v/>
      </c>
      <c r="F119" s="35">
        <f>IF(B119="","",SUMIFS('سجل التحفيز'!$G$5:$G$2004,'سجل التحفيز'!$X$5:$X$2004,"&gt;0",'سجل التحفيز'!$B$5:$B$2004,B119))</f>
        <v/>
      </c>
      <c r="G119" s="35">
        <f>IF(B119="","",COUNTIF($D$38:$D$187,"&gt;"&amp;D119)+1)</f>
        <v/>
      </c>
      <c r="H119" s="35">
        <f>IF(B119="","",INDEX(الموظفات!$L$5:$L$304,MATCH(B119,الموظفات!$B$5:$B$304,0)))</f>
        <v/>
      </c>
      <c r="K119" s="36">
        <f>IF(82&gt;$B$10,"",82)</f>
        <v/>
      </c>
      <c r="L119" s="37">
        <f>IF($K119="","",INDEX('سجل التحفيز'!$A$5:$A$2004,MATCH($K119,'سجل التحفيز'!$X$5:$X$2004,0)))</f>
        <v/>
      </c>
      <c r="M119" s="9">
        <f>IF($K119="","",INDEX('سجل التحفيز'!$B$5:$B$2004,MATCH($K119,'سجل التحفيز'!$X$5:$X$2004,0)))</f>
        <v/>
      </c>
      <c r="N119" s="9">
        <f>IF($K119="","",INDEX('سجل التحفيز'!$M$5:$M$2004,MATCH($K119,'سجل التحفيز'!$X$5:$X$2004,0)))</f>
        <v/>
      </c>
      <c r="O119" s="9">
        <f>IF($K119="","",INDEX('سجل التحفيز'!$C$5:$C$2004,MATCH($K119,'سجل التحفيز'!$X$5:$X$2004,0)))</f>
        <v/>
      </c>
      <c r="P119" s="36">
        <f>IF($K119="","",INDEX('سجل التحفيز'!$D$5:$D$2004,MATCH($K119,'سجل التحفيز'!$X$5:$X$2004,0)))</f>
        <v/>
      </c>
      <c r="Q119" s="9">
        <f>IF($K119="","",INDEX('سجل التحفيز'!$E$5:$E$2004,MATCH($K119,'سجل التحفيز'!$X$5:$X$2004,0)))</f>
        <v/>
      </c>
      <c r="R119" s="9">
        <f>IF($K119="","",INDEX('سجل التحفيز'!$F$5:$F$2004,MATCH($K119,'سجل التحفيز'!$X$5:$X$2004,0)))</f>
        <v/>
      </c>
      <c r="S119" s="35">
        <f>IF($K119="","",INDEX('سجل التحفيز'!$G$5:$G$2004,MATCH($K119,'سجل التحفيز'!$X$5:$X$2004,0)))</f>
        <v/>
      </c>
    </row>
    <row r="120">
      <c r="B120" s="34">
        <f>IFERROR(INDEX(الموظفات!$B$5:$B$304,MATCH(83,الموظفات!$R$5:$R$304,0)),"")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التحفيز'!$X$5:$X$2004,"&gt;0",'سجل التحفيز'!$B$5:$B$2004,B120))</f>
        <v/>
      </c>
      <c r="E120" s="35">
        <f>IF(B120="","",COUNTIFS('سجل التحفيز'!$X$5:$X$2004,"&gt;0",'سجل التحفيز'!$B$5:$B$2004,B120,'سجل التحفيز'!$D$5:$D$2004,"ذهبي"))</f>
        <v/>
      </c>
      <c r="F120" s="35">
        <f>IF(B120="","",SUMIFS('سجل التحفيز'!$G$5:$G$2004,'سجل التحفيز'!$X$5:$X$2004,"&gt;0",'سجل التحفيز'!$B$5:$B$2004,B120))</f>
        <v/>
      </c>
      <c r="G120" s="35">
        <f>IF(B120="","",COUNTIF($D$38:$D$187,"&gt;"&amp;D120)+1)</f>
        <v/>
      </c>
      <c r="H120" s="35">
        <f>IF(B120="","",INDEX(الموظفات!$L$5:$L$304,MATCH(B120,الموظفات!$B$5:$B$304,0)))</f>
        <v/>
      </c>
      <c r="K120" s="36">
        <f>IF(83&gt;$B$10,"",83)</f>
        <v/>
      </c>
      <c r="L120" s="37">
        <f>IF($K120="","",INDEX('سجل التحفيز'!$A$5:$A$2004,MATCH($K120,'سجل التحفيز'!$X$5:$X$2004,0)))</f>
        <v/>
      </c>
      <c r="M120" s="9">
        <f>IF($K120="","",INDEX('سجل التحفيز'!$B$5:$B$2004,MATCH($K120,'سجل التحفيز'!$X$5:$X$2004,0)))</f>
        <v/>
      </c>
      <c r="N120" s="9">
        <f>IF($K120="","",INDEX('سجل التحفيز'!$M$5:$M$2004,MATCH($K120,'سجل التحفيز'!$X$5:$X$2004,0)))</f>
        <v/>
      </c>
      <c r="O120" s="9">
        <f>IF($K120="","",INDEX('سجل التحفيز'!$C$5:$C$2004,MATCH($K120,'سجل التحفيز'!$X$5:$X$2004,0)))</f>
        <v/>
      </c>
      <c r="P120" s="36">
        <f>IF($K120="","",INDEX('سجل التحفيز'!$D$5:$D$2004,MATCH($K120,'سجل التحفيز'!$X$5:$X$2004,0)))</f>
        <v/>
      </c>
      <c r="Q120" s="9">
        <f>IF($K120="","",INDEX('سجل التحفيز'!$E$5:$E$2004,MATCH($K120,'سجل التحفيز'!$X$5:$X$2004,0)))</f>
        <v/>
      </c>
      <c r="R120" s="9">
        <f>IF($K120="","",INDEX('سجل التحفيز'!$F$5:$F$2004,MATCH($K120,'سجل التحفيز'!$X$5:$X$2004,0)))</f>
        <v/>
      </c>
      <c r="S120" s="35">
        <f>IF($K120="","",INDEX('سجل التحفيز'!$G$5:$G$2004,MATCH($K120,'سجل التحفيز'!$X$5:$X$2004,0)))</f>
        <v/>
      </c>
    </row>
    <row r="121">
      <c r="B121" s="34">
        <f>IFERROR(INDEX(الموظفات!$B$5:$B$304,MATCH(84,الموظفات!$R$5:$R$304,0)),"")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التحفيز'!$X$5:$X$2004,"&gt;0",'سجل التحفيز'!$B$5:$B$2004,B121))</f>
        <v/>
      </c>
      <c r="E121" s="35">
        <f>IF(B121="","",COUNTIFS('سجل التحفيز'!$X$5:$X$2004,"&gt;0",'سجل التحفيز'!$B$5:$B$2004,B121,'سجل التحفيز'!$D$5:$D$2004,"ذهبي"))</f>
        <v/>
      </c>
      <c r="F121" s="35">
        <f>IF(B121="","",SUMIFS('سجل التحفيز'!$G$5:$G$2004,'سجل التحفيز'!$X$5:$X$2004,"&gt;0",'سجل التحفيز'!$B$5:$B$2004,B121))</f>
        <v/>
      </c>
      <c r="G121" s="35">
        <f>IF(B121="","",COUNTIF($D$38:$D$187,"&gt;"&amp;D121)+1)</f>
        <v/>
      </c>
      <c r="H121" s="35">
        <f>IF(B121="","",INDEX(الموظفات!$L$5:$L$304,MATCH(B121,الموظفات!$B$5:$B$304,0)))</f>
        <v/>
      </c>
      <c r="K121" s="36">
        <f>IF(84&gt;$B$10,"",84)</f>
        <v/>
      </c>
      <c r="L121" s="37">
        <f>IF($K121="","",INDEX('سجل التحفيز'!$A$5:$A$2004,MATCH($K121,'سجل التحفيز'!$X$5:$X$2004,0)))</f>
        <v/>
      </c>
      <c r="M121" s="9">
        <f>IF($K121="","",INDEX('سجل التحفيز'!$B$5:$B$2004,MATCH($K121,'سجل التحفيز'!$X$5:$X$2004,0)))</f>
        <v/>
      </c>
      <c r="N121" s="9">
        <f>IF($K121="","",INDEX('سجل التحفيز'!$M$5:$M$2004,MATCH($K121,'سجل التحفيز'!$X$5:$X$2004,0)))</f>
        <v/>
      </c>
      <c r="O121" s="9">
        <f>IF($K121="","",INDEX('سجل التحفيز'!$C$5:$C$2004,MATCH($K121,'سجل التحفيز'!$X$5:$X$2004,0)))</f>
        <v/>
      </c>
      <c r="P121" s="36">
        <f>IF($K121="","",INDEX('سجل التحفيز'!$D$5:$D$2004,MATCH($K121,'سجل التحفيز'!$X$5:$X$2004,0)))</f>
        <v/>
      </c>
      <c r="Q121" s="9">
        <f>IF($K121="","",INDEX('سجل التحفيز'!$E$5:$E$2004,MATCH($K121,'سجل التحفيز'!$X$5:$X$2004,0)))</f>
        <v/>
      </c>
      <c r="R121" s="9">
        <f>IF($K121="","",INDEX('سجل التحفيز'!$F$5:$F$2004,MATCH($K121,'سجل التحفيز'!$X$5:$X$2004,0)))</f>
        <v/>
      </c>
      <c r="S121" s="35">
        <f>IF($K121="","",INDEX('سجل التحفيز'!$G$5:$G$2004,MATCH($K121,'سجل التحفيز'!$X$5:$X$2004,0)))</f>
        <v/>
      </c>
    </row>
    <row r="122">
      <c r="B122" s="34">
        <f>IFERROR(INDEX(الموظفات!$B$5:$B$304,MATCH(85,الموظفات!$R$5:$R$304,0)),"")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التحفيز'!$X$5:$X$2004,"&gt;0",'سجل التحفيز'!$B$5:$B$2004,B122))</f>
        <v/>
      </c>
      <c r="E122" s="35">
        <f>IF(B122="","",COUNTIFS('سجل التحفيز'!$X$5:$X$2004,"&gt;0",'سجل التحفيز'!$B$5:$B$2004,B122,'سجل التحفيز'!$D$5:$D$2004,"ذهبي"))</f>
        <v/>
      </c>
      <c r="F122" s="35">
        <f>IF(B122="","",SUMIFS('سجل التحفيز'!$G$5:$G$2004,'سجل التحفيز'!$X$5:$X$2004,"&gt;0",'سجل التحفيز'!$B$5:$B$2004,B122))</f>
        <v/>
      </c>
      <c r="G122" s="35">
        <f>IF(B122="","",COUNTIF($D$38:$D$187,"&gt;"&amp;D122)+1)</f>
        <v/>
      </c>
      <c r="H122" s="35">
        <f>IF(B122="","",INDEX(الموظفات!$L$5:$L$304,MATCH(B122,الموظفات!$B$5:$B$304,0)))</f>
        <v/>
      </c>
      <c r="K122" s="36">
        <f>IF(85&gt;$B$10,"",85)</f>
        <v/>
      </c>
      <c r="L122" s="37">
        <f>IF($K122="","",INDEX('سجل التحفيز'!$A$5:$A$2004,MATCH($K122,'سجل التحفيز'!$X$5:$X$2004,0)))</f>
        <v/>
      </c>
      <c r="M122" s="9">
        <f>IF($K122="","",INDEX('سجل التحفيز'!$B$5:$B$2004,MATCH($K122,'سجل التحفيز'!$X$5:$X$2004,0)))</f>
        <v/>
      </c>
      <c r="N122" s="9">
        <f>IF($K122="","",INDEX('سجل التحفيز'!$M$5:$M$2004,MATCH($K122,'سجل التحفيز'!$X$5:$X$2004,0)))</f>
        <v/>
      </c>
      <c r="O122" s="9">
        <f>IF($K122="","",INDEX('سجل التحفيز'!$C$5:$C$2004,MATCH($K122,'سجل التحفيز'!$X$5:$X$2004,0)))</f>
        <v/>
      </c>
      <c r="P122" s="36">
        <f>IF($K122="","",INDEX('سجل التحفيز'!$D$5:$D$2004,MATCH($K122,'سجل التحفيز'!$X$5:$X$2004,0)))</f>
        <v/>
      </c>
      <c r="Q122" s="9">
        <f>IF($K122="","",INDEX('سجل التحفيز'!$E$5:$E$2004,MATCH($K122,'سجل التحفيز'!$X$5:$X$2004,0)))</f>
        <v/>
      </c>
      <c r="R122" s="9">
        <f>IF($K122="","",INDEX('سجل التحفيز'!$F$5:$F$2004,MATCH($K122,'سجل التحفيز'!$X$5:$X$2004,0)))</f>
        <v/>
      </c>
      <c r="S122" s="35">
        <f>IF($K122="","",INDEX('سجل التحفيز'!$G$5:$G$2004,MATCH($K122,'سجل التحفيز'!$X$5:$X$2004,0)))</f>
        <v/>
      </c>
    </row>
    <row r="123">
      <c r="B123" s="34">
        <f>IFERROR(INDEX(الموظفات!$B$5:$B$304,MATCH(86,الموظفات!$R$5:$R$304,0)),"")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التحفيز'!$X$5:$X$2004,"&gt;0",'سجل التحفيز'!$B$5:$B$2004,B123))</f>
        <v/>
      </c>
      <c r="E123" s="35">
        <f>IF(B123="","",COUNTIFS('سجل التحفيز'!$X$5:$X$2004,"&gt;0",'سجل التحفيز'!$B$5:$B$2004,B123,'سجل التحفيز'!$D$5:$D$2004,"ذهبي"))</f>
        <v/>
      </c>
      <c r="F123" s="35">
        <f>IF(B123="","",SUMIFS('سجل التحفيز'!$G$5:$G$2004,'سجل التحفيز'!$X$5:$X$2004,"&gt;0",'سجل التحفيز'!$B$5:$B$2004,B123))</f>
        <v/>
      </c>
      <c r="G123" s="35">
        <f>IF(B123="","",COUNTIF($D$38:$D$187,"&gt;"&amp;D123)+1)</f>
        <v/>
      </c>
      <c r="H123" s="35">
        <f>IF(B123="","",INDEX(الموظفات!$L$5:$L$304,MATCH(B123,الموظفات!$B$5:$B$304,0)))</f>
        <v/>
      </c>
      <c r="K123" s="36">
        <f>IF(86&gt;$B$10,"",86)</f>
        <v/>
      </c>
      <c r="L123" s="37">
        <f>IF($K123="","",INDEX('سجل التحفيز'!$A$5:$A$2004,MATCH($K123,'سجل التحفيز'!$X$5:$X$2004,0)))</f>
        <v/>
      </c>
      <c r="M123" s="9">
        <f>IF($K123="","",INDEX('سجل التحفيز'!$B$5:$B$2004,MATCH($K123,'سجل التحفيز'!$X$5:$X$2004,0)))</f>
        <v/>
      </c>
      <c r="N123" s="9">
        <f>IF($K123="","",INDEX('سجل التحفيز'!$M$5:$M$2004,MATCH($K123,'سجل التحفيز'!$X$5:$X$2004,0)))</f>
        <v/>
      </c>
      <c r="O123" s="9">
        <f>IF($K123="","",INDEX('سجل التحفيز'!$C$5:$C$2004,MATCH($K123,'سجل التحفيز'!$X$5:$X$2004,0)))</f>
        <v/>
      </c>
      <c r="P123" s="36">
        <f>IF($K123="","",INDEX('سجل التحفيز'!$D$5:$D$2004,MATCH($K123,'سجل التحفيز'!$X$5:$X$2004,0)))</f>
        <v/>
      </c>
      <c r="Q123" s="9">
        <f>IF($K123="","",INDEX('سجل التحفيز'!$E$5:$E$2004,MATCH($K123,'سجل التحفيز'!$X$5:$X$2004,0)))</f>
        <v/>
      </c>
      <c r="R123" s="9">
        <f>IF($K123="","",INDEX('سجل التحفيز'!$F$5:$F$2004,MATCH($K123,'سجل التحفيز'!$X$5:$X$2004,0)))</f>
        <v/>
      </c>
      <c r="S123" s="35">
        <f>IF($K123="","",INDEX('سجل التحفيز'!$G$5:$G$2004,MATCH($K123,'سجل التحفيز'!$X$5:$X$2004,0)))</f>
        <v/>
      </c>
    </row>
    <row r="124">
      <c r="B124" s="34">
        <f>IFERROR(INDEX(الموظفات!$B$5:$B$304,MATCH(87,الموظفات!$R$5:$R$304,0)),"")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التحفيز'!$X$5:$X$2004,"&gt;0",'سجل التحفيز'!$B$5:$B$2004,B124))</f>
        <v/>
      </c>
      <c r="E124" s="35">
        <f>IF(B124="","",COUNTIFS('سجل التحفيز'!$X$5:$X$2004,"&gt;0",'سجل التحفيز'!$B$5:$B$2004,B124,'سجل التحفيز'!$D$5:$D$2004,"ذهبي"))</f>
        <v/>
      </c>
      <c r="F124" s="35">
        <f>IF(B124="","",SUMIFS('سجل التحفيز'!$G$5:$G$2004,'سجل التحفيز'!$X$5:$X$2004,"&gt;0",'سجل التحفيز'!$B$5:$B$2004,B124))</f>
        <v/>
      </c>
      <c r="G124" s="35">
        <f>IF(B124="","",COUNTIF($D$38:$D$187,"&gt;"&amp;D124)+1)</f>
        <v/>
      </c>
      <c r="H124" s="35">
        <f>IF(B124="","",INDEX(الموظفات!$L$5:$L$304,MATCH(B124,الموظفات!$B$5:$B$304,0)))</f>
        <v/>
      </c>
      <c r="K124" s="36">
        <f>IF(87&gt;$B$10,"",87)</f>
        <v/>
      </c>
      <c r="L124" s="37">
        <f>IF($K124="","",INDEX('سجل التحفيز'!$A$5:$A$2004,MATCH($K124,'سجل التحفيز'!$X$5:$X$2004,0)))</f>
        <v/>
      </c>
      <c r="M124" s="9">
        <f>IF($K124="","",INDEX('سجل التحفيز'!$B$5:$B$2004,MATCH($K124,'سجل التحفيز'!$X$5:$X$2004,0)))</f>
        <v/>
      </c>
      <c r="N124" s="9">
        <f>IF($K124="","",INDEX('سجل التحفيز'!$M$5:$M$2004,MATCH($K124,'سجل التحفيز'!$X$5:$X$2004,0)))</f>
        <v/>
      </c>
      <c r="O124" s="9">
        <f>IF($K124="","",INDEX('سجل التحفيز'!$C$5:$C$2004,MATCH($K124,'سجل التحفيز'!$X$5:$X$2004,0)))</f>
        <v/>
      </c>
      <c r="P124" s="36">
        <f>IF($K124="","",INDEX('سجل التحفيز'!$D$5:$D$2004,MATCH($K124,'سجل التحفيز'!$X$5:$X$2004,0)))</f>
        <v/>
      </c>
      <c r="Q124" s="9">
        <f>IF($K124="","",INDEX('سجل التحفيز'!$E$5:$E$2004,MATCH($K124,'سجل التحفيز'!$X$5:$X$2004,0)))</f>
        <v/>
      </c>
      <c r="R124" s="9">
        <f>IF($K124="","",INDEX('سجل التحفيز'!$F$5:$F$2004,MATCH($K124,'سجل التحفيز'!$X$5:$X$2004,0)))</f>
        <v/>
      </c>
      <c r="S124" s="35">
        <f>IF($K124="","",INDEX('سجل التحفيز'!$G$5:$G$2004,MATCH($K124,'سجل التحفيز'!$X$5:$X$2004,0)))</f>
        <v/>
      </c>
    </row>
    <row r="125">
      <c r="B125" s="34">
        <f>IFERROR(INDEX(الموظفات!$B$5:$B$304,MATCH(88,الموظفات!$R$5:$R$304,0)),"")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التحفيز'!$X$5:$X$2004,"&gt;0",'سجل التحفيز'!$B$5:$B$2004,B125))</f>
        <v/>
      </c>
      <c r="E125" s="35">
        <f>IF(B125="","",COUNTIFS('سجل التحفيز'!$X$5:$X$2004,"&gt;0",'سجل التحفيز'!$B$5:$B$2004,B125,'سجل التحفيز'!$D$5:$D$2004,"ذهبي"))</f>
        <v/>
      </c>
      <c r="F125" s="35">
        <f>IF(B125="","",SUMIFS('سجل التحفيز'!$G$5:$G$2004,'سجل التحفيز'!$X$5:$X$2004,"&gt;0",'سجل التحفيز'!$B$5:$B$2004,B125))</f>
        <v/>
      </c>
      <c r="G125" s="35">
        <f>IF(B125="","",COUNTIF($D$38:$D$187,"&gt;"&amp;D125)+1)</f>
        <v/>
      </c>
      <c r="H125" s="35">
        <f>IF(B125="","",INDEX(الموظفات!$L$5:$L$304,MATCH(B125,الموظفات!$B$5:$B$304,0)))</f>
        <v/>
      </c>
      <c r="K125" s="36">
        <f>IF(88&gt;$B$10,"",88)</f>
        <v/>
      </c>
      <c r="L125" s="37">
        <f>IF($K125="","",INDEX('سجل التحفيز'!$A$5:$A$2004,MATCH($K125,'سجل التحفيز'!$X$5:$X$2004,0)))</f>
        <v/>
      </c>
      <c r="M125" s="9">
        <f>IF($K125="","",INDEX('سجل التحفيز'!$B$5:$B$2004,MATCH($K125,'سجل التحفيز'!$X$5:$X$2004,0)))</f>
        <v/>
      </c>
      <c r="N125" s="9">
        <f>IF($K125="","",INDEX('سجل التحفيز'!$M$5:$M$2004,MATCH($K125,'سجل التحفيز'!$X$5:$X$2004,0)))</f>
        <v/>
      </c>
      <c r="O125" s="9">
        <f>IF($K125="","",INDEX('سجل التحفيز'!$C$5:$C$2004,MATCH($K125,'سجل التحفيز'!$X$5:$X$2004,0)))</f>
        <v/>
      </c>
      <c r="P125" s="36">
        <f>IF($K125="","",INDEX('سجل التحفيز'!$D$5:$D$2004,MATCH($K125,'سجل التحفيز'!$X$5:$X$2004,0)))</f>
        <v/>
      </c>
      <c r="Q125" s="9">
        <f>IF($K125="","",INDEX('سجل التحفيز'!$E$5:$E$2004,MATCH($K125,'سجل التحفيز'!$X$5:$X$2004,0)))</f>
        <v/>
      </c>
      <c r="R125" s="9">
        <f>IF($K125="","",INDEX('سجل التحفيز'!$F$5:$F$2004,MATCH($K125,'سجل التحفيز'!$X$5:$X$2004,0)))</f>
        <v/>
      </c>
      <c r="S125" s="35">
        <f>IF($K125="","",INDEX('سجل التحفيز'!$G$5:$G$2004,MATCH($K125,'سجل التحفيز'!$X$5:$X$2004,0)))</f>
        <v/>
      </c>
    </row>
    <row r="126">
      <c r="B126" s="34">
        <f>IFERROR(INDEX(الموظفات!$B$5:$B$304,MATCH(89,الموظفات!$R$5:$R$304,0)),"")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التحفيز'!$X$5:$X$2004,"&gt;0",'سجل التحفيز'!$B$5:$B$2004,B126))</f>
        <v/>
      </c>
      <c r="E126" s="35">
        <f>IF(B126="","",COUNTIFS('سجل التحفيز'!$X$5:$X$2004,"&gt;0",'سجل التحفيز'!$B$5:$B$2004,B126,'سجل التحفيز'!$D$5:$D$2004,"ذهبي"))</f>
        <v/>
      </c>
      <c r="F126" s="35">
        <f>IF(B126="","",SUMIFS('سجل التحفيز'!$G$5:$G$2004,'سجل التحفيز'!$X$5:$X$2004,"&gt;0",'سجل التحفيز'!$B$5:$B$2004,B126))</f>
        <v/>
      </c>
      <c r="G126" s="35">
        <f>IF(B126="","",COUNTIF($D$38:$D$187,"&gt;"&amp;D126)+1)</f>
        <v/>
      </c>
      <c r="H126" s="35">
        <f>IF(B126="","",INDEX(الموظفات!$L$5:$L$304,MATCH(B126,الموظفات!$B$5:$B$304,0)))</f>
        <v/>
      </c>
      <c r="K126" s="36">
        <f>IF(89&gt;$B$10,"",89)</f>
        <v/>
      </c>
      <c r="L126" s="37">
        <f>IF($K126="","",INDEX('سجل التحفيز'!$A$5:$A$2004,MATCH($K126,'سجل التحفيز'!$X$5:$X$2004,0)))</f>
        <v/>
      </c>
      <c r="M126" s="9">
        <f>IF($K126="","",INDEX('سجل التحفيز'!$B$5:$B$2004,MATCH($K126,'سجل التحفيز'!$X$5:$X$2004,0)))</f>
        <v/>
      </c>
      <c r="N126" s="9">
        <f>IF($K126="","",INDEX('سجل التحفيز'!$M$5:$M$2004,MATCH($K126,'سجل التحفيز'!$X$5:$X$2004,0)))</f>
        <v/>
      </c>
      <c r="O126" s="9">
        <f>IF($K126="","",INDEX('سجل التحفيز'!$C$5:$C$2004,MATCH($K126,'سجل التحفيز'!$X$5:$X$2004,0)))</f>
        <v/>
      </c>
      <c r="P126" s="36">
        <f>IF($K126="","",INDEX('سجل التحفيز'!$D$5:$D$2004,MATCH($K126,'سجل التحفيز'!$X$5:$X$2004,0)))</f>
        <v/>
      </c>
      <c r="Q126" s="9">
        <f>IF($K126="","",INDEX('سجل التحفيز'!$E$5:$E$2004,MATCH($K126,'سجل التحفيز'!$X$5:$X$2004,0)))</f>
        <v/>
      </c>
      <c r="R126" s="9">
        <f>IF($K126="","",INDEX('سجل التحفيز'!$F$5:$F$2004,MATCH($K126,'سجل التحفيز'!$X$5:$X$2004,0)))</f>
        <v/>
      </c>
      <c r="S126" s="35">
        <f>IF($K126="","",INDEX('سجل التحفيز'!$G$5:$G$2004,MATCH($K126,'سجل التحفيز'!$X$5:$X$2004,0)))</f>
        <v/>
      </c>
    </row>
    <row r="127">
      <c r="B127" s="34">
        <f>IFERROR(INDEX(الموظفات!$B$5:$B$304,MATCH(90,الموظفات!$R$5:$R$304,0)),"")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التحفيز'!$X$5:$X$2004,"&gt;0",'سجل التحفيز'!$B$5:$B$2004,B127))</f>
        <v/>
      </c>
      <c r="E127" s="35">
        <f>IF(B127="","",COUNTIFS('سجل التحفيز'!$X$5:$X$2004,"&gt;0",'سجل التحفيز'!$B$5:$B$2004,B127,'سجل التحفيز'!$D$5:$D$2004,"ذهبي"))</f>
        <v/>
      </c>
      <c r="F127" s="35">
        <f>IF(B127="","",SUMIFS('سجل التحفيز'!$G$5:$G$2004,'سجل التحفيز'!$X$5:$X$2004,"&gt;0",'سجل التحفيز'!$B$5:$B$2004,B127))</f>
        <v/>
      </c>
      <c r="G127" s="35">
        <f>IF(B127="","",COUNTIF($D$38:$D$187,"&gt;"&amp;D127)+1)</f>
        <v/>
      </c>
      <c r="H127" s="35">
        <f>IF(B127="","",INDEX(الموظفات!$L$5:$L$304,MATCH(B127,الموظفات!$B$5:$B$304,0)))</f>
        <v/>
      </c>
      <c r="K127" s="36">
        <f>IF(90&gt;$B$10,"",90)</f>
        <v/>
      </c>
      <c r="L127" s="37">
        <f>IF($K127="","",INDEX('سجل التحفيز'!$A$5:$A$2004,MATCH($K127,'سجل التحفيز'!$X$5:$X$2004,0)))</f>
        <v/>
      </c>
      <c r="M127" s="9">
        <f>IF($K127="","",INDEX('سجل التحفيز'!$B$5:$B$2004,MATCH($K127,'سجل التحفيز'!$X$5:$X$2004,0)))</f>
        <v/>
      </c>
      <c r="N127" s="9">
        <f>IF($K127="","",INDEX('سجل التحفيز'!$M$5:$M$2004,MATCH($K127,'سجل التحفيز'!$X$5:$X$2004,0)))</f>
        <v/>
      </c>
      <c r="O127" s="9">
        <f>IF($K127="","",INDEX('سجل التحفيز'!$C$5:$C$2004,MATCH($K127,'سجل التحفيز'!$X$5:$X$2004,0)))</f>
        <v/>
      </c>
      <c r="P127" s="36">
        <f>IF($K127="","",INDEX('سجل التحفيز'!$D$5:$D$2004,MATCH($K127,'سجل التحفيز'!$X$5:$X$2004,0)))</f>
        <v/>
      </c>
      <c r="Q127" s="9">
        <f>IF($K127="","",INDEX('سجل التحفيز'!$E$5:$E$2004,MATCH($K127,'سجل التحفيز'!$X$5:$X$2004,0)))</f>
        <v/>
      </c>
      <c r="R127" s="9">
        <f>IF($K127="","",INDEX('سجل التحفيز'!$F$5:$F$2004,MATCH($K127,'سجل التحفيز'!$X$5:$X$2004,0)))</f>
        <v/>
      </c>
      <c r="S127" s="35">
        <f>IF($K127="","",INDEX('سجل التحفيز'!$G$5:$G$2004,MATCH($K127,'سجل التحفيز'!$X$5:$X$2004,0)))</f>
        <v/>
      </c>
    </row>
    <row r="128">
      <c r="B128" s="34">
        <f>IFERROR(INDEX(الموظفات!$B$5:$B$304,MATCH(91,الموظفات!$R$5:$R$304,0)),"")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التحفيز'!$X$5:$X$2004,"&gt;0",'سجل التحفيز'!$B$5:$B$2004,B128))</f>
        <v/>
      </c>
      <c r="E128" s="35">
        <f>IF(B128="","",COUNTIFS('سجل التحفيز'!$X$5:$X$2004,"&gt;0",'سجل التحفيز'!$B$5:$B$2004,B128,'سجل التحفيز'!$D$5:$D$2004,"ذهبي"))</f>
        <v/>
      </c>
      <c r="F128" s="35">
        <f>IF(B128="","",SUMIFS('سجل التحفيز'!$G$5:$G$2004,'سجل التحفيز'!$X$5:$X$2004,"&gt;0",'سجل التحفيز'!$B$5:$B$2004,B128))</f>
        <v/>
      </c>
      <c r="G128" s="35">
        <f>IF(B128="","",COUNTIF($D$38:$D$187,"&gt;"&amp;D128)+1)</f>
        <v/>
      </c>
      <c r="H128" s="35">
        <f>IF(B128="","",INDEX(الموظفات!$L$5:$L$304,MATCH(B128,الموظفات!$B$5:$B$304,0)))</f>
        <v/>
      </c>
      <c r="K128" s="36">
        <f>IF(91&gt;$B$10,"",91)</f>
        <v/>
      </c>
      <c r="L128" s="37">
        <f>IF($K128="","",INDEX('سجل التحفيز'!$A$5:$A$2004,MATCH($K128,'سجل التحفيز'!$X$5:$X$2004,0)))</f>
        <v/>
      </c>
      <c r="M128" s="9">
        <f>IF($K128="","",INDEX('سجل التحفيز'!$B$5:$B$2004,MATCH($K128,'سجل التحفيز'!$X$5:$X$2004,0)))</f>
        <v/>
      </c>
      <c r="N128" s="9">
        <f>IF($K128="","",INDEX('سجل التحفيز'!$M$5:$M$2004,MATCH($K128,'سجل التحفيز'!$X$5:$X$2004,0)))</f>
        <v/>
      </c>
      <c r="O128" s="9">
        <f>IF($K128="","",INDEX('سجل التحفيز'!$C$5:$C$2004,MATCH($K128,'سجل التحفيز'!$X$5:$X$2004,0)))</f>
        <v/>
      </c>
      <c r="P128" s="36">
        <f>IF($K128="","",INDEX('سجل التحفيز'!$D$5:$D$2004,MATCH($K128,'سجل التحفيز'!$X$5:$X$2004,0)))</f>
        <v/>
      </c>
      <c r="Q128" s="9">
        <f>IF($K128="","",INDEX('سجل التحفيز'!$E$5:$E$2004,MATCH($K128,'سجل التحفيز'!$X$5:$X$2004,0)))</f>
        <v/>
      </c>
      <c r="R128" s="9">
        <f>IF($K128="","",INDEX('سجل التحفيز'!$F$5:$F$2004,MATCH($K128,'سجل التحفيز'!$X$5:$X$2004,0)))</f>
        <v/>
      </c>
      <c r="S128" s="35">
        <f>IF($K128="","",INDEX('سجل التحفيز'!$G$5:$G$2004,MATCH($K128,'سجل التحفيز'!$X$5:$X$2004,0)))</f>
        <v/>
      </c>
    </row>
    <row r="129">
      <c r="B129" s="34">
        <f>IFERROR(INDEX(الموظفات!$B$5:$B$304,MATCH(92,الموظفات!$R$5:$R$304,0)),"")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التحفيز'!$X$5:$X$2004,"&gt;0",'سجل التحفيز'!$B$5:$B$2004,B129))</f>
        <v/>
      </c>
      <c r="E129" s="35">
        <f>IF(B129="","",COUNTIFS('سجل التحفيز'!$X$5:$X$2004,"&gt;0",'سجل التحفيز'!$B$5:$B$2004,B129,'سجل التحفيز'!$D$5:$D$2004,"ذهبي"))</f>
        <v/>
      </c>
      <c r="F129" s="35">
        <f>IF(B129="","",SUMIFS('سجل التحفيز'!$G$5:$G$2004,'سجل التحفيز'!$X$5:$X$2004,"&gt;0",'سجل التحفيز'!$B$5:$B$2004,B129))</f>
        <v/>
      </c>
      <c r="G129" s="35">
        <f>IF(B129="","",COUNTIF($D$38:$D$187,"&gt;"&amp;D129)+1)</f>
        <v/>
      </c>
      <c r="H129" s="35">
        <f>IF(B129="","",INDEX(الموظفات!$L$5:$L$304,MATCH(B129,الموظفات!$B$5:$B$304,0)))</f>
        <v/>
      </c>
      <c r="K129" s="36">
        <f>IF(92&gt;$B$10,"",92)</f>
        <v/>
      </c>
      <c r="L129" s="37">
        <f>IF($K129="","",INDEX('سجل التحفيز'!$A$5:$A$2004,MATCH($K129,'سجل التحفيز'!$X$5:$X$2004,0)))</f>
        <v/>
      </c>
      <c r="M129" s="9">
        <f>IF($K129="","",INDEX('سجل التحفيز'!$B$5:$B$2004,MATCH($K129,'سجل التحفيز'!$X$5:$X$2004,0)))</f>
        <v/>
      </c>
      <c r="N129" s="9">
        <f>IF($K129="","",INDEX('سجل التحفيز'!$M$5:$M$2004,MATCH($K129,'سجل التحفيز'!$X$5:$X$2004,0)))</f>
        <v/>
      </c>
      <c r="O129" s="9">
        <f>IF($K129="","",INDEX('سجل التحفيز'!$C$5:$C$2004,MATCH($K129,'سجل التحفيز'!$X$5:$X$2004,0)))</f>
        <v/>
      </c>
      <c r="P129" s="36">
        <f>IF($K129="","",INDEX('سجل التحفيز'!$D$5:$D$2004,MATCH($K129,'سجل التحفيز'!$X$5:$X$2004,0)))</f>
        <v/>
      </c>
      <c r="Q129" s="9">
        <f>IF($K129="","",INDEX('سجل التحفيز'!$E$5:$E$2004,MATCH($K129,'سجل التحفيز'!$X$5:$X$2004,0)))</f>
        <v/>
      </c>
      <c r="R129" s="9">
        <f>IF($K129="","",INDEX('سجل التحفيز'!$F$5:$F$2004,MATCH($K129,'سجل التحفيز'!$X$5:$X$2004,0)))</f>
        <v/>
      </c>
      <c r="S129" s="35">
        <f>IF($K129="","",INDEX('سجل التحفيز'!$G$5:$G$2004,MATCH($K129,'سجل التحفيز'!$X$5:$X$2004,0)))</f>
        <v/>
      </c>
    </row>
    <row r="130">
      <c r="B130" s="34">
        <f>IFERROR(INDEX(الموظفات!$B$5:$B$304,MATCH(93,الموظفات!$R$5:$R$304,0)),"")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التحفيز'!$X$5:$X$2004,"&gt;0",'سجل التحفيز'!$B$5:$B$2004,B130))</f>
        <v/>
      </c>
      <c r="E130" s="35">
        <f>IF(B130="","",COUNTIFS('سجل التحفيز'!$X$5:$X$2004,"&gt;0",'سجل التحفيز'!$B$5:$B$2004,B130,'سجل التحفيز'!$D$5:$D$2004,"ذهبي"))</f>
        <v/>
      </c>
      <c r="F130" s="35">
        <f>IF(B130="","",SUMIFS('سجل التحفيز'!$G$5:$G$2004,'سجل التحفيز'!$X$5:$X$2004,"&gt;0",'سجل التحفيز'!$B$5:$B$2004,B130))</f>
        <v/>
      </c>
      <c r="G130" s="35">
        <f>IF(B130="","",COUNTIF($D$38:$D$187,"&gt;"&amp;D130)+1)</f>
        <v/>
      </c>
      <c r="H130" s="35">
        <f>IF(B130="","",INDEX(الموظفات!$L$5:$L$304,MATCH(B130,الموظفات!$B$5:$B$304,0)))</f>
        <v/>
      </c>
      <c r="K130" s="36">
        <f>IF(93&gt;$B$10,"",93)</f>
        <v/>
      </c>
      <c r="L130" s="37">
        <f>IF($K130="","",INDEX('سجل التحفيز'!$A$5:$A$2004,MATCH($K130,'سجل التحفيز'!$X$5:$X$2004,0)))</f>
        <v/>
      </c>
      <c r="M130" s="9">
        <f>IF($K130="","",INDEX('سجل التحفيز'!$B$5:$B$2004,MATCH($K130,'سجل التحفيز'!$X$5:$X$2004,0)))</f>
        <v/>
      </c>
      <c r="N130" s="9">
        <f>IF($K130="","",INDEX('سجل التحفيز'!$M$5:$M$2004,MATCH($K130,'سجل التحفيز'!$X$5:$X$2004,0)))</f>
        <v/>
      </c>
      <c r="O130" s="9">
        <f>IF($K130="","",INDEX('سجل التحفيز'!$C$5:$C$2004,MATCH($K130,'سجل التحفيز'!$X$5:$X$2004,0)))</f>
        <v/>
      </c>
      <c r="P130" s="36">
        <f>IF($K130="","",INDEX('سجل التحفيز'!$D$5:$D$2004,MATCH($K130,'سجل التحفيز'!$X$5:$X$2004,0)))</f>
        <v/>
      </c>
      <c r="Q130" s="9">
        <f>IF($K130="","",INDEX('سجل التحفيز'!$E$5:$E$2004,MATCH($K130,'سجل التحفيز'!$X$5:$X$2004,0)))</f>
        <v/>
      </c>
      <c r="R130" s="9">
        <f>IF($K130="","",INDEX('سجل التحفيز'!$F$5:$F$2004,MATCH($K130,'سجل التحفيز'!$X$5:$X$2004,0)))</f>
        <v/>
      </c>
      <c r="S130" s="35">
        <f>IF($K130="","",INDEX('سجل التحفيز'!$G$5:$G$2004,MATCH($K130,'سجل التحفيز'!$X$5:$X$2004,0)))</f>
        <v/>
      </c>
    </row>
    <row r="131">
      <c r="B131" s="34">
        <f>IFERROR(INDEX(الموظفات!$B$5:$B$304,MATCH(94,الموظفات!$R$5:$R$304,0)),"")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التحفيز'!$X$5:$X$2004,"&gt;0",'سجل التحفيز'!$B$5:$B$2004,B131))</f>
        <v/>
      </c>
      <c r="E131" s="35">
        <f>IF(B131="","",COUNTIFS('سجل التحفيز'!$X$5:$X$2004,"&gt;0",'سجل التحفيز'!$B$5:$B$2004,B131,'سجل التحفيز'!$D$5:$D$2004,"ذهبي"))</f>
        <v/>
      </c>
      <c r="F131" s="35">
        <f>IF(B131="","",SUMIFS('سجل التحفيز'!$G$5:$G$2004,'سجل التحفيز'!$X$5:$X$2004,"&gt;0",'سجل التحفيز'!$B$5:$B$2004,B131))</f>
        <v/>
      </c>
      <c r="G131" s="35">
        <f>IF(B131="","",COUNTIF($D$38:$D$187,"&gt;"&amp;D131)+1)</f>
        <v/>
      </c>
      <c r="H131" s="35">
        <f>IF(B131="","",INDEX(الموظفات!$L$5:$L$304,MATCH(B131,الموظفات!$B$5:$B$304,0)))</f>
        <v/>
      </c>
      <c r="K131" s="36">
        <f>IF(94&gt;$B$10,"",94)</f>
        <v/>
      </c>
      <c r="L131" s="37">
        <f>IF($K131="","",INDEX('سجل التحفيز'!$A$5:$A$2004,MATCH($K131,'سجل التحفيز'!$X$5:$X$2004,0)))</f>
        <v/>
      </c>
      <c r="M131" s="9">
        <f>IF($K131="","",INDEX('سجل التحفيز'!$B$5:$B$2004,MATCH($K131,'سجل التحفيز'!$X$5:$X$2004,0)))</f>
        <v/>
      </c>
      <c r="N131" s="9">
        <f>IF($K131="","",INDEX('سجل التحفيز'!$M$5:$M$2004,MATCH($K131,'سجل التحفيز'!$X$5:$X$2004,0)))</f>
        <v/>
      </c>
      <c r="O131" s="9">
        <f>IF($K131="","",INDEX('سجل التحفيز'!$C$5:$C$2004,MATCH($K131,'سجل التحفيز'!$X$5:$X$2004,0)))</f>
        <v/>
      </c>
      <c r="P131" s="36">
        <f>IF($K131="","",INDEX('سجل التحفيز'!$D$5:$D$2004,MATCH($K131,'سجل التحفيز'!$X$5:$X$2004,0)))</f>
        <v/>
      </c>
      <c r="Q131" s="9">
        <f>IF($K131="","",INDEX('سجل التحفيز'!$E$5:$E$2004,MATCH($K131,'سجل التحفيز'!$X$5:$X$2004,0)))</f>
        <v/>
      </c>
      <c r="R131" s="9">
        <f>IF($K131="","",INDEX('سجل التحفيز'!$F$5:$F$2004,MATCH($K131,'سجل التحفيز'!$X$5:$X$2004,0)))</f>
        <v/>
      </c>
      <c r="S131" s="35">
        <f>IF($K131="","",INDEX('سجل التحفيز'!$G$5:$G$2004,MATCH($K131,'سجل التحفيز'!$X$5:$X$2004,0)))</f>
        <v/>
      </c>
    </row>
    <row r="132">
      <c r="B132" s="34">
        <f>IFERROR(INDEX(الموظفات!$B$5:$B$304,MATCH(95,الموظفات!$R$5:$R$304,0)),"")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التحفيز'!$X$5:$X$2004,"&gt;0",'سجل التحفيز'!$B$5:$B$2004,B132))</f>
        <v/>
      </c>
      <c r="E132" s="35">
        <f>IF(B132="","",COUNTIFS('سجل التحفيز'!$X$5:$X$2004,"&gt;0",'سجل التحفيز'!$B$5:$B$2004,B132,'سجل التحفيز'!$D$5:$D$2004,"ذهبي"))</f>
        <v/>
      </c>
      <c r="F132" s="35">
        <f>IF(B132="","",SUMIFS('سجل التحفيز'!$G$5:$G$2004,'سجل التحفيز'!$X$5:$X$2004,"&gt;0",'سجل التحفيز'!$B$5:$B$2004,B132))</f>
        <v/>
      </c>
      <c r="G132" s="35">
        <f>IF(B132="","",COUNTIF($D$38:$D$187,"&gt;"&amp;D132)+1)</f>
        <v/>
      </c>
      <c r="H132" s="35">
        <f>IF(B132="","",INDEX(الموظفات!$L$5:$L$304,MATCH(B132,الموظفات!$B$5:$B$304,0)))</f>
        <v/>
      </c>
      <c r="K132" s="36">
        <f>IF(95&gt;$B$10,"",95)</f>
        <v/>
      </c>
      <c r="L132" s="37">
        <f>IF($K132="","",INDEX('سجل التحفيز'!$A$5:$A$2004,MATCH($K132,'سجل التحفيز'!$X$5:$X$2004,0)))</f>
        <v/>
      </c>
      <c r="M132" s="9">
        <f>IF($K132="","",INDEX('سجل التحفيز'!$B$5:$B$2004,MATCH($K132,'سجل التحفيز'!$X$5:$X$2004,0)))</f>
        <v/>
      </c>
      <c r="N132" s="9">
        <f>IF($K132="","",INDEX('سجل التحفيز'!$M$5:$M$2004,MATCH($K132,'سجل التحفيز'!$X$5:$X$2004,0)))</f>
        <v/>
      </c>
      <c r="O132" s="9">
        <f>IF($K132="","",INDEX('سجل التحفيز'!$C$5:$C$2004,MATCH($K132,'سجل التحفيز'!$X$5:$X$2004,0)))</f>
        <v/>
      </c>
      <c r="P132" s="36">
        <f>IF($K132="","",INDEX('سجل التحفيز'!$D$5:$D$2004,MATCH($K132,'سجل التحفيز'!$X$5:$X$2004,0)))</f>
        <v/>
      </c>
      <c r="Q132" s="9">
        <f>IF($K132="","",INDEX('سجل التحفيز'!$E$5:$E$2004,MATCH($K132,'سجل التحفيز'!$X$5:$X$2004,0)))</f>
        <v/>
      </c>
      <c r="R132" s="9">
        <f>IF($K132="","",INDEX('سجل التحفيز'!$F$5:$F$2004,MATCH($K132,'سجل التحفيز'!$X$5:$X$2004,0)))</f>
        <v/>
      </c>
      <c r="S132" s="35">
        <f>IF($K132="","",INDEX('سجل التحفيز'!$G$5:$G$2004,MATCH($K132,'سجل التحفيز'!$X$5:$X$2004,0)))</f>
        <v/>
      </c>
    </row>
    <row r="133">
      <c r="B133" s="34">
        <f>IFERROR(INDEX(الموظفات!$B$5:$B$304,MATCH(96,الموظفات!$R$5:$R$304,0)),"")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التحفيز'!$X$5:$X$2004,"&gt;0",'سجل التحفيز'!$B$5:$B$2004,B133))</f>
        <v/>
      </c>
      <c r="E133" s="35">
        <f>IF(B133="","",COUNTIFS('سجل التحفيز'!$X$5:$X$2004,"&gt;0",'سجل التحفيز'!$B$5:$B$2004,B133,'سجل التحفيز'!$D$5:$D$2004,"ذهبي"))</f>
        <v/>
      </c>
      <c r="F133" s="35">
        <f>IF(B133="","",SUMIFS('سجل التحفيز'!$G$5:$G$2004,'سجل التحفيز'!$X$5:$X$2004,"&gt;0",'سجل التحفيز'!$B$5:$B$2004,B133))</f>
        <v/>
      </c>
      <c r="G133" s="35">
        <f>IF(B133="","",COUNTIF($D$38:$D$187,"&gt;"&amp;D133)+1)</f>
        <v/>
      </c>
      <c r="H133" s="35">
        <f>IF(B133="","",INDEX(الموظفات!$L$5:$L$304,MATCH(B133,الموظفات!$B$5:$B$304,0)))</f>
        <v/>
      </c>
      <c r="K133" s="36">
        <f>IF(96&gt;$B$10,"",96)</f>
        <v/>
      </c>
      <c r="L133" s="37">
        <f>IF($K133="","",INDEX('سجل التحفيز'!$A$5:$A$2004,MATCH($K133,'سجل التحفيز'!$X$5:$X$2004,0)))</f>
        <v/>
      </c>
      <c r="M133" s="9">
        <f>IF($K133="","",INDEX('سجل التحفيز'!$B$5:$B$2004,MATCH($K133,'سجل التحفيز'!$X$5:$X$2004,0)))</f>
        <v/>
      </c>
      <c r="N133" s="9">
        <f>IF($K133="","",INDEX('سجل التحفيز'!$M$5:$M$2004,MATCH($K133,'سجل التحفيز'!$X$5:$X$2004,0)))</f>
        <v/>
      </c>
      <c r="O133" s="9">
        <f>IF($K133="","",INDEX('سجل التحفيز'!$C$5:$C$2004,MATCH($K133,'سجل التحفيز'!$X$5:$X$2004,0)))</f>
        <v/>
      </c>
      <c r="P133" s="36">
        <f>IF($K133="","",INDEX('سجل التحفيز'!$D$5:$D$2004,MATCH($K133,'سجل التحفيز'!$X$5:$X$2004,0)))</f>
        <v/>
      </c>
      <c r="Q133" s="9">
        <f>IF($K133="","",INDEX('سجل التحفيز'!$E$5:$E$2004,MATCH($K133,'سجل التحفيز'!$X$5:$X$2004,0)))</f>
        <v/>
      </c>
      <c r="R133" s="9">
        <f>IF($K133="","",INDEX('سجل التحفيز'!$F$5:$F$2004,MATCH($K133,'سجل التحفيز'!$X$5:$X$2004,0)))</f>
        <v/>
      </c>
      <c r="S133" s="35">
        <f>IF($K133="","",INDEX('سجل التحفيز'!$G$5:$G$2004,MATCH($K133,'سجل التحفيز'!$X$5:$X$2004,0)))</f>
        <v/>
      </c>
    </row>
    <row r="134">
      <c r="B134" s="34">
        <f>IFERROR(INDEX(الموظفات!$B$5:$B$304,MATCH(97,الموظفات!$R$5:$R$304,0)),"")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التحفيز'!$X$5:$X$2004,"&gt;0",'سجل التحفيز'!$B$5:$B$2004,B134))</f>
        <v/>
      </c>
      <c r="E134" s="35">
        <f>IF(B134="","",COUNTIFS('سجل التحفيز'!$X$5:$X$2004,"&gt;0",'سجل التحفيز'!$B$5:$B$2004,B134,'سجل التحفيز'!$D$5:$D$2004,"ذهبي"))</f>
        <v/>
      </c>
      <c r="F134" s="35">
        <f>IF(B134="","",SUMIFS('سجل التحفيز'!$G$5:$G$2004,'سجل التحفيز'!$X$5:$X$2004,"&gt;0",'سجل التحفيز'!$B$5:$B$2004,B134))</f>
        <v/>
      </c>
      <c r="G134" s="35">
        <f>IF(B134="","",COUNTIF($D$38:$D$187,"&gt;"&amp;D134)+1)</f>
        <v/>
      </c>
      <c r="H134" s="35">
        <f>IF(B134="","",INDEX(الموظفات!$L$5:$L$304,MATCH(B134,الموظفات!$B$5:$B$304,0)))</f>
        <v/>
      </c>
      <c r="K134" s="36">
        <f>IF(97&gt;$B$10,"",97)</f>
        <v/>
      </c>
      <c r="L134" s="37">
        <f>IF($K134="","",INDEX('سجل التحفيز'!$A$5:$A$2004,MATCH($K134,'سجل التحفيز'!$X$5:$X$2004,0)))</f>
        <v/>
      </c>
      <c r="M134" s="9">
        <f>IF($K134="","",INDEX('سجل التحفيز'!$B$5:$B$2004,MATCH($K134,'سجل التحفيز'!$X$5:$X$2004,0)))</f>
        <v/>
      </c>
      <c r="N134" s="9">
        <f>IF($K134="","",INDEX('سجل التحفيز'!$M$5:$M$2004,MATCH($K134,'سجل التحفيز'!$X$5:$X$2004,0)))</f>
        <v/>
      </c>
      <c r="O134" s="9">
        <f>IF($K134="","",INDEX('سجل التحفيز'!$C$5:$C$2004,MATCH($K134,'سجل التحفيز'!$X$5:$X$2004,0)))</f>
        <v/>
      </c>
      <c r="P134" s="36">
        <f>IF($K134="","",INDEX('سجل التحفيز'!$D$5:$D$2004,MATCH($K134,'سجل التحفيز'!$X$5:$X$2004,0)))</f>
        <v/>
      </c>
      <c r="Q134" s="9">
        <f>IF($K134="","",INDEX('سجل التحفيز'!$E$5:$E$2004,MATCH($K134,'سجل التحفيز'!$X$5:$X$2004,0)))</f>
        <v/>
      </c>
      <c r="R134" s="9">
        <f>IF($K134="","",INDEX('سجل التحفيز'!$F$5:$F$2004,MATCH($K134,'سجل التحفيز'!$X$5:$X$2004,0)))</f>
        <v/>
      </c>
      <c r="S134" s="35">
        <f>IF($K134="","",INDEX('سجل التحفيز'!$G$5:$G$2004,MATCH($K134,'سجل التحفيز'!$X$5:$X$2004,0)))</f>
        <v/>
      </c>
    </row>
    <row r="135">
      <c r="B135" s="34">
        <f>IFERROR(INDEX(الموظفات!$B$5:$B$304,MATCH(98,الموظفات!$R$5:$R$304,0)),"")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التحفيز'!$X$5:$X$2004,"&gt;0",'سجل التحفيز'!$B$5:$B$2004,B135))</f>
        <v/>
      </c>
      <c r="E135" s="35">
        <f>IF(B135="","",COUNTIFS('سجل التحفيز'!$X$5:$X$2004,"&gt;0",'سجل التحفيز'!$B$5:$B$2004,B135,'سجل التحفيز'!$D$5:$D$2004,"ذهبي"))</f>
        <v/>
      </c>
      <c r="F135" s="35">
        <f>IF(B135="","",SUMIFS('سجل التحفيز'!$G$5:$G$2004,'سجل التحفيز'!$X$5:$X$2004,"&gt;0",'سجل التحفيز'!$B$5:$B$2004,B135))</f>
        <v/>
      </c>
      <c r="G135" s="35">
        <f>IF(B135="","",COUNTIF($D$38:$D$187,"&gt;"&amp;D135)+1)</f>
        <v/>
      </c>
      <c r="H135" s="35">
        <f>IF(B135="","",INDEX(الموظفات!$L$5:$L$304,MATCH(B135,الموظفات!$B$5:$B$304,0)))</f>
        <v/>
      </c>
      <c r="K135" s="36">
        <f>IF(98&gt;$B$10,"",98)</f>
        <v/>
      </c>
      <c r="L135" s="37">
        <f>IF($K135="","",INDEX('سجل التحفيز'!$A$5:$A$2004,MATCH($K135,'سجل التحفيز'!$X$5:$X$2004,0)))</f>
        <v/>
      </c>
      <c r="M135" s="9">
        <f>IF($K135="","",INDEX('سجل التحفيز'!$B$5:$B$2004,MATCH($K135,'سجل التحفيز'!$X$5:$X$2004,0)))</f>
        <v/>
      </c>
      <c r="N135" s="9">
        <f>IF($K135="","",INDEX('سجل التحفيز'!$M$5:$M$2004,MATCH($K135,'سجل التحفيز'!$X$5:$X$2004,0)))</f>
        <v/>
      </c>
      <c r="O135" s="9">
        <f>IF($K135="","",INDEX('سجل التحفيز'!$C$5:$C$2004,MATCH($K135,'سجل التحفيز'!$X$5:$X$2004,0)))</f>
        <v/>
      </c>
      <c r="P135" s="36">
        <f>IF($K135="","",INDEX('سجل التحفيز'!$D$5:$D$2004,MATCH($K135,'سجل التحفيز'!$X$5:$X$2004,0)))</f>
        <v/>
      </c>
      <c r="Q135" s="9">
        <f>IF($K135="","",INDEX('سجل التحفيز'!$E$5:$E$2004,MATCH($K135,'سجل التحفيز'!$X$5:$X$2004,0)))</f>
        <v/>
      </c>
      <c r="R135" s="9">
        <f>IF($K135="","",INDEX('سجل التحفيز'!$F$5:$F$2004,MATCH($K135,'سجل التحفيز'!$X$5:$X$2004,0)))</f>
        <v/>
      </c>
      <c r="S135" s="35">
        <f>IF($K135="","",INDEX('سجل التحفيز'!$G$5:$G$2004,MATCH($K135,'سجل التحفيز'!$X$5:$X$2004,0)))</f>
        <v/>
      </c>
    </row>
    <row r="136">
      <c r="B136" s="34">
        <f>IFERROR(INDEX(الموظفات!$B$5:$B$304,MATCH(99,الموظفات!$R$5:$R$304,0)),"")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التحفيز'!$X$5:$X$2004,"&gt;0",'سجل التحفيز'!$B$5:$B$2004,B136))</f>
        <v/>
      </c>
      <c r="E136" s="35">
        <f>IF(B136="","",COUNTIFS('سجل التحفيز'!$X$5:$X$2004,"&gt;0",'سجل التحفيز'!$B$5:$B$2004,B136,'سجل التحفيز'!$D$5:$D$2004,"ذهبي"))</f>
        <v/>
      </c>
      <c r="F136" s="35">
        <f>IF(B136="","",SUMIFS('سجل التحفيز'!$G$5:$G$2004,'سجل التحفيز'!$X$5:$X$2004,"&gt;0",'سجل التحفيز'!$B$5:$B$2004,B136))</f>
        <v/>
      </c>
      <c r="G136" s="35">
        <f>IF(B136="","",COUNTIF($D$38:$D$187,"&gt;"&amp;D136)+1)</f>
        <v/>
      </c>
      <c r="H136" s="35">
        <f>IF(B136="","",INDEX(الموظفات!$L$5:$L$304,MATCH(B136,الموظفات!$B$5:$B$304,0)))</f>
        <v/>
      </c>
      <c r="K136" s="36">
        <f>IF(99&gt;$B$10,"",99)</f>
        <v/>
      </c>
      <c r="L136" s="37">
        <f>IF($K136="","",INDEX('سجل التحفيز'!$A$5:$A$2004,MATCH($K136,'سجل التحفيز'!$X$5:$X$2004,0)))</f>
        <v/>
      </c>
      <c r="M136" s="9">
        <f>IF($K136="","",INDEX('سجل التحفيز'!$B$5:$B$2004,MATCH($K136,'سجل التحفيز'!$X$5:$X$2004,0)))</f>
        <v/>
      </c>
      <c r="N136" s="9">
        <f>IF($K136="","",INDEX('سجل التحفيز'!$M$5:$M$2004,MATCH($K136,'سجل التحفيز'!$X$5:$X$2004,0)))</f>
        <v/>
      </c>
      <c r="O136" s="9">
        <f>IF($K136="","",INDEX('سجل التحفيز'!$C$5:$C$2004,MATCH($K136,'سجل التحفيز'!$X$5:$X$2004,0)))</f>
        <v/>
      </c>
      <c r="P136" s="36">
        <f>IF($K136="","",INDEX('سجل التحفيز'!$D$5:$D$2004,MATCH($K136,'سجل التحفيز'!$X$5:$X$2004,0)))</f>
        <v/>
      </c>
      <c r="Q136" s="9">
        <f>IF($K136="","",INDEX('سجل التحفيز'!$E$5:$E$2004,MATCH($K136,'سجل التحفيز'!$X$5:$X$2004,0)))</f>
        <v/>
      </c>
      <c r="R136" s="9">
        <f>IF($K136="","",INDEX('سجل التحفيز'!$F$5:$F$2004,MATCH($K136,'سجل التحفيز'!$X$5:$X$2004,0)))</f>
        <v/>
      </c>
      <c r="S136" s="35">
        <f>IF($K136="","",INDEX('سجل التحفيز'!$G$5:$G$2004,MATCH($K136,'سجل التحفيز'!$X$5:$X$2004,0)))</f>
        <v/>
      </c>
    </row>
    <row r="137">
      <c r="B137" s="34">
        <f>IFERROR(INDEX(الموظفات!$B$5:$B$304,MATCH(100,الموظفات!$R$5:$R$304,0)),"")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التحفيز'!$X$5:$X$2004,"&gt;0",'سجل التحفيز'!$B$5:$B$2004,B137))</f>
        <v/>
      </c>
      <c r="E137" s="35">
        <f>IF(B137="","",COUNTIFS('سجل التحفيز'!$X$5:$X$2004,"&gt;0",'سجل التحفيز'!$B$5:$B$2004,B137,'سجل التحفيز'!$D$5:$D$2004,"ذهبي"))</f>
        <v/>
      </c>
      <c r="F137" s="35">
        <f>IF(B137="","",SUMIFS('سجل التحفيز'!$G$5:$G$2004,'سجل التحفيز'!$X$5:$X$2004,"&gt;0",'سجل التحفيز'!$B$5:$B$2004,B137))</f>
        <v/>
      </c>
      <c r="G137" s="35">
        <f>IF(B137="","",COUNTIF($D$38:$D$187,"&gt;"&amp;D137)+1)</f>
        <v/>
      </c>
      <c r="H137" s="35">
        <f>IF(B137="","",INDEX(الموظفات!$L$5:$L$304,MATCH(B137,الموظفات!$B$5:$B$304,0)))</f>
        <v/>
      </c>
      <c r="K137" s="36">
        <f>IF(100&gt;$B$10,"",100)</f>
        <v/>
      </c>
      <c r="L137" s="37">
        <f>IF($K137="","",INDEX('سجل التحفيز'!$A$5:$A$2004,MATCH($K137,'سجل التحفيز'!$X$5:$X$2004,0)))</f>
        <v/>
      </c>
      <c r="M137" s="9">
        <f>IF($K137="","",INDEX('سجل التحفيز'!$B$5:$B$2004,MATCH($K137,'سجل التحفيز'!$X$5:$X$2004,0)))</f>
        <v/>
      </c>
      <c r="N137" s="9">
        <f>IF($K137="","",INDEX('سجل التحفيز'!$M$5:$M$2004,MATCH($K137,'سجل التحفيز'!$X$5:$X$2004,0)))</f>
        <v/>
      </c>
      <c r="O137" s="9">
        <f>IF($K137="","",INDEX('سجل التحفيز'!$C$5:$C$2004,MATCH($K137,'سجل التحفيز'!$X$5:$X$2004,0)))</f>
        <v/>
      </c>
      <c r="P137" s="36">
        <f>IF($K137="","",INDEX('سجل التحفيز'!$D$5:$D$2004,MATCH($K137,'سجل التحفيز'!$X$5:$X$2004,0)))</f>
        <v/>
      </c>
      <c r="Q137" s="9">
        <f>IF($K137="","",INDEX('سجل التحفيز'!$E$5:$E$2004,MATCH($K137,'سجل التحفيز'!$X$5:$X$2004,0)))</f>
        <v/>
      </c>
      <c r="R137" s="9">
        <f>IF($K137="","",INDEX('سجل التحفيز'!$F$5:$F$2004,MATCH($K137,'سجل التحفيز'!$X$5:$X$2004,0)))</f>
        <v/>
      </c>
      <c r="S137" s="35">
        <f>IF($K137="","",INDEX('سجل التحفيز'!$G$5:$G$2004,MATCH($K137,'سجل التحفيز'!$X$5:$X$2004,0)))</f>
        <v/>
      </c>
    </row>
    <row r="138">
      <c r="B138" s="34">
        <f>IFERROR(INDEX(الموظفات!$B$5:$B$304,MATCH(101,الموظفات!$R$5:$R$304,0)),"")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التحفيز'!$X$5:$X$2004,"&gt;0",'سجل التحفيز'!$B$5:$B$2004,B138))</f>
        <v/>
      </c>
      <c r="E138" s="35">
        <f>IF(B138="","",COUNTIFS('سجل التحفيز'!$X$5:$X$2004,"&gt;0",'سجل التحفيز'!$B$5:$B$2004,B138,'سجل التحفيز'!$D$5:$D$2004,"ذهبي"))</f>
        <v/>
      </c>
      <c r="F138" s="35">
        <f>IF(B138="","",SUMIFS('سجل التحفيز'!$G$5:$G$2004,'سجل التحفيز'!$X$5:$X$2004,"&gt;0",'سجل التحفيز'!$B$5:$B$2004,B138))</f>
        <v/>
      </c>
      <c r="G138" s="35">
        <f>IF(B138="","",COUNTIF($D$38:$D$187,"&gt;"&amp;D138)+1)</f>
        <v/>
      </c>
      <c r="H138" s="35">
        <f>IF(B138="","",INDEX(الموظفات!$L$5:$L$304,MATCH(B138,الموظفات!$B$5:$B$304,0)))</f>
        <v/>
      </c>
      <c r="K138" s="36">
        <f>IF(101&gt;$B$10,"",101)</f>
        <v/>
      </c>
      <c r="L138" s="37">
        <f>IF($K138="","",INDEX('سجل التحفيز'!$A$5:$A$2004,MATCH($K138,'سجل التحفيز'!$X$5:$X$2004,0)))</f>
        <v/>
      </c>
      <c r="M138" s="9">
        <f>IF($K138="","",INDEX('سجل التحفيز'!$B$5:$B$2004,MATCH($K138,'سجل التحفيز'!$X$5:$X$2004,0)))</f>
        <v/>
      </c>
      <c r="N138" s="9">
        <f>IF($K138="","",INDEX('سجل التحفيز'!$M$5:$M$2004,MATCH($K138,'سجل التحفيز'!$X$5:$X$2004,0)))</f>
        <v/>
      </c>
      <c r="O138" s="9">
        <f>IF($K138="","",INDEX('سجل التحفيز'!$C$5:$C$2004,MATCH($K138,'سجل التحفيز'!$X$5:$X$2004,0)))</f>
        <v/>
      </c>
      <c r="P138" s="36">
        <f>IF($K138="","",INDEX('سجل التحفيز'!$D$5:$D$2004,MATCH($K138,'سجل التحفيز'!$X$5:$X$2004,0)))</f>
        <v/>
      </c>
      <c r="Q138" s="9">
        <f>IF($K138="","",INDEX('سجل التحفيز'!$E$5:$E$2004,MATCH($K138,'سجل التحفيز'!$X$5:$X$2004,0)))</f>
        <v/>
      </c>
      <c r="R138" s="9">
        <f>IF($K138="","",INDEX('سجل التحفيز'!$F$5:$F$2004,MATCH($K138,'سجل التحفيز'!$X$5:$X$2004,0)))</f>
        <v/>
      </c>
      <c r="S138" s="35">
        <f>IF($K138="","",INDEX('سجل التحفيز'!$G$5:$G$2004,MATCH($K138,'سجل التحفيز'!$X$5:$X$2004,0)))</f>
        <v/>
      </c>
    </row>
    <row r="139">
      <c r="B139" s="34">
        <f>IFERROR(INDEX(الموظفات!$B$5:$B$304,MATCH(102,الموظفات!$R$5:$R$304,0)),"")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التحفيز'!$X$5:$X$2004,"&gt;0",'سجل التحفيز'!$B$5:$B$2004,B139))</f>
        <v/>
      </c>
      <c r="E139" s="35">
        <f>IF(B139="","",COUNTIFS('سجل التحفيز'!$X$5:$X$2004,"&gt;0",'سجل التحفيز'!$B$5:$B$2004,B139,'سجل التحفيز'!$D$5:$D$2004,"ذهبي"))</f>
        <v/>
      </c>
      <c r="F139" s="35">
        <f>IF(B139="","",SUMIFS('سجل التحفيز'!$G$5:$G$2004,'سجل التحفيز'!$X$5:$X$2004,"&gt;0",'سجل التحفيز'!$B$5:$B$2004,B139))</f>
        <v/>
      </c>
      <c r="G139" s="35">
        <f>IF(B139="","",COUNTIF($D$38:$D$187,"&gt;"&amp;D139)+1)</f>
        <v/>
      </c>
      <c r="H139" s="35">
        <f>IF(B139="","",INDEX(الموظفات!$L$5:$L$304,MATCH(B139,الموظفات!$B$5:$B$304,0)))</f>
        <v/>
      </c>
      <c r="K139" s="36">
        <f>IF(102&gt;$B$10,"",102)</f>
        <v/>
      </c>
      <c r="L139" s="37">
        <f>IF($K139="","",INDEX('سجل التحفيز'!$A$5:$A$2004,MATCH($K139,'سجل التحفيز'!$X$5:$X$2004,0)))</f>
        <v/>
      </c>
      <c r="M139" s="9">
        <f>IF($K139="","",INDEX('سجل التحفيز'!$B$5:$B$2004,MATCH($K139,'سجل التحفيز'!$X$5:$X$2004,0)))</f>
        <v/>
      </c>
      <c r="N139" s="9">
        <f>IF($K139="","",INDEX('سجل التحفيز'!$M$5:$M$2004,MATCH($K139,'سجل التحفيز'!$X$5:$X$2004,0)))</f>
        <v/>
      </c>
      <c r="O139" s="9">
        <f>IF($K139="","",INDEX('سجل التحفيز'!$C$5:$C$2004,MATCH($K139,'سجل التحفيز'!$X$5:$X$2004,0)))</f>
        <v/>
      </c>
      <c r="P139" s="36">
        <f>IF($K139="","",INDEX('سجل التحفيز'!$D$5:$D$2004,MATCH($K139,'سجل التحفيز'!$X$5:$X$2004,0)))</f>
        <v/>
      </c>
      <c r="Q139" s="9">
        <f>IF($K139="","",INDEX('سجل التحفيز'!$E$5:$E$2004,MATCH($K139,'سجل التحفيز'!$X$5:$X$2004,0)))</f>
        <v/>
      </c>
      <c r="R139" s="9">
        <f>IF($K139="","",INDEX('سجل التحفيز'!$F$5:$F$2004,MATCH($K139,'سجل التحفيز'!$X$5:$X$2004,0)))</f>
        <v/>
      </c>
      <c r="S139" s="35">
        <f>IF($K139="","",INDEX('سجل التحفيز'!$G$5:$G$2004,MATCH($K139,'سجل التحفيز'!$X$5:$X$2004,0)))</f>
        <v/>
      </c>
    </row>
    <row r="140">
      <c r="B140" s="34">
        <f>IFERROR(INDEX(الموظفات!$B$5:$B$304,MATCH(103,الموظفات!$R$5:$R$304,0)),"")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التحفيز'!$X$5:$X$2004,"&gt;0",'سجل التحفيز'!$B$5:$B$2004,B140))</f>
        <v/>
      </c>
      <c r="E140" s="35">
        <f>IF(B140="","",COUNTIFS('سجل التحفيز'!$X$5:$X$2004,"&gt;0",'سجل التحفيز'!$B$5:$B$2004,B140,'سجل التحفيز'!$D$5:$D$2004,"ذهبي"))</f>
        <v/>
      </c>
      <c r="F140" s="35">
        <f>IF(B140="","",SUMIFS('سجل التحفيز'!$G$5:$G$2004,'سجل التحفيز'!$X$5:$X$2004,"&gt;0",'سجل التحفيز'!$B$5:$B$2004,B140))</f>
        <v/>
      </c>
      <c r="G140" s="35">
        <f>IF(B140="","",COUNTIF($D$38:$D$187,"&gt;"&amp;D140)+1)</f>
        <v/>
      </c>
      <c r="H140" s="35">
        <f>IF(B140="","",INDEX(الموظفات!$L$5:$L$304,MATCH(B140,الموظفات!$B$5:$B$304,0)))</f>
        <v/>
      </c>
      <c r="K140" s="36">
        <f>IF(103&gt;$B$10,"",103)</f>
        <v/>
      </c>
      <c r="L140" s="37">
        <f>IF($K140="","",INDEX('سجل التحفيز'!$A$5:$A$2004,MATCH($K140,'سجل التحفيز'!$X$5:$X$2004,0)))</f>
        <v/>
      </c>
      <c r="M140" s="9">
        <f>IF($K140="","",INDEX('سجل التحفيز'!$B$5:$B$2004,MATCH($K140,'سجل التحفيز'!$X$5:$X$2004,0)))</f>
        <v/>
      </c>
      <c r="N140" s="9">
        <f>IF($K140="","",INDEX('سجل التحفيز'!$M$5:$M$2004,MATCH($K140,'سجل التحفيز'!$X$5:$X$2004,0)))</f>
        <v/>
      </c>
      <c r="O140" s="9">
        <f>IF($K140="","",INDEX('سجل التحفيز'!$C$5:$C$2004,MATCH($K140,'سجل التحفيز'!$X$5:$X$2004,0)))</f>
        <v/>
      </c>
      <c r="P140" s="36">
        <f>IF($K140="","",INDEX('سجل التحفيز'!$D$5:$D$2004,MATCH($K140,'سجل التحفيز'!$X$5:$X$2004,0)))</f>
        <v/>
      </c>
      <c r="Q140" s="9">
        <f>IF($K140="","",INDEX('سجل التحفيز'!$E$5:$E$2004,MATCH($K140,'سجل التحفيز'!$X$5:$X$2004,0)))</f>
        <v/>
      </c>
      <c r="R140" s="9">
        <f>IF($K140="","",INDEX('سجل التحفيز'!$F$5:$F$2004,MATCH($K140,'سجل التحفيز'!$X$5:$X$2004,0)))</f>
        <v/>
      </c>
      <c r="S140" s="35">
        <f>IF($K140="","",INDEX('سجل التحفيز'!$G$5:$G$2004,MATCH($K140,'سجل التحفيز'!$X$5:$X$2004,0)))</f>
        <v/>
      </c>
    </row>
    <row r="141">
      <c r="B141" s="34">
        <f>IFERROR(INDEX(الموظفات!$B$5:$B$304,MATCH(104,الموظفات!$R$5:$R$304,0)),"")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التحفيز'!$X$5:$X$2004,"&gt;0",'سجل التحفيز'!$B$5:$B$2004,B141))</f>
        <v/>
      </c>
      <c r="E141" s="35">
        <f>IF(B141="","",COUNTIFS('سجل التحفيز'!$X$5:$X$2004,"&gt;0",'سجل التحفيز'!$B$5:$B$2004,B141,'سجل التحفيز'!$D$5:$D$2004,"ذهبي"))</f>
        <v/>
      </c>
      <c r="F141" s="35">
        <f>IF(B141="","",SUMIFS('سجل التحفيز'!$G$5:$G$2004,'سجل التحفيز'!$X$5:$X$2004,"&gt;0",'سجل التحفيز'!$B$5:$B$2004,B141))</f>
        <v/>
      </c>
      <c r="G141" s="35">
        <f>IF(B141="","",COUNTIF($D$38:$D$187,"&gt;"&amp;D141)+1)</f>
        <v/>
      </c>
      <c r="H141" s="35">
        <f>IF(B141="","",INDEX(الموظفات!$L$5:$L$304,MATCH(B141,الموظفات!$B$5:$B$304,0)))</f>
        <v/>
      </c>
      <c r="K141" s="36">
        <f>IF(104&gt;$B$10,"",104)</f>
        <v/>
      </c>
      <c r="L141" s="37">
        <f>IF($K141="","",INDEX('سجل التحفيز'!$A$5:$A$2004,MATCH($K141,'سجل التحفيز'!$X$5:$X$2004,0)))</f>
        <v/>
      </c>
      <c r="M141" s="9">
        <f>IF($K141="","",INDEX('سجل التحفيز'!$B$5:$B$2004,MATCH($K141,'سجل التحفيز'!$X$5:$X$2004,0)))</f>
        <v/>
      </c>
      <c r="N141" s="9">
        <f>IF($K141="","",INDEX('سجل التحفيز'!$M$5:$M$2004,MATCH($K141,'سجل التحفيز'!$X$5:$X$2004,0)))</f>
        <v/>
      </c>
      <c r="O141" s="9">
        <f>IF($K141="","",INDEX('سجل التحفيز'!$C$5:$C$2004,MATCH($K141,'سجل التحفيز'!$X$5:$X$2004,0)))</f>
        <v/>
      </c>
      <c r="P141" s="36">
        <f>IF($K141="","",INDEX('سجل التحفيز'!$D$5:$D$2004,MATCH($K141,'سجل التحفيز'!$X$5:$X$2004,0)))</f>
        <v/>
      </c>
      <c r="Q141" s="9">
        <f>IF($K141="","",INDEX('سجل التحفيز'!$E$5:$E$2004,MATCH($K141,'سجل التحفيز'!$X$5:$X$2004,0)))</f>
        <v/>
      </c>
      <c r="R141" s="9">
        <f>IF($K141="","",INDEX('سجل التحفيز'!$F$5:$F$2004,MATCH($K141,'سجل التحفيز'!$X$5:$X$2004,0)))</f>
        <v/>
      </c>
      <c r="S141" s="35">
        <f>IF($K141="","",INDEX('سجل التحفيز'!$G$5:$G$2004,MATCH($K141,'سجل التحفيز'!$X$5:$X$2004,0)))</f>
        <v/>
      </c>
    </row>
    <row r="142">
      <c r="B142" s="34">
        <f>IFERROR(INDEX(الموظفات!$B$5:$B$304,MATCH(105,الموظفات!$R$5:$R$304,0)),"")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التحفيز'!$X$5:$X$2004,"&gt;0",'سجل التحفيز'!$B$5:$B$2004,B142))</f>
        <v/>
      </c>
      <c r="E142" s="35">
        <f>IF(B142="","",COUNTIFS('سجل التحفيز'!$X$5:$X$2004,"&gt;0",'سجل التحفيز'!$B$5:$B$2004,B142,'سجل التحفيز'!$D$5:$D$2004,"ذهبي"))</f>
        <v/>
      </c>
      <c r="F142" s="35">
        <f>IF(B142="","",SUMIFS('سجل التحفيز'!$G$5:$G$2004,'سجل التحفيز'!$X$5:$X$2004,"&gt;0",'سجل التحفيز'!$B$5:$B$2004,B142))</f>
        <v/>
      </c>
      <c r="G142" s="35">
        <f>IF(B142="","",COUNTIF($D$38:$D$187,"&gt;"&amp;D142)+1)</f>
        <v/>
      </c>
      <c r="H142" s="35">
        <f>IF(B142="","",INDEX(الموظفات!$L$5:$L$304,MATCH(B142,الموظفات!$B$5:$B$304,0)))</f>
        <v/>
      </c>
      <c r="K142" s="36">
        <f>IF(105&gt;$B$10,"",105)</f>
        <v/>
      </c>
      <c r="L142" s="37">
        <f>IF($K142="","",INDEX('سجل التحفيز'!$A$5:$A$2004,MATCH($K142,'سجل التحفيز'!$X$5:$X$2004,0)))</f>
        <v/>
      </c>
      <c r="M142" s="9">
        <f>IF($K142="","",INDEX('سجل التحفيز'!$B$5:$B$2004,MATCH($K142,'سجل التحفيز'!$X$5:$X$2004,0)))</f>
        <v/>
      </c>
      <c r="N142" s="9">
        <f>IF($K142="","",INDEX('سجل التحفيز'!$M$5:$M$2004,MATCH($K142,'سجل التحفيز'!$X$5:$X$2004,0)))</f>
        <v/>
      </c>
      <c r="O142" s="9">
        <f>IF($K142="","",INDEX('سجل التحفيز'!$C$5:$C$2004,MATCH($K142,'سجل التحفيز'!$X$5:$X$2004,0)))</f>
        <v/>
      </c>
      <c r="P142" s="36">
        <f>IF($K142="","",INDEX('سجل التحفيز'!$D$5:$D$2004,MATCH($K142,'سجل التحفيز'!$X$5:$X$2004,0)))</f>
        <v/>
      </c>
      <c r="Q142" s="9">
        <f>IF($K142="","",INDEX('سجل التحفيز'!$E$5:$E$2004,MATCH($K142,'سجل التحفيز'!$X$5:$X$2004,0)))</f>
        <v/>
      </c>
      <c r="R142" s="9">
        <f>IF($K142="","",INDEX('سجل التحفيز'!$F$5:$F$2004,MATCH($K142,'سجل التحفيز'!$X$5:$X$2004,0)))</f>
        <v/>
      </c>
      <c r="S142" s="35">
        <f>IF($K142="","",INDEX('سجل التحفيز'!$G$5:$G$2004,MATCH($K142,'سجل التحفيز'!$X$5:$X$2004,0)))</f>
        <v/>
      </c>
    </row>
    <row r="143">
      <c r="B143" s="34">
        <f>IFERROR(INDEX(الموظفات!$B$5:$B$304,MATCH(106,الموظفات!$R$5:$R$304,0)),"")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التحفيز'!$X$5:$X$2004,"&gt;0",'سجل التحفيز'!$B$5:$B$2004,B143))</f>
        <v/>
      </c>
      <c r="E143" s="35">
        <f>IF(B143="","",COUNTIFS('سجل التحفيز'!$X$5:$X$2004,"&gt;0",'سجل التحفيز'!$B$5:$B$2004,B143,'سجل التحفيز'!$D$5:$D$2004,"ذهبي"))</f>
        <v/>
      </c>
      <c r="F143" s="35">
        <f>IF(B143="","",SUMIFS('سجل التحفيز'!$G$5:$G$2004,'سجل التحفيز'!$X$5:$X$2004,"&gt;0",'سجل التحفيز'!$B$5:$B$2004,B143))</f>
        <v/>
      </c>
      <c r="G143" s="35">
        <f>IF(B143="","",COUNTIF($D$38:$D$187,"&gt;"&amp;D143)+1)</f>
        <v/>
      </c>
      <c r="H143" s="35">
        <f>IF(B143="","",INDEX(الموظفات!$L$5:$L$304,MATCH(B143,الموظفات!$B$5:$B$304,0)))</f>
        <v/>
      </c>
      <c r="K143" s="36">
        <f>IF(106&gt;$B$10,"",106)</f>
        <v/>
      </c>
      <c r="L143" s="37">
        <f>IF($K143="","",INDEX('سجل التحفيز'!$A$5:$A$2004,MATCH($K143,'سجل التحفيز'!$X$5:$X$2004,0)))</f>
        <v/>
      </c>
      <c r="M143" s="9">
        <f>IF($K143="","",INDEX('سجل التحفيز'!$B$5:$B$2004,MATCH($K143,'سجل التحفيز'!$X$5:$X$2004,0)))</f>
        <v/>
      </c>
      <c r="N143" s="9">
        <f>IF($K143="","",INDEX('سجل التحفيز'!$M$5:$M$2004,MATCH($K143,'سجل التحفيز'!$X$5:$X$2004,0)))</f>
        <v/>
      </c>
      <c r="O143" s="9">
        <f>IF($K143="","",INDEX('سجل التحفيز'!$C$5:$C$2004,MATCH($K143,'سجل التحفيز'!$X$5:$X$2004,0)))</f>
        <v/>
      </c>
      <c r="P143" s="36">
        <f>IF($K143="","",INDEX('سجل التحفيز'!$D$5:$D$2004,MATCH($K143,'سجل التحفيز'!$X$5:$X$2004,0)))</f>
        <v/>
      </c>
      <c r="Q143" s="9">
        <f>IF($K143="","",INDEX('سجل التحفيز'!$E$5:$E$2004,MATCH($K143,'سجل التحفيز'!$X$5:$X$2004,0)))</f>
        <v/>
      </c>
      <c r="R143" s="9">
        <f>IF($K143="","",INDEX('سجل التحفيز'!$F$5:$F$2004,MATCH($K143,'سجل التحفيز'!$X$5:$X$2004,0)))</f>
        <v/>
      </c>
      <c r="S143" s="35">
        <f>IF($K143="","",INDEX('سجل التحفيز'!$G$5:$G$2004,MATCH($K143,'سجل التحفيز'!$X$5:$X$2004,0)))</f>
        <v/>
      </c>
    </row>
    <row r="144">
      <c r="B144" s="34">
        <f>IFERROR(INDEX(الموظفات!$B$5:$B$304,MATCH(107,الموظفات!$R$5:$R$304,0)),"")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التحفيز'!$X$5:$X$2004,"&gt;0",'سجل التحفيز'!$B$5:$B$2004,B144))</f>
        <v/>
      </c>
      <c r="E144" s="35">
        <f>IF(B144="","",COUNTIFS('سجل التحفيز'!$X$5:$X$2004,"&gt;0",'سجل التحفيز'!$B$5:$B$2004,B144,'سجل التحفيز'!$D$5:$D$2004,"ذهبي"))</f>
        <v/>
      </c>
      <c r="F144" s="35">
        <f>IF(B144="","",SUMIFS('سجل التحفيز'!$G$5:$G$2004,'سجل التحفيز'!$X$5:$X$2004,"&gt;0",'سجل التحفيز'!$B$5:$B$2004,B144))</f>
        <v/>
      </c>
      <c r="G144" s="35">
        <f>IF(B144="","",COUNTIF($D$38:$D$187,"&gt;"&amp;D144)+1)</f>
        <v/>
      </c>
      <c r="H144" s="35">
        <f>IF(B144="","",INDEX(الموظفات!$L$5:$L$304,MATCH(B144,الموظفات!$B$5:$B$304,0)))</f>
        <v/>
      </c>
      <c r="K144" s="36">
        <f>IF(107&gt;$B$10,"",107)</f>
        <v/>
      </c>
      <c r="L144" s="37">
        <f>IF($K144="","",INDEX('سجل التحفيز'!$A$5:$A$2004,MATCH($K144,'سجل التحفيز'!$X$5:$X$2004,0)))</f>
        <v/>
      </c>
      <c r="M144" s="9">
        <f>IF($K144="","",INDEX('سجل التحفيز'!$B$5:$B$2004,MATCH($K144,'سجل التحفيز'!$X$5:$X$2004,0)))</f>
        <v/>
      </c>
      <c r="N144" s="9">
        <f>IF($K144="","",INDEX('سجل التحفيز'!$M$5:$M$2004,MATCH($K144,'سجل التحفيز'!$X$5:$X$2004,0)))</f>
        <v/>
      </c>
      <c r="O144" s="9">
        <f>IF($K144="","",INDEX('سجل التحفيز'!$C$5:$C$2004,MATCH($K144,'سجل التحفيز'!$X$5:$X$2004,0)))</f>
        <v/>
      </c>
      <c r="P144" s="36">
        <f>IF($K144="","",INDEX('سجل التحفيز'!$D$5:$D$2004,MATCH($K144,'سجل التحفيز'!$X$5:$X$2004,0)))</f>
        <v/>
      </c>
      <c r="Q144" s="9">
        <f>IF($K144="","",INDEX('سجل التحفيز'!$E$5:$E$2004,MATCH($K144,'سجل التحفيز'!$X$5:$X$2004,0)))</f>
        <v/>
      </c>
      <c r="R144" s="9">
        <f>IF($K144="","",INDEX('سجل التحفيز'!$F$5:$F$2004,MATCH($K144,'سجل التحفيز'!$X$5:$X$2004,0)))</f>
        <v/>
      </c>
      <c r="S144" s="35">
        <f>IF($K144="","",INDEX('سجل التحفيز'!$G$5:$G$2004,MATCH($K144,'سجل التحفيز'!$X$5:$X$2004,0)))</f>
        <v/>
      </c>
    </row>
    <row r="145">
      <c r="B145" s="34">
        <f>IFERROR(INDEX(الموظفات!$B$5:$B$304,MATCH(108,الموظفات!$R$5:$R$304,0)),"")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التحفيز'!$X$5:$X$2004,"&gt;0",'سجل التحفيز'!$B$5:$B$2004,B145))</f>
        <v/>
      </c>
      <c r="E145" s="35">
        <f>IF(B145="","",COUNTIFS('سجل التحفيز'!$X$5:$X$2004,"&gt;0",'سجل التحفيز'!$B$5:$B$2004,B145,'سجل التحفيز'!$D$5:$D$2004,"ذهبي"))</f>
        <v/>
      </c>
      <c r="F145" s="35">
        <f>IF(B145="","",SUMIFS('سجل التحفيز'!$G$5:$G$2004,'سجل التحفيز'!$X$5:$X$2004,"&gt;0",'سجل التحفيز'!$B$5:$B$2004,B145))</f>
        <v/>
      </c>
      <c r="G145" s="35">
        <f>IF(B145="","",COUNTIF($D$38:$D$187,"&gt;"&amp;D145)+1)</f>
        <v/>
      </c>
      <c r="H145" s="35">
        <f>IF(B145="","",INDEX(الموظفات!$L$5:$L$304,MATCH(B145,الموظفات!$B$5:$B$304,0)))</f>
        <v/>
      </c>
      <c r="K145" s="36">
        <f>IF(108&gt;$B$10,"",108)</f>
        <v/>
      </c>
      <c r="L145" s="37">
        <f>IF($K145="","",INDEX('سجل التحفيز'!$A$5:$A$2004,MATCH($K145,'سجل التحفيز'!$X$5:$X$2004,0)))</f>
        <v/>
      </c>
      <c r="M145" s="9">
        <f>IF($K145="","",INDEX('سجل التحفيز'!$B$5:$B$2004,MATCH($K145,'سجل التحفيز'!$X$5:$X$2004,0)))</f>
        <v/>
      </c>
      <c r="N145" s="9">
        <f>IF($K145="","",INDEX('سجل التحفيز'!$M$5:$M$2004,MATCH($K145,'سجل التحفيز'!$X$5:$X$2004,0)))</f>
        <v/>
      </c>
      <c r="O145" s="9">
        <f>IF($K145="","",INDEX('سجل التحفيز'!$C$5:$C$2004,MATCH($K145,'سجل التحفيز'!$X$5:$X$2004,0)))</f>
        <v/>
      </c>
      <c r="P145" s="36">
        <f>IF($K145="","",INDEX('سجل التحفيز'!$D$5:$D$2004,MATCH($K145,'سجل التحفيز'!$X$5:$X$2004,0)))</f>
        <v/>
      </c>
      <c r="Q145" s="9">
        <f>IF($K145="","",INDEX('سجل التحفيز'!$E$5:$E$2004,MATCH($K145,'سجل التحفيز'!$X$5:$X$2004,0)))</f>
        <v/>
      </c>
      <c r="R145" s="9">
        <f>IF($K145="","",INDEX('سجل التحفيز'!$F$5:$F$2004,MATCH($K145,'سجل التحفيز'!$X$5:$X$2004,0)))</f>
        <v/>
      </c>
      <c r="S145" s="35">
        <f>IF($K145="","",INDEX('سجل التحفيز'!$G$5:$G$2004,MATCH($K145,'سجل التحفيز'!$X$5:$X$2004,0)))</f>
        <v/>
      </c>
    </row>
    <row r="146">
      <c r="B146" s="34">
        <f>IFERROR(INDEX(الموظفات!$B$5:$B$304,MATCH(109,الموظفات!$R$5:$R$304,0)),"")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التحفيز'!$X$5:$X$2004,"&gt;0",'سجل التحفيز'!$B$5:$B$2004,B146))</f>
        <v/>
      </c>
      <c r="E146" s="35">
        <f>IF(B146="","",COUNTIFS('سجل التحفيز'!$X$5:$X$2004,"&gt;0",'سجل التحفيز'!$B$5:$B$2004,B146,'سجل التحفيز'!$D$5:$D$2004,"ذهبي"))</f>
        <v/>
      </c>
      <c r="F146" s="35">
        <f>IF(B146="","",SUMIFS('سجل التحفيز'!$G$5:$G$2004,'سجل التحفيز'!$X$5:$X$2004,"&gt;0",'سجل التحفيز'!$B$5:$B$2004,B146))</f>
        <v/>
      </c>
      <c r="G146" s="35">
        <f>IF(B146="","",COUNTIF($D$38:$D$187,"&gt;"&amp;D146)+1)</f>
        <v/>
      </c>
      <c r="H146" s="35">
        <f>IF(B146="","",INDEX(الموظفات!$L$5:$L$304,MATCH(B146,الموظفات!$B$5:$B$304,0)))</f>
        <v/>
      </c>
      <c r="K146" s="36">
        <f>IF(109&gt;$B$10,"",109)</f>
        <v/>
      </c>
      <c r="L146" s="37">
        <f>IF($K146="","",INDEX('سجل التحفيز'!$A$5:$A$2004,MATCH($K146,'سجل التحفيز'!$X$5:$X$2004,0)))</f>
        <v/>
      </c>
      <c r="M146" s="9">
        <f>IF($K146="","",INDEX('سجل التحفيز'!$B$5:$B$2004,MATCH($K146,'سجل التحفيز'!$X$5:$X$2004,0)))</f>
        <v/>
      </c>
      <c r="N146" s="9">
        <f>IF($K146="","",INDEX('سجل التحفيز'!$M$5:$M$2004,MATCH($K146,'سجل التحفيز'!$X$5:$X$2004,0)))</f>
        <v/>
      </c>
      <c r="O146" s="9">
        <f>IF($K146="","",INDEX('سجل التحفيز'!$C$5:$C$2004,MATCH($K146,'سجل التحفيز'!$X$5:$X$2004,0)))</f>
        <v/>
      </c>
      <c r="P146" s="36">
        <f>IF($K146="","",INDEX('سجل التحفيز'!$D$5:$D$2004,MATCH($K146,'سجل التحفيز'!$X$5:$X$2004,0)))</f>
        <v/>
      </c>
      <c r="Q146" s="9">
        <f>IF($K146="","",INDEX('سجل التحفيز'!$E$5:$E$2004,MATCH($K146,'سجل التحفيز'!$X$5:$X$2004,0)))</f>
        <v/>
      </c>
      <c r="R146" s="9">
        <f>IF($K146="","",INDEX('سجل التحفيز'!$F$5:$F$2004,MATCH($K146,'سجل التحفيز'!$X$5:$X$2004,0)))</f>
        <v/>
      </c>
      <c r="S146" s="35">
        <f>IF($K146="","",INDEX('سجل التحفيز'!$G$5:$G$2004,MATCH($K146,'سجل التحفيز'!$X$5:$X$2004,0)))</f>
        <v/>
      </c>
    </row>
    <row r="147">
      <c r="B147" s="34">
        <f>IFERROR(INDEX(الموظفات!$B$5:$B$304,MATCH(110,الموظفات!$R$5:$R$304,0)),"")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التحفيز'!$X$5:$X$2004,"&gt;0",'سجل التحفيز'!$B$5:$B$2004,B147))</f>
        <v/>
      </c>
      <c r="E147" s="35">
        <f>IF(B147="","",COUNTIFS('سجل التحفيز'!$X$5:$X$2004,"&gt;0",'سجل التحفيز'!$B$5:$B$2004,B147,'سجل التحفيز'!$D$5:$D$2004,"ذهبي"))</f>
        <v/>
      </c>
      <c r="F147" s="35">
        <f>IF(B147="","",SUMIFS('سجل التحفيز'!$G$5:$G$2004,'سجل التحفيز'!$X$5:$X$2004,"&gt;0",'سجل التحفيز'!$B$5:$B$2004,B147))</f>
        <v/>
      </c>
      <c r="G147" s="35">
        <f>IF(B147="","",COUNTIF($D$38:$D$187,"&gt;"&amp;D147)+1)</f>
        <v/>
      </c>
      <c r="H147" s="35">
        <f>IF(B147="","",INDEX(الموظفات!$L$5:$L$304,MATCH(B147,الموظفات!$B$5:$B$304,0)))</f>
        <v/>
      </c>
      <c r="K147" s="36">
        <f>IF(110&gt;$B$10,"",110)</f>
        <v/>
      </c>
      <c r="L147" s="37">
        <f>IF($K147="","",INDEX('سجل التحفيز'!$A$5:$A$2004,MATCH($K147,'سجل التحفيز'!$X$5:$X$2004,0)))</f>
        <v/>
      </c>
      <c r="M147" s="9">
        <f>IF($K147="","",INDEX('سجل التحفيز'!$B$5:$B$2004,MATCH($K147,'سجل التحفيز'!$X$5:$X$2004,0)))</f>
        <v/>
      </c>
      <c r="N147" s="9">
        <f>IF($K147="","",INDEX('سجل التحفيز'!$M$5:$M$2004,MATCH($K147,'سجل التحفيز'!$X$5:$X$2004,0)))</f>
        <v/>
      </c>
      <c r="O147" s="9">
        <f>IF($K147="","",INDEX('سجل التحفيز'!$C$5:$C$2004,MATCH($K147,'سجل التحفيز'!$X$5:$X$2004,0)))</f>
        <v/>
      </c>
      <c r="P147" s="36">
        <f>IF($K147="","",INDEX('سجل التحفيز'!$D$5:$D$2004,MATCH($K147,'سجل التحفيز'!$X$5:$X$2004,0)))</f>
        <v/>
      </c>
      <c r="Q147" s="9">
        <f>IF($K147="","",INDEX('سجل التحفيز'!$E$5:$E$2004,MATCH($K147,'سجل التحفيز'!$X$5:$X$2004,0)))</f>
        <v/>
      </c>
      <c r="R147" s="9">
        <f>IF($K147="","",INDEX('سجل التحفيز'!$F$5:$F$2004,MATCH($K147,'سجل التحفيز'!$X$5:$X$2004,0)))</f>
        <v/>
      </c>
      <c r="S147" s="35">
        <f>IF($K147="","",INDEX('سجل التحفيز'!$G$5:$G$2004,MATCH($K147,'سجل التحفيز'!$X$5:$X$2004,0)))</f>
        <v/>
      </c>
    </row>
    <row r="148">
      <c r="B148" s="34">
        <f>IFERROR(INDEX(الموظفات!$B$5:$B$304,MATCH(111,الموظفات!$R$5:$R$304,0)),"")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التحفيز'!$X$5:$X$2004,"&gt;0",'سجل التحفيز'!$B$5:$B$2004,B148))</f>
        <v/>
      </c>
      <c r="E148" s="35">
        <f>IF(B148="","",COUNTIFS('سجل التحفيز'!$X$5:$X$2004,"&gt;0",'سجل التحفيز'!$B$5:$B$2004,B148,'سجل التحفيز'!$D$5:$D$2004,"ذهبي"))</f>
        <v/>
      </c>
      <c r="F148" s="35">
        <f>IF(B148="","",SUMIFS('سجل التحفيز'!$G$5:$G$2004,'سجل التحفيز'!$X$5:$X$2004,"&gt;0",'سجل التحفيز'!$B$5:$B$2004,B148))</f>
        <v/>
      </c>
      <c r="G148" s="35">
        <f>IF(B148="","",COUNTIF($D$38:$D$187,"&gt;"&amp;D148)+1)</f>
        <v/>
      </c>
      <c r="H148" s="35">
        <f>IF(B148="","",INDEX(الموظفات!$L$5:$L$304,MATCH(B148,الموظفات!$B$5:$B$304,0)))</f>
        <v/>
      </c>
      <c r="K148" s="36">
        <f>IF(111&gt;$B$10,"",111)</f>
        <v/>
      </c>
      <c r="L148" s="37">
        <f>IF($K148="","",INDEX('سجل التحفيز'!$A$5:$A$2004,MATCH($K148,'سجل التحفيز'!$X$5:$X$2004,0)))</f>
        <v/>
      </c>
      <c r="M148" s="9">
        <f>IF($K148="","",INDEX('سجل التحفيز'!$B$5:$B$2004,MATCH($K148,'سجل التحفيز'!$X$5:$X$2004,0)))</f>
        <v/>
      </c>
      <c r="N148" s="9">
        <f>IF($K148="","",INDEX('سجل التحفيز'!$M$5:$M$2004,MATCH($K148,'سجل التحفيز'!$X$5:$X$2004,0)))</f>
        <v/>
      </c>
      <c r="O148" s="9">
        <f>IF($K148="","",INDEX('سجل التحفيز'!$C$5:$C$2004,MATCH($K148,'سجل التحفيز'!$X$5:$X$2004,0)))</f>
        <v/>
      </c>
      <c r="P148" s="36">
        <f>IF($K148="","",INDEX('سجل التحفيز'!$D$5:$D$2004,MATCH($K148,'سجل التحفيز'!$X$5:$X$2004,0)))</f>
        <v/>
      </c>
      <c r="Q148" s="9">
        <f>IF($K148="","",INDEX('سجل التحفيز'!$E$5:$E$2004,MATCH($K148,'سجل التحفيز'!$X$5:$X$2004,0)))</f>
        <v/>
      </c>
      <c r="R148" s="9">
        <f>IF($K148="","",INDEX('سجل التحفيز'!$F$5:$F$2004,MATCH($K148,'سجل التحفيز'!$X$5:$X$2004,0)))</f>
        <v/>
      </c>
      <c r="S148" s="35">
        <f>IF($K148="","",INDEX('سجل التحفيز'!$G$5:$G$2004,MATCH($K148,'سجل التحفيز'!$X$5:$X$2004,0)))</f>
        <v/>
      </c>
    </row>
    <row r="149">
      <c r="B149" s="34">
        <f>IFERROR(INDEX(الموظفات!$B$5:$B$304,MATCH(112,الموظفات!$R$5:$R$304,0)),"")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التحفيز'!$X$5:$X$2004,"&gt;0",'سجل التحفيز'!$B$5:$B$2004,B149))</f>
        <v/>
      </c>
      <c r="E149" s="35">
        <f>IF(B149="","",COUNTIFS('سجل التحفيز'!$X$5:$X$2004,"&gt;0",'سجل التحفيز'!$B$5:$B$2004,B149,'سجل التحفيز'!$D$5:$D$2004,"ذهبي"))</f>
        <v/>
      </c>
      <c r="F149" s="35">
        <f>IF(B149="","",SUMIFS('سجل التحفيز'!$G$5:$G$2004,'سجل التحفيز'!$X$5:$X$2004,"&gt;0",'سجل التحفيز'!$B$5:$B$2004,B149))</f>
        <v/>
      </c>
      <c r="G149" s="35">
        <f>IF(B149="","",COUNTIF($D$38:$D$187,"&gt;"&amp;D149)+1)</f>
        <v/>
      </c>
      <c r="H149" s="35">
        <f>IF(B149="","",INDEX(الموظفات!$L$5:$L$304,MATCH(B149,الموظفات!$B$5:$B$304,0)))</f>
        <v/>
      </c>
      <c r="K149" s="36">
        <f>IF(112&gt;$B$10,"",112)</f>
        <v/>
      </c>
      <c r="L149" s="37">
        <f>IF($K149="","",INDEX('سجل التحفيز'!$A$5:$A$2004,MATCH($K149,'سجل التحفيز'!$X$5:$X$2004,0)))</f>
        <v/>
      </c>
      <c r="M149" s="9">
        <f>IF($K149="","",INDEX('سجل التحفيز'!$B$5:$B$2004,MATCH($K149,'سجل التحفيز'!$X$5:$X$2004,0)))</f>
        <v/>
      </c>
      <c r="N149" s="9">
        <f>IF($K149="","",INDEX('سجل التحفيز'!$M$5:$M$2004,MATCH($K149,'سجل التحفيز'!$X$5:$X$2004,0)))</f>
        <v/>
      </c>
      <c r="O149" s="9">
        <f>IF($K149="","",INDEX('سجل التحفيز'!$C$5:$C$2004,MATCH($K149,'سجل التحفيز'!$X$5:$X$2004,0)))</f>
        <v/>
      </c>
      <c r="P149" s="36">
        <f>IF($K149="","",INDEX('سجل التحفيز'!$D$5:$D$2004,MATCH($K149,'سجل التحفيز'!$X$5:$X$2004,0)))</f>
        <v/>
      </c>
      <c r="Q149" s="9">
        <f>IF($K149="","",INDEX('سجل التحفيز'!$E$5:$E$2004,MATCH($K149,'سجل التحفيز'!$X$5:$X$2004,0)))</f>
        <v/>
      </c>
      <c r="R149" s="9">
        <f>IF($K149="","",INDEX('سجل التحفيز'!$F$5:$F$2004,MATCH($K149,'سجل التحفيز'!$X$5:$X$2004,0)))</f>
        <v/>
      </c>
      <c r="S149" s="35">
        <f>IF($K149="","",INDEX('سجل التحفيز'!$G$5:$G$2004,MATCH($K149,'سجل التحفيز'!$X$5:$X$2004,0)))</f>
        <v/>
      </c>
    </row>
    <row r="150">
      <c r="B150" s="34">
        <f>IFERROR(INDEX(الموظفات!$B$5:$B$304,MATCH(113,الموظفات!$R$5:$R$304,0)),"")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التحفيز'!$X$5:$X$2004,"&gt;0",'سجل التحفيز'!$B$5:$B$2004,B150))</f>
        <v/>
      </c>
      <c r="E150" s="35">
        <f>IF(B150="","",COUNTIFS('سجل التحفيز'!$X$5:$X$2004,"&gt;0",'سجل التحفيز'!$B$5:$B$2004,B150,'سجل التحفيز'!$D$5:$D$2004,"ذهبي"))</f>
        <v/>
      </c>
      <c r="F150" s="35">
        <f>IF(B150="","",SUMIFS('سجل التحفيز'!$G$5:$G$2004,'سجل التحفيز'!$X$5:$X$2004,"&gt;0",'سجل التحفيز'!$B$5:$B$2004,B150))</f>
        <v/>
      </c>
      <c r="G150" s="35">
        <f>IF(B150="","",COUNTIF($D$38:$D$187,"&gt;"&amp;D150)+1)</f>
        <v/>
      </c>
      <c r="H150" s="35">
        <f>IF(B150="","",INDEX(الموظفات!$L$5:$L$304,MATCH(B150,الموظفات!$B$5:$B$304,0)))</f>
        <v/>
      </c>
      <c r="K150" s="36">
        <f>IF(113&gt;$B$10,"",113)</f>
        <v/>
      </c>
      <c r="L150" s="37">
        <f>IF($K150="","",INDEX('سجل التحفيز'!$A$5:$A$2004,MATCH($K150,'سجل التحفيز'!$X$5:$X$2004,0)))</f>
        <v/>
      </c>
      <c r="M150" s="9">
        <f>IF($K150="","",INDEX('سجل التحفيز'!$B$5:$B$2004,MATCH($K150,'سجل التحفيز'!$X$5:$X$2004,0)))</f>
        <v/>
      </c>
      <c r="N150" s="9">
        <f>IF($K150="","",INDEX('سجل التحفيز'!$M$5:$M$2004,MATCH($K150,'سجل التحفيز'!$X$5:$X$2004,0)))</f>
        <v/>
      </c>
      <c r="O150" s="9">
        <f>IF($K150="","",INDEX('سجل التحفيز'!$C$5:$C$2004,MATCH($K150,'سجل التحفيز'!$X$5:$X$2004,0)))</f>
        <v/>
      </c>
      <c r="P150" s="36">
        <f>IF($K150="","",INDEX('سجل التحفيز'!$D$5:$D$2004,MATCH($K150,'سجل التحفيز'!$X$5:$X$2004,0)))</f>
        <v/>
      </c>
      <c r="Q150" s="9">
        <f>IF($K150="","",INDEX('سجل التحفيز'!$E$5:$E$2004,MATCH($K150,'سجل التحفيز'!$X$5:$X$2004,0)))</f>
        <v/>
      </c>
      <c r="R150" s="9">
        <f>IF($K150="","",INDEX('سجل التحفيز'!$F$5:$F$2004,MATCH($K150,'سجل التحفيز'!$X$5:$X$2004,0)))</f>
        <v/>
      </c>
      <c r="S150" s="35">
        <f>IF($K150="","",INDEX('سجل التحفيز'!$G$5:$G$2004,MATCH($K150,'سجل التحفيز'!$X$5:$X$2004,0)))</f>
        <v/>
      </c>
    </row>
    <row r="151">
      <c r="B151" s="34">
        <f>IFERROR(INDEX(الموظفات!$B$5:$B$304,MATCH(114,الموظفات!$R$5:$R$304,0)),"")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التحفيز'!$X$5:$X$2004,"&gt;0",'سجل التحفيز'!$B$5:$B$2004,B151))</f>
        <v/>
      </c>
      <c r="E151" s="35">
        <f>IF(B151="","",COUNTIFS('سجل التحفيز'!$X$5:$X$2004,"&gt;0",'سجل التحفيز'!$B$5:$B$2004,B151,'سجل التحفيز'!$D$5:$D$2004,"ذهبي"))</f>
        <v/>
      </c>
      <c r="F151" s="35">
        <f>IF(B151="","",SUMIFS('سجل التحفيز'!$G$5:$G$2004,'سجل التحفيز'!$X$5:$X$2004,"&gt;0",'سجل التحفيز'!$B$5:$B$2004,B151))</f>
        <v/>
      </c>
      <c r="G151" s="35">
        <f>IF(B151="","",COUNTIF($D$38:$D$187,"&gt;"&amp;D151)+1)</f>
        <v/>
      </c>
      <c r="H151" s="35">
        <f>IF(B151="","",INDEX(الموظفات!$L$5:$L$304,MATCH(B151,الموظفات!$B$5:$B$304,0)))</f>
        <v/>
      </c>
      <c r="K151" s="36">
        <f>IF(114&gt;$B$10,"",114)</f>
        <v/>
      </c>
      <c r="L151" s="37">
        <f>IF($K151="","",INDEX('سجل التحفيز'!$A$5:$A$2004,MATCH($K151,'سجل التحفيز'!$X$5:$X$2004,0)))</f>
        <v/>
      </c>
      <c r="M151" s="9">
        <f>IF($K151="","",INDEX('سجل التحفيز'!$B$5:$B$2004,MATCH($K151,'سجل التحفيز'!$X$5:$X$2004,0)))</f>
        <v/>
      </c>
      <c r="N151" s="9">
        <f>IF($K151="","",INDEX('سجل التحفيز'!$M$5:$M$2004,MATCH($K151,'سجل التحفيز'!$X$5:$X$2004,0)))</f>
        <v/>
      </c>
      <c r="O151" s="9">
        <f>IF($K151="","",INDEX('سجل التحفيز'!$C$5:$C$2004,MATCH($K151,'سجل التحفيز'!$X$5:$X$2004,0)))</f>
        <v/>
      </c>
      <c r="P151" s="36">
        <f>IF($K151="","",INDEX('سجل التحفيز'!$D$5:$D$2004,MATCH($K151,'سجل التحفيز'!$X$5:$X$2004,0)))</f>
        <v/>
      </c>
      <c r="Q151" s="9">
        <f>IF($K151="","",INDEX('سجل التحفيز'!$E$5:$E$2004,MATCH($K151,'سجل التحفيز'!$X$5:$X$2004,0)))</f>
        <v/>
      </c>
      <c r="R151" s="9">
        <f>IF($K151="","",INDEX('سجل التحفيز'!$F$5:$F$2004,MATCH($K151,'سجل التحفيز'!$X$5:$X$2004,0)))</f>
        <v/>
      </c>
      <c r="S151" s="35">
        <f>IF($K151="","",INDEX('سجل التحفيز'!$G$5:$G$2004,MATCH($K151,'سجل التحفيز'!$X$5:$X$2004,0)))</f>
        <v/>
      </c>
    </row>
    <row r="152">
      <c r="B152" s="34">
        <f>IFERROR(INDEX(الموظفات!$B$5:$B$304,MATCH(115,الموظفات!$R$5:$R$304,0)),"")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التحفيز'!$X$5:$X$2004,"&gt;0",'سجل التحفيز'!$B$5:$B$2004,B152))</f>
        <v/>
      </c>
      <c r="E152" s="35">
        <f>IF(B152="","",COUNTIFS('سجل التحفيز'!$X$5:$X$2004,"&gt;0",'سجل التحفيز'!$B$5:$B$2004,B152,'سجل التحفيز'!$D$5:$D$2004,"ذهبي"))</f>
        <v/>
      </c>
      <c r="F152" s="35">
        <f>IF(B152="","",SUMIFS('سجل التحفيز'!$G$5:$G$2004,'سجل التحفيز'!$X$5:$X$2004,"&gt;0",'سجل التحفيز'!$B$5:$B$2004,B152))</f>
        <v/>
      </c>
      <c r="G152" s="35">
        <f>IF(B152="","",COUNTIF($D$38:$D$187,"&gt;"&amp;D152)+1)</f>
        <v/>
      </c>
      <c r="H152" s="35">
        <f>IF(B152="","",INDEX(الموظفات!$L$5:$L$304,MATCH(B152,الموظفات!$B$5:$B$304,0)))</f>
        <v/>
      </c>
      <c r="K152" s="36">
        <f>IF(115&gt;$B$10,"",115)</f>
        <v/>
      </c>
      <c r="L152" s="37">
        <f>IF($K152="","",INDEX('سجل التحفيز'!$A$5:$A$2004,MATCH($K152,'سجل التحفيز'!$X$5:$X$2004,0)))</f>
        <v/>
      </c>
      <c r="M152" s="9">
        <f>IF($K152="","",INDEX('سجل التحفيز'!$B$5:$B$2004,MATCH($K152,'سجل التحفيز'!$X$5:$X$2004,0)))</f>
        <v/>
      </c>
      <c r="N152" s="9">
        <f>IF($K152="","",INDEX('سجل التحفيز'!$M$5:$M$2004,MATCH($K152,'سجل التحفيز'!$X$5:$X$2004,0)))</f>
        <v/>
      </c>
      <c r="O152" s="9">
        <f>IF($K152="","",INDEX('سجل التحفيز'!$C$5:$C$2004,MATCH($K152,'سجل التحفيز'!$X$5:$X$2004,0)))</f>
        <v/>
      </c>
      <c r="P152" s="36">
        <f>IF($K152="","",INDEX('سجل التحفيز'!$D$5:$D$2004,MATCH($K152,'سجل التحفيز'!$X$5:$X$2004,0)))</f>
        <v/>
      </c>
      <c r="Q152" s="9">
        <f>IF($K152="","",INDEX('سجل التحفيز'!$E$5:$E$2004,MATCH($K152,'سجل التحفيز'!$X$5:$X$2004,0)))</f>
        <v/>
      </c>
      <c r="R152" s="9">
        <f>IF($K152="","",INDEX('سجل التحفيز'!$F$5:$F$2004,MATCH($K152,'سجل التحفيز'!$X$5:$X$2004,0)))</f>
        <v/>
      </c>
      <c r="S152" s="35">
        <f>IF($K152="","",INDEX('سجل التحفيز'!$G$5:$G$2004,MATCH($K152,'سجل التحفيز'!$X$5:$X$2004,0)))</f>
        <v/>
      </c>
    </row>
    <row r="153">
      <c r="B153" s="34">
        <f>IFERROR(INDEX(الموظفات!$B$5:$B$304,MATCH(116,الموظفات!$R$5:$R$304,0)),"")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التحفيز'!$X$5:$X$2004,"&gt;0",'سجل التحفيز'!$B$5:$B$2004,B153))</f>
        <v/>
      </c>
      <c r="E153" s="35">
        <f>IF(B153="","",COUNTIFS('سجل التحفيز'!$X$5:$X$2004,"&gt;0",'سجل التحفيز'!$B$5:$B$2004,B153,'سجل التحفيز'!$D$5:$D$2004,"ذهبي"))</f>
        <v/>
      </c>
      <c r="F153" s="35">
        <f>IF(B153="","",SUMIFS('سجل التحفيز'!$G$5:$G$2004,'سجل التحفيز'!$X$5:$X$2004,"&gt;0",'سجل التحفيز'!$B$5:$B$2004,B153))</f>
        <v/>
      </c>
      <c r="G153" s="35">
        <f>IF(B153="","",COUNTIF($D$38:$D$187,"&gt;"&amp;D153)+1)</f>
        <v/>
      </c>
      <c r="H153" s="35">
        <f>IF(B153="","",INDEX(الموظفات!$L$5:$L$304,MATCH(B153,الموظفات!$B$5:$B$304,0)))</f>
        <v/>
      </c>
      <c r="K153" s="36">
        <f>IF(116&gt;$B$10,"",116)</f>
        <v/>
      </c>
      <c r="L153" s="37">
        <f>IF($K153="","",INDEX('سجل التحفيز'!$A$5:$A$2004,MATCH($K153,'سجل التحفيز'!$X$5:$X$2004,0)))</f>
        <v/>
      </c>
      <c r="M153" s="9">
        <f>IF($K153="","",INDEX('سجل التحفيز'!$B$5:$B$2004,MATCH($K153,'سجل التحفيز'!$X$5:$X$2004,0)))</f>
        <v/>
      </c>
      <c r="N153" s="9">
        <f>IF($K153="","",INDEX('سجل التحفيز'!$M$5:$M$2004,MATCH($K153,'سجل التحفيز'!$X$5:$X$2004,0)))</f>
        <v/>
      </c>
      <c r="O153" s="9">
        <f>IF($K153="","",INDEX('سجل التحفيز'!$C$5:$C$2004,MATCH($K153,'سجل التحفيز'!$X$5:$X$2004,0)))</f>
        <v/>
      </c>
      <c r="P153" s="36">
        <f>IF($K153="","",INDEX('سجل التحفيز'!$D$5:$D$2004,MATCH($K153,'سجل التحفيز'!$X$5:$X$2004,0)))</f>
        <v/>
      </c>
      <c r="Q153" s="9">
        <f>IF($K153="","",INDEX('سجل التحفيز'!$E$5:$E$2004,MATCH($K153,'سجل التحفيز'!$X$5:$X$2004,0)))</f>
        <v/>
      </c>
      <c r="R153" s="9">
        <f>IF($K153="","",INDEX('سجل التحفيز'!$F$5:$F$2004,MATCH($K153,'سجل التحفيز'!$X$5:$X$2004,0)))</f>
        <v/>
      </c>
      <c r="S153" s="35">
        <f>IF($K153="","",INDEX('سجل التحفيز'!$G$5:$G$2004,MATCH($K153,'سجل التحفيز'!$X$5:$X$2004,0)))</f>
        <v/>
      </c>
    </row>
    <row r="154">
      <c r="B154" s="34">
        <f>IFERROR(INDEX(الموظفات!$B$5:$B$304,MATCH(117,الموظفات!$R$5:$R$304,0)),"")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التحفيز'!$X$5:$X$2004,"&gt;0",'سجل التحفيز'!$B$5:$B$2004,B154))</f>
        <v/>
      </c>
      <c r="E154" s="35">
        <f>IF(B154="","",COUNTIFS('سجل التحفيز'!$X$5:$X$2004,"&gt;0",'سجل التحفيز'!$B$5:$B$2004,B154,'سجل التحفيز'!$D$5:$D$2004,"ذهبي"))</f>
        <v/>
      </c>
      <c r="F154" s="35">
        <f>IF(B154="","",SUMIFS('سجل التحفيز'!$G$5:$G$2004,'سجل التحفيز'!$X$5:$X$2004,"&gt;0",'سجل التحفيز'!$B$5:$B$2004,B154))</f>
        <v/>
      </c>
      <c r="G154" s="35">
        <f>IF(B154="","",COUNTIF($D$38:$D$187,"&gt;"&amp;D154)+1)</f>
        <v/>
      </c>
      <c r="H154" s="35">
        <f>IF(B154="","",INDEX(الموظفات!$L$5:$L$304,MATCH(B154,الموظفات!$B$5:$B$304,0)))</f>
        <v/>
      </c>
      <c r="K154" s="36">
        <f>IF(117&gt;$B$10,"",117)</f>
        <v/>
      </c>
      <c r="L154" s="37">
        <f>IF($K154="","",INDEX('سجل التحفيز'!$A$5:$A$2004,MATCH($K154,'سجل التحفيز'!$X$5:$X$2004,0)))</f>
        <v/>
      </c>
      <c r="M154" s="9">
        <f>IF($K154="","",INDEX('سجل التحفيز'!$B$5:$B$2004,MATCH($K154,'سجل التحفيز'!$X$5:$X$2004,0)))</f>
        <v/>
      </c>
      <c r="N154" s="9">
        <f>IF($K154="","",INDEX('سجل التحفيز'!$M$5:$M$2004,MATCH($K154,'سجل التحفيز'!$X$5:$X$2004,0)))</f>
        <v/>
      </c>
      <c r="O154" s="9">
        <f>IF($K154="","",INDEX('سجل التحفيز'!$C$5:$C$2004,MATCH($K154,'سجل التحفيز'!$X$5:$X$2004,0)))</f>
        <v/>
      </c>
      <c r="P154" s="36">
        <f>IF($K154="","",INDEX('سجل التحفيز'!$D$5:$D$2004,MATCH($K154,'سجل التحفيز'!$X$5:$X$2004,0)))</f>
        <v/>
      </c>
      <c r="Q154" s="9">
        <f>IF($K154="","",INDEX('سجل التحفيز'!$E$5:$E$2004,MATCH($K154,'سجل التحفيز'!$X$5:$X$2004,0)))</f>
        <v/>
      </c>
      <c r="R154" s="9">
        <f>IF($K154="","",INDEX('سجل التحفيز'!$F$5:$F$2004,MATCH($K154,'سجل التحفيز'!$X$5:$X$2004,0)))</f>
        <v/>
      </c>
      <c r="S154" s="35">
        <f>IF($K154="","",INDEX('سجل التحفيز'!$G$5:$G$2004,MATCH($K154,'سجل التحفيز'!$X$5:$X$2004,0)))</f>
        <v/>
      </c>
    </row>
    <row r="155">
      <c r="B155" s="34">
        <f>IFERROR(INDEX(الموظفات!$B$5:$B$304,MATCH(118,الموظفات!$R$5:$R$304,0)),"")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التحفيز'!$X$5:$X$2004,"&gt;0",'سجل التحفيز'!$B$5:$B$2004,B155))</f>
        <v/>
      </c>
      <c r="E155" s="35">
        <f>IF(B155="","",COUNTIFS('سجل التحفيز'!$X$5:$X$2004,"&gt;0",'سجل التحفيز'!$B$5:$B$2004,B155,'سجل التحفيز'!$D$5:$D$2004,"ذهبي"))</f>
        <v/>
      </c>
      <c r="F155" s="35">
        <f>IF(B155="","",SUMIFS('سجل التحفيز'!$G$5:$G$2004,'سجل التحفيز'!$X$5:$X$2004,"&gt;0",'سجل التحفيز'!$B$5:$B$2004,B155))</f>
        <v/>
      </c>
      <c r="G155" s="35">
        <f>IF(B155="","",COUNTIF($D$38:$D$187,"&gt;"&amp;D155)+1)</f>
        <v/>
      </c>
      <c r="H155" s="35">
        <f>IF(B155="","",INDEX(الموظفات!$L$5:$L$304,MATCH(B155,الموظفات!$B$5:$B$304,0)))</f>
        <v/>
      </c>
      <c r="K155" s="36">
        <f>IF(118&gt;$B$10,"",118)</f>
        <v/>
      </c>
      <c r="L155" s="37">
        <f>IF($K155="","",INDEX('سجل التحفيز'!$A$5:$A$2004,MATCH($K155,'سجل التحفيز'!$X$5:$X$2004,0)))</f>
        <v/>
      </c>
      <c r="M155" s="9">
        <f>IF($K155="","",INDEX('سجل التحفيز'!$B$5:$B$2004,MATCH($K155,'سجل التحفيز'!$X$5:$X$2004,0)))</f>
        <v/>
      </c>
      <c r="N155" s="9">
        <f>IF($K155="","",INDEX('سجل التحفيز'!$M$5:$M$2004,MATCH($K155,'سجل التحفيز'!$X$5:$X$2004,0)))</f>
        <v/>
      </c>
      <c r="O155" s="9">
        <f>IF($K155="","",INDEX('سجل التحفيز'!$C$5:$C$2004,MATCH($K155,'سجل التحفيز'!$X$5:$X$2004,0)))</f>
        <v/>
      </c>
      <c r="P155" s="36">
        <f>IF($K155="","",INDEX('سجل التحفيز'!$D$5:$D$2004,MATCH($K155,'سجل التحفيز'!$X$5:$X$2004,0)))</f>
        <v/>
      </c>
      <c r="Q155" s="9">
        <f>IF($K155="","",INDEX('سجل التحفيز'!$E$5:$E$2004,MATCH($K155,'سجل التحفيز'!$X$5:$X$2004,0)))</f>
        <v/>
      </c>
      <c r="R155" s="9">
        <f>IF($K155="","",INDEX('سجل التحفيز'!$F$5:$F$2004,MATCH($K155,'سجل التحفيز'!$X$5:$X$2004,0)))</f>
        <v/>
      </c>
      <c r="S155" s="35">
        <f>IF($K155="","",INDEX('سجل التحفيز'!$G$5:$G$2004,MATCH($K155,'سجل التحفيز'!$X$5:$X$2004,0)))</f>
        <v/>
      </c>
    </row>
    <row r="156">
      <c r="B156" s="34">
        <f>IFERROR(INDEX(الموظفات!$B$5:$B$304,MATCH(119,الموظفات!$R$5:$R$304,0)),"")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التحفيز'!$X$5:$X$2004,"&gt;0",'سجل التحفيز'!$B$5:$B$2004,B156))</f>
        <v/>
      </c>
      <c r="E156" s="35">
        <f>IF(B156="","",COUNTIFS('سجل التحفيز'!$X$5:$X$2004,"&gt;0",'سجل التحفيز'!$B$5:$B$2004,B156,'سجل التحفيز'!$D$5:$D$2004,"ذهبي"))</f>
        <v/>
      </c>
      <c r="F156" s="35">
        <f>IF(B156="","",SUMIFS('سجل التحفيز'!$G$5:$G$2004,'سجل التحفيز'!$X$5:$X$2004,"&gt;0",'سجل التحفيز'!$B$5:$B$2004,B156))</f>
        <v/>
      </c>
      <c r="G156" s="35">
        <f>IF(B156="","",COUNTIF($D$38:$D$187,"&gt;"&amp;D156)+1)</f>
        <v/>
      </c>
      <c r="H156" s="35">
        <f>IF(B156="","",INDEX(الموظفات!$L$5:$L$304,MATCH(B156,الموظفات!$B$5:$B$304,0)))</f>
        <v/>
      </c>
      <c r="K156" s="36">
        <f>IF(119&gt;$B$10,"",119)</f>
        <v/>
      </c>
      <c r="L156" s="37">
        <f>IF($K156="","",INDEX('سجل التحفيز'!$A$5:$A$2004,MATCH($K156,'سجل التحفيز'!$X$5:$X$2004,0)))</f>
        <v/>
      </c>
      <c r="M156" s="9">
        <f>IF($K156="","",INDEX('سجل التحفيز'!$B$5:$B$2004,MATCH($K156,'سجل التحفيز'!$X$5:$X$2004,0)))</f>
        <v/>
      </c>
      <c r="N156" s="9">
        <f>IF($K156="","",INDEX('سجل التحفيز'!$M$5:$M$2004,MATCH($K156,'سجل التحفيز'!$X$5:$X$2004,0)))</f>
        <v/>
      </c>
      <c r="O156" s="9">
        <f>IF($K156="","",INDEX('سجل التحفيز'!$C$5:$C$2004,MATCH($K156,'سجل التحفيز'!$X$5:$X$2004,0)))</f>
        <v/>
      </c>
      <c r="P156" s="36">
        <f>IF($K156="","",INDEX('سجل التحفيز'!$D$5:$D$2004,MATCH($K156,'سجل التحفيز'!$X$5:$X$2004,0)))</f>
        <v/>
      </c>
      <c r="Q156" s="9">
        <f>IF($K156="","",INDEX('سجل التحفيز'!$E$5:$E$2004,MATCH($K156,'سجل التحفيز'!$X$5:$X$2004,0)))</f>
        <v/>
      </c>
      <c r="R156" s="9">
        <f>IF($K156="","",INDEX('سجل التحفيز'!$F$5:$F$2004,MATCH($K156,'سجل التحفيز'!$X$5:$X$2004,0)))</f>
        <v/>
      </c>
      <c r="S156" s="35">
        <f>IF($K156="","",INDEX('سجل التحفيز'!$G$5:$G$2004,MATCH($K156,'سجل التحفيز'!$X$5:$X$2004,0)))</f>
        <v/>
      </c>
    </row>
    <row r="157">
      <c r="B157" s="34">
        <f>IFERROR(INDEX(الموظفات!$B$5:$B$304,MATCH(120,الموظفات!$R$5:$R$304,0)),"")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التحفيز'!$X$5:$X$2004,"&gt;0",'سجل التحفيز'!$B$5:$B$2004,B157))</f>
        <v/>
      </c>
      <c r="E157" s="35">
        <f>IF(B157="","",COUNTIFS('سجل التحفيز'!$X$5:$X$2004,"&gt;0",'سجل التحفيز'!$B$5:$B$2004,B157,'سجل التحفيز'!$D$5:$D$2004,"ذهبي"))</f>
        <v/>
      </c>
      <c r="F157" s="35">
        <f>IF(B157="","",SUMIFS('سجل التحفيز'!$G$5:$G$2004,'سجل التحفيز'!$X$5:$X$2004,"&gt;0",'سجل التحفيز'!$B$5:$B$2004,B157))</f>
        <v/>
      </c>
      <c r="G157" s="35">
        <f>IF(B157="","",COUNTIF($D$38:$D$187,"&gt;"&amp;D157)+1)</f>
        <v/>
      </c>
      <c r="H157" s="35">
        <f>IF(B157="","",INDEX(الموظفات!$L$5:$L$304,MATCH(B157,الموظفات!$B$5:$B$304,0)))</f>
        <v/>
      </c>
      <c r="K157" s="36">
        <f>IF(120&gt;$B$10,"",120)</f>
        <v/>
      </c>
      <c r="L157" s="37">
        <f>IF($K157="","",INDEX('سجل التحفيز'!$A$5:$A$2004,MATCH($K157,'سجل التحفيز'!$X$5:$X$2004,0)))</f>
        <v/>
      </c>
      <c r="M157" s="9">
        <f>IF($K157="","",INDEX('سجل التحفيز'!$B$5:$B$2004,MATCH($K157,'سجل التحفيز'!$X$5:$X$2004,0)))</f>
        <v/>
      </c>
      <c r="N157" s="9">
        <f>IF($K157="","",INDEX('سجل التحفيز'!$M$5:$M$2004,MATCH($K157,'سجل التحفيز'!$X$5:$X$2004,0)))</f>
        <v/>
      </c>
      <c r="O157" s="9">
        <f>IF($K157="","",INDEX('سجل التحفيز'!$C$5:$C$2004,MATCH($K157,'سجل التحفيز'!$X$5:$X$2004,0)))</f>
        <v/>
      </c>
      <c r="P157" s="36">
        <f>IF($K157="","",INDEX('سجل التحفيز'!$D$5:$D$2004,MATCH($K157,'سجل التحفيز'!$X$5:$X$2004,0)))</f>
        <v/>
      </c>
      <c r="Q157" s="9">
        <f>IF($K157="","",INDEX('سجل التحفيز'!$E$5:$E$2004,MATCH($K157,'سجل التحفيز'!$X$5:$X$2004,0)))</f>
        <v/>
      </c>
      <c r="R157" s="9">
        <f>IF($K157="","",INDEX('سجل التحفيز'!$F$5:$F$2004,MATCH($K157,'سجل التحفيز'!$X$5:$X$2004,0)))</f>
        <v/>
      </c>
      <c r="S157" s="35">
        <f>IF($K157="","",INDEX('سجل التحفيز'!$G$5:$G$2004,MATCH($K157,'سجل التحفيز'!$X$5:$X$2004,0)))</f>
        <v/>
      </c>
    </row>
    <row r="158">
      <c r="B158" s="34">
        <f>IFERROR(INDEX(الموظفات!$B$5:$B$304,MATCH(121,الموظفات!$R$5:$R$304,0)),"")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التحفيز'!$X$5:$X$2004,"&gt;0",'سجل التحفيز'!$B$5:$B$2004,B158))</f>
        <v/>
      </c>
      <c r="E158" s="35">
        <f>IF(B158="","",COUNTIFS('سجل التحفيز'!$X$5:$X$2004,"&gt;0",'سجل التحفيز'!$B$5:$B$2004,B158,'سجل التحفيز'!$D$5:$D$2004,"ذهبي"))</f>
        <v/>
      </c>
      <c r="F158" s="35">
        <f>IF(B158="","",SUMIFS('سجل التحفيز'!$G$5:$G$2004,'سجل التحفيز'!$X$5:$X$2004,"&gt;0",'سجل التحفيز'!$B$5:$B$2004,B158))</f>
        <v/>
      </c>
      <c r="G158" s="35">
        <f>IF(B158="","",COUNTIF($D$38:$D$187,"&gt;"&amp;D158)+1)</f>
        <v/>
      </c>
      <c r="H158" s="35">
        <f>IF(B158="","",INDEX(الموظفات!$L$5:$L$304,MATCH(B158,الموظفات!$B$5:$B$304,0)))</f>
        <v/>
      </c>
      <c r="K158" s="36">
        <f>IF(121&gt;$B$10,"",121)</f>
        <v/>
      </c>
      <c r="L158" s="37">
        <f>IF($K158="","",INDEX('سجل التحفيز'!$A$5:$A$2004,MATCH($K158,'سجل التحفيز'!$X$5:$X$2004,0)))</f>
        <v/>
      </c>
      <c r="M158" s="9">
        <f>IF($K158="","",INDEX('سجل التحفيز'!$B$5:$B$2004,MATCH($K158,'سجل التحفيز'!$X$5:$X$2004,0)))</f>
        <v/>
      </c>
      <c r="N158" s="9">
        <f>IF($K158="","",INDEX('سجل التحفيز'!$M$5:$M$2004,MATCH($K158,'سجل التحفيز'!$X$5:$X$2004,0)))</f>
        <v/>
      </c>
      <c r="O158" s="9">
        <f>IF($K158="","",INDEX('سجل التحفيز'!$C$5:$C$2004,MATCH($K158,'سجل التحفيز'!$X$5:$X$2004,0)))</f>
        <v/>
      </c>
      <c r="P158" s="36">
        <f>IF($K158="","",INDEX('سجل التحفيز'!$D$5:$D$2004,MATCH($K158,'سجل التحفيز'!$X$5:$X$2004,0)))</f>
        <v/>
      </c>
      <c r="Q158" s="9">
        <f>IF($K158="","",INDEX('سجل التحفيز'!$E$5:$E$2004,MATCH($K158,'سجل التحفيز'!$X$5:$X$2004,0)))</f>
        <v/>
      </c>
      <c r="R158" s="9">
        <f>IF($K158="","",INDEX('سجل التحفيز'!$F$5:$F$2004,MATCH($K158,'سجل التحفيز'!$X$5:$X$2004,0)))</f>
        <v/>
      </c>
      <c r="S158" s="35">
        <f>IF($K158="","",INDEX('سجل التحفيز'!$G$5:$G$2004,MATCH($K158,'سجل التحفيز'!$X$5:$X$2004,0)))</f>
        <v/>
      </c>
    </row>
    <row r="159">
      <c r="B159" s="34">
        <f>IFERROR(INDEX(الموظفات!$B$5:$B$304,MATCH(122,الموظفات!$R$5:$R$304,0)),"")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التحفيز'!$X$5:$X$2004,"&gt;0",'سجل التحفيز'!$B$5:$B$2004,B159))</f>
        <v/>
      </c>
      <c r="E159" s="35">
        <f>IF(B159="","",COUNTIFS('سجل التحفيز'!$X$5:$X$2004,"&gt;0",'سجل التحفيز'!$B$5:$B$2004,B159,'سجل التحفيز'!$D$5:$D$2004,"ذهبي"))</f>
        <v/>
      </c>
      <c r="F159" s="35">
        <f>IF(B159="","",SUMIFS('سجل التحفيز'!$G$5:$G$2004,'سجل التحفيز'!$X$5:$X$2004,"&gt;0",'سجل التحفيز'!$B$5:$B$2004,B159))</f>
        <v/>
      </c>
      <c r="G159" s="35">
        <f>IF(B159="","",COUNTIF($D$38:$D$187,"&gt;"&amp;D159)+1)</f>
        <v/>
      </c>
      <c r="H159" s="35">
        <f>IF(B159="","",INDEX(الموظفات!$L$5:$L$304,MATCH(B159,الموظفات!$B$5:$B$304,0)))</f>
        <v/>
      </c>
      <c r="K159" s="36">
        <f>IF(122&gt;$B$10,"",122)</f>
        <v/>
      </c>
      <c r="L159" s="37">
        <f>IF($K159="","",INDEX('سجل التحفيز'!$A$5:$A$2004,MATCH($K159,'سجل التحفيز'!$X$5:$X$2004,0)))</f>
        <v/>
      </c>
      <c r="M159" s="9">
        <f>IF($K159="","",INDEX('سجل التحفيز'!$B$5:$B$2004,MATCH($K159,'سجل التحفيز'!$X$5:$X$2004,0)))</f>
        <v/>
      </c>
      <c r="N159" s="9">
        <f>IF($K159="","",INDEX('سجل التحفيز'!$M$5:$M$2004,MATCH($K159,'سجل التحفيز'!$X$5:$X$2004,0)))</f>
        <v/>
      </c>
      <c r="O159" s="9">
        <f>IF($K159="","",INDEX('سجل التحفيز'!$C$5:$C$2004,MATCH($K159,'سجل التحفيز'!$X$5:$X$2004,0)))</f>
        <v/>
      </c>
      <c r="P159" s="36">
        <f>IF($K159="","",INDEX('سجل التحفيز'!$D$5:$D$2004,MATCH($K159,'سجل التحفيز'!$X$5:$X$2004,0)))</f>
        <v/>
      </c>
      <c r="Q159" s="9">
        <f>IF($K159="","",INDEX('سجل التحفيز'!$E$5:$E$2004,MATCH($K159,'سجل التحفيز'!$X$5:$X$2004,0)))</f>
        <v/>
      </c>
      <c r="R159" s="9">
        <f>IF($K159="","",INDEX('سجل التحفيز'!$F$5:$F$2004,MATCH($K159,'سجل التحفيز'!$X$5:$X$2004,0)))</f>
        <v/>
      </c>
      <c r="S159" s="35">
        <f>IF($K159="","",INDEX('سجل التحفيز'!$G$5:$G$2004,MATCH($K159,'سجل التحفيز'!$X$5:$X$2004,0)))</f>
        <v/>
      </c>
    </row>
    <row r="160">
      <c r="B160" s="34">
        <f>IFERROR(INDEX(الموظفات!$B$5:$B$304,MATCH(123,الموظفات!$R$5:$R$304,0)),"")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التحفيز'!$X$5:$X$2004,"&gt;0",'سجل التحفيز'!$B$5:$B$2004,B160))</f>
        <v/>
      </c>
      <c r="E160" s="35">
        <f>IF(B160="","",COUNTIFS('سجل التحفيز'!$X$5:$X$2004,"&gt;0",'سجل التحفيز'!$B$5:$B$2004,B160,'سجل التحفيز'!$D$5:$D$2004,"ذهبي"))</f>
        <v/>
      </c>
      <c r="F160" s="35">
        <f>IF(B160="","",SUMIFS('سجل التحفيز'!$G$5:$G$2004,'سجل التحفيز'!$X$5:$X$2004,"&gt;0",'سجل التحفيز'!$B$5:$B$2004,B160))</f>
        <v/>
      </c>
      <c r="G160" s="35">
        <f>IF(B160="","",COUNTIF($D$38:$D$187,"&gt;"&amp;D160)+1)</f>
        <v/>
      </c>
      <c r="H160" s="35">
        <f>IF(B160="","",INDEX(الموظفات!$L$5:$L$304,MATCH(B160,الموظفات!$B$5:$B$304,0)))</f>
        <v/>
      </c>
      <c r="K160" s="36">
        <f>IF(123&gt;$B$10,"",123)</f>
        <v/>
      </c>
      <c r="L160" s="37">
        <f>IF($K160="","",INDEX('سجل التحفيز'!$A$5:$A$2004,MATCH($K160,'سجل التحفيز'!$X$5:$X$2004,0)))</f>
        <v/>
      </c>
      <c r="M160" s="9">
        <f>IF($K160="","",INDEX('سجل التحفيز'!$B$5:$B$2004,MATCH($K160,'سجل التحفيز'!$X$5:$X$2004,0)))</f>
        <v/>
      </c>
      <c r="N160" s="9">
        <f>IF($K160="","",INDEX('سجل التحفيز'!$M$5:$M$2004,MATCH($K160,'سجل التحفيز'!$X$5:$X$2004,0)))</f>
        <v/>
      </c>
      <c r="O160" s="9">
        <f>IF($K160="","",INDEX('سجل التحفيز'!$C$5:$C$2004,MATCH($K160,'سجل التحفيز'!$X$5:$X$2004,0)))</f>
        <v/>
      </c>
      <c r="P160" s="36">
        <f>IF($K160="","",INDEX('سجل التحفيز'!$D$5:$D$2004,MATCH($K160,'سجل التحفيز'!$X$5:$X$2004,0)))</f>
        <v/>
      </c>
      <c r="Q160" s="9">
        <f>IF($K160="","",INDEX('سجل التحفيز'!$E$5:$E$2004,MATCH($K160,'سجل التحفيز'!$X$5:$X$2004,0)))</f>
        <v/>
      </c>
      <c r="R160" s="9">
        <f>IF($K160="","",INDEX('سجل التحفيز'!$F$5:$F$2004,MATCH($K160,'سجل التحفيز'!$X$5:$X$2004,0)))</f>
        <v/>
      </c>
      <c r="S160" s="35">
        <f>IF($K160="","",INDEX('سجل التحفيز'!$G$5:$G$2004,MATCH($K160,'سجل التحفيز'!$X$5:$X$2004,0)))</f>
        <v/>
      </c>
    </row>
    <row r="161">
      <c r="B161" s="34">
        <f>IFERROR(INDEX(الموظفات!$B$5:$B$304,MATCH(124,الموظفات!$R$5:$R$304,0)),"")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التحفيز'!$X$5:$X$2004,"&gt;0",'سجل التحفيز'!$B$5:$B$2004,B161))</f>
        <v/>
      </c>
      <c r="E161" s="35">
        <f>IF(B161="","",COUNTIFS('سجل التحفيز'!$X$5:$X$2004,"&gt;0",'سجل التحفيز'!$B$5:$B$2004,B161,'سجل التحفيز'!$D$5:$D$2004,"ذهبي"))</f>
        <v/>
      </c>
      <c r="F161" s="35">
        <f>IF(B161="","",SUMIFS('سجل التحفيز'!$G$5:$G$2004,'سجل التحفيز'!$X$5:$X$2004,"&gt;0",'سجل التحفيز'!$B$5:$B$2004,B161))</f>
        <v/>
      </c>
      <c r="G161" s="35">
        <f>IF(B161="","",COUNTIF($D$38:$D$187,"&gt;"&amp;D161)+1)</f>
        <v/>
      </c>
      <c r="H161" s="35">
        <f>IF(B161="","",INDEX(الموظفات!$L$5:$L$304,MATCH(B161,الموظفات!$B$5:$B$304,0)))</f>
        <v/>
      </c>
      <c r="K161" s="36">
        <f>IF(124&gt;$B$10,"",124)</f>
        <v/>
      </c>
      <c r="L161" s="37">
        <f>IF($K161="","",INDEX('سجل التحفيز'!$A$5:$A$2004,MATCH($K161,'سجل التحفيز'!$X$5:$X$2004,0)))</f>
        <v/>
      </c>
      <c r="M161" s="9">
        <f>IF($K161="","",INDEX('سجل التحفيز'!$B$5:$B$2004,MATCH($K161,'سجل التحفيز'!$X$5:$X$2004,0)))</f>
        <v/>
      </c>
      <c r="N161" s="9">
        <f>IF($K161="","",INDEX('سجل التحفيز'!$M$5:$M$2004,MATCH($K161,'سجل التحفيز'!$X$5:$X$2004,0)))</f>
        <v/>
      </c>
      <c r="O161" s="9">
        <f>IF($K161="","",INDEX('سجل التحفيز'!$C$5:$C$2004,MATCH($K161,'سجل التحفيز'!$X$5:$X$2004,0)))</f>
        <v/>
      </c>
      <c r="P161" s="36">
        <f>IF($K161="","",INDEX('سجل التحفيز'!$D$5:$D$2004,MATCH($K161,'سجل التحفيز'!$X$5:$X$2004,0)))</f>
        <v/>
      </c>
      <c r="Q161" s="9">
        <f>IF($K161="","",INDEX('سجل التحفيز'!$E$5:$E$2004,MATCH($K161,'سجل التحفيز'!$X$5:$X$2004,0)))</f>
        <v/>
      </c>
      <c r="R161" s="9">
        <f>IF($K161="","",INDEX('سجل التحفيز'!$F$5:$F$2004,MATCH($K161,'سجل التحفيز'!$X$5:$X$2004,0)))</f>
        <v/>
      </c>
      <c r="S161" s="35">
        <f>IF($K161="","",INDEX('سجل التحفيز'!$G$5:$G$2004,MATCH($K161,'سجل التحفيز'!$X$5:$X$2004,0)))</f>
        <v/>
      </c>
    </row>
    <row r="162">
      <c r="B162" s="34">
        <f>IFERROR(INDEX(الموظفات!$B$5:$B$304,MATCH(125,الموظفات!$R$5:$R$304,0)),"")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التحفيز'!$X$5:$X$2004,"&gt;0",'سجل التحفيز'!$B$5:$B$2004,B162))</f>
        <v/>
      </c>
      <c r="E162" s="35">
        <f>IF(B162="","",COUNTIFS('سجل التحفيز'!$X$5:$X$2004,"&gt;0",'سجل التحفيز'!$B$5:$B$2004,B162,'سجل التحفيز'!$D$5:$D$2004,"ذهبي"))</f>
        <v/>
      </c>
      <c r="F162" s="35">
        <f>IF(B162="","",SUMIFS('سجل التحفيز'!$G$5:$G$2004,'سجل التحفيز'!$X$5:$X$2004,"&gt;0",'سجل التحفيز'!$B$5:$B$2004,B162))</f>
        <v/>
      </c>
      <c r="G162" s="35">
        <f>IF(B162="","",COUNTIF($D$38:$D$187,"&gt;"&amp;D162)+1)</f>
        <v/>
      </c>
      <c r="H162" s="35">
        <f>IF(B162="","",INDEX(الموظفات!$L$5:$L$304,MATCH(B162,الموظفات!$B$5:$B$304,0)))</f>
        <v/>
      </c>
      <c r="K162" s="36">
        <f>IF(125&gt;$B$10,"",125)</f>
        <v/>
      </c>
      <c r="L162" s="37">
        <f>IF($K162="","",INDEX('سجل التحفيز'!$A$5:$A$2004,MATCH($K162,'سجل التحفيز'!$X$5:$X$2004,0)))</f>
        <v/>
      </c>
      <c r="M162" s="9">
        <f>IF($K162="","",INDEX('سجل التحفيز'!$B$5:$B$2004,MATCH($K162,'سجل التحفيز'!$X$5:$X$2004,0)))</f>
        <v/>
      </c>
      <c r="N162" s="9">
        <f>IF($K162="","",INDEX('سجل التحفيز'!$M$5:$M$2004,MATCH($K162,'سجل التحفيز'!$X$5:$X$2004,0)))</f>
        <v/>
      </c>
      <c r="O162" s="9">
        <f>IF($K162="","",INDEX('سجل التحفيز'!$C$5:$C$2004,MATCH($K162,'سجل التحفيز'!$X$5:$X$2004,0)))</f>
        <v/>
      </c>
      <c r="P162" s="36">
        <f>IF($K162="","",INDEX('سجل التحفيز'!$D$5:$D$2004,MATCH($K162,'سجل التحفيز'!$X$5:$X$2004,0)))</f>
        <v/>
      </c>
      <c r="Q162" s="9">
        <f>IF($K162="","",INDEX('سجل التحفيز'!$E$5:$E$2004,MATCH($K162,'سجل التحفيز'!$X$5:$X$2004,0)))</f>
        <v/>
      </c>
      <c r="R162" s="9">
        <f>IF($K162="","",INDEX('سجل التحفيز'!$F$5:$F$2004,MATCH($K162,'سجل التحفيز'!$X$5:$X$2004,0)))</f>
        <v/>
      </c>
      <c r="S162" s="35">
        <f>IF($K162="","",INDEX('سجل التحفيز'!$G$5:$G$2004,MATCH($K162,'سجل التحفيز'!$X$5:$X$2004,0)))</f>
        <v/>
      </c>
    </row>
    <row r="163">
      <c r="B163" s="34">
        <f>IFERROR(INDEX(الموظفات!$B$5:$B$304,MATCH(126,الموظفات!$R$5:$R$304,0)),"")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التحفيز'!$X$5:$X$2004,"&gt;0",'سجل التحفيز'!$B$5:$B$2004,B163))</f>
        <v/>
      </c>
      <c r="E163" s="35">
        <f>IF(B163="","",COUNTIFS('سجل التحفيز'!$X$5:$X$2004,"&gt;0",'سجل التحفيز'!$B$5:$B$2004,B163,'سجل التحفيز'!$D$5:$D$2004,"ذهبي"))</f>
        <v/>
      </c>
      <c r="F163" s="35">
        <f>IF(B163="","",SUMIFS('سجل التحفيز'!$G$5:$G$2004,'سجل التحفيز'!$X$5:$X$2004,"&gt;0",'سجل التحفيز'!$B$5:$B$2004,B163))</f>
        <v/>
      </c>
      <c r="G163" s="35">
        <f>IF(B163="","",COUNTIF($D$38:$D$187,"&gt;"&amp;D163)+1)</f>
        <v/>
      </c>
      <c r="H163" s="35">
        <f>IF(B163="","",INDEX(الموظفات!$L$5:$L$304,MATCH(B163,الموظفات!$B$5:$B$304,0)))</f>
        <v/>
      </c>
      <c r="K163" s="36">
        <f>IF(126&gt;$B$10,"",126)</f>
        <v/>
      </c>
      <c r="L163" s="37">
        <f>IF($K163="","",INDEX('سجل التحفيز'!$A$5:$A$2004,MATCH($K163,'سجل التحفيز'!$X$5:$X$2004,0)))</f>
        <v/>
      </c>
      <c r="M163" s="9">
        <f>IF($K163="","",INDEX('سجل التحفيز'!$B$5:$B$2004,MATCH($K163,'سجل التحفيز'!$X$5:$X$2004,0)))</f>
        <v/>
      </c>
      <c r="N163" s="9">
        <f>IF($K163="","",INDEX('سجل التحفيز'!$M$5:$M$2004,MATCH($K163,'سجل التحفيز'!$X$5:$X$2004,0)))</f>
        <v/>
      </c>
      <c r="O163" s="9">
        <f>IF($K163="","",INDEX('سجل التحفيز'!$C$5:$C$2004,MATCH($K163,'سجل التحفيز'!$X$5:$X$2004,0)))</f>
        <v/>
      </c>
      <c r="P163" s="36">
        <f>IF($K163="","",INDEX('سجل التحفيز'!$D$5:$D$2004,MATCH($K163,'سجل التحفيز'!$X$5:$X$2004,0)))</f>
        <v/>
      </c>
      <c r="Q163" s="9">
        <f>IF($K163="","",INDEX('سجل التحفيز'!$E$5:$E$2004,MATCH($K163,'سجل التحفيز'!$X$5:$X$2004,0)))</f>
        <v/>
      </c>
      <c r="R163" s="9">
        <f>IF($K163="","",INDEX('سجل التحفيز'!$F$5:$F$2004,MATCH($K163,'سجل التحفيز'!$X$5:$X$2004,0)))</f>
        <v/>
      </c>
      <c r="S163" s="35">
        <f>IF($K163="","",INDEX('سجل التحفيز'!$G$5:$G$2004,MATCH($K163,'سجل التحفيز'!$X$5:$X$2004,0)))</f>
        <v/>
      </c>
    </row>
    <row r="164">
      <c r="B164" s="34">
        <f>IFERROR(INDEX(الموظفات!$B$5:$B$304,MATCH(127,الموظفات!$R$5:$R$304,0)),"")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التحفيز'!$X$5:$X$2004,"&gt;0",'سجل التحفيز'!$B$5:$B$2004,B164))</f>
        <v/>
      </c>
      <c r="E164" s="35">
        <f>IF(B164="","",COUNTIFS('سجل التحفيز'!$X$5:$X$2004,"&gt;0",'سجل التحفيز'!$B$5:$B$2004,B164,'سجل التحفيز'!$D$5:$D$2004,"ذهبي"))</f>
        <v/>
      </c>
      <c r="F164" s="35">
        <f>IF(B164="","",SUMIFS('سجل التحفيز'!$G$5:$G$2004,'سجل التحفيز'!$X$5:$X$2004,"&gt;0",'سجل التحفيز'!$B$5:$B$2004,B164))</f>
        <v/>
      </c>
      <c r="G164" s="35">
        <f>IF(B164="","",COUNTIF($D$38:$D$187,"&gt;"&amp;D164)+1)</f>
        <v/>
      </c>
      <c r="H164" s="35">
        <f>IF(B164="","",INDEX(الموظفات!$L$5:$L$304,MATCH(B164,الموظفات!$B$5:$B$304,0)))</f>
        <v/>
      </c>
      <c r="K164" s="36">
        <f>IF(127&gt;$B$10,"",127)</f>
        <v/>
      </c>
      <c r="L164" s="37">
        <f>IF($K164="","",INDEX('سجل التحفيز'!$A$5:$A$2004,MATCH($K164,'سجل التحفيز'!$X$5:$X$2004,0)))</f>
        <v/>
      </c>
      <c r="M164" s="9">
        <f>IF($K164="","",INDEX('سجل التحفيز'!$B$5:$B$2004,MATCH($K164,'سجل التحفيز'!$X$5:$X$2004,0)))</f>
        <v/>
      </c>
      <c r="N164" s="9">
        <f>IF($K164="","",INDEX('سجل التحفيز'!$M$5:$M$2004,MATCH($K164,'سجل التحفيز'!$X$5:$X$2004,0)))</f>
        <v/>
      </c>
      <c r="O164" s="9">
        <f>IF($K164="","",INDEX('سجل التحفيز'!$C$5:$C$2004,MATCH($K164,'سجل التحفيز'!$X$5:$X$2004,0)))</f>
        <v/>
      </c>
      <c r="P164" s="36">
        <f>IF($K164="","",INDEX('سجل التحفيز'!$D$5:$D$2004,MATCH($K164,'سجل التحفيز'!$X$5:$X$2004,0)))</f>
        <v/>
      </c>
      <c r="Q164" s="9">
        <f>IF($K164="","",INDEX('سجل التحفيز'!$E$5:$E$2004,MATCH($K164,'سجل التحفيز'!$X$5:$X$2004,0)))</f>
        <v/>
      </c>
      <c r="R164" s="9">
        <f>IF($K164="","",INDEX('سجل التحفيز'!$F$5:$F$2004,MATCH($K164,'سجل التحفيز'!$X$5:$X$2004,0)))</f>
        <v/>
      </c>
      <c r="S164" s="35">
        <f>IF($K164="","",INDEX('سجل التحفيز'!$G$5:$G$2004,MATCH($K164,'سجل التحفيز'!$X$5:$X$2004,0)))</f>
        <v/>
      </c>
    </row>
    <row r="165">
      <c r="B165" s="34">
        <f>IFERROR(INDEX(الموظفات!$B$5:$B$304,MATCH(128,الموظفات!$R$5:$R$304,0)),"")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التحفيز'!$X$5:$X$2004,"&gt;0",'سجل التحفيز'!$B$5:$B$2004,B165))</f>
        <v/>
      </c>
      <c r="E165" s="35">
        <f>IF(B165="","",COUNTIFS('سجل التحفيز'!$X$5:$X$2004,"&gt;0",'سجل التحفيز'!$B$5:$B$2004,B165,'سجل التحفيز'!$D$5:$D$2004,"ذهبي"))</f>
        <v/>
      </c>
      <c r="F165" s="35">
        <f>IF(B165="","",SUMIFS('سجل التحفيز'!$G$5:$G$2004,'سجل التحفيز'!$X$5:$X$2004,"&gt;0",'سجل التحفيز'!$B$5:$B$2004,B165))</f>
        <v/>
      </c>
      <c r="G165" s="35">
        <f>IF(B165="","",COUNTIF($D$38:$D$187,"&gt;"&amp;D165)+1)</f>
        <v/>
      </c>
      <c r="H165" s="35">
        <f>IF(B165="","",INDEX(الموظفات!$L$5:$L$304,MATCH(B165,الموظفات!$B$5:$B$304,0)))</f>
        <v/>
      </c>
      <c r="K165" s="36">
        <f>IF(128&gt;$B$10,"",128)</f>
        <v/>
      </c>
      <c r="L165" s="37">
        <f>IF($K165="","",INDEX('سجل التحفيز'!$A$5:$A$2004,MATCH($K165,'سجل التحفيز'!$X$5:$X$2004,0)))</f>
        <v/>
      </c>
      <c r="M165" s="9">
        <f>IF($K165="","",INDEX('سجل التحفيز'!$B$5:$B$2004,MATCH($K165,'سجل التحفيز'!$X$5:$X$2004,0)))</f>
        <v/>
      </c>
      <c r="N165" s="9">
        <f>IF($K165="","",INDEX('سجل التحفيز'!$M$5:$M$2004,MATCH($K165,'سجل التحفيز'!$X$5:$X$2004,0)))</f>
        <v/>
      </c>
      <c r="O165" s="9">
        <f>IF($K165="","",INDEX('سجل التحفيز'!$C$5:$C$2004,MATCH($K165,'سجل التحفيز'!$X$5:$X$2004,0)))</f>
        <v/>
      </c>
      <c r="P165" s="36">
        <f>IF($K165="","",INDEX('سجل التحفيز'!$D$5:$D$2004,MATCH($K165,'سجل التحفيز'!$X$5:$X$2004,0)))</f>
        <v/>
      </c>
      <c r="Q165" s="9">
        <f>IF($K165="","",INDEX('سجل التحفيز'!$E$5:$E$2004,MATCH($K165,'سجل التحفيز'!$X$5:$X$2004,0)))</f>
        <v/>
      </c>
      <c r="R165" s="9">
        <f>IF($K165="","",INDEX('سجل التحفيز'!$F$5:$F$2004,MATCH($K165,'سجل التحفيز'!$X$5:$X$2004,0)))</f>
        <v/>
      </c>
      <c r="S165" s="35">
        <f>IF($K165="","",INDEX('سجل التحفيز'!$G$5:$G$2004,MATCH($K165,'سجل التحفيز'!$X$5:$X$2004,0)))</f>
        <v/>
      </c>
    </row>
    <row r="166">
      <c r="B166" s="34">
        <f>IFERROR(INDEX(الموظفات!$B$5:$B$304,MATCH(129,الموظفات!$R$5:$R$304,0)),"")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التحفيز'!$X$5:$X$2004,"&gt;0",'سجل التحفيز'!$B$5:$B$2004,B166))</f>
        <v/>
      </c>
      <c r="E166" s="35">
        <f>IF(B166="","",COUNTIFS('سجل التحفيز'!$X$5:$X$2004,"&gt;0",'سجل التحفيز'!$B$5:$B$2004,B166,'سجل التحفيز'!$D$5:$D$2004,"ذهبي"))</f>
        <v/>
      </c>
      <c r="F166" s="35">
        <f>IF(B166="","",SUMIFS('سجل التحفيز'!$G$5:$G$2004,'سجل التحفيز'!$X$5:$X$2004,"&gt;0",'سجل التحفيز'!$B$5:$B$2004,B166))</f>
        <v/>
      </c>
      <c r="G166" s="35">
        <f>IF(B166="","",COUNTIF($D$38:$D$187,"&gt;"&amp;D166)+1)</f>
        <v/>
      </c>
      <c r="H166" s="35">
        <f>IF(B166="","",INDEX(الموظفات!$L$5:$L$304,MATCH(B166,الموظفات!$B$5:$B$304,0)))</f>
        <v/>
      </c>
      <c r="K166" s="36">
        <f>IF(129&gt;$B$10,"",129)</f>
        <v/>
      </c>
      <c r="L166" s="37">
        <f>IF($K166="","",INDEX('سجل التحفيز'!$A$5:$A$2004,MATCH($K166,'سجل التحفيز'!$X$5:$X$2004,0)))</f>
        <v/>
      </c>
      <c r="M166" s="9">
        <f>IF($K166="","",INDEX('سجل التحفيز'!$B$5:$B$2004,MATCH($K166,'سجل التحفيز'!$X$5:$X$2004,0)))</f>
        <v/>
      </c>
      <c r="N166" s="9">
        <f>IF($K166="","",INDEX('سجل التحفيز'!$M$5:$M$2004,MATCH($K166,'سجل التحفيز'!$X$5:$X$2004,0)))</f>
        <v/>
      </c>
      <c r="O166" s="9">
        <f>IF($K166="","",INDEX('سجل التحفيز'!$C$5:$C$2004,MATCH($K166,'سجل التحفيز'!$X$5:$X$2004,0)))</f>
        <v/>
      </c>
      <c r="P166" s="36">
        <f>IF($K166="","",INDEX('سجل التحفيز'!$D$5:$D$2004,MATCH($K166,'سجل التحفيز'!$X$5:$X$2004,0)))</f>
        <v/>
      </c>
      <c r="Q166" s="9">
        <f>IF($K166="","",INDEX('سجل التحفيز'!$E$5:$E$2004,MATCH($K166,'سجل التحفيز'!$X$5:$X$2004,0)))</f>
        <v/>
      </c>
      <c r="R166" s="9">
        <f>IF($K166="","",INDEX('سجل التحفيز'!$F$5:$F$2004,MATCH($K166,'سجل التحفيز'!$X$5:$X$2004,0)))</f>
        <v/>
      </c>
      <c r="S166" s="35">
        <f>IF($K166="","",INDEX('سجل التحفيز'!$G$5:$G$2004,MATCH($K166,'سجل التحفيز'!$X$5:$X$2004,0)))</f>
        <v/>
      </c>
    </row>
    <row r="167">
      <c r="B167" s="34">
        <f>IFERROR(INDEX(الموظفات!$B$5:$B$304,MATCH(130,الموظفات!$R$5:$R$304,0)),"")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التحفيز'!$X$5:$X$2004,"&gt;0",'سجل التحفيز'!$B$5:$B$2004,B167))</f>
        <v/>
      </c>
      <c r="E167" s="35">
        <f>IF(B167="","",COUNTIFS('سجل التحفيز'!$X$5:$X$2004,"&gt;0",'سجل التحفيز'!$B$5:$B$2004,B167,'سجل التحفيز'!$D$5:$D$2004,"ذهبي"))</f>
        <v/>
      </c>
      <c r="F167" s="35">
        <f>IF(B167="","",SUMIFS('سجل التحفيز'!$G$5:$G$2004,'سجل التحفيز'!$X$5:$X$2004,"&gt;0",'سجل التحفيز'!$B$5:$B$2004,B167))</f>
        <v/>
      </c>
      <c r="G167" s="35">
        <f>IF(B167="","",COUNTIF($D$38:$D$187,"&gt;"&amp;D167)+1)</f>
        <v/>
      </c>
      <c r="H167" s="35">
        <f>IF(B167="","",INDEX(الموظفات!$L$5:$L$304,MATCH(B167,الموظفات!$B$5:$B$304,0)))</f>
        <v/>
      </c>
      <c r="K167" s="36">
        <f>IF(130&gt;$B$10,"",130)</f>
        <v/>
      </c>
      <c r="L167" s="37">
        <f>IF($K167="","",INDEX('سجل التحفيز'!$A$5:$A$2004,MATCH($K167,'سجل التحفيز'!$X$5:$X$2004,0)))</f>
        <v/>
      </c>
      <c r="M167" s="9">
        <f>IF($K167="","",INDEX('سجل التحفيز'!$B$5:$B$2004,MATCH($K167,'سجل التحفيز'!$X$5:$X$2004,0)))</f>
        <v/>
      </c>
      <c r="N167" s="9">
        <f>IF($K167="","",INDEX('سجل التحفيز'!$M$5:$M$2004,MATCH($K167,'سجل التحفيز'!$X$5:$X$2004,0)))</f>
        <v/>
      </c>
      <c r="O167" s="9">
        <f>IF($K167="","",INDEX('سجل التحفيز'!$C$5:$C$2004,MATCH($K167,'سجل التحفيز'!$X$5:$X$2004,0)))</f>
        <v/>
      </c>
      <c r="P167" s="36">
        <f>IF($K167="","",INDEX('سجل التحفيز'!$D$5:$D$2004,MATCH($K167,'سجل التحفيز'!$X$5:$X$2004,0)))</f>
        <v/>
      </c>
      <c r="Q167" s="9">
        <f>IF($K167="","",INDEX('سجل التحفيز'!$E$5:$E$2004,MATCH($K167,'سجل التحفيز'!$X$5:$X$2004,0)))</f>
        <v/>
      </c>
      <c r="R167" s="9">
        <f>IF($K167="","",INDEX('سجل التحفيز'!$F$5:$F$2004,MATCH($K167,'سجل التحفيز'!$X$5:$X$2004,0)))</f>
        <v/>
      </c>
      <c r="S167" s="35">
        <f>IF($K167="","",INDEX('سجل التحفيز'!$G$5:$G$2004,MATCH($K167,'سجل التحفيز'!$X$5:$X$2004,0)))</f>
        <v/>
      </c>
    </row>
    <row r="168">
      <c r="B168" s="34">
        <f>IFERROR(INDEX(الموظفات!$B$5:$B$304,MATCH(131,الموظفات!$R$5:$R$304,0)),"")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التحفيز'!$X$5:$X$2004,"&gt;0",'سجل التحفيز'!$B$5:$B$2004,B168))</f>
        <v/>
      </c>
      <c r="E168" s="35">
        <f>IF(B168="","",COUNTIFS('سجل التحفيز'!$X$5:$X$2004,"&gt;0",'سجل التحفيز'!$B$5:$B$2004,B168,'سجل التحفيز'!$D$5:$D$2004,"ذهبي"))</f>
        <v/>
      </c>
      <c r="F168" s="35">
        <f>IF(B168="","",SUMIFS('سجل التحفيز'!$G$5:$G$2004,'سجل التحفيز'!$X$5:$X$2004,"&gt;0",'سجل التحفيز'!$B$5:$B$2004,B168))</f>
        <v/>
      </c>
      <c r="G168" s="35">
        <f>IF(B168="","",COUNTIF($D$38:$D$187,"&gt;"&amp;D168)+1)</f>
        <v/>
      </c>
      <c r="H168" s="35">
        <f>IF(B168="","",INDEX(الموظفات!$L$5:$L$304,MATCH(B168,الموظفات!$B$5:$B$304,0)))</f>
        <v/>
      </c>
      <c r="K168" s="36">
        <f>IF(131&gt;$B$10,"",131)</f>
        <v/>
      </c>
      <c r="L168" s="37">
        <f>IF($K168="","",INDEX('سجل التحفيز'!$A$5:$A$2004,MATCH($K168,'سجل التحفيز'!$X$5:$X$2004,0)))</f>
        <v/>
      </c>
      <c r="M168" s="9">
        <f>IF($K168="","",INDEX('سجل التحفيز'!$B$5:$B$2004,MATCH($K168,'سجل التحفيز'!$X$5:$X$2004,0)))</f>
        <v/>
      </c>
      <c r="N168" s="9">
        <f>IF($K168="","",INDEX('سجل التحفيز'!$M$5:$M$2004,MATCH($K168,'سجل التحفيز'!$X$5:$X$2004,0)))</f>
        <v/>
      </c>
      <c r="O168" s="9">
        <f>IF($K168="","",INDEX('سجل التحفيز'!$C$5:$C$2004,MATCH($K168,'سجل التحفيز'!$X$5:$X$2004,0)))</f>
        <v/>
      </c>
      <c r="P168" s="36">
        <f>IF($K168="","",INDEX('سجل التحفيز'!$D$5:$D$2004,MATCH($K168,'سجل التحفيز'!$X$5:$X$2004,0)))</f>
        <v/>
      </c>
      <c r="Q168" s="9">
        <f>IF($K168="","",INDEX('سجل التحفيز'!$E$5:$E$2004,MATCH($K168,'سجل التحفيز'!$X$5:$X$2004,0)))</f>
        <v/>
      </c>
      <c r="R168" s="9">
        <f>IF($K168="","",INDEX('سجل التحفيز'!$F$5:$F$2004,MATCH($K168,'سجل التحفيز'!$X$5:$X$2004,0)))</f>
        <v/>
      </c>
      <c r="S168" s="35">
        <f>IF($K168="","",INDEX('سجل التحفيز'!$G$5:$G$2004,MATCH($K168,'سجل التحفيز'!$X$5:$X$2004,0)))</f>
        <v/>
      </c>
    </row>
    <row r="169">
      <c r="B169" s="34">
        <f>IFERROR(INDEX(الموظفات!$B$5:$B$304,MATCH(132,الموظفات!$R$5:$R$304,0)),"")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التحفيز'!$X$5:$X$2004,"&gt;0",'سجل التحفيز'!$B$5:$B$2004,B169))</f>
        <v/>
      </c>
      <c r="E169" s="35">
        <f>IF(B169="","",COUNTIFS('سجل التحفيز'!$X$5:$X$2004,"&gt;0",'سجل التحفيز'!$B$5:$B$2004,B169,'سجل التحفيز'!$D$5:$D$2004,"ذهبي"))</f>
        <v/>
      </c>
      <c r="F169" s="35">
        <f>IF(B169="","",SUMIFS('سجل التحفيز'!$G$5:$G$2004,'سجل التحفيز'!$X$5:$X$2004,"&gt;0",'سجل التحفيز'!$B$5:$B$2004,B169))</f>
        <v/>
      </c>
      <c r="G169" s="35">
        <f>IF(B169="","",COUNTIF($D$38:$D$187,"&gt;"&amp;D169)+1)</f>
        <v/>
      </c>
      <c r="H169" s="35">
        <f>IF(B169="","",INDEX(الموظفات!$L$5:$L$304,MATCH(B169,الموظفات!$B$5:$B$304,0)))</f>
        <v/>
      </c>
      <c r="K169" s="36">
        <f>IF(132&gt;$B$10,"",132)</f>
        <v/>
      </c>
      <c r="L169" s="37">
        <f>IF($K169="","",INDEX('سجل التحفيز'!$A$5:$A$2004,MATCH($K169,'سجل التحفيز'!$X$5:$X$2004,0)))</f>
        <v/>
      </c>
      <c r="M169" s="9">
        <f>IF($K169="","",INDEX('سجل التحفيز'!$B$5:$B$2004,MATCH($K169,'سجل التحفيز'!$X$5:$X$2004,0)))</f>
        <v/>
      </c>
      <c r="N169" s="9">
        <f>IF($K169="","",INDEX('سجل التحفيز'!$M$5:$M$2004,MATCH($K169,'سجل التحفيز'!$X$5:$X$2004,0)))</f>
        <v/>
      </c>
      <c r="O169" s="9">
        <f>IF($K169="","",INDEX('سجل التحفيز'!$C$5:$C$2004,MATCH($K169,'سجل التحفيز'!$X$5:$X$2004,0)))</f>
        <v/>
      </c>
      <c r="P169" s="36">
        <f>IF($K169="","",INDEX('سجل التحفيز'!$D$5:$D$2004,MATCH($K169,'سجل التحفيز'!$X$5:$X$2004,0)))</f>
        <v/>
      </c>
      <c r="Q169" s="9">
        <f>IF($K169="","",INDEX('سجل التحفيز'!$E$5:$E$2004,MATCH($K169,'سجل التحفيز'!$X$5:$X$2004,0)))</f>
        <v/>
      </c>
      <c r="R169" s="9">
        <f>IF($K169="","",INDEX('سجل التحفيز'!$F$5:$F$2004,MATCH($K169,'سجل التحفيز'!$X$5:$X$2004,0)))</f>
        <v/>
      </c>
      <c r="S169" s="35">
        <f>IF($K169="","",INDEX('سجل التحفيز'!$G$5:$G$2004,MATCH($K169,'سجل التحفيز'!$X$5:$X$2004,0)))</f>
        <v/>
      </c>
    </row>
    <row r="170">
      <c r="B170" s="34">
        <f>IFERROR(INDEX(الموظفات!$B$5:$B$304,MATCH(133,الموظفات!$R$5:$R$304,0)),"")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التحفيز'!$X$5:$X$2004,"&gt;0",'سجل التحفيز'!$B$5:$B$2004,B170))</f>
        <v/>
      </c>
      <c r="E170" s="35">
        <f>IF(B170="","",COUNTIFS('سجل التحفيز'!$X$5:$X$2004,"&gt;0",'سجل التحفيز'!$B$5:$B$2004,B170,'سجل التحفيز'!$D$5:$D$2004,"ذهبي"))</f>
        <v/>
      </c>
      <c r="F170" s="35">
        <f>IF(B170="","",SUMIFS('سجل التحفيز'!$G$5:$G$2004,'سجل التحفيز'!$X$5:$X$2004,"&gt;0",'سجل التحفيز'!$B$5:$B$2004,B170))</f>
        <v/>
      </c>
      <c r="G170" s="35">
        <f>IF(B170="","",COUNTIF($D$38:$D$187,"&gt;"&amp;D170)+1)</f>
        <v/>
      </c>
      <c r="H170" s="35">
        <f>IF(B170="","",INDEX(الموظفات!$L$5:$L$304,MATCH(B170,الموظفات!$B$5:$B$304,0)))</f>
        <v/>
      </c>
      <c r="K170" s="36">
        <f>IF(133&gt;$B$10,"",133)</f>
        <v/>
      </c>
      <c r="L170" s="37">
        <f>IF($K170="","",INDEX('سجل التحفيز'!$A$5:$A$2004,MATCH($K170,'سجل التحفيز'!$X$5:$X$2004,0)))</f>
        <v/>
      </c>
      <c r="M170" s="9">
        <f>IF($K170="","",INDEX('سجل التحفيز'!$B$5:$B$2004,MATCH($K170,'سجل التحفيز'!$X$5:$X$2004,0)))</f>
        <v/>
      </c>
      <c r="N170" s="9">
        <f>IF($K170="","",INDEX('سجل التحفيز'!$M$5:$M$2004,MATCH($K170,'سجل التحفيز'!$X$5:$X$2004,0)))</f>
        <v/>
      </c>
      <c r="O170" s="9">
        <f>IF($K170="","",INDEX('سجل التحفيز'!$C$5:$C$2004,MATCH($K170,'سجل التحفيز'!$X$5:$X$2004,0)))</f>
        <v/>
      </c>
      <c r="P170" s="36">
        <f>IF($K170="","",INDEX('سجل التحفيز'!$D$5:$D$2004,MATCH($K170,'سجل التحفيز'!$X$5:$X$2004,0)))</f>
        <v/>
      </c>
      <c r="Q170" s="9">
        <f>IF($K170="","",INDEX('سجل التحفيز'!$E$5:$E$2004,MATCH($K170,'سجل التحفيز'!$X$5:$X$2004,0)))</f>
        <v/>
      </c>
      <c r="R170" s="9">
        <f>IF($K170="","",INDEX('سجل التحفيز'!$F$5:$F$2004,MATCH($K170,'سجل التحفيز'!$X$5:$X$2004,0)))</f>
        <v/>
      </c>
      <c r="S170" s="35">
        <f>IF($K170="","",INDEX('سجل التحفيز'!$G$5:$G$2004,MATCH($K170,'سجل التحفيز'!$X$5:$X$2004,0)))</f>
        <v/>
      </c>
    </row>
    <row r="171">
      <c r="B171" s="34">
        <f>IFERROR(INDEX(الموظفات!$B$5:$B$304,MATCH(134,الموظفات!$R$5:$R$304,0)),"")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التحفيز'!$X$5:$X$2004,"&gt;0",'سجل التحفيز'!$B$5:$B$2004,B171))</f>
        <v/>
      </c>
      <c r="E171" s="35">
        <f>IF(B171="","",COUNTIFS('سجل التحفيز'!$X$5:$X$2004,"&gt;0",'سجل التحفيز'!$B$5:$B$2004,B171,'سجل التحفيز'!$D$5:$D$2004,"ذهبي"))</f>
        <v/>
      </c>
      <c r="F171" s="35">
        <f>IF(B171="","",SUMIFS('سجل التحفيز'!$G$5:$G$2004,'سجل التحفيز'!$X$5:$X$2004,"&gt;0",'سجل التحفيز'!$B$5:$B$2004,B171))</f>
        <v/>
      </c>
      <c r="G171" s="35">
        <f>IF(B171="","",COUNTIF($D$38:$D$187,"&gt;"&amp;D171)+1)</f>
        <v/>
      </c>
      <c r="H171" s="35">
        <f>IF(B171="","",INDEX(الموظفات!$L$5:$L$304,MATCH(B171,الموظفات!$B$5:$B$304,0)))</f>
        <v/>
      </c>
      <c r="K171" s="36">
        <f>IF(134&gt;$B$10,"",134)</f>
        <v/>
      </c>
      <c r="L171" s="37">
        <f>IF($K171="","",INDEX('سجل التحفيز'!$A$5:$A$2004,MATCH($K171,'سجل التحفيز'!$X$5:$X$2004,0)))</f>
        <v/>
      </c>
      <c r="M171" s="9">
        <f>IF($K171="","",INDEX('سجل التحفيز'!$B$5:$B$2004,MATCH($K171,'سجل التحفيز'!$X$5:$X$2004,0)))</f>
        <v/>
      </c>
      <c r="N171" s="9">
        <f>IF($K171="","",INDEX('سجل التحفيز'!$M$5:$M$2004,MATCH($K171,'سجل التحفيز'!$X$5:$X$2004,0)))</f>
        <v/>
      </c>
      <c r="O171" s="9">
        <f>IF($K171="","",INDEX('سجل التحفيز'!$C$5:$C$2004,MATCH($K171,'سجل التحفيز'!$X$5:$X$2004,0)))</f>
        <v/>
      </c>
      <c r="P171" s="36">
        <f>IF($K171="","",INDEX('سجل التحفيز'!$D$5:$D$2004,MATCH($K171,'سجل التحفيز'!$X$5:$X$2004,0)))</f>
        <v/>
      </c>
      <c r="Q171" s="9">
        <f>IF($K171="","",INDEX('سجل التحفيز'!$E$5:$E$2004,MATCH($K171,'سجل التحفيز'!$X$5:$X$2004,0)))</f>
        <v/>
      </c>
      <c r="R171" s="9">
        <f>IF($K171="","",INDEX('سجل التحفيز'!$F$5:$F$2004,MATCH($K171,'سجل التحفيز'!$X$5:$X$2004,0)))</f>
        <v/>
      </c>
      <c r="S171" s="35">
        <f>IF($K171="","",INDEX('سجل التحفيز'!$G$5:$G$2004,MATCH($K171,'سجل التحفيز'!$X$5:$X$2004,0)))</f>
        <v/>
      </c>
    </row>
    <row r="172">
      <c r="B172" s="34">
        <f>IFERROR(INDEX(الموظفات!$B$5:$B$304,MATCH(135,الموظفات!$R$5:$R$304,0)),"")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التحفيز'!$X$5:$X$2004,"&gt;0",'سجل التحفيز'!$B$5:$B$2004,B172))</f>
        <v/>
      </c>
      <c r="E172" s="35">
        <f>IF(B172="","",COUNTIFS('سجل التحفيز'!$X$5:$X$2004,"&gt;0",'سجل التحفيز'!$B$5:$B$2004,B172,'سجل التحفيز'!$D$5:$D$2004,"ذهبي"))</f>
        <v/>
      </c>
      <c r="F172" s="35">
        <f>IF(B172="","",SUMIFS('سجل التحفيز'!$G$5:$G$2004,'سجل التحفيز'!$X$5:$X$2004,"&gt;0",'سجل التحفيز'!$B$5:$B$2004,B172))</f>
        <v/>
      </c>
      <c r="G172" s="35">
        <f>IF(B172="","",COUNTIF($D$38:$D$187,"&gt;"&amp;D172)+1)</f>
        <v/>
      </c>
      <c r="H172" s="35">
        <f>IF(B172="","",INDEX(الموظفات!$L$5:$L$304,MATCH(B172,الموظفات!$B$5:$B$304,0)))</f>
        <v/>
      </c>
      <c r="K172" s="36">
        <f>IF(135&gt;$B$10,"",135)</f>
        <v/>
      </c>
      <c r="L172" s="37">
        <f>IF($K172="","",INDEX('سجل التحفيز'!$A$5:$A$2004,MATCH($K172,'سجل التحفيز'!$X$5:$X$2004,0)))</f>
        <v/>
      </c>
      <c r="M172" s="9">
        <f>IF($K172="","",INDEX('سجل التحفيز'!$B$5:$B$2004,MATCH($K172,'سجل التحفيز'!$X$5:$X$2004,0)))</f>
        <v/>
      </c>
      <c r="N172" s="9">
        <f>IF($K172="","",INDEX('سجل التحفيز'!$M$5:$M$2004,MATCH($K172,'سجل التحفيز'!$X$5:$X$2004,0)))</f>
        <v/>
      </c>
      <c r="O172" s="9">
        <f>IF($K172="","",INDEX('سجل التحفيز'!$C$5:$C$2004,MATCH($K172,'سجل التحفيز'!$X$5:$X$2004,0)))</f>
        <v/>
      </c>
      <c r="P172" s="36">
        <f>IF($K172="","",INDEX('سجل التحفيز'!$D$5:$D$2004,MATCH($K172,'سجل التحفيز'!$X$5:$X$2004,0)))</f>
        <v/>
      </c>
      <c r="Q172" s="9">
        <f>IF($K172="","",INDEX('سجل التحفيز'!$E$5:$E$2004,MATCH($K172,'سجل التحفيز'!$X$5:$X$2004,0)))</f>
        <v/>
      </c>
      <c r="R172" s="9">
        <f>IF($K172="","",INDEX('سجل التحفيز'!$F$5:$F$2004,MATCH($K172,'سجل التحفيز'!$X$5:$X$2004,0)))</f>
        <v/>
      </c>
      <c r="S172" s="35">
        <f>IF($K172="","",INDEX('سجل التحفيز'!$G$5:$G$2004,MATCH($K172,'سجل التحفيز'!$X$5:$X$2004,0)))</f>
        <v/>
      </c>
    </row>
    <row r="173">
      <c r="B173" s="34">
        <f>IFERROR(INDEX(الموظفات!$B$5:$B$304,MATCH(136,الموظفات!$R$5:$R$304,0)),"")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التحفيز'!$X$5:$X$2004,"&gt;0",'سجل التحفيز'!$B$5:$B$2004,B173))</f>
        <v/>
      </c>
      <c r="E173" s="35">
        <f>IF(B173="","",COUNTIFS('سجل التحفيز'!$X$5:$X$2004,"&gt;0",'سجل التحفيز'!$B$5:$B$2004,B173,'سجل التحفيز'!$D$5:$D$2004,"ذهبي"))</f>
        <v/>
      </c>
      <c r="F173" s="35">
        <f>IF(B173="","",SUMIFS('سجل التحفيز'!$G$5:$G$2004,'سجل التحفيز'!$X$5:$X$2004,"&gt;0",'سجل التحفيز'!$B$5:$B$2004,B173))</f>
        <v/>
      </c>
      <c r="G173" s="35">
        <f>IF(B173="","",COUNTIF($D$38:$D$187,"&gt;"&amp;D173)+1)</f>
        <v/>
      </c>
      <c r="H173" s="35">
        <f>IF(B173="","",INDEX(الموظفات!$L$5:$L$304,MATCH(B173,الموظفات!$B$5:$B$304,0)))</f>
        <v/>
      </c>
      <c r="K173" s="36">
        <f>IF(136&gt;$B$10,"",136)</f>
        <v/>
      </c>
      <c r="L173" s="37">
        <f>IF($K173="","",INDEX('سجل التحفيز'!$A$5:$A$2004,MATCH($K173,'سجل التحفيز'!$X$5:$X$2004,0)))</f>
        <v/>
      </c>
      <c r="M173" s="9">
        <f>IF($K173="","",INDEX('سجل التحفيز'!$B$5:$B$2004,MATCH($K173,'سجل التحفيز'!$X$5:$X$2004,0)))</f>
        <v/>
      </c>
      <c r="N173" s="9">
        <f>IF($K173="","",INDEX('سجل التحفيز'!$M$5:$M$2004,MATCH($K173,'سجل التحفيز'!$X$5:$X$2004,0)))</f>
        <v/>
      </c>
      <c r="O173" s="9">
        <f>IF($K173="","",INDEX('سجل التحفيز'!$C$5:$C$2004,MATCH($K173,'سجل التحفيز'!$X$5:$X$2004,0)))</f>
        <v/>
      </c>
      <c r="P173" s="36">
        <f>IF($K173="","",INDEX('سجل التحفيز'!$D$5:$D$2004,MATCH($K173,'سجل التحفيز'!$X$5:$X$2004,0)))</f>
        <v/>
      </c>
      <c r="Q173" s="9">
        <f>IF($K173="","",INDEX('سجل التحفيز'!$E$5:$E$2004,MATCH($K173,'سجل التحفيز'!$X$5:$X$2004,0)))</f>
        <v/>
      </c>
      <c r="R173" s="9">
        <f>IF($K173="","",INDEX('سجل التحفيز'!$F$5:$F$2004,MATCH($K173,'سجل التحفيز'!$X$5:$X$2004,0)))</f>
        <v/>
      </c>
      <c r="S173" s="35">
        <f>IF($K173="","",INDEX('سجل التحفيز'!$G$5:$G$2004,MATCH($K173,'سجل التحفيز'!$X$5:$X$2004,0)))</f>
        <v/>
      </c>
    </row>
    <row r="174">
      <c r="B174" s="34">
        <f>IFERROR(INDEX(الموظفات!$B$5:$B$304,MATCH(137,الموظفات!$R$5:$R$304,0)),"")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التحفيز'!$X$5:$X$2004,"&gt;0",'سجل التحفيز'!$B$5:$B$2004,B174))</f>
        <v/>
      </c>
      <c r="E174" s="35">
        <f>IF(B174="","",COUNTIFS('سجل التحفيز'!$X$5:$X$2004,"&gt;0",'سجل التحفيز'!$B$5:$B$2004,B174,'سجل التحفيز'!$D$5:$D$2004,"ذهبي"))</f>
        <v/>
      </c>
      <c r="F174" s="35">
        <f>IF(B174="","",SUMIFS('سجل التحفيز'!$G$5:$G$2004,'سجل التحفيز'!$X$5:$X$2004,"&gt;0",'سجل التحفيز'!$B$5:$B$2004,B174))</f>
        <v/>
      </c>
      <c r="G174" s="35">
        <f>IF(B174="","",COUNTIF($D$38:$D$187,"&gt;"&amp;D174)+1)</f>
        <v/>
      </c>
      <c r="H174" s="35">
        <f>IF(B174="","",INDEX(الموظفات!$L$5:$L$304,MATCH(B174,الموظفات!$B$5:$B$304,0)))</f>
        <v/>
      </c>
      <c r="K174" s="36">
        <f>IF(137&gt;$B$10,"",137)</f>
        <v/>
      </c>
      <c r="L174" s="37">
        <f>IF($K174="","",INDEX('سجل التحفيز'!$A$5:$A$2004,MATCH($K174,'سجل التحفيز'!$X$5:$X$2004,0)))</f>
        <v/>
      </c>
      <c r="M174" s="9">
        <f>IF($K174="","",INDEX('سجل التحفيز'!$B$5:$B$2004,MATCH($K174,'سجل التحفيز'!$X$5:$X$2004,0)))</f>
        <v/>
      </c>
      <c r="N174" s="9">
        <f>IF($K174="","",INDEX('سجل التحفيز'!$M$5:$M$2004,MATCH($K174,'سجل التحفيز'!$X$5:$X$2004,0)))</f>
        <v/>
      </c>
      <c r="O174" s="9">
        <f>IF($K174="","",INDEX('سجل التحفيز'!$C$5:$C$2004,MATCH($K174,'سجل التحفيز'!$X$5:$X$2004,0)))</f>
        <v/>
      </c>
      <c r="P174" s="36">
        <f>IF($K174="","",INDEX('سجل التحفيز'!$D$5:$D$2004,MATCH($K174,'سجل التحفيز'!$X$5:$X$2004,0)))</f>
        <v/>
      </c>
      <c r="Q174" s="9">
        <f>IF($K174="","",INDEX('سجل التحفيز'!$E$5:$E$2004,MATCH($K174,'سجل التحفيز'!$X$5:$X$2004,0)))</f>
        <v/>
      </c>
      <c r="R174" s="9">
        <f>IF($K174="","",INDEX('سجل التحفيز'!$F$5:$F$2004,MATCH($K174,'سجل التحفيز'!$X$5:$X$2004,0)))</f>
        <v/>
      </c>
      <c r="S174" s="35">
        <f>IF($K174="","",INDEX('سجل التحفيز'!$G$5:$G$2004,MATCH($K174,'سجل التحفيز'!$X$5:$X$2004,0)))</f>
        <v/>
      </c>
    </row>
    <row r="175">
      <c r="B175" s="34">
        <f>IFERROR(INDEX(الموظفات!$B$5:$B$304,MATCH(138,الموظفات!$R$5:$R$304,0)),"")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التحفيز'!$X$5:$X$2004,"&gt;0",'سجل التحفيز'!$B$5:$B$2004,B175))</f>
        <v/>
      </c>
      <c r="E175" s="35">
        <f>IF(B175="","",COUNTIFS('سجل التحفيز'!$X$5:$X$2004,"&gt;0",'سجل التحفيز'!$B$5:$B$2004,B175,'سجل التحفيز'!$D$5:$D$2004,"ذهبي"))</f>
        <v/>
      </c>
      <c r="F175" s="35">
        <f>IF(B175="","",SUMIFS('سجل التحفيز'!$G$5:$G$2004,'سجل التحفيز'!$X$5:$X$2004,"&gt;0",'سجل التحفيز'!$B$5:$B$2004,B175))</f>
        <v/>
      </c>
      <c r="G175" s="35">
        <f>IF(B175="","",COUNTIF($D$38:$D$187,"&gt;"&amp;D175)+1)</f>
        <v/>
      </c>
      <c r="H175" s="35">
        <f>IF(B175="","",INDEX(الموظفات!$L$5:$L$304,MATCH(B175,الموظفات!$B$5:$B$304,0)))</f>
        <v/>
      </c>
      <c r="K175" s="36">
        <f>IF(138&gt;$B$10,"",138)</f>
        <v/>
      </c>
      <c r="L175" s="37">
        <f>IF($K175="","",INDEX('سجل التحفيز'!$A$5:$A$2004,MATCH($K175,'سجل التحفيز'!$X$5:$X$2004,0)))</f>
        <v/>
      </c>
      <c r="M175" s="9">
        <f>IF($K175="","",INDEX('سجل التحفيز'!$B$5:$B$2004,MATCH($K175,'سجل التحفيز'!$X$5:$X$2004,0)))</f>
        <v/>
      </c>
      <c r="N175" s="9">
        <f>IF($K175="","",INDEX('سجل التحفيز'!$M$5:$M$2004,MATCH($K175,'سجل التحفيز'!$X$5:$X$2004,0)))</f>
        <v/>
      </c>
      <c r="O175" s="9">
        <f>IF($K175="","",INDEX('سجل التحفيز'!$C$5:$C$2004,MATCH($K175,'سجل التحفيز'!$X$5:$X$2004,0)))</f>
        <v/>
      </c>
      <c r="P175" s="36">
        <f>IF($K175="","",INDEX('سجل التحفيز'!$D$5:$D$2004,MATCH($K175,'سجل التحفيز'!$X$5:$X$2004,0)))</f>
        <v/>
      </c>
      <c r="Q175" s="9">
        <f>IF($K175="","",INDEX('سجل التحفيز'!$E$5:$E$2004,MATCH($K175,'سجل التحفيز'!$X$5:$X$2004,0)))</f>
        <v/>
      </c>
      <c r="R175" s="9">
        <f>IF($K175="","",INDEX('سجل التحفيز'!$F$5:$F$2004,MATCH($K175,'سجل التحفيز'!$X$5:$X$2004,0)))</f>
        <v/>
      </c>
      <c r="S175" s="35">
        <f>IF($K175="","",INDEX('سجل التحفيز'!$G$5:$G$2004,MATCH($K175,'سجل التحفيز'!$X$5:$X$2004,0)))</f>
        <v/>
      </c>
    </row>
    <row r="176">
      <c r="B176" s="34">
        <f>IFERROR(INDEX(الموظفات!$B$5:$B$304,MATCH(139,الموظفات!$R$5:$R$304,0)),"")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التحفيز'!$X$5:$X$2004,"&gt;0",'سجل التحفيز'!$B$5:$B$2004,B176))</f>
        <v/>
      </c>
      <c r="E176" s="35">
        <f>IF(B176="","",COUNTIFS('سجل التحفيز'!$X$5:$X$2004,"&gt;0",'سجل التحفيز'!$B$5:$B$2004,B176,'سجل التحفيز'!$D$5:$D$2004,"ذهبي"))</f>
        <v/>
      </c>
      <c r="F176" s="35">
        <f>IF(B176="","",SUMIFS('سجل التحفيز'!$G$5:$G$2004,'سجل التحفيز'!$X$5:$X$2004,"&gt;0",'سجل التحفيز'!$B$5:$B$2004,B176))</f>
        <v/>
      </c>
      <c r="G176" s="35">
        <f>IF(B176="","",COUNTIF($D$38:$D$187,"&gt;"&amp;D176)+1)</f>
        <v/>
      </c>
      <c r="H176" s="35">
        <f>IF(B176="","",INDEX(الموظفات!$L$5:$L$304,MATCH(B176,الموظفات!$B$5:$B$304,0)))</f>
        <v/>
      </c>
      <c r="K176" s="36">
        <f>IF(139&gt;$B$10,"",139)</f>
        <v/>
      </c>
      <c r="L176" s="37">
        <f>IF($K176="","",INDEX('سجل التحفيز'!$A$5:$A$2004,MATCH($K176,'سجل التحفيز'!$X$5:$X$2004,0)))</f>
        <v/>
      </c>
      <c r="M176" s="9">
        <f>IF($K176="","",INDEX('سجل التحفيز'!$B$5:$B$2004,MATCH($K176,'سجل التحفيز'!$X$5:$X$2004,0)))</f>
        <v/>
      </c>
      <c r="N176" s="9">
        <f>IF($K176="","",INDEX('سجل التحفيز'!$M$5:$M$2004,MATCH($K176,'سجل التحفيز'!$X$5:$X$2004,0)))</f>
        <v/>
      </c>
      <c r="O176" s="9">
        <f>IF($K176="","",INDEX('سجل التحفيز'!$C$5:$C$2004,MATCH($K176,'سجل التحفيز'!$X$5:$X$2004,0)))</f>
        <v/>
      </c>
      <c r="P176" s="36">
        <f>IF($K176="","",INDEX('سجل التحفيز'!$D$5:$D$2004,MATCH($K176,'سجل التحفيز'!$X$5:$X$2004,0)))</f>
        <v/>
      </c>
      <c r="Q176" s="9">
        <f>IF($K176="","",INDEX('سجل التحفيز'!$E$5:$E$2004,MATCH($K176,'سجل التحفيز'!$X$5:$X$2004,0)))</f>
        <v/>
      </c>
      <c r="R176" s="9">
        <f>IF($K176="","",INDEX('سجل التحفيز'!$F$5:$F$2004,MATCH($K176,'سجل التحفيز'!$X$5:$X$2004,0)))</f>
        <v/>
      </c>
      <c r="S176" s="35">
        <f>IF($K176="","",INDEX('سجل التحفيز'!$G$5:$G$2004,MATCH($K176,'سجل التحفيز'!$X$5:$X$2004,0)))</f>
        <v/>
      </c>
    </row>
    <row r="177">
      <c r="B177" s="34">
        <f>IFERROR(INDEX(الموظفات!$B$5:$B$304,MATCH(140,الموظفات!$R$5:$R$304,0)),"")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التحفيز'!$X$5:$X$2004,"&gt;0",'سجل التحفيز'!$B$5:$B$2004,B177))</f>
        <v/>
      </c>
      <c r="E177" s="35">
        <f>IF(B177="","",COUNTIFS('سجل التحفيز'!$X$5:$X$2004,"&gt;0",'سجل التحفيز'!$B$5:$B$2004,B177,'سجل التحفيز'!$D$5:$D$2004,"ذهبي"))</f>
        <v/>
      </c>
      <c r="F177" s="35">
        <f>IF(B177="","",SUMIFS('سجل التحفيز'!$G$5:$G$2004,'سجل التحفيز'!$X$5:$X$2004,"&gt;0",'سجل التحفيز'!$B$5:$B$2004,B177))</f>
        <v/>
      </c>
      <c r="G177" s="35">
        <f>IF(B177="","",COUNTIF($D$38:$D$187,"&gt;"&amp;D177)+1)</f>
        <v/>
      </c>
      <c r="H177" s="35">
        <f>IF(B177="","",INDEX(الموظفات!$L$5:$L$304,MATCH(B177,الموظفات!$B$5:$B$304,0)))</f>
        <v/>
      </c>
      <c r="K177" s="36">
        <f>IF(140&gt;$B$10,"",140)</f>
        <v/>
      </c>
      <c r="L177" s="37">
        <f>IF($K177="","",INDEX('سجل التحفيز'!$A$5:$A$2004,MATCH($K177,'سجل التحفيز'!$X$5:$X$2004,0)))</f>
        <v/>
      </c>
      <c r="M177" s="9">
        <f>IF($K177="","",INDEX('سجل التحفيز'!$B$5:$B$2004,MATCH($K177,'سجل التحفيز'!$X$5:$X$2004,0)))</f>
        <v/>
      </c>
      <c r="N177" s="9">
        <f>IF($K177="","",INDEX('سجل التحفيز'!$M$5:$M$2004,MATCH($K177,'سجل التحفيز'!$X$5:$X$2004,0)))</f>
        <v/>
      </c>
      <c r="O177" s="9">
        <f>IF($K177="","",INDEX('سجل التحفيز'!$C$5:$C$2004,MATCH($K177,'سجل التحفيز'!$X$5:$X$2004,0)))</f>
        <v/>
      </c>
      <c r="P177" s="36">
        <f>IF($K177="","",INDEX('سجل التحفيز'!$D$5:$D$2004,MATCH($K177,'سجل التحفيز'!$X$5:$X$2004,0)))</f>
        <v/>
      </c>
      <c r="Q177" s="9">
        <f>IF($K177="","",INDEX('سجل التحفيز'!$E$5:$E$2004,MATCH($K177,'سجل التحفيز'!$X$5:$X$2004,0)))</f>
        <v/>
      </c>
      <c r="R177" s="9">
        <f>IF($K177="","",INDEX('سجل التحفيز'!$F$5:$F$2004,MATCH($K177,'سجل التحفيز'!$X$5:$X$2004,0)))</f>
        <v/>
      </c>
      <c r="S177" s="35">
        <f>IF($K177="","",INDEX('سجل التحفيز'!$G$5:$G$2004,MATCH($K177,'سجل التحفيز'!$X$5:$X$2004,0)))</f>
        <v/>
      </c>
    </row>
    <row r="178">
      <c r="B178" s="34">
        <f>IFERROR(INDEX(الموظفات!$B$5:$B$304,MATCH(141,الموظفات!$R$5:$R$304,0)),"")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التحفيز'!$X$5:$X$2004,"&gt;0",'سجل التحفيز'!$B$5:$B$2004,B178))</f>
        <v/>
      </c>
      <c r="E178" s="35">
        <f>IF(B178="","",COUNTIFS('سجل التحفيز'!$X$5:$X$2004,"&gt;0",'سجل التحفيز'!$B$5:$B$2004,B178,'سجل التحفيز'!$D$5:$D$2004,"ذهبي"))</f>
        <v/>
      </c>
      <c r="F178" s="35">
        <f>IF(B178="","",SUMIFS('سجل التحفيز'!$G$5:$G$2004,'سجل التحفيز'!$X$5:$X$2004,"&gt;0",'سجل التحفيز'!$B$5:$B$2004,B178))</f>
        <v/>
      </c>
      <c r="G178" s="35">
        <f>IF(B178="","",COUNTIF($D$38:$D$187,"&gt;"&amp;D178)+1)</f>
        <v/>
      </c>
      <c r="H178" s="35">
        <f>IF(B178="","",INDEX(الموظفات!$L$5:$L$304,MATCH(B178,الموظفات!$B$5:$B$304,0)))</f>
        <v/>
      </c>
      <c r="K178" s="36">
        <f>IF(141&gt;$B$10,"",141)</f>
        <v/>
      </c>
      <c r="L178" s="37">
        <f>IF($K178="","",INDEX('سجل التحفيز'!$A$5:$A$2004,MATCH($K178,'سجل التحفيز'!$X$5:$X$2004,0)))</f>
        <v/>
      </c>
      <c r="M178" s="9">
        <f>IF($K178="","",INDEX('سجل التحفيز'!$B$5:$B$2004,MATCH($K178,'سجل التحفيز'!$X$5:$X$2004,0)))</f>
        <v/>
      </c>
      <c r="N178" s="9">
        <f>IF($K178="","",INDEX('سجل التحفيز'!$M$5:$M$2004,MATCH($K178,'سجل التحفيز'!$X$5:$X$2004,0)))</f>
        <v/>
      </c>
      <c r="O178" s="9">
        <f>IF($K178="","",INDEX('سجل التحفيز'!$C$5:$C$2004,MATCH($K178,'سجل التحفيز'!$X$5:$X$2004,0)))</f>
        <v/>
      </c>
      <c r="P178" s="36">
        <f>IF($K178="","",INDEX('سجل التحفيز'!$D$5:$D$2004,MATCH($K178,'سجل التحفيز'!$X$5:$X$2004,0)))</f>
        <v/>
      </c>
      <c r="Q178" s="9">
        <f>IF($K178="","",INDEX('سجل التحفيز'!$E$5:$E$2004,MATCH($K178,'سجل التحفيز'!$X$5:$X$2004,0)))</f>
        <v/>
      </c>
      <c r="R178" s="9">
        <f>IF($K178="","",INDEX('سجل التحفيز'!$F$5:$F$2004,MATCH($K178,'سجل التحفيز'!$X$5:$X$2004,0)))</f>
        <v/>
      </c>
      <c r="S178" s="35">
        <f>IF($K178="","",INDEX('سجل التحفيز'!$G$5:$G$2004,MATCH($K178,'سجل التحفيز'!$X$5:$X$2004,0)))</f>
        <v/>
      </c>
    </row>
    <row r="179">
      <c r="B179" s="34">
        <f>IFERROR(INDEX(الموظفات!$B$5:$B$304,MATCH(142,الموظفات!$R$5:$R$304,0)),"")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التحفيز'!$X$5:$X$2004,"&gt;0",'سجل التحفيز'!$B$5:$B$2004,B179))</f>
        <v/>
      </c>
      <c r="E179" s="35">
        <f>IF(B179="","",COUNTIFS('سجل التحفيز'!$X$5:$X$2004,"&gt;0",'سجل التحفيز'!$B$5:$B$2004,B179,'سجل التحفيز'!$D$5:$D$2004,"ذهبي"))</f>
        <v/>
      </c>
      <c r="F179" s="35">
        <f>IF(B179="","",SUMIFS('سجل التحفيز'!$G$5:$G$2004,'سجل التحفيز'!$X$5:$X$2004,"&gt;0",'سجل التحفيز'!$B$5:$B$2004,B179))</f>
        <v/>
      </c>
      <c r="G179" s="35">
        <f>IF(B179="","",COUNTIF($D$38:$D$187,"&gt;"&amp;D179)+1)</f>
        <v/>
      </c>
      <c r="H179" s="35">
        <f>IF(B179="","",INDEX(الموظفات!$L$5:$L$304,MATCH(B179,الموظفات!$B$5:$B$304,0)))</f>
        <v/>
      </c>
      <c r="K179" s="36">
        <f>IF(142&gt;$B$10,"",142)</f>
        <v/>
      </c>
      <c r="L179" s="37">
        <f>IF($K179="","",INDEX('سجل التحفيز'!$A$5:$A$2004,MATCH($K179,'سجل التحفيز'!$X$5:$X$2004,0)))</f>
        <v/>
      </c>
      <c r="M179" s="9">
        <f>IF($K179="","",INDEX('سجل التحفيز'!$B$5:$B$2004,MATCH($K179,'سجل التحفيز'!$X$5:$X$2004,0)))</f>
        <v/>
      </c>
      <c r="N179" s="9">
        <f>IF($K179="","",INDEX('سجل التحفيز'!$M$5:$M$2004,MATCH($K179,'سجل التحفيز'!$X$5:$X$2004,0)))</f>
        <v/>
      </c>
      <c r="O179" s="9">
        <f>IF($K179="","",INDEX('سجل التحفيز'!$C$5:$C$2004,MATCH($K179,'سجل التحفيز'!$X$5:$X$2004,0)))</f>
        <v/>
      </c>
      <c r="P179" s="36">
        <f>IF($K179="","",INDEX('سجل التحفيز'!$D$5:$D$2004,MATCH($K179,'سجل التحفيز'!$X$5:$X$2004,0)))</f>
        <v/>
      </c>
      <c r="Q179" s="9">
        <f>IF($K179="","",INDEX('سجل التحفيز'!$E$5:$E$2004,MATCH($K179,'سجل التحفيز'!$X$5:$X$2004,0)))</f>
        <v/>
      </c>
      <c r="R179" s="9">
        <f>IF($K179="","",INDEX('سجل التحفيز'!$F$5:$F$2004,MATCH($K179,'سجل التحفيز'!$X$5:$X$2004,0)))</f>
        <v/>
      </c>
      <c r="S179" s="35">
        <f>IF($K179="","",INDEX('سجل التحفيز'!$G$5:$G$2004,MATCH($K179,'سجل التحفيز'!$X$5:$X$2004,0)))</f>
        <v/>
      </c>
    </row>
    <row r="180">
      <c r="B180" s="34">
        <f>IFERROR(INDEX(الموظفات!$B$5:$B$304,MATCH(143,الموظفات!$R$5:$R$304,0)),"")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التحفيز'!$X$5:$X$2004,"&gt;0",'سجل التحفيز'!$B$5:$B$2004,B180))</f>
        <v/>
      </c>
      <c r="E180" s="35">
        <f>IF(B180="","",COUNTIFS('سجل التحفيز'!$X$5:$X$2004,"&gt;0",'سجل التحفيز'!$B$5:$B$2004,B180,'سجل التحفيز'!$D$5:$D$2004,"ذهبي"))</f>
        <v/>
      </c>
      <c r="F180" s="35">
        <f>IF(B180="","",SUMIFS('سجل التحفيز'!$G$5:$G$2004,'سجل التحفيز'!$X$5:$X$2004,"&gt;0",'سجل التحفيز'!$B$5:$B$2004,B180))</f>
        <v/>
      </c>
      <c r="G180" s="35">
        <f>IF(B180="","",COUNTIF($D$38:$D$187,"&gt;"&amp;D180)+1)</f>
        <v/>
      </c>
      <c r="H180" s="35">
        <f>IF(B180="","",INDEX(الموظفات!$L$5:$L$304,MATCH(B180,الموظفات!$B$5:$B$304,0)))</f>
        <v/>
      </c>
      <c r="K180" s="36">
        <f>IF(143&gt;$B$10,"",143)</f>
        <v/>
      </c>
      <c r="L180" s="37">
        <f>IF($K180="","",INDEX('سجل التحفيز'!$A$5:$A$2004,MATCH($K180,'سجل التحفيز'!$X$5:$X$2004,0)))</f>
        <v/>
      </c>
      <c r="M180" s="9">
        <f>IF($K180="","",INDEX('سجل التحفيز'!$B$5:$B$2004,MATCH($K180,'سجل التحفيز'!$X$5:$X$2004,0)))</f>
        <v/>
      </c>
      <c r="N180" s="9">
        <f>IF($K180="","",INDEX('سجل التحفيز'!$M$5:$M$2004,MATCH($K180,'سجل التحفيز'!$X$5:$X$2004,0)))</f>
        <v/>
      </c>
      <c r="O180" s="9">
        <f>IF($K180="","",INDEX('سجل التحفيز'!$C$5:$C$2004,MATCH($K180,'سجل التحفيز'!$X$5:$X$2004,0)))</f>
        <v/>
      </c>
      <c r="P180" s="36">
        <f>IF($K180="","",INDEX('سجل التحفيز'!$D$5:$D$2004,MATCH($K180,'سجل التحفيز'!$X$5:$X$2004,0)))</f>
        <v/>
      </c>
      <c r="Q180" s="9">
        <f>IF($K180="","",INDEX('سجل التحفيز'!$E$5:$E$2004,MATCH($K180,'سجل التحفيز'!$X$5:$X$2004,0)))</f>
        <v/>
      </c>
      <c r="R180" s="9">
        <f>IF($K180="","",INDEX('سجل التحفيز'!$F$5:$F$2004,MATCH($K180,'سجل التحفيز'!$X$5:$X$2004,0)))</f>
        <v/>
      </c>
      <c r="S180" s="35">
        <f>IF($K180="","",INDEX('سجل التحفيز'!$G$5:$G$2004,MATCH($K180,'سجل التحفيز'!$X$5:$X$2004,0)))</f>
        <v/>
      </c>
    </row>
    <row r="181">
      <c r="B181" s="34">
        <f>IFERROR(INDEX(الموظفات!$B$5:$B$304,MATCH(144,الموظفات!$R$5:$R$304,0)),"")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التحفيز'!$X$5:$X$2004,"&gt;0",'سجل التحفيز'!$B$5:$B$2004,B181))</f>
        <v/>
      </c>
      <c r="E181" s="35">
        <f>IF(B181="","",COUNTIFS('سجل التحفيز'!$X$5:$X$2004,"&gt;0",'سجل التحفيز'!$B$5:$B$2004,B181,'سجل التحفيز'!$D$5:$D$2004,"ذهبي"))</f>
        <v/>
      </c>
      <c r="F181" s="35">
        <f>IF(B181="","",SUMIFS('سجل التحفيز'!$G$5:$G$2004,'سجل التحفيز'!$X$5:$X$2004,"&gt;0",'سجل التحفيز'!$B$5:$B$2004,B181))</f>
        <v/>
      </c>
      <c r="G181" s="35">
        <f>IF(B181="","",COUNTIF($D$38:$D$187,"&gt;"&amp;D181)+1)</f>
        <v/>
      </c>
      <c r="H181" s="35">
        <f>IF(B181="","",INDEX(الموظفات!$L$5:$L$304,MATCH(B181,الموظفات!$B$5:$B$304,0)))</f>
        <v/>
      </c>
      <c r="K181" s="36">
        <f>IF(144&gt;$B$10,"",144)</f>
        <v/>
      </c>
      <c r="L181" s="37">
        <f>IF($K181="","",INDEX('سجل التحفيز'!$A$5:$A$2004,MATCH($K181,'سجل التحفيز'!$X$5:$X$2004,0)))</f>
        <v/>
      </c>
      <c r="M181" s="9">
        <f>IF($K181="","",INDEX('سجل التحفيز'!$B$5:$B$2004,MATCH($K181,'سجل التحفيز'!$X$5:$X$2004,0)))</f>
        <v/>
      </c>
      <c r="N181" s="9">
        <f>IF($K181="","",INDEX('سجل التحفيز'!$M$5:$M$2004,MATCH($K181,'سجل التحفيز'!$X$5:$X$2004,0)))</f>
        <v/>
      </c>
      <c r="O181" s="9">
        <f>IF($K181="","",INDEX('سجل التحفيز'!$C$5:$C$2004,MATCH($K181,'سجل التحفيز'!$X$5:$X$2004,0)))</f>
        <v/>
      </c>
      <c r="P181" s="36">
        <f>IF($K181="","",INDEX('سجل التحفيز'!$D$5:$D$2004,MATCH($K181,'سجل التحفيز'!$X$5:$X$2004,0)))</f>
        <v/>
      </c>
      <c r="Q181" s="9">
        <f>IF($K181="","",INDEX('سجل التحفيز'!$E$5:$E$2004,MATCH($K181,'سجل التحفيز'!$X$5:$X$2004,0)))</f>
        <v/>
      </c>
      <c r="R181" s="9">
        <f>IF($K181="","",INDEX('سجل التحفيز'!$F$5:$F$2004,MATCH($K181,'سجل التحفيز'!$X$5:$X$2004,0)))</f>
        <v/>
      </c>
      <c r="S181" s="35">
        <f>IF($K181="","",INDEX('سجل التحفيز'!$G$5:$G$2004,MATCH($K181,'سجل التحفيز'!$X$5:$X$2004,0)))</f>
        <v/>
      </c>
    </row>
    <row r="182">
      <c r="B182" s="34">
        <f>IFERROR(INDEX(الموظفات!$B$5:$B$304,MATCH(145,الموظفات!$R$5:$R$304,0)),"")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التحفيز'!$X$5:$X$2004,"&gt;0",'سجل التحفيز'!$B$5:$B$2004,B182))</f>
        <v/>
      </c>
      <c r="E182" s="35">
        <f>IF(B182="","",COUNTIFS('سجل التحفيز'!$X$5:$X$2004,"&gt;0",'سجل التحفيز'!$B$5:$B$2004,B182,'سجل التحفيز'!$D$5:$D$2004,"ذهبي"))</f>
        <v/>
      </c>
      <c r="F182" s="35">
        <f>IF(B182="","",SUMIFS('سجل التحفيز'!$G$5:$G$2004,'سجل التحفيز'!$X$5:$X$2004,"&gt;0",'سجل التحفيز'!$B$5:$B$2004,B182))</f>
        <v/>
      </c>
      <c r="G182" s="35">
        <f>IF(B182="","",COUNTIF($D$38:$D$187,"&gt;"&amp;D182)+1)</f>
        <v/>
      </c>
      <c r="H182" s="35">
        <f>IF(B182="","",INDEX(الموظفات!$L$5:$L$304,MATCH(B182,الموظفات!$B$5:$B$304,0)))</f>
        <v/>
      </c>
      <c r="K182" s="36">
        <f>IF(145&gt;$B$10,"",145)</f>
        <v/>
      </c>
      <c r="L182" s="37">
        <f>IF($K182="","",INDEX('سجل التحفيز'!$A$5:$A$2004,MATCH($K182,'سجل التحفيز'!$X$5:$X$2004,0)))</f>
        <v/>
      </c>
      <c r="M182" s="9">
        <f>IF($K182="","",INDEX('سجل التحفيز'!$B$5:$B$2004,MATCH($K182,'سجل التحفيز'!$X$5:$X$2004,0)))</f>
        <v/>
      </c>
      <c r="N182" s="9">
        <f>IF($K182="","",INDEX('سجل التحفيز'!$M$5:$M$2004,MATCH($K182,'سجل التحفيز'!$X$5:$X$2004,0)))</f>
        <v/>
      </c>
      <c r="O182" s="9">
        <f>IF($K182="","",INDEX('سجل التحفيز'!$C$5:$C$2004,MATCH($K182,'سجل التحفيز'!$X$5:$X$2004,0)))</f>
        <v/>
      </c>
      <c r="P182" s="36">
        <f>IF($K182="","",INDEX('سجل التحفيز'!$D$5:$D$2004,MATCH($K182,'سجل التحفيز'!$X$5:$X$2004,0)))</f>
        <v/>
      </c>
      <c r="Q182" s="9">
        <f>IF($K182="","",INDEX('سجل التحفيز'!$E$5:$E$2004,MATCH($K182,'سجل التحفيز'!$X$5:$X$2004,0)))</f>
        <v/>
      </c>
      <c r="R182" s="9">
        <f>IF($K182="","",INDEX('سجل التحفيز'!$F$5:$F$2004,MATCH($K182,'سجل التحفيز'!$X$5:$X$2004,0)))</f>
        <v/>
      </c>
      <c r="S182" s="35">
        <f>IF($K182="","",INDEX('سجل التحفيز'!$G$5:$G$2004,MATCH($K182,'سجل التحفيز'!$X$5:$X$2004,0)))</f>
        <v/>
      </c>
    </row>
    <row r="183">
      <c r="B183" s="34">
        <f>IFERROR(INDEX(الموظفات!$B$5:$B$304,MATCH(146,الموظفات!$R$5:$R$304,0)),"")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التحفيز'!$X$5:$X$2004,"&gt;0",'سجل التحفيز'!$B$5:$B$2004,B183))</f>
        <v/>
      </c>
      <c r="E183" s="35">
        <f>IF(B183="","",COUNTIFS('سجل التحفيز'!$X$5:$X$2004,"&gt;0",'سجل التحفيز'!$B$5:$B$2004,B183,'سجل التحفيز'!$D$5:$D$2004,"ذهبي"))</f>
        <v/>
      </c>
      <c r="F183" s="35">
        <f>IF(B183="","",SUMIFS('سجل التحفيز'!$G$5:$G$2004,'سجل التحفيز'!$X$5:$X$2004,"&gt;0",'سجل التحفيز'!$B$5:$B$2004,B183))</f>
        <v/>
      </c>
      <c r="G183" s="35">
        <f>IF(B183="","",COUNTIF($D$38:$D$187,"&gt;"&amp;D183)+1)</f>
        <v/>
      </c>
      <c r="H183" s="35">
        <f>IF(B183="","",INDEX(الموظفات!$L$5:$L$304,MATCH(B183,الموظفات!$B$5:$B$304,0)))</f>
        <v/>
      </c>
      <c r="K183" s="36">
        <f>IF(146&gt;$B$10,"",146)</f>
        <v/>
      </c>
      <c r="L183" s="37">
        <f>IF($K183="","",INDEX('سجل التحفيز'!$A$5:$A$2004,MATCH($K183,'سجل التحفيز'!$X$5:$X$2004,0)))</f>
        <v/>
      </c>
      <c r="M183" s="9">
        <f>IF($K183="","",INDEX('سجل التحفيز'!$B$5:$B$2004,MATCH($K183,'سجل التحفيز'!$X$5:$X$2004,0)))</f>
        <v/>
      </c>
      <c r="N183" s="9">
        <f>IF($K183="","",INDEX('سجل التحفيز'!$M$5:$M$2004,MATCH($K183,'سجل التحفيز'!$X$5:$X$2004,0)))</f>
        <v/>
      </c>
      <c r="O183" s="9">
        <f>IF($K183="","",INDEX('سجل التحفيز'!$C$5:$C$2004,MATCH($K183,'سجل التحفيز'!$X$5:$X$2004,0)))</f>
        <v/>
      </c>
      <c r="P183" s="36">
        <f>IF($K183="","",INDEX('سجل التحفيز'!$D$5:$D$2004,MATCH($K183,'سجل التحفيز'!$X$5:$X$2004,0)))</f>
        <v/>
      </c>
      <c r="Q183" s="9">
        <f>IF($K183="","",INDEX('سجل التحفيز'!$E$5:$E$2004,MATCH($K183,'سجل التحفيز'!$X$5:$X$2004,0)))</f>
        <v/>
      </c>
      <c r="R183" s="9">
        <f>IF($K183="","",INDEX('سجل التحفيز'!$F$5:$F$2004,MATCH($K183,'سجل التحفيز'!$X$5:$X$2004,0)))</f>
        <v/>
      </c>
      <c r="S183" s="35">
        <f>IF($K183="","",INDEX('سجل التحفيز'!$G$5:$G$2004,MATCH($K183,'سجل التحفيز'!$X$5:$X$2004,0)))</f>
        <v/>
      </c>
    </row>
    <row r="184">
      <c r="B184" s="34">
        <f>IFERROR(INDEX(الموظفات!$B$5:$B$304,MATCH(147,الموظفات!$R$5:$R$304,0)),"")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التحفيز'!$X$5:$X$2004,"&gt;0",'سجل التحفيز'!$B$5:$B$2004,B184))</f>
        <v/>
      </c>
      <c r="E184" s="35">
        <f>IF(B184="","",COUNTIFS('سجل التحفيز'!$X$5:$X$2004,"&gt;0",'سجل التحفيز'!$B$5:$B$2004,B184,'سجل التحفيز'!$D$5:$D$2004,"ذهبي"))</f>
        <v/>
      </c>
      <c r="F184" s="35">
        <f>IF(B184="","",SUMIFS('سجل التحفيز'!$G$5:$G$2004,'سجل التحفيز'!$X$5:$X$2004,"&gt;0",'سجل التحفيز'!$B$5:$B$2004,B184))</f>
        <v/>
      </c>
      <c r="G184" s="35">
        <f>IF(B184="","",COUNTIF($D$38:$D$187,"&gt;"&amp;D184)+1)</f>
        <v/>
      </c>
      <c r="H184" s="35">
        <f>IF(B184="","",INDEX(الموظفات!$L$5:$L$304,MATCH(B184,الموظفات!$B$5:$B$304,0)))</f>
        <v/>
      </c>
      <c r="K184" s="36">
        <f>IF(147&gt;$B$10,"",147)</f>
        <v/>
      </c>
      <c r="L184" s="37">
        <f>IF($K184="","",INDEX('سجل التحفيز'!$A$5:$A$2004,MATCH($K184,'سجل التحفيز'!$X$5:$X$2004,0)))</f>
        <v/>
      </c>
      <c r="M184" s="9">
        <f>IF($K184="","",INDEX('سجل التحفيز'!$B$5:$B$2004,MATCH($K184,'سجل التحفيز'!$X$5:$X$2004,0)))</f>
        <v/>
      </c>
      <c r="N184" s="9">
        <f>IF($K184="","",INDEX('سجل التحفيز'!$M$5:$M$2004,MATCH($K184,'سجل التحفيز'!$X$5:$X$2004,0)))</f>
        <v/>
      </c>
      <c r="O184" s="9">
        <f>IF($K184="","",INDEX('سجل التحفيز'!$C$5:$C$2004,MATCH($K184,'سجل التحفيز'!$X$5:$X$2004,0)))</f>
        <v/>
      </c>
      <c r="P184" s="36">
        <f>IF($K184="","",INDEX('سجل التحفيز'!$D$5:$D$2004,MATCH($K184,'سجل التحفيز'!$X$5:$X$2004,0)))</f>
        <v/>
      </c>
      <c r="Q184" s="9">
        <f>IF($K184="","",INDEX('سجل التحفيز'!$E$5:$E$2004,MATCH($K184,'سجل التحفيز'!$X$5:$X$2004,0)))</f>
        <v/>
      </c>
      <c r="R184" s="9">
        <f>IF($K184="","",INDEX('سجل التحفيز'!$F$5:$F$2004,MATCH($K184,'سجل التحفيز'!$X$5:$X$2004,0)))</f>
        <v/>
      </c>
      <c r="S184" s="35">
        <f>IF($K184="","",INDEX('سجل التحفيز'!$G$5:$G$2004,MATCH($K184,'سجل التحفيز'!$X$5:$X$2004,0)))</f>
        <v/>
      </c>
    </row>
    <row r="185">
      <c r="B185" s="34">
        <f>IFERROR(INDEX(الموظفات!$B$5:$B$304,MATCH(148,الموظفات!$R$5:$R$304,0)),"")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التحفيز'!$X$5:$X$2004,"&gt;0",'سجل التحفيز'!$B$5:$B$2004,B185))</f>
        <v/>
      </c>
      <c r="E185" s="35">
        <f>IF(B185="","",COUNTIFS('سجل التحفيز'!$X$5:$X$2004,"&gt;0",'سجل التحفيز'!$B$5:$B$2004,B185,'سجل التحفيز'!$D$5:$D$2004,"ذهبي"))</f>
        <v/>
      </c>
      <c r="F185" s="35">
        <f>IF(B185="","",SUMIFS('سجل التحفيز'!$G$5:$G$2004,'سجل التحفيز'!$X$5:$X$2004,"&gt;0",'سجل التحفيز'!$B$5:$B$2004,B185))</f>
        <v/>
      </c>
      <c r="G185" s="35">
        <f>IF(B185="","",COUNTIF($D$38:$D$187,"&gt;"&amp;D185)+1)</f>
        <v/>
      </c>
      <c r="H185" s="35">
        <f>IF(B185="","",INDEX(الموظفات!$L$5:$L$304,MATCH(B185,الموظفات!$B$5:$B$304,0)))</f>
        <v/>
      </c>
      <c r="K185" s="36">
        <f>IF(148&gt;$B$10,"",148)</f>
        <v/>
      </c>
      <c r="L185" s="37">
        <f>IF($K185="","",INDEX('سجل التحفيز'!$A$5:$A$2004,MATCH($K185,'سجل التحفيز'!$X$5:$X$2004,0)))</f>
        <v/>
      </c>
      <c r="M185" s="9">
        <f>IF($K185="","",INDEX('سجل التحفيز'!$B$5:$B$2004,MATCH($K185,'سجل التحفيز'!$X$5:$X$2004,0)))</f>
        <v/>
      </c>
      <c r="N185" s="9">
        <f>IF($K185="","",INDEX('سجل التحفيز'!$M$5:$M$2004,MATCH($K185,'سجل التحفيز'!$X$5:$X$2004,0)))</f>
        <v/>
      </c>
      <c r="O185" s="9">
        <f>IF($K185="","",INDEX('سجل التحفيز'!$C$5:$C$2004,MATCH($K185,'سجل التحفيز'!$X$5:$X$2004,0)))</f>
        <v/>
      </c>
      <c r="P185" s="36">
        <f>IF($K185="","",INDEX('سجل التحفيز'!$D$5:$D$2004,MATCH($K185,'سجل التحفيز'!$X$5:$X$2004,0)))</f>
        <v/>
      </c>
      <c r="Q185" s="9">
        <f>IF($K185="","",INDEX('سجل التحفيز'!$E$5:$E$2004,MATCH($K185,'سجل التحفيز'!$X$5:$X$2004,0)))</f>
        <v/>
      </c>
      <c r="R185" s="9">
        <f>IF($K185="","",INDEX('سجل التحفيز'!$F$5:$F$2004,MATCH($K185,'سجل التحفيز'!$X$5:$X$2004,0)))</f>
        <v/>
      </c>
      <c r="S185" s="35">
        <f>IF($K185="","",INDEX('سجل التحفيز'!$G$5:$G$2004,MATCH($K185,'سجل التحفيز'!$X$5:$X$2004,0)))</f>
        <v/>
      </c>
    </row>
    <row r="186">
      <c r="B186" s="34">
        <f>IFERROR(INDEX(الموظفات!$B$5:$B$304,MATCH(149,الموظفات!$R$5:$R$304,0)),"")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التحفيز'!$X$5:$X$2004,"&gt;0",'سجل التحفيز'!$B$5:$B$2004,B186))</f>
        <v/>
      </c>
      <c r="E186" s="35">
        <f>IF(B186="","",COUNTIFS('سجل التحفيز'!$X$5:$X$2004,"&gt;0",'سجل التحفيز'!$B$5:$B$2004,B186,'سجل التحفيز'!$D$5:$D$2004,"ذهبي"))</f>
        <v/>
      </c>
      <c r="F186" s="35">
        <f>IF(B186="","",SUMIFS('سجل التحفيز'!$G$5:$G$2004,'سجل التحفيز'!$X$5:$X$2004,"&gt;0",'سجل التحفيز'!$B$5:$B$2004,B186))</f>
        <v/>
      </c>
      <c r="G186" s="35">
        <f>IF(B186="","",COUNTIF($D$38:$D$187,"&gt;"&amp;D186)+1)</f>
        <v/>
      </c>
      <c r="H186" s="35">
        <f>IF(B186="","",INDEX(الموظفات!$L$5:$L$304,MATCH(B186,الموظفات!$B$5:$B$304,0)))</f>
        <v/>
      </c>
      <c r="K186" s="36">
        <f>IF(149&gt;$B$10,"",149)</f>
        <v/>
      </c>
      <c r="L186" s="37">
        <f>IF($K186="","",INDEX('سجل التحفيز'!$A$5:$A$2004,MATCH($K186,'سجل التحفيز'!$X$5:$X$2004,0)))</f>
        <v/>
      </c>
      <c r="M186" s="9">
        <f>IF($K186="","",INDEX('سجل التحفيز'!$B$5:$B$2004,MATCH($K186,'سجل التحفيز'!$X$5:$X$2004,0)))</f>
        <v/>
      </c>
      <c r="N186" s="9">
        <f>IF($K186="","",INDEX('سجل التحفيز'!$M$5:$M$2004,MATCH($K186,'سجل التحفيز'!$X$5:$X$2004,0)))</f>
        <v/>
      </c>
      <c r="O186" s="9">
        <f>IF($K186="","",INDEX('سجل التحفيز'!$C$5:$C$2004,MATCH($K186,'سجل التحفيز'!$X$5:$X$2004,0)))</f>
        <v/>
      </c>
      <c r="P186" s="36">
        <f>IF($K186="","",INDEX('سجل التحفيز'!$D$5:$D$2004,MATCH($K186,'سجل التحفيز'!$X$5:$X$2004,0)))</f>
        <v/>
      </c>
      <c r="Q186" s="9">
        <f>IF($K186="","",INDEX('سجل التحفيز'!$E$5:$E$2004,MATCH($K186,'سجل التحفيز'!$X$5:$X$2004,0)))</f>
        <v/>
      </c>
      <c r="R186" s="9">
        <f>IF($K186="","",INDEX('سجل التحفيز'!$F$5:$F$2004,MATCH($K186,'سجل التحفيز'!$X$5:$X$2004,0)))</f>
        <v/>
      </c>
      <c r="S186" s="35">
        <f>IF($K186="","",INDEX('سجل التحفيز'!$G$5:$G$2004,MATCH($K186,'سجل التحفيز'!$X$5:$X$2004,0)))</f>
        <v/>
      </c>
    </row>
    <row r="187">
      <c r="B187" s="34">
        <f>IFERROR(INDEX(الموظفات!$B$5:$B$304,MATCH(150,الموظفات!$R$5:$R$304,0)),"")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التحفيز'!$X$5:$X$2004,"&gt;0",'سجل التحفيز'!$B$5:$B$2004,B187))</f>
        <v/>
      </c>
      <c r="E187" s="35">
        <f>IF(B187="","",COUNTIFS('سجل التحفيز'!$X$5:$X$2004,"&gt;0",'سجل التحفيز'!$B$5:$B$2004,B187,'سجل التحفيز'!$D$5:$D$2004,"ذهبي"))</f>
        <v/>
      </c>
      <c r="F187" s="35">
        <f>IF(B187="","",SUMIFS('سجل التحفيز'!$G$5:$G$2004,'سجل التحفيز'!$X$5:$X$2004,"&gt;0",'سجل التحفيز'!$B$5:$B$2004,B187))</f>
        <v/>
      </c>
      <c r="G187" s="35">
        <f>IF(B187="","",COUNTIF($D$38:$D$187,"&gt;"&amp;D187)+1)</f>
        <v/>
      </c>
      <c r="H187" s="35">
        <f>IF(B187="","",INDEX(الموظفات!$L$5:$L$304,MATCH(B187,الموظفات!$B$5:$B$304,0)))</f>
        <v/>
      </c>
      <c r="K187" s="36">
        <f>IF(150&gt;$B$10,"",150)</f>
        <v/>
      </c>
      <c r="L187" s="37">
        <f>IF($K187="","",INDEX('سجل التحفيز'!$A$5:$A$2004,MATCH($K187,'سجل التحفيز'!$X$5:$X$2004,0)))</f>
        <v/>
      </c>
      <c r="M187" s="9">
        <f>IF($K187="","",INDEX('سجل التحفيز'!$B$5:$B$2004,MATCH($K187,'سجل التحفيز'!$X$5:$X$2004,0)))</f>
        <v/>
      </c>
      <c r="N187" s="9">
        <f>IF($K187="","",INDEX('سجل التحفيز'!$M$5:$M$2004,MATCH($K187,'سجل التحفيز'!$X$5:$X$2004,0)))</f>
        <v/>
      </c>
      <c r="O187" s="9">
        <f>IF($K187="","",INDEX('سجل التحفيز'!$C$5:$C$2004,MATCH($K187,'سجل التحفيز'!$X$5:$X$2004,0)))</f>
        <v/>
      </c>
      <c r="P187" s="36">
        <f>IF($K187="","",INDEX('سجل التحفيز'!$D$5:$D$2004,MATCH($K187,'سجل التحفيز'!$X$5:$X$2004,0)))</f>
        <v/>
      </c>
      <c r="Q187" s="9">
        <f>IF($K187="","",INDEX('سجل التحفيز'!$E$5:$E$2004,MATCH($K187,'سجل التحفيز'!$X$5:$X$2004,0)))</f>
        <v/>
      </c>
      <c r="R187" s="9">
        <f>IF($K187="","",INDEX('سجل التحفيز'!$F$5:$F$2004,MATCH($K187,'سجل التحفيز'!$X$5:$X$2004,0)))</f>
        <v/>
      </c>
      <c r="S187" s="35">
        <f>IF($K187="","",INDEX('سجل التحفيز'!$G$5:$G$2004,MATCH($K187,'سجل التحفيز'!$X$5:$X$2004,0)))</f>
        <v/>
      </c>
    </row>
    <row r="188">
      <c r="K188" s="36">
        <f>IF(151&gt;$B$10,"",151)</f>
        <v/>
      </c>
      <c r="L188" s="37">
        <f>IF($K188="","",INDEX('سجل التحفيز'!$A$5:$A$2004,MATCH($K188,'سجل التحفيز'!$X$5:$X$2004,0)))</f>
        <v/>
      </c>
      <c r="M188" s="9">
        <f>IF($K188="","",INDEX('سجل التحفيز'!$B$5:$B$2004,MATCH($K188,'سجل التحفيز'!$X$5:$X$2004,0)))</f>
        <v/>
      </c>
      <c r="N188" s="9">
        <f>IF($K188="","",INDEX('سجل التحفيز'!$M$5:$M$2004,MATCH($K188,'سجل التحفيز'!$X$5:$X$2004,0)))</f>
        <v/>
      </c>
      <c r="O188" s="9">
        <f>IF($K188="","",INDEX('سجل التحفيز'!$C$5:$C$2004,MATCH($K188,'سجل التحفيز'!$X$5:$X$2004,0)))</f>
        <v/>
      </c>
      <c r="P188" s="36">
        <f>IF($K188="","",INDEX('سجل التحفيز'!$D$5:$D$2004,MATCH($K188,'سجل التحفيز'!$X$5:$X$2004,0)))</f>
        <v/>
      </c>
      <c r="Q188" s="9">
        <f>IF($K188="","",INDEX('سجل التحفيز'!$E$5:$E$2004,MATCH($K188,'سجل التحفيز'!$X$5:$X$2004,0)))</f>
        <v/>
      </c>
      <c r="R188" s="9">
        <f>IF($K188="","",INDEX('سجل التحفيز'!$F$5:$F$2004,MATCH($K188,'سجل التحفيز'!$X$5:$X$2004,0)))</f>
        <v/>
      </c>
      <c r="S188" s="35">
        <f>IF($K188="","",INDEX('سجل التحفيز'!$G$5:$G$2004,MATCH($K188,'سجل التحفيز'!$X$5:$X$2004,0)))</f>
        <v/>
      </c>
    </row>
    <row r="189">
      <c r="K189" s="36">
        <f>IF(152&gt;$B$10,"",152)</f>
        <v/>
      </c>
      <c r="L189" s="37">
        <f>IF($K189="","",INDEX('سجل التحفيز'!$A$5:$A$2004,MATCH($K189,'سجل التحفيز'!$X$5:$X$2004,0)))</f>
        <v/>
      </c>
      <c r="M189" s="9">
        <f>IF($K189="","",INDEX('سجل التحفيز'!$B$5:$B$2004,MATCH($K189,'سجل التحفيز'!$X$5:$X$2004,0)))</f>
        <v/>
      </c>
      <c r="N189" s="9">
        <f>IF($K189="","",INDEX('سجل التحفيز'!$M$5:$M$2004,MATCH($K189,'سجل التحفيز'!$X$5:$X$2004,0)))</f>
        <v/>
      </c>
      <c r="O189" s="9">
        <f>IF($K189="","",INDEX('سجل التحفيز'!$C$5:$C$2004,MATCH($K189,'سجل التحفيز'!$X$5:$X$2004,0)))</f>
        <v/>
      </c>
      <c r="P189" s="36">
        <f>IF($K189="","",INDEX('سجل التحفيز'!$D$5:$D$2004,MATCH($K189,'سجل التحفيز'!$X$5:$X$2004,0)))</f>
        <v/>
      </c>
      <c r="Q189" s="9">
        <f>IF($K189="","",INDEX('سجل التحفيز'!$E$5:$E$2004,MATCH($K189,'سجل التحفيز'!$X$5:$X$2004,0)))</f>
        <v/>
      </c>
      <c r="R189" s="9">
        <f>IF($K189="","",INDEX('سجل التحفيز'!$F$5:$F$2004,MATCH($K189,'سجل التحفيز'!$X$5:$X$2004,0)))</f>
        <v/>
      </c>
      <c r="S189" s="35">
        <f>IF($K189="","",INDEX('سجل التحفيز'!$G$5:$G$2004,MATCH($K189,'سجل التحفيز'!$X$5:$X$2004,0)))</f>
        <v/>
      </c>
    </row>
    <row r="190">
      <c r="K190" s="36">
        <f>IF(153&gt;$B$10,"",153)</f>
        <v/>
      </c>
      <c r="L190" s="37">
        <f>IF($K190="","",INDEX('سجل التحفيز'!$A$5:$A$2004,MATCH($K190,'سجل التحفيز'!$X$5:$X$2004,0)))</f>
        <v/>
      </c>
      <c r="M190" s="9">
        <f>IF($K190="","",INDEX('سجل التحفيز'!$B$5:$B$2004,MATCH($K190,'سجل التحفيز'!$X$5:$X$2004,0)))</f>
        <v/>
      </c>
      <c r="N190" s="9">
        <f>IF($K190="","",INDEX('سجل التحفيز'!$M$5:$M$2004,MATCH($K190,'سجل التحفيز'!$X$5:$X$2004,0)))</f>
        <v/>
      </c>
      <c r="O190" s="9">
        <f>IF($K190="","",INDEX('سجل التحفيز'!$C$5:$C$2004,MATCH($K190,'سجل التحفيز'!$X$5:$X$2004,0)))</f>
        <v/>
      </c>
      <c r="P190" s="36">
        <f>IF($K190="","",INDEX('سجل التحفيز'!$D$5:$D$2004,MATCH($K190,'سجل التحفيز'!$X$5:$X$2004,0)))</f>
        <v/>
      </c>
      <c r="Q190" s="9">
        <f>IF($K190="","",INDEX('سجل التحفيز'!$E$5:$E$2004,MATCH($K190,'سجل التحفيز'!$X$5:$X$2004,0)))</f>
        <v/>
      </c>
      <c r="R190" s="9">
        <f>IF($K190="","",INDEX('سجل التحفيز'!$F$5:$F$2004,MATCH($K190,'سجل التحفيز'!$X$5:$X$2004,0)))</f>
        <v/>
      </c>
      <c r="S190" s="35">
        <f>IF($K190="","",INDEX('سجل التحفيز'!$G$5:$G$2004,MATCH($K190,'سجل التحفيز'!$X$5:$X$2004,0)))</f>
        <v/>
      </c>
    </row>
    <row r="191">
      <c r="K191" s="36">
        <f>IF(154&gt;$B$10,"",154)</f>
        <v/>
      </c>
      <c r="L191" s="37">
        <f>IF($K191="","",INDEX('سجل التحفيز'!$A$5:$A$2004,MATCH($K191,'سجل التحفيز'!$X$5:$X$2004,0)))</f>
        <v/>
      </c>
      <c r="M191" s="9">
        <f>IF($K191="","",INDEX('سجل التحفيز'!$B$5:$B$2004,MATCH($K191,'سجل التحفيز'!$X$5:$X$2004,0)))</f>
        <v/>
      </c>
      <c r="N191" s="9">
        <f>IF($K191="","",INDEX('سجل التحفيز'!$M$5:$M$2004,MATCH($K191,'سجل التحفيز'!$X$5:$X$2004,0)))</f>
        <v/>
      </c>
      <c r="O191" s="9">
        <f>IF($K191="","",INDEX('سجل التحفيز'!$C$5:$C$2004,MATCH($K191,'سجل التحفيز'!$X$5:$X$2004,0)))</f>
        <v/>
      </c>
      <c r="P191" s="36">
        <f>IF($K191="","",INDEX('سجل التحفيز'!$D$5:$D$2004,MATCH($K191,'سجل التحفيز'!$X$5:$X$2004,0)))</f>
        <v/>
      </c>
      <c r="Q191" s="9">
        <f>IF($K191="","",INDEX('سجل التحفيز'!$E$5:$E$2004,MATCH($K191,'سجل التحفيز'!$X$5:$X$2004,0)))</f>
        <v/>
      </c>
      <c r="R191" s="9">
        <f>IF($K191="","",INDEX('سجل التحفيز'!$F$5:$F$2004,MATCH($K191,'سجل التحفيز'!$X$5:$X$2004,0)))</f>
        <v/>
      </c>
      <c r="S191" s="35">
        <f>IF($K191="","",INDEX('سجل التحفيز'!$G$5:$G$2004,MATCH($K191,'سجل التحفيز'!$X$5:$X$2004,0)))</f>
        <v/>
      </c>
    </row>
    <row r="192">
      <c r="K192" s="36">
        <f>IF(155&gt;$B$10,"",155)</f>
        <v/>
      </c>
      <c r="L192" s="37">
        <f>IF($K192="","",INDEX('سجل التحفيز'!$A$5:$A$2004,MATCH($K192,'سجل التحفيز'!$X$5:$X$2004,0)))</f>
        <v/>
      </c>
      <c r="M192" s="9">
        <f>IF($K192="","",INDEX('سجل التحفيز'!$B$5:$B$2004,MATCH($K192,'سجل التحفيز'!$X$5:$X$2004,0)))</f>
        <v/>
      </c>
      <c r="N192" s="9">
        <f>IF($K192="","",INDEX('سجل التحفيز'!$M$5:$M$2004,MATCH($K192,'سجل التحفيز'!$X$5:$X$2004,0)))</f>
        <v/>
      </c>
      <c r="O192" s="9">
        <f>IF($K192="","",INDEX('سجل التحفيز'!$C$5:$C$2004,MATCH($K192,'سجل التحفيز'!$X$5:$X$2004,0)))</f>
        <v/>
      </c>
      <c r="P192" s="36">
        <f>IF($K192="","",INDEX('سجل التحفيز'!$D$5:$D$2004,MATCH($K192,'سجل التحفيز'!$X$5:$X$2004,0)))</f>
        <v/>
      </c>
      <c r="Q192" s="9">
        <f>IF($K192="","",INDEX('سجل التحفيز'!$E$5:$E$2004,MATCH($K192,'سجل التحفيز'!$X$5:$X$2004,0)))</f>
        <v/>
      </c>
      <c r="R192" s="9">
        <f>IF($K192="","",INDEX('سجل التحفيز'!$F$5:$F$2004,MATCH($K192,'سجل التحفيز'!$X$5:$X$2004,0)))</f>
        <v/>
      </c>
      <c r="S192" s="35">
        <f>IF($K192="","",INDEX('سجل التحفيز'!$G$5:$G$2004,MATCH($K192,'سجل التحفيز'!$X$5:$X$2004,0)))</f>
        <v/>
      </c>
    </row>
    <row r="193">
      <c r="K193" s="36">
        <f>IF(156&gt;$B$10,"",156)</f>
        <v/>
      </c>
      <c r="L193" s="37">
        <f>IF($K193="","",INDEX('سجل التحفيز'!$A$5:$A$2004,MATCH($K193,'سجل التحفيز'!$X$5:$X$2004,0)))</f>
        <v/>
      </c>
      <c r="M193" s="9">
        <f>IF($K193="","",INDEX('سجل التحفيز'!$B$5:$B$2004,MATCH($K193,'سجل التحفيز'!$X$5:$X$2004,0)))</f>
        <v/>
      </c>
      <c r="N193" s="9">
        <f>IF($K193="","",INDEX('سجل التحفيز'!$M$5:$M$2004,MATCH($K193,'سجل التحفيز'!$X$5:$X$2004,0)))</f>
        <v/>
      </c>
      <c r="O193" s="9">
        <f>IF($K193="","",INDEX('سجل التحفيز'!$C$5:$C$2004,MATCH($K193,'سجل التحفيز'!$X$5:$X$2004,0)))</f>
        <v/>
      </c>
      <c r="P193" s="36">
        <f>IF($K193="","",INDEX('سجل التحفيز'!$D$5:$D$2004,MATCH($K193,'سجل التحفيز'!$X$5:$X$2004,0)))</f>
        <v/>
      </c>
      <c r="Q193" s="9">
        <f>IF($K193="","",INDEX('سجل التحفيز'!$E$5:$E$2004,MATCH($K193,'سجل التحفيز'!$X$5:$X$2004,0)))</f>
        <v/>
      </c>
      <c r="R193" s="9">
        <f>IF($K193="","",INDEX('سجل التحفيز'!$F$5:$F$2004,MATCH($K193,'سجل التحفيز'!$X$5:$X$2004,0)))</f>
        <v/>
      </c>
      <c r="S193" s="35">
        <f>IF($K193="","",INDEX('سجل التحفيز'!$G$5:$G$2004,MATCH($K193,'سجل التحفيز'!$X$5:$X$2004,0)))</f>
        <v/>
      </c>
    </row>
    <row r="194">
      <c r="K194" s="36">
        <f>IF(157&gt;$B$10,"",157)</f>
        <v/>
      </c>
      <c r="L194" s="37">
        <f>IF($K194="","",INDEX('سجل التحفيز'!$A$5:$A$2004,MATCH($K194,'سجل التحفيز'!$X$5:$X$2004,0)))</f>
        <v/>
      </c>
      <c r="M194" s="9">
        <f>IF($K194="","",INDEX('سجل التحفيز'!$B$5:$B$2004,MATCH($K194,'سجل التحفيز'!$X$5:$X$2004,0)))</f>
        <v/>
      </c>
      <c r="N194" s="9">
        <f>IF($K194="","",INDEX('سجل التحفيز'!$M$5:$M$2004,MATCH($K194,'سجل التحفيز'!$X$5:$X$2004,0)))</f>
        <v/>
      </c>
      <c r="O194" s="9">
        <f>IF($K194="","",INDEX('سجل التحفيز'!$C$5:$C$2004,MATCH($K194,'سجل التحفيز'!$X$5:$X$2004,0)))</f>
        <v/>
      </c>
      <c r="P194" s="36">
        <f>IF($K194="","",INDEX('سجل التحفيز'!$D$5:$D$2004,MATCH($K194,'سجل التحفيز'!$X$5:$X$2004,0)))</f>
        <v/>
      </c>
      <c r="Q194" s="9">
        <f>IF($K194="","",INDEX('سجل التحفيز'!$E$5:$E$2004,MATCH($K194,'سجل التحفيز'!$X$5:$X$2004,0)))</f>
        <v/>
      </c>
      <c r="R194" s="9">
        <f>IF($K194="","",INDEX('سجل التحفيز'!$F$5:$F$2004,MATCH($K194,'سجل التحفيز'!$X$5:$X$2004,0)))</f>
        <v/>
      </c>
      <c r="S194" s="35">
        <f>IF($K194="","",INDEX('سجل التحفيز'!$G$5:$G$2004,MATCH($K194,'سجل التحفيز'!$X$5:$X$2004,0)))</f>
        <v/>
      </c>
    </row>
    <row r="195">
      <c r="K195" s="36">
        <f>IF(158&gt;$B$10,"",158)</f>
        <v/>
      </c>
      <c r="L195" s="37">
        <f>IF($K195="","",INDEX('سجل التحفيز'!$A$5:$A$2004,MATCH($K195,'سجل التحفيز'!$X$5:$X$2004,0)))</f>
        <v/>
      </c>
      <c r="M195" s="9">
        <f>IF($K195="","",INDEX('سجل التحفيز'!$B$5:$B$2004,MATCH($K195,'سجل التحفيز'!$X$5:$X$2004,0)))</f>
        <v/>
      </c>
      <c r="N195" s="9">
        <f>IF($K195="","",INDEX('سجل التحفيز'!$M$5:$M$2004,MATCH($K195,'سجل التحفيز'!$X$5:$X$2004,0)))</f>
        <v/>
      </c>
      <c r="O195" s="9">
        <f>IF($K195="","",INDEX('سجل التحفيز'!$C$5:$C$2004,MATCH($K195,'سجل التحفيز'!$X$5:$X$2004,0)))</f>
        <v/>
      </c>
      <c r="P195" s="36">
        <f>IF($K195="","",INDEX('سجل التحفيز'!$D$5:$D$2004,MATCH($K195,'سجل التحفيز'!$X$5:$X$2004,0)))</f>
        <v/>
      </c>
      <c r="Q195" s="9">
        <f>IF($K195="","",INDEX('سجل التحفيز'!$E$5:$E$2004,MATCH($K195,'سجل التحفيز'!$X$5:$X$2004,0)))</f>
        <v/>
      </c>
      <c r="R195" s="9">
        <f>IF($K195="","",INDEX('سجل التحفيز'!$F$5:$F$2004,MATCH($K195,'سجل التحفيز'!$X$5:$X$2004,0)))</f>
        <v/>
      </c>
      <c r="S195" s="35">
        <f>IF($K195="","",INDEX('سجل التحفيز'!$G$5:$G$2004,MATCH($K195,'سجل التحفيز'!$X$5:$X$2004,0)))</f>
        <v/>
      </c>
    </row>
    <row r="196">
      <c r="K196" s="36">
        <f>IF(159&gt;$B$10,"",159)</f>
        <v/>
      </c>
      <c r="L196" s="37">
        <f>IF($K196="","",INDEX('سجل التحفيز'!$A$5:$A$2004,MATCH($K196,'سجل التحفيز'!$X$5:$X$2004,0)))</f>
        <v/>
      </c>
      <c r="M196" s="9">
        <f>IF($K196="","",INDEX('سجل التحفيز'!$B$5:$B$2004,MATCH($K196,'سجل التحفيز'!$X$5:$X$2004,0)))</f>
        <v/>
      </c>
      <c r="N196" s="9">
        <f>IF($K196="","",INDEX('سجل التحفيز'!$M$5:$M$2004,MATCH($K196,'سجل التحفيز'!$X$5:$X$2004,0)))</f>
        <v/>
      </c>
      <c r="O196" s="9">
        <f>IF($K196="","",INDEX('سجل التحفيز'!$C$5:$C$2004,MATCH($K196,'سجل التحفيز'!$X$5:$X$2004,0)))</f>
        <v/>
      </c>
      <c r="P196" s="36">
        <f>IF($K196="","",INDEX('سجل التحفيز'!$D$5:$D$2004,MATCH($K196,'سجل التحفيز'!$X$5:$X$2004,0)))</f>
        <v/>
      </c>
      <c r="Q196" s="9">
        <f>IF($K196="","",INDEX('سجل التحفيز'!$E$5:$E$2004,MATCH($K196,'سجل التحفيز'!$X$5:$X$2004,0)))</f>
        <v/>
      </c>
      <c r="R196" s="9">
        <f>IF($K196="","",INDEX('سجل التحفيز'!$F$5:$F$2004,MATCH($K196,'سجل التحفيز'!$X$5:$X$2004,0)))</f>
        <v/>
      </c>
      <c r="S196" s="35">
        <f>IF($K196="","",INDEX('سجل التحفيز'!$G$5:$G$2004,MATCH($K196,'سجل التحفيز'!$X$5:$X$2004,0)))</f>
        <v/>
      </c>
    </row>
    <row r="197">
      <c r="K197" s="36">
        <f>IF(160&gt;$B$10,"",160)</f>
        <v/>
      </c>
      <c r="L197" s="37">
        <f>IF($K197="","",INDEX('سجل التحفيز'!$A$5:$A$2004,MATCH($K197,'سجل التحفيز'!$X$5:$X$2004,0)))</f>
        <v/>
      </c>
      <c r="M197" s="9">
        <f>IF($K197="","",INDEX('سجل التحفيز'!$B$5:$B$2004,MATCH($K197,'سجل التحفيز'!$X$5:$X$2004,0)))</f>
        <v/>
      </c>
      <c r="N197" s="9">
        <f>IF($K197="","",INDEX('سجل التحفيز'!$M$5:$M$2004,MATCH($K197,'سجل التحفيز'!$X$5:$X$2004,0)))</f>
        <v/>
      </c>
      <c r="O197" s="9">
        <f>IF($K197="","",INDEX('سجل التحفيز'!$C$5:$C$2004,MATCH($K197,'سجل التحفيز'!$X$5:$X$2004,0)))</f>
        <v/>
      </c>
      <c r="P197" s="36">
        <f>IF($K197="","",INDEX('سجل التحفيز'!$D$5:$D$2004,MATCH($K197,'سجل التحفيز'!$X$5:$X$2004,0)))</f>
        <v/>
      </c>
      <c r="Q197" s="9">
        <f>IF($K197="","",INDEX('سجل التحفيز'!$E$5:$E$2004,MATCH($K197,'سجل التحفيز'!$X$5:$X$2004,0)))</f>
        <v/>
      </c>
      <c r="R197" s="9">
        <f>IF($K197="","",INDEX('سجل التحفيز'!$F$5:$F$2004,MATCH($K197,'سجل التحفيز'!$X$5:$X$2004,0)))</f>
        <v/>
      </c>
      <c r="S197" s="35">
        <f>IF($K197="","",INDEX('سجل التحفيز'!$G$5:$G$2004,MATCH($K197,'سجل التحفيز'!$X$5:$X$2004,0)))</f>
        <v/>
      </c>
    </row>
    <row r="198">
      <c r="K198" s="36">
        <f>IF(161&gt;$B$10,"",161)</f>
        <v/>
      </c>
      <c r="L198" s="37">
        <f>IF($K198="","",INDEX('سجل التحفيز'!$A$5:$A$2004,MATCH($K198,'سجل التحفيز'!$X$5:$X$2004,0)))</f>
        <v/>
      </c>
      <c r="M198" s="9">
        <f>IF($K198="","",INDEX('سجل التحفيز'!$B$5:$B$2004,MATCH($K198,'سجل التحفيز'!$X$5:$X$2004,0)))</f>
        <v/>
      </c>
      <c r="N198" s="9">
        <f>IF($K198="","",INDEX('سجل التحفيز'!$M$5:$M$2004,MATCH($K198,'سجل التحفيز'!$X$5:$X$2004,0)))</f>
        <v/>
      </c>
      <c r="O198" s="9">
        <f>IF($K198="","",INDEX('سجل التحفيز'!$C$5:$C$2004,MATCH($K198,'سجل التحفيز'!$X$5:$X$2004,0)))</f>
        <v/>
      </c>
      <c r="P198" s="36">
        <f>IF($K198="","",INDEX('سجل التحفيز'!$D$5:$D$2004,MATCH($K198,'سجل التحفيز'!$X$5:$X$2004,0)))</f>
        <v/>
      </c>
      <c r="Q198" s="9">
        <f>IF($K198="","",INDEX('سجل التحفيز'!$E$5:$E$2004,MATCH($K198,'سجل التحفيز'!$X$5:$X$2004,0)))</f>
        <v/>
      </c>
      <c r="R198" s="9">
        <f>IF($K198="","",INDEX('سجل التحفيز'!$F$5:$F$2004,MATCH($K198,'سجل التحفيز'!$X$5:$X$2004,0)))</f>
        <v/>
      </c>
      <c r="S198" s="35">
        <f>IF($K198="","",INDEX('سجل التحفيز'!$G$5:$G$2004,MATCH($K198,'سجل التحفيز'!$X$5:$X$2004,0)))</f>
        <v/>
      </c>
    </row>
    <row r="199">
      <c r="K199" s="36">
        <f>IF(162&gt;$B$10,"",162)</f>
        <v/>
      </c>
      <c r="L199" s="37">
        <f>IF($K199="","",INDEX('سجل التحفيز'!$A$5:$A$2004,MATCH($K199,'سجل التحفيز'!$X$5:$X$2004,0)))</f>
        <v/>
      </c>
      <c r="M199" s="9">
        <f>IF($K199="","",INDEX('سجل التحفيز'!$B$5:$B$2004,MATCH($K199,'سجل التحفيز'!$X$5:$X$2004,0)))</f>
        <v/>
      </c>
      <c r="N199" s="9">
        <f>IF($K199="","",INDEX('سجل التحفيز'!$M$5:$M$2004,MATCH($K199,'سجل التحفيز'!$X$5:$X$2004,0)))</f>
        <v/>
      </c>
      <c r="O199" s="9">
        <f>IF($K199="","",INDEX('سجل التحفيز'!$C$5:$C$2004,MATCH($K199,'سجل التحفيز'!$X$5:$X$2004,0)))</f>
        <v/>
      </c>
      <c r="P199" s="36">
        <f>IF($K199="","",INDEX('سجل التحفيز'!$D$5:$D$2004,MATCH($K199,'سجل التحفيز'!$X$5:$X$2004,0)))</f>
        <v/>
      </c>
      <c r="Q199" s="9">
        <f>IF($K199="","",INDEX('سجل التحفيز'!$E$5:$E$2004,MATCH($K199,'سجل التحفيز'!$X$5:$X$2004,0)))</f>
        <v/>
      </c>
      <c r="R199" s="9">
        <f>IF($K199="","",INDEX('سجل التحفيز'!$F$5:$F$2004,MATCH($K199,'سجل التحفيز'!$X$5:$X$2004,0)))</f>
        <v/>
      </c>
      <c r="S199" s="35">
        <f>IF($K199="","",INDEX('سجل التحفيز'!$G$5:$G$2004,MATCH($K199,'سجل التحفيز'!$X$5:$X$2004,0)))</f>
        <v/>
      </c>
    </row>
    <row r="200">
      <c r="K200" s="36">
        <f>IF(163&gt;$B$10,"",163)</f>
        <v/>
      </c>
      <c r="L200" s="37">
        <f>IF($K200="","",INDEX('سجل التحفيز'!$A$5:$A$2004,MATCH($K200,'سجل التحفيز'!$X$5:$X$2004,0)))</f>
        <v/>
      </c>
      <c r="M200" s="9">
        <f>IF($K200="","",INDEX('سجل التحفيز'!$B$5:$B$2004,MATCH($K200,'سجل التحفيز'!$X$5:$X$2004,0)))</f>
        <v/>
      </c>
      <c r="N200" s="9">
        <f>IF($K200="","",INDEX('سجل التحفيز'!$M$5:$M$2004,MATCH($K200,'سجل التحفيز'!$X$5:$X$2004,0)))</f>
        <v/>
      </c>
      <c r="O200" s="9">
        <f>IF($K200="","",INDEX('سجل التحفيز'!$C$5:$C$2004,MATCH($K200,'سجل التحفيز'!$X$5:$X$2004,0)))</f>
        <v/>
      </c>
      <c r="P200" s="36">
        <f>IF($K200="","",INDEX('سجل التحفيز'!$D$5:$D$2004,MATCH($K200,'سجل التحفيز'!$X$5:$X$2004,0)))</f>
        <v/>
      </c>
      <c r="Q200" s="9">
        <f>IF($K200="","",INDEX('سجل التحفيز'!$E$5:$E$2004,MATCH($K200,'سجل التحفيز'!$X$5:$X$2004,0)))</f>
        <v/>
      </c>
      <c r="R200" s="9">
        <f>IF($K200="","",INDEX('سجل التحفيز'!$F$5:$F$2004,MATCH($K200,'سجل التحفيز'!$X$5:$X$2004,0)))</f>
        <v/>
      </c>
      <c r="S200" s="35">
        <f>IF($K200="","",INDEX('سجل التحفيز'!$G$5:$G$2004,MATCH($K200,'سجل التحفيز'!$X$5:$X$2004,0)))</f>
        <v/>
      </c>
    </row>
    <row r="201">
      <c r="K201" s="36">
        <f>IF(164&gt;$B$10,"",164)</f>
        <v/>
      </c>
      <c r="L201" s="37">
        <f>IF($K201="","",INDEX('سجل التحفيز'!$A$5:$A$2004,MATCH($K201,'سجل التحفيز'!$X$5:$X$2004,0)))</f>
        <v/>
      </c>
      <c r="M201" s="9">
        <f>IF($K201="","",INDEX('سجل التحفيز'!$B$5:$B$2004,MATCH($K201,'سجل التحفيز'!$X$5:$X$2004,0)))</f>
        <v/>
      </c>
      <c r="N201" s="9">
        <f>IF($K201="","",INDEX('سجل التحفيز'!$M$5:$M$2004,MATCH($K201,'سجل التحفيز'!$X$5:$X$2004,0)))</f>
        <v/>
      </c>
      <c r="O201" s="9">
        <f>IF($K201="","",INDEX('سجل التحفيز'!$C$5:$C$2004,MATCH($K201,'سجل التحفيز'!$X$5:$X$2004,0)))</f>
        <v/>
      </c>
      <c r="P201" s="36">
        <f>IF($K201="","",INDEX('سجل التحفيز'!$D$5:$D$2004,MATCH($K201,'سجل التحفيز'!$X$5:$X$2004,0)))</f>
        <v/>
      </c>
      <c r="Q201" s="9">
        <f>IF($K201="","",INDEX('سجل التحفيز'!$E$5:$E$2004,MATCH($K201,'سجل التحفيز'!$X$5:$X$2004,0)))</f>
        <v/>
      </c>
      <c r="R201" s="9">
        <f>IF($K201="","",INDEX('سجل التحفيز'!$F$5:$F$2004,MATCH($K201,'سجل التحفيز'!$X$5:$X$2004,0)))</f>
        <v/>
      </c>
      <c r="S201" s="35">
        <f>IF($K201="","",INDEX('سجل التحفيز'!$G$5:$G$2004,MATCH($K201,'سجل التحفيز'!$X$5:$X$2004,0)))</f>
        <v/>
      </c>
    </row>
    <row r="202">
      <c r="K202" s="36">
        <f>IF(165&gt;$B$10,"",165)</f>
        <v/>
      </c>
      <c r="L202" s="37">
        <f>IF($K202="","",INDEX('سجل التحفيز'!$A$5:$A$2004,MATCH($K202,'سجل التحفيز'!$X$5:$X$2004,0)))</f>
        <v/>
      </c>
      <c r="M202" s="9">
        <f>IF($K202="","",INDEX('سجل التحفيز'!$B$5:$B$2004,MATCH($K202,'سجل التحفيز'!$X$5:$X$2004,0)))</f>
        <v/>
      </c>
      <c r="N202" s="9">
        <f>IF($K202="","",INDEX('سجل التحفيز'!$M$5:$M$2004,MATCH($K202,'سجل التحفيز'!$X$5:$X$2004,0)))</f>
        <v/>
      </c>
      <c r="O202" s="9">
        <f>IF($K202="","",INDEX('سجل التحفيز'!$C$5:$C$2004,MATCH($K202,'سجل التحفيز'!$X$5:$X$2004,0)))</f>
        <v/>
      </c>
      <c r="P202" s="36">
        <f>IF($K202="","",INDEX('سجل التحفيز'!$D$5:$D$2004,MATCH($K202,'سجل التحفيز'!$X$5:$X$2004,0)))</f>
        <v/>
      </c>
      <c r="Q202" s="9">
        <f>IF($K202="","",INDEX('سجل التحفيز'!$E$5:$E$2004,MATCH($K202,'سجل التحفيز'!$X$5:$X$2004,0)))</f>
        <v/>
      </c>
      <c r="R202" s="9">
        <f>IF($K202="","",INDEX('سجل التحفيز'!$F$5:$F$2004,MATCH($K202,'سجل التحفيز'!$X$5:$X$2004,0)))</f>
        <v/>
      </c>
      <c r="S202" s="35">
        <f>IF($K202="","",INDEX('سجل التحفيز'!$G$5:$G$2004,MATCH($K202,'سجل التحفيز'!$X$5:$X$2004,0)))</f>
        <v/>
      </c>
    </row>
    <row r="203">
      <c r="K203" s="36">
        <f>IF(166&gt;$B$10,"",166)</f>
        <v/>
      </c>
      <c r="L203" s="37">
        <f>IF($K203="","",INDEX('سجل التحفيز'!$A$5:$A$2004,MATCH($K203,'سجل التحفيز'!$X$5:$X$2004,0)))</f>
        <v/>
      </c>
      <c r="M203" s="9">
        <f>IF($K203="","",INDEX('سجل التحفيز'!$B$5:$B$2004,MATCH($K203,'سجل التحفيز'!$X$5:$X$2004,0)))</f>
        <v/>
      </c>
      <c r="N203" s="9">
        <f>IF($K203="","",INDEX('سجل التحفيز'!$M$5:$M$2004,MATCH($K203,'سجل التحفيز'!$X$5:$X$2004,0)))</f>
        <v/>
      </c>
      <c r="O203" s="9">
        <f>IF($K203="","",INDEX('سجل التحفيز'!$C$5:$C$2004,MATCH($K203,'سجل التحفيز'!$X$5:$X$2004,0)))</f>
        <v/>
      </c>
      <c r="P203" s="36">
        <f>IF($K203="","",INDEX('سجل التحفيز'!$D$5:$D$2004,MATCH($K203,'سجل التحفيز'!$X$5:$X$2004,0)))</f>
        <v/>
      </c>
      <c r="Q203" s="9">
        <f>IF($K203="","",INDEX('سجل التحفيز'!$E$5:$E$2004,MATCH($K203,'سجل التحفيز'!$X$5:$X$2004,0)))</f>
        <v/>
      </c>
      <c r="R203" s="9">
        <f>IF($K203="","",INDEX('سجل التحفيز'!$F$5:$F$2004,MATCH($K203,'سجل التحفيز'!$X$5:$X$2004,0)))</f>
        <v/>
      </c>
      <c r="S203" s="35">
        <f>IF($K203="","",INDEX('سجل التحفيز'!$G$5:$G$2004,MATCH($K203,'سجل التحفيز'!$X$5:$X$2004,0)))</f>
        <v/>
      </c>
    </row>
    <row r="204">
      <c r="K204" s="36">
        <f>IF(167&gt;$B$10,"",167)</f>
        <v/>
      </c>
      <c r="L204" s="37">
        <f>IF($K204="","",INDEX('سجل التحفيز'!$A$5:$A$2004,MATCH($K204,'سجل التحفيز'!$X$5:$X$2004,0)))</f>
        <v/>
      </c>
      <c r="M204" s="9">
        <f>IF($K204="","",INDEX('سجل التحفيز'!$B$5:$B$2004,MATCH($K204,'سجل التحفيز'!$X$5:$X$2004,0)))</f>
        <v/>
      </c>
      <c r="N204" s="9">
        <f>IF($K204="","",INDEX('سجل التحفيز'!$M$5:$M$2004,MATCH($K204,'سجل التحفيز'!$X$5:$X$2004,0)))</f>
        <v/>
      </c>
      <c r="O204" s="9">
        <f>IF($K204="","",INDEX('سجل التحفيز'!$C$5:$C$2004,MATCH($K204,'سجل التحفيز'!$X$5:$X$2004,0)))</f>
        <v/>
      </c>
      <c r="P204" s="36">
        <f>IF($K204="","",INDEX('سجل التحفيز'!$D$5:$D$2004,MATCH($K204,'سجل التحفيز'!$X$5:$X$2004,0)))</f>
        <v/>
      </c>
      <c r="Q204" s="9">
        <f>IF($K204="","",INDEX('سجل التحفيز'!$E$5:$E$2004,MATCH($K204,'سجل التحفيز'!$X$5:$X$2004,0)))</f>
        <v/>
      </c>
      <c r="R204" s="9">
        <f>IF($K204="","",INDEX('سجل التحفيز'!$F$5:$F$2004,MATCH($K204,'سجل التحفيز'!$X$5:$X$2004,0)))</f>
        <v/>
      </c>
      <c r="S204" s="35">
        <f>IF($K204="","",INDEX('سجل التحفيز'!$G$5:$G$2004,MATCH($K204,'سجل التحفيز'!$X$5:$X$2004,0)))</f>
        <v/>
      </c>
    </row>
    <row r="205">
      <c r="K205" s="36">
        <f>IF(168&gt;$B$10,"",168)</f>
        <v/>
      </c>
      <c r="L205" s="37">
        <f>IF($K205="","",INDEX('سجل التحفيز'!$A$5:$A$2004,MATCH($K205,'سجل التحفيز'!$X$5:$X$2004,0)))</f>
        <v/>
      </c>
      <c r="M205" s="9">
        <f>IF($K205="","",INDEX('سجل التحفيز'!$B$5:$B$2004,MATCH($K205,'سجل التحفيز'!$X$5:$X$2004,0)))</f>
        <v/>
      </c>
      <c r="N205" s="9">
        <f>IF($K205="","",INDEX('سجل التحفيز'!$M$5:$M$2004,MATCH($K205,'سجل التحفيز'!$X$5:$X$2004,0)))</f>
        <v/>
      </c>
      <c r="O205" s="9">
        <f>IF($K205="","",INDEX('سجل التحفيز'!$C$5:$C$2004,MATCH($K205,'سجل التحفيز'!$X$5:$X$2004,0)))</f>
        <v/>
      </c>
      <c r="P205" s="36">
        <f>IF($K205="","",INDEX('سجل التحفيز'!$D$5:$D$2004,MATCH($K205,'سجل التحفيز'!$X$5:$X$2004,0)))</f>
        <v/>
      </c>
      <c r="Q205" s="9">
        <f>IF($K205="","",INDEX('سجل التحفيز'!$E$5:$E$2004,MATCH($K205,'سجل التحفيز'!$X$5:$X$2004,0)))</f>
        <v/>
      </c>
      <c r="R205" s="9">
        <f>IF($K205="","",INDEX('سجل التحفيز'!$F$5:$F$2004,MATCH($K205,'سجل التحفيز'!$X$5:$X$2004,0)))</f>
        <v/>
      </c>
      <c r="S205" s="35">
        <f>IF($K205="","",INDEX('سجل التحفيز'!$G$5:$G$2004,MATCH($K205,'سجل التحفيز'!$X$5:$X$2004,0)))</f>
        <v/>
      </c>
    </row>
    <row r="206">
      <c r="K206" s="36">
        <f>IF(169&gt;$B$10,"",169)</f>
        <v/>
      </c>
      <c r="L206" s="37">
        <f>IF($K206="","",INDEX('سجل التحفيز'!$A$5:$A$2004,MATCH($K206,'سجل التحفيز'!$X$5:$X$2004,0)))</f>
        <v/>
      </c>
      <c r="M206" s="9">
        <f>IF($K206="","",INDEX('سجل التحفيز'!$B$5:$B$2004,MATCH($K206,'سجل التحفيز'!$X$5:$X$2004,0)))</f>
        <v/>
      </c>
      <c r="N206" s="9">
        <f>IF($K206="","",INDEX('سجل التحفيز'!$M$5:$M$2004,MATCH($K206,'سجل التحفيز'!$X$5:$X$2004,0)))</f>
        <v/>
      </c>
      <c r="O206" s="9">
        <f>IF($K206="","",INDEX('سجل التحفيز'!$C$5:$C$2004,MATCH($K206,'سجل التحفيز'!$X$5:$X$2004,0)))</f>
        <v/>
      </c>
      <c r="P206" s="36">
        <f>IF($K206="","",INDEX('سجل التحفيز'!$D$5:$D$2004,MATCH($K206,'سجل التحفيز'!$X$5:$X$2004,0)))</f>
        <v/>
      </c>
      <c r="Q206" s="9">
        <f>IF($K206="","",INDEX('سجل التحفيز'!$E$5:$E$2004,MATCH($K206,'سجل التحفيز'!$X$5:$X$2004,0)))</f>
        <v/>
      </c>
      <c r="R206" s="9">
        <f>IF($K206="","",INDEX('سجل التحفيز'!$F$5:$F$2004,MATCH($K206,'سجل التحفيز'!$X$5:$X$2004,0)))</f>
        <v/>
      </c>
      <c r="S206" s="35">
        <f>IF($K206="","",INDEX('سجل التحفيز'!$G$5:$G$2004,MATCH($K206,'سجل التحفيز'!$X$5:$X$2004,0)))</f>
        <v/>
      </c>
    </row>
    <row r="207">
      <c r="K207" s="36">
        <f>IF(170&gt;$B$10,"",170)</f>
        <v/>
      </c>
      <c r="L207" s="37">
        <f>IF($K207="","",INDEX('سجل التحفيز'!$A$5:$A$2004,MATCH($K207,'سجل التحفيز'!$X$5:$X$2004,0)))</f>
        <v/>
      </c>
      <c r="M207" s="9">
        <f>IF($K207="","",INDEX('سجل التحفيز'!$B$5:$B$2004,MATCH($K207,'سجل التحفيز'!$X$5:$X$2004,0)))</f>
        <v/>
      </c>
      <c r="N207" s="9">
        <f>IF($K207="","",INDEX('سجل التحفيز'!$M$5:$M$2004,MATCH($K207,'سجل التحفيز'!$X$5:$X$2004,0)))</f>
        <v/>
      </c>
      <c r="O207" s="9">
        <f>IF($K207="","",INDEX('سجل التحفيز'!$C$5:$C$2004,MATCH($K207,'سجل التحفيز'!$X$5:$X$2004,0)))</f>
        <v/>
      </c>
      <c r="P207" s="36">
        <f>IF($K207="","",INDEX('سجل التحفيز'!$D$5:$D$2004,MATCH($K207,'سجل التحفيز'!$X$5:$X$2004,0)))</f>
        <v/>
      </c>
      <c r="Q207" s="9">
        <f>IF($K207="","",INDEX('سجل التحفيز'!$E$5:$E$2004,MATCH($K207,'سجل التحفيز'!$X$5:$X$2004,0)))</f>
        <v/>
      </c>
      <c r="R207" s="9">
        <f>IF($K207="","",INDEX('سجل التحفيز'!$F$5:$F$2004,MATCH($K207,'سجل التحفيز'!$X$5:$X$2004,0)))</f>
        <v/>
      </c>
      <c r="S207" s="35">
        <f>IF($K207="","",INDEX('سجل التحفيز'!$G$5:$G$2004,MATCH($K207,'سجل التحفيز'!$X$5:$X$2004,0)))</f>
        <v/>
      </c>
    </row>
    <row r="208">
      <c r="K208" s="36">
        <f>IF(171&gt;$B$10,"",171)</f>
        <v/>
      </c>
      <c r="L208" s="37">
        <f>IF($K208="","",INDEX('سجل التحفيز'!$A$5:$A$2004,MATCH($K208,'سجل التحفيز'!$X$5:$X$2004,0)))</f>
        <v/>
      </c>
      <c r="M208" s="9">
        <f>IF($K208="","",INDEX('سجل التحفيز'!$B$5:$B$2004,MATCH($K208,'سجل التحفيز'!$X$5:$X$2004,0)))</f>
        <v/>
      </c>
      <c r="N208" s="9">
        <f>IF($K208="","",INDEX('سجل التحفيز'!$M$5:$M$2004,MATCH($K208,'سجل التحفيز'!$X$5:$X$2004,0)))</f>
        <v/>
      </c>
      <c r="O208" s="9">
        <f>IF($K208="","",INDEX('سجل التحفيز'!$C$5:$C$2004,MATCH($K208,'سجل التحفيز'!$X$5:$X$2004,0)))</f>
        <v/>
      </c>
      <c r="P208" s="36">
        <f>IF($K208="","",INDEX('سجل التحفيز'!$D$5:$D$2004,MATCH($K208,'سجل التحفيز'!$X$5:$X$2004,0)))</f>
        <v/>
      </c>
      <c r="Q208" s="9">
        <f>IF($K208="","",INDEX('سجل التحفيز'!$E$5:$E$2004,MATCH($K208,'سجل التحفيز'!$X$5:$X$2004,0)))</f>
        <v/>
      </c>
      <c r="R208" s="9">
        <f>IF($K208="","",INDEX('سجل التحفيز'!$F$5:$F$2004,MATCH($K208,'سجل التحفيز'!$X$5:$X$2004,0)))</f>
        <v/>
      </c>
      <c r="S208" s="35">
        <f>IF($K208="","",INDEX('سجل التحفيز'!$G$5:$G$2004,MATCH($K208,'سجل التحفيز'!$X$5:$X$2004,0)))</f>
        <v/>
      </c>
    </row>
    <row r="209">
      <c r="K209" s="36">
        <f>IF(172&gt;$B$10,"",172)</f>
        <v/>
      </c>
      <c r="L209" s="37">
        <f>IF($K209="","",INDEX('سجل التحفيز'!$A$5:$A$2004,MATCH($K209,'سجل التحفيز'!$X$5:$X$2004,0)))</f>
        <v/>
      </c>
      <c r="M209" s="9">
        <f>IF($K209="","",INDEX('سجل التحفيز'!$B$5:$B$2004,MATCH($K209,'سجل التحفيز'!$X$5:$X$2004,0)))</f>
        <v/>
      </c>
      <c r="N209" s="9">
        <f>IF($K209="","",INDEX('سجل التحفيز'!$M$5:$M$2004,MATCH($K209,'سجل التحفيز'!$X$5:$X$2004,0)))</f>
        <v/>
      </c>
      <c r="O209" s="9">
        <f>IF($K209="","",INDEX('سجل التحفيز'!$C$5:$C$2004,MATCH($K209,'سجل التحفيز'!$X$5:$X$2004,0)))</f>
        <v/>
      </c>
      <c r="P209" s="36">
        <f>IF($K209="","",INDEX('سجل التحفيز'!$D$5:$D$2004,MATCH($K209,'سجل التحفيز'!$X$5:$X$2004,0)))</f>
        <v/>
      </c>
      <c r="Q209" s="9">
        <f>IF($K209="","",INDEX('سجل التحفيز'!$E$5:$E$2004,MATCH($K209,'سجل التحفيز'!$X$5:$X$2004,0)))</f>
        <v/>
      </c>
      <c r="R209" s="9">
        <f>IF($K209="","",INDEX('سجل التحفيز'!$F$5:$F$2004,MATCH($K209,'سجل التحفيز'!$X$5:$X$2004,0)))</f>
        <v/>
      </c>
      <c r="S209" s="35">
        <f>IF($K209="","",INDEX('سجل التحفيز'!$G$5:$G$2004,MATCH($K209,'سجل التحفيز'!$X$5:$X$2004,0)))</f>
        <v/>
      </c>
    </row>
    <row r="210">
      <c r="K210" s="36">
        <f>IF(173&gt;$B$10,"",173)</f>
        <v/>
      </c>
      <c r="L210" s="37">
        <f>IF($K210="","",INDEX('سجل التحفيز'!$A$5:$A$2004,MATCH($K210,'سجل التحفيز'!$X$5:$X$2004,0)))</f>
        <v/>
      </c>
      <c r="M210" s="9">
        <f>IF($K210="","",INDEX('سجل التحفيز'!$B$5:$B$2004,MATCH($K210,'سجل التحفيز'!$X$5:$X$2004,0)))</f>
        <v/>
      </c>
      <c r="N210" s="9">
        <f>IF($K210="","",INDEX('سجل التحفيز'!$M$5:$M$2004,MATCH($K210,'سجل التحفيز'!$X$5:$X$2004,0)))</f>
        <v/>
      </c>
      <c r="O210" s="9">
        <f>IF($K210="","",INDEX('سجل التحفيز'!$C$5:$C$2004,MATCH($K210,'سجل التحفيز'!$X$5:$X$2004,0)))</f>
        <v/>
      </c>
      <c r="P210" s="36">
        <f>IF($K210="","",INDEX('سجل التحفيز'!$D$5:$D$2004,MATCH($K210,'سجل التحفيز'!$X$5:$X$2004,0)))</f>
        <v/>
      </c>
      <c r="Q210" s="9">
        <f>IF($K210="","",INDEX('سجل التحفيز'!$E$5:$E$2004,MATCH($K210,'سجل التحفيز'!$X$5:$X$2004,0)))</f>
        <v/>
      </c>
      <c r="R210" s="9">
        <f>IF($K210="","",INDEX('سجل التحفيز'!$F$5:$F$2004,MATCH($K210,'سجل التحفيز'!$X$5:$X$2004,0)))</f>
        <v/>
      </c>
      <c r="S210" s="35">
        <f>IF($K210="","",INDEX('سجل التحفيز'!$G$5:$G$2004,MATCH($K210,'سجل التحفيز'!$X$5:$X$2004,0)))</f>
        <v/>
      </c>
    </row>
    <row r="211">
      <c r="K211" s="36">
        <f>IF(174&gt;$B$10,"",174)</f>
        <v/>
      </c>
      <c r="L211" s="37">
        <f>IF($K211="","",INDEX('سجل التحفيز'!$A$5:$A$2004,MATCH($K211,'سجل التحفيز'!$X$5:$X$2004,0)))</f>
        <v/>
      </c>
      <c r="M211" s="9">
        <f>IF($K211="","",INDEX('سجل التحفيز'!$B$5:$B$2004,MATCH($K211,'سجل التحفيز'!$X$5:$X$2004,0)))</f>
        <v/>
      </c>
      <c r="N211" s="9">
        <f>IF($K211="","",INDEX('سجل التحفيز'!$M$5:$M$2004,MATCH($K211,'سجل التحفيز'!$X$5:$X$2004,0)))</f>
        <v/>
      </c>
      <c r="O211" s="9">
        <f>IF($K211="","",INDEX('سجل التحفيز'!$C$5:$C$2004,MATCH($K211,'سجل التحفيز'!$X$5:$X$2004,0)))</f>
        <v/>
      </c>
      <c r="P211" s="36">
        <f>IF($K211="","",INDEX('سجل التحفيز'!$D$5:$D$2004,MATCH($K211,'سجل التحفيز'!$X$5:$X$2004,0)))</f>
        <v/>
      </c>
      <c r="Q211" s="9">
        <f>IF($K211="","",INDEX('سجل التحفيز'!$E$5:$E$2004,MATCH($K211,'سجل التحفيز'!$X$5:$X$2004,0)))</f>
        <v/>
      </c>
      <c r="R211" s="9">
        <f>IF($K211="","",INDEX('سجل التحفيز'!$F$5:$F$2004,MATCH($K211,'سجل التحفيز'!$X$5:$X$2004,0)))</f>
        <v/>
      </c>
      <c r="S211" s="35">
        <f>IF($K211="","",INDEX('سجل التحفيز'!$G$5:$G$2004,MATCH($K211,'سجل التحفيز'!$X$5:$X$2004,0)))</f>
        <v/>
      </c>
    </row>
    <row r="212">
      <c r="K212" s="36">
        <f>IF(175&gt;$B$10,"",175)</f>
        <v/>
      </c>
      <c r="L212" s="37">
        <f>IF($K212="","",INDEX('سجل التحفيز'!$A$5:$A$2004,MATCH($K212,'سجل التحفيز'!$X$5:$X$2004,0)))</f>
        <v/>
      </c>
      <c r="M212" s="9">
        <f>IF($K212="","",INDEX('سجل التحفيز'!$B$5:$B$2004,MATCH($K212,'سجل التحفيز'!$X$5:$X$2004,0)))</f>
        <v/>
      </c>
      <c r="N212" s="9">
        <f>IF($K212="","",INDEX('سجل التحفيز'!$M$5:$M$2004,MATCH($K212,'سجل التحفيز'!$X$5:$X$2004,0)))</f>
        <v/>
      </c>
      <c r="O212" s="9">
        <f>IF($K212="","",INDEX('سجل التحفيز'!$C$5:$C$2004,MATCH($K212,'سجل التحفيز'!$X$5:$X$2004,0)))</f>
        <v/>
      </c>
      <c r="P212" s="36">
        <f>IF($K212="","",INDEX('سجل التحفيز'!$D$5:$D$2004,MATCH($K212,'سجل التحفيز'!$X$5:$X$2004,0)))</f>
        <v/>
      </c>
      <c r="Q212" s="9">
        <f>IF($K212="","",INDEX('سجل التحفيز'!$E$5:$E$2004,MATCH($K212,'سجل التحفيز'!$X$5:$X$2004,0)))</f>
        <v/>
      </c>
      <c r="R212" s="9">
        <f>IF($K212="","",INDEX('سجل التحفيز'!$F$5:$F$2004,MATCH($K212,'سجل التحفيز'!$X$5:$X$2004,0)))</f>
        <v/>
      </c>
      <c r="S212" s="35">
        <f>IF($K212="","",INDEX('سجل التحفيز'!$G$5:$G$2004,MATCH($K212,'سجل التحفيز'!$X$5:$X$2004,0)))</f>
        <v/>
      </c>
    </row>
    <row r="213">
      <c r="K213" s="36">
        <f>IF(176&gt;$B$10,"",176)</f>
        <v/>
      </c>
      <c r="L213" s="37">
        <f>IF($K213="","",INDEX('سجل التحفيز'!$A$5:$A$2004,MATCH($K213,'سجل التحفيز'!$X$5:$X$2004,0)))</f>
        <v/>
      </c>
      <c r="M213" s="9">
        <f>IF($K213="","",INDEX('سجل التحفيز'!$B$5:$B$2004,MATCH($K213,'سجل التحفيز'!$X$5:$X$2004,0)))</f>
        <v/>
      </c>
      <c r="N213" s="9">
        <f>IF($K213="","",INDEX('سجل التحفيز'!$M$5:$M$2004,MATCH($K213,'سجل التحفيز'!$X$5:$X$2004,0)))</f>
        <v/>
      </c>
      <c r="O213" s="9">
        <f>IF($K213="","",INDEX('سجل التحفيز'!$C$5:$C$2004,MATCH($K213,'سجل التحفيز'!$X$5:$X$2004,0)))</f>
        <v/>
      </c>
      <c r="P213" s="36">
        <f>IF($K213="","",INDEX('سجل التحفيز'!$D$5:$D$2004,MATCH($K213,'سجل التحفيز'!$X$5:$X$2004,0)))</f>
        <v/>
      </c>
      <c r="Q213" s="9">
        <f>IF($K213="","",INDEX('سجل التحفيز'!$E$5:$E$2004,MATCH($K213,'سجل التحفيز'!$X$5:$X$2004,0)))</f>
        <v/>
      </c>
      <c r="R213" s="9">
        <f>IF($K213="","",INDEX('سجل التحفيز'!$F$5:$F$2004,MATCH($K213,'سجل التحفيز'!$X$5:$X$2004,0)))</f>
        <v/>
      </c>
      <c r="S213" s="35">
        <f>IF($K213="","",INDEX('سجل التحفيز'!$G$5:$G$2004,MATCH($K213,'سجل التحفيز'!$X$5:$X$2004,0)))</f>
        <v/>
      </c>
    </row>
    <row r="214">
      <c r="K214" s="36">
        <f>IF(177&gt;$B$10,"",177)</f>
        <v/>
      </c>
      <c r="L214" s="37">
        <f>IF($K214="","",INDEX('سجل التحفيز'!$A$5:$A$2004,MATCH($K214,'سجل التحفيز'!$X$5:$X$2004,0)))</f>
        <v/>
      </c>
      <c r="M214" s="9">
        <f>IF($K214="","",INDEX('سجل التحفيز'!$B$5:$B$2004,MATCH($K214,'سجل التحفيز'!$X$5:$X$2004,0)))</f>
        <v/>
      </c>
      <c r="N214" s="9">
        <f>IF($K214="","",INDEX('سجل التحفيز'!$M$5:$M$2004,MATCH($K214,'سجل التحفيز'!$X$5:$X$2004,0)))</f>
        <v/>
      </c>
      <c r="O214" s="9">
        <f>IF($K214="","",INDEX('سجل التحفيز'!$C$5:$C$2004,MATCH($K214,'سجل التحفيز'!$X$5:$X$2004,0)))</f>
        <v/>
      </c>
      <c r="P214" s="36">
        <f>IF($K214="","",INDEX('سجل التحفيز'!$D$5:$D$2004,MATCH($K214,'سجل التحفيز'!$X$5:$X$2004,0)))</f>
        <v/>
      </c>
      <c r="Q214" s="9">
        <f>IF($K214="","",INDEX('سجل التحفيز'!$E$5:$E$2004,MATCH($K214,'سجل التحفيز'!$X$5:$X$2004,0)))</f>
        <v/>
      </c>
      <c r="R214" s="9">
        <f>IF($K214="","",INDEX('سجل التحفيز'!$F$5:$F$2004,MATCH($K214,'سجل التحفيز'!$X$5:$X$2004,0)))</f>
        <v/>
      </c>
      <c r="S214" s="35">
        <f>IF($K214="","",INDEX('سجل التحفيز'!$G$5:$G$2004,MATCH($K214,'سجل التحفيز'!$X$5:$X$2004,0)))</f>
        <v/>
      </c>
    </row>
    <row r="215">
      <c r="K215" s="36">
        <f>IF(178&gt;$B$10,"",178)</f>
        <v/>
      </c>
      <c r="L215" s="37">
        <f>IF($K215="","",INDEX('سجل التحفيز'!$A$5:$A$2004,MATCH($K215,'سجل التحفيز'!$X$5:$X$2004,0)))</f>
        <v/>
      </c>
      <c r="M215" s="9">
        <f>IF($K215="","",INDEX('سجل التحفيز'!$B$5:$B$2004,MATCH($K215,'سجل التحفيز'!$X$5:$X$2004,0)))</f>
        <v/>
      </c>
      <c r="N215" s="9">
        <f>IF($K215="","",INDEX('سجل التحفيز'!$M$5:$M$2004,MATCH($K215,'سجل التحفيز'!$X$5:$X$2004,0)))</f>
        <v/>
      </c>
      <c r="O215" s="9">
        <f>IF($K215="","",INDEX('سجل التحفيز'!$C$5:$C$2004,MATCH($K215,'سجل التحفيز'!$X$5:$X$2004,0)))</f>
        <v/>
      </c>
      <c r="P215" s="36">
        <f>IF($K215="","",INDEX('سجل التحفيز'!$D$5:$D$2004,MATCH($K215,'سجل التحفيز'!$X$5:$X$2004,0)))</f>
        <v/>
      </c>
      <c r="Q215" s="9">
        <f>IF($K215="","",INDEX('سجل التحفيز'!$E$5:$E$2004,MATCH($K215,'سجل التحفيز'!$X$5:$X$2004,0)))</f>
        <v/>
      </c>
      <c r="R215" s="9">
        <f>IF($K215="","",INDEX('سجل التحفيز'!$F$5:$F$2004,MATCH($K215,'سجل التحفيز'!$X$5:$X$2004,0)))</f>
        <v/>
      </c>
      <c r="S215" s="35">
        <f>IF($K215="","",INDEX('سجل التحفيز'!$G$5:$G$2004,MATCH($K215,'سجل التحفيز'!$X$5:$X$2004,0)))</f>
        <v/>
      </c>
    </row>
    <row r="216">
      <c r="K216" s="36">
        <f>IF(179&gt;$B$10,"",179)</f>
        <v/>
      </c>
      <c r="L216" s="37">
        <f>IF($K216="","",INDEX('سجل التحفيز'!$A$5:$A$2004,MATCH($K216,'سجل التحفيز'!$X$5:$X$2004,0)))</f>
        <v/>
      </c>
      <c r="M216" s="9">
        <f>IF($K216="","",INDEX('سجل التحفيز'!$B$5:$B$2004,MATCH($K216,'سجل التحفيز'!$X$5:$X$2004,0)))</f>
        <v/>
      </c>
      <c r="N216" s="9">
        <f>IF($K216="","",INDEX('سجل التحفيز'!$M$5:$M$2004,MATCH($K216,'سجل التحفيز'!$X$5:$X$2004,0)))</f>
        <v/>
      </c>
      <c r="O216" s="9">
        <f>IF($K216="","",INDEX('سجل التحفيز'!$C$5:$C$2004,MATCH($K216,'سجل التحفيز'!$X$5:$X$2004,0)))</f>
        <v/>
      </c>
      <c r="P216" s="36">
        <f>IF($K216="","",INDEX('سجل التحفيز'!$D$5:$D$2004,MATCH($K216,'سجل التحفيز'!$X$5:$X$2004,0)))</f>
        <v/>
      </c>
      <c r="Q216" s="9">
        <f>IF($K216="","",INDEX('سجل التحفيز'!$E$5:$E$2004,MATCH($K216,'سجل التحفيز'!$X$5:$X$2004,0)))</f>
        <v/>
      </c>
      <c r="R216" s="9">
        <f>IF($K216="","",INDEX('سجل التحفيز'!$F$5:$F$2004,MATCH($K216,'سجل التحفيز'!$X$5:$X$2004,0)))</f>
        <v/>
      </c>
      <c r="S216" s="35">
        <f>IF($K216="","",INDEX('سجل التحفيز'!$G$5:$G$2004,MATCH($K216,'سجل التحفيز'!$X$5:$X$2004,0)))</f>
        <v/>
      </c>
    </row>
    <row r="217">
      <c r="K217" s="36">
        <f>IF(180&gt;$B$10,"",180)</f>
        <v/>
      </c>
      <c r="L217" s="37">
        <f>IF($K217="","",INDEX('سجل التحفيز'!$A$5:$A$2004,MATCH($K217,'سجل التحفيز'!$X$5:$X$2004,0)))</f>
        <v/>
      </c>
      <c r="M217" s="9">
        <f>IF($K217="","",INDEX('سجل التحفيز'!$B$5:$B$2004,MATCH($K217,'سجل التحفيز'!$X$5:$X$2004,0)))</f>
        <v/>
      </c>
      <c r="N217" s="9">
        <f>IF($K217="","",INDEX('سجل التحفيز'!$M$5:$M$2004,MATCH($K217,'سجل التحفيز'!$X$5:$X$2004,0)))</f>
        <v/>
      </c>
      <c r="O217" s="9">
        <f>IF($K217="","",INDEX('سجل التحفيز'!$C$5:$C$2004,MATCH($K217,'سجل التحفيز'!$X$5:$X$2004,0)))</f>
        <v/>
      </c>
      <c r="P217" s="36">
        <f>IF($K217="","",INDEX('سجل التحفيز'!$D$5:$D$2004,MATCH($K217,'سجل التحفيز'!$X$5:$X$2004,0)))</f>
        <v/>
      </c>
      <c r="Q217" s="9">
        <f>IF($K217="","",INDEX('سجل التحفيز'!$E$5:$E$2004,MATCH($K217,'سجل التحفيز'!$X$5:$X$2004,0)))</f>
        <v/>
      </c>
      <c r="R217" s="9">
        <f>IF($K217="","",INDEX('سجل التحفيز'!$F$5:$F$2004,MATCH($K217,'سجل التحفيز'!$X$5:$X$2004,0)))</f>
        <v/>
      </c>
      <c r="S217" s="35">
        <f>IF($K217="","",INDEX('سجل التحفيز'!$G$5:$G$2004,MATCH($K217,'سجل التحفيز'!$X$5:$X$2004,0)))</f>
        <v/>
      </c>
    </row>
    <row r="218">
      <c r="K218" s="36">
        <f>IF(181&gt;$B$10,"",181)</f>
        <v/>
      </c>
      <c r="L218" s="37">
        <f>IF($K218="","",INDEX('سجل التحفيز'!$A$5:$A$2004,MATCH($K218,'سجل التحفيز'!$X$5:$X$2004,0)))</f>
        <v/>
      </c>
      <c r="M218" s="9">
        <f>IF($K218="","",INDEX('سجل التحفيز'!$B$5:$B$2004,MATCH($K218,'سجل التحفيز'!$X$5:$X$2004,0)))</f>
        <v/>
      </c>
      <c r="N218" s="9">
        <f>IF($K218="","",INDEX('سجل التحفيز'!$M$5:$M$2004,MATCH($K218,'سجل التحفيز'!$X$5:$X$2004,0)))</f>
        <v/>
      </c>
      <c r="O218" s="9">
        <f>IF($K218="","",INDEX('سجل التحفيز'!$C$5:$C$2004,MATCH($K218,'سجل التحفيز'!$X$5:$X$2004,0)))</f>
        <v/>
      </c>
      <c r="P218" s="36">
        <f>IF($K218="","",INDEX('سجل التحفيز'!$D$5:$D$2004,MATCH($K218,'سجل التحفيز'!$X$5:$X$2004,0)))</f>
        <v/>
      </c>
      <c r="Q218" s="9">
        <f>IF($K218="","",INDEX('سجل التحفيز'!$E$5:$E$2004,MATCH($K218,'سجل التحفيز'!$X$5:$X$2004,0)))</f>
        <v/>
      </c>
      <c r="R218" s="9">
        <f>IF($K218="","",INDEX('سجل التحفيز'!$F$5:$F$2004,MATCH($K218,'سجل التحفيز'!$X$5:$X$2004,0)))</f>
        <v/>
      </c>
      <c r="S218" s="35">
        <f>IF($K218="","",INDEX('سجل التحفيز'!$G$5:$G$2004,MATCH($K218,'سجل التحفيز'!$X$5:$X$2004,0)))</f>
        <v/>
      </c>
    </row>
    <row r="219">
      <c r="K219" s="36">
        <f>IF(182&gt;$B$10,"",182)</f>
        <v/>
      </c>
      <c r="L219" s="37">
        <f>IF($K219="","",INDEX('سجل التحفيز'!$A$5:$A$2004,MATCH($K219,'سجل التحفيز'!$X$5:$X$2004,0)))</f>
        <v/>
      </c>
      <c r="M219" s="9">
        <f>IF($K219="","",INDEX('سجل التحفيز'!$B$5:$B$2004,MATCH($K219,'سجل التحفيز'!$X$5:$X$2004,0)))</f>
        <v/>
      </c>
      <c r="N219" s="9">
        <f>IF($K219="","",INDEX('سجل التحفيز'!$M$5:$M$2004,MATCH($K219,'سجل التحفيز'!$X$5:$X$2004,0)))</f>
        <v/>
      </c>
      <c r="O219" s="9">
        <f>IF($K219="","",INDEX('سجل التحفيز'!$C$5:$C$2004,MATCH($K219,'سجل التحفيز'!$X$5:$X$2004,0)))</f>
        <v/>
      </c>
      <c r="P219" s="36">
        <f>IF($K219="","",INDEX('سجل التحفيز'!$D$5:$D$2004,MATCH($K219,'سجل التحفيز'!$X$5:$X$2004,0)))</f>
        <v/>
      </c>
      <c r="Q219" s="9">
        <f>IF($K219="","",INDEX('سجل التحفيز'!$E$5:$E$2004,MATCH($K219,'سجل التحفيز'!$X$5:$X$2004,0)))</f>
        <v/>
      </c>
      <c r="R219" s="9">
        <f>IF($K219="","",INDEX('سجل التحفيز'!$F$5:$F$2004,MATCH($K219,'سجل التحفيز'!$X$5:$X$2004,0)))</f>
        <v/>
      </c>
      <c r="S219" s="35">
        <f>IF($K219="","",INDEX('سجل التحفيز'!$G$5:$G$2004,MATCH($K219,'سجل التحفيز'!$X$5:$X$2004,0)))</f>
        <v/>
      </c>
    </row>
    <row r="220">
      <c r="K220" s="36">
        <f>IF(183&gt;$B$10,"",183)</f>
        <v/>
      </c>
      <c r="L220" s="37">
        <f>IF($K220="","",INDEX('سجل التحفيز'!$A$5:$A$2004,MATCH($K220,'سجل التحفيز'!$X$5:$X$2004,0)))</f>
        <v/>
      </c>
      <c r="M220" s="9">
        <f>IF($K220="","",INDEX('سجل التحفيز'!$B$5:$B$2004,MATCH($K220,'سجل التحفيز'!$X$5:$X$2004,0)))</f>
        <v/>
      </c>
      <c r="N220" s="9">
        <f>IF($K220="","",INDEX('سجل التحفيز'!$M$5:$M$2004,MATCH($K220,'سجل التحفيز'!$X$5:$X$2004,0)))</f>
        <v/>
      </c>
      <c r="O220" s="9">
        <f>IF($K220="","",INDEX('سجل التحفيز'!$C$5:$C$2004,MATCH($K220,'سجل التحفيز'!$X$5:$X$2004,0)))</f>
        <v/>
      </c>
      <c r="P220" s="36">
        <f>IF($K220="","",INDEX('سجل التحفيز'!$D$5:$D$2004,MATCH($K220,'سجل التحفيز'!$X$5:$X$2004,0)))</f>
        <v/>
      </c>
      <c r="Q220" s="9">
        <f>IF($K220="","",INDEX('سجل التحفيز'!$E$5:$E$2004,MATCH($K220,'سجل التحفيز'!$X$5:$X$2004,0)))</f>
        <v/>
      </c>
      <c r="R220" s="9">
        <f>IF($K220="","",INDEX('سجل التحفيز'!$F$5:$F$2004,MATCH($K220,'سجل التحفيز'!$X$5:$X$2004,0)))</f>
        <v/>
      </c>
      <c r="S220" s="35">
        <f>IF($K220="","",INDEX('سجل التحفيز'!$G$5:$G$2004,MATCH($K220,'سجل التحفيز'!$X$5:$X$2004,0)))</f>
        <v/>
      </c>
    </row>
    <row r="221">
      <c r="K221" s="36">
        <f>IF(184&gt;$B$10,"",184)</f>
        <v/>
      </c>
      <c r="L221" s="37">
        <f>IF($K221="","",INDEX('سجل التحفيز'!$A$5:$A$2004,MATCH($K221,'سجل التحفيز'!$X$5:$X$2004,0)))</f>
        <v/>
      </c>
      <c r="M221" s="9">
        <f>IF($K221="","",INDEX('سجل التحفيز'!$B$5:$B$2004,MATCH($K221,'سجل التحفيز'!$X$5:$X$2004,0)))</f>
        <v/>
      </c>
      <c r="N221" s="9">
        <f>IF($K221="","",INDEX('سجل التحفيز'!$M$5:$M$2004,MATCH($K221,'سجل التحفيز'!$X$5:$X$2004,0)))</f>
        <v/>
      </c>
      <c r="O221" s="9">
        <f>IF($K221="","",INDEX('سجل التحفيز'!$C$5:$C$2004,MATCH($K221,'سجل التحفيز'!$X$5:$X$2004,0)))</f>
        <v/>
      </c>
      <c r="P221" s="36">
        <f>IF($K221="","",INDEX('سجل التحفيز'!$D$5:$D$2004,MATCH($K221,'سجل التحفيز'!$X$5:$X$2004,0)))</f>
        <v/>
      </c>
      <c r="Q221" s="9">
        <f>IF($K221="","",INDEX('سجل التحفيز'!$E$5:$E$2004,MATCH($K221,'سجل التحفيز'!$X$5:$X$2004,0)))</f>
        <v/>
      </c>
      <c r="R221" s="9">
        <f>IF($K221="","",INDEX('سجل التحفيز'!$F$5:$F$2004,MATCH($K221,'سجل التحفيز'!$X$5:$X$2004,0)))</f>
        <v/>
      </c>
      <c r="S221" s="35">
        <f>IF($K221="","",INDEX('سجل التحفيز'!$G$5:$G$2004,MATCH($K221,'سجل التحفيز'!$X$5:$X$2004,0)))</f>
        <v/>
      </c>
    </row>
    <row r="222">
      <c r="K222" s="36">
        <f>IF(185&gt;$B$10,"",185)</f>
        <v/>
      </c>
      <c r="L222" s="37">
        <f>IF($K222="","",INDEX('سجل التحفيز'!$A$5:$A$2004,MATCH($K222,'سجل التحفيز'!$X$5:$X$2004,0)))</f>
        <v/>
      </c>
      <c r="M222" s="9">
        <f>IF($K222="","",INDEX('سجل التحفيز'!$B$5:$B$2004,MATCH($K222,'سجل التحفيز'!$X$5:$X$2004,0)))</f>
        <v/>
      </c>
      <c r="N222" s="9">
        <f>IF($K222="","",INDEX('سجل التحفيز'!$M$5:$M$2004,MATCH($K222,'سجل التحفيز'!$X$5:$X$2004,0)))</f>
        <v/>
      </c>
      <c r="O222" s="9">
        <f>IF($K222="","",INDEX('سجل التحفيز'!$C$5:$C$2004,MATCH($K222,'سجل التحفيز'!$X$5:$X$2004,0)))</f>
        <v/>
      </c>
      <c r="P222" s="36">
        <f>IF($K222="","",INDEX('سجل التحفيز'!$D$5:$D$2004,MATCH($K222,'سجل التحفيز'!$X$5:$X$2004,0)))</f>
        <v/>
      </c>
      <c r="Q222" s="9">
        <f>IF($K222="","",INDEX('سجل التحفيز'!$E$5:$E$2004,MATCH($K222,'سجل التحفيز'!$X$5:$X$2004,0)))</f>
        <v/>
      </c>
      <c r="R222" s="9">
        <f>IF($K222="","",INDEX('سجل التحفيز'!$F$5:$F$2004,MATCH($K222,'سجل التحفيز'!$X$5:$X$2004,0)))</f>
        <v/>
      </c>
      <c r="S222" s="35">
        <f>IF($K222="","",INDEX('سجل التحفيز'!$G$5:$G$2004,MATCH($K222,'سجل التحفيز'!$X$5:$X$2004,0)))</f>
        <v/>
      </c>
    </row>
    <row r="223">
      <c r="K223" s="36">
        <f>IF(186&gt;$B$10,"",186)</f>
        <v/>
      </c>
      <c r="L223" s="37">
        <f>IF($K223="","",INDEX('سجل التحفيز'!$A$5:$A$2004,MATCH($K223,'سجل التحفيز'!$X$5:$X$2004,0)))</f>
        <v/>
      </c>
      <c r="M223" s="9">
        <f>IF($K223="","",INDEX('سجل التحفيز'!$B$5:$B$2004,MATCH($K223,'سجل التحفيز'!$X$5:$X$2004,0)))</f>
        <v/>
      </c>
      <c r="N223" s="9">
        <f>IF($K223="","",INDEX('سجل التحفيز'!$M$5:$M$2004,MATCH($K223,'سجل التحفيز'!$X$5:$X$2004,0)))</f>
        <v/>
      </c>
      <c r="O223" s="9">
        <f>IF($K223="","",INDEX('سجل التحفيز'!$C$5:$C$2004,MATCH($K223,'سجل التحفيز'!$X$5:$X$2004,0)))</f>
        <v/>
      </c>
      <c r="P223" s="36">
        <f>IF($K223="","",INDEX('سجل التحفيز'!$D$5:$D$2004,MATCH($K223,'سجل التحفيز'!$X$5:$X$2004,0)))</f>
        <v/>
      </c>
      <c r="Q223" s="9">
        <f>IF($K223="","",INDEX('سجل التحفيز'!$E$5:$E$2004,MATCH($K223,'سجل التحفيز'!$X$5:$X$2004,0)))</f>
        <v/>
      </c>
      <c r="R223" s="9">
        <f>IF($K223="","",INDEX('سجل التحفيز'!$F$5:$F$2004,MATCH($K223,'سجل التحفيز'!$X$5:$X$2004,0)))</f>
        <v/>
      </c>
      <c r="S223" s="35">
        <f>IF($K223="","",INDEX('سجل التحفيز'!$G$5:$G$2004,MATCH($K223,'سجل التحفيز'!$X$5:$X$2004,0)))</f>
        <v/>
      </c>
    </row>
    <row r="224">
      <c r="K224" s="36">
        <f>IF(187&gt;$B$10,"",187)</f>
        <v/>
      </c>
      <c r="L224" s="37">
        <f>IF($K224="","",INDEX('سجل التحفيز'!$A$5:$A$2004,MATCH($K224,'سجل التحفيز'!$X$5:$X$2004,0)))</f>
        <v/>
      </c>
      <c r="M224" s="9">
        <f>IF($K224="","",INDEX('سجل التحفيز'!$B$5:$B$2004,MATCH($K224,'سجل التحفيز'!$X$5:$X$2004,0)))</f>
        <v/>
      </c>
      <c r="N224" s="9">
        <f>IF($K224="","",INDEX('سجل التحفيز'!$M$5:$M$2004,MATCH($K224,'سجل التحفيز'!$X$5:$X$2004,0)))</f>
        <v/>
      </c>
      <c r="O224" s="9">
        <f>IF($K224="","",INDEX('سجل التحفيز'!$C$5:$C$2004,MATCH($K224,'سجل التحفيز'!$X$5:$X$2004,0)))</f>
        <v/>
      </c>
      <c r="P224" s="36">
        <f>IF($K224="","",INDEX('سجل التحفيز'!$D$5:$D$2004,MATCH($K224,'سجل التحفيز'!$X$5:$X$2004,0)))</f>
        <v/>
      </c>
      <c r="Q224" s="9">
        <f>IF($K224="","",INDEX('سجل التحفيز'!$E$5:$E$2004,MATCH($K224,'سجل التحفيز'!$X$5:$X$2004,0)))</f>
        <v/>
      </c>
      <c r="R224" s="9">
        <f>IF($K224="","",INDEX('سجل التحفيز'!$F$5:$F$2004,MATCH($K224,'سجل التحفيز'!$X$5:$X$2004,0)))</f>
        <v/>
      </c>
      <c r="S224" s="35">
        <f>IF($K224="","",INDEX('سجل التحفيز'!$G$5:$G$2004,MATCH($K224,'سجل التحفيز'!$X$5:$X$2004,0)))</f>
        <v/>
      </c>
    </row>
    <row r="225">
      <c r="K225" s="36">
        <f>IF(188&gt;$B$10,"",188)</f>
        <v/>
      </c>
      <c r="L225" s="37">
        <f>IF($K225="","",INDEX('سجل التحفيز'!$A$5:$A$2004,MATCH($K225,'سجل التحفيز'!$X$5:$X$2004,0)))</f>
        <v/>
      </c>
      <c r="M225" s="9">
        <f>IF($K225="","",INDEX('سجل التحفيز'!$B$5:$B$2004,MATCH($K225,'سجل التحفيز'!$X$5:$X$2004,0)))</f>
        <v/>
      </c>
      <c r="N225" s="9">
        <f>IF($K225="","",INDEX('سجل التحفيز'!$M$5:$M$2004,MATCH($K225,'سجل التحفيز'!$X$5:$X$2004,0)))</f>
        <v/>
      </c>
      <c r="O225" s="9">
        <f>IF($K225="","",INDEX('سجل التحفيز'!$C$5:$C$2004,MATCH($K225,'سجل التحفيز'!$X$5:$X$2004,0)))</f>
        <v/>
      </c>
      <c r="P225" s="36">
        <f>IF($K225="","",INDEX('سجل التحفيز'!$D$5:$D$2004,MATCH($K225,'سجل التحفيز'!$X$5:$X$2004,0)))</f>
        <v/>
      </c>
      <c r="Q225" s="9">
        <f>IF($K225="","",INDEX('سجل التحفيز'!$E$5:$E$2004,MATCH($K225,'سجل التحفيز'!$X$5:$X$2004,0)))</f>
        <v/>
      </c>
      <c r="R225" s="9">
        <f>IF($K225="","",INDEX('سجل التحفيز'!$F$5:$F$2004,MATCH($K225,'سجل التحفيز'!$X$5:$X$2004,0)))</f>
        <v/>
      </c>
      <c r="S225" s="35">
        <f>IF($K225="","",INDEX('سجل التحفيز'!$G$5:$G$2004,MATCH($K225,'سجل التحفيز'!$X$5:$X$2004,0)))</f>
        <v/>
      </c>
    </row>
    <row r="226">
      <c r="K226" s="36">
        <f>IF(189&gt;$B$10,"",189)</f>
        <v/>
      </c>
      <c r="L226" s="37">
        <f>IF($K226="","",INDEX('سجل التحفيز'!$A$5:$A$2004,MATCH($K226,'سجل التحفيز'!$X$5:$X$2004,0)))</f>
        <v/>
      </c>
      <c r="M226" s="9">
        <f>IF($K226="","",INDEX('سجل التحفيز'!$B$5:$B$2004,MATCH($K226,'سجل التحفيز'!$X$5:$X$2004,0)))</f>
        <v/>
      </c>
      <c r="N226" s="9">
        <f>IF($K226="","",INDEX('سجل التحفيز'!$M$5:$M$2004,MATCH($K226,'سجل التحفيز'!$X$5:$X$2004,0)))</f>
        <v/>
      </c>
      <c r="O226" s="9">
        <f>IF($K226="","",INDEX('سجل التحفيز'!$C$5:$C$2004,MATCH($K226,'سجل التحفيز'!$X$5:$X$2004,0)))</f>
        <v/>
      </c>
      <c r="P226" s="36">
        <f>IF($K226="","",INDEX('سجل التحفيز'!$D$5:$D$2004,MATCH($K226,'سجل التحفيز'!$X$5:$X$2004,0)))</f>
        <v/>
      </c>
      <c r="Q226" s="9">
        <f>IF($K226="","",INDEX('سجل التحفيز'!$E$5:$E$2004,MATCH($K226,'سجل التحفيز'!$X$5:$X$2004,0)))</f>
        <v/>
      </c>
      <c r="R226" s="9">
        <f>IF($K226="","",INDEX('سجل التحفيز'!$F$5:$F$2004,MATCH($K226,'سجل التحفيز'!$X$5:$X$2004,0)))</f>
        <v/>
      </c>
      <c r="S226" s="35">
        <f>IF($K226="","",INDEX('سجل التحفيز'!$G$5:$G$2004,MATCH($K226,'سجل التحفيز'!$X$5:$X$2004,0)))</f>
        <v/>
      </c>
    </row>
    <row r="227">
      <c r="K227" s="36">
        <f>IF(190&gt;$B$10,"",190)</f>
        <v/>
      </c>
      <c r="L227" s="37">
        <f>IF($K227="","",INDEX('سجل التحفيز'!$A$5:$A$2004,MATCH($K227,'سجل التحفيز'!$X$5:$X$2004,0)))</f>
        <v/>
      </c>
      <c r="M227" s="9">
        <f>IF($K227="","",INDEX('سجل التحفيز'!$B$5:$B$2004,MATCH($K227,'سجل التحفيز'!$X$5:$X$2004,0)))</f>
        <v/>
      </c>
      <c r="N227" s="9">
        <f>IF($K227="","",INDEX('سجل التحفيز'!$M$5:$M$2004,MATCH($K227,'سجل التحفيز'!$X$5:$X$2004,0)))</f>
        <v/>
      </c>
      <c r="O227" s="9">
        <f>IF($K227="","",INDEX('سجل التحفيز'!$C$5:$C$2004,MATCH($K227,'سجل التحفيز'!$X$5:$X$2004,0)))</f>
        <v/>
      </c>
      <c r="P227" s="36">
        <f>IF($K227="","",INDEX('سجل التحفيز'!$D$5:$D$2004,MATCH($K227,'سجل التحفيز'!$X$5:$X$2004,0)))</f>
        <v/>
      </c>
      <c r="Q227" s="9">
        <f>IF($K227="","",INDEX('سجل التحفيز'!$E$5:$E$2004,MATCH($K227,'سجل التحفيز'!$X$5:$X$2004,0)))</f>
        <v/>
      </c>
      <c r="R227" s="9">
        <f>IF($K227="","",INDEX('سجل التحفيز'!$F$5:$F$2004,MATCH($K227,'سجل التحفيز'!$X$5:$X$2004,0)))</f>
        <v/>
      </c>
      <c r="S227" s="35">
        <f>IF($K227="","",INDEX('سجل التحفيز'!$G$5:$G$2004,MATCH($K227,'سجل التحفيز'!$X$5:$X$2004,0)))</f>
        <v/>
      </c>
    </row>
    <row r="228">
      <c r="K228" s="36">
        <f>IF(191&gt;$B$10,"",191)</f>
        <v/>
      </c>
      <c r="L228" s="37">
        <f>IF($K228="","",INDEX('سجل التحفيز'!$A$5:$A$2004,MATCH($K228,'سجل التحفيز'!$X$5:$X$2004,0)))</f>
        <v/>
      </c>
      <c r="M228" s="9">
        <f>IF($K228="","",INDEX('سجل التحفيز'!$B$5:$B$2004,MATCH($K228,'سجل التحفيز'!$X$5:$X$2004,0)))</f>
        <v/>
      </c>
      <c r="N228" s="9">
        <f>IF($K228="","",INDEX('سجل التحفيز'!$M$5:$M$2004,MATCH($K228,'سجل التحفيز'!$X$5:$X$2004,0)))</f>
        <v/>
      </c>
      <c r="O228" s="9">
        <f>IF($K228="","",INDEX('سجل التحفيز'!$C$5:$C$2004,MATCH($K228,'سجل التحفيز'!$X$5:$X$2004,0)))</f>
        <v/>
      </c>
      <c r="P228" s="36">
        <f>IF($K228="","",INDEX('سجل التحفيز'!$D$5:$D$2004,MATCH($K228,'سجل التحفيز'!$X$5:$X$2004,0)))</f>
        <v/>
      </c>
      <c r="Q228" s="9">
        <f>IF($K228="","",INDEX('سجل التحفيز'!$E$5:$E$2004,MATCH($K228,'سجل التحفيز'!$X$5:$X$2004,0)))</f>
        <v/>
      </c>
      <c r="R228" s="9">
        <f>IF($K228="","",INDEX('سجل التحفيز'!$F$5:$F$2004,MATCH($K228,'سجل التحفيز'!$X$5:$X$2004,0)))</f>
        <v/>
      </c>
      <c r="S228" s="35">
        <f>IF($K228="","",INDEX('سجل التحفيز'!$G$5:$G$2004,MATCH($K228,'سجل التحفيز'!$X$5:$X$2004,0)))</f>
        <v/>
      </c>
    </row>
    <row r="229">
      <c r="K229" s="36">
        <f>IF(192&gt;$B$10,"",192)</f>
        <v/>
      </c>
      <c r="L229" s="37">
        <f>IF($K229="","",INDEX('سجل التحفيز'!$A$5:$A$2004,MATCH($K229,'سجل التحفيز'!$X$5:$X$2004,0)))</f>
        <v/>
      </c>
      <c r="M229" s="9">
        <f>IF($K229="","",INDEX('سجل التحفيز'!$B$5:$B$2004,MATCH($K229,'سجل التحفيز'!$X$5:$X$2004,0)))</f>
        <v/>
      </c>
      <c r="N229" s="9">
        <f>IF($K229="","",INDEX('سجل التحفيز'!$M$5:$M$2004,MATCH($K229,'سجل التحفيز'!$X$5:$X$2004,0)))</f>
        <v/>
      </c>
      <c r="O229" s="9">
        <f>IF($K229="","",INDEX('سجل التحفيز'!$C$5:$C$2004,MATCH($K229,'سجل التحفيز'!$X$5:$X$2004,0)))</f>
        <v/>
      </c>
      <c r="P229" s="36">
        <f>IF($K229="","",INDEX('سجل التحفيز'!$D$5:$D$2004,MATCH($K229,'سجل التحفيز'!$X$5:$X$2004,0)))</f>
        <v/>
      </c>
      <c r="Q229" s="9">
        <f>IF($K229="","",INDEX('سجل التحفيز'!$E$5:$E$2004,MATCH($K229,'سجل التحفيز'!$X$5:$X$2004,0)))</f>
        <v/>
      </c>
      <c r="R229" s="9">
        <f>IF($K229="","",INDEX('سجل التحفيز'!$F$5:$F$2004,MATCH($K229,'سجل التحفيز'!$X$5:$X$2004,0)))</f>
        <v/>
      </c>
      <c r="S229" s="35">
        <f>IF($K229="","",INDEX('سجل التحفيز'!$G$5:$G$2004,MATCH($K229,'سجل التحفيز'!$X$5:$X$2004,0)))</f>
        <v/>
      </c>
    </row>
    <row r="230">
      <c r="K230" s="36">
        <f>IF(193&gt;$B$10,"",193)</f>
        <v/>
      </c>
      <c r="L230" s="37">
        <f>IF($K230="","",INDEX('سجل التحفيز'!$A$5:$A$2004,MATCH($K230,'سجل التحفيز'!$X$5:$X$2004,0)))</f>
        <v/>
      </c>
      <c r="M230" s="9">
        <f>IF($K230="","",INDEX('سجل التحفيز'!$B$5:$B$2004,MATCH($K230,'سجل التحفيز'!$X$5:$X$2004,0)))</f>
        <v/>
      </c>
      <c r="N230" s="9">
        <f>IF($K230="","",INDEX('سجل التحفيز'!$M$5:$M$2004,MATCH($K230,'سجل التحفيز'!$X$5:$X$2004,0)))</f>
        <v/>
      </c>
      <c r="O230" s="9">
        <f>IF($K230="","",INDEX('سجل التحفيز'!$C$5:$C$2004,MATCH($K230,'سجل التحفيز'!$X$5:$X$2004,0)))</f>
        <v/>
      </c>
      <c r="P230" s="36">
        <f>IF($K230="","",INDEX('سجل التحفيز'!$D$5:$D$2004,MATCH($K230,'سجل التحفيز'!$X$5:$X$2004,0)))</f>
        <v/>
      </c>
      <c r="Q230" s="9">
        <f>IF($K230="","",INDEX('سجل التحفيز'!$E$5:$E$2004,MATCH($K230,'سجل التحفيز'!$X$5:$X$2004,0)))</f>
        <v/>
      </c>
      <c r="R230" s="9">
        <f>IF($K230="","",INDEX('سجل التحفيز'!$F$5:$F$2004,MATCH($K230,'سجل التحفيز'!$X$5:$X$2004,0)))</f>
        <v/>
      </c>
      <c r="S230" s="35">
        <f>IF($K230="","",INDEX('سجل التحفيز'!$G$5:$G$2004,MATCH($K230,'سجل التحفيز'!$X$5:$X$2004,0)))</f>
        <v/>
      </c>
    </row>
    <row r="231">
      <c r="K231" s="36">
        <f>IF(194&gt;$B$10,"",194)</f>
        <v/>
      </c>
      <c r="L231" s="37">
        <f>IF($K231="","",INDEX('سجل التحفيز'!$A$5:$A$2004,MATCH($K231,'سجل التحفيز'!$X$5:$X$2004,0)))</f>
        <v/>
      </c>
      <c r="M231" s="9">
        <f>IF($K231="","",INDEX('سجل التحفيز'!$B$5:$B$2004,MATCH($K231,'سجل التحفيز'!$X$5:$X$2004,0)))</f>
        <v/>
      </c>
      <c r="N231" s="9">
        <f>IF($K231="","",INDEX('سجل التحفيز'!$M$5:$M$2004,MATCH($K231,'سجل التحفيز'!$X$5:$X$2004,0)))</f>
        <v/>
      </c>
      <c r="O231" s="9">
        <f>IF($K231="","",INDEX('سجل التحفيز'!$C$5:$C$2004,MATCH($K231,'سجل التحفيز'!$X$5:$X$2004,0)))</f>
        <v/>
      </c>
      <c r="P231" s="36">
        <f>IF($K231="","",INDEX('سجل التحفيز'!$D$5:$D$2004,MATCH($K231,'سجل التحفيز'!$X$5:$X$2004,0)))</f>
        <v/>
      </c>
      <c r="Q231" s="9">
        <f>IF($K231="","",INDEX('سجل التحفيز'!$E$5:$E$2004,MATCH($K231,'سجل التحفيز'!$X$5:$X$2004,0)))</f>
        <v/>
      </c>
      <c r="R231" s="9">
        <f>IF($K231="","",INDEX('سجل التحفيز'!$F$5:$F$2004,MATCH($K231,'سجل التحفيز'!$X$5:$X$2004,0)))</f>
        <v/>
      </c>
      <c r="S231" s="35">
        <f>IF($K231="","",INDEX('سجل التحفيز'!$G$5:$G$2004,MATCH($K231,'سجل التحفيز'!$X$5:$X$2004,0)))</f>
        <v/>
      </c>
    </row>
    <row r="232">
      <c r="K232" s="36">
        <f>IF(195&gt;$B$10,"",195)</f>
        <v/>
      </c>
      <c r="L232" s="37">
        <f>IF($K232="","",INDEX('سجل التحفيز'!$A$5:$A$2004,MATCH($K232,'سجل التحفيز'!$X$5:$X$2004,0)))</f>
        <v/>
      </c>
      <c r="M232" s="9">
        <f>IF($K232="","",INDEX('سجل التحفيز'!$B$5:$B$2004,MATCH($K232,'سجل التحفيز'!$X$5:$X$2004,0)))</f>
        <v/>
      </c>
      <c r="N232" s="9">
        <f>IF($K232="","",INDEX('سجل التحفيز'!$M$5:$M$2004,MATCH($K232,'سجل التحفيز'!$X$5:$X$2004,0)))</f>
        <v/>
      </c>
      <c r="O232" s="9">
        <f>IF($K232="","",INDEX('سجل التحفيز'!$C$5:$C$2004,MATCH($K232,'سجل التحفيز'!$X$5:$X$2004,0)))</f>
        <v/>
      </c>
      <c r="P232" s="36">
        <f>IF($K232="","",INDEX('سجل التحفيز'!$D$5:$D$2004,MATCH($K232,'سجل التحفيز'!$X$5:$X$2004,0)))</f>
        <v/>
      </c>
      <c r="Q232" s="9">
        <f>IF($K232="","",INDEX('سجل التحفيز'!$E$5:$E$2004,MATCH($K232,'سجل التحفيز'!$X$5:$X$2004,0)))</f>
        <v/>
      </c>
      <c r="R232" s="9">
        <f>IF($K232="","",INDEX('سجل التحفيز'!$F$5:$F$2004,MATCH($K232,'سجل التحفيز'!$X$5:$X$2004,0)))</f>
        <v/>
      </c>
      <c r="S232" s="35">
        <f>IF($K232="","",INDEX('سجل التحفيز'!$G$5:$G$2004,MATCH($K232,'سجل التحفيز'!$X$5:$X$2004,0)))</f>
        <v/>
      </c>
    </row>
    <row r="233">
      <c r="K233" s="36">
        <f>IF(196&gt;$B$10,"",196)</f>
        <v/>
      </c>
      <c r="L233" s="37">
        <f>IF($K233="","",INDEX('سجل التحفيز'!$A$5:$A$2004,MATCH($K233,'سجل التحفيز'!$X$5:$X$2004,0)))</f>
        <v/>
      </c>
      <c r="M233" s="9">
        <f>IF($K233="","",INDEX('سجل التحفيز'!$B$5:$B$2004,MATCH($K233,'سجل التحفيز'!$X$5:$X$2004,0)))</f>
        <v/>
      </c>
      <c r="N233" s="9">
        <f>IF($K233="","",INDEX('سجل التحفيز'!$M$5:$M$2004,MATCH($K233,'سجل التحفيز'!$X$5:$X$2004,0)))</f>
        <v/>
      </c>
      <c r="O233" s="9">
        <f>IF($K233="","",INDEX('سجل التحفيز'!$C$5:$C$2004,MATCH($K233,'سجل التحفيز'!$X$5:$X$2004,0)))</f>
        <v/>
      </c>
      <c r="P233" s="36">
        <f>IF($K233="","",INDEX('سجل التحفيز'!$D$5:$D$2004,MATCH($K233,'سجل التحفيز'!$X$5:$X$2004,0)))</f>
        <v/>
      </c>
      <c r="Q233" s="9">
        <f>IF($K233="","",INDEX('سجل التحفيز'!$E$5:$E$2004,MATCH($K233,'سجل التحفيز'!$X$5:$X$2004,0)))</f>
        <v/>
      </c>
      <c r="R233" s="9">
        <f>IF($K233="","",INDEX('سجل التحفيز'!$F$5:$F$2004,MATCH($K233,'سجل التحفيز'!$X$5:$X$2004,0)))</f>
        <v/>
      </c>
      <c r="S233" s="35">
        <f>IF($K233="","",INDEX('سجل التحفيز'!$G$5:$G$2004,MATCH($K233,'سجل التحفيز'!$X$5:$X$2004,0)))</f>
        <v/>
      </c>
    </row>
    <row r="234">
      <c r="K234" s="36">
        <f>IF(197&gt;$B$10,"",197)</f>
        <v/>
      </c>
      <c r="L234" s="37">
        <f>IF($K234="","",INDEX('سجل التحفيز'!$A$5:$A$2004,MATCH($K234,'سجل التحفيز'!$X$5:$X$2004,0)))</f>
        <v/>
      </c>
      <c r="M234" s="9">
        <f>IF($K234="","",INDEX('سجل التحفيز'!$B$5:$B$2004,MATCH($K234,'سجل التحفيز'!$X$5:$X$2004,0)))</f>
        <v/>
      </c>
      <c r="N234" s="9">
        <f>IF($K234="","",INDEX('سجل التحفيز'!$M$5:$M$2004,MATCH($K234,'سجل التحفيز'!$X$5:$X$2004,0)))</f>
        <v/>
      </c>
      <c r="O234" s="9">
        <f>IF($K234="","",INDEX('سجل التحفيز'!$C$5:$C$2004,MATCH($K234,'سجل التحفيز'!$X$5:$X$2004,0)))</f>
        <v/>
      </c>
      <c r="P234" s="36">
        <f>IF($K234="","",INDEX('سجل التحفيز'!$D$5:$D$2004,MATCH($K234,'سجل التحفيز'!$X$5:$X$2004,0)))</f>
        <v/>
      </c>
      <c r="Q234" s="9">
        <f>IF($K234="","",INDEX('سجل التحفيز'!$E$5:$E$2004,MATCH($K234,'سجل التحفيز'!$X$5:$X$2004,0)))</f>
        <v/>
      </c>
      <c r="R234" s="9">
        <f>IF($K234="","",INDEX('سجل التحفيز'!$F$5:$F$2004,MATCH($K234,'سجل التحفيز'!$X$5:$X$2004,0)))</f>
        <v/>
      </c>
      <c r="S234" s="35">
        <f>IF($K234="","",INDEX('سجل التحفيز'!$G$5:$G$2004,MATCH($K234,'سجل التحفيز'!$X$5:$X$2004,0)))</f>
        <v/>
      </c>
    </row>
    <row r="235">
      <c r="K235" s="36">
        <f>IF(198&gt;$B$10,"",198)</f>
        <v/>
      </c>
      <c r="L235" s="37">
        <f>IF($K235="","",INDEX('سجل التحفيز'!$A$5:$A$2004,MATCH($K235,'سجل التحفيز'!$X$5:$X$2004,0)))</f>
        <v/>
      </c>
      <c r="M235" s="9">
        <f>IF($K235="","",INDEX('سجل التحفيز'!$B$5:$B$2004,MATCH($K235,'سجل التحفيز'!$X$5:$X$2004,0)))</f>
        <v/>
      </c>
      <c r="N235" s="9">
        <f>IF($K235="","",INDEX('سجل التحفيز'!$M$5:$M$2004,MATCH($K235,'سجل التحفيز'!$X$5:$X$2004,0)))</f>
        <v/>
      </c>
      <c r="O235" s="9">
        <f>IF($K235="","",INDEX('سجل التحفيز'!$C$5:$C$2004,MATCH($K235,'سجل التحفيز'!$X$5:$X$2004,0)))</f>
        <v/>
      </c>
      <c r="P235" s="36">
        <f>IF($K235="","",INDEX('سجل التحفيز'!$D$5:$D$2004,MATCH($K235,'سجل التحفيز'!$X$5:$X$2004,0)))</f>
        <v/>
      </c>
      <c r="Q235" s="9">
        <f>IF($K235="","",INDEX('سجل التحفيز'!$E$5:$E$2004,MATCH($K235,'سجل التحفيز'!$X$5:$X$2004,0)))</f>
        <v/>
      </c>
      <c r="R235" s="9">
        <f>IF($K235="","",INDEX('سجل التحفيز'!$F$5:$F$2004,MATCH($K235,'سجل التحفيز'!$X$5:$X$2004,0)))</f>
        <v/>
      </c>
      <c r="S235" s="35">
        <f>IF($K235="","",INDEX('سجل التحفيز'!$G$5:$G$2004,MATCH($K235,'سجل التحفيز'!$X$5:$X$2004,0)))</f>
        <v/>
      </c>
    </row>
    <row r="236">
      <c r="K236" s="36">
        <f>IF(199&gt;$B$10,"",199)</f>
        <v/>
      </c>
      <c r="L236" s="37">
        <f>IF($K236="","",INDEX('سجل التحفيز'!$A$5:$A$2004,MATCH($K236,'سجل التحفيز'!$X$5:$X$2004,0)))</f>
        <v/>
      </c>
      <c r="M236" s="9">
        <f>IF($K236="","",INDEX('سجل التحفيز'!$B$5:$B$2004,MATCH($K236,'سجل التحفيز'!$X$5:$X$2004,0)))</f>
        <v/>
      </c>
      <c r="N236" s="9">
        <f>IF($K236="","",INDEX('سجل التحفيز'!$M$5:$M$2004,MATCH($K236,'سجل التحفيز'!$X$5:$X$2004,0)))</f>
        <v/>
      </c>
      <c r="O236" s="9">
        <f>IF($K236="","",INDEX('سجل التحفيز'!$C$5:$C$2004,MATCH($K236,'سجل التحفيز'!$X$5:$X$2004,0)))</f>
        <v/>
      </c>
      <c r="P236" s="36">
        <f>IF($K236="","",INDEX('سجل التحفيز'!$D$5:$D$2004,MATCH($K236,'سجل التحفيز'!$X$5:$X$2004,0)))</f>
        <v/>
      </c>
      <c r="Q236" s="9">
        <f>IF($K236="","",INDEX('سجل التحفيز'!$E$5:$E$2004,MATCH($K236,'سجل التحفيز'!$X$5:$X$2004,0)))</f>
        <v/>
      </c>
      <c r="R236" s="9">
        <f>IF($K236="","",INDEX('سجل التحفيز'!$F$5:$F$2004,MATCH($K236,'سجل التحفيز'!$X$5:$X$2004,0)))</f>
        <v/>
      </c>
      <c r="S236" s="35">
        <f>IF($K236="","",INDEX('سجل التحفيز'!$G$5:$G$2004,MATCH($K236,'سجل التحفيز'!$X$5:$X$2004,0)))</f>
        <v/>
      </c>
    </row>
    <row r="237">
      <c r="K237" s="36">
        <f>IF(200&gt;$B$10,"",200)</f>
        <v/>
      </c>
      <c r="L237" s="37">
        <f>IF($K237="","",INDEX('سجل التحفيز'!$A$5:$A$2004,MATCH($K237,'سجل التحفيز'!$X$5:$X$2004,0)))</f>
        <v/>
      </c>
      <c r="M237" s="9">
        <f>IF($K237="","",INDEX('سجل التحفيز'!$B$5:$B$2004,MATCH($K237,'سجل التحفيز'!$X$5:$X$2004,0)))</f>
        <v/>
      </c>
      <c r="N237" s="9">
        <f>IF($K237="","",INDEX('سجل التحفيز'!$M$5:$M$2004,MATCH($K237,'سجل التحفيز'!$X$5:$X$2004,0)))</f>
        <v/>
      </c>
      <c r="O237" s="9">
        <f>IF($K237="","",INDEX('سجل التحفيز'!$C$5:$C$2004,MATCH($K237,'سجل التحفيز'!$X$5:$X$2004,0)))</f>
        <v/>
      </c>
      <c r="P237" s="36">
        <f>IF($K237="","",INDEX('سجل التحفيز'!$D$5:$D$2004,MATCH($K237,'سجل التحفيز'!$X$5:$X$2004,0)))</f>
        <v/>
      </c>
      <c r="Q237" s="9">
        <f>IF($K237="","",INDEX('سجل التحفيز'!$E$5:$E$2004,MATCH($K237,'سجل التحفيز'!$X$5:$X$2004,0)))</f>
        <v/>
      </c>
      <c r="R237" s="9">
        <f>IF($K237="","",INDEX('سجل التحفيز'!$F$5:$F$2004,MATCH($K237,'سجل التحفيز'!$X$5:$X$2004,0)))</f>
        <v/>
      </c>
      <c r="S237" s="35">
        <f>IF($K237="","",INDEX('سجل التحفيز'!$G$5:$G$2004,MATCH($K237,'سجل التحفيز'!$X$5:$X$2004,0)))</f>
        <v/>
      </c>
    </row>
    <row r="238">
      <c r="K238" s="36">
        <f>IF(201&gt;$B$10,"",201)</f>
        <v/>
      </c>
      <c r="L238" s="37">
        <f>IF($K238="","",INDEX('سجل التحفيز'!$A$5:$A$2004,MATCH($K238,'سجل التحفيز'!$X$5:$X$2004,0)))</f>
        <v/>
      </c>
      <c r="M238" s="9">
        <f>IF($K238="","",INDEX('سجل التحفيز'!$B$5:$B$2004,MATCH($K238,'سجل التحفيز'!$X$5:$X$2004,0)))</f>
        <v/>
      </c>
      <c r="N238" s="9">
        <f>IF($K238="","",INDEX('سجل التحفيز'!$M$5:$M$2004,MATCH($K238,'سجل التحفيز'!$X$5:$X$2004,0)))</f>
        <v/>
      </c>
      <c r="O238" s="9">
        <f>IF($K238="","",INDEX('سجل التحفيز'!$C$5:$C$2004,MATCH($K238,'سجل التحفيز'!$X$5:$X$2004,0)))</f>
        <v/>
      </c>
      <c r="P238" s="36">
        <f>IF($K238="","",INDEX('سجل التحفيز'!$D$5:$D$2004,MATCH($K238,'سجل التحفيز'!$X$5:$X$2004,0)))</f>
        <v/>
      </c>
      <c r="Q238" s="9">
        <f>IF($K238="","",INDEX('سجل التحفيز'!$E$5:$E$2004,MATCH($K238,'سجل التحفيز'!$X$5:$X$2004,0)))</f>
        <v/>
      </c>
      <c r="R238" s="9">
        <f>IF($K238="","",INDEX('سجل التحفيز'!$F$5:$F$2004,MATCH($K238,'سجل التحفيز'!$X$5:$X$2004,0)))</f>
        <v/>
      </c>
      <c r="S238" s="35">
        <f>IF($K238="","",INDEX('سجل التحفيز'!$G$5:$G$2004,MATCH($K238,'سجل التحفيز'!$X$5:$X$2004,0)))</f>
        <v/>
      </c>
    </row>
    <row r="239">
      <c r="K239" s="36">
        <f>IF(202&gt;$B$10,"",202)</f>
        <v/>
      </c>
      <c r="L239" s="37">
        <f>IF($K239="","",INDEX('سجل التحفيز'!$A$5:$A$2004,MATCH($K239,'سجل التحفيز'!$X$5:$X$2004,0)))</f>
        <v/>
      </c>
      <c r="M239" s="9">
        <f>IF($K239="","",INDEX('سجل التحفيز'!$B$5:$B$2004,MATCH($K239,'سجل التحفيز'!$X$5:$X$2004,0)))</f>
        <v/>
      </c>
      <c r="N239" s="9">
        <f>IF($K239="","",INDEX('سجل التحفيز'!$M$5:$M$2004,MATCH($K239,'سجل التحفيز'!$X$5:$X$2004,0)))</f>
        <v/>
      </c>
      <c r="O239" s="9">
        <f>IF($K239="","",INDEX('سجل التحفيز'!$C$5:$C$2004,MATCH($K239,'سجل التحفيز'!$X$5:$X$2004,0)))</f>
        <v/>
      </c>
      <c r="P239" s="36">
        <f>IF($K239="","",INDEX('سجل التحفيز'!$D$5:$D$2004,MATCH($K239,'سجل التحفيز'!$X$5:$X$2004,0)))</f>
        <v/>
      </c>
      <c r="Q239" s="9">
        <f>IF($K239="","",INDEX('سجل التحفيز'!$E$5:$E$2004,MATCH($K239,'سجل التحفيز'!$X$5:$X$2004,0)))</f>
        <v/>
      </c>
      <c r="R239" s="9">
        <f>IF($K239="","",INDEX('سجل التحفيز'!$F$5:$F$2004,MATCH($K239,'سجل التحفيز'!$X$5:$X$2004,0)))</f>
        <v/>
      </c>
      <c r="S239" s="35">
        <f>IF($K239="","",INDEX('سجل التحفيز'!$G$5:$G$2004,MATCH($K239,'سجل التحفيز'!$X$5:$X$2004,0)))</f>
        <v/>
      </c>
    </row>
    <row r="240">
      <c r="K240" s="36">
        <f>IF(203&gt;$B$10,"",203)</f>
        <v/>
      </c>
      <c r="L240" s="37">
        <f>IF($K240="","",INDEX('سجل التحفيز'!$A$5:$A$2004,MATCH($K240,'سجل التحفيز'!$X$5:$X$2004,0)))</f>
        <v/>
      </c>
      <c r="M240" s="9">
        <f>IF($K240="","",INDEX('سجل التحفيز'!$B$5:$B$2004,MATCH($K240,'سجل التحفيز'!$X$5:$X$2004,0)))</f>
        <v/>
      </c>
      <c r="N240" s="9">
        <f>IF($K240="","",INDEX('سجل التحفيز'!$M$5:$M$2004,MATCH($K240,'سجل التحفيز'!$X$5:$X$2004,0)))</f>
        <v/>
      </c>
      <c r="O240" s="9">
        <f>IF($K240="","",INDEX('سجل التحفيز'!$C$5:$C$2004,MATCH($K240,'سجل التحفيز'!$X$5:$X$2004,0)))</f>
        <v/>
      </c>
      <c r="P240" s="36">
        <f>IF($K240="","",INDEX('سجل التحفيز'!$D$5:$D$2004,MATCH($K240,'سجل التحفيز'!$X$5:$X$2004,0)))</f>
        <v/>
      </c>
      <c r="Q240" s="9">
        <f>IF($K240="","",INDEX('سجل التحفيز'!$E$5:$E$2004,MATCH($K240,'سجل التحفيز'!$X$5:$X$2004,0)))</f>
        <v/>
      </c>
      <c r="R240" s="9">
        <f>IF($K240="","",INDEX('سجل التحفيز'!$F$5:$F$2004,MATCH($K240,'سجل التحفيز'!$X$5:$X$2004,0)))</f>
        <v/>
      </c>
      <c r="S240" s="35">
        <f>IF($K240="","",INDEX('سجل التحفيز'!$G$5:$G$2004,MATCH($K240,'سجل التحفيز'!$X$5:$X$2004,0)))</f>
        <v/>
      </c>
    </row>
    <row r="241">
      <c r="K241" s="36">
        <f>IF(204&gt;$B$10,"",204)</f>
        <v/>
      </c>
      <c r="L241" s="37">
        <f>IF($K241="","",INDEX('سجل التحفيز'!$A$5:$A$2004,MATCH($K241,'سجل التحفيز'!$X$5:$X$2004,0)))</f>
        <v/>
      </c>
      <c r="M241" s="9">
        <f>IF($K241="","",INDEX('سجل التحفيز'!$B$5:$B$2004,MATCH($K241,'سجل التحفيز'!$X$5:$X$2004,0)))</f>
        <v/>
      </c>
      <c r="N241" s="9">
        <f>IF($K241="","",INDEX('سجل التحفيز'!$M$5:$M$2004,MATCH($K241,'سجل التحفيز'!$X$5:$X$2004,0)))</f>
        <v/>
      </c>
      <c r="O241" s="9">
        <f>IF($K241="","",INDEX('سجل التحفيز'!$C$5:$C$2004,MATCH($K241,'سجل التحفيز'!$X$5:$X$2004,0)))</f>
        <v/>
      </c>
      <c r="P241" s="36">
        <f>IF($K241="","",INDEX('سجل التحفيز'!$D$5:$D$2004,MATCH($K241,'سجل التحفيز'!$X$5:$X$2004,0)))</f>
        <v/>
      </c>
      <c r="Q241" s="9">
        <f>IF($K241="","",INDEX('سجل التحفيز'!$E$5:$E$2004,MATCH($K241,'سجل التحفيز'!$X$5:$X$2004,0)))</f>
        <v/>
      </c>
      <c r="R241" s="9">
        <f>IF($K241="","",INDEX('سجل التحفيز'!$F$5:$F$2004,MATCH($K241,'سجل التحفيز'!$X$5:$X$2004,0)))</f>
        <v/>
      </c>
      <c r="S241" s="35">
        <f>IF($K241="","",INDEX('سجل التحفيز'!$G$5:$G$2004,MATCH($K241,'سجل التحفيز'!$X$5:$X$2004,0)))</f>
        <v/>
      </c>
    </row>
    <row r="242">
      <c r="K242" s="36">
        <f>IF(205&gt;$B$10,"",205)</f>
        <v/>
      </c>
      <c r="L242" s="37">
        <f>IF($K242="","",INDEX('سجل التحفيز'!$A$5:$A$2004,MATCH($K242,'سجل التحفيز'!$X$5:$X$2004,0)))</f>
        <v/>
      </c>
      <c r="M242" s="9">
        <f>IF($K242="","",INDEX('سجل التحفيز'!$B$5:$B$2004,MATCH($K242,'سجل التحفيز'!$X$5:$X$2004,0)))</f>
        <v/>
      </c>
      <c r="N242" s="9">
        <f>IF($K242="","",INDEX('سجل التحفيز'!$M$5:$M$2004,MATCH($K242,'سجل التحفيز'!$X$5:$X$2004,0)))</f>
        <v/>
      </c>
      <c r="O242" s="9">
        <f>IF($K242="","",INDEX('سجل التحفيز'!$C$5:$C$2004,MATCH($K242,'سجل التحفيز'!$X$5:$X$2004,0)))</f>
        <v/>
      </c>
      <c r="P242" s="36">
        <f>IF($K242="","",INDEX('سجل التحفيز'!$D$5:$D$2004,MATCH($K242,'سجل التحفيز'!$X$5:$X$2004,0)))</f>
        <v/>
      </c>
      <c r="Q242" s="9">
        <f>IF($K242="","",INDEX('سجل التحفيز'!$E$5:$E$2004,MATCH($K242,'سجل التحفيز'!$X$5:$X$2004,0)))</f>
        <v/>
      </c>
      <c r="R242" s="9">
        <f>IF($K242="","",INDEX('سجل التحفيز'!$F$5:$F$2004,MATCH($K242,'سجل التحفيز'!$X$5:$X$2004,0)))</f>
        <v/>
      </c>
      <c r="S242" s="35">
        <f>IF($K242="","",INDEX('سجل التحفيز'!$G$5:$G$2004,MATCH($K242,'سجل التحفيز'!$X$5:$X$2004,0)))</f>
        <v/>
      </c>
    </row>
    <row r="243">
      <c r="K243" s="36">
        <f>IF(206&gt;$B$10,"",206)</f>
        <v/>
      </c>
      <c r="L243" s="37">
        <f>IF($K243="","",INDEX('سجل التحفيز'!$A$5:$A$2004,MATCH($K243,'سجل التحفيز'!$X$5:$X$2004,0)))</f>
        <v/>
      </c>
      <c r="M243" s="9">
        <f>IF($K243="","",INDEX('سجل التحفيز'!$B$5:$B$2004,MATCH($K243,'سجل التحفيز'!$X$5:$X$2004,0)))</f>
        <v/>
      </c>
      <c r="N243" s="9">
        <f>IF($K243="","",INDEX('سجل التحفيز'!$M$5:$M$2004,MATCH($K243,'سجل التحفيز'!$X$5:$X$2004,0)))</f>
        <v/>
      </c>
      <c r="O243" s="9">
        <f>IF($K243="","",INDEX('سجل التحفيز'!$C$5:$C$2004,MATCH($K243,'سجل التحفيز'!$X$5:$X$2004,0)))</f>
        <v/>
      </c>
      <c r="P243" s="36">
        <f>IF($K243="","",INDEX('سجل التحفيز'!$D$5:$D$2004,MATCH($K243,'سجل التحفيز'!$X$5:$X$2004,0)))</f>
        <v/>
      </c>
      <c r="Q243" s="9">
        <f>IF($K243="","",INDEX('سجل التحفيز'!$E$5:$E$2004,MATCH($K243,'سجل التحفيز'!$X$5:$X$2004,0)))</f>
        <v/>
      </c>
      <c r="R243" s="9">
        <f>IF($K243="","",INDEX('سجل التحفيز'!$F$5:$F$2004,MATCH($K243,'سجل التحفيز'!$X$5:$X$2004,0)))</f>
        <v/>
      </c>
      <c r="S243" s="35">
        <f>IF($K243="","",INDEX('سجل التحفيز'!$G$5:$G$2004,MATCH($K243,'سجل التحفيز'!$X$5:$X$2004,0)))</f>
        <v/>
      </c>
    </row>
    <row r="244">
      <c r="K244" s="36">
        <f>IF(207&gt;$B$10,"",207)</f>
        <v/>
      </c>
      <c r="L244" s="37">
        <f>IF($K244="","",INDEX('سجل التحفيز'!$A$5:$A$2004,MATCH($K244,'سجل التحفيز'!$X$5:$X$2004,0)))</f>
        <v/>
      </c>
      <c r="M244" s="9">
        <f>IF($K244="","",INDEX('سجل التحفيز'!$B$5:$B$2004,MATCH($K244,'سجل التحفيز'!$X$5:$X$2004,0)))</f>
        <v/>
      </c>
      <c r="N244" s="9">
        <f>IF($K244="","",INDEX('سجل التحفيز'!$M$5:$M$2004,MATCH($K244,'سجل التحفيز'!$X$5:$X$2004,0)))</f>
        <v/>
      </c>
      <c r="O244" s="9">
        <f>IF($K244="","",INDEX('سجل التحفيز'!$C$5:$C$2004,MATCH($K244,'سجل التحفيز'!$X$5:$X$2004,0)))</f>
        <v/>
      </c>
      <c r="P244" s="36">
        <f>IF($K244="","",INDEX('سجل التحفيز'!$D$5:$D$2004,MATCH($K244,'سجل التحفيز'!$X$5:$X$2004,0)))</f>
        <v/>
      </c>
      <c r="Q244" s="9">
        <f>IF($K244="","",INDEX('سجل التحفيز'!$E$5:$E$2004,MATCH($K244,'سجل التحفيز'!$X$5:$X$2004,0)))</f>
        <v/>
      </c>
      <c r="R244" s="9">
        <f>IF($K244="","",INDEX('سجل التحفيز'!$F$5:$F$2004,MATCH($K244,'سجل التحفيز'!$X$5:$X$2004,0)))</f>
        <v/>
      </c>
      <c r="S244" s="35">
        <f>IF($K244="","",INDEX('سجل التحفيز'!$G$5:$G$2004,MATCH($K244,'سجل التحفيز'!$X$5:$X$2004,0)))</f>
        <v/>
      </c>
    </row>
    <row r="245">
      <c r="K245" s="36">
        <f>IF(208&gt;$B$10,"",208)</f>
        <v/>
      </c>
      <c r="L245" s="37">
        <f>IF($K245="","",INDEX('سجل التحفيز'!$A$5:$A$2004,MATCH($K245,'سجل التحفيز'!$X$5:$X$2004,0)))</f>
        <v/>
      </c>
      <c r="M245" s="9">
        <f>IF($K245="","",INDEX('سجل التحفيز'!$B$5:$B$2004,MATCH($K245,'سجل التحفيز'!$X$5:$X$2004,0)))</f>
        <v/>
      </c>
      <c r="N245" s="9">
        <f>IF($K245="","",INDEX('سجل التحفيز'!$M$5:$M$2004,MATCH($K245,'سجل التحفيز'!$X$5:$X$2004,0)))</f>
        <v/>
      </c>
      <c r="O245" s="9">
        <f>IF($K245="","",INDEX('سجل التحفيز'!$C$5:$C$2004,MATCH($K245,'سجل التحفيز'!$X$5:$X$2004,0)))</f>
        <v/>
      </c>
      <c r="P245" s="36">
        <f>IF($K245="","",INDEX('سجل التحفيز'!$D$5:$D$2004,MATCH($K245,'سجل التحفيز'!$X$5:$X$2004,0)))</f>
        <v/>
      </c>
      <c r="Q245" s="9">
        <f>IF($K245="","",INDEX('سجل التحفيز'!$E$5:$E$2004,MATCH($K245,'سجل التحفيز'!$X$5:$X$2004,0)))</f>
        <v/>
      </c>
      <c r="R245" s="9">
        <f>IF($K245="","",INDEX('سجل التحفيز'!$F$5:$F$2004,MATCH($K245,'سجل التحفيز'!$X$5:$X$2004,0)))</f>
        <v/>
      </c>
      <c r="S245" s="35">
        <f>IF($K245="","",INDEX('سجل التحفيز'!$G$5:$G$2004,MATCH($K245,'سجل التحفيز'!$X$5:$X$2004,0)))</f>
        <v/>
      </c>
    </row>
    <row r="246">
      <c r="K246" s="36">
        <f>IF(209&gt;$B$10,"",209)</f>
        <v/>
      </c>
      <c r="L246" s="37">
        <f>IF($K246="","",INDEX('سجل التحفيز'!$A$5:$A$2004,MATCH($K246,'سجل التحفيز'!$X$5:$X$2004,0)))</f>
        <v/>
      </c>
      <c r="M246" s="9">
        <f>IF($K246="","",INDEX('سجل التحفيز'!$B$5:$B$2004,MATCH($K246,'سجل التحفيز'!$X$5:$X$2004,0)))</f>
        <v/>
      </c>
      <c r="N246" s="9">
        <f>IF($K246="","",INDEX('سجل التحفيز'!$M$5:$M$2004,MATCH($K246,'سجل التحفيز'!$X$5:$X$2004,0)))</f>
        <v/>
      </c>
      <c r="O246" s="9">
        <f>IF($K246="","",INDEX('سجل التحفيز'!$C$5:$C$2004,MATCH($K246,'سجل التحفيز'!$X$5:$X$2004,0)))</f>
        <v/>
      </c>
      <c r="P246" s="36">
        <f>IF($K246="","",INDEX('سجل التحفيز'!$D$5:$D$2004,MATCH($K246,'سجل التحفيز'!$X$5:$X$2004,0)))</f>
        <v/>
      </c>
      <c r="Q246" s="9">
        <f>IF($K246="","",INDEX('سجل التحفيز'!$E$5:$E$2004,MATCH($K246,'سجل التحفيز'!$X$5:$X$2004,0)))</f>
        <v/>
      </c>
      <c r="R246" s="9">
        <f>IF($K246="","",INDEX('سجل التحفيز'!$F$5:$F$2004,MATCH($K246,'سجل التحفيز'!$X$5:$X$2004,0)))</f>
        <v/>
      </c>
      <c r="S246" s="35">
        <f>IF($K246="","",INDEX('سجل التحفيز'!$G$5:$G$2004,MATCH($K246,'سجل التحفيز'!$X$5:$X$2004,0)))</f>
        <v/>
      </c>
    </row>
    <row r="247">
      <c r="K247" s="36">
        <f>IF(210&gt;$B$10,"",210)</f>
        <v/>
      </c>
      <c r="L247" s="37">
        <f>IF($K247="","",INDEX('سجل التحفيز'!$A$5:$A$2004,MATCH($K247,'سجل التحفيز'!$X$5:$X$2004,0)))</f>
        <v/>
      </c>
      <c r="M247" s="9">
        <f>IF($K247="","",INDEX('سجل التحفيز'!$B$5:$B$2004,MATCH($K247,'سجل التحفيز'!$X$5:$X$2004,0)))</f>
        <v/>
      </c>
      <c r="N247" s="9">
        <f>IF($K247="","",INDEX('سجل التحفيز'!$M$5:$M$2004,MATCH($K247,'سجل التحفيز'!$X$5:$X$2004,0)))</f>
        <v/>
      </c>
      <c r="O247" s="9">
        <f>IF($K247="","",INDEX('سجل التحفيز'!$C$5:$C$2004,MATCH($K247,'سجل التحفيز'!$X$5:$X$2004,0)))</f>
        <v/>
      </c>
      <c r="P247" s="36">
        <f>IF($K247="","",INDEX('سجل التحفيز'!$D$5:$D$2004,MATCH($K247,'سجل التحفيز'!$X$5:$X$2004,0)))</f>
        <v/>
      </c>
      <c r="Q247" s="9">
        <f>IF($K247="","",INDEX('سجل التحفيز'!$E$5:$E$2004,MATCH($K247,'سجل التحفيز'!$X$5:$X$2004,0)))</f>
        <v/>
      </c>
      <c r="R247" s="9">
        <f>IF($K247="","",INDEX('سجل التحفيز'!$F$5:$F$2004,MATCH($K247,'سجل التحفيز'!$X$5:$X$2004,0)))</f>
        <v/>
      </c>
      <c r="S247" s="35">
        <f>IF($K247="","",INDEX('سجل التحفيز'!$G$5:$G$2004,MATCH($K247,'سجل التحفيز'!$X$5:$X$2004,0)))</f>
        <v/>
      </c>
    </row>
    <row r="248">
      <c r="K248" s="36">
        <f>IF(211&gt;$B$10,"",211)</f>
        <v/>
      </c>
      <c r="L248" s="37">
        <f>IF($K248="","",INDEX('سجل التحفيز'!$A$5:$A$2004,MATCH($K248,'سجل التحفيز'!$X$5:$X$2004,0)))</f>
        <v/>
      </c>
      <c r="M248" s="9">
        <f>IF($K248="","",INDEX('سجل التحفيز'!$B$5:$B$2004,MATCH($K248,'سجل التحفيز'!$X$5:$X$2004,0)))</f>
        <v/>
      </c>
      <c r="N248" s="9">
        <f>IF($K248="","",INDEX('سجل التحفيز'!$M$5:$M$2004,MATCH($K248,'سجل التحفيز'!$X$5:$X$2004,0)))</f>
        <v/>
      </c>
      <c r="O248" s="9">
        <f>IF($K248="","",INDEX('سجل التحفيز'!$C$5:$C$2004,MATCH($K248,'سجل التحفيز'!$X$5:$X$2004,0)))</f>
        <v/>
      </c>
      <c r="P248" s="36">
        <f>IF($K248="","",INDEX('سجل التحفيز'!$D$5:$D$2004,MATCH($K248,'سجل التحفيز'!$X$5:$X$2004,0)))</f>
        <v/>
      </c>
      <c r="Q248" s="9">
        <f>IF($K248="","",INDEX('سجل التحفيز'!$E$5:$E$2004,MATCH($K248,'سجل التحفيز'!$X$5:$X$2004,0)))</f>
        <v/>
      </c>
      <c r="R248" s="9">
        <f>IF($K248="","",INDEX('سجل التحفيز'!$F$5:$F$2004,MATCH($K248,'سجل التحفيز'!$X$5:$X$2004,0)))</f>
        <v/>
      </c>
      <c r="S248" s="35">
        <f>IF($K248="","",INDEX('سجل التحفيز'!$G$5:$G$2004,MATCH($K248,'سجل التحفيز'!$X$5:$X$2004,0)))</f>
        <v/>
      </c>
    </row>
    <row r="249">
      <c r="K249" s="36">
        <f>IF(212&gt;$B$10,"",212)</f>
        <v/>
      </c>
      <c r="L249" s="37">
        <f>IF($K249="","",INDEX('سجل التحفيز'!$A$5:$A$2004,MATCH($K249,'سجل التحفيز'!$X$5:$X$2004,0)))</f>
        <v/>
      </c>
      <c r="M249" s="9">
        <f>IF($K249="","",INDEX('سجل التحفيز'!$B$5:$B$2004,MATCH($K249,'سجل التحفيز'!$X$5:$X$2004,0)))</f>
        <v/>
      </c>
      <c r="N249" s="9">
        <f>IF($K249="","",INDEX('سجل التحفيز'!$M$5:$M$2004,MATCH($K249,'سجل التحفيز'!$X$5:$X$2004,0)))</f>
        <v/>
      </c>
      <c r="O249" s="9">
        <f>IF($K249="","",INDEX('سجل التحفيز'!$C$5:$C$2004,MATCH($K249,'سجل التحفيز'!$X$5:$X$2004,0)))</f>
        <v/>
      </c>
      <c r="P249" s="36">
        <f>IF($K249="","",INDEX('سجل التحفيز'!$D$5:$D$2004,MATCH($K249,'سجل التحفيز'!$X$5:$X$2004,0)))</f>
        <v/>
      </c>
      <c r="Q249" s="9">
        <f>IF($K249="","",INDEX('سجل التحفيز'!$E$5:$E$2004,MATCH($K249,'سجل التحفيز'!$X$5:$X$2004,0)))</f>
        <v/>
      </c>
      <c r="R249" s="9">
        <f>IF($K249="","",INDEX('سجل التحفيز'!$F$5:$F$2004,MATCH($K249,'سجل التحفيز'!$X$5:$X$2004,0)))</f>
        <v/>
      </c>
      <c r="S249" s="35">
        <f>IF($K249="","",INDEX('سجل التحفيز'!$G$5:$G$2004,MATCH($K249,'سجل التحفيز'!$X$5:$X$2004,0)))</f>
        <v/>
      </c>
    </row>
    <row r="250">
      <c r="K250" s="36">
        <f>IF(213&gt;$B$10,"",213)</f>
        <v/>
      </c>
      <c r="L250" s="37">
        <f>IF($K250="","",INDEX('سجل التحفيز'!$A$5:$A$2004,MATCH($K250,'سجل التحفيز'!$X$5:$X$2004,0)))</f>
        <v/>
      </c>
      <c r="M250" s="9">
        <f>IF($K250="","",INDEX('سجل التحفيز'!$B$5:$B$2004,MATCH($K250,'سجل التحفيز'!$X$5:$X$2004,0)))</f>
        <v/>
      </c>
      <c r="N250" s="9">
        <f>IF($K250="","",INDEX('سجل التحفيز'!$M$5:$M$2004,MATCH($K250,'سجل التحفيز'!$X$5:$X$2004,0)))</f>
        <v/>
      </c>
      <c r="O250" s="9">
        <f>IF($K250="","",INDEX('سجل التحفيز'!$C$5:$C$2004,MATCH($K250,'سجل التحفيز'!$X$5:$X$2004,0)))</f>
        <v/>
      </c>
      <c r="P250" s="36">
        <f>IF($K250="","",INDEX('سجل التحفيز'!$D$5:$D$2004,MATCH($K250,'سجل التحفيز'!$X$5:$X$2004,0)))</f>
        <v/>
      </c>
      <c r="Q250" s="9">
        <f>IF($K250="","",INDEX('سجل التحفيز'!$E$5:$E$2004,MATCH($K250,'سجل التحفيز'!$X$5:$X$2004,0)))</f>
        <v/>
      </c>
      <c r="R250" s="9">
        <f>IF($K250="","",INDEX('سجل التحفيز'!$F$5:$F$2004,MATCH($K250,'سجل التحفيز'!$X$5:$X$2004,0)))</f>
        <v/>
      </c>
      <c r="S250" s="35">
        <f>IF($K250="","",INDEX('سجل التحفيز'!$G$5:$G$2004,MATCH($K250,'سجل التحفيز'!$X$5:$X$2004,0)))</f>
        <v/>
      </c>
    </row>
    <row r="251">
      <c r="K251" s="36">
        <f>IF(214&gt;$B$10,"",214)</f>
        <v/>
      </c>
      <c r="L251" s="37">
        <f>IF($K251="","",INDEX('سجل التحفيز'!$A$5:$A$2004,MATCH($K251,'سجل التحفيز'!$X$5:$X$2004,0)))</f>
        <v/>
      </c>
      <c r="M251" s="9">
        <f>IF($K251="","",INDEX('سجل التحفيز'!$B$5:$B$2004,MATCH($K251,'سجل التحفيز'!$X$5:$X$2004,0)))</f>
        <v/>
      </c>
      <c r="N251" s="9">
        <f>IF($K251="","",INDEX('سجل التحفيز'!$M$5:$M$2004,MATCH($K251,'سجل التحفيز'!$X$5:$X$2004,0)))</f>
        <v/>
      </c>
      <c r="O251" s="9">
        <f>IF($K251="","",INDEX('سجل التحفيز'!$C$5:$C$2004,MATCH($K251,'سجل التحفيز'!$X$5:$X$2004,0)))</f>
        <v/>
      </c>
      <c r="P251" s="36">
        <f>IF($K251="","",INDEX('سجل التحفيز'!$D$5:$D$2004,MATCH($K251,'سجل التحفيز'!$X$5:$X$2004,0)))</f>
        <v/>
      </c>
      <c r="Q251" s="9">
        <f>IF($K251="","",INDEX('سجل التحفيز'!$E$5:$E$2004,MATCH($K251,'سجل التحفيز'!$X$5:$X$2004,0)))</f>
        <v/>
      </c>
      <c r="R251" s="9">
        <f>IF($K251="","",INDEX('سجل التحفيز'!$F$5:$F$2004,MATCH($K251,'سجل التحفيز'!$X$5:$X$2004,0)))</f>
        <v/>
      </c>
      <c r="S251" s="35">
        <f>IF($K251="","",INDEX('سجل التحفيز'!$G$5:$G$2004,MATCH($K251,'سجل التحفيز'!$X$5:$X$2004,0)))</f>
        <v/>
      </c>
    </row>
    <row r="252">
      <c r="K252" s="36">
        <f>IF(215&gt;$B$10,"",215)</f>
        <v/>
      </c>
      <c r="L252" s="37">
        <f>IF($K252="","",INDEX('سجل التحفيز'!$A$5:$A$2004,MATCH($K252,'سجل التحفيز'!$X$5:$X$2004,0)))</f>
        <v/>
      </c>
      <c r="M252" s="9">
        <f>IF($K252="","",INDEX('سجل التحفيز'!$B$5:$B$2004,MATCH($K252,'سجل التحفيز'!$X$5:$X$2004,0)))</f>
        <v/>
      </c>
      <c r="N252" s="9">
        <f>IF($K252="","",INDEX('سجل التحفيز'!$M$5:$M$2004,MATCH($K252,'سجل التحفيز'!$X$5:$X$2004,0)))</f>
        <v/>
      </c>
      <c r="O252" s="9">
        <f>IF($K252="","",INDEX('سجل التحفيز'!$C$5:$C$2004,MATCH($K252,'سجل التحفيز'!$X$5:$X$2004,0)))</f>
        <v/>
      </c>
      <c r="P252" s="36">
        <f>IF($K252="","",INDEX('سجل التحفيز'!$D$5:$D$2004,MATCH($K252,'سجل التحفيز'!$X$5:$X$2004,0)))</f>
        <v/>
      </c>
      <c r="Q252" s="9">
        <f>IF($K252="","",INDEX('سجل التحفيز'!$E$5:$E$2004,MATCH($K252,'سجل التحفيز'!$X$5:$X$2004,0)))</f>
        <v/>
      </c>
      <c r="R252" s="9">
        <f>IF($K252="","",INDEX('سجل التحفيز'!$F$5:$F$2004,MATCH($K252,'سجل التحفيز'!$X$5:$X$2004,0)))</f>
        <v/>
      </c>
      <c r="S252" s="35">
        <f>IF($K252="","",INDEX('سجل التحفيز'!$G$5:$G$2004,MATCH($K252,'سجل التحفيز'!$X$5:$X$2004,0)))</f>
        <v/>
      </c>
    </row>
    <row r="253">
      <c r="K253" s="36">
        <f>IF(216&gt;$B$10,"",216)</f>
        <v/>
      </c>
      <c r="L253" s="37">
        <f>IF($K253="","",INDEX('سجل التحفيز'!$A$5:$A$2004,MATCH($K253,'سجل التحفيز'!$X$5:$X$2004,0)))</f>
        <v/>
      </c>
      <c r="M253" s="9">
        <f>IF($K253="","",INDEX('سجل التحفيز'!$B$5:$B$2004,MATCH($K253,'سجل التحفيز'!$X$5:$X$2004,0)))</f>
        <v/>
      </c>
      <c r="N253" s="9">
        <f>IF($K253="","",INDEX('سجل التحفيز'!$M$5:$M$2004,MATCH($K253,'سجل التحفيز'!$X$5:$X$2004,0)))</f>
        <v/>
      </c>
      <c r="O253" s="9">
        <f>IF($K253="","",INDEX('سجل التحفيز'!$C$5:$C$2004,MATCH($K253,'سجل التحفيز'!$X$5:$X$2004,0)))</f>
        <v/>
      </c>
      <c r="P253" s="36">
        <f>IF($K253="","",INDEX('سجل التحفيز'!$D$5:$D$2004,MATCH($K253,'سجل التحفيز'!$X$5:$X$2004,0)))</f>
        <v/>
      </c>
      <c r="Q253" s="9">
        <f>IF($K253="","",INDEX('سجل التحفيز'!$E$5:$E$2004,MATCH($K253,'سجل التحفيز'!$X$5:$X$2004,0)))</f>
        <v/>
      </c>
      <c r="R253" s="9">
        <f>IF($K253="","",INDEX('سجل التحفيز'!$F$5:$F$2004,MATCH($K253,'سجل التحفيز'!$X$5:$X$2004,0)))</f>
        <v/>
      </c>
      <c r="S253" s="35">
        <f>IF($K253="","",INDEX('سجل التحفيز'!$G$5:$G$2004,MATCH($K253,'سجل التحفيز'!$X$5:$X$2004,0)))</f>
        <v/>
      </c>
    </row>
    <row r="254">
      <c r="K254" s="36">
        <f>IF(217&gt;$B$10,"",217)</f>
        <v/>
      </c>
      <c r="L254" s="37">
        <f>IF($K254="","",INDEX('سجل التحفيز'!$A$5:$A$2004,MATCH($K254,'سجل التحفيز'!$X$5:$X$2004,0)))</f>
        <v/>
      </c>
      <c r="M254" s="9">
        <f>IF($K254="","",INDEX('سجل التحفيز'!$B$5:$B$2004,MATCH($K254,'سجل التحفيز'!$X$5:$X$2004,0)))</f>
        <v/>
      </c>
      <c r="N254" s="9">
        <f>IF($K254="","",INDEX('سجل التحفيز'!$M$5:$M$2004,MATCH($K254,'سجل التحفيز'!$X$5:$X$2004,0)))</f>
        <v/>
      </c>
      <c r="O254" s="9">
        <f>IF($K254="","",INDEX('سجل التحفيز'!$C$5:$C$2004,MATCH($K254,'سجل التحفيز'!$X$5:$X$2004,0)))</f>
        <v/>
      </c>
      <c r="P254" s="36">
        <f>IF($K254="","",INDEX('سجل التحفيز'!$D$5:$D$2004,MATCH($K254,'سجل التحفيز'!$X$5:$X$2004,0)))</f>
        <v/>
      </c>
      <c r="Q254" s="9">
        <f>IF($K254="","",INDEX('سجل التحفيز'!$E$5:$E$2004,MATCH($K254,'سجل التحفيز'!$X$5:$X$2004,0)))</f>
        <v/>
      </c>
      <c r="R254" s="9">
        <f>IF($K254="","",INDEX('سجل التحفيز'!$F$5:$F$2004,MATCH($K254,'سجل التحفيز'!$X$5:$X$2004,0)))</f>
        <v/>
      </c>
      <c r="S254" s="35">
        <f>IF($K254="","",INDEX('سجل التحفيز'!$G$5:$G$2004,MATCH($K254,'سجل التحفيز'!$X$5:$X$2004,0)))</f>
        <v/>
      </c>
    </row>
    <row r="255">
      <c r="K255" s="36">
        <f>IF(218&gt;$B$10,"",218)</f>
        <v/>
      </c>
      <c r="L255" s="37">
        <f>IF($K255="","",INDEX('سجل التحفيز'!$A$5:$A$2004,MATCH($K255,'سجل التحفيز'!$X$5:$X$2004,0)))</f>
        <v/>
      </c>
      <c r="M255" s="9">
        <f>IF($K255="","",INDEX('سجل التحفيز'!$B$5:$B$2004,MATCH($K255,'سجل التحفيز'!$X$5:$X$2004,0)))</f>
        <v/>
      </c>
      <c r="N255" s="9">
        <f>IF($K255="","",INDEX('سجل التحفيز'!$M$5:$M$2004,MATCH($K255,'سجل التحفيز'!$X$5:$X$2004,0)))</f>
        <v/>
      </c>
      <c r="O255" s="9">
        <f>IF($K255="","",INDEX('سجل التحفيز'!$C$5:$C$2004,MATCH($K255,'سجل التحفيز'!$X$5:$X$2004,0)))</f>
        <v/>
      </c>
      <c r="P255" s="36">
        <f>IF($K255="","",INDEX('سجل التحفيز'!$D$5:$D$2004,MATCH($K255,'سجل التحفيز'!$X$5:$X$2004,0)))</f>
        <v/>
      </c>
      <c r="Q255" s="9">
        <f>IF($K255="","",INDEX('سجل التحفيز'!$E$5:$E$2004,MATCH($K255,'سجل التحفيز'!$X$5:$X$2004,0)))</f>
        <v/>
      </c>
      <c r="R255" s="9">
        <f>IF($K255="","",INDEX('سجل التحفيز'!$F$5:$F$2004,MATCH($K255,'سجل التحفيز'!$X$5:$X$2004,0)))</f>
        <v/>
      </c>
      <c r="S255" s="35">
        <f>IF($K255="","",INDEX('سجل التحفيز'!$G$5:$G$2004,MATCH($K255,'سجل التحفيز'!$X$5:$X$2004,0)))</f>
        <v/>
      </c>
    </row>
    <row r="256">
      <c r="K256" s="36">
        <f>IF(219&gt;$B$10,"",219)</f>
        <v/>
      </c>
      <c r="L256" s="37">
        <f>IF($K256="","",INDEX('سجل التحفيز'!$A$5:$A$2004,MATCH($K256,'سجل التحفيز'!$X$5:$X$2004,0)))</f>
        <v/>
      </c>
      <c r="M256" s="9">
        <f>IF($K256="","",INDEX('سجل التحفيز'!$B$5:$B$2004,MATCH($K256,'سجل التحفيز'!$X$5:$X$2004,0)))</f>
        <v/>
      </c>
      <c r="N256" s="9">
        <f>IF($K256="","",INDEX('سجل التحفيز'!$M$5:$M$2004,MATCH($K256,'سجل التحفيز'!$X$5:$X$2004,0)))</f>
        <v/>
      </c>
      <c r="O256" s="9">
        <f>IF($K256="","",INDEX('سجل التحفيز'!$C$5:$C$2004,MATCH($K256,'سجل التحفيز'!$X$5:$X$2004,0)))</f>
        <v/>
      </c>
      <c r="P256" s="36">
        <f>IF($K256="","",INDEX('سجل التحفيز'!$D$5:$D$2004,MATCH($K256,'سجل التحفيز'!$X$5:$X$2004,0)))</f>
        <v/>
      </c>
      <c r="Q256" s="9">
        <f>IF($K256="","",INDEX('سجل التحفيز'!$E$5:$E$2004,MATCH($K256,'سجل التحفيز'!$X$5:$X$2004,0)))</f>
        <v/>
      </c>
      <c r="R256" s="9">
        <f>IF($K256="","",INDEX('سجل التحفيز'!$F$5:$F$2004,MATCH($K256,'سجل التحفيز'!$X$5:$X$2004,0)))</f>
        <v/>
      </c>
      <c r="S256" s="35">
        <f>IF($K256="","",INDEX('سجل التحفيز'!$G$5:$G$2004,MATCH($K256,'سجل التحفيز'!$X$5:$X$2004,0)))</f>
        <v/>
      </c>
    </row>
    <row r="257">
      <c r="K257" s="36">
        <f>IF(220&gt;$B$10,"",220)</f>
        <v/>
      </c>
      <c r="L257" s="37">
        <f>IF($K257="","",INDEX('سجل التحفيز'!$A$5:$A$2004,MATCH($K257,'سجل التحفيز'!$X$5:$X$2004,0)))</f>
        <v/>
      </c>
      <c r="M257" s="9">
        <f>IF($K257="","",INDEX('سجل التحفيز'!$B$5:$B$2004,MATCH($K257,'سجل التحفيز'!$X$5:$X$2004,0)))</f>
        <v/>
      </c>
      <c r="N257" s="9">
        <f>IF($K257="","",INDEX('سجل التحفيز'!$M$5:$M$2004,MATCH($K257,'سجل التحفيز'!$X$5:$X$2004,0)))</f>
        <v/>
      </c>
      <c r="O257" s="9">
        <f>IF($K257="","",INDEX('سجل التحفيز'!$C$5:$C$2004,MATCH($K257,'سجل التحفيز'!$X$5:$X$2004,0)))</f>
        <v/>
      </c>
      <c r="P257" s="36">
        <f>IF($K257="","",INDEX('سجل التحفيز'!$D$5:$D$2004,MATCH($K257,'سجل التحفيز'!$X$5:$X$2004,0)))</f>
        <v/>
      </c>
      <c r="Q257" s="9">
        <f>IF($K257="","",INDEX('سجل التحفيز'!$E$5:$E$2004,MATCH($K257,'سجل التحفيز'!$X$5:$X$2004,0)))</f>
        <v/>
      </c>
      <c r="R257" s="9">
        <f>IF($K257="","",INDEX('سجل التحفيز'!$F$5:$F$2004,MATCH($K257,'سجل التحفيز'!$X$5:$X$2004,0)))</f>
        <v/>
      </c>
      <c r="S257" s="35">
        <f>IF($K257="","",INDEX('سجل التحفيز'!$G$5:$G$2004,MATCH($K257,'سجل التحفيز'!$X$5:$X$2004,0)))</f>
        <v/>
      </c>
    </row>
    <row r="258">
      <c r="K258" s="36">
        <f>IF(221&gt;$B$10,"",221)</f>
        <v/>
      </c>
      <c r="L258" s="37">
        <f>IF($K258="","",INDEX('سجل التحفيز'!$A$5:$A$2004,MATCH($K258,'سجل التحفيز'!$X$5:$X$2004,0)))</f>
        <v/>
      </c>
      <c r="M258" s="9">
        <f>IF($K258="","",INDEX('سجل التحفيز'!$B$5:$B$2004,MATCH($K258,'سجل التحفيز'!$X$5:$X$2004,0)))</f>
        <v/>
      </c>
      <c r="N258" s="9">
        <f>IF($K258="","",INDEX('سجل التحفيز'!$M$5:$M$2004,MATCH($K258,'سجل التحفيز'!$X$5:$X$2004,0)))</f>
        <v/>
      </c>
      <c r="O258" s="9">
        <f>IF($K258="","",INDEX('سجل التحفيز'!$C$5:$C$2004,MATCH($K258,'سجل التحفيز'!$X$5:$X$2004,0)))</f>
        <v/>
      </c>
      <c r="P258" s="36">
        <f>IF($K258="","",INDEX('سجل التحفيز'!$D$5:$D$2004,MATCH($K258,'سجل التحفيز'!$X$5:$X$2004,0)))</f>
        <v/>
      </c>
      <c r="Q258" s="9">
        <f>IF($K258="","",INDEX('سجل التحفيز'!$E$5:$E$2004,MATCH($K258,'سجل التحفيز'!$X$5:$X$2004,0)))</f>
        <v/>
      </c>
      <c r="R258" s="9">
        <f>IF($K258="","",INDEX('سجل التحفيز'!$F$5:$F$2004,MATCH($K258,'سجل التحفيز'!$X$5:$X$2004,0)))</f>
        <v/>
      </c>
      <c r="S258" s="35">
        <f>IF($K258="","",INDEX('سجل التحفيز'!$G$5:$G$2004,MATCH($K258,'سجل التحفيز'!$X$5:$X$2004,0)))</f>
        <v/>
      </c>
    </row>
    <row r="259">
      <c r="K259" s="36">
        <f>IF(222&gt;$B$10,"",222)</f>
        <v/>
      </c>
      <c r="L259" s="37">
        <f>IF($K259="","",INDEX('سجل التحفيز'!$A$5:$A$2004,MATCH($K259,'سجل التحفيز'!$X$5:$X$2004,0)))</f>
        <v/>
      </c>
      <c r="M259" s="9">
        <f>IF($K259="","",INDEX('سجل التحفيز'!$B$5:$B$2004,MATCH($K259,'سجل التحفيز'!$X$5:$X$2004,0)))</f>
        <v/>
      </c>
      <c r="N259" s="9">
        <f>IF($K259="","",INDEX('سجل التحفيز'!$M$5:$M$2004,MATCH($K259,'سجل التحفيز'!$X$5:$X$2004,0)))</f>
        <v/>
      </c>
      <c r="O259" s="9">
        <f>IF($K259="","",INDEX('سجل التحفيز'!$C$5:$C$2004,MATCH($K259,'سجل التحفيز'!$X$5:$X$2004,0)))</f>
        <v/>
      </c>
      <c r="P259" s="36">
        <f>IF($K259="","",INDEX('سجل التحفيز'!$D$5:$D$2004,MATCH($K259,'سجل التحفيز'!$X$5:$X$2004,0)))</f>
        <v/>
      </c>
      <c r="Q259" s="9">
        <f>IF($K259="","",INDEX('سجل التحفيز'!$E$5:$E$2004,MATCH($K259,'سجل التحفيز'!$X$5:$X$2004,0)))</f>
        <v/>
      </c>
      <c r="R259" s="9">
        <f>IF($K259="","",INDEX('سجل التحفيز'!$F$5:$F$2004,MATCH($K259,'سجل التحفيز'!$X$5:$X$2004,0)))</f>
        <v/>
      </c>
      <c r="S259" s="35">
        <f>IF($K259="","",INDEX('سجل التحفيز'!$G$5:$G$2004,MATCH($K259,'سجل التحفيز'!$X$5:$X$2004,0)))</f>
        <v/>
      </c>
    </row>
    <row r="260">
      <c r="K260" s="36">
        <f>IF(223&gt;$B$10,"",223)</f>
        <v/>
      </c>
      <c r="L260" s="37">
        <f>IF($K260="","",INDEX('سجل التحفيز'!$A$5:$A$2004,MATCH($K260,'سجل التحفيز'!$X$5:$X$2004,0)))</f>
        <v/>
      </c>
      <c r="M260" s="9">
        <f>IF($K260="","",INDEX('سجل التحفيز'!$B$5:$B$2004,MATCH($K260,'سجل التحفيز'!$X$5:$X$2004,0)))</f>
        <v/>
      </c>
      <c r="N260" s="9">
        <f>IF($K260="","",INDEX('سجل التحفيز'!$M$5:$M$2004,MATCH($K260,'سجل التحفيز'!$X$5:$X$2004,0)))</f>
        <v/>
      </c>
      <c r="O260" s="9">
        <f>IF($K260="","",INDEX('سجل التحفيز'!$C$5:$C$2004,MATCH($K260,'سجل التحفيز'!$X$5:$X$2004,0)))</f>
        <v/>
      </c>
      <c r="P260" s="36">
        <f>IF($K260="","",INDEX('سجل التحفيز'!$D$5:$D$2004,MATCH($K260,'سجل التحفيز'!$X$5:$X$2004,0)))</f>
        <v/>
      </c>
      <c r="Q260" s="9">
        <f>IF($K260="","",INDEX('سجل التحفيز'!$E$5:$E$2004,MATCH($K260,'سجل التحفيز'!$X$5:$X$2004,0)))</f>
        <v/>
      </c>
      <c r="R260" s="9">
        <f>IF($K260="","",INDEX('سجل التحفيز'!$F$5:$F$2004,MATCH($K260,'سجل التحفيز'!$X$5:$X$2004,0)))</f>
        <v/>
      </c>
      <c r="S260" s="35">
        <f>IF($K260="","",INDEX('سجل التحفيز'!$G$5:$G$2004,MATCH($K260,'سجل التحفيز'!$X$5:$X$2004,0)))</f>
        <v/>
      </c>
    </row>
    <row r="261">
      <c r="K261" s="36">
        <f>IF(224&gt;$B$10,"",224)</f>
        <v/>
      </c>
      <c r="L261" s="37">
        <f>IF($K261="","",INDEX('سجل التحفيز'!$A$5:$A$2004,MATCH($K261,'سجل التحفيز'!$X$5:$X$2004,0)))</f>
        <v/>
      </c>
      <c r="M261" s="9">
        <f>IF($K261="","",INDEX('سجل التحفيز'!$B$5:$B$2004,MATCH($K261,'سجل التحفيز'!$X$5:$X$2004,0)))</f>
        <v/>
      </c>
      <c r="N261" s="9">
        <f>IF($K261="","",INDEX('سجل التحفيز'!$M$5:$M$2004,MATCH($K261,'سجل التحفيز'!$X$5:$X$2004,0)))</f>
        <v/>
      </c>
      <c r="O261" s="9">
        <f>IF($K261="","",INDEX('سجل التحفيز'!$C$5:$C$2004,MATCH($K261,'سجل التحفيز'!$X$5:$X$2004,0)))</f>
        <v/>
      </c>
      <c r="P261" s="36">
        <f>IF($K261="","",INDEX('سجل التحفيز'!$D$5:$D$2004,MATCH($K261,'سجل التحفيز'!$X$5:$X$2004,0)))</f>
        <v/>
      </c>
      <c r="Q261" s="9">
        <f>IF($K261="","",INDEX('سجل التحفيز'!$E$5:$E$2004,MATCH($K261,'سجل التحفيز'!$X$5:$X$2004,0)))</f>
        <v/>
      </c>
      <c r="R261" s="9">
        <f>IF($K261="","",INDEX('سجل التحفيز'!$F$5:$F$2004,MATCH($K261,'سجل التحفيز'!$X$5:$X$2004,0)))</f>
        <v/>
      </c>
      <c r="S261" s="35">
        <f>IF($K261="","",INDEX('سجل التحفيز'!$G$5:$G$2004,MATCH($K261,'سجل التحفيز'!$X$5:$X$2004,0)))</f>
        <v/>
      </c>
    </row>
    <row r="262">
      <c r="K262" s="36">
        <f>IF(225&gt;$B$10,"",225)</f>
        <v/>
      </c>
      <c r="L262" s="37">
        <f>IF($K262="","",INDEX('سجل التحفيز'!$A$5:$A$2004,MATCH($K262,'سجل التحفيز'!$X$5:$X$2004,0)))</f>
        <v/>
      </c>
      <c r="M262" s="9">
        <f>IF($K262="","",INDEX('سجل التحفيز'!$B$5:$B$2004,MATCH($K262,'سجل التحفيز'!$X$5:$X$2004,0)))</f>
        <v/>
      </c>
      <c r="N262" s="9">
        <f>IF($K262="","",INDEX('سجل التحفيز'!$M$5:$M$2004,MATCH($K262,'سجل التحفيز'!$X$5:$X$2004,0)))</f>
        <v/>
      </c>
      <c r="O262" s="9">
        <f>IF($K262="","",INDEX('سجل التحفيز'!$C$5:$C$2004,MATCH($K262,'سجل التحفيز'!$X$5:$X$2004,0)))</f>
        <v/>
      </c>
      <c r="P262" s="36">
        <f>IF($K262="","",INDEX('سجل التحفيز'!$D$5:$D$2004,MATCH($K262,'سجل التحفيز'!$X$5:$X$2004,0)))</f>
        <v/>
      </c>
      <c r="Q262" s="9">
        <f>IF($K262="","",INDEX('سجل التحفيز'!$E$5:$E$2004,MATCH($K262,'سجل التحفيز'!$X$5:$X$2004,0)))</f>
        <v/>
      </c>
      <c r="R262" s="9">
        <f>IF($K262="","",INDEX('سجل التحفيز'!$F$5:$F$2004,MATCH($K262,'سجل التحفيز'!$X$5:$X$2004,0)))</f>
        <v/>
      </c>
      <c r="S262" s="35">
        <f>IF($K262="","",INDEX('سجل التحفيز'!$G$5:$G$2004,MATCH($K262,'سجل التحفيز'!$X$5:$X$2004,0)))</f>
        <v/>
      </c>
    </row>
    <row r="263">
      <c r="K263" s="36">
        <f>IF(226&gt;$B$10,"",226)</f>
        <v/>
      </c>
      <c r="L263" s="37">
        <f>IF($K263="","",INDEX('سجل التحفيز'!$A$5:$A$2004,MATCH($K263,'سجل التحفيز'!$X$5:$X$2004,0)))</f>
        <v/>
      </c>
      <c r="M263" s="9">
        <f>IF($K263="","",INDEX('سجل التحفيز'!$B$5:$B$2004,MATCH($K263,'سجل التحفيز'!$X$5:$X$2004,0)))</f>
        <v/>
      </c>
      <c r="N263" s="9">
        <f>IF($K263="","",INDEX('سجل التحفيز'!$M$5:$M$2004,MATCH($K263,'سجل التحفيز'!$X$5:$X$2004,0)))</f>
        <v/>
      </c>
      <c r="O263" s="9">
        <f>IF($K263="","",INDEX('سجل التحفيز'!$C$5:$C$2004,MATCH($K263,'سجل التحفيز'!$X$5:$X$2004,0)))</f>
        <v/>
      </c>
      <c r="P263" s="36">
        <f>IF($K263="","",INDEX('سجل التحفيز'!$D$5:$D$2004,MATCH($K263,'سجل التحفيز'!$X$5:$X$2004,0)))</f>
        <v/>
      </c>
      <c r="Q263" s="9">
        <f>IF($K263="","",INDEX('سجل التحفيز'!$E$5:$E$2004,MATCH($K263,'سجل التحفيز'!$X$5:$X$2004,0)))</f>
        <v/>
      </c>
      <c r="R263" s="9">
        <f>IF($K263="","",INDEX('سجل التحفيز'!$F$5:$F$2004,MATCH($K263,'سجل التحفيز'!$X$5:$X$2004,0)))</f>
        <v/>
      </c>
      <c r="S263" s="35">
        <f>IF($K263="","",INDEX('سجل التحفيز'!$G$5:$G$2004,MATCH($K263,'سجل التحفيز'!$X$5:$X$2004,0)))</f>
        <v/>
      </c>
    </row>
    <row r="264">
      <c r="K264" s="36">
        <f>IF(227&gt;$B$10,"",227)</f>
        <v/>
      </c>
      <c r="L264" s="37">
        <f>IF($K264="","",INDEX('سجل التحفيز'!$A$5:$A$2004,MATCH($K264,'سجل التحفيز'!$X$5:$X$2004,0)))</f>
        <v/>
      </c>
      <c r="M264" s="9">
        <f>IF($K264="","",INDEX('سجل التحفيز'!$B$5:$B$2004,MATCH($K264,'سجل التحفيز'!$X$5:$X$2004,0)))</f>
        <v/>
      </c>
      <c r="N264" s="9">
        <f>IF($K264="","",INDEX('سجل التحفيز'!$M$5:$M$2004,MATCH($K264,'سجل التحفيز'!$X$5:$X$2004,0)))</f>
        <v/>
      </c>
      <c r="O264" s="9">
        <f>IF($K264="","",INDEX('سجل التحفيز'!$C$5:$C$2004,MATCH($K264,'سجل التحفيز'!$X$5:$X$2004,0)))</f>
        <v/>
      </c>
      <c r="P264" s="36">
        <f>IF($K264="","",INDEX('سجل التحفيز'!$D$5:$D$2004,MATCH($K264,'سجل التحفيز'!$X$5:$X$2004,0)))</f>
        <v/>
      </c>
      <c r="Q264" s="9">
        <f>IF($K264="","",INDEX('سجل التحفيز'!$E$5:$E$2004,MATCH($K264,'سجل التحفيز'!$X$5:$X$2004,0)))</f>
        <v/>
      </c>
      <c r="R264" s="9">
        <f>IF($K264="","",INDEX('سجل التحفيز'!$F$5:$F$2004,MATCH($K264,'سجل التحفيز'!$X$5:$X$2004,0)))</f>
        <v/>
      </c>
      <c r="S264" s="35">
        <f>IF($K264="","",INDEX('سجل التحفيز'!$G$5:$G$2004,MATCH($K264,'سجل التحفيز'!$X$5:$X$2004,0)))</f>
        <v/>
      </c>
    </row>
    <row r="265">
      <c r="K265" s="36">
        <f>IF(228&gt;$B$10,"",228)</f>
        <v/>
      </c>
      <c r="L265" s="37">
        <f>IF($K265="","",INDEX('سجل التحفيز'!$A$5:$A$2004,MATCH($K265,'سجل التحفيز'!$X$5:$X$2004,0)))</f>
        <v/>
      </c>
      <c r="M265" s="9">
        <f>IF($K265="","",INDEX('سجل التحفيز'!$B$5:$B$2004,MATCH($K265,'سجل التحفيز'!$X$5:$X$2004,0)))</f>
        <v/>
      </c>
      <c r="N265" s="9">
        <f>IF($K265="","",INDEX('سجل التحفيز'!$M$5:$M$2004,MATCH($K265,'سجل التحفيز'!$X$5:$X$2004,0)))</f>
        <v/>
      </c>
      <c r="O265" s="9">
        <f>IF($K265="","",INDEX('سجل التحفيز'!$C$5:$C$2004,MATCH($K265,'سجل التحفيز'!$X$5:$X$2004,0)))</f>
        <v/>
      </c>
      <c r="P265" s="36">
        <f>IF($K265="","",INDEX('سجل التحفيز'!$D$5:$D$2004,MATCH($K265,'سجل التحفيز'!$X$5:$X$2004,0)))</f>
        <v/>
      </c>
      <c r="Q265" s="9">
        <f>IF($K265="","",INDEX('سجل التحفيز'!$E$5:$E$2004,MATCH($K265,'سجل التحفيز'!$X$5:$X$2004,0)))</f>
        <v/>
      </c>
      <c r="R265" s="9">
        <f>IF($K265="","",INDEX('سجل التحفيز'!$F$5:$F$2004,MATCH($K265,'سجل التحفيز'!$X$5:$X$2004,0)))</f>
        <v/>
      </c>
      <c r="S265" s="35">
        <f>IF($K265="","",INDEX('سجل التحفيز'!$G$5:$G$2004,MATCH($K265,'سجل التحفيز'!$X$5:$X$2004,0)))</f>
        <v/>
      </c>
    </row>
    <row r="266">
      <c r="K266" s="36">
        <f>IF(229&gt;$B$10,"",229)</f>
        <v/>
      </c>
      <c r="L266" s="37">
        <f>IF($K266="","",INDEX('سجل التحفيز'!$A$5:$A$2004,MATCH($K266,'سجل التحفيز'!$X$5:$X$2004,0)))</f>
        <v/>
      </c>
      <c r="M266" s="9">
        <f>IF($K266="","",INDEX('سجل التحفيز'!$B$5:$B$2004,MATCH($K266,'سجل التحفيز'!$X$5:$X$2004,0)))</f>
        <v/>
      </c>
      <c r="N266" s="9">
        <f>IF($K266="","",INDEX('سجل التحفيز'!$M$5:$M$2004,MATCH($K266,'سجل التحفيز'!$X$5:$X$2004,0)))</f>
        <v/>
      </c>
      <c r="O266" s="9">
        <f>IF($K266="","",INDEX('سجل التحفيز'!$C$5:$C$2004,MATCH($K266,'سجل التحفيز'!$X$5:$X$2004,0)))</f>
        <v/>
      </c>
      <c r="P266" s="36">
        <f>IF($K266="","",INDEX('سجل التحفيز'!$D$5:$D$2004,MATCH($K266,'سجل التحفيز'!$X$5:$X$2004,0)))</f>
        <v/>
      </c>
      <c r="Q266" s="9">
        <f>IF($K266="","",INDEX('سجل التحفيز'!$E$5:$E$2004,MATCH($K266,'سجل التحفيز'!$X$5:$X$2004,0)))</f>
        <v/>
      </c>
      <c r="R266" s="9">
        <f>IF($K266="","",INDEX('سجل التحفيز'!$F$5:$F$2004,MATCH($K266,'سجل التحفيز'!$X$5:$X$2004,0)))</f>
        <v/>
      </c>
      <c r="S266" s="35">
        <f>IF($K266="","",INDEX('سجل التحفيز'!$G$5:$G$2004,MATCH($K266,'سجل التحفيز'!$X$5:$X$2004,0)))</f>
        <v/>
      </c>
    </row>
    <row r="267">
      <c r="K267" s="36">
        <f>IF(230&gt;$B$10,"",230)</f>
        <v/>
      </c>
      <c r="L267" s="37">
        <f>IF($K267="","",INDEX('سجل التحفيز'!$A$5:$A$2004,MATCH($K267,'سجل التحفيز'!$X$5:$X$2004,0)))</f>
        <v/>
      </c>
      <c r="M267" s="9">
        <f>IF($K267="","",INDEX('سجل التحفيز'!$B$5:$B$2004,MATCH($K267,'سجل التحفيز'!$X$5:$X$2004,0)))</f>
        <v/>
      </c>
      <c r="N267" s="9">
        <f>IF($K267="","",INDEX('سجل التحفيز'!$M$5:$M$2004,MATCH($K267,'سجل التحفيز'!$X$5:$X$2004,0)))</f>
        <v/>
      </c>
      <c r="O267" s="9">
        <f>IF($K267="","",INDEX('سجل التحفيز'!$C$5:$C$2004,MATCH($K267,'سجل التحفيز'!$X$5:$X$2004,0)))</f>
        <v/>
      </c>
      <c r="P267" s="36">
        <f>IF($K267="","",INDEX('سجل التحفيز'!$D$5:$D$2004,MATCH($K267,'سجل التحفيز'!$X$5:$X$2004,0)))</f>
        <v/>
      </c>
      <c r="Q267" s="9">
        <f>IF($K267="","",INDEX('سجل التحفيز'!$E$5:$E$2004,MATCH($K267,'سجل التحفيز'!$X$5:$X$2004,0)))</f>
        <v/>
      </c>
      <c r="R267" s="9">
        <f>IF($K267="","",INDEX('سجل التحفيز'!$F$5:$F$2004,MATCH($K267,'سجل التحفيز'!$X$5:$X$2004,0)))</f>
        <v/>
      </c>
      <c r="S267" s="35">
        <f>IF($K267="","",INDEX('سجل التحفيز'!$G$5:$G$2004,MATCH($K267,'سجل التحفيز'!$X$5:$X$2004,0)))</f>
        <v/>
      </c>
    </row>
    <row r="268">
      <c r="K268" s="36">
        <f>IF(231&gt;$B$10,"",231)</f>
        <v/>
      </c>
      <c r="L268" s="37">
        <f>IF($K268="","",INDEX('سجل التحفيز'!$A$5:$A$2004,MATCH($K268,'سجل التحفيز'!$X$5:$X$2004,0)))</f>
        <v/>
      </c>
      <c r="M268" s="9">
        <f>IF($K268="","",INDEX('سجل التحفيز'!$B$5:$B$2004,MATCH($K268,'سجل التحفيز'!$X$5:$X$2004,0)))</f>
        <v/>
      </c>
      <c r="N268" s="9">
        <f>IF($K268="","",INDEX('سجل التحفيز'!$M$5:$M$2004,MATCH($K268,'سجل التحفيز'!$X$5:$X$2004,0)))</f>
        <v/>
      </c>
      <c r="O268" s="9">
        <f>IF($K268="","",INDEX('سجل التحفيز'!$C$5:$C$2004,MATCH($K268,'سجل التحفيز'!$X$5:$X$2004,0)))</f>
        <v/>
      </c>
      <c r="P268" s="36">
        <f>IF($K268="","",INDEX('سجل التحفيز'!$D$5:$D$2004,MATCH($K268,'سجل التحفيز'!$X$5:$X$2004,0)))</f>
        <v/>
      </c>
      <c r="Q268" s="9">
        <f>IF($K268="","",INDEX('سجل التحفيز'!$E$5:$E$2004,MATCH($K268,'سجل التحفيز'!$X$5:$X$2004,0)))</f>
        <v/>
      </c>
      <c r="R268" s="9">
        <f>IF($K268="","",INDEX('سجل التحفيز'!$F$5:$F$2004,MATCH($K268,'سجل التحفيز'!$X$5:$X$2004,0)))</f>
        <v/>
      </c>
      <c r="S268" s="35">
        <f>IF($K268="","",INDEX('سجل التحفيز'!$G$5:$G$2004,MATCH($K268,'سجل التحفيز'!$X$5:$X$2004,0)))</f>
        <v/>
      </c>
    </row>
    <row r="269">
      <c r="K269" s="36">
        <f>IF(232&gt;$B$10,"",232)</f>
        <v/>
      </c>
      <c r="L269" s="37">
        <f>IF($K269="","",INDEX('سجل التحفيز'!$A$5:$A$2004,MATCH($K269,'سجل التحفيز'!$X$5:$X$2004,0)))</f>
        <v/>
      </c>
      <c r="M269" s="9">
        <f>IF($K269="","",INDEX('سجل التحفيز'!$B$5:$B$2004,MATCH($K269,'سجل التحفيز'!$X$5:$X$2004,0)))</f>
        <v/>
      </c>
      <c r="N269" s="9">
        <f>IF($K269="","",INDEX('سجل التحفيز'!$M$5:$M$2004,MATCH($K269,'سجل التحفيز'!$X$5:$X$2004,0)))</f>
        <v/>
      </c>
      <c r="O269" s="9">
        <f>IF($K269="","",INDEX('سجل التحفيز'!$C$5:$C$2004,MATCH($K269,'سجل التحفيز'!$X$5:$X$2004,0)))</f>
        <v/>
      </c>
      <c r="P269" s="36">
        <f>IF($K269="","",INDEX('سجل التحفيز'!$D$5:$D$2004,MATCH($K269,'سجل التحفيز'!$X$5:$X$2004,0)))</f>
        <v/>
      </c>
      <c r="Q269" s="9">
        <f>IF($K269="","",INDEX('سجل التحفيز'!$E$5:$E$2004,MATCH($K269,'سجل التحفيز'!$X$5:$X$2004,0)))</f>
        <v/>
      </c>
      <c r="R269" s="9">
        <f>IF($K269="","",INDEX('سجل التحفيز'!$F$5:$F$2004,MATCH($K269,'سجل التحفيز'!$X$5:$X$2004,0)))</f>
        <v/>
      </c>
      <c r="S269" s="35">
        <f>IF($K269="","",INDEX('سجل التحفيز'!$G$5:$G$2004,MATCH($K269,'سجل التحفيز'!$X$5:$X$2004,0)))</f>
        <v/>
      </c>
    </row>
    <row r="270">
      <c r="K270" s="36">
        <f>IF(233&gt;$B$10,"",233)</f>
        <v/>
      </c>
      <c r="L270" s="37">
        <f>IF($K270="","",INDEX('سجل التحفيز'!$A$5:$A$2004,MATCH($K270,'سجل التحفيز'!$X$5:$X$2004,0)))</f>
        <v/>
      </c>
      <c r="M270" s="9">
        <f>IF($K270="","",INDEX('سجل التحفيز'!$B$5:$B$2004,MATCH($K270,'سجل التحفيز'!$X$5:$X$2004,0)))</f>
        <v/>
      </c>
      <c r="N270" s="9">
        <f>IF($K270="","",INDEX('سجل التحفيز'!$M$5:$M$2004,MATCH($K270,'سجل التحفيز'!$X$5:$X$2004,0)))</f>
        <v/>
      </c>
      <c r="O270" s="9">
        <f>IF($K270="","",INDEX('سجل التحفيز'!$C$5:$C$2004,MATCH($K270,'سجل التحفيز'!$X$5:$X$2004,0)))</f>
        <v/>
      </c>
      <c r="P270" s="36">
        <f>IF($K270="","",INDEX('سجل التحفيز'!$D$5:$D$2004,MATCH($K270,'سجل التحفيز'!$X$5:$X$2004,0)))</f>
        <v/>
      </c>
      <c r="Q270" s="9">
        <f>IF($K270="","",INDEX('سجل التحفيز'!$E$5:$E$2004,MATCH($K270,'سجل التحفيز'!$X$5:$X$2004,0)))</f>
        <v/>
      </c>
      <c r="R270" s="9">
        <f>IF($K270="","",INDEX('سجل التحفيز'!$F$5:$F$2004,MATCH($K270,'سجل التحفيز'!$X$5:$X$2004,0)))</f>
        <v/>
      </c>
      <c r="S270" s="35">
        <f>IF($K270="","",INDEX('سجل التحفيز'!$G$5:$G$2004,MATCH($K270,'سجل التحفيز'!$X$5:$X$2004,0)))</f>
        <v/>
      </c>
    </row>
    <row r="271">
      <c r="K271" s="36">
        <f>IF(234&gt;$B$10,"",234)</f>
        <v/>
      </c>
      <c r="L271" s="37">
        <f>IF($K271="","",INDEX('سجل التحفيز'!$A$5:$A$2004,MATCH($K271,'سجل التحفيز'!$X$5:$X$2004,0)))</f>
        <v/>
      </c>
      <c r="M271" s="9">
        <f>IF($K271="","",INDEX('سجل التحفيز'!$B$5:$B$2004,MATCH($K271,'سجل التحفيز'!$X$5:$X$2004,0)))</f>
        <v/>
      </c>
      <c r="N271" s="9">
        <f>IF($K271="","",INDEX('سجل التحفيز'!$M$5:$M$2004,MATCH($K271,'سجل التحفيز'!$X$5:$X$2004,0)))</f>
        <v/>
      </c>
      <c r="O271" s="9">
        <f>IF($K271="","",INDEX('سجل التحفيز'!$C$5:$C$2004,MATCH($K271,'سجل التحفيز'!$X$5:$X$2004,0)))</f>
        <v/>
      </c>
      <c r="P271" s="36">
        <f>IF($K271="","",INDEX('سجل التحفيز'!$D$5:$D$2004,MATCH($K271,'سجل التحفيز'!$X$5:$X$2004,0)))</f>
        <v/>
      </c>
      <c r="Q271" s="9">
        <f>IF($K271="","",INDEX('سجل التحفيز'!$E$5:$E$2004,MATCH($K271,'سجل التحفيز'!$X$5:$X$2004,0)))</f>
        <v/>
      </c>
      <c r="R271" s="9">
        <f>IF($K271="","",INDEX('سجل التحفيز'!$F$5:$F$2004,MATCH($K271,'سجل التحفيز'!$X$5:$X$2004,0)))</f>
        <v/>
      </c>
      <c r="S271" s="35">
        <f>IF($K271="","",INDEX('سجل التحفيز'!$G$5:$G$2004,MATCH($K271,'سجل التحفيز'!$X$5:$X$2004,0)))</f>
        <v/>
      </c>
    </row>
    <row r="272">
      <c r="K272" s="36">
        <f>IF(235&gt;$B$10,"",235)</f>
        <v/>
      </c>
      <c r="L272" s="37">
        <f>IF($K272="","",INDEX('سجل التحفيز'!$A$5:$A$2004,MATCH($K272,'سجل التحفيز'!$X$5:$X$2004,0)))</f>
        <v/>
      </c>
      <c r="M272" s="9">
        <f>IF($K272="","",INDEX('سجل التحفيز'!$B$5:$B$2004,MATCH($K272,'سجل التحفيز'!$X$5:$X$2004,0)))</f>
        <v/>
      </c>
      <c r="N272" s="9">
        <f>IF($K272="","",INDEX('سجل التحفيز'!$M$5:$M$2004,MATCH($K272,'سجل التحفيز'!$X$5:$X$2004,0)))</f>
        <v/>
      </c>
      <c r="O272" s="9">
        <f>IF($K272="","",INDEX('سجل التحفيز'!$C$5:$C$2004,MATCH($K272,'سجل التحفيز'!$X$5:$X$2004,0)))</f>
        <v/>
      </c>
      <c r="P272" s="36">
        <f>IF($K272="","",INDEX('سجل التحفيز'!$D$5:$D$2004,MATCH($K272,'سجل التحفيز'!$X$5:$X$2004,0)))</f>
        <v/>
      </c>
      <c r="Q272" s="9">
        <f>IF($K272="","",INDEX('سجل التحفيز'!$E$5:$E$2004,MATCH($K272,'سجل التحفيز'!$X$5:$X$2004,0)))</f>
        <v/>
      </c>
      <c r="R272" s="9">
        <f>IF($K272="","",INDEX('سجل التحفيز'!$F$5:$F$2004,MATCH($K272,'سجل التحفيز'!$X$5:$X$2004,0)))</f>
        <v/>
      </c>
      <c r="S272" s="35">
        <f>IF($K272="","",INDEX('سجل التحفيز'!$G$5:$G$2004,MATCH($K272,'سجل التحفيز'!$X$5:$X$2004,0)))</f>
        <v/>
      </c>
    </row>
    <row r="273">
      <c r="K273" s="36">
        <f>IF(236&gt;$B$10,"",236)</f>
        <v/>
      </c>
      <c r="L273" s="37">
        <f>IF($K273="","",INDEX('سجل التحفيز'!$A$5:$A$2004,MATCH($K273,'سجل التحفيز'!$X$5:$X$2004,0)))</f>
        <v/>
      </c>
      <c r="M273" s="9">
        <f>IF($K273="","",INDEX('سجل التحفيز'!$B$5:$B$2004,MATCH($K273,'سجل التحفيز'!$X$5:$X$2004,0)))</f>
        <v/>
      </c>
      <c r="N273" s="9">
        <f>IF($K273="","",INDEX('سجل التحفيز'!$M$5:$M$2004,MATCH($K273,'سجل التحفيز'!$X$5:$X$2004,0)))</f>
        <v/>
      </c>
      <c r="O273" s="9">
        <f>IF($K273="","",INDEX('سجل التحفيز'!$C$5:$C$2004,MATCH($K273,'سجل التحفيز'!$X$5:$X$2004,0)))</f>
        <v/>
      </c>
      <c r="P273" s="36">
        <f>IF($K273="","",INDEX('سجل التحفيز'!$D$5:$D$2004,MATCH($K273,'سجل التحفيز'!$X$5:$X$2004,0)))</f>
        <v/>
      </c>
      <c r="Q273" s="9">
        <f>IF($K273="","",INDEX('سجل التحفيز'!$E$5:$E$2004,MATCH($K273,'سجل التحفيز'!$X$5:$X$2004,0)))</f>
        <v/>
      </c>
      <c r="R273" s="9">
        <f>IF($K273="","",INDEX('سجل التحفيز'!$F$5:$F$2004,MATCH($K273,'سجل التحفيز'!$X$5:$X$2004,0)))</f>
        <v/>
      </c>
      <c r="S273" s="35">
        <f>IF($K273="","",INDEX('سجل التحفيز'!$G$5:$G$2004,MATCH($K273,'سجل التحفيز'!$X$5:$X$2004,0)))</f>
        <v/>
      </c>
    </row>
    <row r="274">
      <c r="K274" s="36">
        <f>IF(237&gt;$B$10,"",237)</f>
        <v/>
      </c>
      <c r="L274" s="37">
        <f>IF($K274="","",INDEX('سجل التحفيز'!$A$5:$A$2004,MATCH($K274,'سجل التحفيز'!$X$5:$X$2004,0)))</f>
        <v/>
      </c>
      <c r="M274" s="9">
        <f>IF($K274="","",INDEX('سجل التحفيز'!$B$5:$B$2004,MATCH($K274,'سجل التحفيز'!$X$5:$X$2004,0)))</f>
        <v/>
      </c>
      <c r="N274" s="9">
        <f>IF($K274="","",INDEX('سجل التحفيز'!$M$5:$M$2004,MATCH($K274,'سجل التحفيز'!$X$5:$X$2004,0)))</f>
        <v/>
      </c>
      <c r="O274" s="9">
        <f>IF($K274="","",INDEX('سجل التحفيز'!$C$5:$C$2004,MATCH($K274,'سجل التحفيز'!$X$5:$X$2004,0)))</f>
        <v/>
      </c>
      <c r="P274" s="36">
        <f>IF($K274="","",INDEX('سجل التحفيز'!$D$5:$D$2004,MATCH($K274,'سجل التحفيز'!$X$5:$X$2004,0)))</f>
        <v/>
      </c>
      <c r="Q274" s="9">
        <f>IF($K274="","",INDEX('سجل التحفيز'!$E$5:$E$2004,MATCH($K274,'سجل التحفيز'!$X$5:$X$2004,0)))</f>
        <v/>
      </c>
      <c r="R274" s="9">
        <f>IF($K274="","",INDEX('سجل التحفيز'!$F$5:$F$2004,MATCH($K274,'سجل التحفيز'!$X$5:$X$2004,0)))</f>
        <v/>
      </c>
      <c r="S274" s="35">
        <f>IF($K274="","",INDEX('سجل التحفيز'!$G$5:$G$2004,MATCH($K274,'سجل التحفيز'!$X$5:$X$2004,0)))</f>
        <v/>
      </c>
    </row>
    <row r="275">
      <c r="K275" s="36">
        <f>IF(238&gt;$B$10,"",238)</f>
        <v/>
      </c>
      <c r="L275" s="37">
        <f>IF($K275="","",INDEX('سجل التحفيز'!$A$5:$A$2004,MATCH($K275,'سجل التحفيز'!$X$5:$X$2004,0)))</f>
        <v/>
      </c>
      <c r="M275" s="9">
        <f>IF($K275="","",INDEX('سجل التحفيز'!$B$5:$B$2004,MATCH($K275,'سجل التحفيز'!$X$5:$X$2004,0)))</f>
        <v/>
      </c>
      <c r="N275" s="9">
        <f>IF($K275="","",INDEX('سجل التحفيز'!$M$5:$M$2004,MATCH($K275,'سجل التحفيز'!$X$5:$X$2004,0)))</f>
        <v/>
      </c>
      <c r="O275" s="9">
        <f>IF($K275="","",INDEX('سجل التحفيز'!$C$5:$C$2004,MATCH($K275,'سجل التحفيز'!$X$5:$X$2004,0)))</f>
        <v/>
      </c>
      <c r="P275" s="36">
        <f>IF($K275="","",INDEX('سجل التحفيز'!$D$5:$D$2004,MATCH($K275,'سجل التحفيز'!$X$5:$X$2004,0)))</f>
        <v/>
      </c>
      <c r="Q275" s="9">
        <f>IF($K275="","",INDEX('سجل التحفيز'!$E$5:$E$2004,MATCH($K275,'سجل التحفيز'!$X$5:$X$2004,0)))</f>
        <v/>
      </c>
      <c r="R275" s="9">
        <f>IF($K275="","",INDEX('سجل التحفيز'!$F$5:$F$2004,MATCH($K275,'سجل التحفيز'!$X$5:$X$2004,0)))</f>
        <v/>
      </c>
      <c r="S275" s="35">
        <f>IF($K275="","",INDEX('سجل التحفيز'!$G$5:$G$2004,MATCH($K275,'سجل التحفيز'!$X$5:$X$2004,0)))</f>
        <v/>
      </c>
    </row>
    <row r="276">
      <c r="K276" s="36">
        <f>IF(239&gt;$B$10,"",239)</f>
        <v/>
      </c>
      <c r="L276" s="37">
        <f>IF($K276="","",INDEX('سجل التحفيز'!$A$5:$A$2004,MATCH($K276,'سجل التحفيز'!$X$5:$X$2004,0)))</f>
        <v/>
      </c>
      <c r="M276" s="9">
        <f>IF($K276="","",INDEX('سجل التحفيز'!$B$5:$B$2004,MATCH($K276,'سجل التحفيز'!$X$5:$X$2004,0)))</f>
        <v/>
      </c>
      <c r="N276" s="9">
        <f>IF($K276="","",INDEX('سجل التحفيز'!$M$5:$M$2004,MATCH($K276,'سجل التحفيز'!$X$5:$X$2004,0)))</f>
        <v/>
      </c>
      <c r="O276" s="9">
        <f>IF($K276="","",INDEX('سجل التحفيز'!$C$5:$C$2004,MATCH($K276,'سجل التحفيز'!$X$5:$X$2004,0)))</f>
        <v/>
      </c>
      <c r="P276" s="36">
        <f>IF($K276="","",INDEX('سجل التحفيز'!$D$5:$D$2004,MATCH($K276,'سجل التحفيز'!$X$5:$X$2004,0)))</f>
        <v/>
      </c>
      <c r="Q276" s="9">
        <f>IF($K276="","",INDEX('سجل التحفيز'!$E$5:$E$2004,MATCH($K276,'سجل التحفيز'!$X$5:$X$2004,0)))</f>
        <v/>
      </c>
      <c r="R276" s="9">
        <f>IF($K276="","",INDEX('سجل التحفيز'!$F$5:$F$2004,MATCH($K276,'سجل التحفيز'!$X$5:$X$2004,0)))</f>
        <v/>
      </c>
      <c r="S276" s="35">
        <f>IF($K276="","",INDEX('سجل التحفيز'!$G$5:$G$2004,MATCH($K276,'سجل التحفيز'!$X$5:$X$2004,0)))</f>
        <v/>
      </c>
    </row>
    <row r="277">
      <c r="K277" s="36">
        <f>IF(240&gt;$B$10,"",240)</f>
        <v/>
      </c>
      <c r="L277" s="37">
        <f>IF($K277="","",INDEX('سجل التحفيز'!$A$5:$A$2004,MATCH($K277,'سجل التحفيز'!$X$5:$X$2004,0)))</f>
        <v/>
      </c>
      <c r="M277" s="9">
        <f>IF($K277="","",INDEX('سجل التحفيز'!$B$5:$B$2004,MATCH($K277,'سجل التحفيز'!$X$5:$X$2004,0)))</f>
        <v/>
      </c>
      <c r="N277" s="9">
        <f>IF($K277="","",INDEX('سجل التحفيز'!$M$5:$M$2004,MATCH($K277,'سجل التحفيز'!$X$5:$X$2004,0)))</f>
        <v/>
      </c>
      <c r="O277" s="9">
        <f>IF($K277="","",INDEX('سجل التحفيز'!$C$5:$C$2004,MATCH($K277,'سجل التحفيز'!$X$5:$X$2004,0)))</f>
        <v/>
      </c>
      <c r="P277" s="36">
        <f>IF($K277="","",INDEX('سجل التحفيز'!$D$5:$D$2004,MATCH($K277,'سجل التحفيز'!$X$5:$X$2004,0)))</f>
        <v/>
      </c>
      <c r="Q277" s="9">
        <f>IF($K277="","",INDEX('سجل التحفيز'!$E$5:$E$2004,MATCH($K277,'سجل التحفيز'!$X$5:$X$2004,0)))</f>
        <v/>
      </c>
      <c r="R277" s="9">
        <f>IF($K277="","",INDEX('سجل التحفيز'!$F$5:$F$2004,MATCH($K277,'سجل التحفيز'!$X$5:$X$2004,0)))</f>
        <v/>
      </c>
      <c r="S277" s="35">
        <f>IF($K277="","",INDEX('سجل التحفيز'!$G$5:$G$2004,MATCH($K277,'سجل التحفيز'!$X$5:$X$2004,0)))</f>
        <v/>
      </c>
    </row>
    <row r="278">
      <c r="K278" s="36">
        <f>IF(241&gt;$B$10,"",241)</f>
        <v/>
      </c>
      <c r="L278" s="37">
        <f>IF($K278="","",INDEX('سجل التحفيز'!$A$5:$A$2004,MATCH($K278,'سجل التحفيز'!$X$5:$X$2004,0)))</f>
        <v/>
      </c>
      <c r="M278" s="9">
        <f>IF($K278="","",INDEX('سجل التحفيز'!$B$5:$B$2004,MATCH($K278,'سجل التحفيز'!$X$5:$X$2004,0)))</f>
        <v/>
      </c>
      <c r="N278" s="9">
        <f>IF($K278="","",INDEX('سجل التحفيز'!$M$5:$M$2004,MATCH($K278,'سجل التحفيز'!$X$5:$X$2004,0)))</f>
        <v/>
      </c>
      <c r="O278" s="9">
        <f>IF($K278="","",INDEX('سجل التحفيز'!$C$5:$C$2004,MATCH($K278,'سجل التحفيز'!$X$5:$X$2004,0)))</f>
        <v/>
      </c>
      <c r="P278" s="36">
        <f>IF($K278="","",INDEX('سجل التحفيز'!$D$5:$D$2004,MATCH($K278,'سجل التحفيز'!$X$5:$X$2004,0)))</f>
        <v/>
      </c>
      <c r="Q278" s="9">
        <f>IF($K278="","",INDEX('سجل التحفيز'!$E$5:$E$2004,MATCH($K278,'سجل التحفيز'!$X$5:$X$2004,0)))</f>
        <v/>
      </c>
      <c r="R278" s="9">
        <f>IF($K278="","",INDEX('سجل التحفيز'!$F$5:$F$2004,MATCH($K278,'سجل التحفيز'!$X$5:$X$2004,0)))</f>
        <v/>
      </c>
      <c r="S278" s="35">
        <f>IF($K278="","",INDEX('سجل التحفيز'!$G$5:$G$2004,MATCH($K278,'سجل التحفيز'!$X$5:$X$2004,0)))</f>
        <v/>
      </c>
    </row>
    <row r="279">
      <c r="K279" s="36">
        <f>IF(242&gt;$B$10,"",242)</f>
        <v/>
      </c>
      <c r="L279" s="37">
        <f>IF($K279="","",INDEX('سجل التحفيز'!$A$5:$A$2004,MATCH($K279,'سجل التحفيز'!$X$5:$X$2004,0)))</f>
        <v/>
      </c>
      <c r="M279" s="9">
        <f>IF($K279="","",INDEX('سجل التحفيز'!$B$5:$B$2004,MATCH($K279,'سجل التحفيز'!$X$5:$X$2004,0)))</f>
        <v/>
      </c>
      <c r="N279" s="9">
        <f>IF($K279="","",INDEX('سجل التحفيز'!$M$5:$M$2004,MATCH($K279,'سجل التحفيز'!$X$5:$X$2004,0)))</f>
        <v/>
      </c>
      <c r="O279" s="9">
        <f>IF($K279="","",INDEX('سجل التحفيز'!$C$5:$C$2004,MATCH($K279,'سجل التحفيز'!$X$5:$X$2004,0)))</f>
        <v/>
      </c>
      <c r="P279" s="36">
        <f>IF($K279="","",INDEX('سجل التحفيز'!$D$5:$D$2004,MATCH($K279,'سجل التحفيز'!$X$5:$X$2004,0)))</f>
        <v/>
      </c>
      <c r="Q279" s="9">
        <f>IF($K279="","",INDEX('سجل التحفيز'!$E$5:$E$2004,MATCH($K279,'سجل التحفيز'!$X$5:$X$2004,0)))</f>
        <v/>
      </c>
      <c r="R279" s="9">
        <f>IF($K279="","",INDEX('سجل التحفيز'!$F$5:$F$2004,MATCH($K279,'سجل التحفيز'!$X$5:$X$2004,0)))</f>
        <v/>
      </c>
      <c r="S279" s="35">
        <f>IF($K279="","",INDEX('سجل التحفيز'!$G$5:$G$2004,MATCH($K279,'سجل التحفيز'!$X$5:$X$2004,0)))</f>
        <v/>
      </c>
    </row>
    <row r="280">
      <c r="K280" s="36">
        <f>IF(243&gt;$B$10,"",243)</f>
        <v/>
      </c>
      <c r="L280" s="37">
        <f>IF($K280="","",INDEX('سجل التحفيز'!$A$5:$A$2004,MATCH($K280,'سجل التحفيز'!$X$5:$X$2004,0)))</f>
        <v/>
      </c>
      <c r="M280" s="9">
        <f>IF($K280="","",INDEX('سجل التحفيز'!$B$5:$B$2004,MATCH($K280,'سجل التحفيز'!$X$5:$X$2004,0)))</f>
        <v/>
      </c>
      <c r="N280" s="9">
        <f>IF($K280="","",INDEX('سجل التحفيز'!$M$5:$M$2004,MATCH($K280,'سجل التحفيز'!$X$5:$X$2004,0)))</f>
        <v/>
      </c>
      <c r="O280" s="9">
        <f>IF($K280="","",INDEX('سجل التحفيز'!$C$5:$C$2004,MATCH($K280,'سجل التحفيز'!$X$5:$X$2004,0)))</f>
        <v/>
      </c>
      <c r="P280" s="36">
        <f>IF($K280="","",INDEX('سجل التحفيز'!$D$5:$D$2004,MATCH($K280,'سجل التحفيز'!$X$5:$X$2004,0)))</f>
        <v/>
      </c>
      <c r="Q280" s="9">
        <f>IF($K280="","",INDEX('سجل التحفيز'!$E$5:$E$2004,MATCH($K280,'سجل التحفيز'!$X$5:$X$2004,0)))</f>
        <v/>
      </c>
      <c r="R280" s="9">
        <f>IF($K280="","",INDEX('سجل التحفيز'!$F$5:$F$2004,MATCH($K280,'سجل التحفيز'!$X$5:$X$2004,0)))</f>
        <v/>
      </c>
      <c r="S280" s="35">
        <f>IF($K280="","",INDEX('سجل التحفيز'!$G$5:$G$2004,MATCH($K280,'سجل التحفيز'!$X$5:$X$2004,0)))</f>
        <v/>
      </c>
    </row>
    <row r="281">
      <c r="K281" s="36">
        <f>IF(244&gt;$B$10,"",244)</f>
        <v/>
      </c>
      <c r="L281" s="37">
        <f>IF($K281="","",INDEX('سجل التحفيز'!$A$5:$A$2004,MATCH($K281,'سجل التحفيز'!$X$5:$X$2004,0)))</f>
        <v/>
      </c>
      <c r="M281" s="9">
        <f>IF($K281="","",INDEX('سجل التحفيز'!$B$5:$B$2004,MATCH($K281,'سجل التحفيز'!$X$5:$X$2004,0)))</f>
        <v/>
      </c>
      <c r="N281" s="9">
        <f>IF($K281="","",INDEX('سجل التحفيز'!$M$5:$M$2004,MATCH($K281,'سجل التحفيز'!$X$5:$X$2004,0)))</f>
        <v/>
      </c>
      <c r="O281" s="9">
        <f>IF($K281="","",INDEX('سجل التحفيز'!$C$5:$C$2004,MATCH($K281,'سجل التحفيز'!$X$5:$X$2004,0)))</f>
        <v/>
      </c>
      <c r="P281" s="36">
        <f>IF($K281="","",INDEX('سجل التحفيز'!$D$5:$D$2004,MATCH($K281,'سجل التحفيز'!$X$5:$X$2004,0)))</f>
        <v/>
      </c>
      <c r="Q281" s="9">
        <f>IF($K281="","",INDEX('سجل التحفيز'!$E$5:$E$2004,MATCH($K281,'سجل التحفيز'!$X$5:$X$2004,0)))</f>
        <v/>
      </c>
      <c r="R281" s="9">
        <f>IF($K281="","",INDEX('سجل التحفيز'!$F$5:$F$2004,MATCH($K281,'سجل التحفيز'!$X$5:$X$2004,0)))</f>
        <v/>
      </c>
      <c r="S281" s="35">
        <f>IF($K281="","",INDEX('سجل التحفيز'!$G$5:$G$2004,MATCH($K281,'سجل التحفيز'!$X$5:$X$2004,0)))</f>
        <v/>
      </c>
    </row>
    <row r="282">
      <c r="K282" s="36">
        <f>IF(245&gt;$B$10,"",245)</f>
        <v/>
      </c>
      <c r="L282" s="37">
        <f>IF($K282="","",INDEX('سجل التحفيز'!$A$5:$A$2004,MATCH($K282,'سجل التحفيز'!$X$5:$X$2004,0)))</f>
        <v/>
      </c>
      <c r="M282" s="9">
        <f>IF($K282="","",INDEX('سجل التحفيز'!$B$5:$B$2004,MATCH($K282,'سجل التحفيز'!$X$5:$X$2004,0)))</f>
        <v/>
      </c>
      <c r="N282" s="9">
        <f>IF($K282="","",INDEX('سجل التحفيز'!$M$5:$M$2004,MATCH($K282,'سجل التحفيز'!$X$5:$X$2004,0)))</f>
        <v/>
      </c>
      <c r="O282" s="9">
        <f>IF($K282="","",INDEX('سجل التحفيز'!$C$5:$C$2004,MATCH($K282,'سجل التحفيز'!$X$5:$X$2004,0)))</f>
        <v/>
      </c>
      <c r="P282" s="36">
        <f>IF($K282="","",INDEX('سجل التحفيز'!$D$5:$D$2004,MATCH($K282,'سجل التحفيز'!$X$5:$X$2004,0)))</f>
        <v/>
      </c>
      <c r="Q282" s="9">
        <f>IF($K282="","",INDEX('سجل التحفيز'!$E$5:$E$2004,MATCH($K282,'سجل التحفيز'!$X$5:$X$2004,0)))</f>
        <v/>
      </c>
      <c r="R282" s="9">
        <f>IF($K282="","",INDEX('سجل التحفيز'!$F$5:$F$2004,MATCH($K282,'سجل التحفيز'!$X$5:$X$2004,0)))</f>
        <v/>
      </c>
      <c r="S282" s="35">
        <f>IF($K282="","",INDEX('سجل التحفيز'!$G$5:$G$2004,MATCH($K282,'سجل التحفيز'!$X$5:$X$2004,0)))</f>
        <v/>
      </c>
    </row>
    <row r="283">
      <c r="K283" s="36">
        <f>IF(246&gt;$B$10,"",246)</f>
        <v/>
      </c>
      <c r="L283" s="37">
        <f>IF($K283="","",INDEX('سجل التحفيز'!$A$5:$A$2004,MATCH($K283,'سجل التحفيز'!$X$5:$X$2004,0)))</f>
        <v/>
      </c>
      <c r="M283" s="9">
        <f>IF($K283="","",INDEX('سجل التحفيز'!$B$5:$B$2004,MATCH($K283,'سجل التحفيز'!$X$5:$X$2004,0)))</f>
        <v/>
      </c>
      <c r="N283" s="9">
        <f>IF($K283="","",INDEX('سجل التحفيز'!$M$5:$M$2004,MATCH($K283,'سجل التحفيز'!$X$5:$X$2004,0)))</f>
        <v/>
      </c>
      <c r="O283" s="9">
        <f>IF($K283="","",INDEX('سجل التحفيز'!$C$5:$C$2004,MATCH($K283,'سجل التحفيز'!$X$5:$X$2004,0)))</f>
        <v/>
      </c>
      <c r="P283" s="36">
        <f>IF($K283="","",INDEX('سجل التحفيز'!$D$5:$D$2004,MATCH($K283,'سجل التحفيز'!$X$5:$X$2004,0)))</f>
        <v/>
      </c>
      <c r="Q283" s="9">
        <f>IF($K283="","",INDEX('سجل التحفيز'!$E$5:$E$2004,MATCH($K283,'سجل التحفيز'!$X$5:$X$2004,0)))</f>
        <v/>
      </c>
      <c r="R283" s="9">
        <f>IF($K283="","",INDEX('سجل التحفيز'!$F$5:$F$2004,MATCH($K283,'سجل التحفيز'!$X$5:$X$2004,0)))</f>
        <v/>
      </c>
      <c r="S283" s="35">
        <f>IF($K283="","",INDEX('سجل التحفيز'!$G$5:$G$2004,MATCH($K283,'سجل التحفيز'!$X$5:$X$2004,0)))</f>
        <v/>
      </c>
    </row>
    <row r="284">
      <c r="K284" s="36">
        <f>IF(247&gt;$B$10,"",247)</f>
        <v/>
      </c>
      <c r="L284" s="37">
        <f>IF($K284="","",INDEX('سجل التحفيز'!$A$5:$A$2004,MATCH($K284,'سجل التحفيز'!$X$5:$X$2004,0)))</f>
        <v/>
      </c>
      <c r="M284" s="9">
        <f>IF($K284="","",INDEX('سجل التحفيز'!$B$5:$B$2004,MATCH($K284,'سجل التحفيز'!$X$5:$X$2004,0)))</f>
        <v/>
      </c>
      <c r="N284" s="9">
        <f>IF($K284="","",INDEX('سجل التحفيز'!$M$5:$M$2004,MATCH($K284,'سجل التحفيز'!$X$5:$X$2004,0)))</f>
        <v/>
      </c>
      <c r="O284" s="9">
        <f>IF($K284="","",INDEX('سجل التحفيز'!$C$5:$C$2004,MATCH($K284,'سجل التحفيز'!$X$5:$X$2004,0)))</f>
        <v/>
      </c>
      <c r="P284" s="36">
        <f>IF($K284="","",INDEX('سجل التحفيز'!$D$5:$D$2004,MATCH($K284,'سجل التحفيز'!$X$5:$X$2004,0)))</f>
        <v/>
      </c>
      <c r="Q284" s="9">
        <f>IF($K284="","",INDEX('سجل التحفيز'!$E$5:$E$2004,MATCH($K284,'سجل التحفيز'!$X$5:$X$2004,0)))</f>
        <v/>
      </c>
      <c r="R284" s="9">
        <f>IF($K284="","",INDEX('سجل التحفيز'!$F$5:$F$2004,MATCH($K284,'سجل التحفيز'!$X$5:$X$2004,0)))</f>
        <v/>
      </c>
      <c r="S284" s="35">
        <f>IF($K284="","",INDEX('سجل التحفيز'!$G$5:$G$2004,MATCH($K284,'سجل التحفيز'!$X$5:$X$2004,0)))</f>
        <v/>
      </c>
    </row>
    <row r="285">
      <c r="K285" s="36">
        <f>IF(248&gt;$B$10,"",248)</f>
        <v/>
      </c>
      <c r="L285" s="37">
        <f>IF($K285="","",INDEX('سجل التحفيز'!$A$5:$A$2004,MATCH($K285,'سجل التحفيز'!$X$5:$X$2004,0)))</f>
        <v/>
      </c>
      <c r="M285" s="9">
        <f>IF($K285="","",INDEX('سجل التحفيز'!$B$5:$B$2004,MATCH($K285,'سجل التحفيز'!$X$5:$X$2004,0)))</f>
        <v/>
      </c>
      <c r="N285" s="9">
        <f>IF($K285="","",INDEX('سجل التحفيز'!$M$5:$M$2004,MATCH($K285,'سجل التحفيز'!$X$5:$X$2004,0)))</f>
        <v/>
      </c>
      <c r="O285" s="9">
        <f>IF($K285="","",INDEX('سجل التحفيز'!$C$5:$C$2004,MATCH($K285,'سجل التحفيز'!$X$5:$X$2004,0)))</f>
        <v/>
      </c>
      <c r="P285" s="36">
        <f>IF($K285="","",INDEX('سجل التحفيز'!$D$5:$D$2004,MATCH($K285,'سجل التحفيز'!$X$5:$X$2004,0)))</f>
        <v/>
      </c>
      <c r="Q285" s="9">
        <f>IF($K285="","",INDEX('سجل التحفيز'!$E$5:$E$2004,MATCH($K285,'سجل التحفيز'!$X$5:$X$2004,0)))</f>
        <v/>
      </c>
      <c r="R285" s="9">
        <f>IF($K285="","",INDEX('سجل التحفيز'!$F$5:$F$2004,MATCH($K285,'سجل التحفيز'!$X$5:$X$2004,0)))</f>
        <v/>
      </c>
      <c r="S285" s="35">
        <f>IF($K285="","",INDEX('سجل التحفيز'!$G$5:$G$2004,MATCH($K285,'سجل التحفيز'!$X$5:$X$2004,0)))</f>
        <v/>
      </c>
    </row>
    <row r="286">
      <c r="K286" s="36">
        <f>IF(249&gt;$B$10,"",249)</f>
        <v/>
      </c>
      <c r="L286" s="37">
        <f>IF($K286="","",INDEX('سجل التحفيز'!$A$5:$A$2004,MATCH($K286,'سجل التحفيز'!$X$5:$X$2004,0)))</f>
        <v/>
      </c>
      <c r="M286" s="9">
        <f>IF($K286="","",INDEX('سجل التحفيز'!$B$5:$B$2004,MATCH($K286,'سجل التحفيز'!$X$5:$X$2004,0)))</f>
        <v/>
      </c>
      <c r="N286" s="9">
        <f>IF($K286="","",INDEX('سجل التحفيز'!$M$5:$M$2004,MATCH($K286,'سجل التحفيز'!$X$5:$X$2004,0)))</f>
        <v/>
      </c>
      <c r="O286" s="9">
        <f>IF($K286="","",INDEX('سجل التحفيز'!$C$5:$C$2004,MATCH($K286,'سجل التحفيز'!$X$5:$X$2004,0)))</f>
        <v/>
      </c>
      <c r="P286" s="36">
        <f>IF($K286="","",INDEX('سجل التحفيز'!$D$5:$D$2004,MATCH($K286,'سجل التحفيز'!$X$5:$X$2004,0)))</f>
        <v/>
      </c>
      <c r="Q286" s="9">
        <f>IF($K286="","",INDEX('سجل التحفيز'!$E$5:$E$2004,MATCH($K286,'سجل التحفيز'!$X$5:$X$2004,0)))</f>
        <v/>
      </c>
      <c r="R286" s="9">
        <f>IF($K286="","",INDEX('سجل التحفيز'!$F$5:$F$2004,MATCH($K286,'سجل التحفيز'!$X$5:$X$2004,0)))</f>
        <v/>
      </c>
      <c r="S286" s="35">
        <f>IF($K286="","",INDEX('سجل التحفيز'!$G$5:$G$2004,MATCH($K286,'سجل التحفيز'!$X$5:$X$2004,0)))</f>
        <v/>
      </c>
    </row>
    <row r="287">
      <c r="K287" s="36">
        <f>IF(250&gt;$B$10,"",250)</f>
        <v/>
      </c>
      <c r="L287" s="37">
        <f>IF($K287="","",INDEX('سجل التحفيز'!$A$5:$A$2004,MATCH($K287,'سجل التحفيز'!$X$5:$X$2004,0)))</f>
        <v/>
      </c>
      <c r="M287" s="9">
        <f>IF($K287="","",INDEX('سجل التحفيز'!$B$5:$B$2004,MATCH($K287,'سجل التحفيز'!$X$5:$X$2004,0)))</f>
        <v/>
      </c>
      <c r="N287" s="9">
        <f>IF($K287="","",INDEX('سجل التحفيز'!$M$5:$M$2004,MATCH($K287,'سجل التحفيز'!$X$5:$X$2004,0)))</f>
        <v/>
      </c>
      <c r="O287" s="9">
        <f>IF($K287="","",INDEX('سجل التحفيز'!$C$5:$C$2004,MATCH($K287,'سجل التحفيز'!$X$5:$X$2004,0)))</f>
        <v/>
      </c>
      <c r="P287" s="36">
        <f>IF($K287="","",INDEX('سجل التحفيز'!$D$5:$D$2004,MATCH($K287,'سجل التحفيز'!$X$5:$X$2004,0)))</f>
        <v/>
      </c>
      <c r="Q287" s="9">
        <f>IF($K287="","",INDEX('سجل التحفيز'!$E$5:$E$2004,MATCH($K287,'سجل التحفيز'!$X$5:$X$2004,0)))</f>
        <v/>
      </c>
      <c r="R287" s="9">
        <f>IF($K287="","",INDEX('سجل التحفيز'!$F$5:$F$2004,MATCH($K287,'سجل التحفيز'!$X$5:$X$2004,0)))</f>
        <v/>
      </c>
      <c r="S287" s="35">
        <f>IF($K287="","",INDEX('سجل التحفيز'!$G$5:$G$2004,MATCH($K287,'سجل التحفيز'!$X$5:$X$2004,0)))</f>
        <v/>
      </c>
    </row>
    <row r="288">
      <c r="K288" s="36">
        <f>IF(251&gt;$B$10,"",251)</f>
        <v/>
      </c>
      <c r="L288" s="37">
        <f>IF($K288="","",INDEX('سجل التحفيز'!$A$5:$A$2004,MATCH($K288,'سجل التحفيز'!$X$5:$X$2004,0)))</f>
        <v/>
      </c>
      <c r="M288" s="9">
        <f>IF($K288="","",INDEX('سجل التحفيز'!$B$5:$B$2004,MATCH($K288,'سجل التحفيز'!$X$5:$X$2004,0)))</f>
        <v/>
      </c>
      <c r="N288" s="9">
        <f>IF($K288="","",INDEX('سجل التحفيز'!$M$5:$M$2004,MATCH($K288,'سجل التحفيز'!$X$5:$X$2004,0)))</f>
        <v/>
      </c>
      <c r="O288" s="9">
        <f>IF($K288="","",INDEX('سجل التحفيز'!$C$5:$C$2004,MATCH($K288,'سجل التحفيز'!$X$5:$X$2004,0)))</f>
        <v/>
      </c>
      <c r="P288" s="36">
        <f>IF($K288="","",INDEX('سجل التحفيز'!$D$5:$D$2004,MATCH($K288,'سجل التحفيز'!$X$5:$X$2004,0)))</f>
        <v/>
      </c>
      <c r="Q288" s="9">
        <f>IF($K288="","",INDEX('سجل التحفيز'!$E$5:$E$2004,MATCH($K288,'سجل التحفيز'!$X$5:$X$2004,0)))</f>
        <v/>
      </c>
      <c r="R288" s="9">
        <f>IF($K288="","",INDEX('سجل التحفيز'!$F$5:$F$2004,MATCH($K288,'سجل التحفيز'!$X$5:$X$2004,0)))</f>
        <v/>
      </c>
      <c r="S288" s="35">
        <f>IF($K288="","",INDEX('سجل التحفيز'!$G$5:$G$2004,MATCH($K288,'سجل التحفيز'!$X$5:$X$2004,0)))</f>
        <v/>
      </c>
    </row>
    <row r="289">
      <c r="K289" s="36">
        <f>IF(252&gt;$B$10,"",252)</f>
        <v/>
      </c>
      <c r="L289" s="37">
        <f>IF($K289="","",INDEX('سجل التحفيز'!$A$5:$A$2004,MATCH($K289,'سجل التحفيز'!$X$5:$X$2004,0)))</f>
        <v/>
      </c>
      <c r="M289" s="9">
        <f>IF($K289="","",INDEX('سجل التحفيز'!$B$5:$B$2004,MATCH($K289,'سجل التحفيز'!$X$5:$X$2004,0)))</f>
        <v/>
      </c>
      <c r="N289" s="9">
        <f>IF($K289="","",INDEX('سجل التحفيز'!$M$5:$M$2004,MATCH($K289,'سجل التحفيز'!$X$5:$X$2004,0)))</f>
        <v/>
      </c>
      <c r="O289" s="9">
        <f>IF($K289="","",INDEX('سجل التحفيز'!$C$5:$C$2004,MATCH($K289,'سجل التحفيز'!$X$5:$X$2004,0)))</f>
        <v/>
      </c>
      <c r="P289" s="36">
        <f>IF($K289="","",INDEX('سجل التحفيز'!$D$5:$D$2004,MATCH($K289,'سجل التحفيز'!$X$5:$X$2004,0)))</f>
        <v/>
      </c>
      <c r="Q289" s="9">
        <f>IF($K289="","",INDEX('سجل التحفيز'!$E$5:$E$2004,MATCH($K289,'سجل التحفيز'!$X$5:$X$2004,0)))</f>
        <v/>
      </c>
      <c r="R289" s="9">
        <f>IF($K289="","",INDEX('سجل التحفيز'!$F$5:$F$2004,MATCH($K289,'سجل التحفيز'!$X$5:$X$2004,0)))</f>
        <v/>
      </c>
      <c r="S289" s="35">
        <f>IF($K289="","",INDEX('سجل التحفيز'!$G$5:$G$2004,MATCH($K289,'سجل التحفيز'!$X$5:$X$2004,0)))</f>
        <v/>
      </c>
    </row>
    <row r="290">
      <c r="K290" s="36">
        <f>IF(253&gt;$B$10,"",253)</f>
        <v/>
      </c>
      <c r="L290" s="37">
        <f>IF($K290="","",INDEX('سجل التحفيز'!$A$5:$A$2004,MATCH($K290,'سجل التحفيز'!$X$5:$X$2004,0)))</f>
        <v/>
      </c>
      <c r="M290" s="9">
        <f>IF($K290="","",INDEX('سجل التحفيز'!$B$5:$B$2004,MATCH($K290,'سجل التحفيز'!$X$5:$X$2004,0)))</f>
        <v/>
      </c>
      <c r="N290" s="9">
        <f>IF($K290="","",INDEX('سجل التحفيز'!$M$5:$M$2004,MATCH($K290,'سجل التحفيز'!$X$5:$X$2004,0)))</f>
        <v/>
      </c>
      <c r="O290" s="9">
        <f>IF($K290="","",INDEX('سجل التحفيز'!$C$5:$C$2004,MATCH($K290,'سجل التحفيز'!$X$5:$X$2004,0)))</f>
        <v/>
      </c>
      <c r="P290" s="36">
        <f>IF($K290="","",INDEX('سجل التحفيز'!$D$5:$D$2004,MATCH($K290,'سجل التحفيز'!$X$5:$X$2004,0)))</f>
        <v/>
      </c>
      <c r="Q290" s="9">
        <f>IF($K290="","",INDEX('سجل التحفيز'!$E$5:$E$2004,MATCH($K290,'سجل التحفيز'!$X$5:$X$2004,0)))</f>
        <v/>
      </c>
      <c r="R290" s="9">
        <f>IF($K290="","",INDEX('سجل التحفيز'!$F$5:$F$2004,MATCH($K290,'سجل التحفيز'!$X$5:$X$2004,0)))</f>
        <v/>
      </c>
      <c r="S290" s="35">
        <f>IF($K290="","",INDEX('سجل التحفيز'!$G$5:$G$2004,MATCH($K290,'سجل التحفيز'!$X$5:$X$2004,0)))</f>
        <v/>
      </c>
    </row>
    <row r="291">
      <c r="K291" s="36">
        <f>IF(254&gt;$B$10,"",254)</f>
        <v/>
      </c>
      <c r="L291" s="37">
        <f>IF($K291="","",INDEX('سجل التحفيز'!$A$5:$A$2004,MATCH($K291,'سجل التحفيز'!$X$5:$X$2004,0)))</f>
        <v/>
      </c>
      <c r="M291" s="9">
        <f>IF($K291="","",INDEX('سجل التحفيز'!$B$5:$B$2004,MATCH($K291,'سجل التحفيز'!$X$5:$X$2004,0)))</f>
        <v/>
      </c>
      <c r="N291" s="9">
        <f>IF($K291="","",INDEX('سجل التحفيز'!$M$5:$M$2004,MATCH($K291,'سجل التحفيز'!$X$5:$X$2004,0)))</f>
        <v/>
      </c>
      <c r="O291" s="9">
        <f>IF($K291="","",INDEX('سجل التحفيز'!$C$5:$C$2004,MATCH($K291,'سجل التحفيز'!$X$5:$X$2004,0)))</f>
        <v/>
      </c>
      <c r="P291" s="36">
        <f>IF($K291="","",INDEX('سجل التحفيز'!$D$5:$D$2004,MATCH($K291,'سجل التحفيز'!$X$5:$X$2004,0)))</f>
        <v/>
      </c>
      <c r="Q291" s="9">
        <f>IF($K291="","",INDEX('سجل التحفيز'!$E$5:$E$2004,MATCH($K291,'سجل التحفيز'!$X$5:$X$2004,0)))</f>
        <v/>
      </c>
      <c r="R291" s="9">
        <f>IF($K291="","",INDEX('سجل التحفيز'!$F$5:$F$2004,MATCH($K291,'سجل التحفيز'!$X$5:$X$2004,0)))</f>
        <v/>
      </c>
      <c r="S291" s="35">
        <f>IF($K291="","",INDEX('سجل التحفيز'!$G$5:$G$2004,MATCH($K291,'سجل التحفيز'!$X$5:$X$2004,0)))</f>
        <v/>
      </c>
    </row>
    <row r="292">
      <c r="K292" s="36">
        <f>IF(255&gt;$B$10,"",255)</f>
        <v/>
      </c>
      <c r="L292" s="37">
        <f>IF($K292="","",INDEX('سجل التحفيز'!$A$5:$A$2004,MATCH($K292,'سجل التحفيز'!$X$5:$X$2004,0)))</f>
        <v/>
      </c>
      <c r="M292" s="9">
        <f>IF($K292="","",INDEX('سجل التحفيز'!$B$5:$B$2004,MATCH($K292,'سجل التحفيز'!$X$5:$X$2004,0)))</f>
        <v/>
      </c>
      <c r="N292" s="9">
        <f>IF($K292="","",INDEX('سجل التحفيز'!$M$5:$M$2004,MATCH($K292,'سجل التحفيز'!$X$5:$X$2004,0)))</f>
        <v/>
      </c>
      <c r="O292" s="9">
        <f>IF($K292="","",INDEX('سجل التحفيز'!$C$5:$C$2004,MATCH($K292,'سجل التحفيز'!$X$5:$X$2004,0)))</f>
        <v/>
      </c>
      <c r="P292" s="36">
        <f>IF($K292="","",INDEX('سجل التحفيز'!$D$5:$D$2004,MATCH($K292,'سجل التحفيز'!$X$5:$X$2004,0)))</f>
        <v/>
      </c>
      <c r="Q292" s="9">
        <f>IF($K292="","",INDEX('سجل التحفيز'!$E$5:$E$2004,MATCH($K292,'سجل التحفيز'!$X$5:$X$2004,0)))</f>
        <v/>
      </c>
      <c r="R292" s="9">
        <f>IF($K292="","",INDEX('سجل التحفيز'!$F$5:$F$2004,MATCH($K292,'سجل التحفيز'!$X$5:$X$2004,0)))</f>
        <v/>
      </c>
      <c r="S292" s="35">
        <f>IF($K292="","",INDEX('سجل التحفيز'!$G$5:$G$2004,MATCH($K292,'سجل التحفيز'!$X$5:$X$2004,0)))</f>
        <v/>
      </c>
    </row>
    <row r="293">
      <c r="K293" s="36">
        <f>IF(256&gt;$B$10,"",256)</f>
        <v/>
      </c>
      <c r="L293" s="37">
        <f>IF($K293="","",INDEX('سجل التحفيز'!$A$5:$A$2004,MATCH($K293,'سجل التحفيز'!$X$5:$X$2004,0)))</f>
        <v/>
      </c>
      <c r="M293" s="9">
        <f>IF($K293="","",INDEX('سجل التحفيز'!$B$5:$B$2004,MATCH($K293,'سجل التحفيز'!$X$5:$X$2004,0)))</f>
        <v/>
      </c>
      <c r="N293" s="9">
        <f>IF($K293="","",INDEX('سجل التحفيز'!$M$5:$M$2004,MATCH($K293,'سجل التحفيز'!$X$5:$X$2004,0)))</f>
        <v/>
      </c>
      <c r="O293" s="9">
        <f>IF($K293="","",INDEX('سجل التحفيز'!$C$5:$C$2004,MATCH($K293,'سجل التحفيز'!$X$5:$X$2004,0)))</f>
        <v/>
      </c>
      <c r="P293" s="36">
        <f>IF($K293="","",INDEX('سجل التحفيز'!$D$5:$D$2004,MATCH($K293,'سجل التحفيز'!$X$5:$X$2004,0)))</f>
        <v/>
      </c>
      <c r="Q293" s="9">
        <f>IF($K293="","",INDEX('سجل التحفيز'!$E$5:$E$2004,MATCH($K293,'سجل التحفيز'!$X$5:$X$2004,0)))</f>
        <v/>
      </c>
      <c r="R293" s="9">
        <f>IF($K293="","",INDEX('سجل التحفيز'!$F$5:$F$2004,MATCH($K293,'سجل التحفيز'!$X$5:$X$2004,0)))</f>
        <v/>
      </c>
      <c r="S293" s="35">
        <f>IF($K293="","",INDEX('سجل التحفيز'!$G$5:$G$2004,MATCH($K293,'سجل التحفيز'!$X$5:$X$2004,0)))</f>
        <v/>
      </c>
    </row>
    <row r="294">
      <c r="K294" s="36">
        <f>IF(257&gt;$B$10,"",257)</f>
        <v/>
      </c>
      <c r="L294" s="37">
        <f>IF($K294="","",INDEX('سجل التحفيز'!$A$5:$A$2004,MATCH($K294,'سجل التحفيز'!$X$5:$X$2004,0)))</f>
        <v/>
      </c>
      <c r="M294" s="9">
        <f>IF($K294="","",INDEX('سجل التحفيز'!$B$5:$B$2004,MATCH($K294,'سجل التحفيز'!$X$5:$X$2004,0)))</f>
        <v/>
      </c>
      <c r="N294" s="9">
        <f>IF($K294="","",INDEX('سجل التحفيز'!$M$5:$M$2004,MATCH($K294,'سجل التحفيز'!$X$5:$X$2004,0)))</f>
        <v/>
      </c>
      <c r="O294" s="9">
        <f>IF($K294="","",INDEX('سجل التحفيز'!$C$5:$C$2004,MATCH($K294,'سجل التحفيز'!$X$5:$X$2004,0)))</f>
        <v/>
      </c>
      <c r="P294" s="36">
        <f>IF($K294="","",INDEX('سجل التحفيز'!$D$5:$D$2004,MATCH($K294,'سجل التحفيز'!$X$5:$X$2004,0)))</f>
        <v/>
      </c>
      <c r="Q294" s="9">
        <f>IF($K294="","",INDEX('سجل التحفيز'!$E$5:$E$2004,MATCH($K294,'سجل التحفيز'!$X$5:$X$2004,0)))</f>
        <v/>
      </c>
      <c r="R294" s="9">
        <f>IF($K294="","",INDEX('سجل التحفيز'!$F$5:$F$2004,MATCH($K294,'سجل التحفيز'!$X$5:$X$2004,0)))</f>
        <v/>
      </c>
      <c r="S294" s="35">
        <f>IF($K294="","",INDEX('سجل التحفيز'!$G$5:$G$2004,MATCH($K294,'سجل التحفيز'!$X$5:$X$2004,0)))</f>
        <v/>
      </c>
    </row>
    <row r="295">
      <c r="K295" s="36">
        <f>IF(258&gt;$B$10,"",258)</f>
        <v/>
      </c>
      <c r="L295" s="37">
        <f>IF($K295="","",INDEX('سجل التحفيز'!$A$5:$A$2004,MATCH($K295,'سجل التحفيز'!$X$5:$X$2004,0)))</f>
        <v/>
      </c>
      <c r="M295" s="9">
        <f>IF($K295="","",INDEX('سجل التحفيز'!$B$5:$B$2004,MATCH($K295,'سجل التحفيز'!$X$5:$X$2004,0)))</f>
        <v/>
      </c>
      <c r="N295" s="9">
        <f>IF($K295="","",INDEX('سجل التحفيز'!$M$5:$M$2004,MATCH($K295,'سجل التحفيز'!$X$5:$X$2004,0)))</f>
        <v/>
      </c>
      <c r="O295" s="9">
        <f>IF($K295="","",INDEX('سجل التحفيز'!$C$5:$C$2004,MATCH($K295,'سجل التحفيز'!$X$5:$X$2004,0)))</f>
        <v/>
      </c>
      <c r="P295" s="36">
        <f>IF($K295="","",INDEX('سجل التحفيز'!$D$5:$D$2004,MATCH($K295,'سجل التحفيز'!$X$5:$X$2004,0)))</f>
        <v/>
      </c>
      <c r="Q295" s="9">
        <f>IF($K295="","",INDEX('سجل التحفيز'!$E$5:$E$2004,MATCH($K295,'سجل التحفيز'!$X$5:$X$2004,0)))</f>
        <v/>
      </c>
      <c r="R295" s="9">
        <f>IF($K295="","",INDEX('سجل التحفيز'!$F$5:$F$2004,MATCH($K295,'سجل التحفيز'!$X$5:$X$2004,0)))</f>
        <v/>
      </c>
      <c r="S295" s="35">
        <f>IF($K295="","",INDEX('سجل التحفيز'!$G$5:$G$2004,MATCH($K295,'سجل التحفيز'!$X$5:$X$2004,0)))</f>
        <v/>
      </c>
    </row>
    <row r="296">
      <c r="K296" s="36">
        <f>IF(259&gt;$B$10,"",259)</f>
        <v/>
      </c>
      <c r="L296" s="37">
        <f>IF($K296="","",INDEX('سجل التحفيز'!$A$5:$A$2004,MATCH($K296,'سجل التحفيز'!$X$5:$X$2004,0)))</f>
        <v/>
      </c>
      <c r="M296" s="9">
        <f>IF($K296="","",INDEX('سجل التحفيز'!$B$5:$B$2004,MATCH($K296,'سجل التحفيز'!$X$5:$X$2004,0)))</f>
        <v/>
      </c>
      <c r="N296" s="9">
        <f>IF($K296="","",INDEX('سجل التحفيز'!$M$5:$M$2004,MATCH($K296,'سجل التحفيز'!$X$5:$X$2004,0)))</f>
        <v/>
      </c>
      <c r="O296" s="9">
        <f>IF($K296="","",INDEX('سجل التحفيز'!$C$5:$C$2004,MATCH($K296,'سجل التحفيز'!$X$5:$X$2004,0)))</f>
        <v/>
      </c>
      <c r="P296" s="36">
        <f>IF($K296="","",INDEX('سجل التحفيز'!$D$5:$D$2004,MATCH($K296,'سجل التحفيز'!$X$5:$X$2004,0)))</f>
        <v/>
      </c>
      <c r="Q296" s="9">
        <f>IF($K296="","",INDEX('سجل التحفيز'!$E$5:$E$2004,MATCH($K296,'سجل التحفيز'!$X$5:$X$2004,0)))</f>
        <v/>
      </c>
      <c r="R296" s="9">
        <f>IF($K296="","",INDEX('سجل التحفيز'!$F$5:$F$2004,MATCH($K296,'سجل التحفيز'!$X$5:$X$2004,0)))</f>
        <v/>
      </c>
      <c r="S296" s="35">
        <f>IF($K296="","",INDEX('سجل التحفيز'!$G$5:$G$2004,MATCH($K296,'سجل التحفيز'!$X$5:$X$2004,0)))</f>
        <v/>
      </c>
    </row>
    <row r="297">
      <c r="K297" s="36">
        <f>IF(260&gt;$B$10,"",260)</f>
        <v/>
      </c>
      <c r="L297" s="37">
        <f>IF($K297="","",INDEX('سجل التحفيز'!$A$5:$A$2004,MATCH($K297,'سجل التحفيز'!$X$5:$X$2004,0)))</f>
        <v/>
      </c>
      <c r="M297" s="9">
        <f>IF($K297="","",INDEX('سجل التحفيز'!$B$5:$B$2004,MATCH($K297,'سجل التحفيز'!$X$5:$X$2004,0)))</f>
        <v/>
      </c>
      <c r="N297" s="9">
        <f>IF($K297="","",INDEX('سجل التحفيز'!$M$5:$M$2004,MATCH($K297,'سجل التحفيز'!$X$5:$X$2004,0)))</f>
        <v/>
      </c>
      <c r="O297" s="9">
        <f>IF($K297="","",INDEX('سجل التحفيز'!$C$5:$C$2004,MATCH($K297,'سجل التحفيز'!$X$5:$X$2004,0)))</f>
        <v/>
      </c>
      <c r="P297" s="36">
        <f>IF($K297="","",INDEX('سجل التحفيز'!$D$5:$D$2004,MATCH($K297,'سجل التحفيز'!$X$5:$X$2004,0)))</f>
        <v/>
      </c>
      <c r="Q297" s="9">
        <f>IF($K297="","",INDEX('سجل التحفيز'!$E$5:$E$2004,MATCH($K297,'سجل التحفيز'!$X$5:$X$2004,0)))</f>
        <v/>
      </c>
      <c r="R297" s="9">
        <f>IF($K297="","",INDEX('سجل التحفيز'!$F$5:$F$2004,MATCH($K297,'سجل التحفيز'!$X$5:$X$2004,0)))</f>
        <v/>
      </c>
      <c r="S297" s="35">
        <f>IF($K297="","",INDEX('سجل التحفيز'!$G$5:$G$2004,MATCH($K297,'سجل التحفيز'!$X$5:$X$2004,0)))</f>
        <v/>
      </c>
    </row>
    <row r="298">
      <c r="K298" s="36">
        <f>IF(261&gt;$B$10,"",261)</f>
        <v/>
      </c>
      <c r="L298" s="37">
        <f>IF($K298="","",INDEX('سجل التحفيز'!$A$5:$A$2004,MATCH($K298,'سجل التحفيز'!$X$5:$X$2004,0)))</f>
        <v/>
      </c>
      <c r="M298" s="9">
        <f>IF($K298="","",INDEX('سجل التحفيز'!$B$5:$B$2004,MATCH($K298,'سجل التحفيز'!$X$5:$X$2004,0)))</f>
        <v/>
      </c>
      <c r="N298" s="9">
        <f>IF($K298="","",INDEX('سجل التحفيز'!$M$5:$M$2004,MATCH($K298,'سجل التحفيز'!$X$5:$X$2004,0)))</f>
        <v/>
      </c>
      <c r="O298" s="9">
        <f>IF($K298="","",INDEX('سجل التحفيز'!$C$5:$C$2004,MATCH($K298,'سجل التحفيز'!$X$5:$X$2004,0)))</f>
        <v/>
      </c>
      <c r="P298" s="36">
        <f>IF($K298="","",INDEX('سجل التحفيز'!$D$5:$D$2004,MATCH($K298,'سجل التحفيز'!$X$5:$X$2004,0)))</f>
        <v/>
      </c>
      <c r="Q298" s="9">
        <f>IF($K298="","",INDEX('سجل التحفيز'!$E$5:$E$2004,MATCH($K298,'سجل التحفيز'!$X$5:$X$2004,0)))</f>
        <v/>
      </c>
      <c r="R298" s="9">
        <f>IF($K298="","",INDEX('سجل التحفيز'!$F$5:$F$2004,MATCH($K298,'سجل التحفيز'!$X$5:$X$2004,0)))</f>
        <v/>
      </c>
      <c r="S298" s="35">
        <f>IF($K298="","",INDEX('سجل التحفيز'!$G$5:$G$2004,MATCH($K298,'سجل التحفيز'!$X$5:$X$2004,0)))</f>
        <v/>
      </c>
    </row>
    <row r="299">
      <c r="K299" s="36">
        <f>IF(262&gt;$B$10,"",262)</f>
        <v/>
      </c>
      <c r="L299" s="37">
        <f>IF($K299="","",INDEX('سجل التحفيز'!$A$5:$A$2004,MATCH($K299,'سجل التحفيز'!$X$5:$X$2004,0)))</f>
        <v/>
      </c>
      <c r="M299" s="9">
        <f>IF($K299="","",INDEX('سجل التحفيز'!$B$5:$B$2004,MATCH($K299,'سجل التحفيز'!$X$5:$X$2004,0)))</f>
        <v/>
      </c>
      <c r="N299" s="9">
        <f>IF($K299="","",INDEX('سجل التحفيز'!$M$5:$M$2004,MATCH($K299,'سجل التحفيز'!$X$5:$X$2004,0)))</f>
        <v/>
      </c>
      <c r="O299" s="9">
        <f>IF($K299="","",INDEX('سجل التحفيز'!$C$5:$C$2004,MATCH($K299,'سجل التحفيز'!$X$5:$X$2004,0)))</f>
        <v/>
      </c>
      <c r="P299" s="36">
        <f>IF($K299="","",INDEX('سجل التحفيز'!$D$5:$D$2004,MATCH($K299,'سجل التحفيز'!$X$5:$X$2004,0)))</f>
        <v/>
      </c>
      <c r="Q299" s="9">
        <f>IF($K299="","",INDEX('سجل التحفيز'!$E$5:$E$2004,MATCH($K299,'سجل التحفيز'!$X$5:$X$2004,0)))</f>
        <v/>
      </c>
      <c r="R299" s="9">
        <f>IF($K299="","",INDEX('سجل التحفيز'!$F$5:$F$2004,MATCH($K299,'سجل التحفيز'!$X$5:$X$2004,0)))</f>
        <v/>
      </c>
      <c r="S299" s="35">
        <f>IF($K299="","",INDEX('سجل التحفيز'!$G$5:$G$2004,MATCH($K299,'سجل التحفيز'!$X$5:$X$2004,0)))</f>
        <v/>
      </c>
    </row>
    <row r="300">
      <c r="K300" s="36">
        <f>IF(263&gt;$B$10,"",263)</f>
        <v/>
      </c>
      <c r="L300" s="37">
        <f>IF($K300="","",INDEX('سجل التحفيز'!$A$5:$A$2004,MATCH($K300,'سجل التحفيز'!$X$5:$X$2004,0)))</f>
        <v/>
      </c>
      <c r="M300" s="9">
        <f>IF($K300="","",INDEX('سجل التحفيز'!$B$5:$B$2004,MATCH($K300,'سجل التحفيز'!$X$5:$X$2004,0)))</f>
        <v/>
      </c>
      <c r="N300" s="9">
        <f>IF($K300="","",INDEX('سجل التحفيز'!$M$5:$M$2004,MATCH($K300,'سجل التحفيز'!$X$5:$X$2004,0)))</f>
        <v/>
      </c>
      <c r="O300" s="9">
        <f>IF($K300="","",INDEX('سجل التحفيز'!$C$5:$C$2004,MATCH($K300,'سجل التحفيز'!$X$5:$X$2004,0)))</f>
        <v/>
      </c>
      <c r="P300" s="36">
        <f>IF($K300="","",INDEX('سجل التحفيز'!$D$5:$D$2004,MATCH($K300,'سجل التحفيز'!$X$5:$X$2004,0)))</f>
        <v/>
      </c>
      <c r="Q300" s="9">
        <f>IF($K300="","",INDEX('سجل التحفيز'!$E$5:$E$2004,MATCH($K300,'سجل التحفيز'!$X$5:$X$2004,0)))</f>
        <v/>
      </c>
      <c r="R300" s="9">
        <f>IF($K300="","",INDEX('سجل التحفيز'!$F$5:$F$2004,MATCH($K300,'سجل التحفيز'!$X$5:$X$2004,0)))</f>
        <v/>
      </c>
      <c r="S300" s="35">
        <f>IF($K300="","",INDEX('سجل التحفيز'!$G$5:$G$2004,MATCH($K300,'سجل التحفيز'!$X$5:$X$2004,0)))</f>
        <v/>
      </c>
    </row>
    <row r="301">
      <c r="K301" s="36">
        <f>IF(264&gt;$B$10,"",264)</f>
        <v/>
      </c>
      <c r="L301" s="37">
        <f>IF($K301="","",INDEX('سجل التحفيز'!$A$5:$A$2004,MATCH($K301,'سجل التحفيز'!$X$5:$X$2004,0)))</f>
        <v/>
      </c>
      <c r="M301" s="9">
        <f>IF($K301="","",INDEX('سجل التحفيز'!$B$5:$B$2004,MATCH($K301,'سجل التحفيز'!$X$5:$X$2004,0)))</f>
        <v/>
      </c>
      <c r="N301" s="9">
        <f>IF($K301="","",INDEX('سجل التحفيز'!$M$5:$M$2004,MATCH($K301,'سجل التحفيز'!$X$5:$X$2004,0)))</f>
        <v/>
      </c>
      <c r="O301" s="9">
        <f>IF($K301="","",INDEX('سجل التحفيز'!$C$5:$C$2004,MATCH($K301,'سجل التحفيز'!$X$5:$X$2004,0)))</f>
        <v/>
      </c>
      <c r="P301" s="36">
        <f>IF($K301="","",INDEX('سجل التحفيز'!$D$5:$D$2004,MATCH($K301,'سجل التحفيز'!$X$5:$X$2004,0)))</f>
        <v/>
      </c>
      <c r="Q301" s="9">
        <f>IF($K301="","",INDEX('سجل التحفيز'!$E$5:$E$2004,MATCH($K301,'سجل التحفيز'!$X$5:$X$2004,0)))</f>
        <v/>
      </c>
      <c r="R301" s="9">
        <f>IF($K301="","",INDEX('سجل التحفيز'!$F$5:$F$2004,MATCH($K301,'سجل التحفيز'!$X$5:$X$2004,0)))</f>
        <v/>
      </c>
      <c r="S301" s="35">
        <f>IF($K301="","",INDEX('سجل التحفيز'!$G$5:$G$2004,MATCH($K301,'سجل التحفيز'!$X$5:$X$2004,0)))</f>
        <v/>
      </c>
    </row>
    <row r="302">
      <c r="K302" s="36">
        <f>IF(265&gt;$B$10,"",265)</f>
        <v/>
      </c>
      <c r="L302" s="37">
        <f>IF($K302="","",INDEX('سجل التحفيز'!$A$5:$A$2004,MATCH($K302,'سجل التحفيز'!$X$5:$X$2004,0)))</f>
        <v/>
      </c>
      <c r="M302" s="9">
        <f>IF($K302="","",INDEX('سجل التحفيز'!$B$5:$B$2004,MATCH($K302,'سجل التحفيز'!$X$5:$X$2004,0)))</f>
        <v/>
      </c>
      <c r="N302" s="9">
        <f>IF($K302="","",INDEX('سجل التحفيز'!$M$5:$M$2004,MATCH($K302,'سجل التحفيز'!$X$5:$X$2004,0)))</f>
        <v/>
      </c>
      <c r="O302" s="9">
        <f>IF($K302="","",INDEX('سجل التحفيز'!$C$5:$C$2004,MATCH($K302,'سجل التحفيز'!$X$5:$X$2004,0)))</f>
        <v/>
      </c>
      <c r="P302" s="36">
        <f>IF($K302="","",INDEX('سجل التحفيز'!$D$5:$D$2004,MATCH($K302,'سجل التحفيز'!$X$5:$X$2004,0)))</f>
        <v/>
      </c>
      <c r="Q302" s="9">
        <f>IF($K302="","",INDEX('سجل التحفيز'!$E$5:$E$2004,MATCH($K302,'سجل التحفيز'!$X$5:$X$2004,0)))</f>
        <v/>
      </c>
      <c r="R302" s="9">
        <f>IF($K302="","",INDEX('سجل التحفيز'!$F$5:$F$2004,MATCH($K302,'سجل التحفيز'!$X$5:$X$2004,0)))</f>
        <v/>
      </c>
      <c r="S302" s="35">
        <f>IF($K302="","",INDEX('سجل التحفيز'!$G$5:$G$2004,MATCH($K302,'سجل التحفيز'!$X$5:$X$2004,0)))</f>
        <v/>
      </c>
    </row>
    <row r="303">
      <c r="K303" s="36">
        <f>IF(266&gt;$B$10,"",266)</f>
        <v/>
      </c>
      <c r="L303" s="37">
        <f>IF($K303="","",INDEX('سجل التحفيز'!$A$5:$A$2004,MATCH($K303,'سجل التحفيز'!$X$5:$X$2004,0)))</f>
        <v/>
      </c>
      <c r="M303" s="9">
        <f>IF($K303="","",INDEX('سجل التحفيز'!$B$5:$B$2004,MATCH($K303,'سجل التحفيز'!$X$5:$X$2004,0)))</f>
        <v/>
      </c>
      <c r="N303" s="9">
        <f>IF($K303="","",INDEX('سجل التحفيز'!$M$5:$M$2004,MATCH($K303,'سجل التحفيز'!$X$5:$X$2004,0)))</f>
        <v/>
      </c>
      <c r="O303" s="9">
        <f>IF($K303="","",INDEX('سجل التحفيز'!$C$5:$C$2004,MATCH($K303,'سجل التحفيز'!$X$5:$X$2004,0)))</f>
        <v/>
      </c>
      <c r="P303" s="36">
        <f>IF($K303="","",INDEX('سجل التحفيز'!$D$5:$D$2004,MATCH($K303,'سجل التحفيز'!$X$5:$X$2004,0)))</f>
        <v/>
      </c>
      <c r="Q303" s="9">
        <f>IF($K303="","",INDEX('سجل التحفيز'!$E$5:$E$2004,MATCH($K303,'سجل التحفيز'!$X$5:$X$2004,0)))</f>
        <v/>
      </c>
      <c r="R303" s="9">
        <f>IF($K303="","",INDEX('سجل التحفيز'!$F$5:$F$2004,MATCH($K303,'سجل التحفيز'!$X$5:$X$2004,0)))</f>
        <v/>
      </c>
      <c r="S303" s="35">
        <f>IF($K303="","",INDEX('سجل التحفيز'!$G$5:$G$2004,MATCH($K303,'سجل التحفيز'!$X$5:$X$2004,0)))</f>
        <v/>
      </c>
    </row>
    <row r="304">
      <c r="K304" s="36">
        <f>IF(267&gt;$B$10,"",267)</f>
        <v/>
      </c>
      <c r="L304" s="37">
        <f>IF($K304="","",INDEX('سجل التحفيز'!$A$5:$A$2004,MATCH($K304,'سجل التحفيز'!$X$5:$X$2004,0)))</f>
        <v/>
      </c>
      <c r="M304" s="9">
        <f>IF($K304="","",INDEX('سجل التحفيز'!$B$5:$B$2004,MATCH($K304,'سجل التحفيز'!$X$5:$X$2004,0)))</f>
        <v/>
      </c>
      <c r="N304" s="9">
        <f>IF($K304="","",INDEX('سجل التحفيز'!$M$5:$M$2004,MATCH($K304,'سجل التحفيز'!$X$5:$X$2004,0)))</f>
        <v/>
      </c>
      <c r="O304" s="9">
        <f>IF($K304="","",INDEX('سجل التحفيز'!$C$5:$C$2004,MATCH($K304,'سجل التحفيز'!$X$5:$X$2004,0)))</f>
        <v/>
      </c>
      <c r="P304" s="36">
        <f>IF($K304="","",INDEX('سجل التحفيز'!$D$5:$D$2004,MATCH($K304,'سجل التحفيز'!$X$5:$X$2004,0)))</f>
        <v/>
      </c>
      <c r="Q304" s="9">
        <f>IF($K304="","",INDEX('سجل التحفيز'!$E$5:$E$2004,MATCH($K304,'سجل التحفيز'!$X$5:$X$2004,0)))</f>
        <v/>
      </c>
      <c r="R304" s="9">
        <f>IF($K304="","",INDEX('سجل التحفيز'!$F$5:$F$2004,MATCH($K304,'سجل التحفيز'!$X$5:$X$2004,0)))</f>
        <v/>
      </c>
      <c r="S304" s="35">
        <f>IF($K304="","",INDEX('سجل التحفيز'!$G$5:$G$2004,MATCH($K304,'سجل التحفيز'!$X$5:$X$2004,0)))</f>
        <v/>
      </c>
    </row>
    <row r="305">
      <c r="K305" s="36">
        <f>IF(268&gt;$B$10,"",268)</f>
        <v/>
      </c>
      <c r="L305" s="37">
        <f>IF($K305="","",INDEX('سجل التحفيز'!$A$5:$A$2004,MATCH($K305,'سجل التحفيز'!$X$5:$X$2004,0)))</f>
        <v/>
      </c>
      <c r="M305" s="9">
        <f>IF($K305="","",INDEX('سجل التحفيز'!$B$5:$B$2004,MATCH($K305,'سجل التحفيز'!$X$5:$X$2004,0)))</f>
        <v/>
      </c>
      <c r="N305" s="9">
        <f>IF($K305="","",INDEX('سجل التحفيز'!$M$5:$M$2004,MATCH($K305,'سجل التحفيز'!$X$5:$X$2004,0)))</f>
        <v/>
      </c>
      <c r="O305" s="9">
        <f>IF($K305="","",INDEX('سجل التحفيز'!$C$5:$C$2004,MATCH($K305,'سجل التحفيز'!$X$5:$X$2004,0)))</f>
        <v/>
      </c>
      <c r="P305" s="36">
        <f>IF($K305="","",INDEX('سجل التحفيز'!$D$5:$D$2004,MATCH($K305,'سجل التحفيز'!$X$5:$X$2004,0)))</f>
        <v/>
      </c>
      <c r="Q305" s="9">
        <f>IF($K305="","",INDEX('سجل التحفيز'!$E$5:$E$2004,MATCH($K305,'سجل التحفيز'!$X$5:$X$2004,0)))</f>
        <v/>
      </c>
      <c r="R305" s="9">
        <f>IF($K305="","",INDEX('سجل التحفيز'!$F$5:$F$2004,MATCH($K305,'سجل التحفيز'!$X$5:$X$2004,0)))</f>
        <v/>
      </c>
      <c r="S305" s="35">
        <f>IF($K305="","",INDEX('سجل التحفيز'!$G$5:$G$2004,MATCH($K305,'سجل التحفيز'!$X$5:$X$2004,0)))</f>
        <v/>
      </c>
    </row>
    <row r="306">
      <c r="K306" s="36">
        <f>IF(269&gt;$B$10,"",269)</f>
        <v/>
      </c>
      <c r="L306" s="37">
        <f>IF($K306="","",INDEX('سجل التحفيز'!$A$5:$A$2004,MATCH($K306,'سجل التحفيز'!$X$5:$X$2004,0)))</f>
        <v/>
      </c>
      <c r="M306" s="9">
        <f>IF($K306="","",INDEX('سجل التحفيز'!$B$5:$B$2004,MATCH($K306,'سجل التحفيز'!$X$5:$X$2004,0)))</f>
        <v/>
      </c>
      <c r="N306" s="9">
        <f>IF($K306="","",INDEX('سجل التحفيز'!$M$5:$M$2004,MATCH($K306,'سجل التحفيز'!$X$5:$X$2004,0)))</f>
        <v/>
      </c>
      <c r="O306" s="9">
        <f>IF($K306="","",INDEX('سجل التحفيز'!$C$5:$C$2004,MATCH($K306,'سجل التحفيز'!$X$5:$X$2004,0)))</f>
        <v/>
      </c>
      <c r="P306" s="36">
        <f>IF($K306="","",INDEX('سجل التحفيز'!$D$5:$D$2004,MATCH($K306,'سجل التحفيز'!$X$5:$X$2004,0)))</f>
        <v/>
      </c>
      <c r="Q306" s="9">
        <f>IF($K306="","",INDEX('سجل التحفيز'!$E$5:$E$2004,MATCH($K306,'سجل التحفيز'!$X$5:$X$2004,0)))</f>
        <v/>
      </c>
      <c r="R306" s="9">
        <f>IF($K306="","",INDEX('سجل التحفيز'!$F$5:$F$2004,MATCH($K306,'سجل التحفيز'!$X$5:$X$2004,0)))</f>
        <v/>
      </c>
      <c r="S306" s="35">
        <f>IF($K306="","",INDEX('سجل التحفيز'!$G$5:$G$2004,MATCH($K306,'سجل التحفيز'!$X$5:$X$2004,0)))</f>
        <v/>
      </c>
    </row>
    <row r="307">
      <c r="K307" s="36">
        <f>IF(270&gt;$B$10,"",270)</f>
        <v/>
      </c>
      <c r="L307" s="37">
        <f>IF($K307="","",INDEX('سجل التحفيز'!$A$5:$A$2004,MATCH($K307,'سجل التحفيز'!$X$5:$X$2004,0)))</f>
        <v/>
      </c>
      <c r="M307" s="9">
        <f>IF($K307="","",INDEX('سجل التحفيز'!$B$5:$B$2004,MATCH($K307,'سجل التحفيز'!$X$5:$X$2004,0)))</f>
        <v/>
      </c>
      <c r="N307" s="9">
        <f>IF($K307="","",INDEX('سجل التحفيز'!$M$5:$M$2004,MATCH($K307,'سجل التحفيز'!$X$5:$X$2004,0)))</f>
        <v/>
      </c>
      <c r="O307" s="9">
        <f>IF($K307="","",INDEX('سجل التحفيز'!$C$5:$C$2004,MATCH($K307,'سجل التحفيز'!$X$5:$X$2004,0)))</f>
        <v/>
      </c>
      <c r="P307" s="36">
        <f>IF($K307="","",INDEX('سجل التحفيز'!$D$5:$D$2004,MATCH($K307,'سجل التحفيز'!$X$5:$X$2004,0)))</f>
        <v/>
      </c>
      <c r="Q307" s="9">
        <f>IF($K307="","",INDEX('سجل التحفيز'!$E$5:$E$2004,MATCH($K307,'سجل التحفيز'!$X$5:$X$2004,0)))</f>
        <v/>
      </c>
      <c r="R307" s="9">
        <f>IF($K307="","",INDEX('سجل التحفيز'!$F$5:$F$2004,MATCH($K307,'سجل التحفيز'!$X$5:$X$2004,0)))</f>
        <v/>
      </c>
      <c r="S307" s="35">
        <f>IF($K307="","",INDEX('سجل التحفيز'!$G$5:$G$2004,MATCH($K307,'سجل التحفيز'!$X$5:$X$2004,0)))</f>
        <v/>
      </c>
    </row>
    <row r="308">
      <c r="K308" s="36">
        <f>IF(271&gt;$B$10,"",271)</f>
        <v/>
      </c>
      <c r="L308" s="37">
        <f>IF($K308="","",INDEX('سجل التحفيز'!$A$5:$A$2004,MATCH($K308,'سجل التحفيز'!$X$5:$X$2004,0)))</f>
        <v/>
      </c>
      <c r="M308" s="9">
        <f>IF($K308="","",INDEX('سجل التحفيز'!$B$5:$B$2004,MATCH($K308,'سجل التحفيز'!$X$5:$X$2004,0)))</f>
        <v/>
      </c>
      <c r="N308" s="9">
        <f>IF($K308="","",INDEX('سجل التحفيز'!$M$5:$M$2004,MATCH($K308,'سجل التحفيز'!$X$5:$X$2004,0)))</f>
        <v/>
      </c>
      <c r="O308" s="9">
        <f>IF($K308="","",INDEX('سجل التحفيز'!$C$5:$C$2004,MATCH($K308,'سجل التحفيز'!$X$5:$X$2004,0)))</f>
        <v/>
      </c>
      <c r="P308" s="36">
        <f>IF($K308="","",INDEX('سجل التحفيز'!$D$5:$D$2004,MATCH($K308,'سجل التحفيز'!$X$5:$X$2004,0)))</f>
        <v/>
      </c>
      <c r="Q308" s="9">
        <f>IF($K308="","",INDEX('سجل التحفيز'!$E$5:$E$2004,MATCH($K308,'سجل التحفيز'!$X$5:$X$2004,0)))</f>
        <v/>
      </c>
      <c r="R308" s="9">
        <f>IF($K308="","",INDEX('سجل التحفيز'!$F$5:$F$2004,MATCH($K308,'سجل التحفيز'!$X$5:$X$2004,0)))</f>
        <v/>
      </c>
      <c r="S308" s="35">
        <f>IF($K308="","",INDEX('سجل التحفيز'!$G$5:$G$2004,MATCH($K308,'سجل التحفيز'!$X$5:$X$2004,0)))</f>
        <v/>
      </c>
    </row>
    <row r="309">
      <c r="K309" s="36">
        <f>IF(272&gt;$B$10,"",272)</f>
        <v/>
      </c>
      <c r="L309" s="37">
        <f>IF($K309="","",INDEX('سجل التحفيز'!$A$5:$A$2004,MATCH($K309,'سجل التحفيز'!$X$5:$X$2004,0)))</f>
        <v/>
      </c>
      <c r="M309" s="9">
        <f>IF($K309="","",INDEX('سجل التحفيز'!$B$5:$B$2004,MATCH($K309,'سجل التحفيز'!$X$5:$X$2004,0)))</f>
        <v/>
      </c>
      <c r="N309" s="9">
        <f>IF($K309="","",INDEX('سجل التحفيز'!$M$5:$M$2004,MATCH($K309,'سجل التحفيز'!$X$5:$X$2004,0)))</f>
        <v/>
      </c>
      <c r="O309" s="9">
        <f>IF($K309="","",INDEX('سجل التحفيز'!$C$5:$C$2004,MATCH($K309,'سجل التحفيز'!$X$5:$X$2004,0)))</f>
        <v/>
      </c>
      <c r="P309" s="36">
        <f>IF($K309="","",INDEX('سجل التحفيز'!$D$5:$D$2004,MATCH($K309,'سجل التحفيز'!$X$5:$X$2004,0)))</f>
        <v/>
      </c>
      <c r="Q309" s="9">
        <f>IF($K309="","",INDEX('سجل التحفيز'!$E$5:$E$2004,MATCH($K309,'سجل التحفيز'!$X$5:$X$2004,0)))</f>
        <v/>
      </c>
      <c r="R309" s="9">
        <f>IF($K309="","",INDEX('سجل التحفيز'!$F$5:$F$2004,MATCH($K309,'سجل التحفيز'!$X$5:$X$2004,0)))</f>
        <v/>
      </c>
      <c r="S309" s="35">
        <f>IF($K309="","",INDEX('سجل التحفيز'!$G$5:$G$2004,MATCH($K309,'سجل التحفيز'!$X$5:$X$2004,0)))</f>
        <v/>
      </c>
    </row>
    <row r="310">
      <c r="K310" s="36">
        <f>IF(273&gt;$B$10,"",273)</f>
        <v/>
      </c>
      <c r="L310" s="37">
        <f>IF($K310="","",INDEX('سجل التحفيز'!$A$5:$A$2004,MATCH($K310,'سجل التحفيز'!$X$5:$X$2004,0)))</f>
        <v/>
      </c>
      <c r="M310" s="9">
        <f>IF($K310="","",INDEX('سجل التحفيز'!$B$5:$B$2004,MATCH($K310,'سجل التحفيز'!$X$5:$X$2004,0)))</f>
        <v/>
      </c>
      <c r="N310" s="9">
        <f>IF($K310="","",INDEX('سجل التحفيز'!$M$5:$M$2004,MATCH($K310,'سجل التحفيز'!$X$5:$X$2004,0)))</f>
        <v/>
      </c>
      <c r="O310" s="9">
        <f>IF($K310="","",INDEX('سجل التحفيز'!$C$5:$C$2004,MATCH($K310,'سجل التحفيز'!$X$5:$X$2004,0)))</f>
        <v/>
      </c>
      <c r="P310" s="36">
        <f>IF($K310="","",INDEX('سجل التحفيز'!$D$5:$D$2004,MATCH($K310,'سجل التحفيز'!$X$5:$X$2004,0)))</f>
        <v/>
      </c>
      <c r="Q310" s="9">
        <f>IF($K310="","",INDEX('سجل التحفيز'!$E$5:$E$2004,MATCH($K310,'سجل التحفيز'!$X$5:$X$2004,0)))</f>
        <v/>
      </c>
      <c r="R310" s="9">
        <f>IF($K310="","",INDEX('سجل التحفيز'!$F$5:$F$2004,MATCH($K310,'سجل التحفيز'!$X$5:$X$2004,0)))</f>
        <v/>
      </c>
      <c r="S310" s="35">
        <f>IF($K310="","",INDEX('سجل التحفيز'!$G$5:$G$2004,MATCH($K310,'سجل التحفيز'!$X$5:$X$2004,0)))</f>
        <v/>
      </c>
    </row>
    <row r="311">
      <c r="K311" s="36">
        <f>IF(274&gt;$B$10,"",274)</f>
        <v/>
      </c>
      <c r="L311" s="37">
        <f>IF($K311="","",INDEX('سجل التحفيز'!$A$5:$A$2004,MATCH($K311,'سجل التحفيز'!$X$5:$X$2004,0)))</f>
        <v/>
      </c>
      <c r="M311" s="9">
        <f>IF($K311="","",INDEX('سجل التحفيز'!$B$5:$B$2004,MATCH($K311,'سجل التحفيز'!$X$5:$X$2004,0)))</f>
        <v/>
      </c>
      <c r="N311" s="9">
        <f>IF($K311="","",INDEX('سجل التحفيز'!$M$5:$M$2004,MATCH($K311,'سجل التحفيز'!$X$5:$X$2004,0)))</f>
        <v/>
      </c>
      <c r="O311" s="9">
        <f>IF($K311="","",INDEX('سجل التحفيز'!$C$5:$C$2004,MATCH($K311,'سجل التحفيز'!$X$5:$X$2004,0)))</f>
        <v/>
      </c>
      <c r="P311" s="36">
        <f>IF($K311="","",INDEX('سجل التحفيز'!$D$5:$D$2004,MATCH($K311,'سجل التحفيز'!$X$5:$X$2004,0)))</f>
        <v/>
      </c>
      <c r="Q311" s="9">
        <f>IF($K311="","",INDEX('سجل التحفيز'!$E$5:$E$2004,MATCH($K311,'سجل التحفيز'!$X$5:$X$2004,0)))</f>
        <v/>
      </c>
      <c r="R311" s="9">
        <f>IF($K311="","",INDEX('سجل التحفيز'!$F$5:$F$2004,MATCH($K311,'سجل التحفيز'!$X$5:$X$2004,0)))</f>
        <v/>
      </c>
      <c r="S311" s="35">
        <f>IF($K311="","",INDEX('سجل التحفيز'!$G$5:$G$2004,MATCH($K311,'سجل التحفيز'!$X$5:$X$2004,0)))</f>
        <v/>
      </c>
    </row>
    <row r="312">
      <c r="K312" s="36">
        <f>IF(275&gt;$B$10,"",275)</f>
        <v/>
      </c>
      <c r="L312" s="37">
        <f>IF($K312="","",INDEX('سجل التحفيز'!$A$5:$A$2004,MATCH($K312,'سجل التحفيز'!$X$5:$X$2004,0)))</f>
        <v/>
      </c>
      <c r="M312" s="9">
        <f>IF($K312="","",INDEX('سجل التحفيز'!$B$5:$B$2004,MATCH($K312,'سجل التحفيز'!$X$5:$X$2004,0)))</f>
        <v/>
      </c>
      <c r="N312" s="9">
        <f>IF($K312="","",INDEX('سجل التحفيز'!$M$5:$M$2004,MATCH($K312,'سجل التحفيز'!$X$5:$X$2004,0)))</f>
        <v/>
      </c>
      <c r="O312" s="9">
        <f>IF($K312="","",INDEX('سجل التحفيز'!$C$5:$C$2004,MATCH($K312,'سجل التحفيز'!$X$5:$X$2004,0)))</f>
        <v/>
      </c>
      <c r="P312" s="36">
        <f>IF($K312="","",INDEX('سجل التحفيز'!$D$5:$D$2004,MATCH($K312,'سجل التحفيز'!$X$5:$X$2004,0)))</f>
        <v/>
      </c>
      <c r="Q312" s="9">
        <f>IF($K312="","",INDEX('سجل التحفيز'!$E$5:$E$2004,MATCH($K312,'سجل التحفيز'!$X$5:$X$2004,0)))</f>
        <v/>
      </c>
      <c r="R312" s="9">
        <f>IF($K312="","",INDEX('سجل التحفيز'!$F$5:$F$2004,MATCH($K312,'سجل التحفيز'!$X$5:$X$2004,0)))</f>
        <v/>
      </c>
      <c r="S312" s="35">
        <f>IF($K312="","",INDEX('سجل التحفيز'!$G$5:$G$2004,MATCH($K312,'سجل التحفيز'!$X$5:$X$2004,0)))</f>
        <v/>
      </c>
    </row>
    <row r="313">
      <c r="K313" s="36">
        <f>IF(276&gt;$B$10,"",276)</f>
        <v/>
      </c>
      <c r="L313" s="37">
        <f>IF($K313="","",INDEX('سجل التحفيز'!$A$5:$A$2004,MATCH($K313,'سجل التحفيز'!$X$5:$X$2004,0)))</f>
        <v/>
      </c>
      <c r="M313" s="9">
        <f>IF($K313="","",INDEX('سجل التحفيز'!$B$5:$B$2004,MATCH($K313,'سجل التحفيز'!$X$5:$X$2004,0)))</f>
        <v/>
      </c>
      <c r="N313" s="9">
        <f>IF($K313="","",INDEX('سجل التحفيز'!$M$5:$M$2004,MATCH($K313,'سجل التحفيز'!$X$5:$X$2004,0)))</f>
        <v/>
      </c>
      <c r="O313" s="9">
        <f>IF($K313="","",INDEX('سجل التحفيز'!$C$5:$C$2004,MATCH($K313,'سجل التحفيز'!$X$5:$X$2004,0)))</f>
        <v/>
      </c>
      <c r="P313" s="36">
        <f>IF($K313="","",INDEX('سجل التحفيز'!$D$5:$D$2004,MATCH($K313,'سجل التحفيز'!$X$5:$X$2004,0)))</f>
        <v/>
      </c>
      <c r="Q313" s="9">
        <f>IF($K313="","",INDEX('سجل التحفيز'!$E$5:$E$2004,MATCH($K313,'سجل التحفيز'!$X$5:$X$2004,0)))</f>
        <v/>
      </c>
      <c r="R313" s="9">
        <f>IF($K313="","",INDEX('سجل التحفيز'!$F$5:$F$2004,MATCH($K313,'سجل التحفيز'!$X$5:$X$2004,0)))</f>
        <v/>
      </c>
      <c r="S313" s="35">
        <f>IF($K313="","",INDEX('سجل التحفيز'!$G$5:$G$2004,MATCH($K313,'سجل التحفيز'!$X$5:$X$2004,0)))</f>
        <v/>
      </c>
    </row>
    <row r="314">
      <c r="K314" s="36">
        <f>IF(277&gt;$B$10,"",277)</f>
        <v/>
      </c>
      <c r="L314" s="37">
        <f>IF($K314="","",INDEX('سجل التحفيز'!$A$5:$A$2004,MATCH($K314,'سجل التحفيز'!$X$5:$X$2004,0)))</f>
        <v/>
      </c>
      <c r="M314" s="9">
        <f>IF($K314="","",INDEX('سجل التحفيز'!$B$5:$B$2004,MATCH($K314,'سجل التحفيز'!$X$5:$X$2004,0)))</f>
        <v/>
      </c>
      <c r="N314" s="9">
        <f>IF($K314="","",INDEX('سجل التحفيز'!$M$5:$M$2004,MATCH($K314,'سجل التحفيز'!$X$5:$X$2004,0)))</f>
        <v/>
      </c>
      <c r="O314" s="9">
        <f>IF($K314="","",INDEX('سجل التحفيز'!$C$5:$C$2004,MATCH($K314,'سجل التحفيز'!$X$5:$X$2004,0)))</f>
        <v/>
      </c>
      <c r="P314" s="36">
        <f>IF($K314="","",INDEX('سجل التحفيز'!$D$5:$D$2004,MATCH($K314,'سجل التحفيز'!$X$5:$X$2004,0)))</f>
        <v/>
      </c>
      <c r="Q314" s="9">
        <f>IF($K314="","",INDEX('سجل التحفيز'!$E$5:$E$2004,MATCH($K314,'سجل التحفيز'!$X$5:$X$2004,0)))</f>
        <v/>
      </c>
      <c r="R314" s="9">
        <f>IF($K314="","",INDEX('سجل التحفيز'!$F$5:$F$2004,MATCH($K314,'سجل التحفيز'!$X$5:$X$2004,0)))</f>
        <v/>
      </c>
      <c r="S314" s="35">
        <f>IF($K314="","",INDEX('سجل التحفيز'!$G$5:$G$2004,MATCH($K314,'سجل التحفيز'!$X$5:$X$2004,0)))</f>
        <v/>
      </c>
    </row>
    <row r="315">
      <c r="K315" s="36">
        <f>IF(278&gt;$B$10,"",278)</f>
        <v/>
      </c>
      <c r="L315" s="37">
        <f>IF($K315="","",INDEX('سجل التحفيز'!$A$5:$A$2004,MATCH($K315,'سجل التحفيز'!$X$5:$X$2004,0)))</f>
        <v/>
      </c>
      <c r="M315" s="9">
        <f>IF($K315="","",INDEX('سجل التحفيز'!$B$5:$B$2004,MATCH($K315,'سجل التحفيز'!$X$5:$X$2004,0)))</f>
        <v/>
      </c>
      <c r="N315" s="9">
        <f>IF($K315="","",INDEX('سجل التحفيز'!$M$5:$M$2004,MATCH($K315,'سجل التحفيز'!$X$5:$X$2004,0)))</f>
        <v/>
      </c>
      <c r="O315" s="9">
        <f>IF($K315="","",INDEX('سجل التحفيز'!$C$5:$C$2004,MATCH($K315,'سجل التحفيز'!$X$5:$X$2004,0)))</f>
        <v/>
      </c>
      <c r="P315" s="36">
        <f>IF($K315="","",INDEX('سجل التحفيز'!$D$5:$D$2004,MATCH($K315,'سجل التحفيز'!$X$5:$X$2004,0)))</f>
        <v/>
      </c>
      <c r="Q315" s="9">
        <f>IF($K315="","",INDEX('سجل التحفيز'!$E$5:$E$2004,MATCH($K315,'سجل التحفيز'!$X$5:$X$2004,0)))</f>
        <v/>
      </c>
      <c r="R315" s="9">
        <f>IF($K315="","",INDEX('سجل التحفيز'!$F$5:$F$2004,MATCH($K315,'سجل التحفيز'!$X$5:$X$2004,0)))</f>
        <v/>
      </c>
      <c r="S315" s="35">
        <f>IF($K315="","",INDEX('سجل التحفيز'!$G$5:$G$2004,MATCH($K315,'سجل التحفيز'!$X$5:$X$2004,0)))</f>
        <v/>
      </c>
    </row>
    <row r="316">
      <c r="K316" s="36">
        <f>IF(279&gt;$B$10,"",279)</f>
        <v/>
      </c>
      <c r="L316" s="37">
        <f>IF($K316="","",INDEX('سجل التحفيز'!$A$5:$A$2004,MATCH($K316,'سجل التحفيز'!$X$5:$X$2004,0)))</f>
        <v/>
      </c>
      <c r="M316" s="9">
        <f>IF($K316="","",INDEX('سجل التحفيز'!$B$5:$B$2004,MATCH($K316,'سجل التحفيز'!$X$5:$X$2004,0)))</f>
        <v/>
      </c>
      <c r="N316" s="9">
        <f>IF($K316="","",INDEX('سجل التحفيز'!$M$5:$M$2004,MATCH($K316,'سجل التحفيز'!$X$5:$X$2004,0)))</f>
        <v/>
      </c>
      <c r="O316" s="9">
        <f>IF($K316="","",INDEX('سجل التحفيز'!$C$5:$C$2004,MATCH($K316,'سجل التحفيز'!$X$5:$X$2004,0)))</f>
        <v/>
      </c>
      <c r="P316" s="36">
        <f>IF($K316="","",INDEX('سجل التحفيز'!$D$5:$D$2004,MATCH($K316,'سجل التحفيز'!$X$5:$X$2004,0)))</f>
        <v/>
      </c>
      <c r="Q316" s="9">
        <f>IF($K316="","",INDEX('سجل التحفيز'!$E$5:$E$2004,MATCH($K316,'سجل التحفيز'!$X$5:$X$2004,0)))</f>
        <v/>
      </c>
      <c r="R316" s="9">
        <f>IF($K316="","",INDEX('سجل التحفيز'!$F$5:$F$2004,MATCH($K316,'سجل التحفيز'!$X$5:$X$2004,0)))</f>
        <v/>
      </c>
      <c r="S316" s="35">
        <f>IF($K316="","",INDEX('سجل التحفيز'!$G$5:$G$2004,MATCH($K316,'سجل التحفيز'!$X$5:$X$2004,0)))</f>
        <v/>
      </c>
    </row>
    <row r="317">
      <c r="K317" s="36">
        <f>IF(280&gt;$B$10,"",280)</f>
        <v/>
      </c>
      <c r="L317" s="37">
        <f>IF($K317="","",INDEX('سجل التحفيز'!$A$5:$A$2004,MATCH($K317,'سجل التحفيز'!$X$5:$X$2004,0)))</f>
        <v/>
      </c>
      <c r="M317" s="9">
        <f>IF($K317="","",INDEX('سجل التحفيز'!$B$5:$B$2004,MATCH($K317,'سجل التحفيز'!$X$5:$X$2004,0)))</f>
        <v/>
      </c>
      <c r="N317" s="9">
        <f>IF($K317="","",INDEX('سجل التحفيز'!$M$5:$M$2004,MATCH($K317,'سجل التحفيز'!$X$5:$X$2004,0)))</f>
        <v/>
      </c>
      <c r="O317" s="9">
        <f>IF($K317="","",INDEX('سجل التحفيز'!$C$5:$C$2004,MATCH($K317,'سجل التحفيز'!$X$5:$X$2004,0)))</f>
        <v/>
      </c>
      <c r="P317" s="36">
        <f>IF($K317="","",INDEX('سجل التحفيز'!$D$5:$D$2004,MATCH($K317,'سجل التحفيز'!$X$5:$X$2004,0)))</f>
        <v/>
      </c>
      <c r="Q317" s="9">
        <f>IF($K317="","",INDEX('سجل التحفيز'!$E$5:$E$2004,MATCH($K317,'سجل التحفيز'!$X$5:$X$2004,0)))</f>
        <v/>
      </c>
      <c r="R317" s="9">
        <f>IF($K317="","",INDEX('سجل التحفيز'!$F$5:$F$2004,MATCH($K317,'سجل التحفيز'!$X$5:$X$2004,0)))</f>
        <v/>
      </c>
      <c r="S317" s="35">
        <f>IF($K317="","",INDEX('سجل التحفيز'!$G$5:$G$2004,MATCH($K317,'سجل التحفيز'!$X$5:$X$2004,0)))</f>
        <v/>
      </c>
    </row>
    <row r="318">
      <c r="K318" s="36">
        <f>IF(281&gt;$B$10,"",281)</f>
        <v/>
      </c>
      <c r="L318" s="37">
        <f>IF($K318="","",INDEX('سجل التحفيز'!$A$5:$A$2004,MATCH($K318,'سجل التحفيز'!$X$5:$X$2004,0)))</f>
        <v/>
      </c>
      <c r="M318" s="9">
        <f>IF($K318="","",INDEX('سجل التحفيز'!$B$5:$B$2004,MATCH($K318,'سجل التحفيز'!$X$5:$X$2004,0)))</f>
        <v/>
      </c>
      <c r="N318" s="9">
        <f>IF($K318="","",INDEX('سجل التحفيز'!$M$5:$M$2004,MATCH($K318,'سجل التحفيز'!$X$5:$X$2004,0)))</f>
        <v/>
      </c>
      <c r="O318" s="9">
        <f>IF($K318="","",INDEX('سجل التحفيز'!$C$5:$C$2004,MATCH($K318,'سجل التحفيز'!$X$5:$X$2004,0)))</f>
        <v/>
      </c>
      <c r="P318" s="36">
        <f>IF($K318="","",INDEX('سجل التحفيز'!$D$5:$D$2004,MATCH($K318,'سجل التحفيز'!$X$5:$X$2004,0)))</f>
        <v/>
      </c>
      <c r="Q318" s="9">
        <f>IF($K318="","",INDEX('سجل التحفيز'!$E$5:$E$2004,MATCH($K318,'سجل التحفيز'!$X$5:$X$2004,0)))</f>
        <v/>
      </c>
      <c r="R318" s="9">
        <f>IF($K318="","",INDEX('سجل التحفيز'!$F$5:$F$2004,MATCH($K318,'سجل التحفيز'!$X$5:$X$2004,0)))</f>
        <v/>
      </c>
      <c r="S318" s="35">
        <f>IF($K318="","",INDEX('سجل التحفيز'!$G$5:$G$2004,MATCH($K318,'سجل التحفيز'!$X$5:$X$2004,0)))</f>
        <v/>
      </c>
    </row>
    <row r="319">
      <c r="K319" s="36">
        <f>IF(282&gt;$B$10,"",282)</f>
        <v/>
      </c>
      <c r="L319" s="37">
        <f>IF($K319="","",INDEX('سجل التحفيز'!$A$5:$A$2004,MATCH($K319,'سجل التحفيز'!$X$5:$X$2004,0)))</f>
        <v/>
      </c>
      <c r="M319" s="9">
        <f>IF($K319="","",INDEX('سجل التحفيز'!$B$5:$B$2004,MATCH($K319,'سجل التحفيز'!$X$5:$X$2004,0)))</f>
        <v/>
      </c>
      <c r="N319" s="9">
        <f>IF($K319="","",INDEX('سجل التحفيز'!$M$5:$M$2004,MATCH($K319,'سجل التحفيز'!$X$5:$X$2004,0)))</f>
        <v/>
      </c>
      <c r="O319" s="9">
        <f>IF($K319="","",INDEX('سجل التحفيز'!$C$5:$C$2004,MATCH($K319,'سجل التحفيز'!$X$5:$X$2004,0)))</f>
        <v/>
      </c>
      <c r="P319" s="36">
        <f>IF($K319="","",INDEX('سجل التحفيز'!$D$5:$D$2004,MATCH($K319,'سجل التحفيز'!$X$5:$X$2004,0)))</f>
        <v/>
      </c>
      <c r="Q319" s="9">
        <f>IF($K319="","",INDEX('سجل التحفيز'!$E$5:$E$2004,MATCH($K319,'سجل التحفيز'!$X$5:$X$2004,0)))</f>
        <v/>
      </c>
      <c r="R319" s="9">
        <f>IF($K319="","",INDEX('سجل التحفيز'!$F$5:$F$2004,MATCH($K319,'سجل التحفيز'!$X$5:$X$2004,0)))</f>
        <v/>
      </c>
      <c r="S319" s="35">
        <f>IF($K319="","",INDEX('سجل التحفيز'!$G$5:$G$2004,MATCH($K319,'سجل التحفيز'!$X$5:$X$2004,0)))</f>
        <v/>
      </c>
    </row>
    <row r="320">
      <c r="K320" s="36">
        <f>IF(283&gt;$B$10,"",283)</f>
        <v/>
      </c>
      <c r="L320" s="37">
        <f>IF($K320="","",INDEX('سجل التحفيز'!$A$5:$A$2004,MATCH($K320,'سجل التحفيز'!$X$5:$X$2004,0)))</f>
        <v/>
      </c>
      <c r="M320" s="9">
        <f>IF($K320="","",INDEX('سجل التحفيز'!$B$5:$B$2004,MATCH($K320,'سجل التحفيز'!$X$5:$X$2004,0)))</f>
        <v/>
      </c>
      <c r="N320" s="9">
        <f>IF($K320="","",INDEX('سجل التحفيز'!$M$5:$M$2004,MATCH($K320,'سجل التحفيز'!$X$5:$X$2004,0)))</f>
        <v/>
      </c>
      <c r="O320" s="9">
        <f>IF($K320="","",INDEX('سجل التحفيز'!$C$5:$C$2004,MATCH($K320,'سجل التحفيز'!$X$5:$X$2004,0)))</f>
        <v/>
      </c>
      <c r="P320" s="36">
        <f>IF($K320="","",INDEX('سجل التحفيز'!$D$5:$D$2004,MATCH($K320,'سجل التحفيز'!$X$5:$X$2004,0)))</f>
        <v/>
      </c>
      <c r="Q320" s="9">
        <f>IF($K320="","",INDEX('سجل التحفيز'!$E$5:$E$2004,MATCH($K320,'سجل التحفيز'!$X$5:$X$2004,0)))</f>
        <v/>
      </c>
      <c r="R320" s="9">
        <f>IF($K320="","",INDEX('سجل التحفيز'!$F$5:$F$2004,MATCH($K320,'سجل التحفيز'!$X$5:$X$2004,0)))</f>
        <v/>
      </c>
      <c r="S320" s="35">
        <f>IF($K320="","",INDEX('سجل التحفيز'!$G$5:$G$2004,MATCH($K320,'سجل التحفيز'!$X$5:$X$2004,0)))</f>
        <v/>
      </c>
    </row>
    <row r="321">
      <c r="K321" s="36">
        <f>IF(284&gt;$B$10,"",284)</f>
        <v/>
      </c>
      <c r="L321" s="37">
        <f>IF($K321="","",INDEX('سجل التحفيز'!$A$5:$A$2004,MATCH($K321,'سجل التحفيز'!$X$5:$X$2004,0)))</f>
        <v/>
      </c>
      <c r="M321" s="9">
        <f>IF($K321="","",INDEX('سجل التحفيز'!$B$5:$B$2004,MATCH($K321,'سجل التحفيز'!$X$5:$X$2004,0)))</f>
        <v/>
      </c>
      <c r="N321" s="9">
        <f>IF($K321="","",INDEX('سجل التحفيز'!$M$5:$M$2004,MATCH($K321,'سجل التحفيز'!$X$5:$X$2004,0)))</f>
        <v/>
      </c>
      <c r="O321" s="9">
        <f>IF($K321="","",INDEX('سجل التحفيز'!$C$5:$C$2004,MATCH($K321,'سجل التحفيز'!$X$5:$X$2004,0)))</f>
        <v/>
      </c>
      <c r="P321" s="36">
        <f>IF($K321="","",INDEX('سجل التحفيز'!$D$5:$D$2004,MATCH($K321,'سجل التحفيز'!$X$5:$X$2004,0)))</f>
        <v/>
      </c>
      <c r="Q321" s="9">
        <f>IF($K321="","",INDEX('سجل التحفيز'!$E$5:$E$2004,MATCH($K321,'سجل التحفيز'!$X$5:$X$2004,0)))</f>
        <v/>
      </c>
      <c r="R321" s="9">
        <f>IF($K321="","",INDEX('سجل التحفيز'!$F$5:$F$2004,MATCH($K321,'سجل التحفيز'!$X$5:$X$2004,0)))</f>
        <v/>
      </c>
      <c r="S321" s="35">
        <f>IF($K321="","",INDEX('سجل التحفيز'!$G$5:$G$2004,MATCH($K321,'سجل التحفيز'!$X$5:$X$2004,0)))</f>
        <v/>
      </c>
    </row>
    <row r="322">
      <c r="K322" s="36">
        <f>IF(285&gt;$B$10,"",285)</f>
        <v/>
      </c>
      <c r="L322" s="37">
        <f>IF($K322="","",INDEX('سجل التحفيز'!$A$5:$A$2004,MATCH($K322,'سجل التحفيز'!$X$5:$X$2004,0)))</f>
        <v/>
      </c>
      <c r="M322" s="9">
        <f>IF($K322="","",INDEX('سجل التحفيز'!$B$5:$B$2004,MATCH($K322,'سجل التحفيز'!$X$5:$X$2004,0)))</f>
        <v/>
      </c>
      <c r="N322" s="9">
        <f>IF($K322="","",INDEX('سجل التحفيز'!$M$5:$M$2004,MATCH($K322,'سجل التحفيز'!$X$5:$X$2004,0)))</f>
        <v/>
      </c>
      <c r="O322" s="9">
        <f>IF($K322="","",INDEX('سجل التحفيز'!$C$5:$C$2004,MATCH($K322,'سجل التحفيز'!$X$5:$X$2004,0)))</f>
        <v/>
      </c>
      <c r="P322" s="36">
        <f>IF($K322="","",INDEX('سجل التحفيز'!$D$5:$D$2004,MATCH($K322,'سجل التحفيز'!$X$5:$X$2004,0)))</f>
        <v/>
      </c>
      <c r="Q322" s="9">
        <f>IF($K322="","",INDEX('سجل التحفيز'!$E$5:$E$2004,MATCH($K322,'سجل التحفيز'!$X$5:$X$2004,0)))</f>
        <v/>
      </c>
      <c r="R322" s="9">
        <f>IF($K322="","",INDEX('سجل التحفيز'!$F$5:$F$2004,MATCH($K322,'سجل التحفيز'!$X$5:$X$2004,0)))</f>
        <v/>
      </c>
      <c r="S322" s="35">
        <f>IF($K322="","",INDEX('سجل التحفيز'!$G$5:$G$2004,MATCH($K322,'سجل التحفيز'!$X$5:$X$2004,0)))</f>
        <v/>
      </c>
    </row>
    <row r="323">
      <c r="K323" s="36">
        <f>IF(286&gt;$B$10,"",286)</f>
        <v/>
      </c>
      <c r="L323" s="37">
        <f>IF($K323="","",INDEX('سجل التحفيز'!$A$5:$A$2004,MATCH($K323,'سجل التحفيز'!$X$5:$X$2004,0)))</f>
        <v/>
      </c>
      <c r="M323" s="9">
        <f>IF($K323="","",INDEX('سجل التحفيز'!$B$5:$B$2004,MATCH($K323,'سجل التحفيز'!$X$5:$X$2004,0)))</f>
        <v/>
      </c>
      <c r="N323" s="9">
        <f>IF($K323="","",INDEX('سجل التحفيز'!$M$5:$M$2004,MATCH($K323,'سجل التحفيز'!$X$5:$X$2004,0)))</f>
        <v/>
      </c>
      <c r="O323" s="9">
        <f>IF($K323="","",INDEX('سجل التحفيز'!$C$5:$C$2004,MATCH($K323,'سجل التحفيز'!$X$5:$X$2004,0)))</f>
        <v/>
      </c>
      <c r="P323" s="36">
        <f>IF($K323="","",INDEX('سجل التحفيز'!$D$5:$D$2004,MATCH($K323,'سجل التحفيز'!$X$5:$X$2004,0)))</f>
        <v/>
      </c>
      <c r="Q323" s="9">
        <f>IF($K323="","",INDEX('سجل التحفيز'!$E$5:$E$2004,MATCH($K323,'سجل التحفيز'!$X$5:$X$2004,0)))</f>
        <v/>
      </c>
      <c r="R323" s="9">
        <f>IF($K323="","",INDEX('سجل التحفيز'!$F$5:$F$2004,MATCH($K323,'سجل التحفيز'!$X$5:$X$2004,0)))</f>
        <v/>
      </c>
      <c r="S323" s="35">
        <f>IF($K323="","",INDEX('سجل التحفيز'!$G$5:$G$2004,MATCH($K323,'سجل التحفيز'!$X$5:$X$2004,0)))</f>
        <v/>
      </c>
    </row>
    <row r="324">
      <c r="K324" s="36">
        <f>IF(287&gt;$B$10,"",287)</f>
        <v/>
      </c>
      <c r="L324" s="37">
        <f>IF($K324="","",INDEX('سجل التحفيز'!$A$5:$A$2004,MATCH($K324,'سجل التحفيز'!$X$5:$X$2004,0)))</f>
        <v/>
      </c>
      <c r="M324" s="9">
        <f>IF($K324="","",INDEX('سجل التحفيز'!$B$5:$B$2004,MATCH($K324,'سجل التحفيز'!$X$5:$X$2004,0)))</f>
        <v/>
      </c>
      <c r="N324" s="9">
        <f>IF($K324="","",INDEX('سجل التحفيز'!$M$5:$M$2004,MATCH($K324,'سجل التحفيز'!$X$5:$X$2004,0)))</f>
        <v/>
      </c>
      <c r="O324" s="9">
        <f>IF($K324="","",INDEX('سجل التحفيز'!$C$5:$C$2004,MATCH($K324,'سجل التحفيز'!$X$5:$X$2004,0)))</f>
        <v/>
      </c>
      <c r="P324" s="36">
        <f>IF($K324="","",INDEX('سجل التحفيز'!$D$5:$D$2004,MATCH($K324,'سجل التحفيز'!$X$5:$X$2004,0)))</f>
        <v/>
      </c>
      <c r="Q324" s="9">
        <f>IF($K324="","",INDEX('سجل التحفيز'!$E$5:$E$2004,MATCH($K324,'سجل التحفيز'!$X$5:$X$2004,0)))</f>
        <v/>
      </c>
      <c r="R324" s="9">
        <f>IF($K324="","",INDEX('سجل التحفيز'!$F$5:$F$2004,MATCH($K324,'سجل التحفيز'!$X$5:$X$2004,0)))</f>
        <v/>
      </c>
      <c r="S324" s="35">
        <f>IF($K324="","",INDEX('سجل التحفيز'!$G$5:$G$2004,MATCH($K324,'سجل التحفيز'!$X$5:$X$2004,0)))</f>
        <v/>
      </c>
    </row>
    <row r="325">
      <c r="K325" s="36">
        <f>IF(288&gt;$B$10,"",288)</f>
        <v/>
      </c>
      <c r="L325" s="37">
        <f>IF($K325="","",INDEX('سجل التحفيز'!$A$5:$A$2004,MATCH($K325,'سجل التحفيز'!$X$5:$X$2004,0)))</f>
        <v/>
      </c>
      <c r="M325" s="9">
        <f>IF($K325="","",INDEX('سجل التحفيز'!$B$5:$B$2004,MATCH($K325,'سجل التحفيز'!$X$5:$X$2004,0)))</f>
        <v/>
      </c>
      <c r="N325" s="9">
        <f>IF($K325="","",INDEX('سجل التحفيز'!$M$5:$M$2004,MATCH($K325,'سجل التحفيز'!$X$5:$X$2004,0)))</f>
        <v/>
      </c>
      <c r="O325" s="9">
        <f>IF($K325="","",INDEX('سجل التحفيز'!$C$5:$C$2004,MATCH($K325,'سجل التحفيز'!$X$5:$X$2004,0)))</f>
        <v/>
      </c>
      <c r="P325" s="36">
        <f>IF($K325="","",INDEX('سجل التحفيز'!$D$5:$D$2004,MATCH($K325,'سجل التحفيز'!$X$5:$X$2004,0)))</f>
        <v/>
      </c>
      <c r="Q325" s="9">
        <f>IF($K325="","",INDEX('سجل التحفيز'!$E$5:$E$2004,MATCH($K325,'سجل التحفيز'!$X$5:$X$2004,0)))</f>
        <v/>
      </c>
      <c r="R325" s="9">
        <f>IF($K325="","",INDEX('سجل التحفيز'!$F$5:$F$2004,MATCH($K325,'سجل التحفيز'!$X$5:$X$2004,0)))</f>
        <v/>
      </c>
      <c r="S325" s="35">
        <f>IF($K325="","",INDEX('سجل التحفيز'!$G$5:$G$2004,MATCH($K325,'سجل التحفيز'!$X$5:$X$2004,0)))</f>
        <v/>
      </c>
    </row>
    <row r="326">
      <c r="K326" s="36">
        <f>IF(289&gt;$B$10,"",289)</f>
        <v/>
      </c>
      <c r="L326" s="37">
        <f>IF($K326="","",INDEX('سجل التحفيز'!$A$5:$A$2004,MATCH($K326,'سجل التحفيز'!$X$5:$X$2004,0)))</f>
        <v/>
      </c>
      <c r="M326" s="9">
        <f>IF($K326="","",INDEX('سجل التحفيز'!$B$5:$B$2004,MATCH($K326,'سجل التحفيز'!$X$5:$X$2004,0)))</f>
        <v/>
      </c>
      <c r="N326" s="9">
        <f>IF($K326="","",INDEX('سجل التحفيز'!$M$5:$M$2004,MATCH($K326,'سجل التحفيز'!$X$5:$X$2004,0)))</f>
        <v/>
      </c>
      <c r="O326" s="9">
        <f>IF($K326="","",INDEX('سجل التحفيز'!$C$5:$C$2004,MATCH($K326,'سجل التحفيز'!$X$5:$X$2004,0)))</f>
        <v/>
      </c>
      <c r="P326" s="36">
        <f>IF($K326="","",INDEX('سجل التحفيز'!$D$5:$D$2004,MATCH($K326,'سجل التحفيز'!$X$5:$X$2004,0)))</f>
        <v/>
      </c>
      <c r="Q326" s="9">
        <f>IF($K326="","",INDEX('سجل التحفيز'!$E$5:$E$2004,MATCH($K326,'سجل التحفيز'!$X$5:$X$2004,0)))</f>
        <v/>
      </c>
      <c r="R326" s="9">
        <f>IF($K326="","",INDEX('سجل التحفيز'!$F$5:$F$2004,MATCH($K326,'سجل التحفيز'!$X$5:$X$2004,0)))</f>
        <v/>
      </c>
      <c r="S326" s="35">
        <f>IF($K326="","",INDEX('سجل التحفيز'!$G$5:$G$2004,MATCH($K326,'سجل التحفيز'!$X$5:$X$2004,0)))</f>
        <v/>
      </c>
    </row>
    <row r="327">
      <c r="K327" s="36">
        <f>IF(290&gt;$B$10,"",290)</f>
        <v/>
      </c>
      <c r="L327" s="37">
        <f>IF($K327="","",INDEX('سجل التحفيز'!$A$5:$A$2004,MATCH($K327,'سجل التحفيز'!$X$5:$X$2004,0)))</f>
        <v/>
      </c>
      <c r="M327" s="9">
        <f>IF($K327="","",INDEX('سجل التحفيز'!$B$5:$B$2004,MATCH($K327,'سجل التحفيز'!$X$5:$X$2004,0)))</f>
        <v/>
      </c>
      <c r="N327" s="9">
        <f>IF($K327="","",INDEX('سجل التحفيز'!$M$5:$M$2004,MATCH($K327,'سجل التحفيز'!$X$5:$X$2004,0)))</f>
        <v/>
      </c>
      <c r="O327" s="9">
        <f>IF($K327="","",INDEX('سجل التحفيز'!$C$5:$C$2004,MATCH($K327,'سجل التحفيز'!$X$5:$X$2004,0)))</f>
        <v/>
      </c>
      <c r="P327" s="36">
        <f>IF($K327="","",INDEX('سجل التحفيز'!$D$5:$D$2004,MATCH($K327,'سجل التحفيز'!$X$5:$X$2004,0)))</f>
        <v/>
      </c>
      <c r="Q327" s="9">
        <f>IF($K327="","",INDEX('سجل التحفيز'!$E$5:$E$2004,MATCH($K327,'سجل التحفيز'!$X$5:$X$2004,0)))</f>
        <v/>
      </c>
      <c r="R327" s="9">
        <f>IF($K327="","",INDEX('سجل التحفيز'!$F$5:$F$2004,MATCH($K327,'سجل التحفيز'!$X$5:$X$2004,0)))</f>
        <v/>
      </c>
      <c r="S327" s="35">
        <f>IF($K327="","",INDEX('سجل التحفيز'!$G$5:$G$2004,MATCH($K327,'سجل التحفيز'!$X$5:$X$2004,0)))</f>
        <v/>
      </c>
    </row>
    <row r="328">
      <c r="K328" s="36">
        <f>IF(291&gt;$B$10,"",291)</f>
        <v/>
      </c>
      <c r="L328" s="37">
        <f>IF($K328="","",INDEX('سجل التحفيز'!$A$5:$A$2004,MATCH($K328,'سجل التحفيز'!$X$5:$X$2004,0)))</f>
        <v/>
      </c>
      <c r="M328" s="9">
        <f>IF($K328="","",INDEX('سجل التحفيز'!$B$5:$B$2004,MATCH($K328,'سجل التحفيز'!$X$5:$X$2004,0)))</f>
        <v/>
      </c>
      <c r="N328" s="9">
        <f>IF($K328="","",INDEX('سجل التحفيز'!$M$5:$M$2004,MATCH($K328,'سجل التحفيز'!$X$5:$X$2004,0)))</f>
        <v/>
      </c>
      <c r="O328" s="9">
        <f>IF($K328="","",INDEX('سجل التحفيز'!$C$5:$C$2004,MATCH($K328,'سجل التحفيز'!$X$5:$X$2004,0)))</f>
        <v/>
      </c>
      <c r="P328" s="36">
        <f>IF($K328="","",INDEX('سجل التحفيز'!$D$5:$D$2004,MATCH($K328,'سجل التحفيز'!$X$5:$X$2004,0)))</f>
        <v/>
      </c>
      <c r="Q328" s="9">
        <f>IF($K328="","",INDEX('سجل التحفيز'!$E$5:$E$2004,MATCH($K328,'سجل التحفيز'!$X$5:$X$2004,0)))</f>
        <v/>
      </c>
      <c r="R328" s="9">
        <f>IF($K328="","",INDEX('سجل التحفيز'!$F$5:$F$2004,MATCH($K328,'سجل التحفيز'!$X$5:$X$2004,0)))</f>
        <v/>
      </c>
      <c r="S328" s="35">
        <f>IF($K328="","",INDEX('سجل التحفيز'!$G$5:$G$2004,MATCH($K328,'سجل التحفيز'!$X$5:$X$2004,0)))</f>
        <v/>
      </c>
    </row>
    <row r="329">
      <c r="K329" s="36">
        <f>IF(292&gt;$B$10,"",292)</f>
        <v/>
      </c>
      <c r="L329" s="37">
        <f>IF($K329="","",INDEX('سجل التحفيز'!$A$5:$A$2004,MATCH($K329,'سجل التحفيز'!$X$5:$X$2004,0)))</f>
        <v/>
      </c>
      <c r="M329" s="9">
        <f>IF($K329="","",INDEX('سجل التحفيز'!$B$5:$B$2004,MATCH($K329,'سجل التحفيز'!$X$5:$X$2004,0)))</f>
        <v/>
      </c>
      <c r="N329" s="9">
        <f>IF($K329="","",INDEX('سجل التحفيز'!$M$5:$M$2004,MATCH($K329,'سجل التحفيز'!$X$5:$X$2004,0)))</f>
        <v/>
      </c>
      <c r="O329" s="9">
        <f>IF($K329="","",INDEX('سجل التحفيز'!$C$5:$C$2004,MATCH($K329,'سجل التحفيز'!$X$5:$X$2004,0)))</f>
        <v/>
      </c>
      <c r="P329" s="36">
        <f>IF($K329="","",INDEX('سجل التحفيز'!$D$5:$D$2004,MATCH($K329,'سجل التحفيز'!$X$5:$X$2004,0)))</f>
        <v/>
      </c>
      <c r="Q329" s="9">
        <f>IF($K329="","",INDEX('سجل التحفيز'!$E$5:$E$2004,MATCH($K329,'سجل التحفيز'!$X$5:$X$2004,0)))</f>
        <v/>
      </c>
      <c r="R329" s="9">
        <f>IF($K329="","",INDEX('سجل التحفيز'!$F$5:$F$2004,MATCH($K329,'سجل التحفيز'!$X$5:$X$2004,0)))</f>
        <v/>
      </c>
      <c r="S329" s="35">
        <f>IF($K329="","",INDEX('سجل التحفيز'!$G$5:$G$2004,MATCH($K329,'سجل التحفيز'!$X$5:$X$2004,0)))</f>
        <v/>
      </c>
    </row>
    <row r="330">
      <c r="K330" s="36">
        <f>IF(293&gt;$B$10,"",293)</f>
        <v/>
      </c>
      <c r="L330" s="37">
        <f>IF($K330="","",INDEX('سجل التحفيز'!$A$5:$A$2004,MATCH($K330,'سجل التحفيز'!$X$5:$X$2004,0)))</f>
        <v/>
      </c>
      <c r="M330" s="9">
        <f>IF($K330="","",INDEX('سجل التحفيز'!$B$5:$B$2004,MATCH($K330,'سجل التحفيز'!$X$5:$X$2004,0)))</f>
        <v/>
      </c>
      <c r="N330" s="9">
        <f>IF($K330="","",INDEX('سجل التحفيز'!$M$5:$M$2004,MATCH($K330,'سجل التحفيز'!$X$5:$X$2004,0)))</f>
        <v/>
      </c>
      <c r="O330" s="9">
        <f>IF($K330="","",INDEX('سجل التحفيز'!$C$5:$C$2004,MATCH($K330,'سجل التحفيز'!$X$5:$X$2004,0)))</f>
        <v/>
      </c>
      <c r="P330" s="36">
        <f>IF($K330="","",INDEX('سجل التحفيز'!$D$5:$D$2004,MATCH($K330,'سجل التحفيز'!$X$5:$X$2004,0)))</f>
        <v/>
      </c>
      <c r="Q330" s="9">
        <f>IF($K330="","",INDEX('سجل التحفيز'!$E$5:$E$2004,MATCH($K330,'سجل التحفيز'!$X$5:$X$2004,0)))</f>
        <v/>
      </c>
      <c r="R330" s="9">
        <f>IF($K330="","",INDEX('سجل التحفيز'!$F$5:$F$2004,MATCH($K330,'سجل التحفيز'!$X$5:$X$2004,0)))</f>
        <v/>
      </c>
      <c r="S330" s="35">
        <f>IF($K330="","",INDEX('سجل التحفيز'!$G$5:$G$2004,MATCH($K330,'سجل التحفيز'!$X$5:$X$2004,0)))</f>
        <v/>
      </c>
    </row>
    <row r="331">
      <c r="K331" s="36">
        <f>IF(294&gt;$B$10,"",294)</f>
        <v/>
      </c>
      <c r="L331" s="37">
        <f>IF($K331="","",INDEX('سجل التحفيز'!$A$5:$A$2004,MATCH($K331,'سجل التحفيز'!$X$5:$X$2004,0)))</f>
        <v/>
      </c>
      <c r="M331" s="9">
        <f>IF($K331="","",INDEX('سجل التحفيز'!$B$5:$B$2004,MATCH($K331,'سجل التحفيز'!$X$5:$X$2004,0)))</f>
        <v/>
      </c>
      <c r="N331" s="9">
        <f>IF($K331="","",INDEX('سجل التحفيز'!$M$5:$M$2004,MATCH($K331,'سجل التحفيز'!$X$5:$X$2004,0)))</f>
        <v/>
      </c>
      <c r="O331" s="9">
        <f>IF($K331="","",INDEX('سجل التحفيز'!$C$5:$C$2004,MATCH($K331,'سجل التحفيز'!$X$5:$X$2004,0)))</f>
        <v/>
      </c>
      <c r="P331" s="36">
        <f>IF($K331="","",INDEX('سجل التحفيز'!$D$5:$D$2004,MATCH($K331,'سجل التحفيز'!$X$5:$X$2004,0)))</f>
        <v/>
      </c>
      <c r="Q331" s="9">
        <f>IF($K331="","",INDEX('سجل التحفيز'!$E$5:$E$2004,MATCH($K331,'سجل التحفيز'!$X$5:$X$2004,0)))</f>
        <v/>
      </c>
      <c r="R331" s="9">
        <f>IF($K331="","",INDEX('سجل التحفيز'!$F$5:$F$2004,MATCH($K331,'سجل التحفيز'!$X$5:$X$2004,0)))</f>
        <v/>
      </c>
      <c r="S331" s="35">
        <f>IF($K331="","",INDEX('سجل التحفيز'!$G$5:$G$2004,MATCH($K331,'سجل التحفيز'!$X$5:$X$2004,0)))</f>
        <v/>
      </c>
    </row>
    <row r="332">
      <c r="K332" s="36">
        <f>IF(295&gt;$B$10,"",295)</f>
        <v/>
      </c>
      <c r="L332" s="37">
        <f>IF($K332="","",INDEX('سجل التحفيز'!$A$5:$A$2004,MATCH($K332,'سجل التحفيز'!$X$5:$X$2004,0)))</f>
        <v/>
      </c>
      <c r="M332" s="9">
        <f>IF($K332="","",INDEX('سجل التحفيز'!$B$5:$B$2004,MATCH($K332,'سجل التحفيز'!$X$5:$X$2004,0)))</f>
        <v/>
      </c>
      <c r="N332" s="9">
        <f>IF($K332="","",INDEX('سجل التحفيز'!$M$5:$M$2004,MATCH($K332,'سجل التحفيز'!$X$5:$X$2004,0)))</f>
        <v/>
      </c>
      <c r="O332" s="9">
        <f>IF($K332="","",INDEX('سجل التحفيز'!$C$5:$C$2004,MATCH($K332,'سجل التحفيز'!$X$5:$X$2004,0)))</f>
        <v/>
      </c>
      <c r="P332" s="36">
        <f>IF($K332="","",INDEX('سجل التحفيز'!$D$5:$D$2004,MATCH($K332,'سجل التحفيز'!$X$5:$X$2004,0)))</f>
        <v/>
      </c>
      <c r="Q332" s="9">
        <f>IF($K332="","",INDEX('سجل التحفيز'!$E$5:$E$2004,MATCH($K332,'سجل التحفيز'!$X$5:$X$2004,0)))</f>
        <v/>
      </c>
      <c r="R332" s="9">
        <f>IF($K332="","",INDEX('سجل التحفيز'!$F$5:$F$2004,MATCH($K332,'سجل التحفيز'!$X$5:$X$2004,0)))</f>
        <v/>
      </c>
      <c r="S332" s="35">
        <f>IF($K332="","",INDEX('سجل التحفيز'!$G$5:$G$2004,MATCH($K332,'سجل التحفيز'!$X$5:$X$2004,0)))</f>
        <v/>
      </c>
    </row>
    <row r="333">
      <c r="K333" s="36">
        <f>IF(296&gt;$B$10,"",296)</f>
        <v/>
      </c>
      <c r="L333" s="37">
        <f>IF($K333="","",INDEX('سجل التحفيز'!$A$5:$A$2004,MATCH($K333,'سجل التحفيز'!$X$5:$X$2004,0)))</f>
        <v/>
      </c>
      <c r="M333" s="9">
        <f>IF($K333="","",INDEX('سجل التحفيز'!$B$5:$B$2004,MATCH($K333,'سجل التحفيز'!$X$5:$X$2004,0)))</f>
        <v/>
      </c>
      <c r="N333" s="9">
        <f>IF($K333="","",INDEX('سجل التحفيز'!$M$5:$M$2004,MATCH($K333,'سجل التحفيز'!$X$5:$X$2004,0)))</f>
        <v/>
      </c>
      <c r="O333" s="9">
        <f>IF($K333="","",INDEX('سجل التحفيز'!$C$5:$C$2004,MATCH($K333,'سجل التحفيز'!$X$5:$X$2004,0)))</f>
        <v/>
      </c>
      <c r="P333" s="36">
        <f>IF($K333="","",INDEX('سجل التحفيز'!$D$5:$D$2004,MATCH($K333,'سجل التحفيز'!$X$5:$X$2004,0)))</f>
        <v/>
      </c>
      <c r="Q333" s="9">
        <f>IF($K333="","",INDEX('سجل التحفيز'!$E$5:$E$2004,MATCH($K333,'سجل التحفيز'!$X$5:$X$2004,0)))</f>
        <v/>
      </c>
      <c r="R333" s="9">
        <f>IF($K333="","",INDEX('سجل التحفيز'!$F$5:$F$2004,MATCH($K333,'سجل التحفيز'!$X$5:$X$2004,0)))</f>
        <v/>
      </c>
      <c r="S333" s="35">
        <f>IF($K333="","",INDEX('سجل التحفيز'!$G$5:$G$2004,MATCH($K333,'سجل التحفيز'!$X$5:$X$2004,0)))</f>
        <v/>
      </c>
    </row>
    <row r="334">
      <c r="K334" s="36">
        <f>IF(297&gt;$B$10,"",297)</f>
        <v/>
      </c>
      <c r="L334" s="37">
        <f>IF($K334="","",INDEX('سجل التحفيز'!$A$5:$A$2004,MATCH($K334,'سجل التحفيز'!$X$5:$X$2004,0)))</f>
        <v/>
      </c>
      <c r="M334" s="9">
        <f>IF($K334="","",INDEX('سجل التحفيز'!$B$5:$B$2004,MATCH($K334,'سجل التحفيز'!$X$5:$X$2004,0)))</f>
        <v/>
      </c>
      <c r="N334" s="9">
        <f>IF($K334="","",INDEX('سجل التحفيز'!$M$5:$M$2004,MATCH($K334,'سجل التحفيز'!$X$5:$X$2004,0)))</f>
        <v/>
      </c>
      <c r="O334" s="9">
        <f>IF($K334="","",INDEX('سجل التحفيز'!$C$5:$C$2004,MATCH($K334,'سجل التحفيز'!$X$5:$X$2004,0)))</f>
        <v/>
      </c>
      <c r="P334" s="36">
        <f>IF($K334="","",INDEX('سجل التحفيز'!$D$5:$D$2004,MATCH($K334,'سجل التحفيز'!$X$5:$X$2004,0)))</f>
        <v/>
      </c>
      <c r="Q334" s="9">
        <f>IF($K334="","",INDEX('سجل التحفيز'!$E$5:$E$2004,MATCH($K334,'سجل التحفيز'!$X$5:$X$2004,0)))</f>
        <v/>
      </c>
      <c r="R334" s="9">
        <f>IF($K334="","",INDEX('سجل التحفيز'!$F$5:$F$2004,MATCH($K334,'سجل التحفيز'!$X$5:$X$2004,0)))</f>
        <v/>
      </c>
      <c r="S334" s="35">
        <f>IF($K334="","",INDEX('سجل التحفيز'!$G$5:$G$2004,MATCH($K334,'سجل التحفيز'!$X$5:$X$2004,0)))</f>
        <v/>
      </c>
    </row>
    <row r="335">
      <c r="K335" s="36">
        <f>IF(298&gt;$B$10,"",298)</f>
        <v/>
      </c>
      <c r="L335" s="37">
        <f>IF($K335="","",INDEX('سجل التحفيز'!$A$5:$A$2004,MATCH($K335,'سجل التحفيز'!$X$5:$X$2004,0)))</f>
        <v/>
      </c>
      <c r="M335" s="9">
        <f>IF($K335="","",INDEX('سجل التحفيز'!$B$5:$B$2004,MATCH($K335,'سجل التحفيز'!$X$5:$X$2004,0)))</f>
        <v/>
      </c>
      <c r="N335" s="9">
        <f>IF($K335="","",INDEX('سجل التحفيز'!$M$5:$M$2004,MATCH($K335,'سجل التحفيز'!$X$5:$X$2004,0)))</f>
        <v/>
      </c>
      <c r="O335" s="9">
        <f>IF($K335="","",INDEX('سجل التحفيز'!$C$5:$C$2004,MATCH($K335,'سجل التحفيز'!$X$5:$X$2004,0)))</f>
        <v/>
      </c>
      <c r="P335" s="36">
        <f>IF($K335="","",INDEX('سجل التحفيز'!$D$5:$D$2004,MATCH($K335,'سجل التحفيز'!$X$5:$X$2004,0)))</f>
        <v/>
      </c>
      <c r="Q335" s="9">
        <f>IF($K335="","",INDEX('سجل التحفيز'!$E$5:$E$2004,MATCH($K335,'سجل التحفيز'!$X$5:$X$2004,0)))</f>
        <v/>
      </c>
      <c r="R335" s="9">
        <f>IF($K335="","",INDEX('سجل التحفيز'!$F$5:$F$2004,MATCH($K335,'سجل التحفيز'!$X$5:$X$2004,0)))</f>
        <v/>
      </c>
      <c r="S335" s="35">
        <f>IF($K335="","",INDEX('سجل التحفيز'!$G$5:$G$2004,MATCH($K335,'سجل التحفيز'!$X$5:$X$2004,0)))</f>
        <v/>
      </c>
    </row>
    <row r="336">
      <c r="K336" s="36">
        <f>IF(299&gt;$B$10,"",299)</f>
        <v/>
      </c>
      <c r="L336" s="37">
        <f>IF($K336="","",INDEX('سجل التحفيز'!$A$5:$A$2004,MATCH($K336,'سجل التحفيز'!$X$5:$X$2004,0)))</f>
        <v/>
      </c>
      <c r="M336" s="9">
        <f>IF($K336="","",INDEX('سجل التحفيز'!$B$5:$B$2004,MATCH($K336,'سجل التحفيز'!$X$5:$X$2004,0)))</f>
        <v/>
      </c>
      <c r="N336" s="9">
        <f>IF($K336="","",INDEX('سجل التحفيز'!$M$5:$M$2004,MATCH($K336,'سجل التحفيز'!$X$5:$X$2004,0)))</f>
        <v/>
      </c>
      <c r="O336" s="9">
        <f>IF($K336="","",INDEX('سجل التحفيز'!$C$5:$C$2004,MATCH($K336,'سجل التحفيز'!$X$5:$X$2004,0)))</f>
        <v/>
      </c>
      <c r="P336" s="36">
        <f>IF($K336="","",INDEX('سجل التحفيز'!$D$5:$D$2004,MATCH($K336,'سجل التحفيز'!$X$5:$X$2004,0)))</f>
        <v/>
      </c>
      <c r="Q336" s="9">
        <f>IF($K336="","",INDEX('سجل التحفيز'!$E$5:$E$2004,MATCH($K336,'سجل التحفيز'!$X$5:$X$2004,0)))</f>
        <v/>
      </c>
      <c r="R336" s="9">
        <f>IF($K336="","",INDEX('سجل التحفيز'!$F$5:$F$2004,MATCH($K336,'سجل التحفيز'!$X$5:$X$2004,0)))</f>
        <v/>
      </c>
      <c r="S336" s="35">
        <f>IF($K336="","",INDEX('سجل التحفيز'!$G$5:$G$2004,MATCH($K336,'سجل التحفيز'!$X$5:$X$2004,0)))</f>
        <v/>
      </c>
    </row>
    <row r="337">
      <c r="K337" s="36">
        <f>IF(300&gt;$B$10,"",300)</f>
        <v/>
      </c>
      <c r="L337" s="37">
        <f>IF($K337="","",INDEX('سجل التحفيز'!$A$5:$A$2004,MATCH($K337,'سجل التحفيز'!$X$5:$X$2004,0)))</f>
        <v/>
      </c>
      <c r="M337" s="9">
        <f>IF($K337="","",INDEX('سجل التحفيز'!$B$5:$B$2004,MATCH($K337,'سجل التحفيز'!$X$5:$X$2004,0)))</f>
        <v/>
      </c>
      <c r="N337" s="9">
        <f>IF($K337="","",INDEX('سجل التحفيز'!$M$5:$M$2004,MATCH($K337,'سجل التحفيز'!$X$5:$X$2004,0)))</f>
        <v/>
      </c>
      <c r="O337" s="9">
        <f>IF($K337="","",INDEX('سجل التحفيز'!$C$5:$C$2004,MATCH($K337,'سجل التحفيز'!$X$5:$X$2004,0)))</f>
        <v/>
      </c>
      <c r="P337" s="36">
        <f>IF($K337="","",INDEX('سجل التحفيز'!$D$5:$D$2004,MATCH($K337,'سجل التحفيز'!$X$5:$X$2004,0)))</f>
        <v/>
      </c>
      <c r="Q337" s="9">
        <f>IF($K337="","",INDEX('سجل التحفيز'!$E$5:$E$2004,MATCH($K337,'سجل التحفيز'!$X$5:$X$2004,0)))</f>
        <v/>
      </c>
      <c r="R337" s="9">
        <f>IF($K337="","",INDEX('سجل التحفيز'!$F$5:$F$2004,MATCH($K337,'سجل التحفيز'!$X$5:$X$2004,0)))</f>
        <v/>
      </c>
      <c r="S337" s="35">
        <f>IF($K337="","",INDEX('سجل التحفيز'!$G$5:$G$2004,MATCH($K337,'سجل التحفيز'!$X$5:$X$2004,0)))</f>
        <v/>
      </c>
    </row>
    <row r="339">
      <c r="K339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38:H187">
    <cfRule type="expression" priority="1" dxfId="3">
      <formula>$B38&lt;&gt;""</formula>
    </cfRule>
    <cfRule type="expression" priority="2" dxfId="1">
      <formula>AND($B38&lt;&gt;"",$G38=1)</formula>
    </cfRule>
  </conditionalFormatting>
  <conditionalFormatting sqref="K38:S337">
    <cfRule type="expression" priority="3" dxfId="3">
      <formula>$K38&lt;&gt;""</formula>
    </cfRule>
    <cfRule type="expression" priority="4" dxfId="4">
      <formula>AND($K38&lt;&gt;"",$P38="ذهبي")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S33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التقرير الشهري — نوفمبر</t>
        </is>
      </c>
    </row>
    <row r="2" ht="30" customHeight="1">
      <c r="A2" s="2" t="inlineStr">
        <is>
          <t>تقرير ثابت لهذا الشهر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شهري</t>
        </is>
      </c>
    </row>
    <row r="6">
      <c r="B6" s="22" t="inlineStr">
        <is>
          <t>الشهر</t>
        </is>
      </c>
      <c r="C6" s="25" t="inlineStr">
        <is>
          <t>نوفمبر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—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التحفيز'!$Y$5:$Y$2004)</f>
        <v/>
      </c>
      <c r="C10" s="28">
        <f>COUNT(الموظفات!$S$5:$S$304)</f>
        <v/>
      </c>
      <c r="D10" s="28">
        <f>COUNTIFS('سجل التحفيز'!$Y$5:$Y$2004,"&gt;0",'سجل التحفيز'!$D$5:$D$2004,"ذهبي")</f>
        <v/>
      </c>
      <c r="E10" s="28">
        <f>COUNTIFS('سجل التحفيز'!$Y$5:$Y$2004,"&gt;0",'سجل التحفيز'!$D$5:$D$2004,"أساسي")</f>
        <v/>
      </c>
      <c r="F10" s="28">
        <f>SUMIFS('سجل التحفيز'!$G$5:$G$2004,'سجل التحفيز'!$Y$5:$Y$2004,"&gt;0")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التحفيز'!$Y$5:$Y$2004,"&gt;0",'سجل التحفيز'!$C$5:$C$2004,B14,'سجل التحفيز'!$D$5:$D$2004,"أساسي")</f>
        <v/>
      </c>
      <c r="D14" s="31">
        <f>COUNTIFS('سجل التحفيز'!$Y$5:$Y$2004,"&gt;0",'سجل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التحفيز'!$Y$5:$Y$2004,"&gt;0",'سجل التحفيز'!$C$5:$C$2004,B14)</f>
        <v/>
      </c>
    </row>
    <row r="15">
      <c r="B15" s="30">
        <f>الإعدادات!A8</f>
        <v/>
      </c>
      <c r="C15" s="31">
        <f>COUNTIFS('سجل التحفيز'!$Y$5:$Y$2004,"&gt;0",'سجل التحفيز'!$C$5:$C$2004,B15,'سجل التحفيز'!$D$5:$D$2004,"أساسي")</f>
        <v/>
      </c>
      <c r="D15" s="31">
        <f>COUNTIFS('سجل التحفيز'!$Y$5:$Y$2004,"&gt;0",'سجل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التحفيز'!$Y$5:$Y$2004,"&gt;0",'سجل التحفيز'!$C$5:$C$2004,B15)</f>
        <v/>
      </c>
    </row>
    <row r="16">
      <c r="B16" s="30">
        <f>الإعدادات!A9</f>
        <v/>
      </c>
      <c r="C16" s="31">
        <f>COUNTIFS('سجل التحفيز'!$Y$5:$Y$2004,"&gt;0",'سجل التحفيز'!$C$5:$C$2004,B16,'سجل التحفيز'!$D$5:$D$2004,"أساسي")</f>
        <v/>
      </c>
      <c r="D16" s="31">
        <f>COUNTIFS('سجل التحفيز'!$Y$5:$Y$2004,"&gt;0",'سجل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التحفيز'!$Y$5:$Y$2004,"&gt;0",'سجل التحفيز'!$C$5:$C$2004,B16)</f>
        <v/>
      </c>
    </row>
    <row r="17">
      <c r="B17" s="30">
        <f>الإعدادات!A10</f>
        <v/>
      </c>
      <c r="C17" s="31">
        <f>COUNTIFS('سجل التحفيز'!$Y$5:$Y$2004,"&gt;0",'سجل التحفيز'!$C$5:$C$2004,B17,'سجل التحفيز'!$D$5:$D$2004,"أساسي")</f>
        <v/>
      </c>
      <c r="D17" s="31">
        <f>COUNTIFS('سجل التحفيز'!$Y$5:$Y$2004,"&gt;0",'سجل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التحفيز'!$Y$5:$Y$2004,"&gt;0",'سجل التحفيز'!$C$5:$C$2004,B17)</f>
        <v/>
      </c>
    </row>
    <row r="18">
      <c r="B18" s="30">
        <f>الإعدادات!A11</f>
        <v/>
      </c>
      <c r="C18" s="31">
        <f>COUNTIFS('سجل التحفيز'!$Y$5:$Y$2004,"&gt;0",'سجل التحفيز'!$C$5:$C$2004,B18,'سجل التحفيز'!$D$5:$D$2004,"أساسي")</f>
        <v/>
      </c>
      <c r="D18" s="31">
        <f>COUNTIFS('سجل التحفيز'!$Y$5:$Y$2004,"&gt;0",'سجل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التحفيز'!$Y$5:$Y$2004,"&gt;0",'سجل التحفيز'!$C$5:$C$2004,B18)</f>
        <v/>
      </c>
    </row>
    <row r="19">
      <c r="B19" s="30">
        <f>الإعدادات!A12</f>
        <v/>
      </c>
      <c r="C19" s="31">
        <f>COUNTIFS('سجل التحفيز'!$Y$5:$Y$2004,"&gt;0",'سجل التحفيز'!$C$5:$C$2004,B19,'سجل التحفيز'!$D$5:$D$2004,"أساسي")</f>
        <v/>
      </c>
      <c r="D19" s="31">
        <f>COUNTIFS('سجل التحفيز'!$Y$5:$Y$2004,"&gt;0",'سجل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التحفيز'!$Y$5:$Y$2004,"&gt;0",'سجل التحفيز'!$C$5:$C$2004,B19)</f>
        <v/>
      </c>
    </row>
    <row r="20">
      <c r="B20" s="30">
        <f>الإعدادات!A13</f>
        <v/>
      </c>
      <c r="C20" s="31">
        <f>COUNTIFS('سجل التحفيز'!$Y$5:$Y$2004,"&gt;0",'سجل التحفيز'!$C$5:$C$2004,B20,'سجل التحفيز'!$D$5:$D$2004,"أساسي")</f>
        <v/>
      </c>
      <c r="D20" s="31">
        <f>COUNTIFS('سجل التحفيز'!$Y$5:$Y$2004,"&gt;0",'سجل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التحفيز'!$Y$5:$Y$2004,"&gt;0",'سجل التحفيز'!$C$5:$C$2004,B20)</f>
        <v/>
      </c>
    </row>
    <row r="21">
      <c r="B21" s="30">
        <f>الإعدادات!A14</f>
        <v/>
      </c>
      <c r="C21" s="31">
        <f>COUNTIFS('سجل التحفيز'!$Y$5:$Y$2004,"&gt;0",'سجل التحفيز'!$C$5:$C$2004,B21,'سجل التحفيز'!$D$5:$D$2004,"أساسي")</f>
        <v/>
      </c>
      <c r="D21" s="31">
        <f>COUNTIFS('سجل التحفيز'!$Y$5:$Y$2004,"&gt;0",'سجل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التحفيز'!$Y$5:$Y$2004,"&gt;0",'سجل التحفيز'!$C$5:$C$2004,B21)</f>
        <v/>
      </c>
    </row>
    <row r="22">
      <c r="B22" s="30">
        <f>الإعدادات!A15</f>
        <v/>
      </c>
      <c r="C22" s="31">
        <f>COUNTIFS('سجل التحفيز'!$Y$5:$Y$2004,"&gt;0",'سجل التحفيز'!$C$5:$C$2004,B22,'سجل التحفيز'!$D$5:$D$2004,"أساسي")</f>
        <v/>
      </c>
      <c r="D22" s="31">
        <f>COUNTIFS('سجل التحفيز'!$Y$5:$Y$2004,"&gt;0",'سجل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التحفيز'!$Y$5:$Y$2004,"&gt;0",'سجل التحفيز'!$C$5:$C$2004,B22)</f>
        <v/>
      </c>
    </row>
    <row r="23">
      <c r="B23" s="30">
        <f>الإعدادات!A16</f>
        <v/>
      </c>
      <c r="C23" s="31">
        <f>COUNTIFS('سجل التحفيز'!$Y$5:$Y$2004,"&gt;0",'سجل التحفيز'!$C$5:$C$2004,B23,'سجل التحفيز'!$D$5:$D$2004,"أساسي")</f>
        <v/>
      </c>
      <c r="D23" s="31">
        <f>COUNTIFS('سجل التحفيز'!$Y$5:$Y$2004,"&gt;0",'سجل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التحفيز'!$Y$5:$Y$2004,"&gt;0",'سجل التحفيز'!$C$5:$C$2004,B23)</f>
        <v/>
      </c>
    </row>
    <row r="24">
      <c r="B24" s="30">
        <f>الإعدادات!A17</f>
        <v/>
      </c>
      <c r="C24" s="31">
        <f>COUNTIFS('سجل التحفيز'!$Y$5:$Y$2004,"&gt;0",'سجل التحفيز'!$C$5:$C$2004,B24,'سجل التحفيز'!$D$5:$D$2004,"أساسي")</f>
        <v/>
      </c>
      <c r="D24" s="31">
        <f>COUNTIFS('سجل التحفيز'!$Y$5:$Y$2004,"&gt;0",'سجل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التحفيز'!$Y$5:$Y$2004,"&gt;0",'سجل التحفيز'!$C$5:$C$2004,B24)</f>
        <v/>
      </c>
    </row>
    <row r="25">
      <c r="B25" s="30">
        <f>الإعدادات!A18</f>
        <v/>
      </c>
      <c r="C25" s="31">
        <f>COUNTIFS('سجل التحفيز'!$Y$5:$Y$2004,"&gt;0",'سجل التحفيز'!$C$5:$C$2004,B25,'سجل التحفيز'!$D$5:$D$2004,"أساسي")</f>
        <v/>
      </c>
      <c r="D25" s="31">
        <f>COUNTIFS('سجل التحفيز'!$Y$5:$Y$2004,"&gt;0",'سجل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التحفيز'!$Y$5:$Y$2004,"&gt;0",'سجل التحفيز'!$C$5:$C$2004,B25)</f>
        <v/>
      </c>
    </row>
    <row r="26">
      <c r="B26" s="30">
        <f>الإعدادات!A19</f>
        <v/>
      </c>
      <c r="C26" s="31">
        <f>COUNTIFS('سجل التحفيز'!$Y$5:$Y$2004,"&gt;0",'سجل التحفيز'!$C$5:$C$2004,B26,'سجل التحفيز'!$D$5:$D$2004,"أساسي")</f>
        <v/>
      </c>
      <c r="D26" s="31">
        <f>COUNTIFS('سجل التحفيز'!$Y$5:$Y$2004,"&gt;0",'سجل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التحفيز'!$Y$5:$Y$2004,"&gt;0",'سجل التحفيز'!$C$5:$C$2004,B26)</f>
        <v/>
      </c>
    </row>
    <row r="27">
      <c r="B27" s="30">
        <f>الإعدادات!A20</f>
        <v/>
      </c>
      <c r="C27" s="31">
        <f>COUNTIFS('سجل التحفيز'!$Y$5:$Y$2004,"&gt;0",'سجل التحفيز'!$C$5:$C$2004,B27,'سجل التحفيز'!$D$5:$D$2004,"أساسي")</f>
        <v/>
      </c>
      <c r="D27" s="31">
        <f>COUNTIFS('سجل التحفيز'!$Y$5:$Y$2004,"&gt;0",'سجل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التحفيز'!$Y$5:$Y$2004,"&gt;0",'سجل التحفيز'!$C$5:$C$2004,B27)</f>
        <v/>
      </c>
    </row>
    <row r="28">
      <c r="B28" s="30">
        <f>الإعدادات!A21</f>
        <v/>
      </c>
      <c r="C28" s="31">
        <f>COUNTIFS('سجل التحفيز'!$Y$5:$Y$2004,"&gt;0",'سجل التحفيز'!$C$5:$C$2004,B28,'سجل التحفيز'!$D$5:$D$2004,"أساسي")</f>
        <v/>
      </c>
      <c r="D28" s="31">
        <f>COUNTIFS('سجل التحفيز'!$Y$5:$Y$2004,"&gt;0",'سجل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التحفيز'!$Y$5:$Y$2004,"&gt;0",'سجل التحفيز'!$C$5:$C$2004,B28)</f>
        <v/>
      </c>
    </row>
    <row r="29">
      <c r="B29" s="30">
        <f>الإعدادات!A22</f>
        <v/>
      </c>
      <c r="C29" s="31">
        <f>COUNTIFS('سجل التحفيز'!$Y$5:$Y$2004,"&gt;0",'سجل التحفيز'!$C$5:$C$2004,B29,'سجل التحفيز'!$D$5:$D$2004,"أساسي")</f>
        <v/>
      </c>
      <c r="D29" s="31">
        <f>COUNTIFS('سجل التحفيز'!$Y$5:$Y$2004,"&gt;0",'سجل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التحفيز'!$Y$5:$Y$2004,"&gt;0",'سجل التحفيز'!$C$5:$C$2004,B29)</f>
        <v/>
      </c>
    </row>
    <row r="30">
      <c r="B30" s="30">
        <f>الإعدادات!A23</f>
        <v/>
      </c>
      <c r="C30" s="31">
        <f>COUNTIFS('سجل التحفيز'!$Y$5:$Y$2004,"&gt;0",'سجل التحفيز'!$C$5:$C$2004,B30,'سجل التحفيز'!$D$5:$D$2004,"أساسي")</f>
        <v/>
      </c>
      <c r="D30" s="31">
        <f>COUNTIFS('سجل التحفيز'!$Y$5:$Y$2004,"&gt;0",'سجل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التحفيز'!$Y$5:$Y$2004,"&gt;0",'سجل التحفيز'!$C$5:$C$2004,B30)</f>
        <v/>
      </c>
    </row>
    <row r="31">
      <c r="B31" s="30">
        <f>الإعدادات!A24</f>
        <v/>
      </c>
      <c r="C31" s="31">
        <f>COUNTIFS('سجل التحفيز'!$Y$5:$Y$2004,"&gt;0",'سجل التحفيز'!$C$5:$C$2004,B31,'سجل التحفيز'!$D$5:$D$2004,"أساسي")</f>
        <v/>
      </c>
      <c r="D31" s="31">
        <f>COUNTIFS('سجل التحفيز'!$Y$5:$Y$2004,"&gt;0",'سجل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التحفيز'!$Y$5:$Y$2004,"&gt;0",'سجل التحفيز'!$C$5:$C$2004,B31)</f>
        <v/>
      </c>
    </row>
    <row r="32">
      <c r="B32" s="30">
        <f>الإعدادات!A25</f>
        <v/>
      </c>
      <c r="C32" s="31">
        <f>COUNTIFS('سجل التحفيز'!$Y$5:$Y$2004,"&gt;0",'سجل التحفيز'!$C$5:$C$2004,B32,'سجل التحفيز'!$D$5:$D$2004,"أساسي")</f>
        <v/>
      </c>
      <c r="D32" s="31">
        <f>COUNTIFS('سجل التحفيز'!$Y$5:$Y$2004,"&gt;0",'سجل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التحفيز'!$Y$5:$Y$2004,"&gt;0",'سجل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الموظفات المُكرَّمات ضمن فترة التقرير</t>
        </is>
      </c>
      <c r="K36" s="29" t="inlineStr">
        <is>
          <t>تفاصيل التكريمات ضمن فترة التقرير</t>
        </is>
      </c>
    </row>
    <row r="37">
      <c r="B37" s="13" t="inlineStr">
        <is>
          <t>اسم الموظفة</t>
        </is>
      </c>
      <c r="C37" s="13" t="inlineStr">
        <is>
          <t>القسم</t>
        </is>
      </c>
      <c r="D37" s="13" t="inlineStr">
        <is>
          <t>عدد التكريمات</t>
        </is>
      </c>
      <c r="E37" s="13" t="inlineStr">
        <is>
          <t>معايير ذهبية</t>
        </is>
      </c>
      <c r="F37" s="13" t="inlineStr">
        <is>
          <t>القيمة (ر.ق)</t>
        </is>
      </c>
      <c r="G37" s="13" t="inlineStr">
        <is>
          <t>الترتيب</t>
        </is>
      </c>
      <c r="H37" s="13" t="inlineStr">
        <is>
          <t>أمري تدللي (السنة)</t>
        </is>
      </c>
      <c r="K37" s="13" t="inlineStr">
        <is>
          <t>م</t>
        </is>
      </c>
      <c r="L37" s="13" t="inlineStr">
        <is>
          <t>التاريخ</t>
        </is>
      </c>
      <c r="M37" s="13" t="inlineStr">
        <is>
          <t>اسم الموظفة</t>
        </is>
      </c>
      <c r="N37" s="13" t="inlineStr">
        <is>
          <t>القسم</t>
        </is>
      </c>
      <c r="O37" s="13" t="inlineStr">
        <is>
          <t>المجال</t>
        </is>
      </c>
      <c r="P37" s="13" t="inlineStr">
        <is>
          <t>المستوى</t>
        </is>
      </c>
      <c r="Q37" s="13" t="inlineStr">
        <is>
          <t>المعيار المحقق</t>
        </is>
      </c>
      <c r="R37" s="13" t="inlineStr">
        <is>
          <t>المكافأة الممنوحة</t>
        </is>
      </c>
      <c r="S37" s="13" t="inlineStr">
        <is>
          <t>القيمة (ر.ق)</t>
        </is>
      </c>
    </row>
    <row r="38">
      <c r="B38" s="34">
        <f>IFERROR(INDEX(الموظفات!$B$5:$B$304,MATCH(1,الموظفات!$S$5:$S$304,0)),"")</f>
        <v/>
      </c>
      <c r="C38" s="34">
        <f>IF(B38="","",INDEX(الموظفات!$D$5:$D$304,MATCH(B38,الموظفات!$B$5:$B$304,0))&amp;"")</f>
        <v/>
      </c>
      <c r="D38" s="35">
        <f>IF(B38="","",COUNTIFS('سجل التحفيز'!$Y$5:$Y$2004,"&gt;0",'سجل التحفيز'!$B$5:$B$2004,B38))</f>
        <v/>
      </c>
      <c r="E38" s="35">
        <f>IF(B38="","",COUNTIFS('سجل التحفيز'!$Y$5:$Y$2004,"&gt;0",'سجل التحفيز'!$B$5:$B$2004,B38,'سجل التحفيز'!$D$5:$D$2004,"ذهبي"))</f>
        <v/>
      </c>
      <c r="F38" s="35">
        <f>IF(B38="","",SUMIFS('سجل التحفيز'!$G$5:$G$2004,'سجل التحفيز'!$Y$5:$Y$2004,"&gt;0",'سجل التحفيز'!$B$5:$B$2004,B38))</f>
        <v/>
      </c>
      <c r="G38" s="35">
        <f>IF(B38="","",COUNTIF($D$38:$D$187,"&gt;"&amp;D38)+1)</f>
        <v/>
      </c>
      <c r="H38" s="35">
        <f>IF(B38="","",INDEX(الموظفات!$L$5:$L$304,MATCH(B38,الموظفات!$B$5:$B$304,0)))</f>
        <v/>
      </c>
      <c r="K38" s="36">
        <f>IF(1&gt;$B$10,"",1)</f>
        <v/>
      </c>
      <c r="L38" s="37">
        <f>IF($K38="","",INDEX('سجل التحفيز'!$A$5:$A$2004,MATCH($K38,'سجل التحفيز'!$Y$5:$Y$2004,0)))</f>
        <v/>
      </c>
      <c r="M38" s="9">
        <f>IF($K38="","",INDEX('سجل التحفيز'!$B$5:$B$2004,MATCH($K38,'سجل التحفيز'!$Y$5:$Y$2004,0)))</f>
        <v/>
      </c>
      <c r="N38" s="9">
        <f>IF($K38="","",INDEX('سجل التحفيز'!$M$5:$M$2004,MATCH($K38,'سجل التحفيز'!$Y$5:$Y$2004,0)))</f>
        <v/>
      </c>
      <c r="O38" s="9">
        <f>IF($K38="","",INDEX('سجل التحفيز'!$C$5:$C$2004,MATCH($K38,'سجل التحفيز'!$Y$5:$Y$2004,0)))</f>
        <v/>
      </c>
      <c r="P38" s="36">
        <f>IF($K38="","",INDEX('سجل التحفيز'!$D$5:$D$2004,MATCH($K38,'سجل التحفيز'!$Y$5:$Y$2004,0)))</f>
        <v/>
      </c>
      <c r="Q38" s="9">
        <f>IF($K38="","",INDEX('سجل التحفيز'!$E$5:$E$2004,MATCH($K38,'سجل التحفيز'!$Y$5:$Y$2004,0)))</f>
        <v/>
      </c>
      <c r="R38" s="9">
        <f>IF($K38="","",INDEX('سجل التحفيز'!$F$5:$F$2004,MATCH($K38,'سجل التحفيز'!$Y$5:$Y$2004,0)))</f>
        <v/>
      </c>
      <c r="S38" s="35">
        <f>IF($K38="","",INDEX('سجل التحفيز'!$G$5:$G$2004,MATCH($K38,'سجل التحفيز'!$Y$5:$Y$2004,0)))</f>
        <v/>
      </c>
    </row>
    <row r="39">
      <c r="B39" s="34">
        <f>IFERROR(INDEX(الموظفات!$B$5:$B$304,MATCH(2,الموظفات!$S$5:$S$304,0)),"")</f>
        <v/>
      </c>
      <c r="C39" s="34">
        <f>IF(B39="","",INDEX(الموظفات!$D$5:$D$304,MATCH(B39,الموظفات!$B$5:$B$304,0))&amp;"")</f>
        <v/>
      </c>
      <c r="D39" s="35">
        <f>IF(B39="","",COUNTIFS('سجل التحفيز'!$Y$5:$Y$2004,"&gt;0",'سجل التحفيز'!$B$5:$B$2004,B39))</f>
        <v/>
      </c>
      <c r="E39" s="35">
        <f>IF(B39="","",COUNTIFS('سجل التحفيز'!$Y$5:$Y$2004,"&gt;0",'سجل التحفيز'!$B$5:$B$2004,B39,'سجل التحفيز'!$D$5:$D$2004,"ذهبي"))</f>
        <v/>
      </c>
      <c r="F39" s="35">
        <f>IF(B39="","",SUMIFS('سجل التحفيز'!$G$5:$G$2004,'سجل التحفيز'!$Y$5:$Y$2004,"&gt;0",'سجل التحفيز'!$B$5:$B$2004,B39))</f>
        <v/>
      </c>
      <c r="G39" s="35">
        <f>IF(B39="","",COUNTIF($D$38:$D$187,"&gt;"&amp;D39)+1)</f>
        <v/>
      </c>
      <c r="H39" s="35">
        <f>IF(B39="","",INDEX(الموظفات!$L$5:$L$304,MATCH(B39,الموظفات!$B$5:$B$304,0)))</f>
        <v/>
      </c>
      <c r="K39" s="36">
        <f>IF(2&gt;$B$10,"",2)</f>
        <v/>
      </c>
      <c r="L39" s="37">
        <f>IF($K39="","",INDEX('سجل التحفيز'!$A$5:$A$2004,MATCH($K39,'سجل التحفيز'!$Y$5:$Y$2004,0)))</f>
        <v/>
      </c>
      <c r="M39" s="9">
        <f>IF($K39="","",INDEX('سجل التحفيز'!$B$5:$B$2004,MATCH($K39,'سجل التحفيز'!$Y$5:$Y$2004,0)))</f>
        <v/>
      </c>
      <c r="N39" s="9">
        <f>IF($K39="","",INDEX('سجل التحفيز'!$M$5:$M$2004,MATCH($K39,'سجل التحفيز'!$Y$5:$Y$2004,0)))</f>
        <v/>
      </c>
      <c r="O39" s="9">
        <f>IF($K39="","",INDEX('سجل التحفيز'!$C$5:$C$2004,MATCH($K39,'سجل التحفيز'!$Y$5:$Y$2004,0)))</f>
        <v/>
      </c>
      <c r="P39" s="36">
        <f>IF($K39="","",INDEX('سجل التحفيز'!$D$5:$D$2004,MATCH($K39,'سجل التحفيز'!$Y$5:$Y$2004,0)))</f>
        <v/>
      </c>
      <c r="Q39" s="9">
        <f>IF($K39="","",INDEX('سجل التحفيز'!$E$5:$E$2004,MATCH($K39,'سجل التحفيز'!$Y$5:$Y$2004,0)))</f>
        <v/>
      </c>
      <c r="R39" s="9">
        <f>IF($K39="","",INDEX('سجل التحفيز'!$F$5:$F$2004,MATCH($K39,'سجل التحفيز'!$Y$5:$Y$2004,0)))</f>
        <v/>
      </c>
      <c r="S39" s="35">
        <f>IF($K39="","",INDEX('سجل التحفيز'!$G$5:$G$2004,MATCH($K39,'سجل التحفيز'!$Y$5:$Y$2004,0)))</f>
        <v/>
      </c>
    </row>
    <row r="40">
      <c r="B40" s="34">
        <f>IFERROR(INDEX(الموظفات!$B$5:$B$304,MATCH(3,الموظفات!$S$5:$S$304,0)),"")</f>
        <v/>
      </c>
      <c r="C40" s="34">
        <f>IF(B40="","",INDEX(الموظفات!$D$5:$D$304,MATCH(B40,الموظفات!$B$5:$B$304,0))&amp;"")</f>
        <v/>
      </c>
      <c r="D40" s="35">
        <f>IF(B40="","",COUNTIFS('سجل التحفيز'!$Y$5:$Y$2004,"&gt;0",'سجل التحفيز'!$B$5:$B$2004,B40))</f>
        <v/>
      </c>
      <c r="E40" s="35">
        <f>IF(B40="","",COUNTIFS('سجل التحفيز'!$Y$5:$Y$2004,"&gt;0",'سجل التحفيز'!$B$5:$B$2004,B40,'سجل التحفيز'!$D$5:$D$2004,"ذهبي"))</f>
        <v/>
      </c>
      <c r="F40" s="35">
        <f>IF(B40="","",SUMIFS('سجل التحفيز'!$G$5:$G$2004,'سجل التحفيز'!$Y$5:$Y$2004,"&gt;0",'سجل التحفيز'!$B$5:$B$2004,B40))</f>
        <v/>
      </c>
      <c r="G40" s="35">
        <f>IF(B40="","",COUNTIF($D$38:$D$187,"&gt;"&amp;D40)+1)</f>
        <v/>
      </c>
      <c r="H40" s="35">
        <f>IF(B40="","",INDEX(الموظفات!$L$5:$L$304,MATCH(B40,الموظفات!$B$5:$B$304,0)))</f>
        <v/>
      </c>
      <c r="K40" s="36">
        <f>IF(3&gt;$B$10,"",3)</f>
        <v/>
      </c>
      <c r="L40" s="37">
        <f>IF($K40="","",INDEX('سجل التحفيز'!$A$5:$A$2004,MATCH($K40,'سجل التحفيز'!$Y$5:$Y$2004,0)))</f>
        <v/>
      </c>
      <c r="M40" s="9">
        <f>IF($K40="","",INDEX('سجل التحفيز'!$B$5:$B$2004,MATCH($K40,'سجل التحفيز'!$Y$5:$Y$2004,0)))</f>
        <v/>
      </c>
      <c r="N40" s="9">
        <f>IF($K40="","",INDEX('سجل التحفيز'!$M$5:$M$2004,MATCH($K40,'سجل التحفيز'!$Y$5:$Y$2004,0)))</f>
        <v/>
      </c>
      <c r="O40" s="9">
        <f>IF($K40="","",INDEX('سجل التحفيز'!$C$5:$C$2004,MATCH($K40,'سجل التحفيز'!$Y$5:$Y$2004,0)))</f>
        <v/>
      </c>
      <c r="P40" s="36">
        <f>IF($K40="","",INDEX('سجل التحفيز'!$D$5:$D$2004,MATCH($K40,'سجل التحفيز'!$Y$5:$Y$2004,0)))</f>
        <v/>
      </c>
      <c r="Q40" s="9">
        <f>IF($K40="","",INDEX('سجل التحفيز'!$E$5:$E$2004,MATCH($K40,'سجل التحفيز'!$Y$5:$Y$2004,0)))</f>
        <v/>
      </c>
      <c r="R40" s="9">
        <f>IF($K40="","",INDEX('سجل التحفيز'!$F$5:$F$2004,MATCH($K40,'سجل التحفيز'!$Y$5:$Y$2004,0)))</f>
        <v/>
      </c>
      <c r="S40" s="35">
        <f>IF($K40="","",INDEX('سجل التحفيز'!$G$5:$G$2004,MATCH($K40,'سجل التحفيز'!$Y$5:$Y$2004,0)))</f>
        <v/>
      </c>
    </row>
    <row r="41">
      <c r="B41" s="34">
        <f>IFERROR(INDEX(الموظفات!$B$5:$B$304,MATCH(4,الموظفات!$S$5:$S$304,0)),"")</f>
        <v/>
      </c>
      <c r="C41" s="34">
        <f>IF(B41="","",INDEX(الموظفات!$D$5:$D$304,MATCH(B41,الموظفات!$B$5:$B$304,0))&amp;"")</f>
        <v/>
      </c>
      <c r="D41" s="35">
        <f>IF(B41="","",COUNTIFS('سجل التحفيز'!$Y$5:$Y$2004,"&gt;0",'سجل التحفيز'!$B$5:$B$2004,B41))</f>
        <v/>
      </c>
      <c r="E41" s="35">
        <f>IF(B41="","",COUNTIFS('سجل التحفيز'!$Y$5:$Y$2004,"&gt;0",'سجل التحفيز'!$B$5:$B$2004,B41,'سجل التحفيز'!$D$5:$D$2004,"ذهبي"))</f>
        <v/>
      </c>
      <c r="F41" s="35">
        <f>IF(B41="","",SUMIFS('سجل التحفيز'!$G$5:$G$2004,'سجل التحفيز'!$Y$5:$Y$2004,"&gt;0",'سجل التحفيز'!$B$5:$B$2004,B41))</f>
        <v/>
      </c>
      <c r="G41" s="35">
        <f>IF(B41="","",COUNTIF($D$38:$D$187,"&gt;"&amp;D41)+1)</f>
        <v/>
      </c>
      <c r="H41" s="35">
        <f>IF(B41="","",INDEX(الموظفات!$L$5:$L$304,MATCH(B41,الموظفات!$B$5:$B$304,0)))</f>
        <v/>
      </c>
      <c r="K41" s="36">
        <f>IF(4&gt;$B$10,"",4)</f>
        <v/>
      </c>
      <c r="L41" s="37">
        <f>IF($K41="","",INDEX('سجل التحفيز'!$A$5:$A$2004,MATCH($K41,'سجل التحفيز'!$Y$5:$Y$2004,0)))</f>
        <v/>
      </c>
      <c r="M41" s="9">
        <f>IF($K41="","",INDEX('سجل التحفيز'!$B$5:$B$2004,MATCH($K41,'سجل التحفيز'!$Y$5:$Y$2004,0)))</f>
        <v/>
      </c>
      <c r="N41" s="9">
        <f>IF($K41="","",INDEX('سجل التحفيز'!$M$5:$M$2004,MATCH($K41,'سجل التحفيز'!$Y$5:$Y$2004,0)))</f>
        <v/>
      </c>
      <c r="O41" s="9">
        <f>IF($K41="","",INDEX('سجل التحفيز'!$C$5:$C$2004,MATCH($K41,'سجل التحفيز'!$Y$5:$Y$2004,0)))</f>
        <v/>
      </c>
      <c r="P41" s="36">
        <f>IF($K41="","",INDEX('سجل التحفيز'!$D$5:$D$2004,MATCH($K41,'سجل التحفيز'!$Y$5:$Y$2004,0)))</f>
        <v/>
      </c>
      <c r="Q41" s="9">
        <f>IF($K41="","",INDEX('سجل التحفيز'!$E$5:$E$2004,MATCH($K41,'سجل التحفيز'!$Y$5:$Y$2004,0)))</f>
        <v/>
      </c>
      <c r="R41" s="9">
        <f>IF($K41="","",INDEX('سجل التحفيز'!$F$5:$F$2004,MATCH($K41,'سجل التحفيز'!$Y$5:$Y$2004,0)))</f>
        <v/>
      </c>
      <c r="S41" s="35">
        <f>IF($K41="","",INDEX('سجل التحفيز'!$G$5:$G$2004,MATCH($K41,'سجل التحفيز'!$Y$5:$Y$2004,0)))</f>
        <v/>
      </c>
    </row>
    <row r="42">
      <c r="B42" s="34">
        <f>IFERROR(INDEX(الموظفات!$B$5:$B$304,MATCH(5,الموظفات!$S$5:$S$304,0)),"")</f>
        <v/>
      </c>
      <c r="C42" s="34">
        <f>IF(B42="","",INDEX(الموظفات!$D$5:$D$304,MATCH(B42,الموظفات!$B$5:$B$304,0))&amp;"")</f>
        <v/>
      </c>
      <c r="D42" s="35">
        <f>IF(B42="","",COUNTIFS('سجل التحفيز'!$Y$5:$Y$2004,"&gt;0",'سجل التحفيز'!$B$5:$B$2004,B42))</f>
        <v/>
      </c>
      <c r="E42" s="35">
        <f>IF(B42="","",COUNTIFS('سجل التحفيز'!$Y$5:$Y$2004,"&gt;0",'سجل التحفيز'!$B$5:$B$2004,B42,'سجل التحفيز'!$D$5:$D$2004,"ذهبي"))</f>
        <v/>
      </c>
      <c r="F42" s="35">
        <f>IF(B42="","",SUMIFS('سجل التحفيز'!$G$5:$G$2004,'سجل التحفيز'!$Y$5:$Y$2004,"&gt;0",'سجل التحفيز'!$B$5:$B$2004,B42))</f>
        <v/>
      </c>
      <c r="G42" s="35">
        <f>IF(B42="","",COUNTIF($D$38:$D$187,"&gt;"&amp;D42)+1)</f>
        <v/>
      </c>
      <c r="H42" s="35">
        <f>IF(B42="","",INDEX(الموظفات!$L$5:$L$304,MATCH(B42,الموظفات!$B$5:$B$304,0)))</f>
        <v/>
      </c>
      <c r="K42" s="36">
        <f>IF(5&gt;$B$10,"",5)</f>
        <v/>
      </c>
      <c r="L42" s="37">
        <f>IF($K42="","",INDEX('سجل التحفيز'!$A$5:$A$2004,MATCH($K42,'سجل التحفيز'!$Y$5:$Y$2004,0)))</f>
        <v/>
      </c>
      <c r="M42" s="9">
        <f>IF($K42="","",INDEX('سجل التحفيز'!$B$5:$B$2004,MATCH($K42,'سجل التحفيز'!$Y$5:$Y$2004,0)))</f>
        <v/>
      </c>
      <c r="N42" s="9">
        <f>IF($K42="","",INDEX('سجل التحفيز'!$M$5:$M$2004,MATCH($K42,'سجل التحفيز'!$Y$5:$Y$2004,0)))</f>
        <v/>
      </c>
      <c r="O42" s="9">
        <f>IF($K42="","",INDEX('سجل التحفيز'!$C$5:$C$2004,MATCH($K42,'سجل التحفيز'!$Y$5:$Y$2004,0)))</f>
        <v/>
      </c>
      <c r="P42" s="36">
        <f>IF($K42="","",INDEX('سجل التحفيز'!$D$5:$D$2004,MATCH($K42,'سجل التحفيز'!$Y$5:$Y$2004,0)))</f>
        <v/>
      </c>
      <c r="Q42" s="9">
        <f>IF($K42="","",INDEX('سجل التحفيز'!$E$5:$E$2004,MATCH($K42,'سجل التحفيز'!$Y$5:$Y$2004,0)))</f>
        <v/>
      </c>
      <c r="R42" s="9">
        <f>IF($K42="","",INDEX('سجل التحفيز'!$F$5:$F$2004,MATCH($K42,'سجل التحفيز'!$Y$5:$Y$2004,0)))</f>
        <v/>
      </c>
      <c r="S42" s="35">
        <f>IF($K42="","",INDEX('سجل التحفيز'!$G$5:$G$2004,MATCH($K42,'سجل التحفيز'!$Y$5:$Y$2004,0)))</f>
        <v/>
      </c>
    </row>
    <row r="43">
      <c r="B43" s="34">
        <f>IFERROR(INDEX(الموظفات!$B$5:$B$304,MATCH(6,الموظفات!$S$5:$S$304,0)),"")</f>
        <v/>
      </c>
      <c r="C43" s="34">
        <f>IF(B43="","",INDEX(الموظفات!$D$5:$D$304,MATCH(B43,الموظفات!$B$5:$B$304,0))&amp;"")</f>
        <v/>
      </c>
      <c r="D43" s="35">
        <f>IF(B43="","",COUNTIFS('سجل التحفيز'!$Y$5:$Y$2004,"&gt;0",'سجل التحفيز'!$B$5:$B$2004,B43))</f>
        <v/>
      </c>
      <c r="E43" s="35">
        <f>IF(B43="","",COUNTIFS('سجل التحفيز'!$Y$5:$Y$2004,"&gt;0",'سجل التحفيز'!$B$5:$B$2004,B43,'سجل التحفيز'!$D$5:$D$2004,"ذهبي"))</f>
        <v/>
      </c>
      <c r="F43" s="35">
        <f>IF(B43="","",SUMIFS('سجل التحفيز'!$G$5:$G$2004,'سجل التحفيز'!$Y$5:$Y$2004,"&gt;0",'سجل التحفيز'!$B$5:$B$2004,B43))</f>
        <v/>
      </c>
      <c r="G43" s="35">
        <f>IF(B43="","",COUNTIF($D$38:$D$187,"&gt;"&amp;D43)+1)</f>
        <v/>
      </c>
      <c r="H43" s="35">
        <f>IF(B43="","",INDEX(الموظفات!$L$5:$L$304,MATCH(B43,الموظفات!$B$5:$B$304,0)))</f>
        <v/>
      </c>
      <c r="K43" s="36">
        <f>IF(6&gt;$B$10,"",6)</f>
        <v/>
      </c>
      <c r="L43" s="37">
        <f>IF($K43="","",INDEX('سجل التحفيز'!$A$5:$A$2004,MATCH($K43,'سجل التحفيز'!$Y$5:$Y$2004,0)))</f>
        <v/>
      </c>
      <c r="M43" s="9">
        <f>IF($K43="","",INDEX('سجل التحفيز'!$B$5:$B$2004,MATCH($K43,'سجل التحفيز'!$Y$5:$Y$2004,0)))</f>
        <v/>
      </c>
      <c r="N43" s="9">
        <f>IF($K43="","",INDEX('سجل التحفيز'!$M$5:$M$2004,MATCH($K43,'سجل التحفيز'!$Y$5:$Y$2004,0)))</f>
        <v/>
      </c>
      <c r="O43" s="9">
        <f>IF($K43="","",INDEX('سجل التحفيز'!$C$5:$C$2004,MATCH($K43,'سجل التحفيز'!$Y$5:$Y$2004,0)))</f>
        <v/>
      </c>
      <c r="P43" s="36">
        <f>IF($K43="","",INDEX('سجل التحفيز'!$D$5:$D$2004,MATCH($K43,'سجل التحفيز'!$Y$5:$Y$2004,0)))</f>
        <v/>
      </c>
      <c r="Q43" s="9">
        <f>IF($K43="","",INDEX('سجل التحفيز'!$E$5:$E$2004,MATCH($K43,'سجل التحفيز'!$Y$5:$Y$2004,0)))</f>
        <v/>
      </c>
      <c r="R43" s="9">
        <f>IF($K43="","",INDEX('سجل التحفيز'!$F$5:$F$2004,MATCH($K43,'سجل التحفيز'!$Y$5:$Y$2004,0)))</f>
        <v/>
      </c>
      <c r="S43" s="35">
        <f>IF($K43="","",INDEX('سجل التحفيز'!$G$5:$G$2004,MATCH($K43,'سجل التحفيز'!$Y$5:$Y$2004,0)))</f>
        <v/>
      </c>
    </row>
    <row r="44">
      <c r="B44" s="34">
        <f>IFERROR(INDEX(الموظفات!$B$5:$B$304,MATCH(7,الموظفات!$S$5:$S$304,0)),"")</f>
        <v/>
      </c>
      <c r="C44" s="34">
        <f>IF(B44="","",INDEX(الموظفات!$D$5:$D$304,MATCH(B44,الموظفات!$B$5:$B$304,0))&amp;"")</f>
        <v/>
      </c>
      <c r="D44" s="35">
        <f>IF(B44="","",COUNTIFS('سجل التحفيز'!$Y$5:$Y$2004,"&gt;0",'سجل التحفيز'!$B$5:$B$2004,B44))</f>
        <v/>
      </c>
      <c r="E44" s="35">
        <f>IF(B44="","",COUNTIFS('سجل التحفيز'!$Y$5:$Y$2004,"&gt;0",'سجل التحفيز'!$B$5:$B$2004,B44,'سجل التحفيز'!$D$5:$D$2004,"ذهبي"))</f>
        <v/>
      </c>
      <c r="F44" s="35">
        <f>IF(B44="","",SUMIFS('سجل التحفيز'!$G$5:$G$2004,'سجل التحفيز'!$Y$5:$Y$2004,"&gt;0",'سجل التحفيز'!$B$5:$B$2004,B44))</f>
        <v/>
      </c>
      <c r="G44" s="35">
        <f>IF(B44="","",COUNTIF($D$38:$D$187,"&gt;"&amp;D44)+1)</f>
        <v/>
      </c>
      <c r="H44" s="35">
        <f>IF(B44="","",INDEX(الموظفات!$L$5:$L$304,MATCH(B44,الموظفات!$B$5:$B$304,0)))</f>
        <v/>
      </c>
      <c r="K44" s="36">
        <f>IF(7&gt;$B$10,"",7)</f>
        <v/>
      </c>
      <c r="L44" s="37">
        <f>IF($K44="","",INDEX('سجل التحفيز'!$A$5:$A$2004,MATCH($K44,'سجل التحفيز'!$Y$5:$Y$2004,0)))</f>
        <v/>
      </c>
      <c r="M44" s="9">
        <f>IF($K44="","",INDEX('سجل التحفيز'!$B$5:$B$2004,MATCH($K44,'سجل التحفيز'!$Y$5:$Y$2004,0)))</f>
        <v/>
      </c>
      <c r="N44" s="9">
        <f>IF($K44="","",INDEX('سجل التحفيز'!$M$5:$M$2004,MATCH($K44,'سجل التحفيز'!$Y$5:$Y$2004,0)))</f>
        <v/>
      </c>
      <c r="O44" s="9">
        <f>IF($K44="","",INDEX('سجل التحفيز'!$C$5:$C$2004,MATCH($K44,'سجل التحفيز'!$Y$5:$Y$2004,0)))</f>
        <v/>
      </c>
      <c r="P44" s="36">
        <f>IF($K44="","",INDEX('سجل التحفيز'!$D$5:$D$2004,MATCH($K44,'سجل التحفيز'!$Y$5:$Y$2004,0)))</f>
        <v/>
      </c>
      <c r="Q44" s="9">
        <f>IF($K44="","",INDEX('سجل التحفيز'!$E$5:$E$2004,MATCH($K44,'سجل التحفيز'!$Y$5:$Y$2004,0)))</f>
        <v/>
      </c>
      <c r="R44" s="9">
        <f>IF($K44="","",INDEX('سجل التحفيز'!$F$5:$F$2004,MATCH($K44,'سجل التحفيز'!$Y$5:$Y$2004,0)))</f>
        <v/>
      </c>
      <c r="S44" s="35">
        <f>IF($K44="","",INDEX('سجل التحفيز'!$G$5:$G$2004,MATCH($K44,'سجل التحفيز'!$Y$5:$Y$2004,0)))</f>
        <v/>
      </c>
    </row>
    <row r="45">
      <c r="B45" s="34">
        <f>IFERROR(INDEX(الموظفات!$B$5:$B$304,MATCH(8,الموظفات!$S$5:$S$304,0)),"")</f>
        <v/>
      </c>
      <c r="C45" s="34">
        <f>IF(B45="","",INDEX(الموظفات!$D$5:$D$304,MATCH(B45,الموظفات!$B$5:$B$304,0))&amp;"")</f>
        <v/>
      </c>
      <c r="D45" s="35">
        <f>IF(B45="","",COUNTIFS('سجل التحفيز'!$Y$5:$Y$2004,"&gt;0",'سجل التحفيز'!$B$5:$B$2004,B45))</f>
        <v/>
      </c>
      <c r="E45" s="35">
        <f>IF(B45="","",COUNTIFS('سجل التحفيز'!$Y$5:$Y$2004,"&gt;0",'سجل التحفيز'!$B$5:$B$2004,B45,'سجل التحفيز'!$D$5:$D$2004,"ذهبي"))</f>
        <v/>
      </c>
      <c r="F45" s="35">
        <f>IF(B45="","",SUMIFS('سجل التحفيز'!$G$5:$G$2004,'سجل التحفيز'!$Y$5:$Y$2004,"&gt;0",'سجل التحفيز'!$B$5:$B$2004,B45))</f>
        <v/>
      </c>
      <c r="G45" s="35">
        <f>IF(B45="","",COUNTIF($D$38:$D$187,"&gt;"&amp;D45)+1)</f>
        <v/>
      </c>
      <c r="H45" s="35">
        <f>IF(B45="","",INDEX(الموظفات!$L$5:$L$304,MATCH(B45,الموظفات!$B$5:$B$304,0)))</f>
        <v/>
      </c>
      <c r="K45" s="36">
        <f>IF(8&gt;$B$10,"",8)</f>
        <v/>
      </c>
      <c r="L45" s="37">
        <f>IF($K45="","",INDEX('سجل التحفيز'!$A$5:$A$2004,MATCH($K45,'سجل التحفيز'!$Y$5:$Y$2004,0)))</f>
        <v/>
      </c>
      <c r="M45" s="9">
        <f>IF($K45="","",INDEX('سجل التحفيز'!$B$5:$B$2004,MATCH($K45,'سجل التحفيز'!$Y$5:$Y$2004,0)))</f>
        <v/>
      </c>
      <c r="N45" s="9">
        <f>IF($K45="","",INDEX('سجل التحفيز'!$M$5:$M$2004,MATCH($K45,'سجل التحفيز'!$Y$5:$Y$2004,0)))</f>
        <v/>
      </c>
      <c r="O45" s="9">
        <f>IF($K45="","",INDEX('سجل التحفيز'!$C$5:$C$2004,MATCH($K45,'سجل التحفيز'!$Y$5:$Y$2004,0)))</f>
        <v/>
      </c>
      <c r="P45" s="36">
        <f>IF($K45="","",INDEX('سجل التحفيز'!$D$5:$D$2004,MATCH($K45,'سجل التحفيز'!$Y$5:$Y$2004,0)))</f>
        <v/>
      </c>
      <c r="Q45" s="9">
        <f>IF($K45="","",INDEX('سجل التحفيز'!$E$5:$E$2004,MATCH($K45,'سجل التحفيز'!$Y$5:$Y$2004,0)))</f>
        <v/>
      </c>
      <c r="R45" s="9">
        <f>IF($K45="","",INDEX('سجل التحفيز'!$F$5:$F$2004,MATCH($K45,'سجل التحفيز'!$Y$5:$Y$2004,0)))</f>
        <v/>
      </c>
      <c r="S45" s="35">
        <f>IF($K45="","",INDEX('سجل التحفيز'!$G$5:$G$2004,MATCH($K45,'سجل التحفيز'!$Y$5:$Y$2004,0)))</f>
        <v/>
      </c>
    </row>
    <row r="46">
      <c r="B46" s="34">
        <f>IFERROR(INDEX(الموظفات!$B$5:$B$304,MATCH(9,الموظفات!$S$5:$S$304,0)),"")</f>
        <v/>
      </c>
      <c r="C46" s="34">
        <f>IF(B46="","",INDEX(الموظفات!$D$5:$D$304,MATCH(B46,الموظفات!$B$5:$B$304,0))&amp;"")</f>
        <v/>
      </c>
      <c r="D46" s="35">
        <f>IF(B46="","",COUNTIFS('سجل التحفيز'!$Y$5:$Y$2004,"&gt;0",'سجل التحفيز'!$B$5:$B$2004,B46))</f>
        <v/>
      </c>
      <c r="E46" s="35">
        <f>IF(B46="","",COUNTIFS('سجل التحفيز'!$Y$5:$Y$2004,"&gt;0",'سجل التحفيز'!$B$5:$B$2004,B46,'سجل التحفيز'!$D$5:$D$2004,"ذهبي"))</f>
        <v/>
      </c>
      <c r="F46" s="35">
        <f>IF(B46="","",SUMIFS('سجل التحفيز'!$G$5:$G$2004,'سجل التحفيز'!$Y$5:$Y$2004,"&gt;0",'سجل التحفيز'!$B$5:$B$2004,B46))</f>
        <v/>
      </c>
      <c r="G46" s="35">
        <f>IF(B46="","",COUNTIF($D$38:$D$187,"&gt;"&amp;D46)+1)</f>
        <v/>
      </c>
      <c r="H46" s="35">
        <f>IF(B46="","",INDEX(الموظفات!$L$5:$L$304,MATCH(B46,الموظفات!$B$5:$B$304,0)))</f>
        <v/>
      </c>
      <c r="K46" s="36">
        <f>IF(9&gt;$B$10,"",9)</f>
        <v/>
      </c>
      <c r="L46" s="37">
        <f>IF($K46="","",INDEX('سجل التحفيز'!$A$5:$A$2004,MATCH($K46,'سجل التحفيز'!$Y$5:$Y$2004,0)))</f>
        <v/>
      </c>
      <c r="M46" s="9">
        <f>IF($K46="","",INDEX('سجل التحفيز'!$B$5:$B$2004,MATCH($K46,'سجل التحفيز'!$Y$5:$Y$2004,0)))</f>
        <v/>
      </c>
      <c r="N46" s="9">
        <f>IF($K46="","",INDEX('سجل التحفيز'!$M$5:$M$2004,MATCH($K46,'سجل التحفيز'!$Y$5:$Y$2004,0)))</f>
        <v/>
      </c>
      <c r="O46" s="9">
        <f>IF($K46="","",INDEX('سجل التحفيز'!$C$5:$C$2004,MATCH($K46,'سجل التحفيز'!$Y$5:$Y$2004,0)))</f>
        <v/>
      </c>
      <c r="P46" s="36">
        <f>IF($K46="","",INDEX('سجل التحفيز'!$D$5:$D$2004,MATCH($K46,'سجل التحفيز'!$Y$5:$Y$2004,0)))</f>
        <v/>
      </c>
      <c r="Q46" s="9">
        <f>IF($K46="","",INDEX('سجل التحفيز'!$E$5:$E$2004,MATCH($K46,'سجل التحفيز'!$Y$5:$Y$2004,0)))</f>
        <v/>
      </c>
      <c r="R46" s="9">
        <f>IF($K46="","",INDEX('سجل التحفيز'!$F$5:$F$2004,MATCH($K46,'سجل التحفيز'!$Y$5:$Y$2004,0)))</f>
        <v/>
      </c>
      <c r="S46" s="35">
        <f>IF($K46="","",INDEX('سجل التحفيز'!$G$5:$G$2004,MATCH($K46,'سجل التحفيز'!$Y$5:$Y$2004,0)))</f>
        <v/>
      </c>
    </row>
    <row r="47">
      <c r="B47" s="34">
        <f>IFERROR(INDEX(الموظفات!$B$5:$B$304,MATCH(10,الموظفات!$S$5:$S$304,0)),"")</f>
        <v/>
      </c>
      <c r="C47" s="34">
        <f>IF(B47="","",INDEX(الموظفات!$D$5:$D$304,MATCH(B47,الموظفات!$B$5:$B$304,0))&amp;"")</f>
        <v/>
      </c>
      <c r="D47" s="35">
        <f>IF(B47="","",COUNTIFS('سجل التحفيز'!$Y$5:$Y$2004,"&gt;0",'سجل التحفيز'!$B$5:$B$2004,B47))</f>
        <v/>
      </c>
      <c r="E47" s="35">
        <f>IF(B47="","",COUNTIFS('سجل التحفيز'!$Y$5:$Y$2004,"&gt;0",'سجل التحفيز'!$B$5:$B$2004,B47,'سجل التحفيز'!$D$5:$D$2004,"ذهبي"))</f>
        <v/>
      </c>
      <c r="F47" s="35">
        <f>IF(B47="","",SUMIFS('سجل التحفيز'!$G$5:$G$2004,'سجل التحفيز'!$Y$5:$Y$2004,"&gt;0",'سجل التحفيز'!$B$5:$B$2004,B47))</f>
        <v/>
      </c>
      <c r="G47" s="35">
        <f>IF(B47="","",COUNTIF($D$38:$D$187,"&gt;"&amp;D47)+1)</f>
        <v/>
      </c>
      <c r="H47" s="35">
        <f>IF(B47="","",INDEX(الموظفات!$L$5:$L$304,MATCH(B47,الموظفات!$B$5:$B$304,0)))</f>
        <v/>
      </c>
      <c r="K47" s="36">
        <f>IF(10&gt;$B$10,"",10)</f>
        <v/>
      </c>
      <c r="L47" s="37">
        <f>IF($K47="","",INDEX('سجل التحفيز'!$A$5:$A$2004,MATCH($K47,'سجل التحفيز'!$Y$5:$Y$2004,0)))</f>
        <v/>
      </c>
      <c r="M47" s="9">
        <f>IF($K47="","",INDEX('سجل التحفيز'!$B$5:$B$2004,MATCH($K47,'سجل التحفيز'!$Y$5:$Y$2004,0)))</f>
        <v/>
      </c>
      <c r="N47" s="9">
        <f>IF($K47="","",INDEX('سجل التحفيز'!$M$5:$M$2004,MATCH($K47,'سجل التحفيز'!$Y$5:$Y$2004,0)))</f>
        <v/>
      </c>
      <c r="O47" s="9">
        <f>IF($K47="","",INDEX('سجل التحفيز'!$C$5:$C$2004,MATCH($K47,'سجل التحفيز'!$Y$5:$Y$2004,0)))</f>
        <v/>
      </c>
      <c r="P47" s="36">
        <f>IF($K47="","",INDEX('سجل التحفيز'!$D$5:$D$2004,MATCH($K47,'سجل التحفيز'!$Y$5:$Y$2004,0)))</f>
        <v/>
      </c>
      <c r="Q47" s="9">
        <f>IF($K47="","",INDEX('سجل التحفيز'!$E$5:$E$2004,MATCH($K47,'سجل التحفيز'!$Y$5:$Y$2004,0)))</f>
        <v/>
      </c>
      <c r="R47" s="9">
        <f>IF($K47="","",INDEX('سجل التحفيز'!$F$5:$F$2004,MATCH($K47,'سجل التحفيز'!$Y$5:$Y$2004,0)))</f>
        <v/>
      </c>
      <c r="S47" s="35">
        <f>IF($K47="","",INDEX('سجل التحفيز'!$G$5:$G$2004,MATCH($K47,'سجل التحفيز'!$Y$5:$Y$2004,0)))</f>
        <v/>
      </c>
    </row>
    <row r="48">
      <c r="B48" s="34">
        <f>IFERROR(INDEX(الموظفات!$B$5:$B$304,MATCH(11,الموظفات!$S$5:$S$304,0)),"")</f>
        <v/>
      </c>
      <c r="C48" s="34">
        <f>IF(B48="","",INDEX(الموظفات!$D$5:$D$304,MATCH(B48,الموظفات!$B$5:$B$304,0))&amp;"")</f>
        <v/>
      </c>
      <c r="D48" s="35">
        <f>IF(B48="","",COUNTIFS('سجل التحفيز'!$Y$5:$Y$2004,"&gt;0",'سجل التحفيز'!$B$5:$B$2004,B48))</f>
        <v/>
      </c>
      <c r="E48" s="35">
        <f>IF(B48="","",COUNTIFS('سجل التحفيز'!$Y$5:$Y$2004,"&gt;0",'سجل التحفيز'!$B$5:$B$2004,B48,'سجل التحفيز'!$D$5:$D$2004,"ذهبي"))</f>
        <v/>
      </c>
      <c r="F48" s="35">
        <f>IF(B48="","",SUMIFS('سجل التحفيز'!$G$5:$G$2004,'سجل التحفيز'!$Y$5:$Y$2004,"&gt;0",'سجل التحفيز'!$B$5:$B$2004,B48))</f>
        <v/>
      </c>
      <c r="G48" s="35">
        <f>IF(B48="","",COUNTIF($D$38:$D$187,"&gt;"&amp;D48)+1)</f>
        <v/>
      </c>
      <c r="H48" s="35">
        <f>IF(B48="","",INDEX(الموظفات!$L$5:$L$304,MATCH(B48,الموظفات!$B$5:$B$304,0)))</f>
        <v/>
      </c>
      <c r="K48" s="36">
        <f>IF(11&gt;$B$10,"",11)</f>
        <v/>
      </c>
      <c r="L48" s="37">
        <f>IF($K48="","",INDEX('سجل التحفيز'!$A$5:$A$2004,MATCH($K48,'سجل التحفيز'!$Y$5:$Y$2004,0)))</f>
        <v/>
      </c>
      <c r="M48" s="9">
        <f>IF($K48="","",INDEX('سجل التحفيز'!$B$5:$B$2004,MATCH($K48,'سجل التحفيز'!$Y$5:$Y$2004,0)))</f>
        <v/>
      </c>
      <c r="N48" s="9">
        <f>IF($K48="","",INDEX('سجل التحفيز'!$M$5:$M$2004,MATCH($K48,'سجل التحفيز'!$Y$5:$Y$2004,0)))</f>
        <v/>
      </c>
      <c r="O48" s="9">
        <f>IF($K48="","",INDEX('سجل التحفيز'!$C$5:$C$2004,MATCH($K48,'سجل التحفيز'!$Y$5:$Y$2004,0)))</f>
        <v/>
      </c>
      <c r="P48" s="36">
        <f>IF($K48="","",INDEX('سجل التحفيز'!$D$5:$D$2004,MATCH($K48,'سجل التحفيز'!$Y$5:$Y$2004,0)))</f>
        <v/>
      </c>
      <c r="Q48" s="9">
        <f>IF($K48="","",INDEX('سجل التحفيز'!$E$5:$E$2004,MATCH($K48,'سجل التحفيز'!$Y$5:$Y$2004,0)))</f>
        <v/>
      </c>
      <c r="R48" s="9">
        <f>IF($K48="","",INDEX('سجل التحفيز'!$F$5:$F$2004,MATCH($K48,'سجل التحفيز'!$Y$5:$Y$2004,0)))</f>
        <v/>
      </c>
      <c r="S48" s="35">
        <f>IF($K48="","",INDEX('سجل التحفيز'!$G$5:$G$2004,MATCH($K48,'سجل التحفيز'!$Y$5:$Y$2004,0)))</f>
        <v/>
      </c>
    </row>
    <row r="49">
      <c r="B49" s="34">
        <f>IFERROR(INDEX(الموظفات!$B$5:$B$304,MATCH(12,الموظفات!$S$5:$S$304,0)),"")</f>
        <v/>
      </c>
      <c r="C49" s="34">
        <f>IF(B49="","",INDEX(الموظفات!$D$5:$D$304,MATCH(B49,الموظفات!$B$5:$B$304,0))&amp;"")</f>
        <v/>
      </c>
      <c r="D49" s="35">
        <f>IF(B49="","",COUNTIFS('سجل التحفيز'!$Y$5:$Y$2004,"&gt;0",'سجل التحفيز'!$B$5:$B$2004,B49))</f>
        <v/>
      </c>
      <c r="E49" s="35">
        <f>IF(B49="","",COUNTIFS('سجل التحفيز'!$Y$5:$Y$2004,"&gt;0",'سجل التحفيز'!$B$5:$B$2004,B49,'سجل التحفيز'!$D$5:$D$2004,"ذهبي"))</f>
        <v/>
      </c>
      <c r="F49" s="35">
        <f>IF(B49="","",SUMIFS('سجل التحفيز'!$G$5:$G$2004,'سجل التحفيز'!$Y$5:$Y$2004,"&gt;0",'سجل التحفيز'!$B$5:$B$2004,B49))</f>
        <v/>
      </c>
      <c r="G49" s="35">
        <f>IF(B49="","",COUNTIF($D$38:$D$187,"&gt;"&amp;D49)+1)</f>
        <v/>
      </c>
      <c r="H49" s="35">
        <f>IF(B49="","",INDEX(الموظفات!$L$5:$L$304,MATCH(B49,الموظفات!$B$5:$B$304,0)))</f>
        <v/>
      </c>
      <c r="K49" s="36">
        <f>IF(12&gt;$B$10,"",12)</f>
        <v/>
      </c>
      <c r="L49" s="37">
        <f>IF($K49="","",INDEX('سجل التحفيز'!$A$5:$A$2004,MATCH($K49,'سجل التحفيز'!$Y$5:$Y$2004,0)))</f>
        <v/>
      </c>
      <c r="M49" s="9">
        <f>IF($K49="","",INDEX('سجل التحفيز'!$B$5:$B$2004,MATCH($K49,'سجل التحفيز'!$Y$5:$Y$2004,0)))</f>
        <v/>
      </c>
      <c r="N49" s="9">
        <f>IF($K49="","",INDEX('سجل التحفيز'!$M$5:$M$2004,MATCH($K49,'سجل التحفيز'!$Y$5:$Y$2004,0)))</f>
        <v/>
      </c>
      <c r="O49" s="9">
        <f>IF($K49="","",INDEX('سجل التحفيز'!$C$5:$C$2004,MATCH($K49,'سجل التحفيز'!$Y$5:$Y$2004,0)))</f>
        <v/>
      </c>
      <c r="P49" s="36">
        <f>IF($K49="","",INDEX('سجل التحفيز'!$D$5:$D$2004,MATCH($K49,'سجل التحفيز'!$Y$5:$Y$2004,0)))</f>
        <v/>
      </c>
      <c r="Q49" s="9">
        <f>IF($K49="","",INDEX('سجل التحفيز'!$E$5:$E$2004,MATCH($K49,'سجل التحفيز'!$Y$5:$Y$2004,0)))</f>
        <v/>
      </c>
      <c r="R49" s="9">
        <f>IF($K49="","",INDEX('سجل التحفيز'!$F$5:$F$2004,MATCH($K49,'سجل التحفيز'!$Y$5:$Y$2004,0)))</f>
        <v/>
      </c>
      <c r="S49" s="35">
        <f>IF($K49="","",INDEX('سجل التحفيز'!$G$5:$G$2004,MATCH($K49,'سجل التحفيز'!$Y$5:$Y$2004,0)))</f>
        <v/>
      </c>
    </row>
    <row r="50">
      <c r="B50" s="34">
        <f>IFERROR(INDEX(الموظفات!$B$5:$B$304,MATCH(13,الموظفات!$S$5:$S$304,0)),"")</f>
        <v/>
      </c>
      <c r="C50" s="34">
        <f>IF(B50="","",INDEX(الموظفات!$D$5:$D$304,MATCH(B50,الموظفات!$B$5:$B$304,0))&amp;"")</f>
        <v/>
      </c>
      <c r="D50" s="35">
        <f>IF(B50="","",COUNTIFS('سجل التحفيز'!$Y$5:$Y$2004,"&gt;0",'سجل التحفيز'!$B$5:$B$2004,B50))</f>
        <v/>
      </c>
      <c r="E50" s="35">
        <f>IF(B50="","",COUNTIFS('سجل التحفيز'!$Y$5:$Y$2004,"&gt;0",'سجل التحفيز'!$B$5:$B$2004,B50,'سجل التحفيز'!$D$5:$D$2004,"ذهبي"))</f>
        <v/>
      </c>
      <c r="F50" s="35">
        <f>IF(B50="","",SUMIFS('سجل التحفيز'!$G$5:$G$2004,'سجل التحفيز'!$Y$5:$Y$2004,"&gt;0",'سجل التحفيز'!$B$5:$B$2004,B50))</f>
        <v/>
      </c>
      <c r="G50" s="35">
        <f>IF(B50="","",COUNTIF($D$38:$D$187,"&gt;"&amp;D50)+1)</f>
        <v/>
      </c>
      <c r="H50" s="35">
        <f>IF(B50="","",INDEX(الموظفات!$L$5:$L$304,MATCH(B50,الموظفات!$B$5:$B$304,0)))</f>
        <v/>
      </c>
      <c r="K50" s="36">
        <f>IF(13&gt;$B$10,"",13)</f>
        <v/>
      </c>
      <c r="L50" s="37">
        <f>IF($K50="","",INDEX('سجل التحفيز'!$A$5:$A$2004,MATCH($K50,'سجل التحفيز'!$Y$5:$Y$2004,0)))</f>
        <v/>
      </c>
      <c r="M50" s="9">
        <f>IF($K50="","",INDEX('سجل التحفيز'!$B$5:$B$2004,MATCH($K50,'سجل التحفيز'!$Y$5:$Y$2004,0)))</f>
        <v/>
      </c>
      <c r="N50" s="9">
        <f>IF($K50="","",INDEX('سجل التحفيز'!$M$5:$M$2004,MATCH($K50,'سجل التحفيز'!$Y$5:$Y$2004,0)))</f>
        <v/>
      </c>
      <c r="O50" s="9">
        <f>IF($K50="","",INDEX('سجل التحفيز'!$C$5:$C$2004,MATCH($K50,'سجل التحفيز'!$Y$5:$Y$2004,0)))</f>
        <v/>
      </c>
      <c r="P50" s="36">
        <f>IF($K50="","",INDEX('سجل التحفيز'!$D$5:$D$2004,MATCH($K50,'سجل التحفيز'!$Y$5:$Y$2004,0)))</f>
        <v/>
      </c>
      <c r="Q50" s="9">
        <f>IF($K50="","",INDEX('سجل التحفيز'!$E$5:$E$2004,MATCH($K50,'سجل التحفيز'!$Y$5:$Y$2004,0)))</f>
        <v/>
      </c>
      <c r="R50" s="9">
        <f>IF($K50="","",INDEX('سجل التحفيز'!$F$5:$F$2004,MATCH($K50,'سجل التحفيز'!$Y$5:$Y$2004,0)))</f>
        <v/>
      </c>
      <c r="S50" s="35">
        <f>IF($K50="","",INDEX('سجل التحفيز'!$G$5:$G$2004,MATCH($K50,'سجل التحفيز'!$Y$5:$Y$2004,0)))</f>
        <v/>
      </c>
    </row>
    <row r="51">
      <c r="B51" s="34">
        <f>IFERROR(INDEX(الموظفات!$B$5:$B$304,MATCH(14,الموظفات!$S$5:$S$304,0)),"")</f>
        <v/>
      </c>
      <c r="C51" s="34">
        <f>IF(B51="","",INDEX(الموظفات!$D$5:$D$304,MATCH(B51,الموظفات!$B$5:$B$304,0))&amp;"")</f>
        <v/>
      </c>
      <c r="D51" s="35">
        <f>IF(B51="","",COUNTIFS('سجل التحفيز'!$Y$5:$Y$2004,"&gt;0",'سجل التحفيز'!$B$5:$B$2004,B51))</f>
        <v/>
      </c>
      <c r="E51" s="35">
        <f>IF(B51="","",COUNTIFS('سجل التحفيز'!$Y$5:$Y$2004,"&gt;0",'سجل التحفيز'!$B$5:$B$2004,B51,'سجل التحفيز'!$D$5:$D$2004,"ذهبي"))</f>
        <v/>
      </c>
      <c r="F51" s="35">
        <f>IF(B51="","",SUMIFS('سجل التحفيز'!$G$5:$G$2004,'سجل التحفيز'!$Y$5:$Y$2004,"&gt;0",'سجل التحفيز'!$B$5:$B$2004,B51))</f>
        <v/>
      </c>
      <c r="G51" s="35">
        <f>IF(B51="","",COUNTIF($D$38:$D$187,"&gt;"&amp;D51)+1)</f>
        <v/>
      </c>
      <c r="H51" s="35">
        <f>IF(B51="","",INDEX(الموظفات!$L$5:$L$304,MATCH(B51,الموظفات!$B$5:$B$304,0)))</f>
        <v/>
      </c>
      <c r="K51" s="36">
        <f>IF(14&gt;$B$10,"",14)</f>
        <v/>
      </c>
      <c r="L51" s="37">
        <f>IF($K51="","",INDEX('سجل التحفيز'!$A$5:$A$2004,MATCH($K51,'سجل التحفيز'!$Y$5:$Y$2004,0)))</f>
        <v/>
      </c>
      <c r="M51" s="9">
        <f>IF($K51="","",INDEX('سجل التحفيز'!$B$5:$B$2004,MATCH($K51,'سجل التحفيز'!$Y$5:$Y$2004,0)))</f>
        <v/>
      </c>
      <c r="N51" s="9">
        <f>IF($K51="","",INDEX('سجل التحفيز'!$M$5:$M$2004,MATCH($K51,'سجل التحفيز'!$Y$5:$Y$2004,0)))</f>
        <v/>
      </c>
      <c r="O51" s="9">
        <f>IF($K51="","",INDEX('سجل التحفيز'!$C$5:$C$2004,MATCH($K51,'سجل التحفيز'!$Y$5:$Y$2004,0)))</f>
        <v/>
      </c>
      <c r="P51" s="36">
        <f>IF($K51="","",INDEX('سجل التحفيز'!$D$5:$D$2004,MATCH($K51,'سجل التحفيز'!$Y$5:$Y$2004,0)))</f>
        <v/>
      </c>
      <c r="Q51" s="9">
        <f>IF($K51="","",INDEX('سجل التحفيز'!$E$5:$E$2004,MATCH($K51,'سجل التحفيز'!$Y$5:$Y$2004,0)))</f>
        <v/>
      </c>
      <c r="R51" s="9">
        <f>IF($K51="","",INDEX('سجل التحفيز'!$F$5:$F$2004,MATCH($K51,'سجل التحفيز'!$Y$5:$Y$2004,0)))</f>
        <v/>
      </c>
      <c r="S51" s="35">
        <f>IF($K51="","",INDEX('سجل التحفيز'!$G$5:$G$2004,MATCH($K51,'سجل التحفيز'!$Y$5:$Y$2004,0)))</f>
        <v/>
      </c>
    </row>
    <row r="52">
      <c r="B52" s="34">
        <f>IFERROR(INDEX(الموظفات!$B$5:$B$304,MATCH(15,الموظفات!$S$5:$S$304,0)),"")</f>
        <v/>
      </c>
      <c r="C52" s="34">
        <f>IF(B52="","",INDEX(الموظفات!$D$5:$D$304,MATCH(B52,الموظفات!$B$5:$B$304,0))&amp;"")</f>
        <v/>
      </c>
      <c r="D52" s="35">
        <f>IF(B52="","",COUNTIFS('سجل التحفيز'!$Y$5:$Y$2004,"&gt;0",'سجل التحفيز'!$B$5:$B$2004,B52))</f>
        <v/>
      </c>
      <c r="E52" s="35">
        <f>IF(B52="","",COUNTIFS('سجل التحفيز'!$Y$5:$Y$2004,"&gt;0",'سجل التحفيز'!$B$5:$B$2004,B52,'سجل التحفيز'!$D$5:$D$2004,"ذهبي"))</f>
        <v/>
      </c>
      <c r="F52" s="35">
        <f>IF(B52="","",SUMIFS('سجل التحفيز'!$G$5:$G$2004,'سجل التحفيز'!$Y$5:$Y$2004,"&gt;0",'سجل التحفيز'!$B$5:$B$2004,B52))</f>
        <v/>
      </c>
      <c r="G52" s="35">
        <f>IF(B52="","",COUNTIF($D$38:$D$187,"&gt;"&amp;D52)+1)</f>
        <v/>
      </c>
      <c r="H52" s="35">
        <f>IF(B52="","",INDEX(الموظفات!$L$5:$L$304,MATCH(B52,الموظفات!$B$5:$B$304,0)))</f>
        <v/>
      </c>
      <c r="K52" s="36">
        <f>IF(15&gt;$B$10,"",15)</f>
        <v/>
      </c>
      <c r="L52" s="37">
        <f>IF($K52="","",INDEX('سجل التحفيز'!$A$5:$A$2004,MATCH($K52,'سجل التحفيز'!$Y$5:$Y$2004,0)))</f>
        <v/>
      </c>
      <c r="M52" s="9">
        <f>IF($K52="","",INDEX('سجل التحفيز'!$B$5:$B$2004,MATCH($K52,'سجل التحفيز'!$Y$5:$Y$2004,0)))</f>
        <v/>
      </c>
      <c r="N52" s="9">
        <f>IF($K52="","",INDEX('سجل التحفيز'!$M$5:$M$2004,MATCH($K52,'سجل التحفيز'!$Y$5:$Y$2004,0)))</f>
        <v/>
      </c>
      <c r="O52" s="9">
        <f>IF($K52="","",INDEX('سجل التحفيز'!$C$5:$C$2004,MATCH($K52,'سجل التحفيز'!$Y$5:$Y$2004,0)))</f>
        <v/>
      </c>
      <c r="P52" s="36">
        <f>IF($K52="","",INDEX('سجل التحفيز'!$D$5:$D$2004,MATCH($K52,'سجل التحفيز'!$Y$5:$Y$2004,0)))</f>
        <v/>
      </c>
      <c r="Q52" s="9">
        <f>IF($K52="","",INDEX('سجل التحفيز'!$E$5:$E$2004,MATCH($K52,'سجل التحفيز'!$Y$5:$Y$2004,0)))</f>
        <v/>
      </c>
      <c r="R52" s="9">
        <f>IF($K52="","",INDEX('سجل التحفيز'!$F$5:$F$2004,MATCH($K52,'سجل التحفيز'!$Y$5:$Y$2004,0)))</f>
        <v/>
      </c>
      <c r="S52" s="35">
        <f>IF($K52="","",INDEX('سجل التحفيز'!$G$5:$G$2004,MATCH($K52,'سجل التحفيز'!$Y$5:$Y$2004,0)))</f>
        <v/>
      </c>
    </row>
    <row r="53">
      <c r="B53" s="34">
        <f>IFERROR(INDEX(الموظفات!$B$5:$B$304,MATCH(16,الموظفات!$S$5:$S$304,0)),"")</f>
        <v/>
      </c>
      <c r="C53" s="34">
        <f>IF(B53="","",INDEX(الموظفات!$D$5:$D$304,MATCH(B53,الموظفات!$B$5:$B$304,0))&amp;"")</f>
        <v/>
      </c>
      <c r="D53" s="35">
        <f>IF(B53="","",COUNTIFS('سجل التحفيز'!$Y$5:$Y$2004,"&gt;0",'سجل التحفيز'!$B$5:$B$2004,B53))</f>
        <v/>
      </c>
      <c r="E53" s="35">
        <f>IF(B53="","",COUNTIFS('سجل التحفيز'!$Y$5:$Y$2004,"&gt;0",'سجل التحفيز'!$B$5:$B$2004,B53,'سجل التحفيز'!$D$5:$D$2004,"ذهبي"))</f>
        <v/>
      </c>
      <c r="F53" s="35">
        <f>IF(B53="","",SUMIFS('سجل التحفيز'!$G$5:$G$2004,'سجل التحفيز'!$Y$5:$Y$2004,"&gt;0",'سجل التحفيز'!$B$5:$B$2004,B53))</f>
        <v/>
      </c>
      <c r="G53" s="35">
        <f>IF(B53="","",COUNTIF($D$38:$D$187,"&gt;"&amp;D53)+1)</f>
        <v/>
      </c>
      <c r="H53" s="35">
        <f>IF(B53="","",INDEX(الموظفات!$L$5:$L$304,MATCH(B53,الموظفات!$B$5:$B$304,0)))</f>
        <v/>
      </c>
      <c r="K53" s="36">
        <f>IF(16&gt;$B$10,"",16)</f>
        <v/>
      </c>
      <c r="L53" s="37">
        <f>IF($K53="","",INDEX('سجل التحفيز'!$A$5:$A$2004,MATCH($K53,'سجل التحفيز'!$Y$5:$Y$2004,0)))</f>
        <v/>
      </c>
      <c r="M53" s="9">
        <f>IF($K53="","",INDEX('سجل التحفيز'!$B$5:$B$2004,MATCH($K53,'سجل التحفيز'!$Y$5:$Y$2004,0)))</f>
        <v/>
      </c>
      <c r="N53" s="9">
        <f>IF($K53="","",INDEX('سجل التحفيز'!$M$5:$M$2004,MATCH($K53,'سجل التحفيز'!$Y$5:$Y$2004,0)))</f>
        <v/>
      </c>
      <c r="O53" s="9">
        <f>IF($K53="","",INDEX('سجل التحفيز'!$C$5:$C$2004,MATCH($K53,'سجل التحفيز'!$Y$5:$Y$2004,0)))</f>
        <v/>
      </c>
      <c r="P53" s="36">
        <f>IF($K53="","",INDEX('سجل التحفيز'!$D$5:$D$2004,MATCH($K53,'سجل التحفيز'!$Y$5:$Y$2004,0)))</f>
        <v/>
      </c>
      <c r="Q53" s="9">
        <f>IF($K53="","",INDEX('سجل التحفيز'!$E$5:$E$2004,MATCH($K53,'سجل التحفيز'!$Y$5:$Y$2004,0)))</f>
        <v/>
      </c>
      <c r="R53" s="9">
        <f>IF($K53="","",INDEX('سجل التحفيز'!$F$5:$F$2004,MATCH($K53,'سجل التحفيز'!$Y$5:$Y$2004,0)))</f>
        <v/>
      </c>
      <c r="S53" s="35">
        <f>IF($K53="","",INDEX('سجل التحفيز'!$G$5:$G$2004,MATCH($K53,'سجل التحفيز'!$Y$5:$Y$2004,0)))</f>
        <v/>
      </c>
    </row>
    <row r="54">
      <c r="B54" s="34">
        <f>IFERROR(INDEX(الموظفات!$B$5:$B$304,MATCH(17,الموظفات!$S$5:$S$304,0)),"")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التحفيز'!$Y$5:$Y$2004,"&gt;0",'سجل التحفيز'!$B$5:$B$2004,B54))</f>
        <v/>
      </c>
      <c r="E54" s="35">
        <f>IF(B54="","",COUNTIFS('سجل التحفيز'!$Y$5:$Y$2004,"&gt;0",'سجل التحفيز'!$B$5:$B$2004,B54,'سجل التحفيز'!$D$5:$D$2004,"ذهبي"))</f>
        <v/>
      </c>
      <c r="F54" s="35">
        <f>IF(B54="","",SUMIFS('سجل التحفيز'!$G$5:$G$2004,'سجل التحفيز'!$Y$5:$Y$2004,"&gt;0",'سجل التحفيز'!$B$5:$B$2004,B54))</f>
        <v/>
      </c>
      <c r="G54" s="35">
        <f>IF(B54="","",COUNTIF($D$38:$D$187,"&gt;"&amp;D54)+1)</f>
        <v/>
      </c>
      <c r="H54" s="35">
        <f>IF(B54="","",INDEX(الموظفات!$L$5:$L$304,MATCH(B54,الموظفات!$B$5:$B$304,0)))</f>
        <v/>
      </c>
      <c r="K54" s="36">
        <f>IF(17&gt;$B$10,"",17)</f>
        <v/>
      </c>
      <c r="L54" s="37">
        <f>IF($K54="","",INDEX('سجل التحفيز'!$A$5:$A$2004,MATCH($K54,'سجل التحفيز'!$Y$5:$Y$2004,0)))</f>
        <v/>
      </c>
      <c r="M54" s="9">
        <f>IF($K54="","",INDEX('سجل التحفيز'!$B$5:$B$2004,MATCH($K54,'سجل التحفيز'!$Y$5:$Y$2004,0)))</f>
        <v/>
      </c>
      <c r="N54" s="9">
        <f>IF($K54="","",INDEX('سجل التحفيز'!$M$5:$M$2004,MATCH($K54,'سجل التحفيز'!$Y$5:$Y$2004,0)))</f>
        <v/>
      </c>
      <c r="O54" s="9">
        <f>IF($K54="","",INDEX('سجل التحفيز'!$C$5:$C$2004,MATCH($K54,'سجل التحفيز'!$Y$5:$Y$2004,0)))</f>
        <v/>
      </c>
      <c r="P54" s="36">
        <f>IF($K54="","",INDEX('سجل التحفيز'!$D$5:$D$2004,MATCH($K54,'سجل التحفيز'!$Y$5:$Y$2004,0)))</f>
        <v/>
      </c>
      <c r="Q54" s="9">
        <f>IF($K54="","",INDEX('سجل التحفيز'!$E$5:$E$2004,MATCH($K54,'سجل التحفيز'!$Y$5:$Y$2004,0)))</f>
        <v/>
      </c>
      <c r="R54" s="9">
        <f>IF($K54="","",INDEX('سجل التحفيز'!$F$5:$F$2004,MATCH($K54,'سجل التحفيز'!$Y$5:$Y$2004,0)))</f>
        <v/>
      </c>
      <c r="S54" s="35">
        <f>IF($K54="","",INDEX('سجل التحفيز'!$G$5:$G$2004,MATCH($K54,'سجل التحفيز'!$Y$5:$Y$2004,0)))</f>
        <v/>
      </c>
    </row>
    <row r="55">
      <c r="B55" s="34">
        <f>IFERROR(INDEX(الموظفات!$B$5:$B$304,MATCH(18,الموظفات!$S$5:$S$304,0)),"")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التحفيز'!$Y$5:$Y$2004,"&gt;0",'سجل التحفيز'!$B$5:$B$2004,B55))</f>
        <v/>
      </c>
      <c r="E55" s="35">
        <f>IF(B55="","",COUNTIFS('سجل التحفيز'!$Y$5:$Y$2004,"&gt;0",'سجل التحفيز'!$B$5:$B$2004,B55,'سجل التحفيز'!$D$5:$D$2004,"ذهبي"))</f>
        <v/>
      </c>
      <c r="F55" s="35">
        <f>IF(B55="","",SUMIFS('سجل التحفيز'!$G$5:$G$2004,'سجل التحفيز'!$Y$5:$Y$2004,"&gt;0",'سجل التحفيز'!$B$5:$B$2004,B55))</f>
        <v/>
      </c>
      <c r="G55" s="35">
        <f>IF(B55="","",COUNTIF($D$38:$D$187,"&gt;"&amp;D55)+1)</f>
        <v/>
      </c>
      <c r="H55" s="35">
        <f>IF(B55="","",INDEX(الموظفات!$L$5:$L$304,MATCH(B55,الموظفات!$B$5:$B$304,0)))</f>
        <v/>
      </c>
      <c r="K55" s="36">
        <f>IF(18&gt;$B$10,"",18)</f>
        <v/>
      </c>
      <c r="L55" s="37">
        <f>IF($K55="","",INDEX('سجل التحفيز'!$A$5:$A$2004,MATCH($K55,'سجل التحفيز'!$Y$5:$Y$2004,0)))</f>
        <v/>
      </c>
      <c r="M55" s="9">
        <f>IF($K55="","",INDEX('سجل التحفيز'!$B$5:$B$2004,MATCH($K55,'سجل التحفيز'!$Y$5:$Y$2004,0)))</f>
        <v/>
      </c>
      <c r="N55" s="9">
        <f>IF($K55="","",INDEX('سجل التحفيز'!$M$5:$M$2004,MATCH($K55,'سجل التحفيز'!$Y$5:$Y$2004,0)))</f>
        <v/>
      </c>
      <c r="O55" s="9">
        <f>IF($K55="","",INDEX('سجل التحفيز'!$C$5:$C$2004,MATCH($K55,'سجل التحفيز'!$Y$5:$Y$2004,0)))</f>
        <v/>
      </c>
      <c r="P55" s="36">
        <f>IF($K55="","",INDEX('سجل التحفيز'!$D$5:$D$2004,MATCH($K55,'سجل التحفيز'!$Y$5:$Y$2004,0)))</f>
        <v/>
      </c>
      <c r="Q55" s="9">
        <f>IF($K55="","",INDEX('سجل التحفيز'!$E$5:$E$2004,MATCH($K55,'سجل التحفيز'!$Y$5:$Y$2004,0)))</f>
        <v/>
      </c>
      <c r="R55" s="9">
        <f>IF($K55="","",INDEX('سجل التحفيز'!$F$5:$F$2004,MATCH($K55,'سجل التحفيز'!$Y$5:$Y$2004,0)))</f>
        <v/>
      </c>
      <c r="S55" s="35">
        <f>IF($K55="","",INDEX('سجل التحفيز'!$G$5:$G$2004,MATCH($K55,'سجل التحفيز'!$Y$5:$Y$2004,0)))</f>
        <v/>
      </c>
    </row>
    <row r="56">
      <c r="B56" s="34">
        <f>IFERROR(INDEX(الموظفات!$B$5:$B$304,MATCH(19,الموظفات!$S$5:$S$304,0)),"")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التحفيز'!$Y$5:$Y$2004,"&gt;0",'سجل التحفيز'!$B$5:$B$2004,B56))</f>
        <v/>
      </c>
      <c r="E56" s="35">
        <f>IF(B56="","",COUNTIFS('سجل التحفيز'!$Y$5:$Y$2004,"&gt;0",'سجل التحفيز'!$B$5:$B$2004,B56,'سجل التحفيز'!$D$5:$D$2004,"ذهبي"))</f>
        <v/>
      </c>
      <c r="F56" s="35">
        <f>IF(B56="","",SUMIFS('سجل التحفيز'!$G$5:$G$2004,'سجل التحفيز'!$Y$5:$Y$2004,"&gt;0",'سجل التحفيز'!$B$5:$B$2004,B56))</f>
        <v/>
      </c>
      <c r="G56" s="35">
        <f>IF(B56="","",COUNTIF($D$38:$D$187,"&gt;"&amp;D56)+1)</f>
        <v/>
      </c>
      <c r="H56" s="35">
        <f>IF(B56="","",INDEX(الموظفات!$L$5:$L$304,MATCH(B56,الموظفات!$B$5:$B$304,0)))</f>
        <v/>
      </c>
      <c r="K56" s="36">
        <f>IF(19&gt;$B$10,"",19)</f>
        <v/>
      </c>
      <c r="L56" s="37">
        <f>IF($K56="","",INDEX('سجل التحفيز'!$A$5:$A$2004,MATCH($K56,'سجل التحفيز'!$Y$5:$Y$2004,0)))</f>
        <v/>
      </c>
      <c r="M56" s="9">
        <f>IF($K56="","",INDEX('سجل التحفيز'!$B$5:$B$2004,MATCH($K56,'سجل التحفيز'!$Y$5:$Y$2004,0)))</f>
        <v/>
      </c>
      <c r="N56" s="9">
        <f>IF($K56="","",INDEX('سجل التحفيز'!$M$5:$M$2004,MATCH($K56,'سجل التحفيز'!$Y$5:$Y$2004,0)))</f>
        <v/>
      </c>
      <c r="O56" s="9">
        <f>IF($K56="","",INDEX('سجل التحفيز'!$C$5:$C$2004,MATCH($K56,'سجل التحفيز'!$Y$5:$Y$2004,0)))</f>
        <v/>
      </c>
      <c r="P56" s="36">
        <f>IF($K56="","",INDEX('سجل التحفيز'!$D$5:$D$2004,MATCH($K56,'سجل التحفيز'!$Y$5:$Y$2004,0)))</f>
        <v/>
      </c>
      <c r="Q56" s="9">
        <f>IF($K56="","",INDEX('سجل التحفيز'!$E$5:$E$2004,MATCH($K56,'سجل التحفيز'!$Y$5:$Y$2004,0)))</f>
        <v/>
      </c>
      <c r="R56" s="9">
        <f>IF($K56="","",INDEX('سجل التحفيز'!$F$5:$F$2004,MATCH($K56,'سجل التحفيز'!$Y$5:$Y$2004,0)))</f>
        <v/>
      </c>
      <c r="S56" s="35">
        <f>IF($K56="","",INDEX('سجل التحفيز'!$G$5:$G$2004,MATCH($K56,'سجل التحفيز'!$Y$5:$Y$2004,0)))</f>
        <v/>
      </c>
    </row>
    <row r="57">
      <c r="B57" s="34">
        <f>IFERROR(INDEX(الموظفات!$B$5:$B$304,MATCH(20,الموظفات!$S$5:$S$304,0)),"")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التحفيز'!$Y$5:$Y$2004,"&gt;0",'سجل التحفيز'!$B$5:$B$2004,B57))</f>
        <v/>
      </c>
      <c r="E57" s="35">
        <f>IF(B57="","",COUNTIFS('سجل التحفيز'!$Y$5:$Y$2004,"&gt;0",'سجل التحفيز'!$B$5:$B$2004,B57,'سجل التحفيز'!$D$5:$D$2004,"ذهبي"))</f>
        <v/>
      </c>
      <c r="F57" s="35">
        <f>IF(B57="","",SUMIFS('سجل التحفيز'!$G$5:$G$2004,'سجل التحفيز'!$Y$5:$Y$2004,"&gt;0",'سجل التحفيز'!$B$5:$B$2004,B57))</f>
        <v/>
      </c>
      <c r="G57" s="35">
        <f>IF(B57="","",COUNTIF($D$38:$D$187,"&gt;"&amp;D57)+1)</f>
        <v/>
      </c>
      <c r="H57" s="35">
        <f>IF(B57="","",INDEX(الموظفات!$L$5:$L$304,MATCH(B57,الموظفات!$B$5:$B$304,0)))</f>
        <v/>
      </c>
      <c r="K57" s="36">
        <f>IF(20&gt;$B$10,"",20)</f>
        <v/>
      </c>
      <c r="L57" s="37">
        <f>IF($K57="","",INDEX('سجل التحفيز'!$A$5:$A$2004,MATCH($K57,'سجل التحفيز'!$Y$5:$Y$2004,0)))</f>
        <v/>
      </c>
      <c r="M57" s="9">
        <f>IF($K57="","",INDEX('سجل التحفيز'!$B$5:$B$2004,MATCH($K57,'سجل التحفيز'!$Y$5:$Y$2004,0)))</f>
        <v/>
      </c>
      <c r="N57" s="9">
        <f>IF($K57="","",INDEX('سجل التحفيز'!$M$5:$M$2004,MATCH($K57,'سجل التحفيز'!$Y$5:$Y$2004,0)))</f>
        <v/>
      </c>
      <c r="O57" s="9">
        <f>IF($K57="","",INDEX('سجل التحفيز'!$C$5:$C$2004,MATCH($K57,'سجل التحفيز'!$Y$5:$Y$2004,0)))</f>
        <v/>
      </c>
      <c r="P57" s="36">
        <f>IF($K57="","",INDEX('سجل التحفيز'!$D$5:$D$2004,MATCH($K57,'سجل التحفيز'!$Y$5:$Y$2004,0)))</f>
        <v/>
      </c>
      <c r="Q57" s="9">
        <f>IF($K57="","",INDEX('سجل التحفيز'!$E$5:$E$2004,MATCH($K57,'سجل التحفيز'!$Y$5:$Y$2004,0)))</f>
        <v/>
      </c>
      <c r="R57" s="9">
        <f>IF($K57="","",INDEX('سجل التحفيز'!$F$5:$F$2004,MATCH($K57,'سجل التحفيز'!$Y$5:$Y$2004,0)))</f>
        <v/>
      </c>
      <c r="S57" s="35">
        <f>IF($K57="","",INDEX('سجل التحفيز'!$G$5:$G$2004,MATCH($K57,'سجل التحفيز'!$Y$5:$Y$2004,0)))</f>
        <v/>
      </c>
    </row>
    <row r="58">
      <c r="B58" s="34">
        <f>IFERROR(INDEX(الموظفات!$B$5:$B$304,MATCH(21,الموظفات!$S$5:$S$304,0)),"")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التحفيز'!$Y$5:$Y$2004,"&gt;0",'سجل التحفيز'!$B$5:$B$2004,B58))</f>
        <v/>
      </c>
      <c r="E58" s="35">
        <f>IF(B58="","",COUNTIFS('سجل التحفيز'!$Y$5:$Y$2004,"&gt;0",'سجل التحفيز'!$B$5:$B$2004,B58,'سجل التحفيز'!$D$5:$D$2004,"ذهبي"))</f>
        <v/>
      </c>
      <c r="F58" s="35">
        <f>IF(B58="","",SUMIFS('سجل التحفيز'!$G$5:$G$2004,'سجل التحفيز'!$Y$5:$Y$2004,"&gt;0",'سجل التحفيز'!$B$5:$B$2004,B58))</f>
        <v/>
      </c>
      <c r="G58" s="35">
        <f>IF(B58="","",COUNTIF($D$38:$D$187,"&gt;"&amp;D58)+1)</f>
        <v/>
      </c>
      <c r="H58" s="35">
        <f>IF(B58="","",INDEX(الموظفات!$L$5:$L$304,MATCH(B58,الموظفات!$B$5:$B$304,0)))</f>
        <v/>
      </c>
      <c r="K58" s="36">
        <f>IF(21&gt;$B$10,"",21)</f>
        <v/>
      </c>
      <c r="L58" s="37">
        <f>IF($K58="","",INDEX('سجل التحفيز'!$A$5:$A$2004,MATCH($K58,'سجل التحفيز'!$Y$5:$Y$2004,0)))</f>
        <v/>
      </c>
      <c r="M58" s="9">
        <f>IF($K58="","",INDEX('سجل التحفيز'!$B$5:$B$2004,MATCH($K58,'سجل التحفيز'!$Y$5:$Y$2004,0)))</f>
        <v/>
      </c>
      <c r="N58" s="9">
        <f>IF($K58="","",INDEX('سجل التحفيز'!$M$5:$M$2004,MATCH($K58,'سجل التحفيز'!$Y$5:$Y$2004,0)))</f>
        <v/>
      </c>
      <c r="O58" s="9">
        <f>IF($K58="","",INDEX('سجل التحفيز'!$C$5:$C$2004,MATCH($K58,'سجل التحفيز'!$Y$5:$Y$2004,0)))</f>
        <v/>
      </c>
      <c r="P58" s="36">
        <f>IF($K58="","",INDEX('سجل التحفيز'!$D$5:$D$2004,MATCH($K58,'سجل التحفيز'!$Y$5:$Y$2004,0)))</f>
        <v/>
      </c>
      <c r="Q58" s="9">
        <f>IF($K58="","",INDEX('سجل التحفيز'!$E$5:$E$2004,MATCH($K58,'سجل التحفيز'!$Y$5:$Y$2004,0)))</f>
        <v/>
      </c>
      <c r="R58" s="9">
        <f>IF($K58="","",INDEX('سجل التحفيز'!$F$5:$F$2004,MATCH($K58,'سجل التحفيز'!$Y$5:$Y$2004,0)))</f>
        <v/>
      </c>
      <c r="S58" s="35">
        <f>IF($K58="","",INDEX('سجل التحفيز'!$G$5:$G$2004,MATCH($K58,'سجل التحفيز'!$Y$5:$Y$2004,0)))</f>
        <v/>
      </c>
    </row>
    <row r="59">
      <c r="B59" s="34">
        <f>IFERROR(INDEX(الموظفات!$B$5:$B$304,MATCH(22,الموظفات!$S$5:$S$304,0)),"")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التحفيز'!$Y$5:$Y$2004,"&gt;0",'سجل التحفيز'!$B$5:$B$2004,B59))</f>
        <v/>
      </c>
      <c r="E59" s="35">
        <f>IF(B59="","",COUNTIFS('سجل التحفيز'!$Y$5:$Y$2004,"&gt;0",'سجل التحفيز'!$B$5:$B$2004,B59,'سجل التحفيز'!$D$5:$D$2004,"ذهبي"))</f>
        <v/>
      </c>
      <c r="F59" s="35">
        <f>IF(B59="","",SUMIFS('سجل التحفيز'!$G$5:$G$2004,'سجل التحفيز'!$Y$5:$Y$2004,"&gt;0",'سجل التحفيز'!$B$5:$B$2004,B59))</f>
        <v/>
      </c>
      <c r="G59" s="35">
        <f>IF(B59="","",COUNTIF($D$38:$D$187,"&gt;"&amp;D59)+1)</f>
        <v/>
      </c>
      <c r="H59" s="35">
        <f>IF(B59="","",INDEX(الموظفات!$L$5:$L$304,MATCH(B59,الموظفات!$B$5:$B$304,0)))</f>
        <v/>
      </c>
      <c r="K59" s="36">
        <f>IF(22&gt;$B$10,"",22)</f>
        <v/>
      </c>
      <c r="L59" s="37">
        <f>IF($K59="","",INDEX('سجل التحفيز'!$A$5:$A$2004,MATCH($K59,'سجل التحفيز'!$Y$5:$Y$2004,0)))</f>
        <v/>
      </c>
      <c r="M59" s="9">
        <f>IF($K59="","",INDEX('سجل التحفيز'!$B$5:$B$2004,MATCH($K59,'سجل التحفيز'!$Y$5:$Y$2004,0)))</f>
        <v/>
      </c>
      <c r="N59" s="9">
        <f>IF($K59="","",INDEX('سجل التحفيز'!$M$5:$M$2004,MATCH($K59,'سجل التحفيز'!$Y$5:$Y$2004,0)))</f>
        <v/>
      </c>
      <c r="O59" s="9">
        <f>IF($K59="","",INDEX('سجل التحفيز'!$C$5:$C$2004,MATCH($K59,'سجل التحفيز'!$Y$5:$Y$2004,0)))</f>
        <v/>
      </c>
      <c r="P59" s="36">
        <f>IF($K59="","",INDEX('سجل التحفيز'!$D$5:$D$2004,MATCH($K59,'سجل التحفيز'!$Y$5:$Y$2004,0)))</f>
        <v/>
      </c>
      <c r="Q59" s="9">
        <f>IF($K59="","",INDEX('سجل التحفيز'!$E$5:$E$2004,MATCH($K59,'سجل التحفيز'!$Y$5:$Y$2004,0)))</f>
        <v/>
      </c>
      <c r="R59" s="9">
        <f>IF($K59="","",INDEX('سجل التحفيز'!$F$5:$F$2004,MATCH($K59,'سجل التحفيز'!$Y$5:$Y$2004,0)))</f>
        <v/>
      </c>
      <c r="S59" s="35">
        <f>IF($K59="","",INDEX('سجل التحفيز'!$G$5:$G$2004,MATCH($K59,'سجل التحفيز'!$Y$5:$Y$2004,0)))</f>
        <v/>
      </c>
    </row>
    <row r="60">
      <c r="B60" s="34">
        <f>IFERROR(INDEX(الموظفات!$B$5:$B$304,MATCH(23,الموظفات!$S$5:$S$304,0)),"")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التحفيز'!$Y$5:$Y$2004,"&gt;0",'سجل التحفيز'!$B$5:$B$2004,B60))</f>
        <v/>
      </c>
      <c r="E60" s="35">
        <f>IF(B60="","",COUNTIFS('سجل التحفيز'!$Y$5:$Y$2004,"&gt;0",'سجل التحفيز'!$B$5:$B$2004,B60,'سجل التحفيز'!$D$5:$D$2004,"ذهبي"))</f>
        <v/>
      </c>
      <c r="F60" s="35">
        <f>IF(B60="","",SUMIFS('سجل التحفيز'!$G$5:$G$2004,'سجل التحفيز'!$Y$5:$Y$2004,"&gt;0",'سجل التحفيز'!$B$5:$B$2004,B60))</f>
        <v/>
      </c>
      <c r="G60" s="35">
        <f>IF(B60="","",COUNTIF($D$38:$D$187,"&gt;"&amp;D60)+1)</f>
        <v/>
      </c>
      <c r="H60" s="35">
        <f>IF(B60="","",INDEX(الموظفات!$L$5:$L$304,MATCH(B60,الموظفات!$B$5:$B$304,0)))</f>
        <v/>
      </c>
      <c r="K60" s="36">
        <f>IF(23&gt;$B$10,"",23)</f>
        <v/>
      </c>
      <c r="L60" s="37">
        <f>IF($K60="","",INDEX('سجل التحفيز'!$A$5:$A$2004,MATCH($K60,'سجل التحفيز'!$Y$5:$Y$2004,0)))</f>
        <v/>
      </c>
      <c r="M60" s="9">
        <f>IF($K60="","",INDEX('سجل التحفيز'!$B$5:$B$2004,MATCH($K60,'سجل التحفيز'!$Y$5:$Y$2004,0)))</f>
        <v/>
      </c>
      <c r="N60" s="9">
        <f>IF($K60="","",INDEX('سجل التحفيز'!$M$5:$M$2004,MATCH($K60,'سجل التحفيز'!$Y$5:$Y$2004,0)))</f>
        <v/>
      </c>
      <c r="O60" s="9">
        <f>IF($K60="","",INDEX('سجل التحفيز'!$C$5:$C$2004,MATCH($K60,'سجل التحفيز'!$Y$5:$Y$2004,0)))</f>
        <v/>
      </c>
      <c r="P60" s="36">
        <f>IF($K60="","",INDEX('سجل التحفيز'!$D$5:$D$2004,MATCH($K60,'سجل التحفيز'!$Y$5:$Y$2004,0)))</f>
        <v/>
      </c>
      <c r="Q60" s="9">
        <f>IF($K60="","",INDEX('سجل التحفيز'!$E$5:$E$2004,MATCH($K60,'سجل التحفيز'!$Y$5:$Y$2004,0)))</f>
        <v/>
      </c>
      <c r="R60" s="9">
        <f>IF($K60="","",INDEX('سجل التحفيز'!$F$5:$F$2004,MATCH($K60,'سجل التحفيز'!$Y$5:$Y$2004,0)))</f>
        <v/>
      </c>
      <c r="S60" s="35">
        <f>IF($K60="","",INDEX('سجل التحفيز'!$G$5:$G$2004,MATCH($K60,'سجل التحفيز'!$Y$5:$Y$2004,0)))</f>
        <v/>
      </c>
    </row>
    <row r="61">
      <c r="B61" s="34">
        <f>IFERROR(INDEX(الموظفات!$B$5:$B$304,MATCH(24,الموظفات!$S$5:$S$304,0)),"")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التحفيز'!$Y$5:$Y$2004,"&gt;0",'سجل التحفيز'!$B$5:$B$2004,B61))</f>
        <v/>
      </c>
      <c r="E61" s="35">
        <f>IF(B61="","",COUNTIFS('سجل التحفيز'!$Y$5:$Y$2004,"&gt;0",'سجل التحفيز'!$B$5:$B$2004,B61,'سجل التحفيز'!$D$5:$D$2004,"ذهبي"))</f>
        <v/>
      </c>
      <c r="F61" s="35">
        <f>IF(B61="","",SUMIFS('سجل التحفيز'!$G$5:$G$2004,'سجل التحفيز'!$Y$5:$Y$2004,"&gt;0",'سجل التحفيز'!$B$5:$B$2004,B61))</f>
        <v/>
      </c>
      <c r="G61" s="35">
        <f>IF(B61="","",COUNTIF($D$38:$D$187,"&gt;"&amp;D61)+1)</f>
        <v/>
      </c>
      <c r="H61" s="35">
        <f>IF(B61="","",INDEX(الموظفات!$L$5:$L$304,MATCH(B61,الموظفات!$B$5:$B$304,0)))</f>
        <v/>
      </c>
      <c r="K61" s="36">
        <f>IF(24&gt;$B$10,"",24)</f>
        <v/>
      </c>
      <c r="L61" s="37">
        <f>IF($K61="","",INDEX('سجل التحفيز'!$A$5:$A$2004,MATCH($K61,'سجل التحفيز'!$Y$5:$Y$2004,0)))</f>
        <v/>
      </c>
      <c r="M61" s="9">
        <f>IF($K61="","",INDEX('سجل التحفيز'!$B$5:$B$2004,MATCH($K61,'سجل التحفيز'!$Y$5:$Y$2004,0)))</f>
        <v/>
      </c>
      <c r="N61" s="9">
        <f>IF($K61="","",INDEX('سجل التحفيز'!$M$5:$M$2004,MATCH($K61,'سجل التحفيز'!$Y$5:$Y$2004,0)))</f>
        <v/>
      </c>
      <c r="O61" s="9">
        <f>IF($K61="","",INDEX('سجل التحفيز'!$C$5:$C$2004,MATCH($K61,'سجل التحفيز'!$Y$5:$Y$2004,0)))</f>
        <v/>
      </c>
      <c r="P61" s="36">
        <f>IF($K61="","",INDEX('سجل التحفيز'!$D$5:$D$2004,MATCH($K61,'سجل التحفيز'!$Y$5:$Y$2004,0)))</f>
        <v/>
      </c>
      <c r="Q61" s="9">
        <f>IF($K61="","",INDEX('سجل التحفيز'!$E$5:$E$2004,MATCH($K61,'سجل التحفيز'!$Y$5:$Y$2004,0)))</f>
        <v/>
      </c>
      <c r="R61" s="9">
        <f>IF($K61="","",INDEX('سجل التحفيز'!$F$5:$F$2004,MATCH($K61,'سجل التحفيز'!$Y$5:$Y$2004,0)))</f>
        <v/>
      </c>
      <c r="S61" s="35">
        <f>IF($K61="","",INDEX('سجل التحفيز'!$G$5:$G$2004,MATCH($K61,'سجل التحفيز'!$Y$5:$Y$2004,0)))</f>
        <v/>
      </c>
    </row>
    <row r="62">
      <c r="B62" s="34">
        <f>IFERROR(INDEX(الموظفات!$B$5:$B$304,MATCH(25,الموظفات!$S$5:$S$304,0)),"")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التحفيز'!$Y$5:$Y$2004,"&gt;0",'سجل التحفيز'!$B$5:$B$2004,B62))</f>
        <v/>
      </c>
      <c r="E62" s="35">
        <f>IF(B62="","",COUNTIFS('سجل التحفيز'!$Y$5:$Y$2004,"&gt;0",'سجل التحفيز'!$B$5:$B$2004,B62,'سجل التحفيز'!$D$5:$D$2004,"ذهبي"))</f>
        <v/>
      </c>
      <c r="F62" s="35">
        <f>IF(B62="","",SUMIFS('سجل التحفيز'!$G$5:$G$2004,'سجل التحفيز'!$Y$5:$Y$2004,"&gt;0",'سجل التحفيز'!$B$5:$B$2004,B62))</f>
        <v/>
      </c>
      <c r="G62" s="35">
        <f>IF(B62="","",COUNTIF($D$38:$D$187,"&gt;"&amp;D62)+1)</f>
        <v/>
      </c>
      <c r="H62" s="35">
        <f>IF(B62="","",INDEX(الموظفات!$L$5:$L$304,MATCH(B62,الموظفات!$B$5:$B$304,0)))</f>
        <v/>
      </c>
      <c r="K62" s="36">
        <f>IF(25&gt;$B$10,"",25)</f>
        <v/>
      </c>
      <c r="L62" s="37">
        <f>IF($K62="","",INDEX('سجل التحفيز'!$A$5:$A$2004,MATCH($K62,'سجل التحفيز'!$Y$5:$Y$2004,0)))</f>
        <v/>
      </c>
      <c r="M62" s="9">
        <f>IF($K62="","",INDEX('سجل التحفيز'!$B$5:$B$2004,MATCH($K62,'سجل التحفيز'!$Y$5:$Y$2004,0)))</f>
        <v/>
      </c>
      <c r="N62" s="9">
        <f>IF($K62="","",INDEX('سجل التحفيز'!$M$5:$M$2004,MATCH($K62,'سجل التحفيز'!$Y$5:$Y$2004,0)))</f>
        <v/>
      </c>
      <c r="O62" s="9">
        <f>IF($K62="","",INDEX('سجل التحفيز'!$C$5:$C$2004,MATCH($K62,'سجل التحفيز'!$Y$5:$Y$2004,0)))</f>
        <v/>
      </c>
      <c r="P62" s="36">
        <f>IF($K62="","",INDEX('سجل التحفيز'!$D$5:$D$2004,MATCH($K62,'سجل التحفيز'!$Y$5:$Y$2004,0)))</f>
        <v/>
      </c>
      <c r="Q62" s="9">
        <f>IF($K62="","",INDEX('سجل التحفيز'!$E$5:$E$2004,MATCH($K62,'سجل التحفيز'!$Y$5:$Y$2004,0)))</f>
        <v/>
      </c>
      <c r="R62" s="9">
        <f>IF($K62="","",INDEX('سجل التحفيز'!$F$5:$F$2004,MATCH($K62,'سجل التحفيز'!$Y$5:$Y$2004,0)))</f>
        <v/>
      </c>
      <c r="S62" s="35">
        <f>IF($K62="","",INDEX('سجل التحفيز'!$G$5:$G$2004,MATCH($K62,'سجل التحفيز'!$Y$5:$Y$2004,0)))</f>
        <v/>
      </c>
    </row>
    <row r="63">
      <c r="B63" s="34">
        <f>IFERROR(INDEX(الموظفات!$B$5:$B$304,MATCH(26,الموظفات!$S$5:$S$304,0)),"")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التحفيز'!$Y$5:$Y$2004,"&gt;0",'سجل التحفيز'!$B$5:$B$2004,B63))</f>
        <v/>
      </c>
      <c r="E63" s="35">
        <f>IF(B63="","",COUNTIFS('سجل التحفيز'!$Y$5:$Y$2004,"&gt;0",'سجل التحفيز'!$B$5:$B$2004,B63,'سجل التحفيز'!$D$5:$D$2004,"ذهبي"))</f>
        <v/>
      </c>
      <c r="F63" s="35">
        <f>IF(B63="","",SUMIFS('سجل التحفيز'!$G$5:$G$2004,'سجل التحفيز'!$Y$5:$Y$2004,"&gt;0",'سجل التحفيز'!$B$5:$B$2004,B63))</f>
        <v/>
      </c>
      <c r="G63" s="35">
        <f>IF(B63="","",COUNTIF($D$38:$D$187,"&gt;"&amp;D63)+1)</f>
        <v/>
      </c>
      <c r="H63" s="35">
        <f>IF(B63="","",INDEX(الموظفات!$L$5:$L$304,MATCH(B63,الموظفات!$B$5:$B$304,0)))</f>
        <v/>
      </c>
      <c r="K63" s="36">
        <f>IF(26&gt;$B$10,"",26)</f>
        <v/>
      </c>
      <c r="L63" s="37">
        <f>IF($K63="","",INDEX('سجل التحفيز'!$A$5:$A$2004,MATCH($K63,'سجل التحفيز'!$Y$5:$Y$2004,0)))</f>
        <v/>
      </c>
      <c r="M63" s="9">
        <f>IF($K63="","",INDEX('سجل التحفيز'!$B$5:$B$2004,MATCH($K63,'سجل التحفيز'!$Y$5:$Y$2004,0)))</f>
        <v/>
      </c>
      <c r="N63" s="9">
        <f>IF($K63="","",INDEX('سجل التحفيز'!$M$5:$M$2004,MATCH($K63,'سجل التحفيز'!$Y$5:$Y$2004,0)))</f>
        <v/>
      </c>
      <c r="O63" s="9">
        <f>IF($K63="","",INDEX('سجل التحفيز'!$C$5:$C$2004,MATCH($K63,'سجل التحفيز'!$Y$5:$Y$2004,0)))</f>
        <v/>
      </c>
      <c r="P63" s="36">
        <f>IF($K63="","",INDEX('سجل التحفيز'!$D$5:$D$2004,MATCH($K63,'سجل التحفيز'!$Y$5:$Y$2004,0)))</f>
        <v/>
      </c>
      <c r="Q63" s="9">
        <f>IF($K63="","",INDEX('سجل التحفيز'!$E$5:$E$2004,MATCH($K63,'سجل التحفيز'!$Y$5:$Y$2004,0)))</f>
        <v/>
      </c>
      <c r="R63" s="9">
        <f>IF($K63="","",INDEX('سجل التحفيز'!$F$5:$F$2004,MATCH($K63,'سجل التحفيز'!$Y$5:$Y$2004,0)))</f>
        <v/>
      </c>
      <c r="S63" s="35">
        <f>IF($K63="","",INDEX('سجل التحفيز'!$G$5:$G$2004,MATCH($K63,'سجل التحفيز'!$Y$5:$Y$2004,0)))</f>
        <v/>
      </c>
    </row>
    <row r="64">
      <c r="B64" s="34">
        <f>IFERROR(INDEX(الموظفات!$B$5:$B$304,MATCH(27,الموظفات!$S$5:$S$304,0)),"")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التحفيز'!$Y$5:$Y$2004,"&gt;0",'سجل التحفيز'!$B$5:$B$2004,B64))</f>
        <v/>
      </c>
      <c r="E64" s="35">
        <f>IF(B64="","",COUNTIFS('سجل التحفيز'!$Y$5:$Y$2004,"&gt;0",'سجل التحفيز'!$B$5:$B$2004,B64,'سجل التحفيز'!$D$5:$D$2004,"ذهبي"))</f>
        <v/>
      </c>
      <c r="F64" s="35">
        <f>IF(B64="","",SUMIFS('سجل التحفيز'!$G$5:$G$2004,'سجل التحفيز'!$Y$5:$Y$2004,"&gt;0",'سجل التحفيز'!$B$5:$B$2004,B64))</f>
        <v/>
      </c>
      <c r="G64" s="35">
        <f>IF(B64="","",COUNTIF($D$38:$D$187,"&gt;"&amp;D64)+1)</f>
        <v/>
      </c>
      <c r="H64" s="35">
        <f>IF(B64="","",INDEX(الموظفات!$L$5:$L$304,MATCH(B64,الموظفات!$B$5:$B$304,0)))</f>
        <v/>
      </c>
      <c r="K64" s="36">
        <f>IF(27&gt;$B$10,"",27)</f>
        <v/>
      </c>
      <c r="L64" s="37">
        <f>IF($K64="","",INDEX('سجل التحفيز'!$A$5:$A$2004,MATCH($K64,'سجل التحفيز'!$Y$5:$Y$2004,0)))</f>
        <v/>
      </c>
      <c r="M64" s="9">
        <f>IF($K64="","",INDEX('سجل التحفيز'!$B$5:$B$2004,MATCH($K64,'سجل التحفيز'!$Y$5:$Y$2004,0)))</f>
        <v/>
      </c>
      <c r="N64" s="9">
        <f>IF($K64="","",INDEX('سجل التحفيز'!$M$5:$M$2004,MATCH($K64,'سجل التحفيز'!$Y$5:$Y$2004,0)))</f>
        <v/>
      </c>
      <c r="O64" s="9">
        <f>IF($K64="","",INDEX('سجل التحفيز'!$C$5:$C$2004,MATCH($K64,'سجل التحفيز'!$Y$5:$Y$2004,0)))</f>
        <v/>
      </c>
      <c r="P64" s="36">
        <f>IF($K64="","",INDEX('سجل التحفيز'!$D$5:$D$2004,MATCH($K64,'سجل التحفيز'!$Y$5:$Y$2004,0)))</f>
        <v/>
      </c>
      <c r="Q64" s="9">
        <f>IF($K64="","",INDEX('سجل التحفيز'!$E$5:$E$2004,MATCH($K64,'سجل التحفيز'!$Y$5:$Y$2004,0)))</f>
        <v/>
      </c>
      <c r="R64" s="9">
        <f>IF($K64="","",INDEX('سجل التحفيز'!$F$5:$F$2004,MATCH($K64,'سجل التحفيز'!$Y$5:$Y$2004,0)))</f>
        <v/>
      </c>
      <c r="S64" s="35">
        <f>IF($K64="","",INDEX('سجل التحفيز'!$G$5:$G$2004,MATCH($K64,'سجل التحفيز'!$Y$5:$Y$2004,0)))</f>
        <v/>
      </c>
    </row>
    <row r="65">
      <c r="B65" s="34">
        <f>IFERROR(INDEX(الموظفات!$B$5:$B$304,MATCH(28,الموظفات!$S$5:$S$304,0)),"")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التحفيز'!$Y$5:$Y$2004,"&gt;0",'سجل التحفيز'!$B$5:$B$2004,B65))</f>
        <v/>
      </c>
      <c r="E65" s="35">
        <f>IF(B65="","",COUNTIFS('سجل التحفيز'!$Y$5:$Y$2004,"&gt;0",'سجل التحفيز'!$B$5:$B$2004,B65,'سجل التحفيز'!$D$5:$D$2004,"ذهبي"))</f>
        <v/>
      </c>
      <c r="F65" s="35">
        <f>IF(B65="","",SUMIFS('سجل التحفيز'!$G$5:$G$2004,'سجل التحفيز'!$Y$5:$Y$2004,"&gt;0",'سجل التحفيز'!$B$5:$B$2004,B65))</f>
        <v/>
      </c>
      <c r="G65" s="35">
        <f>IF(B65="","",COUNTIF($D$38:$D$187,"&gt;"&amp;D65)+1)</f>
        <v/>
      </c>
      <c r="H65" s="35">
        <f>IF(B65="","",INDEX(الموظفات!$L$5:$L$304,MATCH(B65,الموظفات!$B$5:$B$304,0)))</f>
        <v/>
      </c>
      <c r="K65" s="36">
        <f>IF(28&gt;$B$10,"",28)</f>
        <v/>
      </c>
      <c r="L65" s="37">
        <f>IF($K65="","",INDEX('سجل التحفيز'!$A$5:$A$2004,MATCH($K65,'سجل التحفيز'!$Y$5:$Y$2004,0)))</f>
        <v/>
      </c>
      <c r="M65" s="9">
        <f>IF($K65="","",INDEX('سجل التحفيز'!$B$5:$B$2004,MATCH($K65,'سجل التحفيز'!$Y$5:$Y$2004,0)))</f>
        <v/>
      </c>
      <c r="N65" s="9">
        <f>IF($K65="","",INDEX('سجل التحفيز'!$M$5:$M$2004,MATCH($K65,'سجل التحفيز'!$Y$5:$Y$2004,0)))</f>
        <v/>
      </c>
      <c r="O65" s="9">
        <f>IF($K65="","",INDEX('سجل التحفيز'!$C$5:$C$2004,MATCH($K65,'سجل التحفيز'!$Y$5:$Y$2004,0)))</f>
        <v/>
      </c>
      <c r="P65" s="36">
        <f>IF($K65="","",INDEX('سجل التحفيز'!$D$5:$D$2004,MATCH($K65,'سجل التحفيز'!$Y$5:$Y$2004,0)))</f>
        <v/>
      </c>
      <c r="Q65" s="9">
        <f>IF($K65="","",INDEX('سجل التحفيز'!$E$5:$E$2004,MATCH($K65,'سجل التحفيز'!$Y$5:$Y$2004,0)))</f>
        <v/>
      </c>
      <c r="R65" s="9">
        <f>IF($K65="","",INDEX('سجل التحفيز'!$F$5:$F$2004,MATCH($K65,'سجل التحفيز'!$Y$5:$Y$2004,0)))</f>
        <v/>
      </c>
      <c r="S65" s="35">
        <f>IF($K65="","",INDEX('سجل التحفيز'!$G$5:$G$2004,MATCH($K65,'سجل التحفيز'!$Y$5:$Y$2004,0)))</f>
        <v/>
      </c>
    </row>
    <row r="66">
      <c r="B66" s="34">
        <f>IFERROR(INDEX(الموظفات!$B$5:$B$304,MATCH(29,الموظفات!$S$5:$S$304,0)),"")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التحفيز'!$Y$5:$Y$2004,"&gt;0",'سجل التحفيز'!$B$5:$B$2004,B66))</f>
        <v/>
      </c>
      <c r="E66" s="35">
        <f>IF(B66="","",COUNTIFS('سجل التحفيز'!$Y$5:$Y$2004,"&gt;0",'سجل التحفيز'!$B$5:$B$2004,B66,'سجل التحفيز'!$D$5:$D$2004,"ذهبي"))</f>
        <v/>
      </c>
      <c r="F66" s="35">
        <f>IF(B66="","",SUMIFS('سجل التحفيز'!$G$5:$G$2004,'سجل التحفيز'!$Y$5:$Y$2004,"&gt;0",'سجل التحفيز'!$B$5:$B$2004,B66))</f>
        <v/>
      </c>
      <c r="G66" s="35">
        <f>IF(B66="","",COUNTIF($D$38:$D$187,"&gt;"&amp;D66)+1)</f>
        <v/>
      </c>
      <c r="H66" s="35">
        <f>IF(B66="","",INDEX(الموظفات!$L$5:$L$304,MATCH(B66,الموظفات!$B$5:$B$304,0)))</f>
        <v/>
      </c>
      <c r="K66" s="36">
        <f>IF(29&gt;$B$10,"",29)</f>
        <v/>
      </c>
      <c r="L66" s="37">
        <f>IF($K66="","",INDEX('سجل التحفيز'!$A$5:$A$2004,MATCH($K66,'سجل التحفيز'!$Y$5:$Y$2004,0)))</f>
        <v/>
      </c>
      <c r="M66" s="9">
        <f>IF($K66="","",INDEX('سجل التحفيز'!$B$5:$B$2004,MATCH($K66,'سجل التحفيز'!$Y$5:$Y$2004,0)))</f>
        <v/>
      </c>
      <c r="N66" s="9">
        <f>IF($K66="","",INDEX('سجل التحفيز'!$M$5:$M$2004,MATCH($K66,'سجل التحفيز'!$Y$5:$Y$2004,0)))</f>
        <v/>
      </c>
      <c r="O66" s="9">
        <f>IF($K66="","",INDEX('سجل التحفيز'!$C$5:$C$2004,MATCH($K66,'سجل التحفيز'!$Y$5:$Y$2004,0)))</f>
        <v/>
      </c>
      <c r="P66" s="36">
        <f>IF($K66="","",INDEX('سجل التحفيز'!$D$5:$D$2004,MATCH($K66,'سجل التحفيز'!$Y$5:$Y$2004,0)))</f>
        <v/>
      </c>
      <c r="Q66" s="9">
        <f>IF($K66="","",INDEX('سجل التحفيز'!$E$5:$E$2004,MATCH($K66,'سجل التحفيز'!$Y$5:$Y$2004,0)))</f>
        <v/>
      </c>
      <c r="R66" s="9">
        <f>IF($K66="","",INDEX('سجل التحفيز'!$F$5:$F$2004,MATCH($K66,'سجل التحفيز'!$Y$5:$Y$2004,0)))</f>
        <v/>
      </c>
      <c r="S66" s="35">
        <f>IF($K66="","",INDEX('سجل التحفيز'!$G$5:$G$2004,MATCH($K66,'سجل التحفيز'!$Y$5:$Y$2004,0)))</f>
        <v/>
      </c>
    </row>
    <row r="67">
      <c r="B67" s="34">
        <f>IFERROR(INDEX(الموظفات!$B$5:$B$304,MATCH(30,الموظفات!$S$5:$S$304,0)),"")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التحفيز'!$Y$5:$Y$2004,"&gt;0",'سجل التحفيز'!$B$5:$B$2004,B67))</f>
        <v/>
      </c>
      <c r="E67" s="35">
        <f>IF(B67="","",COUNTIFS('سجل التحفيز'!$Y$5:$Y$2004,"&gt;0",'سجل التحفيز'!$B$5:$B$2004,B67,'سجل التحفيز'!$D$5:$D$2004,"ذهبي"))</f>
        <v/>
      </c>
      <c r="F67" s="35">
        <f>IF(B67="","",SUMIFS('سجل التحفيز'!$G$5:$G$2004,'سجل التحفيز'!$Y$5:$Y$2004,"&gt;0",'سجل التحفيز'!$B$5:$B$2004,B67))</f>
        <v/>
      </c>
      <c r="G67" s="35">
        <f>IF(B67="","",COUNTIF($D$38:$D$187,"&gt;"&amp;D67)+1)</f>
        <v/>
      </c>
      <c r="H67" s="35">
        <f>IF(B67="","",INDEX(الموظفات!$L$5:$L$304,MATCH(B67,الموظفات!$B$5:$B$304,0)))</f>
        <v/>
      </c>
      <c r="K67" s="36">
        <f>IF(30&gt;$B$10,"",30)</f>
        <v/>
      </c>
      <c r="L67" s="37">
        <f>IF($K67="","",INDEX('سجل التحفيز'!$A$5:$A$2004,MATCH($K67,'سجل التحفيز'!$Y$5:$Y$2004,0)))</f>
        <v/>
      </c>
      <c r="M67" s="9">
        <f>IF($K67="","",INDEX('سجل التحفيز'!$B$5:$B$2004,MATCH($K67,'سجل التحفيز'!$Y$5:$Y$2004,0)))</f>
        <v/>
      </c>
      <c r="N67" s="9">
        <f>IF($K67="","",INDEX('سجل التحفيز'!$M$5:$M$2004,MATCH($K67,'سجل التحفيز'!$Y$5:$Y$2004,0)))</f>
        <v/>
      </c>
      <c r="O67" s="9">
        <f>IF($K67="","",INDEX('سجل التحفيز'!$C$5:$C$2004,MATCH($K67,'سجل التحفيز'!$Y$5:$Y$2004,0)))</f>
        <v/>
      </c>
      <c r="P67" s="36">
        <f>IF($K67="","",INDEX('سجل التحفيز'!$D$5:$D$2004,MATCH($K67,'سجل التحفيز'!$Y$5:$Y$2004,0)))</f>
        <v/>
      </c>
      <c r="Q67" s="9">
        <f>IF($K67="","",INDEX('سجل التحفيز'!$E$5:$E$2004,MATCH($K67,'سجل التحفيز'!$Y$5:$Y$2004,0)))</f>
        <v/>
      </c>
      <c r="R67" s="9">
        <f>IF($K67="","",INDEX('سجل التحفيز'!$F$5:$F$2004,MATCH($K67,'سجل التحفيز'!$Y$5:$Y$2004,0)))</f>
        <v/>
      </c>
      <c r="S67" s="35">
        <f>IF($K67="","",INDEX('سجل التحفيز'!$G$5:$G$2004,MATCH($K67,'سجل التحفيز'!$Y$5:$Y$2004,0)))</f>
        <v/>
      </c>
    </row>
    <row r="68">
      <c r="B68" s="34">
        <f>IFERROR(INDEX(الموظفات!$B$5:$B$304,MATCH(31,الموظفات!$S$5:$S$304,0)),"")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التحفيز'!$Y$5:$Y$2004,"&gt;0",'سجل التحفيز'!$B$5:$B$2004,B68))</f>
        <v/>
      </c>
      <c r="E68" s="35">
        <f>IF(B68="","",COUNTIFS('سجل التحفيز'!$Y$5:$Y$2004,"&gt;0",'سجل التحفيز'!$B$5:$B$2004,B68,'سجل التحفيز'!$D$5:$D$2004,"ذهبي"))</f>
        <v/>
      </c>
      <c r="F68" s="35">
        <f>IF(B68="","",SUMIFS('سجل التحفيز'!$G$5:$G$2004,'سجل التحفيز'!$Y$5:$Y$2004,"&gt;0",'سجل التحفيز'!$B$5:$B$2004,B68))</f>
        <v/>
      </c>
      <c r="G68" s="35">
        <f>IF(B68="","",COUNTIF($D$38:$D$187,"&gt;"&amp;D68)+1)</f>
        <v/>
      </c>
      <c r="H68" s="35">
        <f>IF(B68="","",INDEX(الموظفات!$L$5:$L$304,MATCH(B68,الموظفات!$B$5:$B$304,0)))</f>
        <v/>
      </c>
      <c r="K68" s="36">
        <f>IF(31&gt;$B$10,"",31)</f>
        <v/>
      </c>
      <c r="L68" s="37">
        <f>IF($K68="","",INDEX('سجل التحفيز'!$A$5:$A$2004,MATCH($K68,'سجل التحفيز'!$Y$5:$Y$2004,0)))</f>
        <v/>
      </c>
      <c r="M68" s="9">
        <f>IF($K68="","",INDEX('سجل التحفيز'!$B$5:$B$2004,MATCH($K68,'سجل التحفيز'!$Y$5:$Y$2004,0)))</f>
        <v/>
      </c>
      <c r="N68" s="9">
        <f>IF($K68="","",INDEX('سجل التحفيز'!$M$5:$M$2004,MATCH($K68,'سجل التحفيز'!$Y$5:$Y$2004,0)))</f>
        <v/>
      </c>
      <c r="O68" s="9">
        <f>IF($K68="","",INDEX('سجل التحفيز'!$C$5:$C$2004,MATCH($K68,'سجل التحفيز'!$Y$5:$Y$2004,0)))</f>
        <v/>
      </c>
      <c r="P68" s="36">
        <f>IF($K68="","",INDEX('سجل التحفيز'!$D$5:$D$2004,MATCH($K68,'سجل التحفيز'!$Y$5:$Y$2004,0)))</f>
        <v/>
      </c>
      <c r="Q68" s="9">
        <f>IF($K68="","",INDEX('سجل التحفيز'!$E$5:$E$2004,MATCH($K68,'سجل التحفيز'!$Y$5:$Y$2004,0)))</f>
        <v/>
      </c>
      <c r="R68" s="9">
        <f>IF($K68="","",INDEX('سجل التحفيز'!$F$5:$F$2004,MATCH($K68,'سجل التحفيز'!$Y$5:$Y$2004,0)))</f>
        <v/>
      </c>
      <c r="S68" s="35">
        <f>IF($K68="","",INDEX('سجل التحفيز'!$G$5:$G$2004,MATCH($K68,'سجل التحفيز'!$Y$5:$Y$2004,0)))</f>
        <v/>
      </c>
    </row>
    <row r="69">
      <c r="B69" s="34">
        <f>IFERROR(INDEX(الموظفات!$B$5:$B$304,MATCH(32,الموظفات!$S$5:$S$304,0)),"")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التحفيز'!$Y$5:$Y$2004,"&gt;0",'سجل التحفيز'!$B$5:$B$2004,B69))</f>
        <v/>
      </c>
      <c r="E69" s="35">
        <f>IF(B69="","",COUNTIFS('سجل التحفيز'!$Y$5:$Y$2004,"&gt;0",'سجل التحفيز'!$B$5:$B$2004,B69,'سجل التحفيز'!$D$5:$D$2004,"ذهبي"))</f>
        <v/>
      </c>
      <c r="F69" s="35">
        <f>IF(B69="","",SUMIFS('سجل التحفيز'!$G$5:$G$2004,'سجل التحفيز'!$Y$5:$Y$2004,"&gt;0",'سجل التحفيز'!$B$5:$B$2004,B69))</f>
        <v/>
      </c>
      <c r="G69" s="35">
        <f>IF(B69="","",COUNTIF($D$38:$D$187,"&gt;"&amp;D69)+1)</f>
        <v/>
      </c>
      <c r="H69" s="35">
        <f>IF(B69="","",INDEX(الموظفات!$L$5:$L$304,MATCH(B69,الموظفات!$B$5:$B$304,0)))</f>
        <v/>
      </c>
      <c r="K69" s="36">
        <f>IF(32&gt;$B$10,"",32)</f>
        <v/>
      </c>
      <c r="L69" s="37">
        <f>IF($K69="","",INDEX('سجل التحفيز'!$A$5:$A$2004,MATCH($K69,'سجل التحفيز'!$Y$5:$Y$2004,0)))</f>
        <v/>
      </c>
      <c r="M69" s="9">
        <f>IF($K69="","",INDEX('سجل التحفيز'!$B$5:$B$2004,MATCH($K69,'سجل التحفيز'!$Y$5:$Y$2004,0)))</f>
        <v/>
      </c>
      <c r="N69" s="9">
        <f>IF($K69="","",INDEX('سجل التحفيز'!$M$5:$M$2004,MATCH($K69,'سجل التحفيز'!$Y$5:$Y$2004,0)))</f>
        <v/>
      </c>
      <c r="O69" s="9">
        <f>IF($K69="","",INDEX('سجل التحفيز'!$C$5:$C$2004,MATCH($K69,'سجل التحفيز'!$Y$5:$Y$2004,0)))</f>
        <v/>
      </c>
      <c r="P69" s="36">
        <f>IF($K69="","",INDEX('سجل التحفيز'!$D$5:$D$2004,MATCH($K69,'سجل التحفيز'!$Y$5:$Y$2004,0)))</f>
        <v/>
      </c>
      <c r="Q69" s="9">
        <f>IF($K69="","",INDEX('سجل التحفيز'!$E$5:$E$2004,MATCH($K69,'سجل التحفيز'!$Y$5:$Y$2004,0)))</f>
        <v/>
      </c>
      <c r="R69" s="9">
        <f>IF($K69="","",INDEX('سجل التحفيز'!$F$5:$F$2004,MATCH($K69,'سجل التحفيز'!$Y$5:$Y$2004,0)))</f>
        <v/>
      </c>
      <c r="S69" s="35">
        <f>IF($K69="","",INDEX('سجل التحفيز'!$G$5:$G$2004,MATCH($K69,'سجل التحفيز'!$Y$5:$Y$2004,0)))</f>
        <v/>
      </c>
    </row>
    <row r="70">
      <c r="B70" s="34">
        <f>IFERROR(INDEX(الموظفات!$B$5:$B$304,MATCH(33,الموظفات!$S$5:$S$304,0)),"")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التحفيز'!$Y$5:$Y$2004,"&gt;0",'سجل التحفيز'!$B$5:$B$2004,B70))</f>
        <v/>
      </c>
      <c r="E70" s="35">
        <f>IF(B70="","",COUNTIFS('سجل التحفيز'!$Y$5:$Y$2004,"&gt;0",'سجل التحفيز'!$B$5:$B$2004,B70,'سجل التحفيز'!$D$5:$D$2004,"ذهبي"))</f>
        <v/>
      </c>
      <c r="F70" s="35">
        <f>IF(B70="","",SUMIFS('سجل التحفيز'!$G$5:$G$2004,'سجل التحفيز'!$Y$5:$Y$2004,"&gt;0",'سجل التحفيز'!$B$5:$B$2004,B70))</f>
        <v/>
      </c>
      <c r="G70" s="35">
        <f>IF(B70="","",COUNTIF($D$38:$D$187,"&gt;"&amp;D70)+1)</f>
        <v/>
      </c>
      <c r="H70" s="35">
        <f>IF(B70="","",INDEX(الموظفات!$L$5:$L$304,MATCH(B70,الموظفات!$B$5:$B$304,0)))</f>
        <v/>
      </c>
      <c r="K70" s="36">
        <f>IF(33&gt;$B$10,"",33)</f>
        <v/>
      </c>
      <c r="L70" s="37">
        <f>IF($K70="","",INDEX('سجل التحفيز'!$A$5:$A$2004,MATCH($K70,'سجل التحفيز'!$Y$5:$Y$2004,0)))</f>
        <v/>
      </c>
      <c r="M70" s="9">
        <f>IF($K70="","",INDEX('سجل التحفيز'!$B$5:$B$2004,MATCH($K70,'سجل التحفيز'!$Y$5:$Y$2004,0)))</f>
        <v/>
      </c>
      <c r="N70" s="9">
        <f>IF($K70="","",INDEX('سجل التحفيز'!$M$5:$M$2004,MATCH($K70,'سجل التحفيز'!$Y$5:$Y$2004,0)))</f>
        <v/>
      </c>
      <c r="O70" s="9">
        <f>IF($K70="","",INDEX('سجل التحفيز'!$C$5:$C$2004,MATCH($K70,'سجل التحفيز'!$Y$5:$Y$2004,0)))</f>
        <v/>
      </c>
      <c r="P70" s="36">
        <f>IF($K70="","",INDEX('سجل التحفيز'!$D$5:$D$2004,MATCH($K70,'سجل التحفيز'!$Y$5:$Y$2004,0)))</f>
        <v/>
      </c>
      <c r="Q70" s="9">
        <f>IF($K70="","",INDEX('سجل التحفيز'!$E$5:$E$2004,MATCH($K70,'سجل التحفيز'!$Y$5:$Y$2004,0)))</f>
        <v/>
      </c>
      <c r="R70" s="9">
        <f>IF($K70="","",INDEX('سجل التحفيز'!$F$5:$F$2004,MATCH($K70,'سجل التحفيز'!$Y$5:$Y$2004,0)))</f>
        <v/>
      </c>
      <c r="S70" s="35">
        <f>IF($K70="","",INDEX('سجل التحفيز'!$G$5:$G$2004,MATCH($K70,'سجل التحفيز'!$Y$5:$Y$2004,0)))</f>
        <v/>
      </c>
    </row>
    <row r="71">
      <c r="B71" s="34">
        <f>IFERROR(INDEX(الموظفات!$B$5:$B$304,MATCH(34,الموظفات!$S$5:$S$304,0)),"")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التحفيز'!$Y$5:$Y$2004,"&gt;0",'سجل التحفيز'!$B$5:$B$2004,B71))</f>
        <v/>
      </c>
      <c r="E71" s="35">
        <f>IF(B71="","",COUNTIFS('سجل التحفيز'!$Y$5:$Y$2004,"&gt;0",'سجل التحفيز'!$B$5:$B$2004,B71,'سجل التحفيز'!$D$5:$D$2004,"ذهبي"))</f>
        <v/>
      </c>
      <c r="F71" s="35">
        <f>IF(B71="","",SUMIFS('سجل التحفيز'!$G$5:$G$2004,'سجل التحفيز'!$Y$5:$Y$2004,"&gt;0",'سجل التحفيز'!$B$5:$B$2004,B71))</f>
        <v/>
      </c>
      <c r="G71" s="35">
        <f>IF(B71="","",COUNTIF($D$38:$D$187,"&gt;"&amp;D71)+1)</f>
        <v/>
      </c>
      <c r="H71" s="35">
        <f>IF(B71="","",INDEX(الموظفات!$L$5:$L$304,MATCH(B71,الموظفات!$B$5:$B$304,0)))</f>
        <v/>
      </c>
      <c r="K71" s="36">
        <f>IF(34&gt;$B$10,"",34)</f>
        <v/>
      </c>
      <c r="L71" s="37">
        <f>IF($K71="","",INDEX('سجل التحفيز'!$A$5:$A$2004,MATCH($K71,'سجل التحفيز'!$Y$5:$Y$2004,0)))</f>
        <v/>
      </c>
      <c r="M71" s="9">
        <f>IF($K71="","",INDEX('سجل التحفيز'!$B$5:$B$2004,MATCH($K71,'سجل التحفيز'!$Y$5:$Y$2004,0)))</f>
        <v/>
      </c>
      <c r="N71" s="9">
        <f>IF($K71="","",INDEX('سجل التحفيز'!$M$5:$M$2004,MATCH($K71,'سجل التحفيز'!$Y$5:$Y$2004,0)))</f>
        <v/>
      </c>
      <c r="O71" s="9">
        <f>IF($K71="","",INDEX('سجل التحفيز'!$C$5:$C$2004,MATCH($K71,'سجل التحفيز'!$Y$5:$Y$2004,0)))</f>
        <v/>
      </c>
      <c r="P71" s="36">
        <f>IF($K71="","",INDEX('سجل التحفيز'!$D$5:$D$2004,MATCH($K71,'سجل التحفيز'!$Y$5:$Y$2004,0)))</f>
        <v/>
      </c>
      <c r="Q71" s="9">
        <f>IF($K71="","",INDEX('سجل التحفيز'!$E$5:$E$2004,MATCH($K71,'سجل التحفيز'!$Y$5:$Y$2004,0)))</f>
        <v/>
      </c>
      <c r="R71" s="9">
        <f>IF($K71="","",INDEX('سجل التحفيز'!$F$5:$F$2004,MATCH($K71,'سجل التحفيز'!$Y$5:$Y$2004,0)))</f>
        <v/>
      </c>
      <c r="S71" s="35">
        <f>IF($K71="","",INDEX('سجل التحفيز'!$G$5:$G$2004,MATCH($K71,'سجل التحفيز'!$Y$5:$Y$2004,0)))</f>
        <v/>
      </c>
    </row>
    <row r="72">
      <c r="B72" s="34">
        <f>IFERROR(INDEX(الموظفات!$B$5:$B$304,MATCH(35,الموظفات!$S$5:$S$304,0)),"")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التحفيز'!$Y$5:$Y$2004,"&gt;0",'سجل التحفيز'!$B$5:$B$2004,B72))</f>
        <v/>
      </c>
      <c r="E72" s="35">
        <f>IF(B72="","",COUNTIFS('سجل التحفيز'!$Y$5:$Y$2004,"&gt;0",'سجل التحفيز'!$B$5:$B$2004,B72,'سجل التحفيز'!$D$5:$D$2004,"ذهبي"))</f>
        <v/>
      </c>
      <c r="F72" s="35">
        <f>IF(B72="","",SUMIFS('سجل التحفيز'!$G$5:$G$2004,'سجل التحفيز'!$Y$5:$Y$2004,"&gt;0",'سجل التحفيز'!$B$5:$B$2004,B72))</f>
        <v/>
      </c>
      <c r="G72" s="35">
        <f>IF(B72="","",COUNTIF($D$38:$D$187,"&gt;"&amp;D72)+1)</f>
        <v/>
      </c>
      <c r="H72" s="35">
        <f>IF(B72="","",INDEX(الموظفات!$L$5:$L$304,MATCH(B72,الموظفات!$B$5:$B$304,0)))</f>
        <v/>
      </c>
      <c r="K72" s="36">
        <f>IF(35&gt;$B$10,"",35)</f>
        <v/>
      </c>
      <c r="L72" s="37">
        <f>IF($K72="","",INDEX('سجل التحفيز'!$A$5:$A$2004,MATCH($K72,'سجل التحفيز'!$Y$5:$Y$2004,0)))</f>
        <v/>
      </c>
      <c r="M72" s="9">
        <f>IF($K72="","",INDEX('سجل التحفيز'!$B$5:$B$2004,MATCH($K72,'سجل التحفيز'!$Y$5:$Y$2004,0)))</f>
        <v/>
      </c>
      <c r="N72" s="9">
        <f>IF($K72="","",INDEX('سجل التحفيز'!$M$5:$M$2004,MATCH($K72,'سجل التحفيز'!$Y$5:$Y$2004,0)))</f>
        <v/>
      </c>
      <c r="O72" s="9">
        <f>IF($K72="","",INDEX('سجل التحفيز'!$C$5:$C$2004,MATCH($K72,'سجل التحفيز'!$Y$5:$Y$2004,0)))</f>
        <v/>
      </c>
      <c r="P72" s="36">
        <f>IF($K72="","",INDEX('سجل التحفيز'!$D$5:$D$2004,MATCH($K72,'سجل التحفيز'!$Y$5:$Y$2004,0)))</f>
        <v/>
      </c>
      <c r="Q72" s="9">
        <f>IF($K72="","",INDEX('سجل التحفيز'!$E$5:$E$2004,MATCH($K72,'سجل التحفيز'!$Y$5:$Y$2004,0)))</f>
        <v/>
      </c>
      <c r="R72" s="9">
        <f>IF($K72="","",INDEX('سجل التحفيز'!$F$5:$F$2004,MATCH($K72,'سجل التحفيز'!$Y$5:$Y$2004,0)))</f>
        <v/>
      </c>
      <c r="S72" s="35">
        <f>IF($K72="","",INDEX('سجل التحفيز'!$G$5:$G$2004,MATCH($K72,'سجل التحفيز'!$Y$5:$Y$2004,0)))</f>
        <v/>
      </c>
    </row>
    <row r="73">
      <c r="B73" s="34">
        <f>IFERROR(INDEX(الموظفات!$B$5:$B$304,MATCH(36,الموظفات!$S$5:$S$304,0)),"")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التحفيز'!$Y$5:$Y$2004,"&gt;0",'سجل التحفيز'!$B$5:$B$2004,B73))</f>
        <v/>
      </c>
      <c r="E73" s="35">
        <f>IF(B73="","",COUNTIFS('سجل التحفيز'!$Y$5:$Y$2004,"&gt;0",'سجل التحفيز'!$B$5:$B$2004,B73,'سجل التحفيز'!$D$5:$D$2004,"ذهبي"))</f>
        <v/>
      </c>
      <c r="F73" s="35">
        <f>IF(B73="","",SUMIFS('سجل التحفيز'!$G$5:$G$2004,'سجل التحفيز'!$Y$5:$Y$2004,"&gt;0",'سجل التحفيز'!$B$5:$B$2004,B73))</f>
        <v/>
      </c>
      <c r="G73" s="35">
        <f>IF(B73="","",COUNTIF($D$38:$D$187,"&gt;"&amp;D73)+1)</f>
        <v/>
      </c>
      <c r="H73" s="35">
        <f>IF(B73="","",INDEX(الموظفات!$L$5:$L$304,MATCH(B73,الموظفات!$B$5:$B$304,0)))</f>
        <v/>
      </c>
      <c r="K73" s="36">
        <f>IF(36&gt;$B$10,"",36)</f>
        <v/>
      </c>
      <c r="L73" s="37">
        <f>IF($K73="","",INDEX('سجل التحفيز'!$A$5:$A$2004,MATCH($K73,'سجل التحفيز'!$Y$5:$Y$2004,0)))</f>
        <v/>
      </c>
      <c r="M73" s="9">
        <f>IF($K73="","",INDEX('سجل التحفيز'!$B$5:$B$2004,MATCH($K73,'سجل التحفيز'!$Y$5:$Y$2004,0)))</f>
        <v/>
      </c>
      <c r="N73" s="9">
        <f>IF($K73="","",INDEX('سجل التحفيز'!$M$5:$M$2004,MATCH($K73,'سجل التحفيز'!$Y$5:$Y$2004,0)))</f>
        <v/>
      </c>
      <c r="O73" s="9">
        <f>IF($K73="","",INDEX('سجل التحفيز'!$C$5:$C$2004,MATCH($K73,'سجل التحفيز'!$Y$5:$Y$2004,0)))</f>
        <v/>
      </c>
      <c r="P73" s="36">
        <f>IF($K73="","",INDEX('سجل التحفيز'!$D$5:$D$2004,MATCH($K73,'سجل التحفيز'!$Y$5:$Y$2004,0)))</f>
        <v/>
      </c>
      <c r="Q73" s="9">
        <f>IF($K73="","",INDEX('سجل التحفيز'!$E$5:$E$2004,MATCH($K73,'سجل التحفيز'!$Y$5:$Y$2004,0)))</f>
        <v/>
      </c>
      <c r="R73" s="9">
        <f>IF($K73="","",INDEX('سجل التحفيز'!$F$5:$F$2004,MATCH($K73,'سجل التحفيز'!$Y$5:$Y$2004,0)))</f>
        <v/>
      </c>
      <c r="S73" s="35">
        <f>IF($K73="","",INDEX('سجل التحفيز'!$G$5:$G$2004,MATCH($K73,'سجل التحفيز'!$Y$5:$Y$2004,0)))</f>
        <v/>
      </c>
    </row>
    <row r="74">
      <c r="B74" s="34">
        <f>IFERROR(INDEX(الموظفات!$B$5:$B$304,MATCH(37,الموظفات!$S$5:$S$304,0)),"")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التحفيز'!$Y$5:$Y$2004,"&gt;0",'سجل التحفيز'!$B$5:$B$2004,B74))</f>
        <v/>
      </c>
      <c r="E74" s="35">
        <f>IF(B74="","",COUNTIFS('سجل التحفيز'!$Y$5:$Y$2004,"&gt;0",'سجل التحفيز'!$B$5:$B$2004,B74,'سجل التحفيز'!$D$5:$D$2004,"ذهبي"))</f>
        <v/>
      </c>
      <c r="F74" s="35">
        <f>IF(B74="","",SUMIFS('سجل التحفيز'!$G$5:$G$2004,'سجل التحفيز'!$Y$5:$Y$2004,"&gt;0",'سجل التحفيز'!$B$5:$B$2004,B74))</f>
        <v/>
      </c>
      <c r="G74" s="35">
        <f>IF(B74="","",COUNTIF($D$38:$D$187,"&gt;"&amp;D74)+1)</f>
        <v/>
      </c>
      <c r="H74" s="35">
        <f>IF(B74="","",INDEX(الموظفات!$L$5:$L$304,MATCH(B74,الموظفات!$B$5:$B$304,0)))</f>
        <v/>
      </c>
      <c r="K74" s="36">
        <f>IF(37&gt;$B$10,"",37)</f>
        <v/>
      </c>
      <c r="L74" s="37">
        <f>IF($K74="","",INDEX('سجل التحفيز'!$A$5:$A$2004,MATCH($K74,'سجل التحفيز'!$Y$5:$Y$2004,0)))</f>
        <v/>
      </c>
      <c r="M74" s="9">
        <f>IF($K74="","",INDEX('سجل التحفيز'!$B$5:$B$2004,MATCH($K74,'سجل التحفيز'!$Y$5:$Y$2004,0)))</f>
        <v/>
      </c>
      <c r="N74" s="9">
        <f>IF($K74="","",INDEX('سجل التحفيز'!$M$5:$M$2004,MATCH($K74,'سجل التحفيز'!$Y$5:$Y$2004,0)))</f>
        <v/>
      </c>
      <c r="O74" s="9">
        <f>IF($K74="","",INDEX('سجل التحفيز'!$C$5:$C$2004,MATCH($K74,'سجل التحفيز'!$Y$5:$Y$2004,0)))</f>
        <v/>
      </c>
      <c r="P74" s="36">
        <f>IF($K74="","",INDEX('سجل التحفيز'!$D$5:$D$2004,MATCH($K74,'سجل التحفيز'!$Y$5:$Y$2004,0)))</f>
        <v/>
      </c>
      <c r="Q74" s="9">
        <f>IF($K74="","",INDEX('سجل التحفيز'!$E$5:$E$2004,MATCH($K74,'سجل التحفيز'!$Y$5:$Y$2004,0)))</f>
        <v/>
      </c>
      <c r="R74" s="9">
        <f>IF($K74="","",INDEX('سجل التحفيز'!$F$5:$F$2004,MATCH($K74,'سجل التحفيز'!$Y$5:$Y$2004,0)))</f>
        <v/>
      </c>
      <c r="S74" s="35">
        <f>IF($K74="","",INDEX('سجل التحفيز'!$G$5:$G$2004,MATCH($K74,'سجل التحفيز'!$Y$5:$Y$2004,0)))</f>
        <v/>
      </c>
    </row>
    <row r="75">
      <c r="B75" s="34">
        <f>IFERROR(INDEX(الموظفات!$B$5:$B$304,MATCH(38,الموظفات!$S$5:$S$304,0)),"")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التحفيز'!$Y$5:$Y$2004,"&gt;0",'سجل التحفيز'!$B$5:$B$2004,B75))</f>
        <v/>
      </c>
      <c r="E75" s="35">
        <f>IF(B75="","",COUNTIFS('سجل التحفيز'!$Y$5:$Y$2004,"&gt;0",'سجل التحفيز'!$B$5:$B$2004,B75,'سجل التحفيز'!$D$5:$D$2004,"ذهبي"))</f>
        <v/>
      </c>
      <c r="F75" s="35">
        <f>IF(B75="","",SUMIFS('سجل التحفيز'!$G$5:$G$2004,'سجل التحفيز'!$Y$5:$Y$2004,"&gt;0",'سجل التحفيز'!$B$5:$B$2004,B75))</f>
        <v/>
      </c>
      <c r="G75" s="35">
        <f>IF(B75="","",COUNTIF($D$38:$D$187,"&gt;"&amp;D75)+1)</f>
        <v/>
      </c>
      <c r="H75" s="35">
        <f>IF(B75="","",INDEX(الموظفات!$L$5:$L$304,MATCH(B75,الموظفات!$B$5:$B$304,0)))</f>
        <v/>
      </c>
      <c r="K75" s="36">
        <f>IF(38&gt;$B$10,"",38)</f>
        <v/>
      </c>
      <c r="L75" s="37">
        <f>IF($K75="","",INDEX('سجل التحفيز'!$A$5:$A$2004,MATCH($K75,'سجل التحفيز'!$Y$5:$Y$2004,0)))</f>
        <v/>
      </c>
      <c r="M75" s="9">
        <f>IF($K75="","",INDEX('سجل التحفيز'!$B$5:$B$2004,MATCH($K75,'سجل التحفيز'!$Y$5:$Y$2004,0)))</f>
        <v/>
      </c>
      <c r="N75" s="9">
        <f>IF($K75="","",INDEX('سجل التحفيز'!$M$5:$M$2004,MATCH($K75,'سجل التحفيز'!$Y$5:$Y$2004,0)))</f>
        <v/>
      </c>
      <c r="O75" s="9">
        <f>IF($K75="","",INDEX('سجل التحفيز'!$C$5:$C$2004,MATCH($K75,'سجل التحفيز'!$Y$5:$Y$2004,0)))</f>
        <v/>
      </c>
      <c r="P75" s="36">
        <f>IF($K75="","",INDEX('سجل التحفيز'!$D$5:$D$2004,MATCH($K75,'سجل التحفيز'!$Y$5:$Y$2004,0)))</f>
        <v/>
      </c>
      <c r="Q75" s="9">
        <f>IF($K75="","",INDEX('سجل التحفيز'!$E$5:$E$2004,MATCH($K75,'سجل التحفيز'!$Y$5:$Y$2004,0)))</f>
        <v/>
      </c>
      <c r="R75" s="9">
        <f>IF($K75="","",INDEX('سجل التحفيز'!$F$5:$F$2004,MATCH($K75,'سجل التحفيز'!$Y$5:$Y$2004,0)))</f>
        <v/>
      </c>
      <c r="S75" s="35">
        <f>IF($K75="","",INDEX('سجل التحفيز'!$G$5:$G$2004,MATCH($K75,'سجل التحفيز'!$Y$5:$Y$2004,0)))</f>
        <v/>
      </c>
    </row>
    <row r="76">
      <c r="B76" s="34">
        <f>IFERROR(INDEX(الموظفات!$B$5:$B$304,MATCH(39,الموظفات!$S$5:$S$304,0)),"")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التحفيز'!$Y$5:$Y$2004,"&gt;0",'سجل التحفيز'!$B$5:$B$2004,B76))</f>
        <v/>
      </c>
      <c r="E76" s="35">
        <f>IF(B76="","",COUNTIFS('سجل التحفيز'!$Y$5:$Y$2004,"&gt;0",'سجل التحفيز'!$B$5:$B$2004,B76,'سجل التحفيز'!$D$5:$D$2004,"ذهبي"))</f>
        <v/>
      </c>
      <c r="F76" s="35">
        <f>IF(B76="","",SUMIFS('سجل التحفيز'!$G$5:$G$2004,'سجل التحفيز'!$Y$5:$Y$2004,"&gt;0",'سجل التحفيز'!$B$5:$B$2004,B76))</f>
        <v/>
      </c>
      <c r="G76" s="35">
        <f>IF(B76="","",COUNTIF($D$38:$D$187,"&gt;"&amp;D76)+1)</f>
        <v/>
      </c>
      <c r="H76" s="35">
        <f>IF(B76="","",INDEX(الموظفات!$L$5:$L$304,MATCH(B76,الموظفات!$B$5:$B$304,0)))</f>
        <v/>
      </c>
      <c r="K76" s="36">
        <f>IF(39&gt;$B$10,"",39)</f>
        <v/>
      </c>
      <c r="L76" s="37">
        <f>IF($K76="","",INDEX('سجل التحفيز'!$A$5:$A$2004,MATCH($K76,'سجل التحفيز'!$Y$5:$Y$2004,0)))</f>
        <v/>
      </c>
      <c r="M76" s="9">
        <f>IF($K76="","",INDEX('سجل التحفيز'!$B$5:$B$2004,MATCH($K76,'سجل التحفيز'!$Y$5:$Y$2004,0)))</f>
        <v/>
      </c>
      <c r="N76" s="9">
        <f>IF($K76="","",INDEX('سجل التحفيز'!$M$5:$M$2004,MATCH($K76,'سجل التحفيز'!$Y$5:$Y$2004,0)))</f>
        <v/>
      </c>
      <c r="O76" s="9">
        <f>IF($K76="","",INDEX('سجل التحفيز'!$C$5:$C$2004,MATCH($K76,'سجل التحفيز'!$Y$5:$Y$2004,0)))</f>
        <v/>
      </c>
      <c r="P76" s="36">
        <f>IF($K76="","",INDEX('سجل التحفيز'!$D$5:$D$2004,MATCH($K76,'سجل التحفيز'!$Y$5:$Y$2004,0)))</f>
        <v/>
      </c>
      <c r="Q76" s="9">
        <f>IF($K76="","",INDEX('سجل التحفيز'!$E$5:$E$2004,MATCH($K76,'سجل التحفيز'!$Y$5:$Y$2004,0)))</f>
        <v/>
      </c>
      <c r="R76" s="9">
        <f>IF($K76="","",INDEX('سجل التحفيز'!$F$5:$F$2004,MATCH($K76,'سجل التحفيز'!$Y$5:$Y$2004,0)))</f>
        <v/>
      </c>
      <c r="S76" s="35">
        <f>IF($K76="","",INDEX('سجل التحفيز'!$G$5:$G$2004,MATCH($K76,'سجل التحفيز'!$Y$5:$Y$2004,0)))</f>
        <v/>
      </c>
    </row>
    <row r="77">
      <c r="B77" s="34">
        <f>IFERROR(INDEX(الموظفات!$B$5:$B$304,MATCH(40,الموظفات!$S$5:$S$304,0)),"")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التحفيز'!$Y$5:$Y$2004,"&gt;0",'سجل التحفيز'!$B$5:$B$2004,B77))</f>
        <v/>
      </c>
      <c r="E77" s="35">
        <f>IF(B77="","",COUNTIFS('سجل التحفيز'!$Y$5:$Y$2004,"&gt;0",'سجل التحفيز'!$B$5:$B$2004,B77,'سجل التحفيز'!$D$5:$D$2004,"ذهبي"))</f>
        <v/>
      </c>
      <c r="F77" s="35">
        <f>IF(B77="","",SUMIFS('سجل التحفيز'!$G$5:$G$2004,'سجل التحفيز'!$Y$5:$Y$2004,"&gt;0",'سجل التحفيز'!$B$5:$B$2004,B77))</f>
        <v/>
      </c>
      <c r="G77" s="35">
        <f>IF(B77="","",COUNTIF($D$38:$D$187,"&gt;"&amp;D77)+1)</f>
        <v/>
      </c>
      <c r="H77" s="35">
        <f>IF(B77="","",INDEX(الموظفات!$L$5:$L$304,MATCH(B77,الموظفات!$B$5:$B$304,0)))</f>
        <v/>
      </c>
      <c r="K77" s="36">
        <f>IF(40&gt;$B$10,"",40)</f>
        <v/>
      </c>
      <c r="L77" s="37">
        <f>IF($K77="","",INDEX('سجل التحفيز'!$A$5:$A$2004,MATCH($K77,'سجل التحفيز'!$Y$5:$Y$2004,0)))</f>
        <v/>
      </c>
      <c r="M77" s="9">
        <f>IF($K77="","",INDEX('سجل التحفيز'!$B$5:$B$2004,MATCH($K77,'سجل التحفيز'!$Y$5:$Y$2004,0)))</f>
        <v/>
      </c>
      <c r="N77" s="9">
        <f>IF($K77="","",INDEX('سجل التحفيز'!$M$5:$M$2004,MATCH($K77,'سجل التحفيز'!$Y$5:$Y$2004,0)))</f>
        <v/>
      </c>
      <c r="O77" s="9">
        <f>IF($K77="","",INDEX('سجل التحفيز'!$C$5:$C$2004,MATCH($K77,'سجل التحفيز'!$Y$5:$Y$2004,0)))</f>
        <v/>
      </c>
      <c r="P77" s="36">
        <f>IF($K77="","",INDEX('سجل التحفيز'!$D$5:$D$2004,MATCH($K77,'سجل التحفيز'!$Y$5:$Y$2004,0)))</f>
        <v/>
      </c>
      <c r="Q77" s="9">
        <f>IF($K77="","",INDEX('سجل التحفيز'!$E$5:$E$2004,MATCH($K77,'سجل التحفيز'!$Y$5:$Y$2004,0)))</f>
        <v/>
      </c>
      <c r="R77" s="9">
        <f>IF($K77="","",INDEX('سجل التحفيز'!$F$5:$F$2004,MATCH($K77,'سجل التحفيز'!$Y$5:$Y$2004,0)))</f>
        <v/>
      </c>
      <c r="S77" s="35">
        <f>IF($K77="","",INDEX('سجل التحفيز'!$G$5:$G$2004,MATCH($K77,'سجل التحفيز'!$Y$5:$Y$2004,0)))</f>
        <v/>
      </c>
    </row>
    <row r="78">
      <c r="B78" s="34">
        <f>IFERROR(INDEX(الموظفات!$B$5:$B$304,MATCH(41,الموظفات!$S$5:$S$304,0)),"")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التحفيز'!$Y$5:$Y$2004,"&gt;0",'سجل التحفيز'!$B$5:$B$2004,B78))</f>
        <v/>
      </c>
      <c r="E78" s="35">
        <f>IF(B78="","",COUNTIFS('سجل التحفيز'!$Y$5:$Y$2004,"&gt;0",'سجل التحفيز'!$B$5:$B$2004,B78,'سجل التحفيز'!$D$5:$D$2004,"ذهبي"))</f>
        <v/>
      </c>
      <c r="F78" s="35">
        <f>IF(B78="","",SUMIFS('سجل التحفيز'!$G$5:$G$2004,'سجل التحفيز'!$Y$5:$Y$2004,"&gt;0",'سجل التحفيز'!$B$5:$B$2004,B78))</f>
        <v/>
      </c>
      <c r="G78" s="35">
        <f>IF(B78="","",COUNTIF($D$38:$D$187,"&gt;"&amp;D78)+1)</f>
        <v/>
      </c>
      <c r="H78" s="35">
        <f>IF(B78="","",INDEX(الموظفات!$L$5:$L$304,MATCH(B78,الموظفات!$B$5:$B$304,0)))</f>
        <v/>
      </c>
      <c r="K78" s="36">
        <f>IF(41&gt;$B$10,"",41)</f>
        <v/>
      </c>
      <c r="L78" s="37">
        <f>IF($K78="","",INDEX('سجل التحفيز'!$A$5:$A$2004,MATCH($K78,'سجل التحفيز'!$Y$5:$Y$2004,0)))</f>
        <v/>
      </c>
      <c r="M78" s="9">
        <f>IF($K78="","",INDEX('سجل التحفيز'!$B$5:$B$2004,MATCH($K78,'سجل التحفيز'!$Y$5:$Y$2004,0)))</f>
        <v/>
      </c>
      <c r="N78" s="9">
        <f>IF($K78="","",INDEX('سجل التحفيز'!$M$5:$M$2004,MATCH($K78,'سجل التحفيز'!$Y$5:$Y$2004,0)))</f>
        <v/>
      </c>
      <c r="O78" s="9">
        <f>IF($K78="","",INDEX('سجل التحفيز'!$C$5:$C$2004,MATCH($K78,'سجل التحفيز'!$Y$5:$Y$2004,0)))</f>
        <v/>
      </c>
      <c r="P78" s="36">
        <f>IF($K78="","",INDEX('سجل التحفيز'!$D$5:$D$2004,MATCH($K78,'سجل التحفيز'!$Y$5:$Y$2004,0)))</f>
        <v/>
      </c>
      <c r="Q78" s="9">
        <f>IF($K78="","",INDEX('سجل التحفيز'!$E$5:$E$2004,MATCH($K78,'سجل التحفيز'!$Y$5:$Y$2004,0)))</f>
        <v/>
      </c>
      <c r="R78" s="9">
        <f>IF($K78="","",INDEX('سجل التحفيز'!$F$5:$F$2004,MATCH($K78,'سجل التحفيز'!$Y$5:$Y$2004,0)))</f>
        <v/>
      </c>
      <c r="S78" s="35">
        <f>IF($K78="","",INDEX('سجل التحفيز'!$G$5:$G$2004,MATCH($K78,'سجل التحفيز'!$Y$5:$Y$2004,0)))</f>
        <v/>
      </c>
    </row>
    <row r="79">
      <c r="B79" s="34">
        <f>IFERROR(INDEX(الموظفات!$B$5:$B$304,MATCH(42,الموظفات!$S$5:$S$304,0)),"")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التحفيز'!$Y$5:$Y$2004,"&gt;0",'سجل التحفيز'!$B$5:$B$2004,B79))</f>
        <v/>
      </c>
      <c r="E79" s="35">
        <f>IF(B79="","",COUNTIFS('سجل التحفيز'!$Y$5:$Y$2004,"&gt;0",'سجل التحفيز'!$B$5:$B$2004,B79,'سجل التحفيز'!$D$5:$D$2004,"ذهبي"))</f>
        <v/>
      </c>
      <c r="F79" s="35">
        <f>IF(B79="","",SUMIFS('سجل التحفيز'!$G$5:$G$2004,'سجل التحفيز'!$Y$5:$Y$2004,"&gt;0",'سجل التحفيز'!$B$5:$B$2004,B79))</f>
        <v/>
      </c>
      <c r="G79" s="35">
        <f>IF(B79="","",COUNTIF($D$38:$D$187,"&gt;"&amp;D79)+1)</f>
        <v/>
      </c>
      <c r="H79" s="35">
        <f>IF(B79="","",INDEX(الموظفات!$L$5:$L$304,MATCH(B79,الموظفات!$B$5:$B$304,0)))</f>
        <v/>
      </c>
      <c r="K79" s="36">
        <f>IF(42&gt;$B$10,"",42)</f>
        <v/>
      </c>
      <c r="L79" s="37">
        <f>IF($K79="","",INDEX('سجل التحفيز'!$A$5:$A$2004,MATCH($K79,'سجل التحفيز'!$Y$5:$Y$2004,0)))</f>
        <v/>
      </c>
      <c r="M79" s="9">
        <f>IF($K79="","",INDEX('سجل التحفيز'!$B$5:$B$2004,MATCH($K79,'سجل التحفيز'!$Y$5:$Y$2004,0)))</f>
        <v/>
      </c>
      <c r="N79" s="9">
        <f>IF($K79="","",INDEX('سجل التحفيز'!$M$5:$M$2004,MATCH($K79,'سجل التحفيز'!$Y$5:$Y$2004,0)))</f>
        <v/>
      </c>
      <c r="O79" s="9">
        <f>IF($K79="","",INDEX('سجل التحفيز'!$C$5:$C$2004,MATCH($K79,'سجل التحفيز'!$Y$5:$Y$2004,0)))</f>
        <v/>
      </c>
      <c r="P79" s="36">
        <f>IF($K79="","",INDEX('سجل التحفيز'!$D$5:$D$2004,MATCH($K79,'سجل التحفيز'!$Y$5:$Y$2004,0)))</f>
        <v/>
      </c>
      <c r="Q79" s="9">
        <f>IF($K79="","",INDEX('سجل التحفيز'!$E$5:$E$2004,MATCH($K79,'سجل التحفيز'!$Y$5:$Y$2004,0)))</f>
        <v/>
      </c>
      <c r="R79" s="9">
        <f>IF($K79="","",INDEX('سجل التحفيز'!$F$5:$F$2004,MATCH($K79,'سجل التحفيز'!$Y$5:$Y$2004,0)))</f>
        <v/>
      </c>
      <c r="S79" s="35">
        <f>IF($K79="","",INDEX('سجل التحفيز'!$G$5:$G$2004,MATCH($K79,'سجل التحفيز'!$Y$5:$Y$2004,0)))</f>
        <v/>
      </c>
    </row>
    <row r="80">
      <c r="B80" s="34">
        <f>IFERROR(INDEX(الموظفات!$B$5:$B$304,MATCH(43,الموظفات!$S$5:$S$304,0)),"")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التحفيز'!$Y$5:$Y$2004,"&gt;0",'سجل التحفيز'!$B$5:$B$2004,B80))</f>
        <v/>
      </c>
      <c r="E80" s="35">
        <f>IF(B80="","",COUNTIFS('سجل التحفيز'!$Y$5:$Y$2004,"&gt;0",'سجل التحفيز'!$B$5:$B$2004,B80,'سجل التحفيز'!$D$5:$D$2004,"ذهبي"))</f>
        <v/>
      </c>
      <c r="F80" s="35">
        <f>IF(B80="","",SUMIFS('سجل التحفيز'!$G$5:$G$2004,'سجل التحفيز'!$Y$5:$Y$2004,"&gt;0",'سجل التحفيز'!$B$5:$B$2004,B80))</f>
        <v/>
      </c>
      <c r="G80" s="35">
        <f>IF(B80="","",COUNTIF($D$38:$D$187,"&gt;"&amp;D80)+1)</f>
        <v/>
      </c>
      <c r="H80" s="35">
        <f>IF(B80="","",INDEX(الموظفات!$L$5:$L$304,MATCH(B80,الموظفات!$B$5:$B$304,0)))</f>
        <v/>
      </c>
      <c r="K80" s="36">
        <f>IF(43&gt;$B$10,"",43)</f>
        <v/>
      </c>
      <c r="L80" s="37">
        <f>IF($K80="","",INDEX('سجل التحفيز'!$A$5:$A$2004,MATCH($K80,'سجل التحفيز'!$Y$5:$Y$2004,0)))</f>
        <v/>
      </c>
      <c r="M80" s="9">
        <f>IF($K80="","",INDEX('سجل التحفيز'!$B$5:$B$2004,MATCH($K80,'سجل التحفيز'!$Y$5:$Y$2004,0)))</f>
        <v/>
      </c>
      <c r="N80" s="9">
        <f>IF($K80="","",INDEX('سجل التحفيز'!$M$5:$M$2004,MATCH($K80,'سجل التحفيز'!$Y$5:$Y$2004,0)))</f>
        <v/>
      </c>
      <c r="O80" s="9">
        <f>IF($K80="","",INDEX('سجل التحفيز'!$C$5:$C$2004,MATCH($K80,'سجل التحفيز'!$Y$5:$Y$2004,0)))</f>
        <v/>
      </c>
      <c r="P80" s="36">
        <f>IF($K80="","",INDEX('سجل التحفيز'!$D$5:$D$2004,MATCH($K80,'سجل التحفيز'!$Y$5:$Y$2004,0)))</f>
        <v/>
      </c>
      <c r="Q80" s="9">
        <f>IF($K80="","",INDEX('سجل التحفيز'!$E$5:$E$2004,MATCH($K80,'سجل التحفيز'!$Y$5:$Y$2004,0)))</f>
        <v/>
      </c>
      <c r="R80" s="9">
        <f>IF($K80="","",INDEX('سجل التحفيز'!$F$5:$F$2004,MATCH($K80,'سجل التحفيز'!$Y$5:$Y$2004,0)))</f>
        <v/>
      </c>
      <c r="S80" s="35">
        <f>IF($K80="","",INDEX('سجل التحفيز'!$G$5:$G$2004,MATCH($K80,'سجل التحفيز'!$Y$5:$Y$2004,0)))</f>
        <v/>
      </c>
    </row>
    <row r="81">
      <c r="B81" s="34">
        <f>IFERROR(INDEX(الموظفات!$B$5:$B$304,MATCH(44,الموظفات!$S$5:$S$304,0)),"")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التحفيز'!$Y$5:$Y$2004,"&gt;0",'سجل التحفيز'!$B$5:$B$2004,B81))</f>
        <v/>
      </c>
      <c r="E81" s="35">
        <f>IF(B81="","",COUNTIFS('سجل التحفيز'!$Y$5:$Y$2004,"&gt;0",'سجل التحفيز'!$B$5:$B$2004,B81,'سجل التحفيز'!$D$5:$D$2004,"ذهبي"))</f>
        <v/>
      </c>
      <c r="F81" s="35">
        <f>IF(B81="","",SUMIFS('سجل التحفيز'!$G$5:$G$2004,'سجل التحفيز'!$Y$5:$Y$2004,"&gt;0",'سجل التحفيز'!$B$5:$B$2004,B81))</f>
        <v/>
      </c>
      <c r="G81" s="35">
        <f>IF(B81="","",COUNTIF($D$38:$D$187,"&gt;"&amp;D81)+1)</f>
        <v/>
      </c>
      <c r="H81" s="35">
        <f>IF(B81="","",INDEX(الموظفات!$L$5:$L$304,MATCH(B81,الموظفات!$B$5:$B$304,0)))</f>
        <v/>
      </c>
      <c r="K81" s="36">
        <f>IF(44&gt;$B$10,"",44)</f>
        <v/>
      </c>
      <c r="L81" s="37">
        <f>IF($K81="","",INDEX('سجل التحفيز'!$A$5:$A$2004,MATCH($K81,'سجل التحفيز'!$Y$5:$Y$2004,0)))</f>
        <v/>
      </c>
      <c r="M81" s="9">
        <f>IF($K81="","",INDEX('سجل التحفيز'!$B$5:$B$2004,MATCH($K81,'سجل التحفيز'!$Y$5:$Y$2004,0)))</f>
        <v/>
      </c>
      <c r="N81" s="9">
        <f>IF($K81="","",INDEX('سجل التحفيز'!$M$5:$M$2004,MATCH($K81,'سجل التحفيز'!$Y$5:$Y$2004,0)))</f>
        <v/>
      </c>
      <c r="O81" s="9">
        <f>IF($K81="","",INDEX('سجل التحفيز'!$C$5:$C$2004,MATCH($K81,'سجل التحفيز'!$Y$5:$Y$2004,0)))</f>
        <v/>
      </c>
      <c r="P81" s="36">
        <f>IF($K81="","",INDEX('سجل التحفيز'!$D$5:$D$2004,MATCH($K81,'سجل التحفيز'!$Y$5:$Y$2004,0)))</f>
        <v/>
      </c>
      <c r="Q81" s="9">
        <f>IF($K81="","",INDEX('سجل التحفيز'!$E$5:$E$2004,MATCH($K81,'سجل التحفيز'!$Y$5:$Y$2004,0)))</f>
        <v/>
      </c>
      <c r="R81" s="9">
        <f>IF($K81="","",INDEX('سجل التحفيز'!$F$5:$F$2004,MATCH($K81,'سجل التحفيز'!$Y$5:$Y$2004,0)))</f>
        <v/>
      </c>
      <c r="S81" s="35">
        <f>IF($K81="","",INDEX('سجل التحفيز'!$G$5:$G$2004,MATCH($K81,'سجل التحفيز'!$Y$5:$Y$2004,0)))</f>
        <v/>
      </c>
    </row>
    <row r="82">
      <c r="B82" s="34">
        <f>IFERROR(INDEX(الموظفات!$B$5:$B$304,MATCH(45,الموظفات!$S$5:$S$304,0)),"")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التحفيز'!$Y$5:$Y$2004,"&gt;0",'سجل التحفيز'!$B$5:$B$2004,B82))</f>
        <v/>
      </c>
      <c r="E82" s="35">
        <f>IF(B82="","",COUNTIFS('سجل التحفيز'!$Y$5:$Y$2004,"&gt;0",'سجل التحفيز'!$B$5:$B$2004,B82,'سجل التحفيز'!$D$5:$D$2004,"ذهبي"))</f>
        <v/>
      </c>
      <c r="F82" s="35">
        <f>IF(B82="","",SUMIFS('سجل التحفيز'!$G$5:$G$2004,'سجل التحفيز'!$Y$5:$Y$2004,"&gt;0",'سجل التحفيز'!$B$5:$B$2004,B82))</f>
        <v/>
      </c>
      <c r="G82" s="35">
        <f>IF(B82="","",COUNTIF($D$38:$D$187,"&gt;"&amp;D82)+1)</f>
        <v/>
      </c>
      <c r="H82" s="35">
        <f>IF(B82="","",INDEX(الموظفات!$L$5:$L$304,MATCH(B82,الموظفات!$B$5:$B$304,0)))</f>
        <v/>
      </c>
      <c r="K82" s="36">
        <f>IF(45&gt;$B$10,"",45)</f>
        <v/>
      </c>
      <c r="L82" s="37">
        <f>IF($K82="","",INDEX('سجل التحفيز'!$A$5:$A$2004,MATCH($K82,'سجل التحفيز'!$Y$5:$Y$2004,0)))</f>
        <v/>
      </c>
      <c r="M82" s="9">
        <f>IF($K82="","",INDEX('سجل التحفيز'!$B$5:$B$2004,MATCH($K82,'سجل التحفيز'!$Y$5:$Y$2004,0)))</f>
        <v/>
      </c>
      <c r="N82" s="9">
        <f>IF($K82="","",INDEX('سجل التحفيز'!$M$5:$M$2004,MATCH($K82,'سجل التحفيز'!$Y$5:$Y$2004,0)))</f>
        <v/>
      </c>
      <c r="O82" s="9">
        <f>IF($K82="","",INDEX('سجل التحفيز'!$C$5:$C$2004,MATCH($K82,'سجل التحفيز'!$Y$5:$Y$2004,0)))</f>
        <v/>
      </c>
      <c r="P82" s="36">
        <f>IF($K82="","",INDEX('سجل التحفيز'!$D$5:$D$2004,MATCH($K82,'سجل التحفيز'!$Y$5:$Y$2004,0)))</f>
        <v/>
      </c>
      <c r="Q82" s="9">
        <f>IF($K82="","",INDEX('سجل التحفيز'!$E$5:$E$2004,MATCH($K82,'سجل التحفيز'!$Y$5:$Y$2004,0)))</f>
        <v/>
      </c>
      <c r="R82" s="9">
        <f>IF($K82="","",INDEX('سجل التحفيز'!$F$5:$F$2004,MATCH($K82,'سجل التحفيز'!$Y$5:$Y$2004,0)))</f>
        <v/>
      </c>
      <c r="S82" s="35">
        <f>IF($K82="","",INDEX('سجل التحفيز'!$G$5:$G$2004,MATCH($K82,'سجل التحفيز'!$Y$5:$Y$2004,0)))</f>
        <v/>
      </c>
    </row>
    <row r="83">
      <c r="B83" s="34">
        <f>IFERROR(INDEX(الموظفات!$B$5:$B$304,MATCH(46,الموظفات!$S$5:$S$304,0)),"")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التحفيز'!$Y$5:$Y$2004,"&gt;0",'سجل التحفيز'!$B$5:$B$2004,B83))</f>
        <v/>
      </c>
      <c r="E83" s="35">
        <f>IF(B83="","",COUNTIFS('سجل التحفيز'!$Y$5:$Y$2004,"&gt;0",'سجل التحفيز'!$B$5:$B$2004,B83,'سجل التحفيز'!$D$5:$D$2004,"ذهبي"))</f>
        <v/>
      </c>
      <c r="F83" s="35">
        <f>IF(B83="","",SUMIFS('سجل التحفيز'!$G$5:$G$2004,'سجل التحفيز'!$Y$5:$Y$2004,"&gt;0",'سجل التحفيز'!$B$5:$B$2004,B83))</f>
        <v/>
      </c>
      <c r="G83" s="35">
        <f>IF(B83="","",COUNTIF($D$38:$D$187,"&gt;"&amp;D83)+1)</f>
        <v/>
      </c>
      <c r="H83" s="35">
        <f>IF(B83="","",INDEX(الموظفات!$L$5:$L$304,MATCH(B83,الموظفات!$B$5:$B$304,0)))</f>
        <v/>
      </c>
      <c r="K83" s="36">
        <f>IF(46&gt;$B$10,"",46)</f>
        <v/>
      </c>
      <c r="L83" s="37">
        <f>IF($K83="","",INDEX('سجل التحفيز'!$A$5:$A$2004,MATCH($K83,'سجل التحفيز'!$Y$5:$Y$2004,0)))</f>
        <v/>
      </c>
      <c r="M83" s="9">
        <f>IF($K83="","",INDEX('سجل التحفيز'!$B$5:$B$2004,MATCH($K83,'سجل التحفيز'!$Y$5:$Y$2004,0)))</f>
        <v/>
      </c>
      <c r="N83" s="9">
        <f>IF($K83="","",INDEX('سجل التحفيز'!$M$5:$M$2004,MATCH($K83,'سجل التحفيز'!$Y$5:$Y$2004,0)))</f>
        <v/>
      </c>
      <c r="O83" s="9">
        <f>IF($K83="","",INDEX('سجل التحفيز'!$C$5:$C$2004,MATCH($K83,'سجل التحفيز'!$Y$5:$Y$2004,0)))</f>
        <v/>
      </c>
      <c r="P83" s="36">
        <f>IF($K83="","",INDEX('سجل التحفيز'!$D$5:$D$2004,MATCH($K83,'سجل التحفيز'!$Y$5:$Y$2004,0)))</f>
        <v/>
      </c>
      <c r="Q83" s="9">
        <f>IF($K83="","",INDEX('سجل التحفيز'!$E$5:$E$2004,MATCH($K83,'سجل التحفيز'!$Y$5:$Y$2004,0)))</f>
        <v/>
      </c>
      <c r="R83" s="9">
        <f>IF($K83="","",INDEX('سجل التحفيز'!$F$5:$F$2004,MATCH($K83,'سجل التحفيز'!$Y$5:$Y$2004,0)))</f>
        <v/>
      </c>
      <c r="S83" s="35">
        <f>IF($K83="","",INDEX('سجل التحفيز'!$G$5:$G$2004,MATCH($K83,'سجل التحفيز'!$Y$5:$Y$2004,0)))</f>
        <v/>
      </c>
    </row>
    <row r="84">
      <c r="B84" s="34">
        <f>IFERROR(INDEX(الموظفات!$B$5:$B$304,MATCH(47,الموظفات!$S$5:$S$304,0)),"")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التحفيز'!$Y$5:$Y$2004,"&gt;0",'سجل التحفيز'!$B$5:$B$2004,B84))</f>
        <v/>
      </c>
      <c r="E84" s="35">
        <f>IF(B84="","",COUNTIFS('سجل التحفيز'!$Y$5:$Y$2004,"&gt;0",'سجل التحفيز'!$B$5:$B$2004,B84,'سجل التحفيز'!$D$5:$D$2004,"ذهبي"))</f>
        <v/>
      </c>
      <c r="F84" s="35">
        <f>IF(B84="","",SUMIFS('سجل التحفيز'!$G$5:$G$2004,'سجل التحفيز'!$Y$5:$Y$2004,"&gt;0",'سجل التحفيز'!$B$5:$B$2004,B84))</f>
        <v/>
      </c>
      <c r="G84" s="35">
        <f>IF(B84="","",COUNTIF($D$38:$D$187,"&gt;"&amp;D84)+1)</f>
        <v/>
      </c>
      <c r="H84" s="35">
        <f>IF(B84="","",INDEX(الموظفات!$L$5:$L$304,MATCH(B84,الموظفات!$B$5:$B$304,0)))</f>
        <v/>
      </c>
      <c r="K84" s="36">
        <f>IF(47&gt;$B$10,"",47)</f>
        <v/>
      </c>
      <c r="L84" s="37">
        <f>IF($K84="","",INDEX('سجل التحفيز'!$A$5:$A$2004,MATCH($K84,'سجل التحفيز'!$Y$5:$Y$2004,0)))</f>
        <v/>
      </c>
      <c r="M84" s="9">
        <f>IF($K84="","",INDEX('سجل التحفيز'!$B$5:$B$2004,MATCH($K84,'سجل التحفيز'!$Y$5:$Y$2004,0)))</f>
        <v/>
      </c>
      <c r="N84" s="9">
        <f>IF($K84="","",INDEX('سجل التحفيز'!$M$5:$M$2004,MATCH($K84,'سجل التحفيز'!$Y$5:$Y$2004,0)))</f>
        <v/>
      </c>
      <c r="O84" s="9">
        <f>IF($K84="","",INDEX('سجل التحفيز'!$C$5:$C$2004,MATCH($K84,'سجل التحفيز'!$Y$5:$Y$2004,0)))</f>
        <v/>
      </c>
      <c r="P84" s="36">
        <f>IF($K84="","",INDEX('سجل التحفيز'!$D$5:$D$2004,MATCH($K84,'سجل التحفيز'!$Y$5:$Y$2004,0)))</f>
        <v/>
      </c>
      <c r="Q84" s="9">
        <f>IF($K84="","",INDEX('سجل التحفيز'!$E$5:$E$2004,MATCH($K84,'سجل التحفيز'!$Y$5:$Y$2004,0)))</f>
        <v/>
      </c>
      <c r="R84" s="9">
        <f>IF($K84="","",INDEX('سجل التحفيز'!$F$5:$F$2004,MATCH($K84,'سجل التحفيز'!$Y$5:$Y$2004,0)))</f>
        <v/>
      </c>
      <c r="S84" s="35">
        <f>IF($K84="","",INDEX('سجل التحفيز'!$G$5:$G$2004,MATCH($K84,'سجل التحفيز'!$Y$5:$Y$2004,0)))</f>
        <v/>
      </c>
    </row>
    <row r="85">
      <c r="B85" s="34">
        <f>IFERROR(INDEX(الموظفات!$B$5:$B$304,MATCH(48,الموظفات!$S$5:$S$304,0)),"")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التحفيز'!$Y$5:$Y$2004,"&gt;0",'سجل التحفيز'!$B$5:$B$2004,B85))</f>
        <v/>
      </c>
      <c r="E85" s="35">
        <f>IF(B85="","",COUNTIFS('سجل التحفيز'!$Y$5:$Y$2004,"&gt;0",'سجل التحفيز'!$B$5:$B$2004,B85,'سجل التحفيز'!$D$5:$D$2004,"ذهبي"))</f>
        <v/>
      </c>
      <c r="F85" s="35">
        <f>IF(B85="","",SUMIFS('سجل التحفيز'!$G$5:$G$2004,'سجل التحفيز'!$Y$5:$Y$2004,"&gt;0",'سجل التحفيز'!$B$5:$B$2004,B85))</f>
        <v/>
      </c>
      <c r="G85" s="35">
        <f>IF(B85="","",COUNTIF($D$38:$D$187,"&gt;"&amp;D85)+1)</f>
        <v/>
      </c>
      <c r="H85" s="35">
        <f>IF(B85="","",INDEX(الموظفات!$L$5:$L$304,MATCH(B85,الموظفات!$B$5:$B$304,0)))</f>
        <v/>
      </c>
      <c r="K85" s="36">
        <f>IF(48&gt;$B$10,"",48)</f>
        <v/>
      </c>
      <c r="L85" s="37">
        <f>IF($K85="","",INDEX('سجل التحفيز'!$A$5:$A$2004,MATCH($K85,'سجل التحفيز'!$Y$5:$Y$2004,0)))</f>
        <v/>
      </c>
      <c r="M85" s="9">
        <f>IF($K85="","",INDEX('سجل التحفيز'!$B$5:$B$2004,MATCH($K85,'سجل التحفيز'!$Y$5:$Y$2004,0)))</f>
        <v/>
      </c>
      <c r="N85" s="9">
        <f>IF($K85="","",INDEX('سجل التحفيز'!$M$5:$M$2004,MATCH($K85,'سجل التحفيز'!$Y$5:$Y$2004,0)))</f>
        <v/>
      </c>
      <c r="O85" s="9">
        <f>IF($K85="","",INDEX('سجل التحفيز'!$C$5:$C$2004,MATCH($K85,'سجل التحفيز'!$Y$5:$Y$2004,0)))</f>
        <v/>
      </c>
      <c r="P85" s="36">
        <f>IF($K85="","",INDEX('سجل التحفيز'!$D$5:$D$2004,MATCH($K85,'سجل التحفيز'!$Y$5:$Y$2004,0)))</f>
        <v/>
      </c>
      <c r="Q85" s="9">
        <f>IF($K85="","",INDEX('سجل التحفيز'!$E$5:$E$2004,MATCH($K85,'سجل التحفيز'!$Y$5:$Y$2004,0)))</f>
        <v/>
      </c>
      <c r="R85" s="9">
        <f>IF($K85="","",INDEX('سجل التحفيز'!$F$5:$F$2004,MATCH($K85,'سجل التحفيز'!$Y$5:$Y$2004,0)))</f>
        <v/>
      </c>
      <c r="S85" s="35">
        <f>IF($K85="","",INDEX('سجل التحفيز'!$G$5:$G$2004,MATCH($K85,'سجل التحفيز'!$Y$5:$Y$2004,0)))</f>
        <v/>
      </c>
    </row>
    <row r="86">
      <c r="B86" s="34">
        <f>IFERROR(INDEX(الموظفات!$B$5:$B$304,MATCH(49,الموظفات!$S$5:$S$304,0)),"")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التحفيز'!$Y$5:$Y$2004,"&gt;0",'سجل التحفيز'!$B$5:$B$2004,B86))</f>
        <v/>
      </c>
      <c r="E86" s="35">
        <f>IF(B86="","",COUNTIFS('سجل التحفيز'!$Y$5:$Y$2004,"&gt;0",'سجل التحفيز'!$B$5:$B$2004,B86,'سجل التحفيز'!$D$5:$D$2004,"ذهبي"))</f>
        <v/>
      </c>
      <c r="F86" s="35">
        <f>IF(B86="","",SUMIFS('سجل التحفيز'!$G$5:$G$2004,'سجل التحفيز'!$Y$5:$Y$2004,"&gt;0",'سجل التحفيز'!$B$5:$B$2004,B86))</f>
        <v/>
      </c>
      <c r="G86" s="35">
        <f>IF(B86="","",COUNTIF($D$38:$D$187,"&gt;"&amp;D86)+1)</f>
        <v/>
      </c>
      <c r="H86" s="35">
        <f>IF(B86="","",INDEX(الموظفات!$L$5:$L$304,MATCH(B86,الموظفات!$B$5:$B$304,0)))</f>
        <v/>
      </c>
      <c r="K86" s="36">
        <f>IF(49&gt;$B$10,"",49)</f>
        <v/>
      </c>
      <c r="L86" s="37">
        <f>IF($K86="","",INDEX('سجل التحفيز'!$A$5:$A$2004,MATCH($K86,'سجل التحفيز'!$Y$5:$Y$2004,0)))</f>
        <v/>
      </c>
      <c r="M86" s="9">
        <f>IF($K86="","",INDEX('سجل التحفيز'!$B$5:$B$2004,MATCH($K86,'سجل التحفيز'!$Y$5:$Y$2004,0)))</f>
        <v/>
      </c>
      <c r="N86" s="9">
        <f>IF($K86="","",INDEX('سجل التحفيز'!$M$5:$M$2004,MATCH($K86,'سجل التحفيز'!$Y$5:$Y$2004,0)))</f>
        <v/>
      </c>
      <c r="O86" s="9">
        <f>IF($K86="","",INDEX('سجل التحفيز'!$C$5:$C$2004,MATCH($K86,'سجل التحفيز'!$Y$5:$Y$2004,0)))</f>
        <v/>
      </c>
      <c r="P86" s="36">
        <f>IF($K86="","",INDEX('سجل التحفيز'!$D$5:$D$2004,MATCH($K86,'سجل التحفيز'!$Y$5:$Y$2004,0)))</f>
        <v/>
      </c>
      <c r="Q86" s="9">
        <f>IF($K86="","",INDEX('سجل التحفيز'!$E$5:$E$2004,MATCH($K86,'سجل التحفيز'!$Y$5:$Y$2004,0)))</f>
        <v/>
      </c>
      <c r="R86" s="9">
        <f>IF($K86="","",INDEX('سجل التحفيز'!$F$5:$F$2004,MATCH($K86,'سجل التحفيز'!$Y$5:$Y$2004,0)))</f>
        <v/>
      </c>
      <c r="S86" s="35">
        <f>IF($K86="","",INDEX('سجل التحفيز'!$G$5:$G$2004,MATCH($K86,'سجل التحفيز'!$Y$5:$Y$2004,0)))</f>
        <v/>
      </c>
    </row>
    <row r="87">
      <c r="B87" s="34">
        <f>IFERROR(INDEX(الموظفات!$B$5:$B$304,MATCH(50,الموظفات!$S$5:$S$304,0)),"")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التحفيز'!$Y$5:$Y$2004,"&gt;0",'سجل التحفيز'!$B$5:$B$2004,B87))</f>
        <v/>
      </c>
      <c r="E87" s="35">
        <f>IF(B87="","",COUNTIFS('سجل التحفيز'!$Y$5:$Y$2004,"&gt;0",'سجل التحفيز'!$B$5:$B$2004,B87,'سجل التحفيز'!$D$5:$D$2004,"ذهبي"))</f>
        <v/>
      </c>
      <c r="F87" s="35">
        <f>IF(B87="","",SUMIFS('سجل التحفيز'!$G$5:$G$2004,'سجل التحفيز'!$Y$5:$Y$2004,"&gt;0",'سجل التحفيز'!$B$5:$B$2004,B87))</f>
        <v/>
      </c>
      <c r="G87" s="35">
        <f>IF(B87="","",COUNTIF($D$38:$D$187,"&gt;"&amp;D87)+1)</f>
        <v/>
      </c>
      <c r="H87" s="35">
        <f>IF(B87="","",INDEX(الموظفات!$L$5:$L$304,MATCH(B87,الموظفات!$B$5:$B$304,0)))</f>
        <v/>
      </c>
      <c r="K87" s="36">
        <f>IF(50&gt;$B$10,"",50)</f>
        <v/>
      </c>
      <c r="L87" s="37">
        <f>IF($K87="","",INDEX('سجل التحفيز'!$A$5:$A$2004,MATCH($K87,'سجل التحفيز'!$Y$5:$Y$2004,0)))</f>
        <v/>
      </c>
      <c r="M87" s="9">
        <f>IF($K87="","",INDEX('سجل التحفيز'!$B$5:$B$2004,MATCH($K87,'سجل التحفيز'!$Y$5:$Y$2004,0)))</f>
        <v/>
      </c>
      <c r="N87" s="9">
        <f>IF($K87="","",INDEX('سجل التحفيز'!$M$5:$M$2004,MATCH($K87,'سجل التحفيز'!$Y$5:$Y$2004,0)))</f>
        <v/>
      </c>
      <c r="O87" s="9">
        <f>IF($K87="","",INDEX('سجل التحفيز'!$C$5:$C$2004,MATCH($K87,'سجل التحفيز'!$Y$5:$Y$2004,0)))</f>
        <v/>
      </c>
      <c r="P87" s="36">
        <f>IF($K87="","",INDEX('سجل التحفيز'!$D$5:$D$2004,MATCH($K87,'سجل التحفيز'!$Y$5:$Y$2004,0)))</f>
        <v/>
      </c>
      <c r="Q87" s="9">
        <f>IF($K87="","",INDEX('سجل التحفيز'!$E$5:$E$2004,MATCH($K87,'سجل التحفيز'!$Y$5:$Y$2004,0)))</f>
        <v/>
      </c>
      <c r="R87" s="9">
        <f>IF($K87="","",INDEX('سجل التحفيز'!$F$5:$F$2004,MATCH($K87,'سجل التحفيز'!$Y$5:$Y$2004,0)))</f>
        <v/>
      </c>
      <c r="S87" s="35">
        <f>IF($K87="","",INDEX('سجل التحفيز'!$G$5:$G$2004,MATCH($K87,'سجل التحفيز'!$Y$5:$Y$2004,0)))</f>
        <v/>
      </c>
    </row>
    <row r="88">
      <c r="B88" s="34">
        <f>IFERROR(INDEX(الموظفات!$B$5:$B$304,MATCH(51,الموظفات!$S$5:$S$304,0)),"")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التحفيز'!$Y$5:$Y$2004,"&gt;0",'سجل التحفيز'!$B$5:$B$2004,B88))</f>
        <v/>
      </c>
      <c r="E88" s="35">
        <f>IF(B88="","",COUNTIFS('سجل التحفيز'!$Y$5:$Y$2004,"&gt;0",'سجل التحفيز'!$B$5:$B$2004,B88,'سجل التحفيز'!$D$5:$D$2004,"ذهبي"))</f>
        <v/>
      </c>
      <c r="F88" s="35">
        <f>IF(B88="","",SUMIFS('سجل التحفيز'!$G$5:$G$2004,'سجل التحفيز'!$Y$5:$Y$2004,"&gt;0",'سجل التحفيز'!$B$5:$B$2004,B88))</f>
        <v/>
      </c>
      <c r="G88" s="35">
        <f>IF(B88="","",COUNTIF($D$38:$D$187,"&gt;"&amp;D88)+1)</f>
        <v/>
      </c>
      <c r="H88" s="35">
        <f>IF(B88="","",INDEX(الموظفات!$L$5:$L$304,MATCH(B88,الموظفات!$B$5:$B$304,0)))</f>
        <v/>
      </c>
      <c r="K88" s="36">
        <f>IF(51&gt;$B$10,"",51)</f>
        <v/>
      </c>
      <c r="L88" s="37">
        <f>IF($K88="","",INDEX('سجل التحفيز'!$A$5:$A$2004,MATCH($K88,'سجل التحفيز'!$Y$5:$Y$2004,0)))</f>
        <v/>
      </c>
      <c r="M88" s="9">
        <f>IF($K88="","",INDEX('سجل التحفيز'!$B$5:$B$2004,MATCH($K88,'سجل التحفيز'!$Y$5:$Y$2004,0)))</f>
        <v/>
      </c>
      <c r="N88" s="9">
        <f>IF($K88="","",INDEX('سجل التحفيز'!$M$5:$M$2004,MATCH($K88,'سجل التحفيز'!$Y$5:$Y$2004,0)))</f>
        <v/>
      </c>
      <c r="O88" s="9">
        <f>IF($K88="","",INDEX('سجل التحفيز'!$C$5:$C$2004,MATCH($K88,'سجل التحفيز'!$Y$5:$Y$2004,0)))</f>
        <v/>
      </c>
      <c r="P88" s="36">
        <f>IF($K88="","",INDEX('سجل التحفيز'!$D$5:$D$2004,MATCH($K88,'سجل التحفيز'!$Y$5:$Y$2004,0)))</f>
        <v/>
      </c>
      <c r="Q88" s="9">
        <f>IF($K88="","",INDEX('سجل التحفيز'!$E$5:$E$2004,MATCH($K88,'سجل التحفيز'!$Y$5:$Y$2004,0)))</f>
        <v/>
      </c>
      <c r="R88" s="9">
        <f>IF($K88="","",INDEX('سجل التحفيز'!$F$5:$F$2004,MATCH($K88,'سجل التحفيز'!$Y$5:$Y$2004,0)))</f>
        <v/>
      </c>
      <c r="S88" s="35">
        <f>IF($K88="","",INDEX('سجل التحفيز'!$G$5:$G$2004,MATCH($K88,'سجل التحفيز'!$Y$5:$Y$2004,0)))</f>
        <v/>
      </c>
    </row>
    <row r="89">
      <c r="B89" s="34">
        <f>IFERROR(INDEX(الموظفات!$B$5:$B$304,MATCH(52,الموظفات!$S$5:$S$304,0)),"")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التحفيز'!$Y$5:$Y$2004,"&gt;0",'سجل التحفيز'!$B$5:$B$2004,B89))</f>
        <v/>
      </c>
      <c r="E89" s="35">
        <f>IF(B89="","",COUNTIFS('سجل التحفيز'!$Y$5:$Y$2004,"&gt;0",'سجل التحفيز'!$B$5:$B$2004,B89,'سجل التحفيز'!$D$5:$D$2004,"ذهبي"))</f>
        <v/>
      </c>
      <c r="F89" s="35">
        <f>IF(B89="","",SUMIFS('سجل التحفيز'!$G$5:$G$2004,'سجل التحفيز'!$Y$5:$Y$2004,"&gt;0",'سجل التحفيز'!$B$5:$B$2004,B89))</f>
        <v/>
      </c>
      <c r="G89" s="35">
        <f>IF(B89="","",COUNTIF($D$38:$D$187,"&gt;"&amp;D89)+1)</f>
        <v/>
      </c>
      <c r="H89" s="35">
        <f>IF(B89="","",INDEX(الموظفات!$L$5:$L$304,MATCH(B89,الموظفات!$B$5:$B$304,0)))</f>
        <v/>
      </c>
      <c r="K89" s="36">
        <f>IF(52&gt;$B$10,"",52)</f>
        <v/>
      </c>
      <c r="L89" s="37">
        <f>IF($K89="","",INDEX('سجل التحفيز'!$A$5:$A$2004,MATCH($K89,'سجل التحفيز'!$Y$5:$Y$2004,0)))</f>
        <v/>
      </c>
      <c r="M89" s="9">
        <f>IF($K89="","",INDEX('سجل التحفيز'!$B$5:$B$2004,MATCH($K89,'سجل التحفيز'!$Y$5:$Y$2004,0)))</f>
        <v/>
      </c>
      <c r="N89" s="9">
        <f>IF($K89="","",INDEX('سجل التحفيز'!$M$5:$M$2004,MATCH($K89,'سجل التحفيز'!$Y$5:$Y$2004,0)))</f>
        <v/>
      </c>
      <c r="O89" s="9">
        <f>IF($K89="","",INDEX('سجل التحفيز'!$C$5:$C$2004,MATCH($K89,'سجل التحفيز'!$Y$5:$Y$2004,0)))</f>
        <v/>
      </c>
      <c r="P89" s="36">
        <f>IF($K89="","",INDEX('سجل التحفيز'!$D$5:$D$2004,MATCH($K89,'سجل التحفيز'!$Y$5:$Y$2004,0)))</f>
        <v/>
      </c>
      <c r="Q89" s="9">
        <f>IF($K89="","",INDEX('سجل التحفيز'!$E$5:$E$2004,MATCH($K89,'سجل التحفيز'!$Y$5:$Y$2004,0)))</f>
        <v/>
      </c>
      <c r="R89" s="9">
        <f>IF($K89="","",INDEX('سجل التحفيز'!$F$5:$F$2004,MATCH($K89,'سجل التحفيز'!$Y$5:$Y$2004,0)))</f>
        <v/>
      </c>
      <c r="S89" s="35">
        <f>IF($K89="","",INDEX('سجل التحفيز'!$G$5:$G$2004,MATCH($K89,'سجل التحفيز'!$Y$5:$Y$2004,0)))</f>
        <v/>
      </c>
    </row>
    <row r="90">
      <c r="B90" s="34">
        <f>IFERROR(INDEX(الموظفات!$B$5:$B$304,MATCH(53,الموظفات!$S$5:$S$304,0)),"")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التحفيز'!$Y$5:$Y$2004,"&gt;0",'سجل التحفيز'!$B$5:$B$2004,B90))</f>
        <v/>
      </c>
      <c r="E90" s="35">
        <f>IF(B90="","",COUNTIFS('سجل التحفيز'!$Y$5:$Y$2004,"&gt;0",'سجل التحفيز'!$B$5:$B$2004,B90,'سجل التحفيز'!$D$5:$D$2004,"ذهبي"))</f>
        <v/>
      </c>
      <c r="F90" s="35">
        <f>IF(B90="","",SUMIFS('سجل التحفيز'!$G$5:$G$2004,'سجل التحفيز'!$Y$5:$Y$2004,"&gt;0",'سجل التحفيز'!$B$5:$B$2004,B90))</f>
        <v/>
      </c>
      <c r="G90" s="35">
        <f>IF(B90="","",COUNTIF($D$38:$D$187,"&gt;"&amp;D90)+1)</f>
        <v/>
      </c>
      <c r="H90" s="35">
        <f>IF(B90="","",INDEX(الموظفات!$L$5:$L$304,MATCH(B90,الموظفات!$B$5:$B$304,0)))</f>
        <v/>
      </c>
      <c r="K90" s="36">
        <f>IF(53&gt;$B$10,"",53)</f>
        <v/>
      </c>
      <c r="L90" s="37">
        <f>IF($K90="","",INDEX('سجل التحفيز'!$A$5:$A$2004,MATCH($K90,'سجل التحفيز'!$Y$5:$Y$2004,0)))</f>
        <v/>
      </c>
      <c r="M90" s="9">
        <f>IF($K90="","",INDEX('سجل التحفيز'!$B$5:$B$2004,MATCH($K90,'سجل التحفيز'!$Y$5:$Y$2004,0)))</f>
        <v/>
      </c>
      <c r="N90" s="9">
        <f>IF($K90="","",INDEX('سجل التحفيز'!$M$5:$M$2004,MATCH($K90,'سجل التحفيز'!$Y$5:$Y$2004,0)))</f>
        <v/>
      </c>
      <c r="O90" s="9">
        <f>IF($K90="","",INDEX('سجل التحفيز'!$C$5:$C$2004,MATCH($K90,'سجل التحفيز'!$Y$5:$Y$2004,0)))</f>
        <v/>
      </c>
      <c r="P90" s="36">
        <f>IF($K90="","",INDEX('سجل التحفيز'!$D$5:$D$2004,MATCH($K90,'سجل التحفيز'!$Y$5:$Y$2004,0)))</f>
        <v/>
      </c>
      <c r="Q90" s="9">
        <f>IF($K90="","",INDEX('سجل التحفيز'!$E$5:$E$2004,MATCH($K90,'سجل التحفيز'!$Y$5:$Y$2004,0)))</f>
        <v/>
      </c>
      <c r="R90" s="9">
        <f>IF($K90="","",INDEX('سجل التحفيز'!$F$5:$F$2004,MATCH($K90,'سجل التحفيز'!$Y$5:$Y$2004,0)))</f>
        <v/>
      </c>
      <c r="S90" s="35">
        <f>IF($K90="","",INDEX('سجل التحفيز'!$G$5:$G$2004,MATCH($K90,'سجل التحفيز'!$Y$5:$Y$2004,0)))</f>
        <v/>
      </c>
    </row>
    <row r="91">
      <c r="B91" s="34">
        <f>IFERROR(INDEX(الموظفات!$B$5:$B$304,MATCH(54,الموظفات!$S$5:$S$304,0)),"")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التحفيز'!$Y$5:$Y$2004,"&gt;0",'سجل التحفيز'!$B$5:$B$2004,B91))</f>
        <v/>
      </c>
      <c r="E91" s="35">
        <f>IF(B91="","",COUNTIFS('سجل التحفيز'!$Y$5:$Y$2004,"&gt;0",'سجل التحفيز'!$B$5:$B$2004,B91,'سجل التحفيز'!$D$5:$D$2004,"ذهبي"))</f>
        <v/>
      </c>
      <c r="F91" s="35">
        <f>IF(B91="","",SUMIFS('سجل التحفيز'!$G$5:$G$2004,'سجل التحفيز'!$Y$5:$Y$2004,"&gt;0",'سجل التحفيز'!$B$5:$B$2004,B91))</f>
        <v/>
      </c>
      <c r="G91" s="35">
        <f>IF(B91="","",COUNTIF($D$38:$D$187,"&gt;"&amp;D91)+1)</f>
        <v/>
      </c>
      <c r="H91" s="35">
        <f>IF(B91="","",INDEX(الموظفات!$L$5:$L$304,MATCH(B91,الموظفات!$B$5:$B$304,0)))</f>
        <v/>
      </c>
      <c r="K91" s="36">
        <f>IF(54&gt;$B$10,"",54)</f>
        <v/>
      </c>
      <c r="L91" s="37">
        <f>IF($K91="","",INDEX('سجل التحفيز'!$A$5:$A$2004,MATCH($K91,'سجل التحفيز'!$Y$5:$Y$2004,0)))</f>
        <v/>
      </c>
      <c r="M91" s="9">
        <f>IF($K91="","",INDEX('سجل التحفيز'!$B$5:$B$2004,MATCH($K91,'سجل التحفيز'!$Y$5:$Y$2004,0)))</f>
        <v/>
      </c>
      <c r="N91" s="9">
        <f>IF($K91="","",INDEX('سجل التحفيز'!$M$5:$M$2004,MATCH($K91,'سجل التحفيز'!$Y$5:$Y$2004,0)))</f>
        <v/>
      </c>
      <c r="O91" s="9">
        <f>IF($K91="","",INDEX('سجل التحفيز'!$C$5:$C$2004,MATCH($K91,'سجل التحفيز'!$Y$5:$Y$2004,0)))</f>
        <v/>
      </c>
      <c r="P91" s="36">
        <f>IF($K91="","",INDEX('سجل التحفيز'!$D$5:$D$2004,MATCH($K91,'سجل التحفيز'!$Y$5:$Y$2004,0)))</f>
        <v/>
      </c>
      <c r="Q91" s="9">
        <f>IF($K91="","",INDEX('سجل التحفيز'!$E$5:$E$2004,MATCH($K91,'سجل التحفيز'!$Y$5:$Y$2004,0)))</f>
        <v/>
      </c>
      <c r="R91" s="9">
        <f>IF($K91="","",INDEX('سجل التحفيز'!$F$5:$F$2004,MATCH($K91,'سجل التحفيز'!$Y$5:$Y$2004,0)))</f>
        <v/>
      </c>
      <c r="S91" s="35">
        <f>IF($K91="","",INDEX('سجل التحفيز'!$G$5:$G$2004,MATCH($K91,'سجل التحفيز'!$Y$5:$Y$2004,0)))</f>
        <v/>
      </c>
    </row>
    <row r="92">
      <c r="B92" s="34">
        <f>IFERROR(INDEX(الموظفات!$B$5:$B$304,MATCH(55,الموظفات!$S$5:$S$304,0)),"")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التحفيز'!$Y$5:$Y$2004,"&gt;0",'سجل التحفيز'!$B$5:$B$2004,B92))</f>
        <v/>
      </c>
      <c r="E92" s="35">
        <f>IF(B92="","",COUNTIFS('سجل التحفيز'!$Y$5:$Y$2004,"&gt;0",'سجل التحفيز'!$B$5:$B$2004,B92,'سجل التحفيز'!$D$5:$D$2004,"ذهبي"))</f>
        <v/>
      </c>
      <c r="F92" s="35">
        <f>IF(B92="","",SUMIFS('سجل التحفيز'!$G$5:$G$2004,'سجل التحفيز'!$Y$5:$Y$2004,"&gt;0",'سجل التحفيز'!$B$5:$B$2004,B92))</f>
        <v/>
      </c>
      <c r="G92" s="35">
        <f>IF(B92="","",COUNTIF($D$38:$D$187,"&gt;"&amp;D92)+1)</f>
        <v/>
      </c>
      <c r="H92" s="35">
        <f>IF(B92="","",INDEX(الموظفات!$L$5:$L$304,MATCH(B92,الموظفات!$B$5:$B$304,0)))</f>
        <v/>
      </c>
      <c r="K92" s="36">
        <f>IF(55&gt;$B$10,"",55)</f>
        <v/>
      </c>
      <c r="L92" s="37">
        <f>IF($K92="","",INDEX('سجل التحفيز'!$A$5:$A$2004,MATCH($K92,'سجل التحفيز'!$Y$5:$Y$2004,0)))</f>
        <v/>
      </c>
      <c r="M92" s="9">
        <f>IF($K92="","",INDEX('سجل التحفيز'!$B$5:$B$2004,MATCH($K92,'سجل التحفيز'!$Y$5:$Y$2004,0)))</f>
        <v/>
      </c>
      <c r="N92" s="9">
        <f>IF($K92="","",INDEX('سجل التحفيز'!$M$5:$M$2004,MATCH($K92,'سجل التحفيز'!$Y$5:$Y$2004,0)))</f>
        <v/>
      </c>
      <c r="O92" s="9">
        <f>IF($K92="","",INDEX('سجل التحفيز'!$C$5:$C$2004,MATCH($K92,'سجل التحفيز'!$Y$5:$Y$2004,0)))</f>
        <v/>
      </c>
      <c r="P92" s="36">
        <f>IF($K92="","",INDEX('سجل التحفيز'!$D$5:$D$2004,MATCH($K92,'سجل التحفيز'!$Y$5:$Y$2004,0)))</f>
        <v/>
      </c>
      <c r="Q92" s="9">
        <f>IF($K92="","",INDEX('سجل التحفيز'!$E$5:$E$2004,MATCH($K92,'سجل التحفيز'!$Y$5:$Y$2004,0)))</f>
        <v/>
      </c>
      <c r="R92" s="9">
        <f>IF($K92="","",INDEX('سجل التحفيز'!$F$5:$F$2004,MATCH($K92,'سجل التحفيز'!$Y$5:$Y$2004,0)))</f>
        <v/>
      </c>
      <c r="S92" s="35">
        <f>IF($K92="","",INDEX('سجل التحفيز'!$G$5:$G$2004,MATCH($K92,'سجل التحفيز'!$Y$5:$Y$2004,0)))</f>
        <v/>
      </c>
    </row>
    <row r="93">
      <c r="B93" s="34">
        <f>IFERROR(INDEX(الموظفات!$B$5:$B$304,MATCH(56,الموظفات!$S$5:$S$304,0)),"")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التحفيز'!$Y$5:$Y$2004,"&gt;0",'سجل التحفيز'!$B$5:$B$2004,B93))</f>
        <v/>
      </c>
      <c r="E93" s="35">
        <f>IF(B93="","",COUNTIFS('سجل التحفيز'!$Y$5:$Y$2004,"&gt;0",'سجل التحفيز'!$B$5:$B$2004,B93,'سجل التحفيز'!$D$5:$D$2004,"ذهبي"))</f>
        <v/>
      </c>
      <c r="F93" s="35">
        <f>IF(B93="","",SUMIFS('سجل التحفيز'!$G$5:$G$2004,'سجل التحفيز'!$Y$5:$Y$2004,"&gt;0",'سجل التحفيز'!$B$5:$B$2004,B93))</f>
        <v/>
      </c>
      <c r="G93" s="35">
        <f>IF(B93="","",COUNTIF($D$38:$D$187,"&gt;"&amp;D93)+1)</f>
        <v/>
      </c>
      <c r="H93" s="35">
        <f>IF(B93="","",INDEX(الموظفات!$L$5:$L$304,MATCH(B93,الموظفات!$B$5:$B$304,0)))</f>
        <v/>
      </c>
      <c r="K93" s="36">
        <f>IF(56&gt;$B$10,"",56)</f>
        <v/>
      </c>
      <c r="L93" s="37">
        <f>IF($K93="","",INDEX('سجل التحفيز'!$A$5:$A$2004,MATCH($K93,'سجل التحفيز'!$Y$5:$Y$2004,0)))</f>
        <v/>
      </c>
      <c r="M93" s="9">
        <f>IF($K93="","",INDEX('سجل التحفيز'!$B$5:$B$2004,MATCH($K93,'سجل التحفيز'!$Y$5:$Y$2004,0)))</f>
        <v/>
      </c>
      <c r="N93" s="9">
        <f>IF($K93="","",INDEX('سجل التحفيز'!$M$5:$M$2004,MATCH($K93,'سجل التحفيز'!$Y$5:$Y$2004,0)))</f>
        <v/>
      </c>
      <c r="O93" s="9">
        <f>IF($K93="","",INDEX('سجل التحفيز'!$C$5:$C$2004,MATCH($K93,'سجل التحفيز'!$Y$5:$Y$2004,0)))</f>
        <v/>
      </c>
      <c r="P93" s="36">
        <f>IF($K93="","",INDEX('سجل التحفيز'!$D$5:$D$2004,MATCH($K93,'سجل التحفيز'!$Y$5:$Y$2004,0)))</f>
        <v/>
      </c>
      <c r="Q93" s="9">
        <f>IF($K93="","",INDEX('سجل التحفيز'!$E$5:$E$2004,MATCH($K93,'سجل التحفيز'!$Y$5:$Y$2004,0)))</f>
        <v/>
      </c>
      <c r="R93" s="9">
        <f>IF($K93="","",INDEX('سجل التحفيز'!$F$5:$F$2004,MATCH($K93,'سجل التحفيز'!$Y$5:$Y$2004,0)))</f>
        <v/>
      </c>
      <c r="S93" s="35">
        <f>IF($K93="","",INDEX('سجل التحفيز'!$G$5:$G$2004,MATCH($K93,'سجل التحفيز'!$Y$5:$Y$2004,0)))</f>
        <v/>
      </c>
    </row>
    <row r="94">
      <c r="B94" s="34">
        <f>IFERROR(INDEX(الموظفات!$B$5:$B$304,MATCH(57,الموظفات!$S$5:$S$304,0)),"")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التحفيز'!$Y$5:$Y$2004,"&gt;0",'سجل التحفيز'!$B$5:$B$2004,B94))</f>
        <v/>
      </c>
      <c r="E94" s="35">
        <f>IF(B94="","",COUNTIFS('سجل التحفيز'!$Y$5:$Y$2004,"&gt;0",'سجل التحفيز'!$B$5:$B$2004,B94,'سجل التحفيز'!$D$5:$D$2004,"ذهبي"))</f>
        <v/>
      </c>
      <c r="F94" s="35">
        <f>IF(B94="","",SUMIFS('سجل التحفيز'!$G$5:$G$2004,'سجل التحفيز'!$Y$5:$Y$2004,"&gt;0",'سجل التحفيز'!$B$5:$B$2004,B94))</f>
        <v/>
      </c>
      <c r="G94" s="35">
        <f>IF(B94="","",COUNTIF($D$38:$D$187,"&gt;"&amp;D94)+1)</f>
        <v/>
      </c>
      <c r="H94" s="35">
        <f>IF(B94="","",INDEX(الموظفات!$L$5:$L$304,MATCH(B94,الموظفات!$B$5:$B$304,0)))</f>
        <v/>
      </c>
      <c r="K94" s="36">
        <f>IF(57&gt;$B$10,"",57)</f>
        <v/>
      </c>
      <c r="L94" s="37">
        <f>IF($K94="","",INDEX('سجل التحفيز'!$A$5:$A$2004,MATCH($K94,'سجل التحفيز'!$Y$5:$Y$2004,0)))</f>
        <v/>
      </c>
      <c r="M94" s="9">
        <f>IF($K94="","",INDEX('سجل التحفيز'!$B$5:$B$2004,MATCH($K94,'سجل التحفيز'!$Y$5:$Y$2004,0)))</f>
        <v/>
      </c>
      <c r="N94" s="9">
        <f>IF($K94="","",INDEX('سجل التحفيز'!$M$5:$M$2004,MATCH($K94,'سجل التحفيز'!$Y$5:$Y$2004,0)))</f>
        <v/>
      </c>
      <c r="O94" s="9">
        <f>IF($K94="","",INDEX('سجل التحفيز'!$C$5:$C$2004,MATCH($K94,'سجل التحفيز'!$Y$5:$Y$2004,0)))</f>
        <v/>
      </c>
      <c r="P94" s="36">
        <f>IF($K94="","",INDEX('سجل التحفيز'!$D$5:$D$2004,MATCH($K94,'سجل التحفيز'!$Y$5:$Y$2004,0)))</f>
        <v/>
      </c>
      <c r="Q94" s="9">
        <f>IF($K94="","",INDEX('سجل التحفيز'!$E$5:$E$2004,MATCH($K94,'سجل التحفيز'!$Y$5:$Y$2004,0)))</f>
        <v/>
      </c>
      <c r="R94" s="9">
        <f>IF($K94="","",INDEX('سجل التحفيز'!$F$5:$F$2004,MATCH($K94,'سجل التحفيز'!$Y$5:$Y$2004,0)))</f>
        <v/>
      </c>
      <c r="S94" s="35">
        <f>IF($K94="","",INDEX('سجل التحفيز'!$G$5:$G$2004,MATCH($K94,'سجل التحفيز'!$Y$5:$Y$2004,0)))</f>
        <v/>
      </c>
    </row>
    <row r="95">
      <c r="B95" s="34">
        <f>IFERROR(INDEX(الموظفات!$B$5:$B$304,MATCH(58,الموظفات!$S$5:$S$304,0)),"")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التحفيز'!$Y$5:$Y$2004,"&gt;0",'سجل التحفيز'!$B$5:$B$2004,B95))</f>
        <v/>
      </c>
      <c r="E95" s="35">
        <f>IF(B95="","",COUNTIFS('سجل التحفيز'!$Y$5:$Y$2004,"&gt;0",'سجل التحفيز'!$B$5:$B$2004,B95,'سجل التحفيز'!$D$5:$D$2004,"ذهبي"))</f>
        <v/>
      </c>
      <c r="F95" s="35">
        <f>IF(B95="","",SUMIFS('سجل التحفيز'!$G$5:$G$2004,'سجل التحفيز'!$Y$5:$Y$2004,"&gt;0",'سجل التحفيز'!$B$5:$B$2004,B95))</f>
        <v/>
      </c>
      <c r="G95" s="35">
        <f>IF(B95="","",COUNTIF($D$38:$D$187,"&gt;"&amp;D95)+1)</f>
        <v/>
      </c>
      <c r="H95" s="35">
        <f>IF(B95="","",INDEX(الموظفات!$L$5:$L$304,MATCH(B95,الموظفات!$B$5:$B$304,0)))</f>
        <v/>
      </c>
      <c r="K95" s="36">
        <f>IF(58&gt;$B$10,"",58)</f>
        <v/>
      </c>
      <c r="L95" s="37">
        <f>IF($K95="","",INDEX('سجل التحفيز'!$A$5:$A$2004,MATCH($K95,'سجل التحفيز'!$Y$5:$Y$2004,0)))</f>
        <v/>
      </c>
      <c r="M95" s="9">
        <f>IF($K95="","",INDEX('سجل التحفيز'!$B$5:$B$2004,MATCH($K95,'سجل التحفيز'!$Y$5:$Y$2004,0)))</f>
        <v/>
      </c>
      <c r="N95" s="9">
        <f>IF($K95="","",INDEX('سجل التحفيز'!$M$5:$M$2004,MATCH($K95,'سجل التحفيز'!$Y$5:$Y$2004,0)))</f>
        <v/>
      </c>
      <c r="O95" s="9">
        <f>IF($K95="","",INDEX('سجل التحفيز'!$C$5:$C$2004,MATCH($K95,'سجل التحفيز'!$Y$5:$Y$2004,0)))</f>
        <v/>
      </c>
      <c r="P95" s="36">
        <f>IF($K95="","",INDEX('سجل التحفيز'!$D$5:$D$2004,MATCH($K95,'سجل التحفيز'!$Y$5:$Y$2004,0)))</f>
        <v/>
      </c>
      <c r="Q95" s="9">
        <f>IF($K95="","",INDEX('سجل التحفيز'!$E$5:$E$2004,MATCH($K95,'سجل التحفيز'!$Y$5:$Y$2004,0)))</f>
        <v/>
      </c>
      <c r="R95" s="9">
        <f>IF($K95="","",INDEX('سجل التحفيز'!$F$5:$F$2004,MATCH($K95,'سجل التحفيز'!$Y$5:$Y$2004,0)))</f>
        <v/>
      </c>
      <c r="S95" s="35">
        <f>IF($K95="","",INDEX('سجل التحفيز'!$G$5:$G$2004,MATCH($K95,'سجل التحفيز'!$Y$5:$Y$2004,0)))</f>
        <v/>
      </c>
    </row>
    <row r="96">
      <c r="B96" s="34">
        <f>IFERROR(INDEX(الموظفات!$B$5:$B$304,MATCH(59,الموظفات!$S$5:$S$304,0)),"")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التحفيز'!$Y$5:$Y$2004,"&gt;0",'سجل التحفيز'!$B$5:$B$2004,B96))</f>
        <v/>
      </c>
      <c r="E96" s="35">
        <f>IF(B96="","",COUNTIFS('سجل التحفيز'!$Y$5:$Y$2004,"&gt;0",'سجل التحفيز'!$B$5:$B$2004,B96,'سجل التحفيز'!$D$5:$D$2004,"ذهبي"))</f>
        <v/>
      </c>
      <c r="F96" s="35">
        <f>IF(B96="","",SUMIFS('سجل التحفيز'!$G$5:$G$2004,'سجل التحفيز'!$Y$5:$Y$2004,"&gt;0",'سجل التحفيز'!$B$5:$B$2004,B96))</f>
        <v/>
      </c>
      <c r="G96" s="35">
        <f>IF(B96="","",COUNTIF($D$38:$D$187,"&gt;"&amp;D96)+1)</f>
        <v/>
      </c>
      <c r="H96" s="35">
        <f>IF(B96="","",INDEX(الموظفات!$L$5:$L$304,MATCH(B96,الموظفات!$B$5:$B$304,0)))</f>
        <v/>
      </c>
      <c r="K96" s="36">
        <f>IF(59&gt;$B$10,"",59)</f>
        <v/>
      </c>
      <c r="L96" s="37">
        <f>IF($K96="","",INDEX('سجل التحفيز'!$A$5:$A$2004,MATCH($K96,'سجل التحفيز'!$Y$5:$Y$2004,0)))</f>
        <v/>
      </c>
      <c r="M96" s="9">
        <f>IF($K96="","",INDEX('سجل التحفيز'!$B$5:$B$2004,MATCH($K96,'سجل التحفيز'!$Y$5:$Y$2004,0)))</f>
        <v/>
      </c>
      <c r="N96" s="9">
        <f>IF($K96="","",INDEX('سجل التحفيز'!$M$5:$M$2004,MATCH($K96,'سجل التحفيز'!$Y$5:$Y$2004,0)))</f>
        <v/>
      </c>
      <c r="O96" s="9">
        <f>IF($K96="","",INDEX('سجل التحفيز'!$C$5:$C$2004,MATCH($K96,'سجل التحفيز'!$Y$5:$Y$2004,0)))</f>
        <v/>
      </c>
      <c r="P96" s="36">
        <f>IF($K96="","",INDEX('سجل التحفيز'!$D$5:$D$2004,MATCH($K96,'سجل التحفيز'!$Y$5:$Y$2004,0)))</f>
        <v/>
      </c>
      <c r="Q96" s="9">
        <f>IF($K96="","",INDEX('سجل التحفيز'!$E$5:$E$2004,MATCH($K96,'سجل التحفيز'!$Y$5:$Y$2004,0)))</f>
        <v/>
      </c>
      <c r="R96" s="9">
        <f>IF($K96="","",INDEX('سجل التحفيز'!$F$5:$F$2004,MATCH($K96,'سجل التحفيز'!$Y$5:$Y$2004,0)))</f>
        <v/>
      </c>
      <c r="S96" s="35">
        <f>IF($K96="","",INDEX('سجل التحفيز'!$G$5:$G$2004,MATCH($K96,'سجل التحفيز'!$Y$5:$Y$2004,0)))</f>
        <v/>
      </c>
    </row>
    <row r="97">
      <c r="B97" s="34">
        <f>IFERROR(INDEX(الموظفات!$B$5:$B$304,MATCH(60,الموظفات!$S$5:$S$304,0)),"")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التحفيز'!$Y$5:$Y$2004,"&gt;0",'سجل التحفيز'!$B$5:$B$2004,B97))</f>
        <v/>
      </c>
      <c r="E97" s="35">
        <f>IF(B97="","",COUNTIFS('سجل التحفيز'!$Y$5:$Y$2004,"&gt;0",'سجل التحفيز'!$B$5:$B$2004,B97,'سجل التحفيز'!$D$5:$D$2004,"ذهبي"))</f>
        <v/>
      </c>
      <c r="F97" s="35">
        <f>IF(B97="","",SUMIFS('سجل التحفيز'!$G$5:$G$2004,'سجل التحفيز'!$Y$5:$Y$2004,"&gt;0",'سجل التحفيز'!$B$5:$B$2004,B97))</f>
        <v/>
      </c>
      <c r="G97" s="35">
        <f>IF(B97="","",COUNTIF($D$38:$D$187,"&gt;"&amp;D97)+1)</f>
        <v/>
      </c>
      <c r="H97" s="35">
        <f>IF(B97="","",INDEX(الموظفات!$L$5:$L$304,MATCH(B97,الموظفات!$B$5:$B$304,0)))</f>
        <v/>
      </c>
      <c r="K97" s="36">
        <f>IF(60&gt;$B$10,"",60)</f>
        <v/>
      </c>
      <c r="L97" s="37">
        <f>IF($K97="","",INDEX('سجل التحفيز'!$A$5:$A$2004,MATCH($K97,'سجل التحفيز'!$Y$5:$Y$2004,0)))</f>
        <v/>
      </c>
      <c r="M97" s="9">
        <f>IF($K97="","",INDEX('سجل التحفيز'!$B$5:$B$2004,MATCH($K97,'سجل التحفيز'!$Y$5:$Y$2004,0)))</f>
        <v/>
      </c>
      <c r="N97" s="9">
        <f>IF($K97="","",INDEX('سجل التحفيز'!$M$5:$M$2004,MATCH($K97,'سجل التحفيز'!$Y$5:$Y$2004,0)))</f>
        <v/>
      </c>
      <c r="O97" s="9">
        <f>IF($K97="","",INDEX('سجل التحفيز'!$C$5:$C$2004,MATCH($K97,'سجل التحفيز'!$Y$5:$Y$2004,0)))</f>
        <v/>
      </c>
      <c r="P97" s="36">
        <f>IF($K97="","",INDEX('سجل التحفيز'!$D$5:$D$2004,MATCH($K97,'سجل التحفيز'!$Y$5:$Y$2004,0)))</f>
        <v/>
      </c>
      <c r="Q97" s="9">
        <f>IF($K97="","",INDEX('سجل التحفيز'!$E$5:$E$2004,MATCH($K97,'سجل التحفيز'!$Y$5:$Y$2004,0)))</f>
        <v/>
      </c>
      <c r="R97" s="9">
        <f>IF($K97="","",INDEX('سجل التحفيز'!$F$5:$F$2004,MATCH($K97,'سجل التحفيز'!$Y$5:$Y$2004,0)))</f>
        <v/>
      </c>
      <c r="S97" s="35">
        <f>IF($K97="","",INDEX('سجل التحفيز'!$G$5:$G$2004,MATCH($K97,'سجل التحفيز'!$Y$5:$Y$2004,0)))</f>
        <v/>
      </c>
    </row>
    <row r="98">
      <c r="B98" s="34">
        <f>IFERROR(INDEX(الموظفات!$B$5:$B$304,MATCH(61,الموظفات!$S$5:$S$304,0)),"")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التحفيز'!$Y$5:$Y$2004,"&gt;0",'سجل التحفيز'!$B$5:$B$2004,B98))</f>
        <v/>
      </c>
      <c r="E98" s="35">
        <f>IF(B98="","",COUNTIFS('سجل التحفيز'!$Y$5:$Y$2004,"&gt;0",'سجل التحفيز'!$B$5:$B$2004,B98,'سجل التحفيز'!$D$5:$D$2004,"ذهبي"))</f>
        <v/>
      </c>
      <c r="F98" s="35">
        <f>IF(B98="","",SUMIFS('سجل التحفيز'!$G$5:$G$2004,'سجل التحفيز'!$Y$5:$Y$2004,"&gt;0",'سجل التحفيز'!$B$5:$B$2004,B98))</f>
        <v/>
      </c>
      <c r="G98" s="35">
        <f>IF(B98="","",COUNTIF($D$38:$D$187,"&gt;"&amp;D98)+1)</f>
        <v/>
      </c>
      <c r="H98" s="35">
        <f>IF(B98="","",INDEX(الموظفات!$L$5:$L$304,MATCH(B98,الموظفات!$B$5:$B$304,0)))</f>
        <v/>
      </c>
      <c r="K98" s="36">
        <f>IF(61&gt;$B$10,"",61)</f>
        <v/>
      </c>
      <c r="L98" s="37">
        <f>IF($K98="","",INDEX('سجل التحفيز'!$A$5:$A$2004,MATCH($K98,'سجل التحفيز'!$Y$5:$Y$2004,0)))</f>
        <v/>
      </c>
      <c r="M98" s="9">
        <f>IF($K98="","",INDEX('سجل التحفيز'!$B$5:$B$2004,MATCH($K98,'سجل التحفيز'!$Y$5:$Y$2004,0)))</f>
        <v/>
      </c>
      <c r="N98" s="9">
        <f>IF($K98="","",INDEX('سجل التحفيز'!$M$5:$M$2004,MATCH($K98,'سجل التحفيز'!$Y$5:$Y$2004,0)))</f>
        <v/>
      </c>
      <c r="O98" s="9">
        <f>IF($K98="","",INDEX('سجل التحفيز'!$C$5:$C$2004,MATCH($K98,'سجل التحفيز'!$Y$5:$Y$2004,0)))</f>
        <v/>
      </c>
      <c r="P98" s="36">
        <f>IF($K98="","",INDEX('سجل التحفيز'!$D$5:$D$2004,MATCH($K98,'سجل التحفيز'!$Y$5:$Y$2004,0)))</f>
        <v/>
      </c>
      <c r="Q98" s="9">
        <f>IF($K98="","",INDEX('سجل التحفيز'!$E$5:$E$2004,MATCH($K98,'سجل التحفيز'!$Y$5:$Y$2004,0)))</f>
        <v/>
      </c>
      <c r="R98" s="9">
        <f>IF($K98="","",INDEX('سجل التحفيز'!$F$5:$F$2004,MATCH($K98,'سجل التحفيز'!$Y$5:$Y$2004,0)))</f>
        <v/>
      </c>
      <c r="S98" s="35">
        <f>IF($K98="","",INDEX('سجل التحفيز'!$G$5:$G$2004,MATCH($K98,'سجل التحفيز'!$Y$5:$Y$2004,0)))</f>
        <v/>
      </c>
    </row>
    <row r="99">
      <c r="B99" s="34">
        <f>IFERROR(INDEX(الموظفات!$B$5:$B$304,MATCH(62,الموظفات!$S$5:$S$304,0)),"")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التحفيز'!$Y$5:$Y$2004,"&gt;0",'سجل التحفيز'!$B$5:$B$2004,B99))</f>
        <v/>
      </c>
      <c r="E99" s="35">
        <f>IF(B99="","",COUNTIFS('سجل التحفيز'!$Y$5:$Y$2004,"&gt;0",'سجل التحفيز'!$B$5:$B$2004,B99,'سجل التحفيز'!$D$5:$D$2004,"ذهبي"))</f>
        <v/>
      </c>
      <c r="F99" s="35">
        <f>IF(B99="","",SUMIFS('سجل التحفيز'!$G$5:$G$2004,'سجل التحفيز'!$Y$5:$Y$2004,"&gt;0",'سجل التحفيز'!$B$5:$B$2004,B99))</f>
        <v/>
      </c>
      <c r="G99" s="35">
        <f>IF(B99="","",COUNTIF($D$38:$D$187,"&gt;"&amp;D99)+1)</f>
        <v/>
      </c>
      <c r="H99" s="35">
        <f>IF(B99="","",INDEX(الموظفات!$L$5:$L$304,MATCH(B99,الموظفات!$B$5:$B$304,0)))</f>
        <v/>
      </c>
      <c r="K99" s="36">
        <f>IF(62&gt;$B$10,"",62)</f>
        <v/>
      </c>
      <c r="L99" s="37">
        <f>IF($K99="","",INDEX('سجل التحفيز'!$A$5:$A$2004,MATCH($K99,'سجل التحفيز'!$Y$5:$Y$2004,0)))</f>
        <v/>
      </c>
      <c r="M99" s="9">
        <f>IF($K99="","",INDEX('سجل التحفيز'!$B$5:$B$2004,MATCH($K99,'سجل التحفيز'!$Y$5:$Y$2004,0)))</f>
        <v/>
      </c>
      <c r="N99" s="9">
        <f>IF($K99="","",INDEX('سجل التحفيز'!$M$5:$M$2004,MATCH($K99,'سجل التحفيز'!$Y$5:$Y$2004,0)))</f>
        <v/>
      </c>
      <c r="O99" s="9">
        <f>IF($K99="","",INDEX('سجل التحفيز'!$C$5:$C$2004,MATCH($K99,'سجل التحفيز'!$Y$5:$Y$2004,0)))</f>
        <v/>
      </c>
      <c r="P99" s="36">
        <f>IF($K99="","",INDEX('سجل التحفيز'!$D$5:$D$2004,MATCH($K99,'سجل التحفيز'!$Y$5:$Y$2004,0)))</f>
        <v/>
      </c>
      <c r="Q99" s="9">
        <f>IF($K99="","",INDEX('سجل التحفيز'!$E$5:$E$2004,MATCH($K99,'سجل التحفيز'!$Y$5:$Y$2004,0)))</f>
        <v/>
      </c>
      <c r="R99" s="9">
        <f>IF($K99="","",INDEX('سجل التحفيز'!$F$5:$F$2004,MATCH($K99,'سجل التحفيز'!$Y$5:$Y$2004,0)))</f>
        <v/>
      </c>
      <c r="S99" s="35">
        <f>IF($K99="","",INDEX('سجل التحفيز'!$G$5:$G$2004,MATCH($K99,'سجل التحفيز'!$Y$5:$Y$2004,0)))</f>
        <v/>
      </c>
    </row>
    <row r="100">
      <c r="B100" s="34">
        <f>IFERROR(INDEX(الموظفات!$B$5:$B$304,MATCH(63,الموظفات!$S$5:$S$304,0)),"")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التحفيز'!$Y$5:$Y$2004,"&gt;0",'سجل التحفيز'!$B$5:$B$2004,B100))</f>
        <v/>
      </c>
      <c r="E100" s="35">
        <f>IF(B100="","",COUNTIFS('سجل التحفيز'!$Y$5:$Y$2004,"&gt;0",'سجل التحفيز'!$B$5:$B$2004,B100,'سجل التحفيز'!$D$5:$D$2004,"ذهبي"))</f>
        <v/>
      </c>
      <c r="F100" s="35">
        <f>IF(B100="","",SUMIFS('سجل التحفيز'!$G$5:$G$2004,'سجل التحفيز'!$Y$5:$Y$2004,"&gt;0",'سجل التحفيز'!$B$5:$B$2004,B100))</f>
        <v/>
      </c>
      <c r="G100" s="35">
        <f>IF(B100="","",COUNTIF($D$38:$D$187,"&gt;"&amp;D100)+1)</f>
        <v/>
      </c>
      <c r="H100" s="35">
        <f>IF(B100="","",INDEX(الموظفات!$L$5:$L$304,MATCH(B100,الموظفات!$B$5:$B$304,0)))</f>
        <v/>
      </c>
      <c r="K100" s="36">
        <f>IF(63&gt;$B$10,"",63)</f>
        <v/>
      </c>
      <c r="L100" s="37">
        <f>IF($K100="","",INDEX('سجل التحفيز'!$A$5:$A$2004,MATCH($K100,'سجل التحفيز'!$Y$5:$Y$2004,0)))</f>
        <v/>
      </c>
      <c r="M100" s="9">
        <f>IF($K100="","",INDEX('سجل التحفيز'!$B$5:$B$2004,MATCH($K100,'سجل التحفيز'!$Y$5:$Y$2004,0)))</f>
        <v/>
      </c>
      <c r="N100" s="9">
        <f>IF($K100="","",INDEX('سجل التحفيز'!$M$5:$M$2004,MATCH($K100,'سجل التحفيز'!$Y$5:$Y$2004,0)))</f>
        <v/>
      </c>
      <c r="O100" s="9">
        <f>IF($K100="","",INDEX('سجل التحفيز'!$C$5:$C$2004,MATCH($K100,'سجل التحفيز'!$Y$5:$Y$2004,0)))</f>
        <v/>
      </c>
      <c r="P100" s="36">
        <f>IF($K100="","",INDEX('سجل التحفيز'!$D$5:$D$2004,MATCH($K100,'سجل التحفيز'!$Y$5:$Y$2004,0)))</f>
        <v/>
      </c>
      <c r="Q100" s="9">
        <f>IF($K100="","",INDEX('سجل التحفيز'!$E$5:$E$2004,MATCH($K100,'سجل التحفيز'!$Y$5:$Y$2004,0)))</f>
        <v/>
      </c>
      <c r="R100" s="9">
        <f>IF($K100="","",INDEX('سجل التحفيز'!$F$5:$F$2004,MATCH($K100,'سجل التحفيز'!$Y$5:$Y$2004,0)))</f>
        <v/>
      </c>
      <c r="S100" s="35">
        <f>IF($K100="","",INDEX('سجل التحفيز'!$G$5:$G$2004,MATCH($K100,'سجل التحفيز'!$Y$5:$Y$2004,0)))</f>
        <v/>
      </c>
    </row>
    <row r="101">
      <c r="B101" s="34">
        <f>IFERROR(INDEX(الموظفات!$B$5:$B$304,MATCH(64,الموظفات!$S$5:$S$304,0)),"")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التحفيز'!$Y$5:$Y$2004,"&gt;0",'سجل التحفيز'!$B$5:$B$2004,B101))</f>
        <v/>
      </c>
      <c r="E101" s="35">
        <f>IF(B101="","",COUNTIFS('سجل التحفيز'!$Y$5:$Y$2004,"&gt;0",'سجل التحفيز'!$B$5:$B$2004,B101,'سجل التحفيز'!$D$5:$D$2004,"ذهبي"))</f>
        <v/>
      </c>
      <c r="F101" s="35">
        <f>IF(B101="","",SUMIFS('سجل التحفيز'!$G$5:$G$2004,'سجل التحفيز'!$Y$5:$Y$2004,"&gt;0",'سجل التحفيز'!$B$5:$B$2004,B101))</f>
        <v/>
      </c>
      <c r="G101" s="35">
        <f>IF(B101="","",COUNTIF($D$38:$D$187,"&gt;"&amp;D101)+1)</f>
        <v/>
      </c>
      <c r="H101" s="35">
        <f>IF(B101="","",INDEX(الموظفات!$L$5:$L$304,MATCH(B101,الموظفات!$B$5:$B$304,0)))</f>
        <v/>
      </c>
      <c r="K101" s="36">
        <f>IF(64&gt;$B$10,"",64)</f>
        <v/>
      </c>
      <c r="L101" s="37">
        <f>IF($K101="","",INDEX('سجل التحفيز'!$A$5:$A$2004,MATCH($K101,'سجل التحفيز'!$Y$5:$Y$2004,0)))</f>
        <v/>
      </c>
      <c r="M101" s="9">
        <f>IF($K101="","",INDEX('سجل التحفيز'!$B$5:$B$2004,MATCH($K101,'سجل التحفيز'!$Y$5:$Y$2004,0)))</f>
        <v/>
      </c>
      <c r="N101" s="9">
        <f>IF($K101="","",INDEX('سجل التحفيز'!$M$5:$M$2004,MATCH($K101,'سجل التحفيز'!$Y$5:$Y$2004,0)))</f>
        <v/>
      </c>
      <c r="O101" s="9">
        <f>IF($K101="","",INDEX('سجل التحفيز'!$C$5:$C$2004,MATCH($K101,'سجل التحفيز'!$Y$5:$Y$2004,0)))</f>
        <v/>
      </c>
      <c r="P101" s="36">
        <f>IF($K101="","",INDEX('سجل التحفيز'!$D$5:$D$2004,MATCH($K101,'سجل التحفيز'!$Y$5:$Y$2004,0)))</f>
        <v/>
      </c>
      <c r="Q101" s="9">
        <f>IF($K101="","",INDEX('سجل التحفيز'!$E$5:$E$2004,MATCH($K101,'سجل التحفيز'!$Y$5:$Y$2004,0)))</f>
        <v/>
      </c>
      <c r="R101" s="9">
        <f>IF($K101="","",INDEX('سجل التحفيز'!$F$5:$F$2004,MATCH($K101,'سجل التحفيز'!$Y$5:$Y$2004,0)))</f>
        <v/>
      </c>
      <c r="S101" s="35">
        <f>IF($K101="","",INDEX('سجل التحفيز'!$G$5:$G$2004,MATCH($K101,'سجل التحفيز'!$Y$5:$Y$2004,0)))</f>
        <v/>
      </c>
    </row>
    <row r="102">
      <c r="B102" s="34">
        <f>IFERROR(INDEX(الموظفات!$B$5:$B$304,MATCH(65,الموظفات!$S$5:$S$304,0)),"")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التحفيز'!$Y$5:$Y$2004,"&gt;0",'سجل التحفيز'!$B$5:$B$2004,B102))</f>
        <v/>
      </c>
      <c r="E102" s="35">
        <f>IF(B102="","",COUNTIFS('سجل التحفيز'!$Y$5:$Y$2004,"&gt;0",'سجل التحفيز'!$B$5:$B$2004,B102,'سجل التحفيز'!$D$5:$D$2004,"ذهبي"))</f>
        <v/>
      </c>
      <c r="F102" s="35">
        <f>IF(B102="","",SUMIFS('سجل التحفيز'!$G$5:$G$2004,'سجل التحفيز'!$Y$5:$Y$2004,"&gt;0",'سجل التحفيز'!$B$5:$B$2004,B102))</f>
        <v/>
      </c>
      <c r="G102" s="35">
        <f>IF(B102="","",COUNTIF($D$38:$D$187,"&gt;"&amp;D102)+1)</f>
        <v/>
      </c>
      <c r="H102" s="35">
        <f>IF(B102="","",INDEX(الموظفات!$L$5:$L$304,MATCH(B102,الموظفات!$B$5:$B$304,0)))</f>
        <v/>
      </c>
      <c r="K102" s="36">
        <f>IF(65&gt;$B$10,"",65)</f>
        <v/>
      </c>
      <c r="L102" s="37">
        <f>IF($K102="","",INDEX('سجل التحفيز'!$A$5:$A$2004,MATCH($K102,'سجل التحفيز'!$Y$5:$Y$2004,0)))</f>
        <v/>
      </c>
      <c r="M102" s="9">
        <f>IF($K102="","",INDEX('سجل التحفيز'!$B$5:$B$2004,MATCH($K102,'سجل التحفيز'!$Y$5:$Y$2004,0)))</f>
        <v/>
      </c>
      <c r="N102" s="9">
        <f>IF($K102="","",INDEX('سجل التحفيز'!$M$5:$M$2004,MATCH($K102,'سجل التحفيز'!$Y$5:$Y$2004,0)))</f>
        <v/>
      </c>
      <c r="O102" s="9">
        <f>IF($K102="","",INDEX('سجل التحفيز'!$C$5:$C$2004,MATCH($K102,'سجل التحفيز'!$Y$5:$Y$2004,0)))</f>
        <v/>
      </c>
      <c r="P102" s="36">
        <f>IF($K102="","",INDEX('سجل التحفيز'!$D$5:$D$2004,MATCH($K102,'سجل التحفيز'!$Y$5:$Y$2004,0)))</f>
        <v/>
      </c>
      <c r="Q102" s="9">
        <f>IF($K102="","",INDEX('سجل التحفيز'!$E$5:$E$2004,MATCH($K102,'سجل التحفيز'!$Y$5:$Y$2004,0)))</f>
        <v/>
      </c>
      <c r="R102" s="9">
        <f>IF($K102="","",INDEX('سجل التحفيز'!$F$5:$F$2004,MATCH($K102,'سجل التحفيز'!$Y$5:$Y$2004,0)))</f>
        <v/>
      </c>
      <c r="S102" s="35">
        <f>IF($K102="","",INDEX('سجل التحفيز'!$G$5:$G$2004,MATCH($K102,'سجل التحفيز'!$Y$5:$Y$2004,0)))</f>
        <v/>
      </c>
    </row>
    <row r="103">
      <c r="B103" s="34">
        <f>IFERROR(INDEX(الموظفات!$B$5:$B$304,MATCH(66,الموظفات!$S$5:$S$304,0)),"")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التحفيز'!$Y$5:$Y$2004,"&gt;0",'سجل التحفيز'!$B$5:$B$2004,B103))</f>
        <v/>
      </c>
      <c r="E103" s="35">
        <f>IF(B103="","",COUNTIFS('سجل التحفيز'!$Y$5:$Y$2004,"&gt;0",'سجل التحفيز'!$B$5:$B$2004,B103,'سجل التحفيز'!$D$5:$D$2004,"ذهبي"))</f>
        <v/>
      </c>
      <c r="F103" s="35">
        <f>IF(B103="","",SUMIFS('سجل التحفيز'!$G$5:$G$2004,'سجل التحفيز'!$Y$5:$Y$2004,"&gt;0",'سجل التحفيز'!$B$5:$B$2004,B103))</f>
        <v/>
      </c>
      <c r="G103" s="35">
        <f>IF(B103="","",COUNTIF($D$38:$D$187,"&gt;"&amp;D103)+1)</f>
        <v/>
      </c>
      <c r="H103" s="35">
        <f>IF(B103="","",INDEX(الموظفات!$L$5:$L$304,MATCH(B103,الموظفات!$B$5:$B$304,0)))</f>
        <v/>
      </c>
      <c r="K103" s="36">
        <f>IF(66&gt;$B$10,"",66)</f>
        <v/>
      </c>
      <c r="L103" s="37">
        <f>IF($K103="","",INDEX('سجل التحفيز'!$A$5:$A$2004,MATCH($K103,'سجل التحفيز'!$Y$5:$Y$2004,0)))</f>
        <v/>
      </c>
      <c r="M103" s="9">
        <f>IF($K103="","",INDEX('سجل التحفيز'!$B$5:$B$2004,MATCH($K103,'سجل التحفيز'!$Y$5:$Y$2004,0)))</f>
        <v/>
      </c>
      <c r="N103" s="9">
        <f>IF($K103="","",INDEX('سجل التحفيز'!$M$5:$M$2004,MATCH($K103,'سجل التحفيز'!$Y$5:$Y$2004,0)))</f>
        <v/>
      </c>
      <c r="O103" s="9">
        <f>IF($K103="","",INDEX('سجل التحفيز'!$C$5:$C$2004,MATCH($K103,'سجل التحفيز'!$Y$5:$Y$2004,0)))</f>
        <v/>
      </c>
      <c r="P103" s="36">
        <f>IF($K103="","",INDEX('سجل التحفيز'!$D$5:$D$2004,MATCH($K103,'سجل التحفيز'!$Y$5:$Y$2004,0)))</f>
        <v/>
      </c>
      <c r="Q103" s="9">
        <f>IF($K103="","",INDEX('سجل التحفيز'!$E$5:$E$2004,MATCH($K103,'سجل التحفيز'!$Y$5:$Y$2004,0)))</f>
        <v/>
      </c>
      <c r="R103" s="9">
        <f>IF($K103="","",INDEX('سجل التحفيز'!$F$5:$F$2004,MATCH($K103,'سجل التحفيز'!$Y$5:$Y$2004,0)))</f>
        <v/>
      </c>
      <c r="S103" s="35">
        <f>IF($K103="","",INDEX('سجل التحفيز'!$G$5:$G$2004,MATCH($K103,'سجل التحفيز'!$Y$5:$Y$2004,0)))</f>
        <v/>
      </c>
    </row>
    <row r="104">
      <c r="B104" s="34">
        <f>IFERROR(INDEX(الموظفات!$B$5:$B$304,MATCH(67,الموظفات!$S$5:$S$304,0)),"")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التحفيز'!$Y$5:$Y$2004,"&gt;0",'سجل التحفيز'!$B$5:$B$2004,B104))</f>
        <v/>
      </c>
      <c r="E104" s="35">
        <f>IF(B104="","",COUNTIFS('سجل التحفيز'!$Y$5:$Y$2004,"&gt;0",'سجل التحفيز'!$B$5:$B$2004,B104,'سجل التحفيز'!$D$5:$D$2004,"ذهبي"))</f>
        <v/>
      </c>
      <c r="F104" s="35">
        <f>IF(B104="","",SUMIFS('سجل التحفيز'!$G$5:$G$2004,'سجل التحفيز'!$Y$5:$Y$2004,"&gt;0",'سجل التحفيز'!$B$5:$B$2004,B104))</f>
        <v/>
      </c>
      <c r="G104" s="35">
        <f>IF(B104="","",COUNTIF($D$38:$D$187,"&gt;"&amp;D104)+1)</f>
        <v/>
      </c>
      <c r="H104" s="35">
        <f>IF(B104="","",INDEX(الموظفات!$L$5:$L$304,MATCH(B104,الموظفات!$B$5:$B$304,0)))</f>
        <v/>
      </c>
      <c r="K104" s="36">
        <f>IF(67&gt;$B$10,"",67)</f>
        <v/>
      </c>
      <c r="L104" s="37">
        <f>IF($K104="","",INDEX('سجل التحفيز'!$A$5:$A$2004,MATCH($K104,'سجل التحفيز'!$Y$5:$Y$2004,0)))</f>
        <v/>
      </c>
      <c r="M104" s="9">
        <f>IF($K104="","",INDEX('سجل التحفيز'!$B$5:$B$2004,MATCH($K104,'سجل التحفيز'!$Y$5:$Y$2004,0)))</f>
        <v/>
      </c>
      <c r="N104" s="9">
        <f>IF($K104="","",INDEX('سجل التحفيز'!$M$5:$M$2004,MATCH($K104,'سجل التحفيز'!$Y$5:$Y$2004,0)))</f>
        <v/>
      </c>
      <c r="O104" s="9">
        <f>IF($K104="","",INDEX('سجل التحفيز'!$C$5:$C$2004,MATCH($K104,'سجل التحفيز'!$Y$5:$Y$2004,0)))</f>
        <v/>
      </c>
      <c r="P104" s="36">
        <f>IF($K104="","",INDEX('سجل التحفيز'!$D$5:$D$2004,MATCH($K104,'سجل التحفيز'!$Y$5:$Y$2004,0)))</f>
        <v/>
      </c>
      <c r="Q104" s="9">
        <f>IF($K104="","",INDEX('سجل التحفيز'!$E$5:$E$2004,MATCH($K104,'سجل التحفيز'!$Y$5:$Y$2004,0)))</f>
        <v/>
      </c>
      <c r="R104" s="9">
        <f>IF($K104="","",INDEX('سجل التحفيز'!$F$5:$F$2004,MATCH($K104,'سجل التحفيز'!$Y$5:$Y$2004,0)))</f>
        <v/>
      </c>
      <c r="S104" s="35">
        <f>IF($K104="","",INDEX('سجل التحفيز'!$G$5:$G$2004,MATCH($K104,'سجل التحفيز'!$Y$5:$Y$2004,0)))</f>
        <v/>
      </c>
    </row>
    <row r="105">
      <c r="B105" s="34">
        <f>IFERROR(INDEX(الموظفات!$B$5:$B$304,MATCH(68,الموظفات!$S$5:$S$304,0)),"")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التحفيز'!$Y$5:$Y$2004,"&gt;0",'سجل التحفيز'!$B$5:$B$2004,B105))</f>
        <v/>
      </c>
      <c r="E105" s="35">
        <f>IF(B105="","",COUNTIFS('سجل التحفيز'!$Y$5:$Y$2004,"&gt;0",'سجل التحفيز'!$B$5:$B$2004,B105,'سجل التحفيز'!$D$5:$D$2004,"ذهبي"))</f>
        <v/>
      </c>
      <c r="F105" s="35">
        <f>IF(B105="","",SUMIFS('سجل التحفيز'!$G$5:$G$2004,'سجل التحفيز'!$Y$5:$Y$2004,"&gt;0",'سجل التحفيز'!$B$5:$B$2004,B105))</f>
        <v/>
      </c>
      <c r="G105" s="35">
        <f>IF(B105="","",COUNTIF($D$38:$D$187,"&gt;"&amp;D105)+1)</f>
        <v/>
      </c>
      <c r="H105" s="35">
        <f>IF(B105="","",INDEX(الموظفات!$L$5:$L$304,MATCH(B105,الموظفات!$B$5:$B$304,0)))</f>
        <v/>
      </c>
      <c r="K105" s="36">
        <f>IF(68&gt;$B$10,"",68)</f>
        <v/>
      </c>
      <c r="L105" s="37">
        <f>IF($K105="","",INDEX('سجل التحفيز'!$A$5:$A$2004,MATCH($K105,'سجل التحفيز'!$Y$5:$Y$2004,0)))</f>
        <v/>
      </c>
      <c r="M105" s="9">
        <f>IF($K105="","",INDEX('سجل التحفيز'!$B$5:$B$2004,MATCH($K105,'سجل التحفيز'!$Y$5:$Y$2004,0)))</f>
        <v/>
      </c>
      <c r="N105" s="9">
        <f>IF($K105="","",INDEX('سجل التحفيز'!$M$5:$M$2004,MATCH($K105,'سجل التحفيز'!$Y$5:$Y$2004,0)))</f>
        <v/>
      </c>
      <c r="O105" s="9">
        <f>IF($K105="","",INDEX('سجل التحفيز'!$C$5:$C$2004,MATCH($K105,'سجل التحفيز'!$Y$5:$Y$2004,0)))</f>
        <v/>
      </c>
      <c r="P105" s="36">
        <f>IF($K105="","",INDEX('سجل التحفيز'!$D$5:$D$2004,MATCH($K105,'سجل التحفيز'!$Y$5:$Y$2004,0)))</f>
        <v/>
      </c>
      <c r="Q105" s="9">
        <f>IF($K105="","",INDEX('سجل التحفيز'!$E$5:$E$2004,MATCH($K105,'سجل التحفيز'!$Y$5:$Y$2004,0)))</f>
        <v/>
      </c>
      <c r="R105" s="9">
        <f>IF($K105="","",INDEX('سجل التحفيز'!$F$5:$F$2004,MATCH($K105,'سجل التحفيز'!$Y$5:$Y$2004,0)))</f>
        <v/>
      </c>
      <c r="S105" s="35">
        <f>IF($K105="","",INDEX('سجل التحفيز'!$G$5:$G$2004,MATCH($K105,'سجل التحفيز'!$Y$5:$Y$2004,0)))</f>
        <v/>
      </c>
    </row>
    <row r="106">
      <c r="B106" s="34">
        <f>IFERROR(INDEX(الموظفات!$B$5:$B$304,MATCH(69,الموظفات!$S$5:$S$304,0)),"")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التحفيز'!$Y$5:$Y$2004,"&gt;0",'سجل التحفيز'!$B$5:$B$2004,B106))</f>
        <v/>
      </c>
      <c r="E106" s="35">
        <f>IF(B106="","",COUNTIFS('سجل التحفيز'!$Y$5:$Y$2004,"&gt;0",'سجل التحفيز'!$B$5:$B$2004,B106,'سجل التحفيز'!$D$5:$D$2004,"ذهبي"))</f>
        <v/>
      </c>
      <c r="F106" s="35">
        <f>IF(B106="","",SUMIFS('سجل التحفيز'!$G$5:$G$2004,'سجل التحفيز'!$Y$5:$Y$2004,"&gt;0",'سجل التحفيز'!$B$5:$B$2004,B106))</f>
        <v/>
      </c>
      <c r="G106" s="35">
        <f>IF(B106="","",COUNTIF($D$38:$D$187,"&gt;"&amp;D106)+1)</f>
        <v/>
      </c>
      <c r="H106" s="35">
        <f>IF(B106="","",INDEX(الموظفات!$L$5:$L$304,MATCH(B106,الموظفات!$B$5:$B$304,0)))</f>
        <v/>
      </c>
      <c r="K106" s="36">
        <f>IF(69&gt;$B$10,"",69)</f>
        <v/>
      </c>
      <c r="L106" s="37">
        <f>IF($K106="","",INDEX('سجل التحفيز'!$A$5:$A$2004,MATCH($K106,'سجل التحفيز'!$Y$5:$Y$2004,0)))</f>
        <v/>
      </c>
      <c r="M106" s="9">
        <f>IF($K106="","",INDEX('سجل التحفيز'!$B$5:$B$2004,MATCH($K106,'سجل التحفيز'!$Y$5:$Y$2004,0)))</f>
        <v/>
      </c>
      <c r="N106" s="9">
        <f>IF($K106="","",INDEX('سجل التحفيز'!$M$5:$M$2004,MATCH($K106,'سجل التحفيز'!$Y$5:$Y$2004,0)))</f>
        <v/>
      </c>
      <c r="O106" s="9">
        <f>IF($K106="","",INDEX('سجل التحفيز'!$C$5:$C$2004,MATCH($K106,'سجل التحفيز'!$Y$5:$Y$2004,0)))</f>
        <v/>
      </c>
      <c r="P106" s="36">
        <f>IF($K106="","",INDEX('سجل التحفيز'!$D$5:$D$2004,MATCH($K106,'سجل التحفيز'!$Y$5:$Y$2004,0)))</f>
        <v/>
      </c>
      <c r="Q106" s="9">
        <f>IF($K106="","",INDEX('سجل التحفيز'!$E$5:$E$2004,MATCH($K106,'سجل التحفيز'!$Y$5:$Y$2004,0)))</f>
        <v/>
      </c>
      <c r="R106" s="9">
        <f>IF($K106="","",INDEX('سجل التحفيز'!$F$5:$F$2004,MATCH($K106,'سجل التحفيز'!$Y$5:$Y$2004,0)))</f>
        <v/>
      </c>
      <c r="S106" s="35">
        <f>IF($K106="","",INDEX('سجل التحفيز'!$G$5:$G$2004,MATCH($K106,'سجل التحفيز'!$Y$5:$Y$2004,0)))</f>
        <v/>
      </c>
    </row>
    <row r="107">
      <c r="B107" s="34">
        <f>IFERROR(INDEX(الموظفات!$B$5:$B$304,MATCH(70,الموظفات!$S$5:$S$304,0)),"")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التحفيز'!$Y$5:$Y$2004,"&gt;0",'سجل التحفيز'!$B$5:$B$2004,B107))</f>
        <v/>
      </c>
      <c r="E107" s="35">
        <f>IF(B107="","",COUNTIFS('سجل التحفيز'!$Y$5:$Y$2004,"&gt;0",'سجل التحفيز'!$B$5:$B$2004,B107,'سجل التحفيز'!$D$5:$D$2004,"ذهبي"))</f>
        <v/>
      </c>
      <c r="F107" s="35">
        <f>IF(B107="","",SUMIFS('سجل التحفيز'!$G$5:$G$2004,'سجل التحفيز'!$Y$5:$Y$2004,"&gt;0",'سجل التحفيز'!$B$5:$B$2004,B107))</f>
        <v/>
      </c>
      <c r="G107" s="35">
        <f>IF(B107="","",COUNTIF($D$38:$D$187,"&gt;"&amp;D107)+1)</f>
        <v/>
      </c>
      <c r="H107" s="35">
        <f>IF(B107="","",INDEX(الموظفات!$L$5:$L$304,MATCH(B107,الموظفات!$B$5:$B$304,0)))</f>
        <v/>
      </c>
      <c r="K107" s="36">
        <f>IF(70&gt;$B$10,"",70)</f>
        <v/>
      </c>
      <c r="L107" s="37">
        <f>IF($K107="","",INDEX('سجل التحفيز'!$A$5:$A$2004,MATCH($K107,'سجل التحفيز'!$Y$5:$Y$2004,0)))</f>
        <v/>
      </c>
      <c r="M107" s="9">
        <f>IF($K107="","",INDEX('سجل التحفيز'!$B$5:$B$2004,MATCH($K107,'سجل التحفيز'!$Y$5:$Y$2004,0)))</f>
        <v/>
      </c>
      <c r="N107" s="9">
        <f>IF($K107="","",INDEX('سجل التحفيز'!$M$5:$M$2004,MATCH($K107,'سجل التحفيز'!$Y$5:$Y$2004,0)))</f>
        <v/>
      </c>
      <c r="O107" s="9">
        <f>IF($K107="","",INDEX('سجل التحفيز'!$C$5:$C$2004,MATCH($K107,'سجل التحفيز'!$Y$5:$Y$2004,0)))</f>
        <v/>
      </c>
      <c r="P107" s="36">
        <f>IF($K107="","",INDEX('سجل التحفيز'!$D$5:$D$2004,MATCH($K107,'سجل التحفيز'!$Y$5:$Y$2004,0)))</f>
        <v/>
      </c>
      <c r="Q107" s="9">
        <f>IF($K107="","",INDEX('سجل التحفيز'!$E$5:$E$2004,MATCH($K107,'سجل التحفيز'!$Y$5:$Y$2004,0)))</f>
        <v/>
      </c>
      <c r="R107" s="9">
        <f>IF($K107="","",INDEX('سجل التحفيز'!$F$5:$F$2004,MATCH($K107,'سجل التحفيز'!$Y$5:$Y$2004,0)))</f>
        <v/>
      </c>
      <c r="S107" s="35">
        <f>IF($K107="","",INDEX('سجل التحفيز'!$G$5:$G$2004,MATCH($K107,'سجل التحفيز'!$Y$5:$Y$2004,0)))</f>
        <v/>
      </c>
    </row>
    <row r="108">
      <c r="B108" s="34">
        <f>IFERROR(INDEX(الموظفات!$B$5:$B$304,MATCH(71,الموظفات!$S$5:$S$304,0)),"")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التحفيز'!$Y$5:$Y$2004,"&gt;0",'سجل التحفيز'!$B$5:$B$2004,B108))</f>
        <v/>
      </c>
      <c r="E108" s="35">
        <f>IF(B108="","",COUNTIFS('سجل التحفيز'!$Y$5:$Y$2004,"&gt;0",'سجل التحفيز'!$B$5:$B$2004,B108,'سجل التحفيز'!$D$5:$D$2004,"ذهبي"))</f>
        <v/>
      </c>
      <c r="F108" s="35">
        <f>IF(B108="","",SUMIFS('سجل التحفيز'!$G$5:$G$2004,'سجل التحفيز'!$Y$5:$Y$2004,"&gt;0",'سجل التحفيز'!$B$5:$B$2004,B108))</f>
        <v/>
      </c>
      <c r="G108" s="35">
        <f>IF(B108="","",COUNTIF($D$38:$D$187,"&gt;"&amp;D108)+1)</f>
        <v/>
      </c>
      <c r="H108" s="35">
        <f>IF(B108="","",INDEX(الموظفات!$L$5:$L$304,MATCH(B108,الموظفات!$B$5:$B$304,0)))</f>
        <v/>
      </c>
      <c r="K108" s="36">
        <f>IF(71&gt;$B$10,"",71)</f>
        <v/>
      </c>
      <c r="L108" s="37">
        <f>IF($K108="","",INDEX('سجل التحفيز'!$A$5:$A$2004,MATCH($K108,'سجل التحفيز'!$Y$5:$Y$2004,0)))</f>
        <v/>
      </c>
      <c r="M108" s="9">
        <f>IF($K108="","",INDEX('سجل التحفيز'!$B$5:$B$2004,MATCH($K108,'سجل التحفيز'!$Y$5:$Y$2004,0)))</f>
        <v/>
      </c>
      <c r="N108" s="9">
        <f>IF($K108="","",INDEX('سجل التحفيز'!$M$5:$M$2004,MATCH($K108,'سجل التحفيز'!$Y$5:$Y$2004,0)))</f>
        <v/>
      </c>
      <c r="O108" s="9">
        <f>IF($K108="","",INDEX('سجل التحفيز'!$C$5:$C$2004,MATCH($K108,'سجل التحفيز'!$Y$5:$Y$2004,0)))</f>
        <v/>
      </c>
      <c r="P108" s="36">
        <f>IF($K108="","",INDEX('سجل التحفيز'!$D$5:$D$2004,MATCH($K108,'سجل التحفيز'!$Y$5:$Y$2004,0)))</f>
        <v/>
      </c>
      <c r="Q108" s="9">
        <f>IF($K108="","",INDEX('سجل التحفيز'!$E$5:$E$2004,MATCH($K108,'سجل التحفيز'!$Y$5:$Y$2004,0)))</f>
        <v/>
      </c>
      <c r="R108" s="9">
        <f>IF($K108="","",INDEX('سجل التحفيز'!$F$5:$F$2004,MATCH($K108,'سجل التحفيز'!$Y$5:$Y$2004,0)))</f>
        <v/>
      </c>
      <c r="S108" s="35">
        <f>IF($K108="","",INDEX('سجل التحفيز'!$G$5:$G$2004,MATCH($K108,'سجل التحفيز'!$Y$5:$Y$2004,0)))</f>
        <v/>
      </c>
    </row>
    <row r="109">
      <c r="B109" s="34">
        <f>IFERROR(INDEX(الموظفات!$B$5:$B$304,MATCH(72,الموظفات!$S$5:$S$304,0)),"")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التحفيز'!$Y$5:$Y$2004,"&gt;0",'سجل التحفيز'!$B$5:$B$2004,B109))</f>
        <v/>
      </c>
      <c r="E109" s="35">
        <f>IF(B109="","",COUNTIFS('سجل التحفيز'!$Y$5:$Y$2004,"&gt;0",'سجل التحفيز'!$B$5:$B$2004,B109,'سجل التحفيز'!$D$5:$D$2004,"ذهبي"))</f>
        <v/>
      </c>
      <c r="F109" s="35">
        <f>IF(B109="","",SUMIFS('سجل التحفيز'!$G$5:$G$2004,'سجل التحفيز'!$Y$5:$Y$2004,"&gt;0",'سجل التحفيز'!$B$5:$B$2004,B109))</f>
        <v/>
      </c>
      <c r="G109" s="35">
        <f>IF(B109="","",COUNTIF($D$38:$D$187,"&gt;"&amp;D109)+1)</f>
        <v/>
      </c>
      <c r="H109" s="35">
        <f>IF(B109="","",INDEX(الموظفات!$L$5:$L$304,MATCH(B109,الموظفات!$B$5:$B$304,0)))</f>
        <v/>
      </c>
      <c r="K109" s="36">
        <f>IF(72&gt;$B$10,"",72)</f>
        <v/>
      </c>
      <c r="L109" s="37">
        <f>IF($K109="","",INDEX('سجل التحفيز'!$A$5:$A$2004,MATCH($K109,'سجل التحفيز'!$Y$5:$Y$2004,0)))</f>
        <v/>
      </c>
      <c r="M109" s="9">
        <f>IF($K109="","",INDEX('سجل التحفيز'!$B$5:$B$2004,MATCH($K109,'سجل التحفيز'!$Y$5:$Y$2004,0)))</f>
        <v/>
      </c>
      <c r="N109" s="9">
        <f>IF($K109="","",INDEX('سجل التحفيز'!$M$5:$M$2004,MATCH($K109,'سجل التحفيز'!$Y$5:$Y$2004,0)))</f>
        <v/>
      </c>
      <c r="O109" s="9">
        <f>IF($K109="","",INDEX('سجل التحفيز'!$C$5:$C$2004,MATCH($K109,'سجل التحفيز'!$Y$5:$Y$2004,0)))</f>
        <v/>
      </c>
      <c r="P109" s="36">
        <f>IF($K109="","",INDEX('سجل التحفيز'!$D$5:$D$2004,MATCH($K109,'سجل التحفيز'!$Y$5:$Y$2004,0)))</f>
        <v/>
      </c>
      <c r="Q109" s="9">
        <f>IF($K109="","",INDEX('سجل التحفيز'!$E$5:$E$2004,MATCH($K109,'سجل التحفيز'!$Y$5:$Y$2004,0)))</f>
        <v/>
      </c>
      <c r="R109" s="9">
        <f>IF($K109="","",INDEX('سجل التحفيز'!$F$5:$F$2004,MATCH($K109,'سجل التحفيز'!$Y$5:$Y$2004,0)))</f>
        <v/>
      </c>
      <c r="S109" s="35">
        <f>IF($K109="","",INDEX('سجل التحفيز'!$G$5:$G$2004,MATCH($K109,'سجل التحفيز'!$Y$5:$Y$2004,0)))</f>
        <v/>
      </c>
    </row>
    <row r="110">
      <c r="B110" s="34">
        <f>IFERROR(INDEX(الموظفات!$B$5:$B$304,MATCH(73,الموظفات!$S$5:$S$304,0)),"")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التحفيز'!$Y$5:$Y$2004,"&gt;0",'سجل التحفيز'!$B$5:$B$2004,B110))</f>
        <v/>
      </c>
      <c r="E110" s="35">
        <f>IF(B110="","",COUNTIFS('سجل التحفيز'!$Y$5:$Y$2004,"&gt;0",'سجل التحفيز'!$B$5:$B$2004,B110,'سجل التحفيز'!$D$5:$D$2004,"ذهبي"))</f>
        <v/>
      </c>
      <c r="F110" s="35">
        <f>IF(B110="","",SUMIFS('سجل التحفيز'!$G$5:$G$2004,'سجل التحفيز'!$Y$5:$Y$2004,"&gt;0",'سجل التحفيز'!$B$5:$B$2004,B110))</f>
        <v/>
      </c>
      <c r="G110" s="35">
        <f>IF(B110="","",COUNTIF($D$38:$D$187,"&gt;"&amp;D110)+1)</f>
        <v/>
      </c>
      <c r="H110" s="35">
        <f>IF(B110="","",INDEX(الموظفات!$L$5:$L$304,MATCH(B110,الموظفات!$B$5:$B$304,0)))</f>
        <v/>
      </c>
      <c r="K110" s="36">
        <f>IF(73&gt;$B$10,"",73)</f>
        <v/>
      </c>
      <c r="L110" s="37">
        <f>IF($K110="","",INDEX('سجل التحفيز'!$A$5:$A$2004,MATCH($K110,'سجل التحفيز'!$Y$5:$Y$2004,0)))</f>
        <v/>
      </c>
      <c r="M110" s="9">
        <f>IF($K110="","",INDEX('سجل التحفيز'!$B$5:$B$2004,MATCH($K110,'سجل التحفيز'!$Y$5:$Y$2004,0)))</f>
        <v/>
      </c>
      <c r="N110" s="9">
        <f>IF($K110="","",INDEX('سجل التحفيز'!$M$5:$M$2004,MATCH($K110,'سجل التحفيز'!$Y$5:$Y$2004,0)))</f>
        <v/>
      </c>
      <c r="O110" s="9">
        <f>IF($K110="","",INDEX('سجل التحفيز'!$C$5:$C$2004,MATCH($K110,'سجل التحفيز'!$Y$5:$Y$2004,0)))</f>
        <v/>
      </c>
      <c r="P110" s="36">
        <f>IF($K110="","",INDEX('سجل التحفيز'!$D$5:$D$2004,MATCH($K110,'سجل التحفيز'!$Y$5:$Y$2004,0)))</f>
        <v/>
      </c>
      <c r="Q110" s="9">
        <f>IF($K110="","",INDEX('سجل التحفيز'!$E$5:$E$2004,MATCH($K110,'سجل التحفيز'!$Y$5:$Y$2004,0)))</f>
        <v/>
      </c>
      <c r="R110" s="9">
        <f>IF($K110="","",INDEX('سجل التحفيز'!$F$5:$F$2004,MATCH($K110,'سجل التحفيز'!$Y$5:$Y$2004,0)))</f>
        <v/>
      </c>
      <c r="S110" s="35">
        <f>IF($K110="","",INDEX('سجل التحفيز'!$G$5:$G$2004,MATCH($K110,'سجل التحفيز'!$Y$5:$Y$2004,0)))</f>
        <v/>
      </c>
    </row>
    <row r="111">
      <c r="B111" s="34">
        <f>IFERROR(INDEX(الموظفات!$B$5:$B$304,MATCH(74,الموظفات!$S$5:$S$304,0)),"")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التحفيز'!$Y$5:$Y$2004,"&gt;0",'سجل التحفيز'!$B$5:$B$2004,B111))</f>
        <v/>
      </c>
      <c r="E111" s="35">
        <f>IF(B111="","",COUNTIFS('سجل التحفيز'!$Y$5:$Y$2004,"&gt;0",'سجل التحفيز'!$B$5:$B$2004,B111,'سجل التحفيز'!$D$5:$D$2004,"ذهبي"))</f>
        <v/>
      </c>
      <c r="F111" s="35">
        <f>IF(B111="","",SUMIFS('سجل التحفيز'!$G$5:$G$2004,'سجل التحفيز'!$Y$5:$Y$2004,"&gt;0",'سجل التحفيز'!$B$5:$B$2004,B111))</f>
        <v/>
      </c>
      <c r="G111" s="35">
        <f>IF(B111="","",COUNTIF($D$38:$D$187,"&gt;"&amp;D111)+1)</f>
        <v/>
      </c>
      <c r="H111" s="35">
        <f>IF(B111="","",INDEX(الموظفات!$L$5:$L$304,MATCH(B111,الموظفات!$B$5:$B$304,0)))</f>
        <v/>
      </c>
      <c r="K111" s="36">
        <f>IF(74&gt;$B$10,"",74)</f>
        <v/>
      </c>
      <c r="L111" s="37">
        <f>IF($K111="","",INDEX('سجل التحفيز'!$A$5:$A$2004,MATCH($K111,'سجل التحفيز'!$Y$5:$Y$2004,0)))</f>
        <v/>
      </c>
      <c r="M111" s="9">
        <f>IF($K111="","",INDEX('سجل التحفيز'!$B$5:$B$2004,MATCH($K111,'سجل التحفيز'!$Y$5:$Y$2004,0)))</f>
        <v/>
      </c>
      <c r="N111" s="9">
        <f>IF($K111="","",INDEX('سجل التحفيز'!$M$5:$M$2004,MATCH($K111,'سجل التحفيز'!$Y$5:$Y$2004,0)))</f>
        <v/>
      </c>
      <c r="O111" s="9">
        <f>IF($K111="","",INDEX('سجل التحفيز'!$C$5:$C$2004,MATCH($K111,'سجل التحفيز'!$Y$5:$Y$2004,0)))</f>
        <v/>
      </c>
      <c r="P111" s="36">
        <f>IF($K111="","",INDEX('سجل التحفيز'!$D$5:$D$2004,MATCH($K111,'سجل التحفيز'!$Y$5:$Y$2004,0)))</f>
        <v/>
      </c>
      <c r="Q111" s="9">
        <f>IF($K111="","",INDEX('سجل التحفيز'!$E$5:$E$2004,MATCH($K111,'سجل التحفيز'!$Y$5:$Y$2004,0)))</f>
        <v/>
      </c>
      <c r="R111" s="9">
        <f>IF($K111="","",INDEX('سجل التحفيز'!$F$5:$F$2004,MATCH($K111,'سجل التحفيز'!$Y$5:$Y$2004,0)))</f>
        <v/>
      </c>
      <c r="S111" s="35">
        <f>IF($K111="","",INDEX('سجل التحفيز'!$G$5:$G$2004,MATCH($K111,'سجل التحفيز'!$Y$5:$Y$2004,0)))</f>
        <v/>
      </c>
    </row>
    <row r="112">
      <c r="B112" s="34">
        <f>IFERROR(INDEX(الموظفات!$B$5:$B$304,MATCH(75,الموظفات!$S$5:$S$304,0)),"")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التحفيز'!$Y$5:$Y$2004,"&gt;0",'سجل التحفيز'!$B$5:$B$2004,B112))</f>
        <v/>
      </c>
      <c r="E112" s="35">
        <f>IF(B112="","",COUNTIFS('سجل التحفيز'!$Y$5:$Y$2004,"&gt;0",'سجل التحفيز'!$B$5:$B$2004,B112,'سجل التحفيز'!$D$5:$D$2004,"ذهبي"))</f>
        <v/>
      </c>
      <c r="F112" s="35">
        <f>IF(B112="","",SUMIFS('سجل التحفيز'!$G$5:$G$2004,'سجل التحفيز'!$Y$5:$Y$2004,"&gt;0",'سجل التحفيز'!$B$5:$B$2004,B112))</f>
        <v/>
      </c>
      <c r="G112" s="35">
        <f>IF(B112="","",COUNTIF($D$38:$D$187,"&gt;"&amp;D112)+1)</f>
        <v/>
      </c>
      <c r="H112" s="35">
        <f>IF(B112="","",INDEX(الموظفات!$L$5:$L$304,MATCH(B112,الموظفات!$B$5:$B$304,0)))</f>
        <v/>
      </c>
      <c r="K112" s="36">
        <f>IF(75&gt;$B$10,"",75)</f>
        <v/>
      </c>
      <c r="L112" s="37">
        <f>IF($K112="","",INDEX('سجل التحفيز'!$A$5:$A$2004,MATCH($K112,'سجل التحفيز'!$Y$5:$Y$2004,0)))</f>
        <v/>
      </c>
      <c r="M112" s="9">
        <f>IF($K112="","",INDEX('سجل التحفيز'!$B$5:$B$2004,MATCH($K112,'سجل التحفيز'!$Y$5:$Y$2004,0)))</f>
        <v/>
      </c>
      <c r="N112" s="9">
        <f>IF($K112="","",INDEX('سجل التحفيز'!$M$5:$M$2004,MATCH($K112,'سجل التحفيز'!$Y$5:$Y$2004,0)))</f>
        <v/>
      </c>
      <c r="O112" s="9">
        <f>IF($K112="","",INDEX('سجل التحفيز'!$C$5:$C$2004,MATCH($K112,'سجل التحفيز'!$Y$5:$Y$2004,0)))</f>
        <v/>
      </c>
      <c r="P112" s="36">
        <f>IF($K112="","",INDEX('سجل التحفيز'!$D$5:$D$2004,MATCH($K112,'سجل التحفيز'!$Y$5:$Y$2004,0)))</f>
        <v/>
      </c>
      <c r="Q112" s="9">
        <f>IF($K112="","",INDEX('سجل التحفيز'!$E$5:$E$2004,MATCH($K112,'سجل التحفيز'!$Y$5:$Y$2004,0)))</f>
        <v/>
      </c>
      <c r="R112" s="9">
        <f>IF($K112="","",INDEX('سجل التحفيز'!$F$5:$F$2004,MATCH($K112,'سجل التحفيز'!$Y$5:$Y$2004,0)))</f>
        <v/>
      </c>
      <c r="S112" s="35">
        <f>IF($K112="","",INDEX('سجل التحفيز'!$G$5:$G$2004,MATCH($K112,'سجل التحفيز'!$Y$5:$Y$2004,0)))</f>
        <v/>
      </c>
    </row>
    <row r="113">
      <c r="B113" s="34">
        <f>IFERROR(INDEX(الموظفات!$B$5:$B$304,MATCH(76,الموظفات!$S$5:$S$304,0)),"")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التحفيز'!$Y$5:$Y$2004,"&gt;0",'سجل التحفيز'!$B$5:$B$2004,B113))</f>
        <v/>
      </c>
      <c r="E113" s="35">
        <f>IF(B113="","",COUNTIFS('سجل التحفيز'!$Y$5:$Y$2004,"&gt;0",'سجل التحفيز'!$B$5:$B$2004,B113,'سجل التحفيز'!$D$5:$D$2004,"ذهبي"))</f>
        <v/>
      </c>
      <c r="F113" s="35">
        <f>IF(B113="","",SUMIFS('سجل التحفيز'!$G$5:$G$2004,'سجل التحفيز'!$Y$5:$Y$2004,"&gt;0",'سجل التحفيز'!$B$5:$B$2004,B113))</f>
        <v/>
      </c>
      <c r="G113" s="35">
        <f>IF(B113="","",COUNTIF($D$38:$D$187,"&gt;"&amp;D113)+1)</f>
        <v/>
      </c>
      <c r="H113" s="35">
        <f>IF(B113="","",INDEX(الموظفات!$L$5:$L$304,MATCH(B113,الموظفات!$B$5:$B$304,0)))</f>
        <v/>
      </c>
      <c r="K113" s="36">
        <f>IF(76&gt;$B$10,"",76)</f>
        <v/>
      </c>
      <c r="L113" s="37">
        <f>IF($K113="","",INDEX('سجل التحفيز'!$A$5:$A$2004,MATCH($K113,'سجل التحفيز'!$Y$5:$Y$2004,0)))</f>
        <v/>
      </c>
      <c r="M113" s="9">
        <f>IF($K113="","",INDEX('سجل التحفيز'!$B$5:$B$2004,MATCH($K113,'سجل التحفيز'!$Y$5:$Y$2004,0)))</f>
        <v/>
      </c>
      <c r="N113" s="9">
        <f>IF($K113="","",INDEX('سجل التحفيز'!$M$5:$M$2004,MATCH($K113,'سجل التحفيز'!$Y$5:$Y$2004,0)))</f>
        <v/>
      </c>
      <c r="O113" s="9">
        <f>IF($K113="","",INDEX('سجل التحفيز'!$C$5:$C$2004,MATCH($K113,'سجل التحفيز'!$Y$5:$Y$2004,0)))</f>
        <v/>
      </c>
      <c r="P113" s="36">
        <f>IF($K113="","",INDEX('سجل التحفيز'!$D$5:$D$2004,MATCH($K113,'سجل التحفيز'!$Y$5:$Y$2004,0)))</f>
        <v/>
      </c>
      <c r="Q113" s="9">
        <f>IF($K113="","",INDEX('سجل التحفيز'!$E$5:$E$2004,MATCH($K113,'سجل التحفيز'!$Y$5:$Y$2004,0)))</f>
        <v/>
      </c>
      <c r="R113" s="9">
        <f>IF($K113="","",INDEX('سجل التحفيز'!$F$5:$F$2004,MATCH($K113,'سجل التحفيز'!$Y$5:$Y$2004,0)))</f>
        <v/>
      </c>
      <c r="S113" s="35">
        <f>IF($K113="","",INDEX('سجل التحفيز'!$G$5:$G$2004,MATCH($K113,'سجل التحفيز'!$Y$5:$Y$2004,0)))</f>
        <v/>
      </c>
    </row>
    <row r="114">
      <c r="B114" s="34">
        <f>IFERROR(INDEX(الموظفات!$B$5:$B$304,MATCH(77,الموظفات!$S$5:$S$304,0)),"")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التحفيز'!$Y$5:$Y$2004,"&gt;0",'سجل التحفيز'!$B$5:$B$2004,B114))</f>
        <v/>
      </c>
      <c r="E114" s="35">
        <f>IF(B114="","",COUNTIFS('سجل التحفيز'!$Y$5:$Y$2004,"&gt;0",'سجل التحفيز'!$B$5:$B$2004,B114,'سجل التحفيز'!$D$5:$D$2004,"ذهبي"))</f>
        <v/>
      </c>
      <c r="F114" s="35">
        <f>IF(B114="","",SUMIFS('سجل التحفيز'!$G$5:$G$2004,'سجل التحفيز'!$Y$5:$Y$2004,"&gt;0",'سجل التحفيز'!$B$5:$B$2004,B114))</f>
        <v/>
      </c>
      <c r="G114" s="35">
        <f>IF(B114="","",COUNTIF($D$38:$D$187,"&gt;"&amp;D114)+1)</f>
        <v/>
      </c>
      <c r="H114" s="35">
        <f>IF(B114="","",INDEX(الموظفات!$L$5:$L$304,MATCH(B114,الموظفات!$B$5:$B$304,0)))</f>
        <v/>
      </c>
      <c r="K114" s="36">
        <f>IF(77&gt;$B$10,"",77)</f>
        <v/>
      </c>
      <c r="L114" s="37">
        <f>IF($K114="","",INDEX('سجل التحفيز'!$A$5:$A$2004,MATCH($K114,'سجل التحفيز'!$Y$5:$Y$2004,0)))</f>
        <v/>
      </c>
      <c r="M114" s="9">
        <f>IF($K114="","",INDEX('سجل التحفيز'!$B$5:$B$2004,MATCH($K114,'سجل التحفيز'!$Y$5:$Y$2004,0)))</f>
        <v/>
      </c>
      <c r="N114" s="9">
        <f>IF($K114="","",INDEX('سجل التحفيز'!$M$5:$M$2004,MATCH($K114,'سجل التحفيز'!$Y$5:$Y$2004,0)))</f>
        <v/>
      </c>
      <c r="O114" s="9">
        <f>IF($K114="","",INDEX('سجل التحفيز'!$C$5:$C$2004,MATCH($K114,'سجل التحفيز'!$Y$5:$Y$2004,0)))</f>
        <v/>
      </c>
      <c r="P114" s="36">
        <f>IF($K114="","",INDEX('سجل التحفيز'!$D$5:$D$2004,MATCH($K114,'سجل التحفيز'!$Y$5:$Y$2004,0)))</f>
        <v/>
      </c>
      <c r="Q114" s="9">
        <f>IF($K114="","",INDEX('سجل التحفيز'!$E$5:$E$2004,MATCH($K114,'سجل التحفيز'!$Y$5:$Y$2004,0)))</f>
        <v/>
      </c>
      <c r="R114" s="9">
        <f>IF($K114="","",INDEX('سجل التحفيز'!$F$5:$F$2004,MATCH($K114,'سجل التحفيز'!$Y$5:$Y$2004,0)))</f>
        <v/>
      </c>
      <c r="S114" s="35">
        <f>IF($K114="","",INDEX('سجل التحفيز'!$G$5:$G$2004,MATCH($K114,'سجل التحفيز'!$Y$5:$Y$2004,0)))</f>
        <v/>
      </c>
    </row>
    <row r="115">
      <c r="B115" s="34">
        <f>IFERROR(INDEX(الموظفات!$B$5:$B$304,MATCH(78,الموظفات!$S$5:$S$304,0)),"")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التحفيز'!$Y$5:$Y$2004,"&gt;0",'سجل التحفيز'!$B$5:$B$2004,B115))</f>
        <v/>
      </c>
      <c r="E115" s="35">
        <f>IF(B115="","",COUNTIFS('سجل التحفيز'!$Y$5:$Y$2004,"&gt;0",'سجل التحفيز'!$B$5:$B$2004,B115,'سجل التحفيز'!$D$5:$D$2004,"ذهبي"))</f>
        <v/>
      </c>
      <c r="F115" s="35">
        <f>IF(B115="","",SUMIFS('سجل التحفيز'!$G$5:$G$2004,'سجل التحفيز'!$Y$5:$Y$2004,"&gt;0",'سجل التحفيز'!$B$5:$B$2004,B115))</f>
        <v/>
      </c>
      <c r="G115" s="35">
        <f>IF(B115="","",COUNTIF($D$38:$D$187,"&gt;"&amp;D115)+1)</f>
        <v/>
      </c>
      <c r="H115" s="35">
        <f>IF(B115="","",INDEX(الموظفات!$L$5:$L$304,MATCH(B115,الموظفات!$B$5:$B$304,0)))</f>
        <v/>
      </c>
      <c r="K115" s="36">
        <f>IF(78&gt;$B$10,"",78)</f>
        <v/>
      </c>
      <c r="L115" s="37">
        <f>IF($K115="","",INDEX('سجل التحفيز'!$A$5:$A$2004,MATCH($K115,'سجل التحفيز'!$Y$5:$Y$2004,0)))</f>
        <v/>
      </c>
      <c r="M115" s="9">
        <f>IF($K115="","",INDEX('سجل التحفيز'!$B$5:$B$2004,MATCH($K115,'سجل التحفيز'!$Y$5:$Y$2004,0)))</f>
        <v/>
      </c>
      <c r="N115" s="9">
        <f>IF($K115="","",INDEX('سجل التحفيز'!$M$5:$M$2004,MATCH($K115,'سجل التحفيز'!$Y$5:$Y$2004,0)))</f>
        <v/>
      </c>
      <c r="O115" s="9">
        <f>IF($K115="","",INDEX('سجل التحفيز'!$C$5:$C$2004,MATCH($K115,'سجل التحفيز'!$Y$5:$Y$2004,0)))</f>
        <v/>
      </c>
      <c r="P115" s="36">
        <f>IF($K115="","",INDEX('سجل التحفيز'!$D$5:$D$2004,MATCH($K115,'سجل التحفيز'!$Y$5:$Y$2004,0)))</f>
        <v/>
      </c>
      <c r="Q115" s="9">
        <f>IF($K115="","",INDEX('سجل التحفيز'!$E$5:$E$2004,MATCH($K115,'سجل التحفيز'!$Y$5:$Y$2004,0)))</f>
        <v/>
      </c>
      <c r="R115" s="9">
        <f>IF($K115="","",INDEX('سجل التحفيز'!$F$5:$F$2004,MATCH($K115,'سجل التحفيز'!$Y$5:$Y$2004,0)))</f>
        <v/>
      </c>
      <c r="S115" s="35">
        <f>IF($K115="","",INDEX('سجل التحفيز'!$G$5:$G$2004,MATCH($K115,'سجل التحفيز'!$Y$5:$Y$2004,0)))</f>
        <v/>
      </c>
    </row>
    <row r="116">
      <c r="B116" s="34">
        <f>IFERROR(INDEX(الموظفات!$B$5:$B$304,MATCH(79,الموظفات!$S$5:$S$304,0)),"")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التحفيز'!$Y$5:$Y$2004,"&gt;0",'سجل التحفيز'!$B$5:$B$2004,B116))</f>
        <v/>
      </c>
      <c r="E116" s="35">
        <f>IF(B116="","",COUNTIFS('سجل التحفيز'!$Y$5:$Y$2004,"&gt;0",'سجل التحفيز'!$B$5:$B$2004,B116,'سجل التحفيز'!$D$5:$D$2004,"ذهبي"))</f>
        <v/>
      </c>
      <c r="F116" s="35">
        <f>IF(B116="","",SUMIFS('سجل التحفيز'!$G$5:$G$2004,'سجل التحفيز'!$Y$5:$Y$2004,"&gt;0",'سجل التحفيز'!$B$5:$B$2004,B116))</f>
        <v/>
      </c>
      <c r="G116" s="35">
        <f>IF(B116="","",COUNTIF($D$38:$D$187,"&gt;"&amp;D116)+1)</f>
        <v/>
      </c>
      <c r="H116" s="35">
        <f>IF(B116="","",INDEX(الموظفات!$L$5:$L$304,MATCH(B116,الموظفات!$B$5:$B$304,0)))</f>
        <v/>
      </c>
      <c r="K116" s="36">
        <f>IF(79&gt;$B$10,"",79)</f>
        <v/>
      </c>
      <c r="L116" s="37">
        <f>IF($K116="","",INDEX('سجل التحفيز'!$A$5:$A$2004,MATCH($K116,'سجل التحفيز'!$Y$5:$Y$2004,0)))</f>
        <v/>
      </c>
      <c r="M116" s="9">
        <f>IF($K116="","",INDEX('سجل التحفيز'!$B$5:$B$2004,MATCH($K116,'سجل التحفيز'!$Y$5:$Y$2004,0)))</f>
        <v/>
      </c>
      <c r="N116" s="9">
        <f>IF($K116="","",INDEX('سجل التحفيز'!$M$5:$M$2004,MATCH($K116,'سجل التحفيز'!$Y$5:$Y$2004,0)))</f>
        <v/>
      </c>
      <c r="O116" s="9">
        <f>IF($K116="","",INDEX('سجل التحفيز'!$C$5:$C$2004,MATCH($K116,'سجل التحفيز'!$Y$5:$Y$2004,0)))</f>
        <v/>
      </c>
      <c r="P116" s="36">
        <f>IF($K116="","",INDEX('سجل التحفيز'!$D$5:$D$2004,MATCH($K116,'سجل التحفيز'!$Y$5:$Y$2004,0)))</f>
        <v/>
      </c>
      <c r="Q116" s="9">
        <f>IF($K116="","",INDEX('سجل التحفيز'!$E$5:$E$2004,MATCH($K116,'سجل التحفيز'!$Y$5:$Y$2004,0)))</f>
        <v/>
      </c>
      <c r="R116" s="9">
        <f>IF($K116="","",INDEX('سجل التحفيز'!$F$5:$F$2004,MATCH($K116,'سجل التحفيز'!$Y$5:$Y$2004,0)))</f>
        <v/>
      </c>
      <c r="S116" s="35">
        <f>IF($K116="","",INDEX('سجل التحفيز'!$G$5:$G$2004,MATCH($K116,'سجل التحفيز'!$Y$5:$Y$2004,0)))</f>
        <v/>
      </c>
    </row>
    <row r="117">
      <c r="B117" s="34">
        <f>IFERROR(INDEX(الموظفات!$B$5:$B$304,MATCH(80,الموظفات!$S$5:$S$304,0)),"")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التحفيز'!$Y$5:$Y$2004,"&gt;0",'سجل التحفيز'!$B$5:$B$2004,B117))</f>
        <v/>
      </c>
      <c r="E117" s="35">
        <f>IF(B117="","",COUNTIFS('سجل التحفيز'!$Y$5:$Y$2004,"&gt;0",'سجل التحفيز'!$B$5:$B$2004,B117,'سجل التحفيز'!$D$5:$D$2004,"ذهبي"))</f>
        <v/>
      </c>
      <c r="F117" s="35">
        <f>IF(B117="","",SUMIFS('سجل التحفيز'!$G$5:$G$2004,'سجل التحفيز'!$Y$5:$Y$2004,"&gt;0",'سجل التحفيز'!$B$5:$B$2004,B117))</f>
        <v/>
      </c>
      <c r="G117" s="35">
        <f>IF(B117="","",COUNTIF($D$38:$D$187,"&gt;"&amp;D117)+1)</f>
        <v/>
      </c>
      <c r="H117" s="35">
        <f>IF(B117="","",INDEX(الموظفات!$L$5:$L$304,MATCH(B117,الموظفات!$B$5:$B$304,0)))</f>
        <v/>
      </c>
      <c r="K117" s="36">
        <f>IF(80&gt;$B$10,"",80)</f>
        <v/>
      </c>
      <c r="L117" s="37">
        <f>IF($K117="","",INDEX('سجل التحفيز'!$A$5:$A$2004,MATCH($K117,'سجل التحفيز'!$Y$5:$Y$2004,0)))</f>
        <v/>
      </c>
      <c r="M117" s="9">
        <f>IF($K117="","",INDEX('سجل التحفيز'!$B$5:$B$2004,MATCH($K117,'سجل التحفيز'!$Y$5:$Y$2004,0)))</f>
        <v/>
      </c>
      <c r="N117" s="9">
        <f>IF($K117="","",INDEX('سجل التحفيز'!$M$5:$M$2004,MATCH($K117,'سجل التحفيز'!$Y$5:$Y$2004,0)))</f>
        <v/>
      </c>
      <c r="O117" s="9">
        <f>IF($K117="","",INDEX('سجل التحفيز'!$C$5:$C$2004,MATCH($K117,'سجل التحفيز'!$Y$5:$Y$2004,0)))</f>
        <v/>
      </c>
      <c r="P117" s="36">
        <f>IF($K117="","",INDEX('سجل التحفيز'!$D$5:$D$2004,MATCH($K117,'سجل التحفيز'!$Y$5:$Y$2004,0)))</f>
        <v/>
      </c>
      <c r="Q117" s="9">
        <f>IF($K117="","",INDEX('سجل التحفيز'!$E$5:$E$2004,MATCH($K117,'سجل التحفيز'!$Y$5:$Y$2004,0)))</f>
        <v/>
      </c>
      <c r="R117" s="9">
        <f>IF($K117="","",INDEX('سجل التحفيز'!$F$5:$F$2004,MATCH($K117,'سجل التحفيز'!$Y$5:$Y$2004,0)))</f>
        <v/>
      </c>
      <c r="S117" s="35">
        <f>IF($K117="","",INDEX('سجل التحفيز'!$G$5:$G$2004,MATCH($K117,'سجل التحفيز'!$Y$5:$Y$2004,0)))</f>
        <v/>
      </c>
    </row>
    <row r="118">
      <c r="B118" s="34">
        <f>IFERROR(INDEX(الموظفات!$B$5:$B$304,MATCH(81,الموظفات!$S$5:$S$304,0)),"")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التحفيز'!$Y$5:$Y$2004,"&gt;0",'سجل التحفيز'!$B$5:$B$2004,B118))</f>
        <v/>
      </c>
      <c r="E118" s="35">
        <f>IF(B118="","",COUNTIFS('سجل التحفيز'!$Y$5:$Y$2004,"&gt;0",'سجل التحفيز'!$B$5:$B$2004,B118,'سجل التحفيز'!$D$5:$D$2004,"ذهبي"))</f>
        <v/>
      </c>
      <c r="F118" s="35">
        <f>IF(B118="","",SUMIFS('سجل التحفيز'!$G$5:$G$2004,'سجل التحفيز'!$Y$5:$Y$2004,"&gt;0",'سجل التحفيز'!$B$5:$B$2004,B118))</f>
        <v/>
      </c>
      <c r="G118" s="35">
        <f>IF(B118="","",COUNTIF($D$38:$D$187,"&gt;"&amp;D118)+1)</f>
        <v/>
      </c>
      <c r="H118" s="35">
        <f>IF(B118="","",INDEX(الموظفات!$L$5:$L$304,MATCH(B118,الموظفات!$B$5:$B$304,0)))</f>
        <v/>
      </c>
      <c r="K118" s="36">
        <f>IF(81&gt;$B$10,"",81)</f>
        <v/>
      </c>
      <c r="L118" s="37">
        <f>IF($K118="","",INDEX('سجل التحفيز'!$A$5:$A$2004,MATCH($K118,'سجل التحفيز'!$Y$5:$Y$2004,0)))</f>
        <v/>
      </c>
      <c r="M118" s="9">
        <f>IF($K118="","",INDEX('سجل التحفيز'!$B$5:$B$2004,MATCH($K118,'سجل التحفيز'!$Y$5:$Y$2004,0)))</f>
        <v/>
      </c>
      <c r="N118" s="9">
        <f>IF($K118="","",INDEX('سجل التحفيز'!$M$5:$M$2004,MATCH($K118,'سجل التحفيز'!$Y$5:$Y$2004,0)))</f>
        <v/>
      </c>
      <c r="O118" s="9">
        <f>IF($K118="","",INDEX('سجل التحفيز'!$C$5:$C$2004,MATCH($K118,'سجل التحفيز'!$Y$5:$Y$2004,0)))</f>
        <v/>
      </c>
      <c r="P118" s="36">
        <f>IF($K118="","",INDEX('سجل التحفيز'!$D$5:$D$2004,MATCH($K118,'سجل التحفيز'!$Y$5:$Y$2004,0)))</f>
        <v/>
      </c>
      <c r="Q118" s="9">
        <f>IF($K118="","",INDEX('سجل التحفيز'!$E$5:$E$2004,MATCH($K118,'سجل التحفيز'!$Y$5:$Y$2004,0)))</f>
        <v/>
      </c>
      <c r="R118" s="9">
        <f>IF($K118="","",INDEX('سجل التحفيز'!$F$5:$F$2004,MATCH($K118,'سجل التحفيز'!$Y$5:$Y$2004,0)))</f>
        <v/>
      </c>
      <c r="S118" s="35">
        <f>IF($K118="","",INDEX('سجل التحفيز'!$G$5:$G$2004,MATCH($K118,'سجل التحفيز'!$Y$5:$Y$2004,0)))</f>
        <v/>
      </c>
    </row>
    <row r="119">
      <c r="B119" s="34">
        <f>IFERROR(INDEX(الموظفات!$B$5:$B$304,MATCH(82,الموظفات!$S$5:$S$304,0)),"")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التحفيز'!$Y$5:$Y$2004,"&gt;0",'سجل التحفيز'!$B$5:$B$2004,B119))</f>
        <v/>
      </c>
      <c r="E119" s="35">
        <f>IF(B119="","",COUNTIFS('سجل التحفيز'!$Y$5:$Y$2004,"&gt;0",'سجل التحفيز'!$B$5:$B$2004,B119,'سجل التحفيز'!$D$5:$D$2004,"ذهبي"))</f>
        <v/>
      </c>
      <c r="F119" s="35">
        <f>IF(B119="","",SUMIFS('سجل التحفيز'!$G$5:$G$2004,'سجل التحفيز'!$Y$5:$Y$2004,"&gt;0",'سجل التحفيز'!$B$5:$B$2004,B119))</f>
        <v/>
      </c>
      <c r="G119" s="35">
        <f>IF(B119="","",COUNTIF($D$38:$D$187,"&gt;"&amp;D119)+1)</f>
        <v/>
      </c>
      <c r="H119" s="35">
        <f>IF(B119="","",INDEX(الموظفات!$L$5:$L$304,MATCH(B119,الموظفات!$B$5:$B$304,0)))</f>
        <v/>
      </c>
      <c r="K119" s="36">
        <f>IF(82&gt;$B$10,"",82)</f>
        <v/>
      </c>
      <c r="L119" s="37">
        <f>IF($K119="","",INDEX('سجل التحفيز'!$A$5:$A$2004,MATCH($K119,'سجل التحفيز'!$Y$5:$Y$2004,0)))</f>
        <v/>
      </c>
      <c r="M119" s="9">
        <f>IF($K119="","",INDEX('سجل التحفيز'!$B$5:$B$2004,MATCH($K119,'سجل التحفيز'!$Y$5:$Y$2004,0)))</f>
        <v/>
      </c>
      <c r="N119" s="9">
        <f>IF($K119="","",INDEX('سجل التحفيز'!$M$5:$M$2004,MATCH($K119,'سجل التحفيز'!$Y$5:$Y$2004,0)))</f>
        <v/>
      </c>
      <c r="O119" s="9">
        <f>IF($K119="","",INDEX('سجل التحفيز'!$C$5:$C$2004,MATCH($K119,'سجل التحفيز'!$Y$5:$Y$2004,0)))</f>
        <v/>
      </c>
      <c r="P119" s="36">
        <f>IF($K119="","",INDEX('سجل التحفيز'!$D$5:$D$2004,MATCH($K119,'سجل التحفيز'!$Y$5:$Y$2004,0)))</f>
        <v/>
      </c>
      <c r="Q119" s="9">
        <f>IF($K119="","",INDEX('سجل التحفيز'!$E$5:$E$2004,MATCH($K119,'سجل التحفيز'!$Y$5:$Y$2004,0)))</f>
        <v/>
      </c>
      <c r="R119" s="9">
        <f>IF($K119="","",INDEX('سجل التحفيز'!$F$5:$F$2004,MATCH($K119,'سجل التحفيز'!$Y$5:$Y$2004,0)))</f>
        <v/>
      </c>
      <c r="S119" s="35">
        <f>IF($K119="","",INDEX('سجل التحفيز'!$G$5:$G$2004,MATCH($K119,'سجل التحفيز'!$Y$5:$Y$2004,0)))</f>
        <v/>
      </c>
    </row>
    <row r="120">
      <c r="B120" s="34">
        <f>IFERROR(INDEX(الموظفات!$B$5:$B$304,MATCH(83,الموظفات!$S$5:$S$304,0)),"")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التحفيز'!$Y$5:$Y$2004,"&gt;0",'سجل التحفيز'!$B$5:$B$2004,B120))</f>
        <v/>
      </c>
      <c r="E120" s="35">
        <f>IF(B120="","",COUNTIFS('سجل التحفيز'!$Y$5:$Y$2004,"&gt;0",'سجل التحفيز'!$B$5:$B$2004,B120,'سجل التحفيز'!$D$5:$D$2004,"ذهبي"))</f>
        <v/>
      </c>
      <c r="F120" s="35">
        <f>IF(B120="","",SUMIFS('سجل التحفيز'!$G$5:$G$2004,'سجل التحفيز'!$Y$5:$Y$2004,"&gt;0",'سجل التحفيز'!$B$5:$B$2004,B120))</f>
        <v/>
      </c>
      <c r="G120" s="35">
        <f>IF(B120="","",COUNTIF($D$38:$D$187,"&gt;"&amp;D120)+1)</f>
        <v/>
      </c>
      <c r="H120" s="35">
        <f>IF(B120="","",INDEX(الموظفات!$L$5:$L$304,MATCH(B120,الموظفات!$B$5:$B$304,0)))</f>
        <v/>
      </c>
      <c r="K120" s="36">
        <f>IF(83&gt;$B$10,"",83)</f>
        <v/>
      </c>
      <c r="L120" s="37">
        <f>IF($K120="","",INDEX('سجل التحفيز'!$A$5:$A$2004,MATCH($K120,'سجل التحفيز'!$Y$5:$Y$2004,0)))</f>
        <v/>
      </c>
      <c r="M120" s="9">
        <f>IF($K120="","",INDEX('سجل التحفيز'!$B$5:$B$2004,MATCH($K120,'سجل التحفيز'!$Y$5:$Y$2004,0)))</f>
        <v/>
      </c>
      <c r="N120" s="9">
        <f>IF($K120="","",INDEX('سجل التحفيز'!$M$5:$M$2004,MATCH($K120,'سجل التحفيز'!$Y$5:$Y$2004,0)))</f>
        <v/>
      </c>
      <c r="O120" s="9">
        <f>IF($K120="","",INDEX('سجل التحفيز'!$C$5:$C$2004,MATCH($K120,'سجل التحفيز'!$Y$5:$Y$2004,0)))</f>
        <v/>
      </c>
      <c r="P120" s="36">
        <f>IF($K120="","",INDEX('سجل التحفيز'!$D$5:$D$2004,MATCH($K120,'سجل التحفيز'!$Y$5:$Y$2004,0)))</f>
        <v/>
      </c>
      <c r="Q120" s="9">
        <f>IF($K120="","",INDEX('سجل التحفيز'!$E$5:$E$2004,MATCH($K120,'سجل التحفيز'!$Y$5:$Y$2004,0)))</f>
        <v/>
      </c>
      <c r="R120" s="9">
        <f>IF($K120="","",INDEX('سجل التحفيز'!$F$5:$F$2004,MATCH($K120,'سجل التحفيز'!$Y$5:$Y$2004,0)))</f>
        <v/>
      </c>
      <c r="S120" s="35">
        <f>IF($K120="","",INDEX('سجل التحفيز'!$G$5:$G$2004,MATCH($K120,'سجل التحفيز'!$Y$5:$Y$2004,0)))</f>
        <v/>
      </c>
    </row>
    <row r="121">
      <c r="B121" s="34">
        <f>IFERROR(INDEX(الموظفات!$B$5:$B$304,MATCH(84,الموظفات!$S$5:$S$304,0)),"")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التحفيز'!$Y$5:$Y$2004,"&gt;0",'سجل التحفيز'!$B$5:$B$2004,B121))</f>
        <v/>
      </c>
      <c r="E121" s="35">
        <f>IF(B121="","",COUNTIFS('سجل التحفيز'!$Y$5:$Y$2004,"&gt;0",'سجل التحفيز'!$B$5:$B$2004,B121,'سجل التحفيز'!$D$5:$D$2004,"ذهبي"))</f>
        <v/>
      </c>
      <c r="F121" s="35">
        <f>IF(B121="","",SUMIFS('سجل التحفيز'!$G$5:$G$2004,'سجل التحفيز'!$Y$5:$Y$2004,"&gt;0",'سجل التحفيز'!$B$5:$B$2004,B121))</f>
        <v/>
      </c>
      <c r="G121" s="35">
        <f>IF(B121="","",COUNTIF($D$38:$D$187,"&gt;"&amp;D121)+1)</f>
        <v/>
      </c>
      <c r="H121" s="35">
        <f>IF(B121="","",INDEX(الموظفات!$L$5:$L$304,MATCH(B121,الموظفات!$B$5:$B$304,0)))</f>
        <v/>
      </c>
      <c r="K121" s="36">
        <f>IF(84&gt;$B$10,"",84)</f>
        <v/>
      </c>
      <c r="L121" s="37">
        <f>IF($K121="","",INDEX('سجل التحفيز'!$A$5:$A$2004,MATCH($K121,'سجل التحفيز'!$Y$5:$Y$2004,0)))</f>
        <v/>
      </c>
      <c r="M121" s="9">
        <f>IF($K121="","",INDEX('سجل التحفيز'!$B$5:$B$2004,MATCH($K121,'سجل التحفيز'!$Y$5:$Y$2004,0)))</f>
        <v/>
      </c>
      <c r="N121" s="9">
        <f>IF($K121="","",INDEX('سجل التحفيز'!$M$5:$M$2004,MATCH($K121,'سجل التحفيز'!$Y$5:$Y$2004,0)))</f>
        <v/>
      </c>
      <c r="O121" s="9">
        <f>IF($K121="","",INDEX('سجل التحفيز'!$C$5:$C$2004,MATCH($K121,'سجل التحفيز'!$Y$5:$Y$2004,0)))</f>
        <v/>
      </c>
      <c r="P121" s="36">
        <f>IF($K121="","",INDEX('سجل التحفيز'!$D$5:$D$2004,MATCH($K121,'سجل التحفيز'!$Y$5:$Y$2004,0)))</f>
        <v/>
      </c>
      <c r="Q121" s="9">
        <f>IF($K121="","",INDEX('سجل التحفيز'!$E$5:$E$2004,MATCH($K121,'سجل التحفيز'!$Y$5:$Y$2004,0)))</f>
        <v/>
      </c>
      <c r="R121" s="9">
        <f>IF($K121="","",INDEX('سجل التحفيز'!$F$5:$F$2004,MATCH($K121,'سجل التحفيز'!$Y$5:$Y$2004,0)))</f>
        <v/>
      </c>
      <c r="S121" s="35">
        <f>IF($K121="","",INDEX('سجل التحفيز'!$G$5:$G$2004,MATCH($K121,'سجل التحفيز'!$Y$5:$Y$2004,0)))</f>
        <v/>
      </c>
    </row>
    <row r="122">
      <c r="B122" s="34">
        <f>IFERROR(INDEX(الموظفات!$B$5:$B$304,MATCH(85,الموظفات!$S$5:$S$304,0)),"")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التحفيز'!$Y$5:$Y$2004,"&gt;0",'سجل التحفيز'!$B$5:$B$2004,B122))</f>
        <v/>
      </c>
      <c r="E122" s="35">
        <f>IF(B122="","",COUNTIFS('سجل التحفيز'!$Y$5:$Y$2004,"&gt;0",'سجل التحفيز'!$B$5:$B$2004,B122,'سجل التحفيز'!$D$5:$D$2004,"ذهبي"))</f>
        <v/>
      </c>
      <c r="F122" s="35">
        <f>IF(B122="","",SUMIFS('سجل التحفيز'!$G$5:$G$2004,'سجل التحفيز'!$Y$5:$Y$2004,"&gt;0",'سجل التحفيز'!$B$5:$B$2004,B122))</f>
        <v/>
      </c>
      <c r="G122" s="35">
        <f>IF(B122="","",COUNTIF($D$38:$D$187,"&gt;"&amp;D122)+1)</f>
        <v/>
      </c>
      <c r="H122" s="35">
        <f>IF(B122="","",INDEX(الموظفات!$L$5:$L$304,MATCH(B122,الموظفات!$B$5:$B$304,0)))</f>
        <v/>
      </c>
      <c r="K122" s="36">
        <f>IF(85&gt;$B$10,"",85)</f>
        <v/>
      </c>
      <c r="L122" s="37">
        <f>IF($K122="","",INDEX('سجل التحفيز'!$A$5:$A$2004,MATCH($K122,'سجل التحفيز'!$Y$5:$Y$2004,0)))</f>
        <v/>
      </c>
      <c r="M122" s="9">
        <f>IF($K122="","",INDEX('سجل التحفيز'!$B$5:$B$2004,MATCH($K122,'سجل التحفيز'!$Y$5:$Y$2004,0)))</f>
        <v/>
      </c>
      <c r="N122" s="9">
        <f>IF($K122="","",INDEX('سجل التحفيز'!$M$5:$M$2004,MATCH($K122,'سجل التحفيز'!$Y$5:$Y$2004,0)))</f>
        <v/>
      </c>
      <c r="O122" s="9">
        <f>IF($K122="","",INDEX('سجل التحفيز'!$C$5:$C$2004,MATCH($K122,'سجل التحفيز'!$Y$5:$Y$2004,0)))</f>
        <v/>
      </c>
      <c r="P122" s="36">
        <f>IF($K122="","",INDEX('سجل التحفيز'!$D$5:$D$2004,MATCH($K122,'سجل التحفيز'!$Y$5:$Y$2004,0)))</f>
        <v/>
      </c>
      <c r="Q122" s="9">
        <f>IF($K122="","",INDEX('سجل التحفيز'!$E$5:$E$2004,MATCH($K122,'سجل التحفيز'!$Y$5:$Y$2004,0)))</f>
        <v/>
      </c>
      <c r="R122" s="9">
        <f>IF($K122="","",INDEX('سجل التحفيز'!$F$5:$F$2004,MATCH($K122,'سجل التحفيز'!$Y$5:$Y$2004,0)))</f>
        <v/>
      </c>
      <c r="S122" s="35">
        <f>IF($K122="","",INDEX('سجل التحفيز'!$G$5:$G$2004,MATCH($K122,'سجل التحفيز'!$Y$5:$Y$2004,0)))</f>
        <v/>
      </c>
    </row>
    <row r="123">
      <c r="B123" s="34">
        <f>IFERROR(INDEX(الموظفات!$B$5:$B$304,MATCH(86,الموظفات!$S$5:$S$304,0)),"")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التحفيز'!$Y$5:$Y$2004,"&gt;0",'سجل التحفيز'!$B$5:$B$2004,B123))</f>
        <v/>
      </c>
      <c r="E123" s="35">
        <f>IF(B123="","",COUNTIFS('سجل التحفيز'!$Y$5:$Y$2004,"&gt;0",'سجل التحفيز'!$B$5:$B$2004,B123,'سجل التحفيز'!$D$5:$D$2004,"ذهبي"))</f>
        <v/>
      </c>
      <c r="F123" s="35">
        <f>IF(B123="","",SUMIFS('سجل التحفيز'!$G$5:$G$2004,'سجل التحفيز'!$Y$5:$Y$2004,"&gt;0",'سجل التحفيز'!$B$5:$B$2004,B123))</f>
        <v/>
      </c>
      <c r="G123" s="35">
        <f>IF(B123="","",COUNTIF($D$38:$D$187,"&gt;"&amp;D123)+1)</f>
        <v/>
      </c>
      <c r="H123" s="35">
        <f>IF(B123="","",INDEX(الموظفات!$L$5:$L$304,MATCH(B123,الموظفات!$B$5:$B$304,0)))</f>
        <v/>
      </c>
      <c r="K123" s="36">
        <f>IF(86&gt;$B$10,"",86)</f>
        <v/>
      </c>
      <c r="L123" s="37">
        <f>IF($K123="","",INDEX('سجل التحفيز'!$A$5:$A$2004,MATCH($K123,'سجل التحفيز'!$Y$5:$Y$2004,0)))</f>
        <v/>
      </c>
      <c r="M123" s="9">
        <f>IF($K123="","",INDEX('سجل التحفيز'!$B$5:$B$2004,MATCH($K123,'سجل التحفيز'!$Y$5:$Y$2004,0)))</f>
        <v/>
      </c>
      <c r="N123" s="9">
        <f>IF($K123="","",INDEX('سجل التحفيز'!$M$5:$M$2004,MATCH($K123,'سجل التحفيز'!$Y$5:$Y$2004,0)))</f>
        <v/>
      </c>
      <c r="O123" s="9">
        <f>IF($K123="","",INDEX('سجل التحفيز'!$C$5:$C$2004,MATCH($K123,'سجل التحفيز'!$Y$5:$Y$2004,0)))</f>
        <v/>
      </c>
      <c r="P123" s="36">
        <f>IF($K123="","",INDEX('سجل التحفيز'!$D$5:$D$2004,MATCH($K123,'سجل التحفيز'!$Y$5:$Y$2004,0)))</f>
        <v/>
      </c>
      <c r="Q123" s="9">
        <f>IF($K123="","",INDEX('سجل التحفيز'!$E$5:$E$2004,MATCH($K123,'سجل التحفيز'!$Y$5:$Y$2004,0)))</f>
        <v/>
      </c>
      <c r="R123" s="9">
        <f>IF($K123="","",INDEX('سجل التحفيز'!$F$5:$F$2004,MATCH($K123,'سجل التحفيز'!$Y$5:$Y$2004,0)))</f>
        <v/>
      </c>
      <c r="S123" s="35">
        <f>IF($K123="","",INDEX('سجل التحفيز'!$G$5:$G$2004,MATCH($K123,'سجل التحفيز'!$Y$5:$Y$2004,0)))</f>
        <v/>
      </c>
    </row>
    <row r="124">
      <c r="B124" s="34">
        <f>IFERROR(INDEX(الموظفات!$B$5:$B$304,MATCH(87,الموظفات!$S$5:$S$304,0)),"")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التحفيز'!$Y$5:$Y$2004,"&gt;0",'سجل التحفيز'!$B$5:$B$2004,B124))</f>
        <v/>
      </c>
      <c r="E124" s="35">
        <f>IF(B124="","",COUNTIFS('سجل التحفيز'!$Y$5:$Y$2004,"&gt;0",'سجل التحفيز'!$B$5:$B$2004,B124,'سجل التحفيز'!$D$5:$D$2004,"ذهبي"))</f>
        <v/>
      </c>
      <c r="F124" s="35">
        <f>IF(B124="","",SUMIFS('سجل التحفيز'!$G$5:$G$2004,'سجل التحفيز'!$Y$5:$Y$2004,"&gt;0",'سجل التحفيز'!$B$5:$B$2004,B124))</f>
        <v/>
      </c>
      <c r="G124" s="35">
        <f>IF(B124="","",COUNTIF($D$38:$D$187,"&gt;"&amp;D124)+1)</f>
        <v/>
      </c>
      <c r="H124" s="35">
        <f>IF(B124="","",INDEX(الموظفات!$L$5:$L$304,MATCH(B124,الموظفات!$B$5:$B$304,0)))</f>
        <v/>
      </c>
      <c r="K124" s="36">
        <f>IF(87&gt;$B$10,"",87)</f>
        <v/>
      </c>
      <c r="L124" s="37">
        <f>IF($K124="","",INDEX('سجل التحفيز'!$A$5:$A$2004,MATCH($K124,'سجل التحفيز'!$Y$5:$Y$2004,0)))</f>
        <v/>
      </c>
      <c r="M124" s="9">
        <f>IF($K124="","",INDEX('سجل التحفيز'!$B$5:$B$2004,MATCH($K124,'سجل التحفيز'!$Y$5:$Y$2004,0)))</f>
        <v/>
      </c>
      <c r="N124" s="9">
        <f>IF($K124="","",INDEX('سجل التحفيز'!$M$5:$M$2004,MATCH($K124,'سجل التحفيز'!$Y$5:$Y$2004,0)))</f>
        <v/>
      </c>
      <c r="O124" s="9">
        <f>IF($K124="","",INDEX('سجل التحفيز'!$C$5:$C$2004,MATCH($K124,'سجل التحفيز'!$Y$5:$Y$2004,0)))</f>
        <v/>
      </c>
      <c r="P124" s="36">
        <f>IF($K124="","",INDEX('سجل التحفيز'!$D$5:$D$2004,MATCH($K124,'سجل التحفيز'!$Y$5:$Y$2004,0)))</f>
        <v/>
      </c>
      <c r="Q124" s="9">
        <f>IF($K124="","",INDEX('سجل التحفيز'!$E$5:$E$2004,MATCH($K124,'سجل التحفيز'!$Y$5:$Y$2004,0)))</f>
        <v/>
      </c>
      <c r="R124" s="9">
        <f>IF($K124="","",INDEX('سجل التحفيز'!$F$5:$F$2004,MATCH($K124,'سجل التحفيز'!$Y$5:$Y$2004,0)))</f>
        <v/>
      </c>
      <c r="S124" s="35">
        <f>IF($K124="","",INDEX('سجل التحفيز'!$G$5:$G$2004,MATCH($K124,'سجل التحفيز'!$Y$5:$Y$2004,0)))</f>
        <v/>
      </c>
    </row>
    <row r="125">
      <c r="B125" s="34">
        <f>IFERROR(INDEX(الموظفات!$B$5:$B$304,MATCH(88,الموظفات!$S$5:$S$304,0)),"")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التحفيز'!$Y$5:$Y$2004,"&gt;0",'سجل التحفيز'!$B$5:$B$2004,B125))</f>
        <v/>
      </c>
      <c r="E125" s="35">
        <f>IF(B125="","",COUNTIFS('سجل التحفيز'!$Y$5:$Y$2004,"&gt;0",'سجل التحفيز'!$B$5:$B$2004,B125,'سجل التحفيز'!$D$5:$D$2004,"ذهبي"))</f>
        <v/>
      </c>
      <c r="F125" s="35">
        <f>IF(B125="","",SUMIFS('سجل التحفيز'!$G$5:$G$2004,'سجل التحفيز'!$Y$5:$Y$2004,"&gt;0",'سجل التحفيز'!$B$5:$B$2004,B125))</f>
        <v/>
      </c>
      <c r="G125" s="35">
        <f>IF(B125="","",COUNTIF($D$38:$D$187,"&gt;"&amp;D125)+1)</f>
        <v/>
      </c>
      <c r="H125" s="35">
        <f>IF(B125="","",INDEX(الموظفات!$L$5:$L$304,MATCH(B125,الموظفات!$B$5:$B$304,0)))</f>
        <v/>
      </c>
      <c r="K125" s="36">
        <f>IF(88&gt;$B$10,"",88)</f>
        <v/>
      </c>
      <c r="L125" s="37">
        <f>IF($K125="","",INDEX('سجل التحفيز'!$A$5:$A$2004,MATCH($K125,'سجل التحفيز'!$Y$5:$Y$2004,0)))</f>
        <v/>
      </c>
      <c r="M125" s="9">
        <f>IF($K125="","",INDEX('سجل التحفيز'!$B$5:$B$2004,MATCH($K125,'سجل التحفيز'!$Y$5:$Y$2004,0)))</f>
        <v/>
      </c>
      <c r="N125" s="9">
        <f>IF($K125="","",INDEX('سجل التحفيز'!$M$5:$M$2004,MATCH($K125,'سجل التحفيز'!$Y$5:$Y$2004,0)))</f>
        <v/>
      </c>
      <c r="O125" s="9">
        <f>IF($K125="","",INDEX('سجل التحفيز'!$C$5:$C$2004,MATCH($K125,'سجل التحفيز'!$Y$5:$Y$2004,0)))</f>
        <v/>
      </c>
      <c r="P125" s="36">
        <f>IF($K125="","",INDEX('سجل التحفيز'!$D$5:$D$2004,MATCH($K125,'سجل التحفيز'!$Y$5:$Y$2004,0)))</f>
        <v/>
      </c>
      <c r="Q125" s="9">
        <f>IF($K125="","",INDEX('سجل التحفيز'!$E$5:$E$2004,MATCH($K125,'سجل التحفيز'!$Y$5:$Y$2004,0)))</f>
        <v/>
      </c>
      <c r="R125" s="9">
        <f>IF($K125="","",INDEX('سجل التحفيز'!$F$5:$F$2004,MATCH($K125,'سجل التحفيز'!$Y$5:$Y$2004,0)))</f>
        <v/>
      </c>
      <c r="S125" s="35">
        <f>IF($K125="","",INDEX('سجل التحفيز'!$G$5:$G$2004,MATCH($K125,'سجل التحفيز'!$Y$5:$Y$2004,0)))</f>
        <v/>
      </c>
    </row>
    <row r="126">
      <c r="B126" s="34">
        <f>IFERROR(INDEX(الموظفات!$B$5:$B$304,MATCH(89,الموظفات!$S$5:$S$304,0)),"")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التحفيز'!$Y$5:$Y$2004,"&gt;0",'سجل التحفيز'!$B$5:$B$2004,B126))</f>
        <v/>
      </c>
      <c r="E126" s="35">
        <f>IF(B126="","",COUNTIFS('سجل التحفيز'!$Y$5:$Y$2004,"&gt;0",'سجل التحفيز'!$B$5:$B$2004,B126,'سجل التحفيز'!$D$5:$D$2004,"ذهبي"))</f>
        <v/>
      </c>
      <c r="F126" s="35">
        <f>IF(B126="","",SUMIFS('سجل التحفيز'!$G$5:$G$2004,'سجل التحفيز'!$Y$5:$Y$2004,"&gt;0",'سجل التحفيز'!$B$5:$B$2004,B126))</f>
        <v/>
      </c>
      <c r="G126" s="35">
        <f>IF(B126="","",COUNTIF($D$38:$D$187,"&gt;"&amp;D126)+1)</f>
        <v/>
      </c>
      <c r="H126" s="35">
        <f>IF(B126="","",INDEX(الموظفات!$L$5:$L$304,MATCH(B126,الموظفات!$B$5:$B$304,0)))</f>
        <v/>
      </c>
      <c r="K126" s="36">
        <f>IF(89&gt;$B$10,"",89)</f>
        <v/>
      </c>
      <c r="L126" s="37">
        <f>IF($K126="","",INDEX('سجل التحفيز'!$A$5:$A$2004,MATCH($K126,'سجل التحفيز'!$Y$5:$Y$2004,0)))</f>
        <v/>
      </c>
      <c r="M126" s="9">
        <f>IF($K126="","",INDEX('سجل التحفيز'!$B$5:$B$2004,MATCH($K126,'سجل التحفيز'!$Y$5:$Y$2004,0)))</f>
        <v/>
      </c>
      <c r="N126" s="9">
        <f>IF($K126="","",INDEX('سجل التحفيز'!$M$5:$M$2004,MATCH($K126,'سجل التحفيز'!$Y$5:$Y$2004,0)))</f>
        <v/>
      </c>
      <c r="O126" s="9">
        <f>IF($K126="","",INDEX('سجل التحفيز'!$C$5:$C$2004,MATCH($K126,'سجل التحفيز'!$Y$5:$Y$2004,0)))</f>
        <v/>
      </c>
      <c r="P126" s="36">
        <f>IF($K126="","",INDEX('سجل التحفيز'!$D$5:$D$2004,MATCH($K126,'سجل التحفيز'!$Y$5:$Y$2004,0)))</f>
        <v/>
      </c>
      <c r="Q126" s="9">
        <f>IF($K126="","",INDEX('سجل التحفيز'!$E$5:$E$2004,MATCH($K126,'سجل التحفيز'!$Y$5:$Y$2004,0)))</f>
        <v/>
      </c>
      <c r="R126" s="9">
        <f>IF($K126="","",INDEX('سجل التحفيز'!$F$5:$F$2004,MATCH($K126,'سجل التحفيز'!$Y$5:$Y$2004,0)))</f>
        <v/>
      </c>
      <c r="S126" s="35">
        <f>IF($K126="","",INDEX('سجل التحفيز'!$G$5:$G$2004,MATCH($K126,'سجل التحفيز'!$Y$5:$Y$2004,0)))</f>
        <v/>
      </c>
    </row>
    <row r="127">
      <c r="B127" s="34">
        <f>IFERROR(INDEX(الموظفات!$B$5:$B$304,MATCH(90,الموظفات!$S$5:$S$304,0)),"")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التحفيز'!$Y$5:$Y$2004,"&gt;0",'سجل التحفيز'!$B$5:$B$2004,B127))</f>
        <v/>
      </c>
      <c r="E127" s="35">
        <f>IF(B127="","",COUNTIFS('سجل التحفيز'!$Y$5:$Y$2004,"&gt;0",'سجل التحفيز'!$B$5:$B$2004,B127,'سجل التحفيز'!$D$5:$D$2004,"ذهبي"))</f>
        <v/>
      </c>
      <c r="F127" s="35">
        <f>IF(B127="","",SUMIFS('سجل التحفيز'!$G$5:$G$2004,'سجل التحفيز'!$Y$5:$Y$2004,"&gt;0",'سجل التحفيز'!$B$5:$B$2004,B127))</f>
        <v/>
      </c>
      <c r="G127" s="35">
        <f>IF(B127="","",COUNTIF($D$38:$D$187,"&gt;"&amp;D127)+1)</f>
        <v/>
      </c>
      <c r="H127" s="35">
        <f>IF(B127="","",INDEX(الموظفات!$L$5:$L$304,MATCH(B127,الموظفات!$B$5:$B$304,0)))</f>
        <v/>
      </c>
      <c r="K127" s="36">
        <f>IF(90&gt;$B$10,"",90)</f>
        <v/>
      </c>
      <c r="L127" s="37">
        <f>IF($K127="","",INDEX('سجل التحفيز'!$A$5:$A$2004,MATCH($K127,'سجل التحفيز'!$Y$5:$Y$2004,0)))</f>
        <v/>
      </c>
      <c r="M127" s="9">
        <f>IF($K127="","",INDEX('سجل التحفيز'!$B$5:$B$2004,MATCH($K127,'سجل التحفيز'!$Y$5:$Y$2004,0)))</f>
        <v/>
      </c>
      <c r="N127" s="9">
        <f>IF($K127="","",INDEX('سجل التحفيز'!$M$5:$M$2004,MATCH($K127,'سجل التحفيز'!$Y$5:$Y$2004,0)))</f>
        <v/>
      </c>
      <c r="O127" s="9">
        <f>IF($K127="","",INDEX('سجل التحفيز'!$C$5:$C$2004,MATCH($K127,'سجل التحفيز'!$Y$5:$Y$2004,0)))</f>
        <v/>
      </c>
      <c r="P127" s="36">
        <f>IF($K127="","",INDEX('سجل التحفيز'!$D$5:$D$2004,MATCH($K127,'سجل التحفيز'!$Y$5:$Y$2004,0)))</f>
        <v/>
      </c>
      <c r="Q127" s="9">
        <f>IF($K127="","",INDEX('سجل التحفيز'!$E$5:$E$2004,MATCH($K127,'سجل التحفيز'!$Y$5:$Y$2004,0)))</f>
        <v/>
      </c>
      <c r="R127" s="9">
        <f>IF($K127="","",INDEX('سجل التحفيز'!$F$5:$F$2004,MATCH($K127,'سجل التحفيز'!$Y$5:$Y$2004,0)))</f>
        <v/>
      </c>
      <c r="S127" s="35">
        <f>IF($K127="","",INDEX('سجل التحفيز'!$G$5:$G$2004,MATCH($K127,'سجل التحفيز'!$Y$5:$Y$2004,0)))</f>
        <v/>
      </c>
    </row>
    <row r="128">
      <c r="B128" s="34">
        <f>IFERROR(INDEX(الموظفات!$B$5:$B$304,MATCH(91,الموظفات!$S$5:$S$304,0)),"")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التحفيز'!$Y$5:$Y$2004,"&gt;0",'سجل التحفيز'!$B$5:$B$2004,B128))</f>
        <v/>
      </c>
      <c r="E128" s="35">
        <f>IF(B128="","",COUNTIFS('سجل التحفيز'!$Y$5:$Y$2004,"&gt;0",'سجل التحفيز'!$B$5:$B$2004,B128,'سجل التحفيز'!$D$5:$D$2004,"ذهبي"))</f>
        <v/>
      </c>
      <c r="F128" s="35">
        <f>IF(B128="","",SUMIFS('سجل التحفيز'!$G$5:$G$2004,'سجل التحفيز'!$Y$5:$Y$2004,"&gt;0",'سجل التحفيز'!$B$5:$B$2004,B128))</f>
        <v/>
      </c>
      <c r="G128" s="35">
        <f>IF(B128="","",COUNTIF($D$38:$D$187,"&gt;"&amp;D128)+1)</f>
        <v/>
      </c>
      <c r="H128" s="35">
        <f>IF(B128="","",INDEX(الموظفات!$L$5:$L$304,MATCH(B128,الموظفات!$B$5:$B$304,0)))</f>
        <v/>
      </c>
      <c r="K128" s="36">
        <f>IF(91&gt;$B$10,"",91)</f>
        <v/>
      </c>
      <c r="L128" s="37">
        <f>IF($K128="","",INDEX('سجل التحفيز'!$A$5:$A$2004,MATCH($K128,'سجل التحفيز'!$Y$5:$Y$2004,0)))</f>
        <v/>
      </c>
      <c r="M128" s="9">
        <f>IF($K128="","",INDEX('سجل التحفيز'!$B$5:$B$2004,MATCH($K128,'سجل التحفيز'!$Y$5:$Y$2004,0)))</f>
        <v/>
      </c>
      <c r="N128" s="9">
        <f>IF($K128="","",INDEX('سجل التحفيز'!$M$5:$M$2004,MATCH($K128,'سجل التحفيز'!$Y$5:$Y$2004,0)))</f>
        <v/>
      </c>
      <c r="O128" s="9">
        <f>IF($K128="","",INDEX('سجل التحفيز'!$C$5:$C$2004,MATCH($K128,'سجل التحفيز'!$Y$5:$Y$2004,0)))</f>
        <v/>
      </c>
      <c r="P128" s="36">
        <f>IF($K128="","",INDEX('سجل التحفيز'!$D$5:$D$2004,MATCH($K128,'سجل التحفيز'!$Y$5:$Y$2004,0)))</f>
        <v/>
      </c>
      <c r="Q128" s="9">
        <f>IF($K128="","",INDEX('سجل التحفيز'!$E$5:$E$2004,MATCH($K128,'سجل التحفيز'!$Y$5:$Y$2004,0)))</f>
        <v/>
      </c>
      <c r="R128" s="9">
        <f>IF($K128="","",INDEX('سجل التحفيز'!$F$5:$F$2004,MATCH($K128,'سجل التحفيز'!$Y$5:$Y$2004,0)))</f>
        <v/>
      </c>
      <c r="S128" s="35">
        <f>IF($K128="","",INDEX('سجل التحفيز'!$G$5:$G$2004,MATCH($K128,'سجل التحفيز'!$Y$5:$Y$2004,0)))</f>
        <v/>
      </c>
    </row>
    <row r="129">
      <c r="B129" s="34">
        <f>IFERROR(INDEX(الموظفات!$B$5:$B$304,MATCH(92,الموظفات!$S$5:$S$304,0)),"")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التحفيز'!$Y$5:$Y$2004,"&gt;0",'سجل التحفيز'!$B$5:$B$2004,B129))</f>
        <v/>
      </c>
      <c r="E129" s="35">
        <f>IF(B129="","",COUNTIFS('سجل التحفيز'!$Y$5:$Y$2004,"&gt;0",'سجل التحفيز'!$B$5:$B$2004,B129,'سجل التحفيز'!$D$5:$D$2004,"ذهبي"))</f>
        <v/>
      </c>
      <c r="F129" s="35">
        <f>IF(B129="","",SUMIFS('سجل التحفيز'!$G$5:$G$2004,'سجل التحفيز'!$Y$5:$Y$2004,"&gt;0",'سجل التحفيز'!$B$5:$B$2004,B129))</f>
        <v/>
      </c>
      <c r="G129" s="35">
        <f>IF(B129="","",COUNTIF($D$38:$D$187,"&gt;"&amp;D129)+1)</f>
        <v/>
      </c>
      <c r="H129" s="35">
        <f>IF(B129="","",INDEX(الموظفات!$L$5:$L$304,MATCH(B129,الموظفات!$B$5:$B$304,0)))</f>
        <v/>
      </c>
      <c r="K129" s="36">
        <f>IF(92&gt;$B$10,"",92)</f>
        <v/>
      </c>
      <c r="L129" s="37">
        <f>IF($K129="","",INDEX('سجل التحفيز'!$A$5:$A$2004,MATCH($K129,'سجل التحفيز'!$Y$5:$Y$2004,0)))</f>
        <v/>
      </c>
      <c r="M129" s="9">
        <f>IF($K129="","",INDEX('سجل التحفيز'!$B$5:$B$2004,MATCH($K129,'سجل التحفيز'!$Y$5:$Y$2004,0)))</f>
        <v/>
      </c>
      <c r="N129" s="9">
        <f>IF($K129="","",INDEX('سجل التحفيز'!$M$5:$M$2004,MATCH($K129,'سجل التحفيز'!$Y$5:$Y$2004,0)))</f>
        <v/>
      </c>
      <c r="O129" s="9">
        <f>IF($K129="","",INDEX('سجل التحفيز'!$C$5:$C$2004,MATCH($K129,'سجل التحفيز'!$Y$5:$Y$2004,0)))</f>
        <v/>
      </c>
      <c r="P129" s="36">
        <f>IF($K129="","",INDEX('سجل التحفيز'!$D$5:$D$2004,MATCH($K129,'سجل التحفيز'!$Y$5:$Y$2004,0)))</f>
        <v/>
      </c>
      <c r="Q129" s="9">
        <f>IF($K129="","",INDEX('سجل التحفيز'!$E$5:$E$2004,MATCH($K129,'سجل التحفيز'!$Y$5:$Y$2004,0)))</f>
        <v/>
      </c>
      <c r="R129" s="9">
        <f>IF($K129="","",INDEX('سجل التحفيز'!$F$5:$F$2004,MATCH($K129,'سجل التحفيز'!$Y$5:$Y$2004,0)))</f>
        <v/>
      </c>
      <c r="S129" s="35">
        <f>IF($K129="","",INDEX('سجل التحفيز'!$G$5:$G$2004,MATCH($K129,'سجل التحفيز'!$Y$5:$Y$2004,0)))</f>
        <v/>
      </c>
    </row>
    <row r="130">
      <c r="B130" s="34">
        <f>IFERROR(INDEX(الموظفات!$B$5:$B$304,MATCH(93,الموظفات!$S$5:$S$304,0)),"")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التحفيز'!$Y$5:$Y$2004,"&gt;0",'سجل التحفيز'!$B$5:$B$2004,B130))</f>
        <v/>
      </c>
      <c r="E130" s="35">
        <f>IF(B130="","",COUNTIFS('سجل التحفيز'!$Y$5:$Y$2004,"&gt;0",'سجل التحفيز'!$B$5:$B$2004,B130,'سجل التحفيز'!$D$5:$D$2004,"ذهبي"))</f>
        <v/>
      </c>
      <c r="F130" s="35">
        <f>IF(B130="","",SUMIFS('سجل التحفيز'!$G$5:$G$2004,'سجل التحفيز'!$Y$5:$Y$2004,"&gt;0",'سجل التحفيز'!$B$5:$B$2004,B130))</f>
        <v/>
      </c>
      <c r="G130" s="35">
        <f>IF(B130="","",COUNTIF($D$38:$D$187,"&gt;"&amp;D130)+1)</f>
        <v/>
      </c>
      <c r="H130" s="35">
        <f>IF(B130="","",INDEX(الموظفات!$L$5:$L$304,MATCH(B130,الموظفات!$B$5:$B$304,0)))</f>
        <v/>
      </c>
      <c r="K130" s="36">
        <f>IF(93&gt;$B$10,"",93)</f>
        <v/>
      </c>
      <c r="L130" s="37">
        <f>IF($K130="","",INDEX('سجل التحفيز'!$A$5:$A$2004,MATCH($K130,'سجل التحفيز'!$Y$5:$Y$2004,0)))</f>
        <v/>
      </c>
      <c r="M130" s="9">
        <f>IF($K130="","",INDEX('سجل التحفيز'!$B$5:$B$2004,MATCH($K130,'سجل التحفيز'!$Y$5:$Y$2004,0)))</f>
        <v/>
      </c>
      <c r="N130" s="9">
        <f>IF($K130="","",INDEX('سجل التحفيز'!$M$5:$M$2004,MATCH($K130,'سجل التحفيز'!$Y$5:$Y$2004,0)))</f>
        <v/>
      </c>
      <c r="O130" s="9">
        <f>IF($K130="","",INDEX('سجل التحفيز'!$C$5:$C$2004,MATCH($K130,'سجل التحفيز'!$Y$5:$Y$2004,0)))</f>
        <v/>
      </c>
      <c r="P130" s="36">
        <f>IF($K130="","",INDEX('سجل التحفيز'!$D$5:$D$2004,MATCH($K130,'سجل التحفيز'!$Y$5:$Y$2004,0)))</f>
        <v/>
      </c>
      <c r="Q130" s="9">
        <f>IF($K130="","",INDEX('سجل التحفيز'!$E$5:$E$2004,MATCH($K130,'سجل التحفيز'!$Y$5:$Y$2004,0)))</f>
        <v/>
      </c>
      <c r="R130" s="9">
        <f>IF($K130="","",INDEX('سجل التحفيز'!$F$5:$F$2004,MATCH($K130,'سجل التحفيز'!$Y$5:$Y$2004,0)))</f>
        <v/>
      </c>
      <c r="S130" s="35">
        <f>IF($K130="","",INDEX('سجل التحفيز'!$G$5:$G$2004,MATCH($K130,'سجل التحفيز'!$Y$5:$Y$2004,0)))</f>
        <v/>
      </c>
    </row>
    <row r="131">
      <c r="B131" s="34">
        <f>IFERROR(INDEX(الموظفات!$B$5:$B$304,MATCH(94,الموظفات!$S$5:$S$304,0)),"")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التحفيز'!$Y$5:$Y$2004,"&gt;0",'سجل التحفيز'!$B$5:$B$2004,B131))</f>
        <v/>
      </c>
      <c r="E131" s="35">
        <f>IF(B131="","",COUNTIFS('سجل التحفيز'!$Y$5:$Y$2004,"&gt;0",'سجل التحفيز'!$B$5:$B$2004,B131,'سجل التحفيز'!$D$5:$D$2004,"ذهبي"))</f>
        <v/>
      </c>
      <c r="F131" s="35">
        <f>IF(B131="","",SUMIFS('سجل التحفيز'!$G$5:$G$2004,'سجل التحفيز'!$Y$5:$Y$2004,"&gt;0",'سجل التحفيز'!$B$5:$B$2004,B131))</f>
        <v/>
      </c>
      <c r="G131" s="35">
        <f>IF(B131="","",COUNTIF($D$38:$D$187,"&gt;"&amp;D131)+1)</f>
        <v/>
      </c>
      <c r="H131" s="35">
        <f>IF(B131="","",INDEX(الموظفات!$L$5:$L$304,MATCH(B131,الموظفات!$B$5:$B$304,0)))</f>
        <v/>
      </c>
      <c r="K131" s="36">
        <f>IF(94&gt;$B$10,"",94)</f>
        <v/>
      </c>
      <c r="L131" s="37">
        <f>IF($K131="","",INDEX('سجل التحفيز'!$A$5:$A$2004,MATCH($K131,'سجل التحفيز'!$Y$5:$Y$2004,0)))</f>
        <v/>
      </c>
      <c r="M131" s="9">
        <f>IF($K131="","",INDEX('سجل التحفيز'!$B$5:$B$2004,MATCH($K131,'سجل التحفيز'!$Y$5:$Y$2004,0)))</f>
        <v/>
      </c>
      <c r="N131" s="9">
        <f>IF($K131="","",INDEX('سجل التحفيز'!$M$5:$M$2004,MATCH($K131,'سجل التحفيز'!$Y$5:$Y$2004,0)))</f>
        <v/>
      </c>
      <c r="O131" s="9">
        <f>IF($K131="","",INDEX('سجل التحفيز'!$C$5:$C$2004,MATCH($K131,'سجل التحفيز'!$Y$5:$Y$2004,0)))</f>
        <v/>
      </c>
      <c r="P131" s="36">
        <f>IF($K131="","",INDEX('سجل التحفيز'!$D$5:$D$2004,MATCH($K131,'سجل التحفيز'!$Y$5:$Y$2004,0)))</f>
        <v/>
      </c>
      <c r="Q131" s="9">
        <f>IF($K131="","",INDEX('سجل التحفيز'!$E$5:$E$2004,MATCH($K131,'سجل التحفيز'!$Y$5:$Y$2004,0)))</f>
        <v/>
      </c>
      <c r="R131" s="9">
        <f>IF($K131="","",INDEX('سجل التحفيز'!$F$5:$F$2004,MATCH($K131,'سجل التحفيز'!$Y$5:$Y$2004,0)))</f>
        <v/>
      </c>
      <c r="S131" s="35">
        <f>IF($K131="","",INDEX('سجل التحفيز'!$G$5:$G$2004,MATCH($K131,'سجل التحفيز'!$Y$5:$Y$2004,0)))</f>
        <v/>
      </c>
    </row>
    <row r="132">
      <c r="B132" s="34">
        <f>IFERROR(INDEX(الموظفات!$B$5:$B$304,MATCH(95,الموظفات!$S$5:$S$304,0)),"")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التحفيز'!$Y$5:$Y$2004,"&gt;0",'سجل التحفيز'!$B$5:$B$2004,B132))</f>
        <v/>
      </c>
      <c r="E132" s="35">
        <f>IF(B132="","",COUNTIFS('سجل التحفيز'!$Y$5:$Y$2004,"&gt;0",'سجل التحفيز'!$B$5:$B$2004,B132,'سجل التحفيز'!$D$5:$D$2004,"ذهبي"))</f>
        <v/>
      </c>
      <c r="F132" s="35">
        <f>IF(B132="","",SUMIFS('سجل التحفيز'!$G$5:$G$2004,'سجل التحفيز'!$Y$5:$Y$2004,"&gt;0",'سجل التحفيز'!$B$5:$B$2004,B132))</f>
        <v/>
      </c>
      <c r="G132" s="35">
        <f>IF(B132="","",COUNTIF($D$38:$D$187,"&gt;"&amp;D132)+1)</f>
        <v/>
      </c>
      <c r="H132" s="35">
        <f>IF(B132="","",INDEX(الموظفات!$L$5:$L$304,MATCH(B132,الموظفات!$B$5:$B$304,0)))</f>
        <v/>
      </c>
      <c r="K132" s="36">
        <f>IF(95&gt;$B$10,"",95)</f>
        <v/>
      </c>
      <c r="L132" s="37">
        <f>IF($K132="","",INDEX('سجل التحفيز'!$A$5:$A$2004,MATCH($K132,'سجل التحفيز'!$Y$5:$Y$2004,0)))</f>
        <v/>
      </c>
      <c r="M132" s="9">
        <f>IF($K132="","",INDEX('سجل التحفيز'!$B$5:$B$2004,MATCH($K132,'سجل التحفيز'!$Y$5:$Y$2004,0)))</f>
        <v/>
      </c>
      <c r="N132" s="9">
        <f>IF($K132="","",INDEX('سجل التحفيز'!$M$5:$M$2004,MATCH($K132,'سجل التحفيز'!$Y$5:$Y$2004,0)))</f>
        <v/>
      </c>
      <c r="O132" s="9">
        <f>IF($K132="","",INDEX('سجل التحفيز'!$C$5:$C$2004,MATCH($K132,'سجل التحفيز'!$Y$5:$Y$2004,0)))</f>
        <v/>
      </c>
      <c r="P132" s="36">
        <f>IF($K132="","",INDEX('سجل التحفيز'!$D$5:$D$2004,MATCH($K132,'سجل التحفيز'!$Y$5:$Y$2004,0)))</f>
        <v/>
      </c>
      <c r="Q132" s="9">
        <f>IF($K132="","",INDEX('سجل التحفيز'!$E$5:$E$2004,MATCH($K132,'سجل التحفيز'!$Y$5:$Y$2004,0)))</f>
        <v/>
      </c>
      <c r="R132" s="9">
        <f>IF($K132="","",INDEX('سجل التحفيز'!$F$5:$F$2004,MATCH($K132,'سجل التحفيز'!$Y$5:$Y$2004,0)))</f>
        <v/>
      </c>
      <c r="S132" s="35">
        <f>IF($K132="","",INDEX('سجل التحفيز'!$G$5:$G$2004,MATCH($K132,'سجل التحفيز'!$Y$5:$Y$2004,0)))</f>
        <v/>
      </c>
    </row>
    <row r="133">
      <c r="B133" s="34">
        <f>IFERROR(INDEX(الموظفات!$B$5:$B$304,MATCH(96,الموظفات!$S$5:$S$304,0)),"")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التحفيز'!$Y$5:$Y$2004,"&gt;0",'سجل التحفيز'!$B$5:$B$2004,B133))</f>
        <v/>
      </c>
      <c r="E133" s="35">
        <f>IF(B133="","",COUNTIFS('سجل التحفيز'!$Y$5:$Y$2004,"&gt;0",'سجل التحفيز'!$B$5:$B$2004,B133,'سجل التحفيز'!$D$5:$D$2004,"ذهبي"))</f>
        <v/>
      </c>
      <c r="F133" s="35">
        <f>IF(B133="","",SUMIFS('سجل التحفيز'!$G$5:$G$2004,'سجل التحفيز'!$Y$5:$Y$2004,"&gt;0",'سجل التحفيز'!$B$5:$B$2004,B133))</f>
        <v/>
      </c>
      <c r="G133" s="35">
        <f>IF(B133="","",COUNTIF($D$38:$D$187,"&gt;"&amp;D133)+1)</f>
        <v/>
      </c>
      <c r="H133" s="35">
        <f>IF(B133="","",INDEX(الموظفات!$L$5:$L$304,MATCH(B133,الموظفات!$B$5:$B$304,0)))</f>
        <v/>
      </c>
      <c r="K133" s="36">
        <f>IF(96&gt;$B$10,"",96)</f>
        <v/>
      </c>
      <c r="L133" s="37">
        <f>IF($K133="","",INDEX('سجل التحفيز'!$A$5:$A$2004,MATCH($K133,'سجل التحفيز'!$Y$5:$Y$2004,0)))</f>
        <v/>
      </c>
      <c r="M133" s="9">
        <f>IF($K133="","",INDEX('سجل التحفيز'!$B$5:$B$2004,MATCH($K133,'سجل التحفيز'!$Y$5:$Y$2004,0)))</f>
        <v/>
      </c>
      <c r="N133" s="9">
        <f>IF($K133="","",INDEX('سجل التحفيز'!$M$5:$M$2004,MATCH($K133,'سجل التحفيز'!$Y$5:$Y$2004,0)))</f>
        <v/>
      </c>
      <c r="O133" s="9">
        <f>IF($K133="","",INDEX('سجل التحفيز'!$C$5:$C$2004,MATCH($K133,'سجل التحفيز'!$Y$5:$Y$2004,0)))</f>
        <v/>
      </c>
      <c r="P133" s="36">
        <f>IF($K133="","",INDEX('سجل التحفيز'!$D$5:$D$2004,MATCH($K133,'سجل التحفيز'!$Y$5:$Y$2004,0)))</f>
        <v/>
      </c>
      <c r="Q133" s="9">
        <f>IF($K133="","",INDEX('سجل التحفيز'!$E$5:$E$2004,MATCH($K133,'سجل التحفيز'!$Y$5:$Y$2004,0)))</f>
        <v/>
      </c>
      <c r="R133" s="9">
        <f>IF($K133="","",INDEX('سجل التحفيز'!$F$5:$F$2004,MATCH($K133,'سجل التحفيز'!$Y$5:$Y$2004,0)))</f>
        <v/>
      </c>
      <c r="S133" s="35">
        <f>IF($K133="","",INDEX('سجل التحفيز'!$G$5:$G$2004,MATCH($K133,'سجل التحفيز'!$Y$5:$Y$2004,0)))</f>
        <v/>
      </c>
    </row>
    <row r="134">
      <c r="B134" s="34">
        <f>IFERROR(INDEX(الموظفات!$B$5:$B$304,MATCH(97,الموظفات!$S$5:$S$304,0)),"")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التحفيز'!$Y$5:$Y$2004,"&gt;0",'سجل التحفيز'!$B$5:$B$2004,B134))</f>
        <v/>
      </c>
      <c r="E134" s="35">
        <f>IF(B134="","",COUNTIFS('سجل التحفيز'!$Y$5:$Y$2004,"&gt;0",'سجل التحفيز'!$B$5:$B$2004,B134,'سجل التحفيز'!$D$5:$D$2004,"ذهبي"))</f>
        <v/>
      </c>
      <c r="F134" s="35">
        <f>IF(B134="","",SUMIFS('سجل التحفيز'!$G$5:$G$2004,'سجل التحفيز'!$Y$5:$Y$2004,"&gt;0",'سجل التحفيز'!$B$5:$B$2004,B134))</f>
        <v/>
      </c>
      <c r="G134" s="35">
        <f>IF(B134="","",COUNTIF($D$38:$D$187,"&gt;"&amp;D134)+1)</f>
        <v/>
      </c>
      <c r="H134" s="35">
        <f>IF(B134="","",INDEX(الموظفات!$L$5:$L$304,MATCH(B134,الموظفات!$B$5:$B$304,0)))</f>
        <v/>
      </c>
      <c r="K134" s="36">
        <f>IF(97&gt;$B$10,"",97)</f>
        <v/>
      </c>
      <c r="L134" s="37">
        <f>IF($K134="","",INDEX('سجل التحفيز'!$A$5:$A$2004,MATCH($K134,'سجل التحفيز'!$Y$5:$Y$2004,0)))</f>
        <v/>
      </c>
      <c r="M134" s="9">
        <f>IF($K134="","",INDEX('سجل التحفيز'!$B$5:$B$2004,MATCH($K134,'سجل التحفيز'!$Y$5:$Y$2004,0)))</f>
        <v/>
      </c>
      <c r="N134" s="9">
        <f>IF($K134="","",INDEX('سجل التحفيز'!$M$5:$M$2004,MATCH($K134,'سجل التحفيز'!$Y$5:$Y$2004,0)))</f>
        <v/>
      </c>
      <c r="O134" s="9">
        <f>IF($K134="","",INDEX('سجل التحفيز'!$C$5:$C$2004,MATCH($K134,'سجل التحفيز'!$Y$5:$Y$2004,0)))</f>
        <v/>
      </c>
      <c r="P134" s="36">
        <f>IF($K134="","",INDEX('سجل التحفيز'!$D$5:$D$2004,MATCH($K134,'سجل التحفيز'!$Y$5:$Y$2004,0)))</f>
        <v/>
      </c>
      <c r="Q134" s="9">
        <f>IF($K134="","",INDEX('سجل التحفيز'!$E$5:$E$2004,MATCH($K134,'سجل التحفيز'!$Y$5:$Y$2004,0)))</f>
        <v/>
      </c>
      <c r="R134" s="9">
        <f>IF($K134="","",INDEX('سجل التحفيز'!$F$5:$F$2004,MATCH($K134,'سجل التحفيز'!$Y$5:$Y$2004,0)))</f>
        <v/>
      </c>
      <c r="S134" s="35">
        <f>IF($K134="","",INDEX('سجل التحفيز'!$G$5:$G$2004,MATCH($K134,'سجل التحفيز'!$Y$5:$Y$2004,0)))</f>
        <v/>
      </c>
    </row>
    <row r="135">
      <c r="B135" s="34">
        <f>IFERROR(INDEX(الموظفات!$B$5:$B$304,MATCH(98,الموظفات!$S$5:$S$304,0)),"")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التحفيز'!$Y$5:$Y$2004,"&gt;0",'سجل التحفيز'!$B$5:$B$2004,B135))</f>
        <v/>
      </c>
      <c r="E135" s="35">
        <f>IF(B135="","",COUNTIFS('سجل التحفيز'!$Y$5:$Y$2004,"&gt;0",'سجل التحفيز'!$B$5:$B$2004,B135,'سجل التحفيز'!$D$5:$D$2004,"ذهبي"))</f>
        <v/>
      </c>
      <c r="F135" s="35">
        <f>IF(B135="","",SUMIFS('سجل التحفيز'!$G$5:$G$2004,'سجل التحفيز'!$Y$5:$Y$2004,"&gt;0",'سجل التحفيز'!$B$5:$B$2004,B135))</f>
        <v/>
      </c>
      <c r="G135" s="35">
        <f>IF(B135="","",COUNTIF($D$38:$D$187,"&gt;"&amp;D135)+1)</f>
        <v/>
      </c>
      <c r="H135" s="35">
        <f>IF(B135="","",INDEX(الموظفات!$L$5:$L$304,MATCH(B135,الموظفات!$B$5:$B$304,0)))</f>
        <v/>
      </c>
      <c r="K135" s="36">
        <f>IF(98&gt;$B$10,"",98)</f>
        <v/>
      </c>
      <c r="L135" s="37">
        <f>IF($K135="","",INDEX('سجل التحفيز'!$A$5:$A$2004,MATCH($K135,'سجل التحفيز'!$Y$5:$Y$2004,0)))</f>
        <v/>
      </c>
      <c r="M135" s="9">
        <f>IF($K135="","",INDEX('سجل التحفيز'!$B$5:$B$2004,MATCH($K135,'سجل التحفيز'!$Y$5:$Y$2004,0)))</f>
        <v/>
      </c>
      <c r="N135" s="9">
        <f>IF($K135="","",INDEX('سجل التحفيز'!$M$5:$M$2004,MATCH($K135,'سجل التحفيز'!$Y$5:$Y$2004,0)))</f>
        <v/>
      </c>
      <c r="O135" s="9">
        <f>IF($K135="","",INDEX('سجل التحفيز'!$C$5:$C$2004,MATCH($K135,'سجل التحفيز'!$Y$5:$Y$2004,0)))</f>
        <v/>
      </c>
      <c r="P135" s="36">
        <f>IF($K135="","",INDEX('سجل التحفيز'!$D$5:$D$2004,MATCH($K135,'سجل التحفيز'!$Y$5:$Y$2004,0)))</f>
        <v/>
      </c>
      <c r="Q135" s="9">
        <f>IF($K135="","",INDEX('سجل التحفيز'!$E$5:$E$2004,MATCH($K135,'سجل التحفيز'!$Y$5:$Y$2004,0)))</f>
        <v/>
      </c>
      <c r="R135" s="9">
        <f>IF($K135="","",INDEX('سجل التحفيز'!$F$5:$F$2004,MATCH($K135,'سجل التحفيز'!$Y$5:$Y$2004,0)))</f>
        <v/>
      </c>
      <c r="S135" s="35">
        <f>IF($K135="","",INDEX('سجل التحفيز'!$G$5:$G$2004,MATCH($K135,'سجل التحفيز'!$Y$5:$Y$2004,0)))</f>
        <v/>
      </c>
    </row>
    <row r="136">
      <c r="B136" s="34">
        <f>IFERROR(INDEX(الموظفات!$B$5:$B$304,MATCH(99,الموظفات!$S$5:$S$304,0)),"")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التحفيز'!$Y$5:$Y$2004,"&gt;0",'سجل التحفيز'!$B$5:$B$2004,B136))</f>
        <v/>
      </c>
      <c r="E136" s="35">
        <f>IF(B136="","",COUNTIFS('سجل التحفيز'!$Y$5:$Y$2004,"&gt;0",'سجل التحفيز'!$B$5:$B$2004,B136,'سجل التحفيز'!$D$5:$D$2004,"ذهبي"))</f>
        <v/>
      </c>
      <c r="F136" s="35">
        <f>IF(B136="","",SUMIFS('سجل التحفيز'!$G$5:$G$2004,'سجل التحفيز'!$Y$5:$Y$2004,"&gt;0",'سجل التحفيز'!$B$5:$B$2004,B136))</f>
        <v/>
      </c>
      <c r="G136" s="35">
        <f>IF(B136="","",COUNTIF($D$38:$D$187,"&gt;"&amp;D136)+1)</f>
        <v/>
      </c>
      <c r="H136" s="35">
        <f>IF(B136="","",INDEX(الموظفات!$L$5:$L$304,MATCH(B136,الموظفات!$B$5:$B$304,0)))</f>
        <v/>
      </c>
      <c r="K136" s="36">
        <f>IF(99&gt;$B$10,"",99)</f>
        <v/>
      </c>
      <c r="L136" s="37">
        <f>IF($K136="","",INDEX('سجل التحفيز'!$A$5:$A$2004,MATCH($K136,'سجل التحفيز'!$Y$5:$Y$2004,0)))</f>
        <v/>
      </c>
      <c r="M136" s="9">
        <f>IF($K136="","",INDEX('سجل التحفيز'!$B$5:$B$2004,MATCH($K136,'سجل التحفيز'!$Y$5:$Y$2004,0)))</f>
        <v/>
      </c>
      <c r="N136" s="9">
        <f>IF($K136="","",INDEX('سجل التحفيز'!$M$5:$M$2004,MATCH($K136,'سجل التحفيز'!$Y$5:$Y$2004,0)))</f>
        <v/>
      </c>
      <c r="O136" s="9">
        <f>IF($K136="","",INDEX('سجل التحفيز'!$C$5:$C$2004,MATCH($K136,'سجل التحفيز'!$Y$5:$Y$2004,0)))</f>
        <v/>
      </c>
      <c r="P136" s="36">
        <f>IF($K136="","",INDEX('سجل التحفيز'!$D$5:$D$2004,MATCH($K136,'سجل التحفيز'!$Y$5:$Y$2004,0)))</f>
        <v/>
      </c>
      <c r="Q136" s="9">
        <f>IF($K136="","",INDEX('سجل التحفيز'!$E$5:$E$2004,MATCH($K136,'سجل التحفيز'!$Y$5:$Y$2004,0)))</f>
        <v/>
      </c>
      <c r="R136" s="9">
        <f>IF($K136="","",INDEX('سجل التحفيز'!$F$5:$F$2004,MATCH($K136,'سجل التحفيز'!$Y$5:$Y$2004,0)))</f>
        <v/>
      </c>
      <c r="S136" s="35">
        <f>IF($K136="","",INDEX('سجل التحفيز'!$G$5:$G$2004,MATCH($K136,'سجل التحفيز'!$Y$5:$Y$2004,0)))</f>
        <v/>
      </c>
    </row>
    <row r="137">
      <c r="B137" s="34">
        <f>IFERROR(INDEX(الموظفات!$B$5:$B$304,MATCH(100,الموظفات!$S$5:$S$304,0)),"")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التحفيز'!$Y$5:$Y$2004,"&gt;0",'سجل التحفيز'!$B$5:$B$2004,B137))</f>
        <v/>
      </c>
      <c r="E137" s="35">
        <f>IF(B137="","",COUNTIFS('سجل التحفيز'!$Y$5:$Y$2004,"&gt;0",'سجل التحفيز'!$B$5:$B$2004,B137,'سجل التحفيز'!$D$5:$D$2004,"ذهبي"))</f>
        <v/>
      </c>
      <c r="F137" s="35">
        <f>IF(B137="","",SUMIFS('سجل التحفيز'!$G$5:$G$2004,'سجل التحفيز'!$Y$5:$Y$2004,"&gt;0",'سجل التحفيز'!$B$5:$B$2004,B137))</f>
        <v/>
      </c>
      <c r="G137" s="35">
        <f>IF(B137="","",COUNTIF($D$38:$D$187,"&gt;"&amp;D137)+1)</f>
        <v/>
      </c>
      <c r="H137" s="35">
        <f>IF(B137="","",INDEX(الموظفات!$L$5:$L$304,MATCH(B137,الموظفات!$B$5:$B$304,0)))</f>
        <v/>
      </c>
      <c r="K137" s="36">
        <f>IF(100&gt;$B$10,"",100)</f>
        <v/>
      </c>
      <c r="L137" s="37">
        <f>IF($K137="","",INDEX('سجل التحفيز'!$A$5:$A$2004,MATCH($K137,'سجل التحفيز'!$Y$5:$Y$2004,0)))</f>
        <v/>
      </c>
      <c r="M137" s="9">
        <f>IF($K137="","",INDEX('سجل التحفيز'!$B$5:$B$2004,MATCH($K137,'سجل التحفيز'!$Y$5:$Y$2004,0)))</f>
        <v/>
      </c>
      <c r="N137" s="9">
        <f>IF($K137="","",INDEX('سجل التحفيز'!$M$5:$M$2004,MATCH($K137,'سجل التحفيز'!$Y$5:$Y$2004,0)))</f>
        <v/>
      </c>
      <c r="O137" s="9">
        <f>IF($K137="","",INDEX('سجل التحفيز'!$C$5:$C$2004,MATCH($K137,'سجل التحفيز'!$Y$5:$Y$2004,0)))</f>
        <v/>
      </c>
      <c r="P137" s="36">
        <f>IF($K137="","",INDEX('سجل التحفيز'!$D$5:$D$2004,MATCH($K137,'سجل التحفيز'!$Y$5:$Y$2004,0)))</f>
        <v/>
      </c>
      <c r="Q137" s="9">
        <f>IF($K137="","",INDEX('سجل التحفيز'!$E$5:$E$2004,MATCH($K137,'سجل التحفيز'!$Y$5:$Y$2004,0)))</f>
        <v/>
      </c>
      <c r="R137" s="9">
        <f>IF($K137="","",INDEX('سجل التحفيز'!$F$5:$F$2004,MATCH($K137,'سجل التحفيز'!$Y$5:$Y$2004,0)))</f>
        <v/>
      </c>
      <c r="S137" s="35">
        <f>IF($K137="","",INDEX('سجل التحفيز'!$G$5:$G$2004,MATCH($K137,'سجل التحفيز'!$Y$5:$Y$2004,0)))</f>
        <v/>
      </c>
    </row>
    <row r="138">
      <c r="B138" s="34">
        <f>IFERROR(INDEX(الموظفات!$B$5:$B$304,MATCH(101,الموظفات!$S$5:$S$304,0)),"")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التحفيز'!$Y$5:$Y$2004,"&gt;0",'سجل التحفيز'!$B$5:$B$2004,B138))</f>
        <v/>
      </c>
      <c r="E138" s="35">
        <f>IF(B138="","",COUNTIFS('سجل التحفيز'!$Y$5:$Y$2004,"&gt;0",'سجل التحفيز'!$B$5:$B$2004,B138,'سجل التحفيز'!$D$5:$D$2004,"ذهبي"))</f>
        <v/>
      </c>
      <c r="F138" s="35">
        <f>IF(B138="","",SUMIFS('سجل التحفيز'!$G$5:$G$2004,'سجل التحفيز'!$Y$5:$Y$2004,"&gt;0",'سجل التحفيز'!$B$5:$B$2004,B138))</f>
        <v/>
      </c>
      <c r="G138" s="35">
        <f>IF(B138="","",COUNTIF($D$38:$D$187,"&gt;"&amp;D138)+1)</f>
        <v/>
      </c>
      <c r="H138" s="35">
        <f>IF(B138="","",INDEX(الموظفات!$L$5:$L$304,MATCH(B138,الموظفات!$B$5:$B$304,0)))</f>
        <v/>
      </c>
      <c r="K138" s="36">
        <f>IF(101&gt;$B$10,"",101)</f>
        <v/>
      </c>
      <c r="L138" s="37">
        <f>IF($K138="","",INDEX('سجل التحفيز'!$A$5:$A$2004,MATCH($K138,'سجل التحفيز'!$Y$5:$Y$2004,0)))</f>
        <v/>
      </c>
      <c r="M138" s="9">
        <f>IF($K138="","",INDEX('سجل التحفيز'!$B$5:$B$2004,MATCH($K138,'سجل التحفيز'!$Y$5:$Y$2004,0)))</f>
        <v/>
      </c>
      <c r="N138" s="9">
        <f>IF($K138="","",INDEX('سجل التحفيز'!$M$5:$M$2004,MATCH($K138,'سجل التحفيز'!$Y$5:$Y$2004,0)))</f>
        <v/>
      </c>
      <c r="O138" s="9">
        <f>IF($K138="","",INDEX('سجل التحفيز'!$C$5:$C$2004,MATCH($K138,'سجل التحفيز'!$Y$5:$Y$2004,0)))</f>
        <v/>
      </c>
      <c r="P138" s="36">
        <f>IF($K138="","",INDEX('سجل التحفيز'!$D$5:$D$2004,MATCH($K138,'سجل التحفيز'!$Y$5:$Y$2004,0)))</f>
        <v/>
      </c>
      <c r="Q138" s="9">
        <f>IF($K138="","",INDEX('سجل التحفيز'!$E$5:$E$2004,MATCH($K138,'سجل التحفيز'!$Y$5:$Y$2004,0)))</f>
        <v/>
      </c>
      <c r="R138" s="9">
        <f>IF($K138="","",INDEX('سجل التحفيز'!$F$5:$F$2004,MATCH($K138,'سجل التحفيز'!$Y$5:$Y$2004,0)))</f>
        <v/>
      </c>
      <c r="S138" s="35">
        <f>IF($K138="","",INDEX('سجل التحفيز'!$G$5:$G$2004,MATCH($K138,'سجل التحفيز'!$Y$5:$Y$2004,0)))</f>
        <v/>
      </c>
    </row>
    <row r="139">
      <c r="B139" s="34">
        <f>IFERROR(INDEX(الموظفات!$B$5:$B$304,MATCH(102,الموظفات!$S$5:$S$304,0)),"")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التحفيز'!$Y$5:$Y$2004,"&gt;0",'سجل التحفيز'!$B$5:$B$2004,B139))</f>
        <v/>
      </c>
      <c r="E139" s="35">
        <f>IF(B139="","",COUNTIFS('سجل التحفيز'!$Y$5:$Y$2004,"&gt;0",'سجل التحفيز'!$B$5:$B$2004,B139,'سجل التحفيز'!$D$5:$D$2004,"ذهبي"))</f>
        <v/>
      </c>
      <c r="F139" s="35">
        <f>IF(B139="","",SUMIFS('سجل التحفيز'!$G$5:$G$2004,'سجل التحفيز'!$Y$5:$Y$2004,"&gt;0",'سجل التحفيز'!$B$5:$B$2004,B139))</f>
        <v/>
      </c>
      <c r="G139" s="35">
        <f>IF(B139="","",COUNTIF($D$38:$D$187,"&gt;"&amp;D139)+1)</f>
        <v/>
      </c>
      <c r="H139" s="35">
        <f>IF(B139="","",INDEX(الموظفات!$L$5:$L$304,MATCH(B139,الموظفات!$B$5:$B$304,0)))</f>
        <v/>
      </c>
      <c r="K139" s="36">
        <f>IF(102&gt;$B$10,"",102)</f>
        <v/>
      </c>
      <c r="L139" s="37">
        <f>IF($K139="","",INDEX('سجل التحفيز'!$A$5:$A$2004,MATCH($K139,'سجل التحفيز'!$Y$5:$Y$2004,0)))</f>
        <v/>
      </c>
      <c r="M139" s="9">
        <f>IF($K139="","",INDEX('سجل التحفيز'!$B$5:$B$2004,MATCH($K139,'سجل التحفيز'!$Y$5:$Y$2004,0)))</f>
        <v/>
      </c>
      <c r="N139" s="9">
        <f>IF($K139="","",INDEX('سجل التحفيز'!$M$5:$M$2004,MATCH($K139,'سجل التحفيز'!$Y$5:$Y$2004,0)))</f>
        <v/>
      </c>
      <c r="O139" s="9">
        <f>IF($K139="","",INDEX('سجل التحفيز'!$C$5:$C$2004,MATCH($K139,'سجل التحفيز'!$Y$5:$Y$2004,0)))</f>
        <v/>
      </c>
      <c r="P139" s="36">
        <f>IF($K139="","",INDEX('سجل التحفيز'!$D$5:$D$2004,MATCH($K139,'سجل التحفيز'!$Y$5:$Y$2004,0)))</f>
        <v/>
      </c>
      <c r="Q139" s="9">
        <f>IF($K139="","",INDEX('سجل التحفيز'!$E$5:$E$2004,MATCH($K139,'سجل التحفيز'!$Y$5:$Y$2004,0)))</f>
        <v/>
      </c>
      <c r="R139" s="9">
        <f>IF($K139="","",INDEX('سجل التحفيز'!$F$5:$F$2004,MATCH($K139,'سجل التحفيز'!$Y$5:$Y$2004,0)))</f>
        <v/>
      </c>
      <c r="S139" s="35">
        <f>IF($K139="","",INDEX('سجل التحفيز'!$G$5:$G$2004,MATCH($K139,'سجل التحفيز'!$Y$5:$Y$2004,0)))</f>
        <v/>
      </c>
    </row>
    <row r="140">
      <c r="B140" s="34">
        <f>IFERROR(INDEX(الموظفات!$B$5:$B$304,MATCH(103,الموظفات!$S$5:$S$304,0)),"")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التحفيز'!$Y$5:$Y$2004,"&gt;0",'سجل التحفيز'!$B$5:$B$2004,B140))</f>
        <v/>
      </c>
      <c r="E140" s="35">
        <f>IF(B140="","",COUNTIFS('سجل التحفيز'!$Y$5:$Y$2004,"&gt;0",'سجل التحفيز'!$B$5:$B$2004,B140,'سجل التحفيز'!$D$5:$D$2004,"ذهبي"))</f>
        <v/>
      </c>
      <c r="F140" s="35">
        <f>IF(B140="","",SUMIFS('سجل التحفيز'!$G$5:$G$2004,'سجل التحفيز'!$Y$5:$Y$2004,"&gt;0",'سجل التحفيز'!$B$5:$B$2004,B140))</f>
        <v/>
      </c>
      <c r="G140" s="35">
        <f>IF(B140="","",COUNTIF($D$38:$D$187,"&gt;"&amp;D140)+1)</f>
        <v/>
      </c>
      <c r="H140" s="35">
        <f>IF(B140="","",INDEX(الموظفات!$L$5:$L$304,MATCH(B140,الموظفات!$B$5:$B$304,0)))</f>
        <v/>
      </c>
      <c r="K140" s="36">
        <f>IF(103&gt;$B$10,"",103)</f>
        <v/>
      </c>
      <c r="L140" s="37">
        <f>IF($K140="","",INDEX('سجل التحفيز'!$A$5:$A$2004,MATCH($K140,'سجل التحفيز'!$Y$5:$Y$2004,0)))</f>
        <v/>
      </c>
      <c r="M140" s="9">
        <f>IF($K140="","",INDEX('سجل التحفيز'!$B$5:$B$2004,MATCH($K140,'سجل التحفيز'!$Y$5:$Y$2004,0)))</f>
        <v/>
      </c>
      <c r="N140" s="9">
        <f>IF($K140="","",INDEX('سجل التحفيز'!$M$5:$M$2004,MATCH($K140,'سجل التحفيز'!$Y$5:$Y$2004,0)))</f>
        <v/>
      </c>
      <c r="O140" s="9">
        <f>IF($K140="","",INDEX('سجل التحفيز'!$C$5:$C$2004,MATCH($K140,'سجل التحفيز'!$Y$5:$Y$2004,0)))</f>
        <v/>
      </c>
      <c r="P140" s="36">
        <f>IF($K140="","",INDEX('سجل التحفيز'!$D$5:$D$2004,MATCH($K140,'سجل التحفيز'!$Y$5:$Y$2004,0)))</f>
        <v/>
      </c>
      <c r="Q140" s="9">
        <f>IF($K140="","",INDEX('سجل التحفيز'!$E$5:$E$2004,MATCH($K140,'سجل التحفيز'!$Y$5:$Y$2004,0)))</f>
        <v/>
      </c>
      <c r="R140" s="9">
        <f>IF($K140="","",INDEX('سجل التحفيز'!$F$5:$F$2004,MATCH($K140,'سجل التحفيز'!$Y$5:$Y$2004,0)))</f>
        <v/>
      </c>
      <c r="S140" s="35">
        <f>IF($K140="","",INDEX('سجل التحفيز'!$G$5:$G$2004,MATCH($K140,'سجل التحفيز'!$Y$5:$Y$2004,0)))</f>
        <v/>
      </c>
    </row>
    <row r="141">
      <c r="B141" s="34">
        <f>IFERROR(INDEX(الموظفات!$B$5:$B$304,MATCH(104,الموظفات!$S$5:$S$304,0)),"")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التحفيز'!$Y$5:$Y$2004,"&gt;0",'سجل التحفيز'!$B$5:$B$2004,B141))</f>
        <v/>
      </c>
      <c r="E141" s="35">
        <f>IF(B141="","",COUNTIFS('سجل التحفيز'!$Y$5:$Y$2004,"&gt;0",'سجل التحفيز'!$B$5:$B$2004,B141,'سجل التحفيز'!$D$5:$D$2004,"ذهبي"))</f>
        <v/>
      </c>
      <c r="F141" s="35">
        <f>IF(B141="","",SUMIFS('سجل التحفيز'!$G$5:$G$2004,'سجل التحفيز'!$Y$5:$Y$2004,"&gt;0",'سجل التحفيز'!$B$5:$B$2004,B141))</f>
        <v/>
      </c>
      <c r="G141" s="35">
        <f>IF(B141="","",COUNTIF($D$38:$D$187,"&gt;"&amp;D141)+1)</f>
        <v/>
      </c>
      <c r="H141" s="35">
        <f>IF(B141="","",INDEX(الموظفات!$L$5:$L$304,MATCH(B141,الموظفات!$B$5:$B$304,0)))</f>
        <v/>
      </c>
      <c r="K141" s="36">
        <f>IF(104&gt;$B$10,"",104)</f>
        <v/>
      </c>
      <c r="L141" s="37">
        <f>IF($K141="","",INDEX('سجل التحفيز'!$A$5:$A$2004,MATCH($K141,'سجل التحفيز'!$Y$5:$Y$2004,0)))</f>
        <v/>
      </c>
      <c r="M141" s="9">
        <f>IF($K141="","",INDEX('سجل التحفيز'!$B$5:$B$2004,MATCH($K141,'سجل التحفيز'!$Y$5:$Y$2004,0)))</f>
        <v/>
      </c>
      <c r="N141" s="9">
        <f>IF($K141="","",INDEX('سجل التحفيز'!$M$5:$M$2004,MATCH($K141,'سجل التحفيز'!$Y$5:$Y$2004,0)))</f>
        <v/>
      </c>
      <c r="O141" s="9">
        <f>IF($K141="","",INDEX('سجل التحفيز'!$C$5:$C$2004,MATCH($K141,'سجل التحفيز'!$Y$5:$Y$2004,0)))</f>
        <v/>
      </c>
      <c r="P141" s="36">
        <f>IF($K141="","",INDEX('سجل التحفيز'!$D$5:$D$2004,MATCH($K141,'سجل التحفيز'!$Y$5:$Y$2004,0)))</f>
        <v/>
      </c>
      <c r="Q141" s="9">
        <f>IF($K141="","",INDEX('سجل التحفيز'!$E$5:$E$2004,MATCH($K141,'سجل التحفيز'!$Y$5:$Y$2004,0)))</f>
        <v/>
      </c>
      <c r="R141" s="9">
        <f>IF($K141="","",INDEX('سجل التحفيز'!$F$5:$F$2004,MATCH($K141,'سجل التحفيز'!$Y$5:$Y$2004,0)))</f>
        <v/>
      </c>
      <c r="S141" s="35">
        <f>IF($K141="","",INDEX('سجل التحفيز'!$G$5:$G$2004,MATCH($K141,'سجل التحفيز'!$Y$5:$Y$2004,0)))</f>
        <v/>
      </c>
    </row>
    <row r="142">
      <c r="B142" s="34">
        <f>IFERROR(INDEX(الموظفات!$B$5:$B$304,MATCH(105,الموظفات!$S$5:$S$304,0)),"")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التحفيز'!$Y$5:$Y$2004,"&gt;0",'سجل التحفيز'!$B$5:$B$2004,B142))</f>
        <v/>
      </c>
      <c r="E142" s="35">
        <f>IF(B142="","",COUNTIFS('سجل التحفيز'!$Y$5:$Y$2004,"&gt;0",'سجل التحفيز'!$B$5:$B$2004,B142,'سجل التحفيز'!$D$5:$D$2004,"ذهبي"))</f>
        <v/>
      </c>
      <c r="F142" s="35">
        <f>IF(B142="","",SUMIFS('سجل التحفيز'!$G$5:$G$2004,'سجل التحفيز'!$Y$5:$Y$2004,"&gt;0",'سجل التحفيز'!$B$5:$B$2004,B142))</f>
        <v/>
      </c>
      <c r="G142" s="35">
        <f>IF(B142="","",COUNTIF($D$38:$D$187,"&gt;"&amp;D142)+1)</f>
        <v/>
      </c>
      <c r="H142" s="35">
        <f>IF(B142="","",INDEX(الموظفات!$L$5:$L$304,MATCH(B142,الموظفات!$B$5:$B$304,0)))</f>
        <v/>
      </c>
      <c r="K142" s="36">
        <f>IF(105&gt;$B$10,"",105)</f>
        <v/>
      </c>
      <c r="L142" s="37">
        <f>IF($K142="","",INDEX('سجل التحفيز'!$A$5:$A$2004,MATCH($K142,'سجل التحفيز'!$Y$5:$Y$2004,0)))</f>
        <v/>
      </c>
      <c r="M142" s="9">
        <f>IF($K142="","",INDEX('سجل التحفيز'!$B$5:$B$2004,MATCH($K142,'سجل التحفيز'!$Y$5:$Y$2004,0)))</f>
        <v/>
      </c>
      <c r="N142" s="9">
        <f>IF($K142="","",INDEX('سجل التحفيز'!$M$5:$M$2004,MATCH($K142,'سجل التحفيز'!$Y$5:$Y$2004,0)))</f>
        <v/>
      </c>
      <c r="O142" s="9">
        <f>IF($K142="","",INDEX('سجل التحفيز'!$C$5:$C$2004,MATCH($K142,'سجل التحفيز'!$Y$5:$Y$2004,0)))</f>
        <v/>
      </c>
      <c r="P142" s="36">
        <f>IF($K142="","",INDEX('سجل التحفيز'!$D$5:$D$2004,MATCH($K142,'سجل التحفيز'!$Y$5:$Y$2004,0)))</f>
        <v/>
      </c>
      <c r="Q142" s="9">
        <f>IF($K142="","",INDEX('سجل التحفيز'!$E$5:$E$2004,MATCH($K142,'سجل التحفيز'!$Y$5:$Y$2004,0)))</f>
        <v/>
      </c>
      <c r="R142" s="9">
        <f>IF($K142="","",INDEX('سجل التحفيز'!$F$5:$F$2004,MATCH($K142,'سجل التحفيز'!$Y$5:$Y$2004,0)))</f>
        <v/>
      </c>
      <c r="S142" s="35">
        <f>IF($K142="","",INDEX('سجل التحفيز'!$G$5:$G$2004,MATCH($K142,'سجل التحفيز'!$Y$5:$Y$2004,0)))</f>
        <v/>
      </c>
    </row>
    <row r="143">
      <c r="B143" s="34">
        <f>IFERROR(INDEX(الموظفات!$B$5:$B$304,MATCH(106,الموظفات!$S$5:$S$304,0)),"")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التحفيز'!$Y$5:$Y$2004,"&gt;0",'سجل التحفيز'!$B$5:$B$2004,B143))</f>
        <v/>
      </c>
      <c r="E143" s="35">
        <f>IF(B143="","",COUNTIFS('سجل التحفيز'!$Y$5:$Y$2004,"&gt;0",'سجل التحفيز'!$B$5:$B$2004,B143,'سجل التحفيز'!$D$5:$D$2004,"ذهبي"))</f>
        <v/>
      </c>
      <c r="F143" s="35">
        <f>IF(B143="","",SUMIFS('سجل التحفيز'!$G$5:$G$2004,'سجل التحفيز'!$Y$5:$Y$2004,"&gt;0",'سجل التحفيز'!$B$5:$B$2004,B143))</f>
        <v/>
      </c>
      <c r="G143" s="35">
        <f>IF(B143="","",COUNTIF($D$38:$D$187,"&gt;"&amp;D143)+1)</f>
        <v/>
      </c>
      <c r="H143" s="35">
        <f>IF(B143="","",INDEX(الموظفات!$L$5:$L$304,MATCH(B143,الموظفات!$B$5:$B$304,0)))</f>
        <v/>
      </c>
      <c r="K143" s="36">
        <f>IF(106&gt;$B$10,"",106)</f>
        <v/>
      </c>
      <c r="L143" s="37">
        <f>IF($K143="","",INDEX('سجل التحفيز'!$A$5:$A$2004,MATCH($K143,'سجل التحفيز'!$Y$5:$Y$2004,0)))</f>
        <v/>
      </c>
      <c r="M143" s="9">
        <f>IF($K143="","",INDEX('سجل التحفيز'!$B$5:$B$2004,MATCH($K143,'سجل التحفيز'!$Y$5:$Y$2004,0)))</f>
        <v/>
      </c>
      <c r="N143" s="9">
        <f>IF($K143="","",INDEX('سجل التحفيز'!$M$5:$M$2004,MATCH($K143,'سجل التحفيز'!$Y$5:$Y$2004,0)))</f>
        <v/>
      </c>
      <c r="O143" s="9">
        <f>IF($K143="","",INDEX('سجل التحفيز'!$C$5:$C$2004,MATCH($K143,'سجل التحفيز'!$Y$5:$Y$2004,0)))</f>
        <v/>
      </c>
      <c r="P143" s="36">
        <f>IF($K143="","",INDEX('سجل التحفيز'!$D$5:$D$2004,MATCH($K143,'سجل التحفيز'!$Y$5:$Y$2004,0)))</f>
        <v/>
      </c>
      <c r="Q143" s="9">
        <f>IF($K143="","",INDEX('سجل التحفيز'!$E$5:$E$2004,MATCH($K143,'سجل التحفيز'!$Y$5:$Y$2004,0)))</f>
        <v/>
      </c>
      <c r="R143" s="9">
        <f>IF($K143="","",INDEX('سجل التحفيز'!$F$5:$F$2004,MATCH($K143,'سجل التحفيز'!$Y$5:$Y$2004,0)))</f>
        <v/>
      </c>
      <c r="S143" s="35">
        <f>IF($K143="","",INDEX('سجل التحفيز'!$G$5:$G$2004,MATCH($K143,'سجل التحفيز'!$Y$5:$Y$2004,0)))</f>
        <v/>
      </c>
    </row>
    <row r="144">
      <c r="B144" s="34">
        <f>IFERROR(INDEX(الموظفات!$B$5:$B$304,MATCH(107,الموظفات!$S$5:$S$304,0)),"")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التحفيز'!$Y$5:$Y$2004,"&gt;0",'سجل التحفيز'!$B$5:$B$2004,B144))</f>
        <v/>
      </c>
      <c r="E144" s="35">
        <f>IF(B144="","",COUNTIFS('سجل التحفيز'!$Y$5:$Y$2004,"&gt;0",'سجل التحفيز'!$B$5:$B$2004,B144,'سجل التحفيز'!$D$5:$D$2004,"ذهبي"))</f>
        <v/>
      </c>
      <c r="F144" s="35">
        <f>IF(B144="","",SUMIFS('سجل التحفيز'!$G$5:$G$2004,'سجل التحفيز'!$Y$5:$Y$2004,"&gt;0",'سجل التحفيز'!$B$5:$B$2004,B144))</f>
        <v/>
      </c>
      <c r="G144" s="35">
        <f>IF(B144="","",COUNTIF($D$38:$D$187,"&gt;"&amp;D144)+1)</f>
        <v/>
      </c>
      <c r="H144" s="35">
        <f>IF(B144="","",INDEX(الموظفات!$L$5:$L$304,MATCH(B144,الموظفات!$B$5:$B$304,0)))</f>
        <v/>
      </c>
      <c r="K144" s="36">
        <f>IF(107&gt;$B$10,"",107)</f>
        <v/>
      </c>
      <c r="L144" s="37">
        <f>IF($K144="","",INDEX('سجل التحفيز'!$A$5:$A$2004,MATCH($K144,'سجل التحفيز'!$Y$5:$Y$2004,0)))</f>
        <v/>
      </c>
      <c r="M144" s="9">
        <f>IF($K144="","",INDEX('سجل التحفيز'!$B$5:$B$2004,MATCH($K144,'سجل التحفيز'!$Y$5:$Y$2004,0)))</f>
        <v/>
      </c>
      <c r="N144" s="9">
        <f>IF($K144="","",INDEX('سجل التحفيز'!$M$5:$M$2004,MATCH($K144,'سجل التحفيز'!$Y$5:$Y$2004,0)))</f>
        <v/>
      </c>
      <c r="O144" s="9">
        <f>IF($K144="","",INDEX('سجل التحفيز'!$C$5:$C$2004,MATCH($K144,'سجل التحفيز'!$Y$5:$Y$2004,0)))</f>
        <v/>
      </c>
      <c r="P144" s="36">
        <f>IF($K144="","",INDEX('سجل التحفيز'!$D$5:$D$2004,MATCH($K144,'سجل التحفيز'!$Y$5:$Y$2004,0)))</f>
        <v/>
      </c>
      <c r="Q144" s="9">
        <f>IF($K144="","",INDEX('سجل التحفيز'!$E$5:$E$2004,MATCH($K144,'سجل التحفيز'!$Y$5:$Y$2004,0)))</f>
        <v/>
      </c>
      <c r="R144" s="9">
        <f>IF($K144="","",INDEX('سجل التحفيز'!$F$5:$F$2004,MATCH($K144,'سجل التحفيز'!$Y$5:$Y$2004,0)))</f>
        <v/>
      </c>
      <c r="S144" s="35">
        <f>IF($K144="","",INDEX('سجل التحفيز'!$G$5:$G$2004,MATCH($K144,'سجل التحفيز'!$Y$5:$Y$2004,0)))</f>
        <v/>
      </c>
    </row>
    <row r="145">
      <c r="B145" s="34">
        <f>IFERROR(INDEX(الموظفات!$B$5:$B$304,MATCH(108,الموظفات!$S$5:$S$304,0)),"")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التحفيز'!$Y$5:$Y$2004,"&gt;0",'سجل التحفيز'!$B$5:$B$2004,B145))</f>
        <v/>
      </c>
      <c r="E145" s="35">
        <f>IF(B145="","",COUNTIFS('سجل التحفيز'!$Y$5:$Y$2004,"&gt;0",'سجل التحفيز'!$B$5:$B$2004,B145,'سجل التحفيز'!$D$5:$D$2004,"ذهبي"))</f>
        <v/>
      </c>
      <c r="F145" s="35">
        <f>IF(B145="","",SUMIFS('سجل التحفيز'!$G$5:$G$2004,'سجل التحفيز'!$Y$5:$Y$2004,"&gt;0",'سجل التحفيز'!$B$5:$B$2004,B145))</f>
        <v/>
      </c>
      <c r="G145" s="35">
        <f>IF(B145="","",COUNTIF($D$38:$D$187,"&gt;"&amp;D145)+1)</f>
        <v/>
      </c>
      <c r="H145" s="35">
        <f>IF(B145="","",INDEX(الموظفات!$L$5:$L$304,MATCH(B145,الموظفات!$B$5:$B$304,0)))</f>
        <v/>
      </c>
      <c r="K145" s="36">
        <f>IF(108&gt;$B$10,"",108)</f>
        <v/>
      </c>
      <c r="L145" s="37">
        <f>IF($K145="","",INDEX('سجل التحفيز'!$A$5:$A$2004,MATCH($K145,'سجل التحفيز'!$Y$5:$Y$2004,0)))</f>
        <v/>
      </c>
      <c r="M145" s="9">
        <f>IF($K145="","",INDEX('سجل التحفيز'!$B$5:$B$2004,MATCH($K145,'سجل التحفيز'!$Y$5:$Y$2004,0)))</f>
        <v/>
      </c>
      <c r="N145" s="9">
        <f>IF($K145="","",INDEX('سجل التحفيز'!$M$5:$M$2004,MATCH($K145,'سجل التحفيز'!$Y$5:$Y$2004,0)))</f>
        <v/>
      </c>
      <c r="O145" s="9">
        <f>IF($K145="","",INDEX('سجل التحفيز'!$C$5:$C$2004,MATCH($K145,'سجل التحفيز'!$Y$5:$Y$2004,0)))</f>
        <v/>
      </c>
      <c r="P145" s="36">
        <f>IF($K145="","",INDEX('سجل التحفيز'!$D$5:$D$2004,MATCH($K145,'سجل التحفيز'!$Y$5:$Y$2004,0)))</f>
        <v/>
      </c>
      <c r="Q145" s="9">
        <f>IF($K145="","",INDEX('سجل التحفيز'!$E$5:$E$2004,MATCH($K145,'سجل التحفيز'!$Y$5:$Y$2004,0)))</f>
        <v/>
      </c>
      <c r="R145" s="9">
        <f>IF($K145="","",INDEX('سجل التحفيز'!$F$5:$F$2004,MATCH($K145,'سجل التحفيز'!$Y$5:$Y$2004,0)))</f>
        <v/>
      </c>
      <c r="S145" s="35">
        <f>IF($K145="","",INDEX('سجل التحفيز'!$G$5:$G$2004,MATCH($K145,'سجل التحفيز'!$Y$5:$Y$2004,0)))</f>
        <v/>
      </c>
    </row>
    <row r="146">
      <c r="B146" s="34">
        <f>IFERROR(INDEX(الموظفات!$B$5:$B$304,MATCH(109,الموظفات!$S$5:$S$304,0)),"")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التحفيز'!$Y$5:$Y$2004,"&gt;0",'سجل التحفيز'!$B$5:$B$2004,B146))</f>
        <v/>
      </c>
      <c r="E146" s="35">
        <f>IF(B146="","",COUNTIFS('سجل التحفيز'!$Y$5:$Y$2004,"&gt;0",'سجل التحفيز'!$B$5:$B$2004,B146,'سجل التحفيز'!$D$5:$D$2004,"ذهبي"))</f>
        <v/>
      </c>
      <c r="F146" s="35">
        <f>IF(B146="","",SUMIFS('سجل التحفيز'!$G$5:$G$2004,'سجل التحفيز'!$Y$5:$Y$2004,"&gt;0",'سجل التحفيز'!$B$5:$B$2004,B146))</f>
        <v/>
      </c>
      <c r="G146" s="35">
        <f>IF(B146="","",COUNTIF($D$38:$D$187,"&gt;"&amp;D146)+1)</f>
        <v/>
      </c>
      <c r="H146" s="35">
        <f>IF(B146="","",INDEX(الموظفات!$L$5:$L$304,MATCH(B146,الموظفات!$B$5:$B$304,0)))</f>
        <v/>
      </c>
      <c r="K146" s="36">
        <f>IF(109&gt;$B$10,"",109)</f>
        <v/>
      </c>
      <c r="L146" s="37">
        <f>IF($K146="","",INDEX('سجل التحفيز'!$A$5:$A$2004,MATCH($K146,'سجل التحفيز'!$Y$5:$Y$2004,0)))</f>
        <v/>
      </c>
      <c r="M146" s="9">
        <f>IF($K146="","",INDEX('سجل التحفيز'!$B$5:$B$2004,MATCH($K146,'سجل التحفيز'!$Y$5:$Y$2004,0)))</f>
        <v/>
      </c>
      <c r="N146" s="9">
        <f>IF($K146="","",INDEX('سجل التحفيز'!$M$5:$M$2004,MATCH($K146,'سجل التحفيز'!$Y$5:$Y$2004,0)))</f>
        <v/>
      </c>
      <c r="O146" s="9">
        <f>IF($K146="","",INDEX('سجل التحفيز'!$C$5:$C$2004,MATCH($K146,'سجل التحفيز'!$Y$5:$Y$2004,0)))</f>
        <v/>
      </c>
      <c r="P146" s="36">
        <f>IF($K146="","",INDEX('سجل التحفيز'!$D$5:$D$2004,MATCH($K146,'سجل التحفيز'!$Y$5:$Y$2004,0)))</f>
        <v/>
      </c>
      <c r="Q146" s="9">
        <f>IF($K146="","",INDEX('سجل التحفيز'!$E$5:$E$2004,MATCH($K146,'سجل التحفيز'!$Y$5:$Y$2004,0)))</f>
        <v/>
      </c>
      <c r="R146" s="9">
        <f>IF($K146="","",INDEX('سجل التحفيز'!$F$5:$F$2004,MATCH($K146,'سجل التحفيز'!$Y$5:$Y$2004,0)))</f>
        <v/>
      </c>
      <c r="S146" s="35">
        <f>IF($K146="","",INDEX('سجل التحفيز'!$G$5:$G$2004,MATCH($K146,'سجل التحفيز'!$Y$5:$Y$2004,0)))</f>
        <v/>
      </c>
    </row>
    <row r="147">
      <c r="B147" s="34">
        <f>IFERROR(INDEX(الموظفات!$B$5:$B$304,MATCH(110,الموظفات!$S$5:$S$304,0)),"")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التحفيز'!$Y$5:$Y$2004,"&gt;0",'سجل التحفيز'!$B$5:$B$2004,B147))</f>
        <v/>
      </c>
      <c r="E147" s="35">
        <f>IF(B147="","",COUNTIFS('سجل التحفيز'!$Y$5:$Y$2004,"&gt;0",'سجل التحفيز'!$B$5:$B$2004,B147,'سجل التحفيز'!$D$5:$D$2004,"ذهبي"))</f>
        <v/>
      </c>
      <c r="F147" s="35">
        <f>IF(B147="","",SUMIFS('سجل التحفيز'!$G$5:$G$2004,'سجل التحفيز'!$Y$5:$Y$2004,"&gt;0",'سجل التحفيز'!$B$5:$B$2004,B147))</f>
        <v/>
      </c>
      <c r="G147" s="35">
        <f>IF(B147="","",COUNTIF($D$38:$D$187,"&gt;"&amp;D147)+1)</f>
        <v/>
      </c>
      <c r="H147" s="35">
        <f>IF(B147="","",INDEX(الموظفات!$L$5:$L$304,MATCH(B147,الموظفات!$B$5:$B$304,0)))</f>
        <v/>
      </c>
      <c r="K147" s="36">
        <f>IF(110&gt;$B$10,"",110)</f>
        <v/>
      </c>
      <c r="L147" s="37">
        <f>IF($K147="","",INDEX('سجل التحفيز'!$A$5:$A$2004,MATCH($K147,'سجل التحفيز'!$Y$5:$Y$2004,0)))</f>
        <v/>
      </c>
      <c r="M147" s="9">
        <f>IF($K147="","",INDEX('سجل التحفيز'!$B$5:$B$2004,MATCH($K147,'سجل التحفيز'!$Y$5:$Y$2004,0)))</f>
        <v/>
      </c>
      <c r="N147" s="9">
        <f>IF($K147="","",INDEX('سجل التحفيز'!$M$5:$M$2004,MATCH($K147,'سجل التحفيز'!$Y$5:$Y$2004,0)))</f>
        <v/>
      </c>
      <c r="O147" s="9">
        <f>IF($K147="","",INDEX('سجل التحفيز'!$C$5:$C$2004,MATCH($K147,'سجل التحفيز'!$Y$5:$Y$2004,0)))</f>
        <v/>
      </c>
      <c r="P147" s="36">
        <f>IF($K147="","",INDEX('سجل التحفيز'!$D$5:$D$2004,MATCH($K147,'سجل التحفيز'!$Y$5:$Y$2004,0)))</f>
        <v/>
      </c>
      <c r="Q147" s="9">
        <f>IF($K147="","",INDEX('سجل التحفيز'!$E$5:$E$2004,MATCH($K147,'سجل التحفيز'!$Y$5:$Y$2004,0)))</f>
        <v/>
      </c>
      <c r="R147" s="9">
        <f>IF($K147="","",INDEX('سجل التحفيز'!$F$5:$F$2004,MATCH($K147,'سجل التحفيز'!$Y$5:$Y$2004,0)))</f>
        <v/>
      </c>
      <c r="S147" s="35">
        <f>IF($K147="","",INDEX('سجل التحفيز'!$G$5:$G$2004,MATCH($K147,'سجل التحفيز'!$Y$5:$Y$2004,0)))</f>
        <v/>
      </c>
    </row>
    <row r="148">
      <c r="B148" s="34">
        <f>IFERROR(INDEX(الموظفات!$B$5:$B$304,MATCH(111,الموظفات!$S$5:$S$304,0)),"")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التحفيز'!$Y$5:$Y$2004,"&gt;0",'سجل التحفيز'!$B$5:$B$2004,B148))</f>
        <v/>
      </c>
      <c r="E148" s="35">
        <f>IF(B148="","",COUNTIFS('سجل التحفيز'!$Y$5:$Y$2004,"&gt;0",'سجل التحفيز'!$B$5:$B$2004,B148,'سجل التحفيز'!$D$5:$D$2004,"ذهبي"))</f>
        <v/>
      </c>
      <c r="F148" s="35">
        <f>IF(B148="","",SUMIFS('سجل التحفيز'!$G$5:$G$2004,'سجل التحفيز'!$Y$5:$Y$2004,"&gt;0",'سجل التحفيز'!$B$5:$B$2004,B148))</f>
        <v/>
      </c>
      <c r="G148" s="35">
        <f>IF(B148="","",COUNTIF($D$38:$D$187,"&gt;"&amp;D148)+1)</f>
        <v/>
      </c>
      <c r="H148" s="35">
        <f>IF(B148="","",INDEX(الموظفات!$L$5:$L$304,MATCH(B148,الموظفات!$B$5:$B$304,0)))</f>
        <v/>
      </c>
      <c r="K148" s="36">
        <f>IF(111&gt;$B$10,"",111)</f>
        <v/>
      </c>
      <c r="L148" s="37">
        <f>IF($K148="","",INDEX('سجل التحفيز'!$A$5:$A$2004,MATCH($K148,'سجل التحفيز'!$Y$5:$Y$2004,0)))</f>
        <v/>
      </c>
      <c r="M148" s="9">
        <f>IF($K148="","",INDEX('سجل التحفيز'!$B$5:$B$2004,MATCH($K148,'سجل التحفيز'!$Y$5:$Y$2004,0)))</f>
        <v/>
      </c>
      <c r="N148" s="9">
        <f>IF($K148="","",INDEX('سجل التحفيز'!$M$5:$M$2004,MATCH($K148,'سجل التحفيز'!$Y$5:$Y$2004,0)))</f>
        <v/>
      </c>
      <c r="O148" s="9">
        <f>IF($K148="","",INDEX('سجل التحفيز'!$C$5:$C$2004,MATCH($K148,'سجل التحفيز'!$Y$5:$Y$2004,0)))</f>
        <v/>
      </c>
      <c r="P148" s="36">
        <f>IF($K148="","",INDEX('سجل التحفيز'!$D$5:$D$2004,MATCH($K148,'سجل التحفيز'!$Y$5:$Y$2004,0)))</f>
        <v/>
      </c>
      <c r="Q148" s="9">
        <f>IF($K148="","",INDEX('سجل التحفيز'!$E$5:$E$2004,MATCH($K148,'سجل التحفيز'!$Y$5:$Y$2004,0)))</f>
        <v/>
      </c>
      <c r="R148" s="9">
        <f>IF($K148="","",INDEX('سجل التحفيز'!$F$5:$F$2004,MATCH($K148,'سجل التحفيز'!$Y$5:$Y$2004,0)))</f>
        <v/>
      </c>
      <c r="S148" s="35">
        <f>IF($K148="","",INDEX('سجل التحفيز'!$G$5:$G$2004,MATCH($K148,'سجل التحفيز'!$Y$5:$Y$2004,0)))</f>
        <v/>
      </c>
    </row>
    <row r="149">
      <c r="B149" s="34">
        <f>IFERROR(INDEX(الموظفات!$B$5:$B$304,MATCH(112,الموظفات!$S$5:$S$304,0)),"")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التحفيز'!$Y$5:$Y$2004,"&gt;0",'سجل التحفيز'!$B$5:$B$2004,B149))</f>
        <v/>
      </c>
      <c r="E149" s="35">
        <f>IF(B149="","",COUNTIFS('سجل التحفيز'!$Y$5:$Y$2004,"&gt;0",'سجل التحفيز'!$B$5:$B$2004,B149,'سجل التحفيز'!$D$5:$D$2004,"ذهبي"))</f>
        <v/>
      </c>
      <c r="F149" s="35">
        <f>IF(B149="","",SUMIFS('سجل التحفيز'!$G$5:$G$2004,'سجل التحفيز'!$Y$5:$Y$2004,"&gt;0",'سجل التحفيز'!$B$5:$B$2004,B149))</f>
        <v/>
      </c>
      <c r="G149" s="35">
        <f>IF(B149="","",COUNTIF($D$38:$D$187,"&gt;"&amp;D149)+1)</f>
        <v/>
      </c>
      <c r="H149" s="35">
        <f>IF(B149="","",INDEX(الموظفات!$L$5:$L$304,MATCH(B149,الموظفات!$B$5:$B$304,0)))</f>
        <v/>
      </c>
      <c r="K149" s="36">
        <f>IF(112&gt;$B$10,"",112)</f>
        <v/>
      </c>
      <c r="L149" s="37">
        <f>IF($K149="","",INDEX('سجل التحفيز'!$A$5:$A$2004,MATCH($K149,'سجل التحفيز'!$Y$5:$Y$2004,0)))</f>
        <v/>
      </c>
      <c r="M149" s="9">
        <f>IF($K149="","",INDEX('سجل التحفيز'!$B$5:$B$2004,MATCH($K149,'سجل التحفيز'!$Y$5:$Y$2004,0)))</f>
        <v/>
      </c>
      <c r="N149" s="9">
        <f>IF($K149="","",INDEX('سجل التحفيز'!$M$5:$M$2004,MATCH($K149,'سجل التحفيز'!$Y$5:$Y$2004,0)))</f>
        <v/>
      </c>
      <c r="O149" s="9">
        <f>IF($K149="","",INDEX('سجل التحفيز'!$C$5:$C$2004,MATCH($K149,'سجل التحفيز'!$Y$5:$Y$2004,0)))</f>
        <v/>
      </c>
      <c r="P149" s="36">
        <f>IF($K149="","",INDEX('سجل التحفيز'!$D$5:$D$2004,MATCH($K149,'سجل التحفيز'!$Y$5:$Y$2004,0)))</f>
        <v/>
      </c>
      <c r="Q149" s="9">
        <f>IF($K149="","",INDEX('سجل التحفيز'!$E$5:$E$2004,MATCH($K149,'سجل التحفيز'!$Y$5:$Y$2004,0)))</f>
        <v/>
      </c>
      <c r="R149" s="9">
        <f>IF($K149="","",INDEX('سجل التحفيز'!$F$5:$F$2004,MATCH($K149,'سجل التحفيز'!$Y$5:$Y$2004,0)))</f>
        <v/>
      </c>
      <c r="S149" s="35">
        <f>IF($K149="","",INDEX('سجل التحفيز'!$G$5:$G$2004,MATCH($K149,'سجل التحفيز'!$Y$5:$Y$2004,0)))</f>
        <v/>
      </c>
    </row>
    <row r="150">
      <c r="B150" s="34">
        <f>IFERROR(INDEX(الموظفات!$B$5:$B$304,MATCH(113,الموظفات!$S$5:$S$304,0)),"")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التحفيز'!$Y$5:$Y$2004,"&gt;0",'سجل التحفيز'!$B$5:$B$2004,B150))</f>
        <v/>
      </c>
      <c r="E150" s="35">
        <f>IF(B150="","",COUNTIFS('سجل التحفيز'!$Y$5:$Y$2004,"&gt;0",'سجل التحفيز'!$B$5:$B$2004,B150,'سجل التحفيز'!$D$5:$D$2004,"ذهبي"))</f>
        <v/>
      </c>
      <c r="F150" s="35">
        <f>IF(B150="","",SUMIFS('سجل التحفيز'!$G$5:$G$2004,'سجل التحفيز'!$Y$5:$Y$2004,"&gt;0",'سجل التحفيز'!$B$5:$B$2004,B150))</f>
        <v/>
      </c>
      <c r="G150" s="35">
        <f>IF(B150="","",COUNTIF($D$38:$D$187,"&gt;"&amp;D150)+1)</f>
        <v/>
      </c>
      <c r="H150" s="35">
        <f>IF(B150="","",INDEX(الموظفات!$L$5:$L$304,MATCH(B150,الموظفات!$B$5:$B$304,0)))</f>
        <v/>
      </c>
      <c r="K150" s="36">
        <f>IF(113&gt;$B$10,"",113)</f>
        <v/>
      </c>
      <c r="L150" s="37">
        <f>IF($K150="","",INDEX('سجل التحفيز'!$A$5:$A$2004,MATCH($K150,'سجل التحفيز'!$Y$5:$Y$2004,0)))</f>
        <v/>
      </c>
      <c r="M150" s="9">
        <f>IF($K150="","",INDEX('سجل التحفيز'!$B$5:$B$2004,MATCH($K150,'سجل التحفيز'!$Y$5:$Y$2004,0)))</f>
        <v/>
      </c>
      <c r="N150" s="9">
        <f>IF($K150="","",INDEX('سجل التحفيز'!$M$5:$M$2004,MATCH($K150,'سجل التحفيز'!$Y$5:$Y$2004,0)))</f>
        <v/>
      </c>
      <c r="O150" s="9">
        <f>IF($K150="","",INDEX('سجل التحفيز'!$C$5:$C$2004,MATCH($K150,'سجل التحفيز'!$Y$5:$Y$2004,0)))</f>
        <v/>
      </c>
      <c r="P150" s="36">
        <f>IF($K150="","",INDEX('سجل التحفيز'!$D$5:$D$2004,MATCH($K150,'سجل التحفيز'!$Y$5:$Y$2004,0)))</f>
        <v/>
      </c>
      <c r="Q150" s="9">
        <f>IF($K150="","",INDEX('سجل التحفيز'!$E$5:$E$2004,MATCH($K150,'سجل التحفيز'!$Y$5:$Y$2004,0)))</f>
        <v/>
      </c>
      <c r="R150" s="9">
        <f>IF($K150="","",INDEX('سجل التحفيز'!$F$5:$F$2004,MATCH($K150,'سجل التحفيز'!$Y$5:$Y$2004,0)))</f>
        <v/>
      </c>
      <c r="S150" s="35">
        <f>IF($K150="","",INDEX('سجل التحفيز'!$G$5:$G$2004,MATCH($K150,'سجل التحفيز'!$Y$5:$Y$2004,0)))</f>
        <v/>
      </c>
    </row>
    <row r="151">
      <c r="B151" s="34">
        <f>IFERROR(INDEX(الموظفات!$B$5:$B$304,MATCH(114,الموظفات!$S$5:$S$304,0)),"")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التحفيز'!$Y$5:$Y$2004,"&gt;0",'سجل التحفيز'!$B$5:$B$2004,B151))</f>
        <v/>
      </c>
      <c r="E151" s="35">
        <f>IF(B151="","",COUNTIFS('سجل التحفيز'!$Y$5:$Y$2004,"&gt;0",'سجل التحفيز'!$B$5:$B$2004,B151,'سجل التحفيز'!$D$5:$D$2004,"ذهبي"))</f>
        <v/>
      </c>
      <c r="F151" s="35">
        <f>IF(B151="","",SUMIFS('سجل التحفيز'!$G$5:$G$2004,'سجل التحفيز'!$Y$5:$Y$2004,"&gt;0",'سجل التحفيز'!$B$5:$B$2004,B151))</f>
        <v/>
      </c>
      <c r="G151" s="35">
        <f>IF(B151="","",COUNTIF($D$38:$D$187,"&gt;"&amp;D151)+1)</f>
        <v/>
      </c>
      <c r="H151" s="35">
        <f>IF(B151="","",INDEX(الموظفات!$L$5:$L$304,MATCH(B151,الموظفات!$B$5:$B$304,0)))</f>
        <v/>
      </c>
      <c r="K151" s="36">
        <f>IF(114&gt;$B$10,"",114)</f>
        <v/>
      </c>
      <c r="L151" s="37">
        <f>IF($K151="","",INDEX('سجل التحفيز'!$A$5:$A$2004,MATCH($K151,'سجل التحفيز'!$Y$5:$Y$2004,0)))</f>
        <v/>
      </c>
      <c r="M151" s="9">
        <f>IF($K151="","",INDEX('سجل التحفيز'!$B$5:$B$2004,MATCH($K151,'سجل التحفيز'!$Y$5:$Y$2004,0)))</f>
        <v/>
      </c>
      <c r="N151" s="9">
        <f>IF($K151="","",INDEX('سجل التحفيز'!$M$5:$M$2004,MATCH($K151,'سجل التحفيز'!$Y$5:$Y$2004,0)))</f>
        <v/>
      </c>
      <c r="O151" s="9">
        <f>IF($K151="","",INDEX('سجل التحفيز'!$C$5:$C$2004,MATCH($K151,'سجل التحفيز'!$Y$5:$Y$2004,0)))</f>
        <v/>
      </c>
      <c r="P151" s="36">
        <f>IF($K151="","",INDEX('سجل التحفيز'!$D$5:$D$2004,MATCH($K151,'سجل التحفيز'!$Y$5:$Y$2004,0)))</f>
        <v/>
      </c>
      <c r="Q151" s="9">
        <f>IF($K151="","",INDEX('سجل التحفيز'!$E$5:$E$2004,MATCH($K151,'سجل التحفيز'!$Y$5:$Y$2004,0)))</f>
        <v/>
      </c>
      <c r="R151" s="9">
        <f>IF($K151="","",INDEX('سجل التحفيز'!$F$5:$F$2004,MATCH($K151,'سجل التحفيز'!$Y$5:$Y$2004,0)))</f>
        <v/>
      </c>
      <c r="S151" s="35">
        <f>IF($K151="","",INDEX('سجل التحفيز'!$G$5:$G$2004,MATCH($K151,'سجل التحفيز'!$Y$5:$Y$2004,0)))</f>
        <v/>
      </c>
    </row>
    <row r="152">
      <c r="B152" s="34">
        <f>IFERROR(INDEX(الموظفات!$B$5:$B$304,MATCH(115,الموظفات!$S$5:$S$304,0)),"")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التحفيز'!$Y$5:$Y$2004,"&gt;0",'سجل التحفيز'!$B$5:$B$2004,B152))</f>
        <v/>
      </c>
      <c r="E152" s="35">
        <f>IF(B152="","",COUNTIFS('سجل التحفيز'!$Y$5:$Y$2004,"&gt;0",'سجل التحفيز'!$B$5:$B$2004,B152,'سجل التحفيز'!$D$5:$D$2004,"ذهبي"))</f>
        <v/>
      </c>
      <c r="F152" s="35">
        <f>IF(B152="","",SUMIFS('سجل التحفيز'!$G$5:$G$2004,'سجل التحفيز'!$Y$5:$Y$2004,"&gt;0",'سجل التحفيز'!$B$5:$B$2004,B152))</f>
        <v/>
      </c>
      <c r="G152" s="35">
        <f>IF(B152="","",COUNTIF($D$38:$D$187,"&gt;"&amp;D152)+1)</f>
        <v/>
      </c>
      <c r="H152" s="35">
        <f>IF(B152="","",INDEX(الموظفات!$L$5:$L$304,MATCH(B152,الموظفات!$B$5:$B$304,0)))</f>
        <v/>
      </c>
      <c r="K152" s="36">
        <f>IF(115&gt;$B$10,"",115)</f>
        <v/>
      </c>
      <c r="L152" s="37">
        <f>IF($K152="","",INDEX('سجل التحفيز'!$A$5:$A$2004,MATCH($K152,'سجل التحفيز'!$Y$5:$Y$2004,0)))</f>
        <v/>
      </c>
      <c r="M152" s="9">
        <f>IF($K152="","",INDEX('سجل التحفيز'!$B$5:$B$2004,MATCH($K152,'سجل التحفيز'!$Y$5:$Y$2004,0)))</f>
        <v/>
      </c>
      <c r="N152" s="9">
        <f>IF($K152="","",INDEX('سجل التحفيز'!$M$5:$M$2004,MATCH($K152,'سجل التحفيز'!$Y$5:$Y$2004,0)))</f>
        <v/>
      </c>
      <c r="O152" s="9">
        <f>IF($K152="","",INDEX('سجل التحفيز'!$C$5:$C$2004,MATCH($K152,'سجل التحفيز'!$Y$5:$Y$2004,0)))</f>
        <v/>
      </c>
      <c r="P152" s="36">
        <f>IF($K152="","",INDEX('سجل التحفيز'!$D$5:$D$2004,MATCH($K152,'سجل التحفيز'!$Y$5:$Y$2004,0)))</f>
        <v/>
      </c>
      <c r="Q152" s="9">
        <f>IF($K152="","",INDEX('سجل التحفيز'!$E$5:$E$2004,MATCH($K152,'سجل التحفيز'!$Y$5:$Y$2004,0)))</f>
        <v/>
      </c>
      <c r="R152" s="9">
        <f>IF($K152="","",INDEX('سجل التحفيز'!$F$5:$F$2004,MATCH($K152,'سجل التحفيز'!$Y$5:$Y$2004,0)))</f>
        <v/>
      </c>
      <c r="S152" s="35">
        <f>IF($K152="","",INDEX('سجل التحفيز'!$G$5:$G$2004,MATCH($K152,'سجل التحفيز'!$Y$5:$Y$2004,0)))</f>
        <v/>
      </c>
    </row>
    <row r="153">
      <c r="B153" s="34">
        <f>IFERROR(INDEX(الموظفات!$B$5:$B$304,MATCH(116,الموظفات!$S$5:$S$304,0)),"")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التحفيز'!$Y$5:$Y$2004,"&gt;0",'سجل التحفيز'!$B$5:$B$2004,B153))</f>
        <v/>
      </c>
      <c r="E153" s="35">
        <f>IF(B153="","",COUNTIFS('سجل التحفيز'!$Y$5:$Y$2004,"&gt;0",'سجل التحفيز'!$B$5:$B$2004,B153,'سجل التحفيز'!$D$5:$D$2004,"ذهبي"))</f>
        <v/>
      </c>
      <c r="F153" s="35">
        <f>IF(B153="","",SUMIFS('سجل التحفيز'!$G$5:$G$2004,'سجل التحفيز'!$Y$5:$Y$2004,"&gt;0",'سجل التحفيز'!$B$5:$B$2004,B153))</f>
        <v/>
      </c>
      <c r="G153" s="35">
        <f>IF(B153="","",COUNTIF($D$38:$D$187,"&gt;"&amp;D153)+1)</f>
        <v/>
      </c>
      <c r="H153" s="35">
        <f>IF(B153="","",INDEX(الموظفات!$L$5:$L$304,MATCH(B153,الموظفات!$B$5:$B$304,0)))</f>
        <v/>
      </c>
      <c r="K153" s="36">
        <f>IF(116&gt;$B$10,"",116)</f>
        <v/>
      </c>
      <c r="L153" s="37">
        <f>IF($K153="","",INDEX('سجل التحفيز'!$A$5:$A$2004,MATCH($K153,'سجل التحفيز'!$Y$5:$Y$2004,0)))</f>
        <v/>
      </c>
      <c r="M153" s="9">
        <f>IF($K153="","",INDEX('سجل التحفيز'!$B$5:$B$2004,MATCH($K153,'سجل التحفيز'!$Y$5:$Y$2004,0)))</f>
        <v/>
      </c>
      <c r="N153" s="9">
        <f>IF($K153="","",INDEX('سجل التحفيز'!$M$5:$M$2004,MATCH($K153,'سجل التحفيز'!$Y$5:$Y$2004,0)))</f>
        <v/>
      </c>
      <c r="O153" s="9">
        <f>IF($K153="","",INDEX('سجل التحفيز'!$C$5:$C$2004,MATCH($K153,'سجل التحفيز'!$Y$5:$Y$2004,0)))</f>
        <v/>
      </c>
      <c r="P153" s="36">
        <f>IF($K153="","",INDEX('سجل التحفيز'!$D$5:$D$2004,MATCH($K153,'سجل التحفيز'!$Y$5:$Y$2004,0)))</f>
        <v/>
      </c>
      <c r="Q153" s="9">
        <f>IF($K153="","",INDEX('سجل التحفيز'!$E$5:$E$2004,MATCH($K153,'سجل التحفيز'!$Y$5:$Y$2004,0)))</f>
        <v/>
      </c>
      <c r="R153" s="9">
        <f>IF($K153="","",INDEX('سجل التحفيز'!$F$5:$F$2004,MATCH($K153,'سجل التحفيز'!$Y$5:$Y$2004,0)))</f>
        <v/>
      </c>
      <c r="S153" s="35">
        <f>IF($K153="","",INDEX('سجل التحفيز'!$G$5:$G$2004,MATCH($K153,'سجل التحفيز'!$Y$5:$Y$2004,0)))</f>
        <v/>
      </c>
    </row>
    <row r="154">
      <c r="B154" s="34">
        <f>IFERROR(INDEX(الموظفات!$B$5:$B$304,MATCH(117,الموظفات!$S$5:$S$304,0)),"")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التحفيز'!$Y$5:$Y$2004,"&gt;0",'سجل التحفيز'!$B$5:$B$2004,B154))</f>
        <v/>
      </c>
      <c r="E154" s="35">
        <f>IF(B154="","",COUNTIFS('سجل التحفيز'!$Y$5:$Y$2004,"&gt;0",'سجل التحفيز'!$B$5:$B$2004,B154,'سجل التحفيز'!$D$5:$D$2004,"ذهبي"))</f>
        <v/>
      </c>
      <c r="F154" s="35">
        <f>IF(B154="","",SUMIFS('سجل التحفيز'!$G$5:$G$2004,'سجل التحفيز'!$Y$5:$Y$2004,"&gt;0",'سجل التحفيز'!$B$5:$B$2004,B154))</f>
        <v/>
      </c>
      <c r="G154" s="35">
        <f>IF(B154="","",COUNTIF($D$38:$D$187,"&gt;"&amp;D154)+1)</f>
        <v/>
      </c>
      <c r="H154" s="35">
        <f>IF(B154="","",INDEX(الموظفات!$L$5:$L$304,MATCH(B154,الموظفات!$B$5:$B$304,0)))</f>
        <v/>
      </c>
      <c r="K154" s="36">
        <f>IF(117&gt;$B$10,"",117)</f>
        <v/>
      </c>
      <c r="L154" s="37">
        <f>IF($K154="","",INDEX('سجل التحفيز'!$A$5:$A$2004,MATCH($K154,'سجل التحفيز'!$Y$5:$Y$2004,0)))</f>
        <v/>
      </c>
      <c r="M154" s="9">
        <f>IF($K154="","",INDEX('سجل التحفيز'!$B$5:$B$2004,MATCH($K154,'سجل التحفيز'!$Y$5:$Y$2004,0)))</f>
        <v/>
      </c>
      <c r="N154" s="9">
        <f>IF($K154="","",INDEX('سجل التحفيز'!$M$5:$M$2004,MATCH($K154,'سجل التحفيز'!$Y$5:$Y$2004,0)))</f>
        <v/>
      </c>
      <c r="O154" s="9">
        <f>IF($K154="","",INDEX('سجل التحفيز'!$C$5:$C$2004,MATCH($K154,'سجل التحفيز'!$Y$5:$Y$2004,0)))</f>
        <v/>
      </c>
      <c r="P154" s="36">
        <f>IF($K154="","",INDEX('سجل التحفيز'!$D$5:$D$2004,MATCH($K154,'سجل التحفيز'!$Y$5:$Y$2004,0)))</f>
        <v/>
      </c>
      <c r="Q154" s="9">
        <f>IF($K154="","",INDEX('سجل التحفيز'!$E$5:$E$2004,MATCH($K154,'سجل التحفيز'!$Y$5:$Y$2004,0)))</f>
        <v/>
      </c>
      <c r="R154" s="9">
        <f>IF($K154="","",INDEX('سجل التحفيز'!$F$5:$F$2004,MATCH($K154,'سجل التحفيز'!$Y$5:$Y$2004,0)))</f>
        <v/>
      </c>
      <c r="S154" s="35">
        <f>IF($K154="","",INDEX('سجل التحفيز'!$G$5:$G$2004,MATCH($K154,'سجل التحفيز'!$Y$5:$Y$2004,0)))</f>
        <v/>
      </c>
    </row>
    <row r="155">
      <c r="B155" s="34">
        <f>IFERROR(INDEX(الموظفات!$B$5:$B$304,MATCH(118,الموظفات!$S$5:$S$304,0)),"")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التحفيز'!$Y$5:$Y$2004,"&gt;0",'سجل التحفيز'!$B$5:$B$2004,B155))</f>
        <v/>
      </c>
      <c r="E155" s="35">
        <f>IF(B155="","",COUNTIFS('سجل التحفيز'!$Y$5:$Y$2004,"&gt;0",'سجل التحفيز'!$B$5:$B$2004,B155,'سجل التحفيز'!$D$5:$D$2004,"ذهبي"))</f>
        <v/>
      </c>
      <c r="F155" s="35">
        <f>IF(B155="","",SUMIFS('سجل التحفيز'!$G$5:$G$2004,'سجل التحفيز'!$Y$5:$Y$2004,"&gt;0",'سجل التحفيز'!$B$5:$B$2004,B155))</f>
        <v/>
      </c>
      <c r="G155" s="35">
        <f>IF(B155="","",COUNTIF($D$38:$D$187,"&gt;"&amp;D155)+1)</f>
        <v/>
      </c>
      <c r="H155" s="35">
        <f>IF(B155="","",INDEX(الموظفات!$L$5:$L$304,MATCH(B155,الموظفات!$B$5:$B$304,0)))</f>
        <v/>
      </c>
      <c r="K155" s="36">
        <f>IF(118&gt;$B$10,"",118)</f>
        <v/>
      </c>
      <c r="L155" s="37">
        <f>IF($K155="","",INDEX('سجل التحفيز'!$A$5:$A$2004,MATCH($K155,'سجل التحفيز'!$Y$5:$Y$2004,0)))</f>
        <v/>
      </c>
      <c r="M155" s="9">
        <f>IF($K155="","",INDEX('سجل التحفيز'!$B$5:$B$2004,MATCH($K155,'سجل التحفيز'!$Y$5:$Y$2004,0)))</f>
        <v/>
      </c>
      <c r="N155" s="9">
        <f>IF($K155="","",INDEX('سجل التحفيز'!$M$5:$M$2004,MATCH($K155,'سجل التحفيز'!$Y$5:$Y$2004,0)))</f>
        <v/>
      </c>
      <c r="O155" s="9">
        <f>IF($K155="","",INDEX('سجل التحفيز'!$C$5:$C$2004,MATCH($K155,'سجل التحفيز'!$Y$5:$Y$2004,0)))</f>
        <v/>
      </c>
      <c r="P155" s="36">
        <f>IF($K155="","",INDEX('سجل التحفيز'!$D$5:$D$2004,MATCH($K155,'سجل التحفيز'!$Y$5:$Y$2004,0)))</f>
        <v/>
      </c>
      <c r="Q155" s="9">
        <f>IF($K155="","",INDEX('سجل التحفيز'!$E$5:$E$2004,MATCH($K155,'سجل التحفيز'!$Y$5:$Y$2004,0)))</f>
        <v/>
      </c>
      <c r="R155" s="9">
        <f>IF($K155="","",INDEX('سجل التحفيز'!$F$5:$F$2004,MATCH($K155,'سجل التحفيز'!$Y$5:$Y$2004,0)))</f>
        <v/>
      </c>
      <c r="S155" s="35">
        <f>IF($K155="","",INDEX('سجل التحفيز'!$G$5:$G$2004,MATCH($K155,'سجل التحفيز'!$Y$5:$Y$2004,0)))</f>
        <v/>
      </c>
    </row>
    <row r="156">
      <c r="B156" s="34">
        <f>IFERROR(INDEX(الموظفات!$B$5:$B$304,MATCH(119,الموظفات!$S$5:$S$304,0)),"")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التحفيز'!$Y$5:$Y$2004,"&gt;0",'سجل التحفيز'!$B$5:$B$2004,B156))</f>
        <v/>
      </c>
      <c r="E156" s="35">
        <f>IF(B156="","",COUNTIFS('سجل التحفيز'!$Y$5:$Y$2004,"&gt;0",'سجل التحفيز'!$B$5:$B$2004,B156,'سجل التحفيز'!$D$5:$D$2004,"ذهبي"))</f>
        <v/>
      </c>
      <c r="F156" s="35">
        <f>IF(B156="","",SUMIFS('سجل التحفيز'!$G$5:$G$2004,'سجل التحفيز'!$Y$5:$Y$2004,"&gt;0",'سجل التحفيز'!$B$5:$B$2004,B156))</f>
        <v/>
      </c>
      <c r="G156" s="35">
        <f>IF(B156="","",COUNTIF($D$38:$D$187,"&gt;"&amp;D156)+1)</f>
        <v/>
      </c>
      <c r="H156" s="35">
        <f>IF(B156="","",INDEX(الموظفات!$L$5:$L$304,MATCH(B156,الموظفات!$B$5:$B$304,0)))</f>
        <v/>
      </c>
      <c r="K156" s="36">
        <f>IF(119&gt;$B$10,"",119)</f>
        <v/>
      </c>
      <c r="L156" s="37">
        <f>IF($K156="","",INDEX('سجل التحفيز'!$A$5:$A$2004,MATCH($K156,'سجل التحفيز'!$Y$5:$Y$2004,0)))</f>
        <v/>
      </c>
      <c r="M156" s="9">
        <f>IF($K156="","",INDEX('سجل التحفيز'!$B$5:$B$2004,MATCH($K156,'سجل التحفيز'!$Y$5:$Y$2004,0)))</f>
        <v/>
      </c>
      <c r="N156" s="9">
        <f>IF($K156="","",INDEX('سجل التحفيز'!$M$5:$M$2004,MATCH($K156,'سجل التحفيز'!$Y$5:$Y$2004,0)))</f>
        <v/>
      </c>
      <c r="O156" s="9">
        <f>IF($K156="","",INDEX('سجل التحفيز'!$C$5:$C$2004,MATCH($K156,'سجل التحفيز'!$Y$5:$Y$2004,0)))</f>
        <v/>
      </c>
      <c r="P156" s="36">
        <f>IF($K156="","",INDEX('سجل التحفيز'!$D$5:$D$2004,MATCH($K156,'سجل التحفيز'!$Y$5:$Y$2004,0)))</f>
        <v/>
      </c>
      <c r="Q156" s="9">
        <f>IF($K156="","",INDEX('سجل التحفيز'!$E$5:$E$2004,MATCH($K156,'سجل التحفيز'!$Y$5:$Y$2004,0)))</f>
        <v/>
      </c>
      <c r="R156" s="9">
        <f>IF($K156="","",INDEX('سجل التحفيز'!$F$5:$F$2004,MATCH($K156,'سجل التحفيز'!$Y$5:$Y$2004,0)))</f>
        <v/>
      </c>
      <c r="S156" s="35">
        <f>IF($K156="","",INDEX('سجل التحفيز'!$G$5:$G$2004,MATCH($K156,'سجل التحفيز'!$Y$5:$Y$2004,0)))</f>
        <v/>
      </c>
    </row>
    <row r="157">
      <c r="B157" s="34">
        <f>IFERROR(INDEX(الموظفات!$B$5:$B$304,MATCH(120,الموظفات!$S$5:$S$304,0)),"")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التحفيز'!$Y$5:$Y$2004,"&gt;0",'سجل التحفيز'!$B$5:$B$2004,B157))</f>
        <v/>
      </c>
      <c r="E157" s="35">
        <f>IF(B157="","",COUNTIFS('سجل التحفيز'!$Y$5:$Y$2004,"&gt;0",'سجل التحفيز'!$B$5:$B$2004,B157,'سجل التحفيز'!$D$5:$D$2004,"ذهبي"))</f>
        <v/>
      </c>
      <c r="F157" s="35">
        <f>IF(B157="","",SUMIFS('سجل التحفيز'!$G$5:$G$2004,'سجل التحفيز'!$Y$5:$Y$2004,"&gt;0",'سجل التحفيز'!$B$5:$B$2004,B157))</f>
        <v/>
      </c>
      <c r="G157" s="35">
        <f>IF(B157="","",COUNTIF($D$38:$D$187,"&gt;"&amp;D157)+1)</f>
        <v/>
      </c>
      <c r="H157" s="35">
        <f>IF(B157="","",INDEX(الموظفات!$L$5:$L$304,MATCH(B157,الموظفات!$B$5:$B$304,0)))</f>
        <v/>
      </c>
      <c r="K157" s="36">
        <f>IF(120&gt;$B$10,"",120)</f>
        <v/>
      </c>
      <c r="L157" s="37">
        <f>IF($K157="","",INDEX('سجل التحفيز'!$A$5:$A$2004,MATCH($K157,'سجل التحفيز'!$Y$5:$Y$2004,0)))</f>
        <v/>
      </c>
      <c r="M157" s="9">
        <f>IF($K157="","",INDEX('سجل التحفيز'!$B$5:$B$2004,MATCH($K157,'سجل التحفيز'!$Y$5:$Y$2004,0)))</f>
        <v/>
      </c>
      <c r="N157" s="9">
        <f>IF($K157="","",INDEX('سجل التحفيز'!$M$5:$M$2004,MATCH($K157,'سجل التحفيز'!$Y$5:$Y$2004,0)))</f>
        <v/>
      </c>
      <c r="O157" s="9">
        <f>IF($K157="","",INDEX('سجل التحفيز'!$C$5:$C$2004,MATCH($K157,'سجل التحفيز'!$Y$5:$Y$2004,0)))</f>
        <v/>
      </c>
      <c r="P157" s="36">
        <f>IF($K157="","",INDEX('سجل التحفيز'!$D$5:$D$2004,MATCH($K157,'سجل التحفيز'!$Y$5:$Y$2004,0)))</f>
        <v/>
      </c>
      <c r="Q157" s="9">
        <f>IF($K157="","",INDEX('سجل التحفيز'!$E$5:$E$2004,MATCH($K157,'سجل التحفيز'!$Y$5:$Y$2004,0)))</f>
        <v/>
      </c>
      <c r="R157" s="9">
        <f>IF($K157="","",INDEX('سجل التحفيز'!$F$5:$F$2004,MATCH($K157,'سجل التحفيز'!$Y$5:$Y$2004,0)))</f>
        <v/>
      </c>
      <c r="S157" s="35">
        <f>IF($K157="","",INDEX('سجل التحفيز'!$G$5:$G$2004,MATCH($K157,'سجل التحفيز'!$Y$5:$Y$2004,0)))</f>
        <v/>
      </c>
    </row>
    <row r="158">
      <c r="B158" s="34">
        <f>IFERROR(INDEX(الموظفات!$B$5:$B$304,MATCH(121,الموظفات!$S$5:$S$304,0)),"")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التحفيز'!$Y$5:$Y$2004,"&gt;0",'سجل التحفيز'!$B$5:$B$2004,B158))</f>
        <v/>
      </c>
      <c r="E158" s="35">
        <f>IF(B158="","",COUNTIFS('سجل التحفيز'!$Y$5:$Y$2004,"&gt;0",'سجل التحفيز'!$B$5:$B$2004,B158,'سجل التحفيز'!$D$5:$D$2004,"ذهبي"))</f>
        <v/>
      </c>
      <c r="F158" s="35">
        <f>IF(B158="","",SUMIFS('سجل التحفيز'!$G$5:$G$2004,'سجل التحفيز'!$Y$5:$Y$2004,"&gt;0",'سجل التحفيز'!$B$5:$B$2004,B158))</f>
        <v/>
      </c>
      <c r="G158" s="35">
        <f>IF(B158="","",COUNTIF($D$38:$D$187,"&gt;"&amp;D158)+1)</f>
        <v/>
      </c>
      <c r="H158" s="35">
        <f>IF(B158="","",INDEX(الموظفات!$L$5:$L$304,MATCH(B158,الموظفات!$B$5:$B$304,0)))</f>
        <v/>
      </c>
      <c r="K158" s="36">
        <f>IF(121&gt;$B$10,"",121)</f>
        <v/>
      </c>
      <c r="L158" s="37">
        <f>IF($K158="","",INDEX('سجل التحفيز'!$A$5:$A$2004,MATCH($K158,'سجل التحفيز'!$Y$5:$Y$2004,0)))</f>
        <v/>
      </c>
      <c r="M158" s="9">
        <f>IF($K158="","",INDEX('سجل التحفيز'!$B$5:$B$2004,MATCH($K158,'سجل التحفيز'!$Y$5:$Y$2004,0)))</f>
        <v/>
      </c>
      <c r="N158" s="9">
        <f>IF($K158="","",INDEX('سجل التحفيز'!$M$5:$M$2004,MATCH($K158,'سجل التحفيز'!$Y$5:$Y$2004,0)))</f>
        <v/>
      </c>
      <c r="O158" s="9">
        <f>IF($K158="","",INDEX('سجل التحفيز'!$C$5:$C$2004,MATCH($K158,'سجل التحفيز'!$Y$5:$Y$2004,0)))</f>
        <v/>
      </c>
      <c r="P158" s="36">
        <f>IF($K158="","",INDEX('سجل التحفيز'!$D$5:$D$2004,MATCH($K158,'سجل التحفيز'!$Y$5:$Y$2004,0)))</f>
        <v/>
      </c>
      <c r="Q158" s="9">
        <f>IF($K158="","",INDEX('سجل التحفيز'!$E$5:$E$2004,MATCH($K158,'سجل التحفيز'!$Y$5:$Y$2004,0)))</f>
        <v/>
      </c>
      <c r="R158" s="9">
        <f>IF($K158="","",INDEX('سجل التحفيز'!$F$5:$F$2004,MATCH($K158,'سجل التحفيز'!$Y$5:$Y$2004,0)))</f>
        <v/>
      </c>
      <c r="S158" s="35">
        <f>IF($K158="","",INDEX('سجل التحفيز'!$G$5:$G$2004,MATCH($K158,'سجل التحفيز'!$Y$5:$Y$2004,0)))</f>
        <v/>
      </c>
    </row>
    <row r="159">
      <c r="B159" s="34">
        <f>IFERROR(INDEX(الموظفات!$B$5:$B$304,MATCH(122,الموظفات!$S$5:$S$304,0)),"")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التحفيز'!$Y$5:$Y$2004,"&gt;0",'سجل التحفيز'!$B$5:$B$2004,B159))</f>
        <v/>
      </c>
      <c r="E159" s="35">
        <f>IF(B159="","",COUNTIFS('سجل التحفيز'!$Y$5:$Y$2004,"&gt;0",'سجل التحفيز'!$B$5:$B$2004,B159,'سجل التحفيز'!$D$5:$D$2004,"ذهبي"))</f>
        <v/>
      </c>
      <c r="F159" s="35">
        <f>IF(B159="","",SUMIFS('سجل التحفيز'!$G$5:$G$2004,'سجل التحفيز'!$Y$5:$Y$2004,"&gt;0",'سجل التحفيز'!$B$5:$B$2004,B159))</f>
        <v/>
      </c>
      <c r="G159" s="35">
        <f>IF(B159="","",COUNTIF($D$38:$D$187,"&gt;"&amp;D159)+1)</f>
        <v/>
      </c>
      <c r="H159" s="35">
        <f>IF(B159="","",INDEX(الموظفات!$L$5:$L$304,MATCH(B159,الموظفات!$B$5:$B$304,0)))</f>
        <v/>
      </c>
      <c r="K159" s="36">
        <f>IF(122&gt;$B$10,"",122)</f>
        <v/>
      </c>
      <c r="L159" s="37">
        <f>IF($K159="","",INDEX('سجل التحفيز'!$A$5:$A$2004,MATCH($K159,'سجل التحفيز'!$Y$5:$Y$2004,0)))</f>
        <v/>
      </c>
      <c r="M159" s="9">
        <f>IF($K159="","",INDEX('سجل التحفيز'!$B$5:$B$2004,MATCH($K159,'سجل التحفيز'!$Y$5:$Y$2004,0)))</f>
        <v/>
      </c>
      <c r="N159" s="9">
        <f>IF($K159="","",INDEX('سجل التحفيز'!$M$5:$M$2004,MATCH($K159,'سجل التحفيز'!$Y$5:$Y$2004,0)))</f>
        <v/>
      </c>
      <c r="O159" s="9">
        <f>IF($K159="","",INDEX('سجل التحفيز'!$C$5:$C$2004,MATCH($K159,'سجل التحفيز'!$Y$5:$Y$2004,0)))</f>
        <v/>
      </c>
      <c r="P159" s="36">
        <f>IF($K159="","",INDEX('سجل التحفيز'!$D$5:$D$2004,MATCH($K159,'سجل التحفيز'!$Y$5:$Y$2004,0)))</f>
        <v/>
      </c>
      <c r="Q159" s="9">
        <f>IF($K159="","",INDEX('سجل التحفيز'!$E$5:$E$2004,MATCH($K159,'سجل التحفيز'!$Y$5:$Y$2004,0)))</f>
        <v/>
      </c>
      <c r="R159" s="9">
        <f>IF($K159="","",INDEX('سجل التحفيز'!$F$5:$F$2004,MATCH($K159,'سجل التحفيز'!$Y$5:$Y$2004,0)))</f>
        <v/>
      </c>
      <c r="S159" s="35">
        <f>IF($K159="","",INDEX('سجل التحفيز'!$G$5:$G$2004,MATCH($K159,'سجل التحفيز'!$Y$5:$Y$2004,0)))</f>
        <v/>
      </c>
    </row>
    <row r="160">
      <c r="B160" s="34">
        <f>IFERROR(INDEX(الموظفات!$B$5:$B$304,MATCH(123,الموظفات!$S$5:$S$304,0)),"")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التحفيز'!$Y$5:$Y$2004,"&gt;0",'سجل التحفيز'!$B$5:$B$2004,B160))</f>
        <v/>
      </c>
      <c r="E160" s="35">
        <f>IF(B160="","",COUNTIFS('سجل التحفيز'!$Y$5:$Y$2004,"&gt;0",'سجل التحفيز'!$B$5:$B$2004,B160,'سجل التحفيز'!$D$5:$D$2004,"ذهبي"))</f>
        <v/>
      </c>
      <c r="F160" s="35">
        <f>IF(B160="","",SUMIFS('سجل التحفيز'!$G$5:$G$2004,'سجل التحفيز'!$Y$5:$Y$2004,"&gt;0",'سجل التحفيز'!$B$5:$B$2004,B160))</f>
        <v/>
      </c>
      <c r="G160" s="35">
        <f>IF(B160="","",COUNTIF($D$38:$D$187,"&gt;"&amp;D160)+1)</f>
        <v/>
      </c>
      <c r="H160" s="35">
        <f>IF(B160="","",INDEX(الموظفات!$L$5:$L$304,MATCH(B160,الموظفات!$B$5:$B$304,0)))</f>
        <v/>
      </c>
      <c r="K160" s="36">
        <f>IF(123&gt;$B$10,"",123)</f>
        <v/>
      </c>
      <c r="L160" s="37">
        <f>IF($K160="","",INDEX('سجل التحفيز'!$A$5:$A$2004,MATCH($K160,'سجل التحفيز'!$Y$5:$Y$2004,0)))</f>
        <v/>
      </c>
      <c r="M160" s="9">
        <f>IF($K160="","",INDEX('سجل التحفيز'!$B$5:$B$2004,MATCH($K160,'سجل التحفيز'!$Y$5:$Y$2004,0)))</f>
        <v/>
      </c>
      <c r="N160" s="9">
        <f>IF($K160="","",INDEX('سجل التحفيز'!$M$5:$M$2004,MATCH($K160,'سجل التحفيز'!$Y$5:$Y$2004,0)))</f>
        <v/>
      </c>
      <c r="O160" s="9">
        <f>IF($K160="","",INDEX('سجل التحفيز'!$C$5:$C$2004,MATCH($K160,'سجل التحفيز'!$Y$5:$Y$2004,0)))</f>
        <v/>
      </c>
      <c r="P160" s="36">
        <f>IF($K160="","",INDEX('سجل التحفيز'!$D$5:$D$2004,MATCH($K160,'سجل التحفيز'!$Y$5:$Y$2004,0)))</f>
        <v/>
      </c>
      <c r="Q160" s="9">
        <f>IF($K160="","",INDEX('سجل التحفيز'!$E$5:$E$2004,MATCH($K160,'سجل التحفيز'!$Y$5:$Y$2004,0)))</f>
        <v/>
      </c>
      <c r="R160" s="9">
        <f>IF($K160="","",INDEX('سجل التحفيز'!$F$5:$F$2004,MATCH($K160,'سجل التحفيز'!$Y$5:$Y$2004,0)))</f>
        <v/>
      </c>
      <c r="S160" s="35">
        <f>IF($K160="","",INDEX('سجل التحفيز'!$G$5:$G$2004,MATCH($K160,'سجل التحفيز'!$Y$5:$Y$2004,0)))</f>
        <v/>
      </c>
    </row>
    <row r="161">
      <c r="B161" s="34">
        <f>IFERROR(INDEX(الموظفات!$B$5:$B$304,MATCH(124,الموظفات!$S$5:$S$304,0)),"")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التحفيز'!$Y$5:$Y$2004,"&gt;0",'سجل التحفيز'!$B$5:$B$2004,B161))</f>
        <v/>
      </c>
      <c r="E161" s="35">
        <f>IF(B161="","",COUNTIFS('سجل التحفيز'!$Y$5:$Y$2004,"&gt;0",'سجل التحفيز'!$B$5:$B$2004,B161,'سجل التحفيز'!$D$5:$D$2004,"ذهبي"))</f>
        <v/>
      </c>
      <c r="F161" s="35">
        <f>IF(B161="","",SUMIFS('سجل التحفيز'!$G$5:$G$2004,'سجل التحفيز'!$Y$5:$Y$2004,"&gt;0",'سجل التحفيز'!$B$5:$B$2004,B161))</f>
        <v/>
      </c>
      <c r="G161" s="35">
        <f>IF(B161="","",COUNTIF($D$38:$D$187,"&gt;"&amp;D161)+1)</f>
        <v/>
      </c>
      <c r="H161" s="35">
        <f>IF(B161="","",INDEX(الموظفات!$L$5:$L$304,MATCH(B161,الموظفات!$B$5:$B$304,0)))</f>
        <v/>
      </c>
      <c r="K161" s="36">
        <f>IF(124&gt;$B$10,"",124)</f>
        <v/>
      </c>
      <c r="L161" s="37">
        <f>IF($K161="","",INDEX('سجل التحفيز'!$A$5:$A$2004,MATCH($K161,'سجل التحفيز'!$Y$5:$Y$2004,0)))</f>
        <v/>
      </c>
      <c r="M161" s="9">
        <f>IF($K161="","",INDEX('سجل التحفيز'!$B$5:$B$2004,MATCH($K161,'سجل التحفيز'!$Y$5:$Y$2004,0)))</f>
        <v/>
      </c>
      <c r="N161" s="9">
        <f>IF($K161="","",INDEX('سجل التحفيز'!$M$5:$M$2004,MATCH($K161,'سجل التحفيز'!$Y$5:$Y$2004,0)))</f>
        <v/>
      </c>
      <c r="O161" s="9">
        <f>IF($K161="","",INDEX('سجل التحفيز'!$C$5:$C$2004,MATCH($K161,'سجل التحفيز'!$Y$5:$Y$2004,0)))</f>
        <v/>
      </c>
      <c r="P161" s="36">
        <f>IF($K161="","",INDEX('سجل التحفيز'!$D$5:$D$2004,MATCH($K161,'سجل التحفيز'!$Y$5:$Y$2004,0)))</f>
        <v/>
      </c>
      <c r="Q161" s="9">
        <f>IF($K161="","",INDEX('سجل التحفيز'!$E$5:$E$2004,MATCH($K161,'سجل التحفيز'!$Y$5:$Y$2004,0)))</f>
        <v/>
      </c>
      <c r="R161" s="9">
        <f>IF($K161="","",INDEX('سجل التحفيز'!$F$5:$F$2004,MATCH($K161,'سجل التحفيز'!$Y$5:$Y$2004,0)))</f>
        <v/>
      </c>
      <c r="S161" s="35">
        <f>IF($K161="","",INDEX('سجل التحفيز'!$G$5:$G$2004,MATCH($K161,'سجل التحفيز'!$Y$5:$Y$2004,0)))</f>
        <v/>
      </c>
    </row>
    <row r="162">
      <c r="B162" s="34">
        <f>IFERROR(INDEX(الموظفات!$B$5:$B$304,MATCH(125,الموظفات!$S$5:$S$304,0)),"")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التحفيز'!$Y$5:$Y$2004,"&gt;0",'سجل التحفيز'!$B$5:$B$2004,B162))</f>
        <v/>
      </c>
      <c r="E162" s="35">
        <f>IF(B162="","",COUNTIFS('سجل التحفيز'!$Y$5:$Y$2004,"&gt;0",'سجل التحفيز'!$B$5:$B$2004,B162,'سجل التحفيز'!$D$5:$D$2004,"ذهبي"))</f>
        <v/>
      </c>
      <c r="F162" s="35">
        <f>IF(B162="","",SUMIFS('سجل التحفيز'!$G$5:$G$2004,'سجل التحفيز'!$Y$5:$Y$2004,"&gt;0",'سجل التحفيز'!$B$5:$B$2004,B162))</f>
        <v/>
      </c>
      <c r="G162" s="35">
        <f>IF(B162="","",COUNTIF($D$38:$D$187,"&gt;"&amp;D162)+1)</f>
        <v/>
      </c>
      <c r="H162" s="35">
        <f>IF(B162="","",INDEX(الموظفات!$L$5:$L$304,MATCH(B162,الموظفات!$B$5:$B$304,0)))</f>
        <v/>
      </c>
      <c r="K162" s="36">
        <f>IF(125&gt;$B$10,"",125)</f>
        <v/>
      </c>
      <c r="L162" s="37">
        <f>IF($K162="","",INDEX('سجل التحفيز'!$A$5:$A$2004,MATCH($K162,'سجل التحفيز'!$Y$5:$Y$2004,0)))</f>
        <v/>
      </c>
      <c r="M162" s="9">
        <f>IF($K162="","",INDEX('سجل التحفيز'!$B$5:$B$2004,MATCH($K162,'سجل التحفيز'!$Y$5:$Y$2004,0)))</f>
        <v/>
      </c>
      <c r="N162" s="9">
        <f>IF($K162="","",INDEX('سجل التحفيز'!$M$5:$M$2004,MATCH($K162,'سجل التحفيز'!$Y$5:$Y$2004,0)))</f>
        <v/>
      </c>
      <c r="O162" s="9">
        <f>IF($K162="","",INDEX('سجل التحفيز'!$C$5:$C$2004,MATCH($K162,'سجل التحفيز'!$Y$5:$Y$2004,0)))</f>
        <v/>
      </c>
      <c r="P162" s="36">
        <f>IF($K162="","",INDEX('سجل التحفيز'!$D$5:$D$2004,MATCH($K162,'سجل التحفيز'!$Y$5:$Y$2004,0)))</f>
        <v/>
      </c>
      <c r="Q162" s="9">
        <f>IF($K162="","",INDEX('سجل التحفيز'!$E$5:$E$2004,MATCH($K162,'سجل التحفيز'!$Y$5:$Y$2004,0)))</f>
        <v/>
      </c>
      <c r="R162" s="9">
        <f>IF($K162="","",INDEX('سجل التحفيز'!$F$5:$F$2004,MATCH($K162,'سجل التحفيز'!$Y$5:$Y$2004,0)))</f>
        <v/>
      </c>
      <c r="S162" s="35">
        <f>IF($K162="","",INDEX('سجل التحفيز'!$G$5:$G$2004,MATCH($K162,'سجل التحفيز'!$Y$5:$Y$2004,0)))</f>
        <v/>
      </c>
    </row>
    <row r="163">
      <c r="B163" s="34">
        <f>IFERROR(INDEX(الموظفات!$B$5:$B$304,MATCH(126,الموظفات!$S$5:$S$304,0)),"")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التحفيز'!$Y$5:$Y$2004,"&gt;0",'سجل التحفيز'!$B$5:$B$2004,B163))</f>
        <v/>
      </c>
      <c r="E163" s="35">
        <f>IF(B163="","",COUNTIFS('سجل التحفيز'!$Y$5:$Y$2004,"&gt;0",'سجل التحفيز'!$B$5:$B$2004,B163,'سجل التحفيز'!$D$5:$D$2004,"ذهبي"))</f>
        <v/>
      </c>
      <c r="F163" s="35">
        <f>IF(B163="","",SUMIFS('سجل التحفيز'!$G$5:$G$2004,'سجل التحفيز'!$Y$5:$Y$2004,"&gt;0",'سجل التحفيز'!$B$5:$B$2004,B163))</f>
        <v/>
      </c>
      <c r="G163" s="35">
        <f>IF(B163="","",COUNTIF($D$38:$D$187,"&gt;"&amp;D163)+1)</f>
        <v/>
      </c>
      <c r="H163" s="35">
        <f>IF(B163="","",INDEX(الموظفات!$L$5:$L$304,MATCH(B163,الموظفات!$B$5:$B$304,0)))</f>
        <v/>
      </c>
      <c r="K163" s="36">
        <f>IF(126&gt;$B$10,"",126)</f>
        <v/>
      </c>
      <c r="L163" s="37">
        <f>IF($K163="","",INDEX('سجل التحفيز'!$A$5:$A$2004,MATCH($K163,'سجل التحفيز'!$Y$5:$Y$2004,0)))</f>
        <v/>
      </c>
      <c r="M163" s="9">
        <f>IF($K163="","",INDEX('سجل التحفيز'!$B$5:$B$2004,MATCH($K163,'سجل التحفيز'!$Y$5:$Y$2004,0)))</f>
        <v/>
      </c>
      <c r="N163" s="9">
        <f>IF($K163="","",INDEX('سجل التحفيز'!$M$5:$M$2004,MATCH($K163,'سجل التحفيز'!$Y$5:$Y$2004,0)))</f>
        <v/>
      </c>
      <c r="O163" s="9">
        <f>IF($K163="","",INDEX('سجل التحفيز'!$C$5:$C$2004,MATCH($K163,'سجل التحفيز'!$Y$5:$Y$2004,0)))</f>
        <v/>
      </c>
      <c r="P163" s="36">
        <f>IF($K163="","",INDEX('سجل التحفيز'!$D$5:$D$2004,MATCH($K163,'سجل التحفيز'!$Y$5:$Y$2004,0)))</f>
        <v/>
      </c>
      <c r="Q163" s="9">
        <f>IF($K163="","",INDEX('سجل التحفيز'!$E$5:$E$2004,MATCH($K163,'سجل التحفيز'!$Y$5:$Y$2004,0)))</f>
        <v/>
      </c>
      <c r="R163" s="9">
        <f>IF($K163="","",INDEX('سجل التحفيز'!$F$5:$F$2004,MATCH($K163,'سجل التحفيز'!$Y$5:$Y$2004,0)))</f>
        <v/>
      </c>
      <c r="S163" s="35">
        <f>IF($K163="","",INDEX('سجل التحفيز'!$G$5:$G$2004,MATCH($K163,'سجل التحفيز'!$Y$5:$Y$2004,0)))</f>
        <v/>
      </c>
    </row>
    <row r="164">
      <c r="B164" s="34">
        <f>IFERROR(INDEX(الموظفات!$B$5:$B$304,MATCH(127,الموظفات!$S$5:$S$304,0)),"")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التحفيز'!$Y$5:$Y$2004,"&gt;0",'سجل التحفيز'!$B$5:$B$2004,B164))</f>
        <v/>
      </c>
      <c r="E164" s="35">
        <f>IF(B164="","",COUNTIFS('سجل التحفيز'!$Y$5:$Y$2004,"&gt;0",'سجل التحفيز'!$B$5:$B$2004,B164,'سجل التحفيز'!$D$5:$D$2004,"ذهبي"))</f>
        <v/>
      </c>
      <c r="F164" s="35">
        <f>IF(B164="","",SUMIFS('سجل التحفيز'!$G$5:$G$2004,'سجل التحفيز'!$Y$5:$Y$2004,"&gt;0",'سجل التحفيز'!$B$5:$B$2004,B164))</f>
        <v/>
      </c>
      <c r="G164" s="35">
        <f>IF(B164="","",COUNTIF($D$38:$D$187,"&gt;"&amp;D164)+1)</f>
        <v/>
      </c>
      <c r="H164" s="35">
        <f>IF(B164="","",INDEX(الموظفات!$L$5:$L$304,MATCH(B164,الموظفات!$B$5:$B$304,0)))</f>
        <v/>
      </c>
      <c r="K164" s="36">
        <f>IF(127&gt;$B$10,"",127)</f>
        <v/>
      </c>
      <c r="L164" s="37">
        <f>IF($K164="","",INDEX('سجل التحفيز'!$A$5:$A$2004,MATCH($K164,'سجل التحفيز'!$Y$5:$Y$2004,0)))</f>
        <v/>
      </c>
      <c r="M164" s="9">
        <f>IF($K164="","",INDEX('سجل التحفيز'!$B$5:$B$2004,MATCH($K164,'سجل التحفيز'!$Y$5:$Y$2004,0)))</f>
        <v/>
      </c>
      <c r="N164" s="9">
        <f>IF($K164="","",INDEX('سجل التحفيز'!$M$5:$M$2004,MATCH($K164,'سجل التحفيز'!$Y$5:$Y$2004,0)))</f>
        <v/>
      </c>
      <c r="O164" s="9">
        <f>IF($K164="","",INDEX('سجل التحفيز'!$C$5:$C$2004,MATCH($K164,'سجل التحفيز'!$Y$5:$Y$2004,0)))</f>
        <v/>
      </c>
      <c r="P164" s="36">
        <f>IF($K164="","",INDEX('سجل التحفيز'!$D$5:$D$2004,MATCH($K164,'سجل التحفيز'!$Y$5:$Y$2004,0)))</f>
        <v/>
      </c>
      <c r="Q164" s="9">
        <f>IF($K164="","",INDEX('سجل التحفيز'!$E$5:$E$2004,MATCH($K164,'سجل التحفيز'!$Y$5:$Y$2004,0)))</f>
        <v/>
      </c>
      <c r="R164" s="9">
        <f>IF($K164="","",INDEX('سجل التحفيز'!$F$5:$F$2004,MATCH($K164,'سجل التحفيز'!$Y$5:$Y$2004,0)))</f>
        <v/>
      </c>
      <c r="S164" s="35">
        <f>IF($K164="","",INDEX('سجل التحفيز'!$G$5:$G$2004,MATCH($K164,'سجل التحفيز'!$Y$5:$Y$2004,0)))</f>
        <v/>
      </c>
    </row>
    <row r="165">
      <c r="B165" s="34">
        <f>IFERROR(INDEX(الموظفات!$B$5:$B$304,MATCH(128,الموظفات!$S$5:$S$304,0)),"")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التحفيز'!$Y$5:$Y$2004,"&gt;0",'سجل التحفيز'!$B$5:$B$2004,B165))</f>
        <v/>
      </c>
      <c r="E165" s="35">
        <f>IF(B165="","",COUNTIFS('سجل التحفيز'!$Y$5:$Y$2004,"&gt;0",'سجل التحفيز'!$B$5:$B$2004,B165,'سجل التحفيز'!$D$5:$D$2004,"ذهبي"))</f>
        <v/>
      </c>
      <c r="F165" s="35">
        <f>IF(B165="","",SUMIFS('سجل التحفيز'!$G$5:$G$2004,'سجل التحفيز'!$Y$5:$Y$2004,"&gt;0",'سجل التحفيز'!$B$5:$B$2004,B165))</f>
        <v/>
      </c>
      <c r="G165" s="35">
        <f>IF(B165="","",COUNTIF($D$38:$D$187,"&gt;"&amp;D165)+1)</f>
        <v/>
      </c>
      <c r="H165" s="35">
        <f>IF(B165="","",INDEX(الموظفات!$L$5:$L$304,MATCH(B165,الموظفات!$B$5:$B$304,0)))</f>
        <v/>
      </c>
      <c r="K165" s="36">
        <f>IF(128&gt;$B$10,"",128)</f>
        <v/>
      </c>
      <c r="L165" s="37">
        <f>IF($K165="","",INDEX('سجل التحفيز'!$A$5:$A$2004,MATCH($K165,'سجل التحفيز'!$Y$5:$Y$2004,0)))</f>
        <v/>
      </c>
      <c r="M165" s="9">
        <f>IF($K165="","",INDEX('سجل التحفيز'!$B$5:$B$2004,MATCH($K165,'سجل التحفيز'!$Y$5:$Y$2004,0)))</f>
        <v/>
      </c>
      <c r="N165" s="9">
        <f>IF($K165="","",INDEX('سجل التحفيز'!$M$5:$M$2004,MATCH($K165,'سجل التحفيز'!$Y$5:$Y$2004,0)))</f>
        <v/>
      </c>
      <c r="O165" s="9">
        <f>IF($K165="","",INDEX('سجل التحفيز'!$C$5:$C$2004,MATCH($K165,'سجل التحفيز'!$Y$5:$Y$2004,0)))</f>
        <v/>
      </c>
      <c r="P165" s="36">
        <f>IF($K165="","",INDEX('سجل التحفيز'!$D$5:$D$2004,MATCH($K165,'سجل التحفيز'!$Y$5:$Y$2004,0)))</f>
        <v/>
      </c>
      <c r="Q165" s="9">
        <f>IF($K165="","",INDEX('سجل التحفيز'!$E$5:$E$2004,MATCH($K165,'سجل التحفيز'!$Y$5:$Y$2004,0)))</f>
        <v/>
      </c>
      <c r="R165" s="9">
        <f>IF($K165="","",INDEX('سجل التحفيز'!$F$5:$F$2004,MATCH($K165,'سجل التحفيز'!$Y$5:$Y$2004,0)))</f>
        <v/>
      </c>
      <c r="S165" s="35">
        <f>IF($K165="","",INDEX('سجل التحفيز'!$G$5:$G$2004,MATCH($K165,'سجل التحفيز'!$Y$5:$Y$2004,0)))</f>
        <v/>
      </c>
    </row>
    <row r="166">
      <c r="B166" s="34">
        <f>IFERROR(INDEX(الموظفات!$B$5:$B$304,MATCH(129,الموظفات!$S$5:$S$304,0)),"")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التحفيز'!$Y$5:$Y$2004,"&gt;0",'سجل التحفيز'!$B$5:$B$2004,B166))</f>
        <v/>
      </c>
      <c r="E166" s="35">
        <f>IF(B166="","",COUNTIFS('سجل التحفيز'!$Y$5:$Y$2004,"&gt;0",'سجل التحفيز'!$B$5:$B$2004,B166,'سجل التحفيز'!$D$5:$D$2004,"ذهبي"))</f>
        <v/>
      </c>
      <c r="F166" s="35">
        <f>IF(B166="","",SUMIFS('سجل التحفيز'!$G$5:$G$2004,'سجل التحفيز'!$Y$5:$Y$2004,"&gt;0",'سجل التحفيز'!$B$5:$B$2004,B166))</f>
        <v/>
      </c>
      <c r="G166" s="35">
        <f>IF(B166="","",COUNTIF($D$38:$D$187,"&gt;"&amp;D166)+1)</f>
        <v/>
      </c>
      <c r="H166" s="35">
        <f>IF(B166="","",INDEX(الموظفات!$L$5:$L$304,MATCH(B166,الموظفات!$B$5:$B$304,0)))</f>
        <v/>
      </c>
      <c r="K166" s="36">
        <f>IF(129&gt;$B$10,"",129)</f>
        <v/>
      </c>
      <c r="L166" s="37">
        <f>IF($K166="","",INDEX('سجل التحفيز'!$A$5:$A$2004,MATCH($K166,'سجل التحفيز'!$Y$5:$Y$2004,0)))</f>
        <v/>
      </c>
      <c r="M166" s="9">
        <f>IF($K166="","",INDEX('سجل التحفيز'!$B$5:$B$2004,MATCH($K166,'سجل التحفيز'!$Y$5:$Y$2004,0)))</f>
        <v/>
      </c>
      <c r="N166" s="9">
        <f>IF($K166="","",INDEX('سجل التحفيز'!$M$5:$M$2004,MATCH($K166,'سجل التحفيز'!$Y$5:$Y$2004,0)))</f>
        <v/>
      </c>
      <c r="O166" s="9">
        <f>IF($K166="","",INDEX('سجل التحفيز'!$C$5:$C$2004,MATCH($K166,'سجل التحفيز'!$Y$5:$Y$2004,0)))</f>
        <v/>
      </c>
      <c r="P166" s="36">
        <f>IF($K166="","",INDEX('سجل التحفيز'!$D$5:$D$2004,MATCH($K166,'سجل التحفيز'!$Y$5:$Y$2004,0)))</f>
        <v/>
      </c>
      <c r="Q166" s="9">
        <f>IF($K166="","",INDEX('سجل التحفيز'!$E$5:$E$2004,MATCH($K166,'سجل التحفيز'!$Y$5:$Y$2004,0)))</f>
        <v/>
      </c>
      <c r="R166" s="9">
        <f>IF($K166="","",INDEX('سجل التحفيز'!$F$5:$F$2004,MATCH($K166,'سجل التحفيز'!$Y$5:$Y$2004,0)))</f>
        <v/>
      </c>
      <c r="S166" s="35">
        <f>IF($K166="","",INDEX('سجل التحفيز'!$G$5:$G$2004,MATCH($K166,'سجل التحفيز'!$Y$5:$Y$2004,0)))</f>
        <v/>
      </c>
    </row>
    <row r="167">
      <c r="B167" s="34">
        <f>IFERROR(INDEX(الموظفات!$B$5:$B$304,MATCH(130,الموظفات!$S$5:$S$304,0)),"")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التحفيز'!$Y$5:$Y$2004,"&gt;0",'سجل التحفيز'!$B$5:$B$2004,B167))</f>
        <v/>
      </c>
      <c r="E167" s="35">
        <f>IF(B167="","",COUNTIFS('سجل التحفيز'!$Y$5:$Y$2004,"&gt;0",'سجل التحفيز'!$B$5:$B$2004,B167,'سجل التحفيز'!$D$5:$D$2004,"ذهبي"))</f>
        <v/>
      </c>
      <c r="F167" s="35">
        <f>IF(B167="","",SUMIFS('سجل التحفيز'!$G$5:$G$2004,'سجل التحفيز'!$Y$5:$Y$2004,"&gt;0",'سجل التحفيز'!$B$5:$B$2004,B167))</f>
        <v/>
      </c>
      <c r="G167" s="35">
        <f>IF(B167="","",COUNTIF($D$38:$D$187,"&gt;"&amp;D167)+1)</f>
        <v/>
      </c>
      <c r="H167" s="35">
        <f>IF(B167="","",INDEX(الموظفات!$L$5:$L$304,MATCH(B167,الموظفات!$B$5:$B$304,0)))</f>
        <v/>
      </c>
      <c r="K167" s="36">
        <f>IF(130&gt;$B$10,"",130)</f>
        <v/>
      </c>
      <c r="L167" s="37">
        <f>IF($K167="","",INDEX('سجل التحفيز'!$A$5:$A$2004,MATCH($K167,'سجل التحفيز'!$Y$5:$Y$2004,0)))</f>
        <v/>
      </c>
      <c r="M167" s="9">
        <f>IF($K167="","",INDEX('سجل التحفيز'!$B$5:$B$2004,MATCH($K167,'سجل التحفيز'!$Y$5:$Y$2004,0)))</f>
        <v/>
      </c>
      <c r="N167" s="9">
        <f>IF($K167="","",INDEX('سجل التحفيز'!$M$5:$M$2004,MATCH($K167,'سجل التحفيز'!$Y$5:$Y$2004,0)))</f>
        <v/>
      </c>
      <c r="O167" s="9">
        <f>IF($K167="","",INDEX('سجل التحفيز'!$C$5:$C$2004,MATCH($K167,'سجل التحفيز'!$Y$5:$Y$2004,0)))</f>
        <v/>
      </c>
      <c r="P167" s="36">
        <f>IF($K167="","",INDEX('سجل التحفيز'!$D$5:$D$2004,MATCH($K167,'سجل التحفيز'!$Y$5:$Y$2004,0)))</f>
        <v/>
      </c>
      <c r="Q167" s="9">
        <f>IF($K167="","",INDEX('سجل التحفيز'!$E$5:$E$2004,MATCH($K167,'سجل التحفيز'!$Y$5:$Y$2004,0)))</f>
        <v/>
      </c>
      <c r="R167" s="9">
        <f>IF($K167="","",INDEX('سجل التحفيز'!$F$5:$F$2004,MATCH($K167,'سجل التحفيز'!$Y$5:$Y$2004,0)))</f>
        <v/>
      </c>
      <c r="S167" s="35">
        <f>IF($K167="","",INDEX('سجل التحفيز'!$G$5:$G$2004,MATCH($K167,'سجل التحفيز'!$Y$5:$Y$2004,0)))</f>
        <v/>
      </c>
    </row>
    <row r="168">
      <c r="B168" s="34">
        <f>IFERROR(INDEX(الموظفات!$B$5:$B$304,MATCH(131,الموظفات!$S$5:$S$304,0)),"")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التحفيز'!$Y$5:$Y$2004,"&gt;0",'سجل التحفيز'!$B$5:$B$2004,B168))</f>
        <v/>
      </c>
      <c r="E168" s="35">
        <f>IF(B168="","",COUNTIFS('سجل التحفيز'!$Y$5:$Y$2004,"&gt;0",'سجل التحفيز'!$B$5:$B$2004,B168,'سجل التحفيز'!$D$5:$D$2004,"ذهبي"))</f>
        <v/>
      </c>
      <c r="F168" s="35">
        <f>IF(B168="","",SUMIFS('سجل التحفيز'!$G$5:$G$2004,'سجل التحفيز'!$Y$5:$Y$2004,"&gt;0",'سجل التحفيز'!$B$5:$B$2004,B168))</f>
        <v/>
      </c>
      <c r="G168" s="35">
        <f>IF(B168="","",COUNTIF($D$38:$D$187,"&gt;"&amp;D168)+1)</f>
        <v/>
      </c>
      <c r="H168" s="35">
        <f>IF(B168="","",INDEX(الموظفات!$L$5:$L$304,MATCH(B168,الموظفات!$B$5:$B$304,0)))</f>
        <v/>
      </c>
      <c r="K168" s="36">
        <f>IF(131&gt;$B$10,"",131)</f>
        <v/>
      </c>
      <c r="L168" s="37">
        <f>IF($K168="","",INDEX('سجل التحفيز'!$A$5:$A$2004,MATCH($K168,'سجل التحفيز'!$Y$5:$Y$2004,0)))</f>
        <v/>
      </c>
      <c r="M168" s="9">
        <f>IF($K168="","",INDEX('سجل التحفيز'!$B$5:$B$2004,MATCH($K168,'سجل التحفيز'!$Y$5:$Y$2004,0)))</f>
        <v/>
      </c>
      <c r="N168" s="9">
        <f>IF($K168="","",INDEX('سجل التحفيز'!$M$5:$M$2004,MATCH($K168,'سجل التحفيز'!$Y$5:$Y$2004,0)))</f>
        <v/>
      </c>
      <c r="O168" s="9">
        <f>IF($K168="","",INDEX('سجل التحفيز'!$C$5:$C$2004,MATCH($K168,'سجل التحفيز'!$Y$5:$Y$2004,0)))</f>
        <v/>
      </c>
      <c r="P168" s="36">
        <f>IF($K168="","",INDEX('سجل التحفيز'!$D$5:$D$2004,MATCH($K168,'سجل التحفيز'!$Y$5:$Y$2004,0)))</f>
        <v/>
      </c>
      <c r="Q168" s="9">
        <f>IF($K168="","",INDEX('سجل التحفيز'!$E$5:$E$2004,MATCH($K168,'سجل التحفيز'!$Y$5:$Y$2004,0)))</f>
        <v/>
      </c>
      <c r="R168" s="9">
        <f>IF($K168="","",INDEX('سجل التحفيز'!$F$5:$F$2004,MATCH($K168,'سجل التحفيز'!$Y$5:$Y$2004,0)))</f>
        <v/>
      </c>
      <c r="S168" s="35">
        <f>IF($K168="","",INDEX('سجل التحفيز'!$G$5:$G$2004,MATCH($K168,'سجل التحفيز'!$Y$5:$Y$2004,0)))</f>
        <v/>
      </c>
    </row>
    <row r="169">
      <c r="B169" s="34">
        <f>IFERROR(INDEX(الموظفات!$B$5:$B$304,MATCH(132,الموظفات!$S$5:$S$304,0)),"")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التحفيز'!$Y$5:$Y$2004,"&gt;0",'سجل التحفيز'!$B$5:$B$2004,B169))</f>
        <v/>
      </c>
      <c r="E169" s="35">
        <f>IF(B169="","",COUNTIFS('سجل التحفيز'!$Y$5:$Y$2004,"&gt;0",'سجل التحفيز'!$B$5:$B$2004,B169,'سجل التحفيز'!$D$5:$D$2004,"ذهبي"))</f>
        <v/>
      </c>
      <c r="F169" s="35">
        <f>IF(B169="","",SUMIFS('سجل التحفيز'!$G$5:$G$2004,'سجل التحفيز'!$Y$5:$Y$2004,"&gt;0",'سجل التحفيز'!$B$5:$B$2004,B169))</f>
        <v/>
      </c>
      <c r="G169" s="35">
        <f>IF(B169="","",COUNTIF($D$38:$D$187,"&gt;"&amp;D169)+1)</f>
        <v/>
      </c>
      <c r="H169" s="35">
        <f>IF(B169="","",INDEX(الموظفات!$L$5:$L$304,MATCH(B169,الموظفات!$B$5:$B$304,0)))</f>
        <v/>
      </c>
      <c r="K169" s="36">
        <f>IF(132&gt;$B$10,"",132)</f>
        <v/>
      </c>
      <c r="L169" s="37">
        <f>IF($K169="","",INDEX('سجل التحفيز'!$A$5:$A$2004,MATCH($K169,'سجل التحفيز'!$Y$5:$Y$2004,0)))</f>
        <v/>
      </c>
      <c r="M169" s="9">
        <f>IF($K169="","",INDEX('سجل التحفيز'!$B$5:$B$2004,MATCH($K169,'سجل التحفيز'!$Y$5:$Y$2004,0)))</f>
        <v/>
      </c>
      <c r="N169" s="9">
        <f>IF($K169="","",INDEX('سجل التحفيز'!$M$5:$M$2004,MATCH($K169,'سجل التحفيز'!$Y$5:$Y$2004,0)))</f>
        <v/>
      </c>
      <c r="O169" s="9">
        <f>IF($K169="","",INDEX('سجل التحفيز'!$C$5:$C$2004,MATCH($K169,'سجل التحفيز'!$Y$5:$Y$2004,0)))</f>
        <v/>
      </c>
      <c r="P169" s="36">
        <f>IF($K169="","",INDEX('سجل التحفيز'!$D$5:$D$2004,MATCH($K169,'سجل التحفيز'!$Y$5:$Y$2004,0)))</f>
        <v/>
      </c>
      <c r="Q169" s="9">
        <f>IF($K169="","",INDEX('سجل التحفيز'!$E$5:$E$2004,MATCH($K169,'سجل التحفيز'!$Y$5:$Y$2004,0)))</f>
        <v/>
      </c>
      <c r="R169" s="9">
        <f>IF($K169="","",INDEX('سجل التحفيز'!$F$5:$F$2004,MATCH($K169,'سجل التحفيز'!$Y$5:$Y$2004,0)))</f>
        <v/>
      </c>
      <c r="S169" s="35">
        <f>IF($K169="","",INDEX('سجل التحفيز'!$G$5:$G$2004,MATCH($K169,'سجل التحفيز'!$Y$5:$Y$2004,0)))</f>
        <v/>
      </c>
    </row>
    <row r="170">
      <c r="B170" s="34">
        <f>IFERROR(INDEX(الموظفات!$B$5:$B$304,MATCH(133,الموظفات!$S$5:$S$304,0)),"")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التحفيز'!$Y$5:$Y$2004,"&gt;0",'سجل التحفيز'!$B$5:$B$2004,B170))</f>
        <v/>
      </c>
      <c r="E170" s="35">
        <f>IF(B170="","",COUNTIFS('سجل التحفيز'!$Y$5:$Y$2004,"&gt;0",'سجل التحفيز'!$B$5:$B$2004,B170,'سجل التحفيز'!$D$5:$D$2004,"ذهبي"))</f>
        <v/>
      </c>
      <c r="F170" s="35">
        <f>IF(B170="","",SUMIFS('سجل التحفيز'!$G$5:$G$2004,'سجل التحفيز'!$Y$5:$Y$2004,"&gt;0",'سجل التحفيز'!$B$5:$B$2004,B170))</f>
        <v/>
      </c>
      <c r="G170" s="35">
        <f>IF(B170="","",COUNTIF($D$38:$D$187,"&gt;"&amp;D170)+1)</f>
        <v/>
      </c>
      <c r="H170" s="35">
        <f>IF(B170="","",INDEX(الموظفات!$L$5:$L$304,MATCH(B170,الموظفات!$B$5:$B$304,0)))</f>
        <v/>
      </c>
      <c r="K170" s="36">
        <f>IF(133&gt;$B$10,"",133)</f>
        <v/>
      </c>
      <c r="L170" s="37">
        <f>IF($K170="","",INDEX('سجل التحفيز'!$A$5:$A$2004,MATCH($K170,'سجل التحفيز'!$Y$5:$Y$2004,0)))</f>
        <v/>
      </c>
      <c r="M170" s="9">
        <f>IF($K170="","",INDEX('سجل التحفيز'!$B$5:$B$2004,MATCH($K170,'سجل التحفيز'!$Y$5:$Y$2004,0)))</f>
        <v/>
      </c>
      <c r="N170" s="9">
        <f>IF($K170="","",INDEX('سجل التحفيز'!$M$5:$M$2004,MATCH($K170,'سجل التحفيز'!$Y$5:$Y$2004,0)))</f>
        <v/>
      </c>
      <c r="O170" s="9">
        <f>IF($K170="","",INDEX('سجل التحفيز'!$C$5:$C$2004,MATCH($K170,'سجل التحفيز'!$Y$5:$Y$2004,0)))</f>
        <v/>
      </c>
      <c r="P170" s="36">
        <f>IF($K170="","",INDEX('سجل التحفيز'!$D$5:$D$2004,MATCH($K170,'سجل التحفيز'!$Y$5:$Y$2004,0)))</f>
        <v/>
      </c>
      <c r="Q170" s="9">
        <f>IF($K170="","",INDEX('سجل التحفيز'!$E$5:$E$2004,MATCH($K170,'سجل التحفيز'!$Y$5:$Y$2004,0)))</f>
        <v/>
      </c>
      <c r="R170" s="9">
        <f>IF($K170="","",INDEX('سجل التحفيز'!$F$5:$F$2004,MATCH($K170,'سجل التحفيز'!$Y$5:$Y$2004,0)))</f>
        <v/>
      </c>
      <c r="S170" s="35">
        <f>IF($K170="","",INDEX('سجل التحفيز'!$G$5:$G$2004,MATCH($K170,'سجل التحفيز'!$Y$5:$Y$2004,0)))</f>
        <v/>
      </c>
    </row>
    <row r="171">
      <c r="B171" s="34">
        <f>IFERROR(INDEX(الموظفات!$B$5:$B$304,MATCH(134,الموظفات!$S$5:$S$304,0)),"")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التحفيز'!$Y$5:$Y$2004,"&gt;0",'سجل التحفيز'!$B$5:$B$2004,B171))</f>
        <v/>
      </c>
      <c r="E171" s="35">
        <f>IF(B171="","",COUNTIFS('سجل التحفيز'!$Y$5:$Y$2004,"&gt;0",'سجل التحفيز'!$B$5:$B$2004,B171,'سجل التحفيز'!$D$5:$D$2004,"ذهبي"))</f>
        <v/>
      </c>
      <c r="F171" s="35">
        <f>IF(B171="","",SUMIFS('سجل التحفيز'!$G$5:$G$2004,'سجل التحفيز'!$Y$5:$Y$2004,"&gt;0",'سجل التحفيز'!$B$5:$B$2004,B171))</f>
        <v/>
      </c>
      <c r="G171" s="35">
        <f>IF(B171="","",COUNTIF($D$38:$D$187,"&gt;"&amp;D171)+1)</f>
        <v/>
      </c>
      <c r="H171" s="35">
        <f>IF(B171="","",INDEX(الموظفات!$L$5:$L$304,MATCH(B171,الموظفات!$B$5:$B$304,0)))</f>
        <v/>
      </c>
      <c r="K171" s="36">
        <f>IF(134&gt;$B$10,"",134)</f>
        <v/>
      </c>
      <c r="L171" s="37">
        <f>IF($K171="","",INDEX('سجل التحفيز'!$A$5:$A$2004,MATCH($K171,'سجل التحفيز'!$Y$5:$Y$2004,0)))</f>
        <v/>
      </c>
      <c r="M171" s="9">
        <f>IF($K171="","",INDEX('سجل التحفيز'!$B$5:$B$2004,MATCH($K171,'سجل التحفيز'!$Y$5:$Y$2004,0)))</f>
        <v/>
      </c>
      <c r="N171" s="9">
        <f>IF($K171="","",INDEX('سجل التحفيز'!$M$5:$M$2004,MATCH($K171,'سجل التحفيز'!$Y$5:$Y$2004,0)))</f>
        <v/>
      </c>
      <c r="O171" s="9">
        <f>IF($K171="","",INDEX('سجل التحفيز'!$C$5:$C$2004,MATCH($K171,'سجل التحفيز'!$Y$5:$Y$2004,0)))</f>
        <v/>
      </c>
      <c r="P171" s="36">
        <f>IF($K171="","",INDEX('سجل التحفيز'!$D$5:$D$2004,MATCH($K171,'سجل التحفيز'!$Y$5:$Y$2004,0)))</f>
        <v/>
      </c>
      <c r="Q171" s="9">
        <f>IF($K171="","",INDEX('سجل التحفيز'!$E$5:$E$2004,MATCH($K171,'سجل التحفيز'!$Y$5:$Y$2004,0)))</f>
        <v/>
      </c>
      <c r="R171" s="9">
        <f>IF($K171="","",INDEX('سجل التحفيز'!$F$5:$F$2004,MATCH($K171,'سجل التحفيز'!$Y$5:$Y$2004,0)))</f>
        <v/>
      </c>
      <c r="S171" s="35">
        <f>IF($K171="","",INDEX('سجل التحفيز'!$G$5:$G$2004,MATCH($K171,'سجل التحفيز'!$Y$5:$Y$2004,0)))</f>
        <v/>
      </c>
    </row>
    <row r="172">
      <c r="B172" s="34">
        <f>IFERROR(INDEX(الموظفات!$B$5:$B$304,MATCH(135,الموظفات!$S$5:$S$304,0)),"")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التحفيز'!$Y$5:$Y$2004,"&gt;0",'سجل التحفيز'!$B$5:$B$2004,B172))</f>
        <v/>
      </c>
      <c r="E172" s="35">
        <f>IF(B172="","",COUNTIFS('سجل التحفيز'!$Y$5:$Y$2004,"&gt;0",'سجل التحفيز'!$B$5:$B$2004,B172,'سجل التحفيز'!$D$5:$D$2004,"ذهبي"))</f>
        <v/>
      </c>
      <c r="F172" s="35">
        <f>IF(B172="","",SUMIFS('سجل التحفيز'!$G$5:$G$2004,'سجل التحفيز'!$Y$5:$Y$2004,"&gt;0",'سجل التحفيز'!$B$5:$B$2004,B172))</f>
        <v/>
      </c>
      <c r="G172" s="35">
        <f>IF(B172="","",COUNTIF($D$38:$D$187,"&gt;"&amp;D172)+1)</f>
        <v/>
      </c>
      <c r="H172" s="35">
        <f>IF(B172="","",INDEX(الموظفات!$L$5:$L$304,MATCH(B172,الموظفات!$B$5:$B$304,0)))</f>
        <v/>
      </c>
      <c r="K172" s="36">
        <f>IF(135&gt;$B$10,"",135)</f>
        <v/>
      </c>
      <c r="L172" s="37">
        <f>IF($K172="","",INDEX('سجل التحفيز'!$A$5:$A$2004,MATCH($K172,'سجل التحفيز'!$Y$5:$Y$2004,0)))</f>
        <v/>
      </c>
      <c r="M172" s="9">
        <f>IF($K172="","",INDEX('سجل التحفيز'!$B$5:$B$2004,MATCH($K172,'سجل التحفيز'!$Y$5:$Y$2004,0)))</f>
        <v/>
      </c>
      <c r="N172" s="9">
        <f>IF($K172="","",INDEX('سجل التحفيز'!$M$5:$M$2004,MATCH($K172,'سجل التحفيز'!$Y$5:$Y$2004,0)))</f>
        <v/>
      </c>
      <c r="O172" s="9">
        <f>IF($K172="","",INDEX('سجل التحفيز'!$C$5:$C$2004,MATCH($K172,'سجل التحفيز'!$Y$5:$Y$2004,0)))</f>
        <v/>
      </c>
      <c r="P172" s="36">
        <f>IF($K172="","",INDEX('سجل التحفيز'!$D$5:$D$2004,MATCH($K172,'سجل التحفيز'!$Y$5:$Y$2004,0)))</f>
        <v/>
      </c>
      <c r="Q172" s="9">
        <f>IF($K172="","",INDEX('سجل التحفيز'!$E$5:$E$2004,MATCH($K172,'سجل التحفيز'!$Y$5:$Y$2004,0)))</f>
        <v/>
      </c>
      <c r="R172" s="9">
        <f>IF($K172="","",INDEX('سجل التحفيز'!$F$5:$F$2004,MATCH($K172,'سجل التحفيز'!$Y$5:$Y$2004,0)))</f>
        <v/>
      </c>
      <c r="S172" s="35">
        <f>IF($K172="","",INDEX('سجل التحفيز'!$G$5:$G$2004,MATCH($K172,'سجل التحفيز'!$Y$5:$Y$2004,0)))</f>
        <v/>
      </c>
    </row>
    <row r="173">
      <c r="B173" s="34">
        <f>IFERROR(INDEX(الموظفات!$B$5:$B$304,MATCH(136,الموظفات!$S$5:$S$304,0)),"")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التحفيز'!$Y$5:$Y$2004,"&gt;0",'سجل التحفيز'!$B$5:$B$2004,B173))</f>
        <v/>
      </c>
      <c r="E173" s="35">
        <f>IF(B173="","",COUNTIFS('سجل التحفيز'!$Y$5:$Y$2004,"&gt;0",'سجل التحفيز'!$B$5:$B$2004,B173,'سجل التحفيز'!$D$5:$D$2004,"ذهبي"))</f>
        <v/>
      </c>
      <c r="F173" s="35">
        <f>IF(B173="","",SUMIFS('سجل التحفيز'!$G$5:$G$2004,'سجل التحفيز'!$Y$5:$Y$2004,"&gt;0",'سجل التحفيز'!$B$5:$B$2004,B173))</f>
        <v/>
      </c>
      <c r="G173" s="35">
        <f>IF(B173="","",COUNTIF($D$38:$D$187,"&gt;"&amp;D173)+1)</f>
        <v/>
      </c>
      <c r="H173" s="35">
        <f>IF(B173="","",INDEX(الموظفات!$L$5:$L$304,MATCH(B173,الموظفات!$B$5:$B$304,0)))</f>
        <v/>
      </c>
      <c r="K173" s="36">
        <f>IF(136&gt;$B$10,"",136)</f>
        <v/>
      </c>
      <c r="L173" s="37">
        <f>IF($K173="","",INDEX('سجل التحفيز'!$A$5:$A$2004,MATCH($K173,'سجل التحفيز'!$Y$5:$Y$2004,0)))</f>
        <v/>
      </c>
      <c r="M173" s="9">
        <f>IF($K173="","",INDEX('سجل التحفيز'!$B$5:$B$2004,MATCH($K173,'سجل التحفيز'!$Y$5:$Y$2004,0)))</f>
        <v/>
      </c>
      <c r="N173" s="9">
        <f>IF($K173="","",INDEX('سجل التحفيز'!$M$5:$M$2004,MATCH($K173,'سجل التحفيز'!$Y$5:$Y$2004,0)))</f>
        <v/>
      </c>
      <c r="O173" s="9">
        <f>IF($K173="","",INDEX('سجل التحفيز'!$C$5:$C$2004,MATCH($K173,'سجل التحفيز'!$Y$5:$Y$2004,0)))</f>
        <v/>
      </c>
      <c r="P173" s="36">
        <f>IF($K173="","",INDEX('سجل التحفيز'!$D$5:$D$2004,MATCH($K173,'سجل التحفيز'!$Y$5:$Y$2004,0)))</f>
        <v/>
      </c>
      <c r="Q173" s="9">
        <f>IF($K173="","",INDEX('سجل التحفيز'!$E$5:$E$2004,MATCH($K173,'سجل التحفيز'!$Y$5:$Y$2004,0)))</f>
        <v/>
      </c>
      <c r="R173" s="9">
        <f>IF($K173="","",INDEX('سجل التحفيز'!$F$5:$F$2004,MATCH($K173,'سجل التحفيز'!$Y$5:$Y$2004,0)))</f>
        <v/>
      </c>
      <c r="S173" s="35">
        <f>IF($K173="","",INDEX('سجل التحفيز'!$G$5:$G$2004,MATCH($K173,'سجل التحفيز'!$Y$5:$Y$2004,0)))</f>
        <v/>
      </c>
    </row>
    <row r="174">
      <c r="B174" s="34">
        <f>IFERROR(INDEX(الموظفات!$B$5:$B$304,MATCH(137,الموظفات!$S$5:$S$304,0)),"")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التحفيز'!$Y$5:$Y$2004,"&gt;0",'سجل التحفيز'!$B$5:$B$2004,B174))</f>
        <v/>
      </c>
      <c r="E174" s="35">
        <f>IF(B174="","",COUNTIFS('سجل التحفيز'!$Y$5:$Y$2004,"&gt;0",'سجل التحفيز'!$B$5:$B$2004,B174,'سجل التحفيز'!$D$5:$D$2004,"ذهبي"))</f>
        <v/>
      </c>
      <c r="F174" s="35">
        <f>IF(B174="","",SUMIFS('سجل التحفيز'!$G$5:$G$2004,'سجل التحفيز'!$Y$5:$Y$2004,"&gt;0",'سجل التحفيز'!$B$5:$B$2004,B174))</f>
        <v/>
      </c>
      <c r="G174" s="35">
        <f>IF(B174="","",COUNTIF($D$38:$D$187,"&gt;"&amp;D174)+1)</f>
        <v/>
      </c>
      <c r="H174" s="35">
        <f>IF(B174="","",INDEX(الموظفات!$L$5:$L$304,MATCH(B174,الموظفات!$B$5:$B$304,0)))</f>
        <v/>
      </c>
      <c r="K174" s="36">
        <f>IF(137&gt;$B$10,"",137)</f>
        <v/>
      </c>
      <c r="L174" s="37">
        <f>IF($K174="","",INDEX('سجل التحفيز'!$A$5:$A$2004,MATCH($K174,'سجل التحفيز'!$Y$5:$Y$2004,0)))</f>
        <v/>
      </c>
      <c r="M174" s="9">
        <f>IF($K174="","",INDEX('سجل التحفيز'!$B$5:$B$2004,MATCH($K174,'سجل التحفيز'!$Y$5:$Y$2004,0)))</f>
        <v/>
      </c>
      <c r="N174" s="9">
        <f>IF($K174="","",INDEX('سجل التحفيز'!$M$5:$M$2004,MATCH($K174,'سجل التحفيز'!$Y$5:$Y$2004,0)))</f>
        <v/>
      </c>
      <c r="O174" s="9">
        <f>IF($K174="","",INDEX('سجل التحفيز'!$C$5:$C$2004,MATCH($K174,'سجل التحفيز'!$Y$5:$Y$2004,0)))</f>
        <v/>
      </c>
      <c r="P174" s="36">
        <f>IF($K174="","",INDEX('سجل التحفيز'!$D$5:$D$2004,MATCH($K174,'سجل التحفيز'!$Y$5:$Y$2004,0)))</f>
        <v/>
      </c>
      <c r="Q174" s="9">
        <f>IF($K174="","",INDEX('سجل التحفيز'!$E$5:$E$2004,MATCH($K174,'سجل التحفيز'!$Y$5:$Y$2004,0)))</f>
        <v/>
      </c>
      <c r="R174" s="9">
        <f>IF($K174="","",INDEX('سجل التحفيز'!$F$5:$F$2004,MATCH($K174,'سجل التحفيز'!$Y$5:$Y$2004,0)))</f>
        <v/>
      </c>
      <c r="S174" s="35">
        <f>IF($K174="","",INDEX('سجل التحفيز'!$G$5:$G$2004,MATCH($K174,'سجل التحفيز'!$Y$5:$Y$2004,0)))</f>
        <v/>
      </c>
    </row>
    <row r="175">
      <c r="B175" s="34">
        <f>IFERROR(INDEX(الموظفات!$B$5:$B$304,MATCH(138,الموظفات!$S$5:$S$304,0)),"")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التحفيز'!$Y$5:$Y$2004,"&gt;0",'سجل التحفيز'!$B$5:$B$2004,B175))</f>
        <v/>
      </c>
      <c r="E175" s="35">
        <f>IF(B175="","",COUNTIFS('سجل التحفيز'!$Y$5:$Y$2004,"&gt;0",'سجل التحفيز'!$B$5:$B$2004,B175,'سجل التحفيز'!$D$5:$D$2004,"ذهبي"))</f>
        <v/>
      </c>
      <c r="F175" s="35">
        <f>IF(B175="","",SUMIFS('سجل التحفيز'!$G$5:$G$2004,'سجل التحفيز'!$Y$5:$Y$2004,"&gt;0",'سجل التحفيز'!$B$5:$B$2004,B175))</f>
        <v/>
      </c>
      <c r="G175" s="35">
        <f>IF(B175="","",COUNTIF($D$38:$D$187,"&gt;"&amp;D175)+1)</f>
        <v/>
      </c>
      <c r="H175" s="35">
        <f>IF(B175="","",INDEX(الموظفات!$L$5:$L$304,MATCH(B175,الموظفات!$B$5:$B$304,0)))</f>
        <v/>
      </c>
      <c r="K175" s="36">
        <f>IF(138&gt;$B$10,"",138)</f>
        <v/>
      </c>
      <c r="L175" s="37">
        <f>IF($K175="","",INDEX('سجل التحفيز'!$A$5:$A$2004,MATCH($K175,'سجل التحفيز'!$Y$5:$Y$2004,0)))</f>
        <v/>
      </c>
      <c r="M175" s="9">
        <f>IF($K175="","",INDEX('سجل التحفيز'!$B$5:$B$2004,MATCH($K175,'سجل التحفيز'!$Y$5:$Y$2004,0)))</f>
        <v/>
      </c>
      <c r="N175" s="9">
        <f>IF($K175="","",INDEX('سجل التحفيز'!$M$5:$M$2004,MATCH($K175,'سجل التحفيز'!$Y$5:$Y$2004,0)))</f>
        <v/>
      </c>
      <c r="O175" s="9">
        <f>IF($K175="","",INDEX('سجل التحفيز'!$C$5:$C$2004,MATCH($K175,'سجل التحفيز'!$Y$5:$Y$2004,0)))</f>
        <v/>
      </c>
      <c r="P175" s="36">
        <f>IF($K175="","",INDEX('سجل التحفيز'!$D$5:$D$2004,MATCH($K175,'سجل التحفيز'!$Y$5:$Y$2004,0)))</f>
        <v/>
      </c>
      <c r="Q175" s="9">
        <f>IF($K175="","",INDEX('سجل التحفيز'!$E$5:$E$2004,MATCH($K175,'سجل التحفيز'!$Y$5:$Y$2004,0)))</f>
        <v/>
      </c>
      <c r="R175" s="9">
        <f>IF($K175="","",INDEX('سجل التحفيز'!$F$5:$F$2004,MATCH($K175,'سجل التحفيز'!$Y$5:$Y$2004,0)))</f>
        <v/>
      </c>
      <c r="S175" s="35">
        <f>IF($K175="","",INDEX('سجل التحفيز'!$G$5:$G$2004,MATCH($K175,'سجل التحفيز'!$Y$5:$Y$2004,0)))</f>
        <v/>
      </c>
    </row>
    <row r="176">
      <c r="B176" s="34">
        <f>IFERROR(INDEX(الموظفات!$B$5:$B$304,MATCH(139,الموظفات!$S$5:$S$304,0)),"")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التحفيز'!$Y$5:$Y$2004,"&gt;0",'سجل التحفيز'!$B$5:$B$2004,B176))</f>
        <v/>
      </c>
      <c r="E176" s="35">
        <f>IF(B176="","",COUNTIFS('سجل التحفيز'!$Y$5:$Y$2004,"&gt;0",'سجل التحفيز'!$B$5:$B$2004,B176,'سجل التحفيز'!$D$5:$D$2004,"ذهبي"))</f>
        <v/>
      </c>
      <c r="F176" s="35">
        <f>IF(B176="","",SUMIFS('سجل التحفيز'!$G$5:$G$2004,'سجل التحفيز'!$Y$5:$Y$2004,"&gt;0",'سجل التحفيز'!$B$5:$B$2004,B176))</f>
        <v/>
      </c>
      <c r="G176" s="35">
        <f>IF(B176="","",COUNTIF($D$38:$D$187,"&gt;"&amp;D176)+1)</f>
        <v/>
      </c>
      <c r="H176" s="35">
        <f>IF(B176="","",INDEX(الموظفات!$L$5:$L$304,MATCH(B176,الموظفات!$B$5:$B$304,0)))</f>
        <v/>
      </c>
      <c r="K176" s="36">
        <f>IF(139&gt;$B$10,"",139)</f>
        <v/>
      </c>
      <c r="L176" s="37">
        <f>IF($K176="","",INDEX('سجل التحفيز'!$A$5:$A$2004,MATCH($K176,'سجل التحفيز'!$Y$5:$Y$2004,0)))</f>
        <v/>
      </c>
      <c r="M176" s="9">
        <f>IF($K176="","",INDEX('سجل التحفيز'!$B$5:$B$2004,MATCH($K176,'سجل التحفيز'!$Y$5:$Y$2004,0)))</f>
        <v/>
      </c>
      <c r="N176" s="9">
        <f>IF($K176="","",INDEX('سجل التحفيز'!$M$5:$M$2004,MATCH($K176,'سجل التحفيز'!$Y$5:$Y$2004,0)))</f>
        <v/>
      </c>
      <c r="O176" s="9">
        <f>IF($K176="","",INDEX('سجل التحفيز'!$C$5:$C$2004,MATCH($K176,'سجل التحفيز'!$Y$5:$Y$2004,0)))</f>
        <v/>
      </c>
      <c r="P176" s="36">
        <f>IF($K176="","",INDEX('سجل التحفيز'!$D$5:$D$2004,MATCH($K176,'سجل التحفيز'!$Y$5:$Y$2004,0)))</f>
        <v/>
      </c>
      <c r="Q176" s="9">
        <f>IF($K176="","",INDEX('سجل التحفيز'!$E$5:$E$2004,MATCH($K176,'سجل التحفيز'!$Y$5:$Y$2004,0)))</f>
        <v/>
      </c>
      <c r="R176" s="9">
        <f>IF($K176="","",INDEX('سجل التحفيز'!$F$5:$F$2004,MATCH($K176,'سجل التحفيز'!$Y$5:$Y$2004,0)))</f>
        <v/>
      </c>
      <c r="S176" s="35">
        <f>IF($K176="","",INDEX('سجل التحفيز'!$G$5:$G$2004,MATCH($K176,'سجل التحفيز'!$Y$5:$Y$2004,0)))</f>
        <v/>
      </c>
    </row>
    <row r="177">
      <c r="B177" s="34">
        <f>IFERROR(INDEX(الموظفات!$B$5:$B$304,MATCH(140,الموظفات!$S$5:$S$304,0)),"")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التحفيز'!$Y$5:$Y$2004,"&gt;0",'سجل التحفيز'!$B$5:$B$2004,B177))</f>
        <v/>
      </c>
      <c r="E177" s="35">
        <f>IF(B177="","",COUNTIFS('سجل التحفيز'!$Y$5:$Y$2004,"&gt;0",'سجل التحفيز'!$B$5:$B$2004,B177,'سجل التحفيز'!$D$5:$D$2004,"ذهبي"))</f>
        <v/>
      </c>
      <c r="F177" s="35">
        <f>IF(B177="","",SUMIFS('سجل التحفيز'!$G$5:$G$2004,'سجل التحفيز'!$Y$5:$Y$2004,"&gt;0",'سجل التحفيز'!$B$5:$B$2004,B177))</f>
        <v/>
      </c>
      <c r="G177" s="35">
        <f>IF(B177="","",COUNTIF($D$38:$D$187,"&gt;"&amp;D177)+1)</f>
        <v/>
      </c>
      <c r="H177" s="35">
        <f>IF(B177="","",INDEX(الموظفات!$L$5:$L$304,MATCH(B177,الموظفات!$B$5:$B$304,0)))</f>
        <v/>
      </c>
      <c r="K177" s="36">
        <f>IF(140&gt;$B$10,"",140)</f>
        <v/>
      </c>
      <c r="L177" s="37">
        <f>IF($K177="","",INDEX('سجل التحفيز'!$A$5:$A$2004,MATCH($K177,'سجل التحفيز'!$Y$5:$Y$2004,0)))</f>
        <v/>
      </c>
      <c r="M177" s="9">
        <f>IF($K177="","",INDEX('سجل التحفيز'!$B$5:$B$2004,MATCH($K177,'سجل التحفيز'!$Y$5:$Y$2004,0)))</f>
        <v/>
      </c>
      <c r="N177" s="9">
        <f>IF($K177="","",INDEX('سجل التحفيز'!$M$5:$M$2004,MATCH($K177,'سجل التحفيز'!$Y$5:$Y$2004,0)))</f>
        <v/>
      </c>
      <c r="O177" s="9">
        <f>IF($K177="","",INDEX('سجل التحفيز'!$C$5:$C$2004,MATCH($K177,'سجل التحفيز'!$Y$5:$Y$2004,0)))</f>
        <v/>
      </c>
      <c r="P177" s="36">
        <f>IF($K177="","",INDEX('سجل التحفيز'!$D$5:$D$2004,MATCH($K177,'سجل التحفيز'!$Y$5:$Y$2004,0)))</f>
        <v/>
      </c>
      <c r="Q177" s="9">
        <f>IF($K177="","",INDEX('سجل التحفيز'!$E$5:$E$2004,MATCH($K177,'سجل التحفيز'!$Y$5:$Y$2004,0)))</f>
        <v/>
      </c>
      <c r="R177" s="9">
        <f>IF($K177="","",INDEX('سجل التحفيز'!$F$5:$F$2004,MATCH($K177,'سجل التحفيز'!$Y$5:$Y$2004,0)))</f>
        <v/>
      </c>
      <c r="S177" s="35">
        <f>IF($K177="","",INDEX('سجل التحفيز'!$G$5:$G$2004,MATCH($K177,'سجل التحفيز'!$Y$5:$Y$2004,0)))</f>
        <v/>
      </c>
    </row>
    <row r="178">
      <c r="B178" s="34">
        <f>IFERROR(INDEX(الموظفات!$B$5:$B$304,MATCH(141,الموظفات!$S$5:$S$304,0)),"")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التحفيز'!$Y$5:$Y$2004,"&gt;0",'سجل التحفيز'!$B$5:$B$2004,B178))</f>
        <v/>
      </c>
      <c r="E178" s="35">
        <f>IF(B178="","",COUNTIFS('سجل التحفيز'!$Y$5:$Y$2004,"&gt;0",'سجل التحفيز'!$B$5:$B$2004,B178,'سجل التحفيز'!$D$5:$D$2004,"ذهبي"))</f>
        <v/>
      </c>
      <c r="F178" s="35">
        <f>IF(B178="","",SUMIFS('سجل التحفيز'!$G$5:$G$2004,'سجل التحفيز'!$Y$5:$Y$2004,"&gt;0",'سجل التحفيز'!$B$5:$B$2004,B178))</f>
        <v/>
      </c>
      <c r="G178" s="35">
        <f>IF(B178="","",COUNTIF($D$38:$D$187,"&gt;"&amp;D178)+1)</f>
        <v/>
      </c>
      <c r="H178" s="35">
        <f>IF(B178="","",INDEX(الموظفات!$L$5:$L$304,MATCH(B178,الموظفات!$B$5:$B$304,0)))</f>
        <v/>
      </c>
      <c r="K178" s="36">
        <f>IF(141&gt;$B$10,"",141)</f>
        <v/>
      </c>
      <c r="L178" s="37">
        <f>IF($K178="","",INDEX('سجل التحفيز'!$A$5:$A$2004,MATCH($K178,'سجل التحفيز'!$Y$5:$Y$2004,0)))</f>
        <v/>
      </c>
      <c r="M178" s="9">
        <f>IF($K178="","",INDEX('سجل التحفيز'!$B$5:$B$2004,MATCH($K178,'سجل التحفيز'!$Y$5:$Y$2004,0)))</f>
        <v/>
      </c>
      <c r="N178" s="9">
        <f>IF($K178="","",INDEX('سجل التحفيز'!$M$5:$M$2004,MATCH($K178,'سجل التحفيز'!$Y$5:$Y$2004,0)))</f>
        <v/>
      </c>
      <c r="O178" s="9">
        <f>IF($K178="","",INDEX('سجل التحفيز'!$C$5:$C$2004,MATCH($K178,'سجل التحفيز'!$Y$5:$Y$2004,0)))</f>
        <v/>
      </c>
      <c r="P178" s="36">
        <f>IF($K178="","",INDEX('سجل التحفيز'!$D$5:$D$2004,MATCH($K178,'سجل التحفيز'!$Y$5:$Y$2004,0)))</f>
        <v/>
      </c>
      <c r="Q178" s="9">
        <f>IF($K178="","",INDEX('سجل التحفيز'!$E$5:$E$2004,MATCH($K178,'سجل التحفيز'!$Y$5:$Y$2004,0)))</f>
        <v/>
      </c>
      <c r="R178" s="9">
        <f>IF($K178="","",INDEX('سجل التحفيز'!$F$5:$F$2004,MATCH($K178,'سجل التحفيز'!$Y$5:$Y$2004,0)))</f>
        <v/>
      </c>
      <c r="S178" s="35">
        <f>IF($K178="","",INDEX('سجل التحفيز'!$G$5:$G$2004,MATCH($K178,'سجل التحفيز'!$Y$5:$Y$2004,0)))</f>
        <v/>
      </c>
    </row>
    <row r="179">
      <c r="B179" s="34">
        <f>IFERROR(INDEX(الموظفات!$B$5:$B$304,MATCH(142,الموظفات!$S$5:$S$304,0)),"")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التحفيز'!$Y$5:$Y$2004,"&gt;0",'سجل التحفيز'!$B$5:$B$2004,B179))</f>
        <v/>
      </c>
      <c r="E179" s="35">
        <f>IF(B179="","",COUNTIFS('سجل التحفيز'!$Y$5:$Y$2004,"&gt;0",'سجل التحفيز'!$B$5:$B$2004,B179,'سجل التحفيز'!$D$5:$D$2004,"ذهبي"))</f>
        <v/>
      </c>
      <c r="F179" s="35">
        <f>IF(B179="","",SUMIFS('سجل التحفيز'!$G$5:$G$2004,'سجل التحفيز'!$Y$5:$Y$2004,"&gt;0",'سجل التحفيز'!$B$5:$B$2004,B179))</f>
        <v/>
      </c>
      <c r="G179" s="35">
        <f>IF(B179="","",COUNTIF($D$38:$D$187,"&gt;"&amp;D179)+1)</f>
        <v/>
      </c>
      <c r="H179" s="35">
        <f>IF(B179="","",INDEX(الموظفات!$L$5:$L$304,MATCH(B179,الموظفات!$B$5:$B$304,0)))</f>
        <v/>
      </c>
      <c r="K179" s="36">
        <f>IF(142&gt;$B$10,"",142)</f>
        <v/>
      </c>
      <c r="L179" s="37">
        <f>IF($K179="","",INDEX('سجل التحفيز'!$A$5:$A$2004,MATCH($K179,'سجل التحفيز'!$Y$5:$Y$2004,0)))</f>
        <v/>
      </c>
      <c r="M179" s="9">
        <f>IF($K179="","",INDEX('سجل التحفيز'!$B$5:$B$2004,MATCH($K179,'سجل التحفيز'!$Y$5:$Y$2004,0)))</f>
        <v/>
      </c>
      <c r="N179" s="9">
        <f>IF($K179="","",INDEX('سجل التحفيز'!$M$5:$M$2004,MATCH($K179,'سجل التحفيز'!$Y$5:$Y$2004,0)))</f>
        <v/>
      </c>
      <c r="O179" s="9">
        <f>IF($K179="","",INDEX('سجل التحفيز'!$C$5:$C$2004,MATCH($K179,'سجل التحفيز'!$Y$5:$Y$2004,0)))</f>
        <v/>
      </c>
      <c r="P179" s="36">
        <f>IF($K179="","",INDEX('سجل التحفيز'!$D$5:$D$2004,MATCH($K179,'سجل التحفيز'!$Y$5:$Y$2004,0)))</f>
        <v/>
      </c>
      <c r="Q179" s="9">
        <f>IF($K179="","",INDEX('سجل التحفيز'!$E$5:$E$2004,MATCH($K179,'سجل التحفيز'!$Y$5:$Y$2004,0)))</f>
        <v/>
      </c>
      <c r="R179" s="9">
        <f>IF($K179="","",INDEX('سجل التحفيز'!$F$5:$F$2004,MATCH($K179,'سجل التحفيز'!$Y$5:$Y$2004,0)))</f>
        <v/>
      </c>
      <c r="S179" s="35">
        <f>IF($K179="","",INDEX('سجل التحفيز'!$G$5:$G$2004,MATCH($K179,'سجل التحفيز'!$Y$5:$Y$2004,0)))</f>
        <v/>
      </c>
    </row>
    <row r="180">
      <c r="B180" s="34">
        <f>IFERROR(INDEX(الموظفات!$B$5:$B$304,MATCH(143,الموظفات!$S$5:$S$304,0)),"")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التحفيز'!$Y$5:$Y$2004,"&gt;0",'سجل التحفيز'!$B$5:$B$2004,B180))</f>
        <v/>
      </c>
      <c r="E180" s="35">
        <f>IF(B180="","",COUNTIFS('سجل التحفيز'!$Y$5:$Y$2004,"&gt;0",'سجل التحفيز'!$B$5:$B$2004,B180,'سجل التحفيز'!$D$5:$D$2004,"ذهبي"))</f>
        <v/>
      </c>
      <c r="F180" s="35">
        <f>IF(B180="","",SUMIFS('سجل التحفيز'!$G$5:$G$2004,'سجل التحفيز'!$Y$5:$Y$2004,"&gt;0",'سجل التحفيز'!$B$5:$B$2004,B180))</f>
        <v/>
      </c>
      <c r="G180" s="35">
        <f>IF(B180="","",COUNTIF($D$38:$D$187,"&gt;"&amp;D180)+1)</f>
        <v/>
      </c>
      <c r="H180" s="35">
        <f>IF(B180="","",INDEX(الموظفات!$L$5:$L$304,MATCH(B180,الموظفات!$B$5:$B$304,0)))</f>
        <v/>
      </c>
      <c r="K180" s="36">
        <f>IF(143&gt;$B$10,"",143)</f>
        <v/>
      </c>
      <c r="L180" s="37">
        <f>IF($K180="","",INDEX('سجل التحفيز'!$A$5:$A$2004,MATCH($K180,'سجل التحفيز'!$Y$5:$Y$2004,0)))</f>
        <v/>
      </c>
      <c r="M180" s="9">
        <f>IF($K180="","",INDEX('سجل التحفيز'!$B$5:$B$2004,MATCH($K180,'سجل التحفيز'!$Y$5:$Y$2004,0)))</f>
        <v/>
      </c>
      <c r="N180" s="9">
        <f>IF($K180="","",INDEX('سجل التحفيز'!$M$5:$M$2004,MATCH($K180,'سجل التحفيز'!$Y$5:$Y$2004,0)))</f>
        <v/>
      </c>
      <c r="O180" s="9">
        <f>IF($K180="","",INDEX('سجل التحفيز'!$C$5:$C$2004,MATCH($K180,'سجل التحفيز'!$Y$5:$Y$2004,0)))</f>
        <v/>
      </c>
      <c r="P180" s="36">
        <f>IF($K180="","",INDEX('سجل التحفيز'!$D$5:$D$2004,MATCH($K180,'سجل التحفيز'!$Y$5:$Y$2004,0)))</f>
        <v/>
      </c>
      <c r="Q180" s="9">
        <f>IF($K180="","",INDEX('سجل التحفيز'!$E$5:$E$2004,MATCH($K180,'سجل التحفيز'!$Y$5:$Y$2004,0)))</f>
        <v/>
      </c>
      <c r="R180" s="9">
        <f>IF($K180="","",INDEX('سجل التحفيز'!$F$5:$F$2004,MATCH($K180,'سجل التحفيز'!$Y$5:$Y$2004,0)))</f>
        <v/>
      </c>
      <c r="S180" s="35">
        <f>IF($K180="","",INDEX('سجل التحفيز'!$G$5:$G$2004,MATCH($K180,'سجل التحفيز'!$Y$5:$Y$2004,0)))</f>
        <v/>
      </c>
    </row>
    <row r="181">
      <c r="B181" s="34">
        <f>IFERROR(INDEX(الموظفات!$B$5:$B$304,MATCH(144,الموظفات!$S$5:$S$304,0)),"")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التحفيز'!$Y$5:$Y$2004,"&gt;0",'سجل التحفيز'!$B$5:$B$2004,B181))</f>
        <v/>
      </c>
      <c r="E181" s="35">
        <f>IF(B181="","",COUNTIFS('سجل التحفيز'!$Y$5:$Y$2004,"&gt;0",'سجل التحفيز'!$B$5:$B$2004,B181,'سجل التحفيز'!$D$5:$D$2004,"ذهبي"))</f>
        <v/>
      </c>
      <c r="F181" s="35">
        <f>IF(B181="","",SUMIFS('سجل التحفيز'!$G$5:$G$2004,'سجل التحفيز'!$Y$5:$Y$2004,"&gt;0",'سجل التحفيز'!$B$5:$B$2004,B181))</f>
        <v/>
      </c>
      <c r="G181" s="35">
        <f>IF(B181="","",COUNTIF($D$38:$D$187,"&gt;"&amp;D181)+1)</f>
        <v/>
      </c>
      <c r="H181" s="35">
        <f>IF(B181="","",INDEX(الموظفات!$L$5:$L$304,MATCH(B181,الموظفات!$B$5:$B$304,0)))</f>
        <v/>
      </c>
      <c r="K181" s="36">
        <f>IF(144&gt;$B$10,"",144)</f>
        <v/>
      </c>
      <c r="L181" s="37">
        <f>IF($K181="","",INDEX('سجل التحفيز'!$A$5:$A$2004,MATCH($K181,'سجل التحفيز'!$Y$5:$Y$2004,0)))</f>
        <v/>
      </c>
      <c r="M181" s="9">
        <f>IF($K181="","",INDEX('سجل التحفيز'!$B$5:$B$2004,MATCH($K181,'سجل التحفيز'!$Y$5:$Y$2004,0)))</f>
        <v/>
      </c>
      <c r="N181" s="9">
        <f>IF($K181="","",INDEX('سجل التحفيز'!$M$5:$M$2004,MATCH($K181,'سجل التحفيز'!$Y$5:$Y$2004,0)))</f>
        <v/>
      </c>
      <c r="O181" s="9">
        <f>IF($K181="","",INDEX('سجل التحفيز'!$C$5:$C$2004,MATCH($K181,'سجل التحفيز'!$Y$5:$Y$2004,0)))</f>
        <v/>
      </c>
      <c r="P181" s="36">
        <f>IF($K181="","",INDEX('سجل التحفيز'!$D$5:$D$2004,MATCH($K181,'سجل التحفيز'!$Y$5:$Y$2004,0)))</f>
        <v/>
      </c>
      <c r="Q181" s="9">
        <f>IF($K181="","",INDEX('سجل التحفيز'!$E$5:$E$2004,MATCH($K181,'سجل التحفيز'!$Y$5:$Y$2004,0)))</f>
        <v/>
      </c>
      <c r="R181" s="9">
        <f>IF($K181="","",INDEX('سجل التحفيز'!$F$5:$F$2004,MATCH($K181,'سجل التحفيز'!$Y$5:$Y$2004,0)))</f>
        <v/>
      </c>
      <c r="S181" s="35">
        <f>IF($K181="","",INDEX('سجل التحفيز'!$G$5:$G$2004,MATCH($K181,'سجل التحفيز'!$Y$5:$Y$2004,0)))</f>
        <v/>
      </c>
    </row>
    <row r="182">
      <c r="B182" s="34">
        <f>IFERROR(INDEX(الموظفات!$B$5:$B$304,MATCH(145,الموظفات!$S$5:$S$304,0)),"")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التحفيز'!$Y$5:$Y$2004,"&gt;0",'سجل التحفيز'!$B$5:$B$2004,B182))</f>
        <v/>
      </c>
      <c r="E182" s="35">
        <f>IF(B182="","",COUNTIFS('سجل التحفيز'!$Y$5:$Y$2004,"&gt;0",'سجل التحفيز'!$B$5:$B$2004,B182,'سجل التحفيز'!$D$5:$D$2004,"ذهبي"))</f>
        <v/>
      </c>
      <c r="F182" s="35">
        <f>IF(B182="","",SUMIFS('سجل التحفيز'!$G$5:$G$2004,'سجل التحفيز'!$Y$5:$Y$2004,"&gt;0",'سجل التحفيز'!$B$5:$B$2004,B182))</f>
        <v/>
      </c>
      <c r="G182" s="35">
        <f>IF(B182="","",COUNTIF($D$38:$D$187,"&gt;"&amp;D182)+1)</f>
        <v/>
      </c>
      <c r="H182" s="35">
        <f>IF(B182="","",INDEX(الموظفات!$L$5:$L$304,MATCH(B182,الموظفات!$B$5:$B$304,0)))</f>
        <v/>
      </c>
      <c r="K182" s="36">
        <f>IF(145&gt;$B$10,"",145)</f>
        <v/>
      </c>
      <c r="L182" s="37">
        <f>IF($K182="","",INDEX('سجل التحفيز'!$A$5:$A$2004,MATCH($K182,'سجل التحفيز'!$Y$5:$Y$2004,0)))</f>
        <v/>
      </c>
      <c r="M182" s="9">
        <f>IF($K182="","",INDEX('سجل التحفيز'!$B$5:$B$2004,MATCH($K182,'سجل التحفيز'!$Y$5:$Y$2004,0)))</f>
        <v/>
      </c>
      <c r="N182" s="9">
        <f>IF($K182="","",INDEX('سجل التحفيز'!$M$5:$M$2004,MATCH($K182,'سجل التحفيز'!$Y$5:$Y$2004,0)))</f>
        <v/>
      </c>
      <c r="O182" s="9">
        <f>IF($K182="","",INDEX('سجل التحفيز'!$C$5:$C$2004,MATCH($K182,'سجل التحفيز'!$Y$5:$Y$2004,0)))</f>
        <v/>
      </c>
      <c r="P182" s="36">
        <f>IF($K182="","",INDEX('سجل التحفيز'!$D$5:$D$2004,MATCH($K182,'سجل التحفيز'!$Y$5:$Y$2004,0)))</f>
        <v/>
      </c>
      <c r="Q182" s="9">
        <f>IF($K182="","",INDEX('سجل التحفيز'!$E$5:$E$2004,MATCH($K182,'سجل التحفيز'!$Y$5:$Y$2004,0)))</f>
        <v/>
      </c>
      <c r="R182" s="9">
        <f>IF($K182="","",INDEX('سجل التحفيز'!$F$5:$F$2004,MATCH($K182,'سجل التحفيز'!$Y$5:$Y$2004,0)))</f>
        <v/>
      </c>
      <c r="S182" s="35">
        <f>IF($K182="","",INDEX('سجل التحفيز'!$G$5:$G$2004,MATCH($K182,'سجل التحفيز'!$Y$5:$Y$2004,0)))</f>
        <v/>
      </c>
    </row>
    <row r="183">
      <c r="B183" s="34">
        <f>IFERROR(INDEX(الموظفات!$B$5:$B$304,MATCH(146,الموظفات!$S$5:$S$304,0)),"")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التحفيز'!$Y$5:$Y$2004,"&gt;0",'سجل التحفيز'!$B$5:$B$2004,B183))</f>
        <v/>
      </c>
      <c r="E183" s="35">
        <f>IF(B183="","",COUNTIFS('سجل التحفيز'!$Y$5:$Y$2004,"&gt;0",'سجل التحفيز'!$B$5:$B$2004,B183,'سجل التحفيز'!$D$5:$D$2004,"ذهبي"))</f>
        <v/>
      </c>
      <c r="F183" s="35">
        <f>IF(B183="","",SUMIFS('سجل التحفيز'!$G$5:$G$2004,'سجل التحفيز'!$Y$5:$Y$2004,"&gt;0",'سجل التحفيز'!$B$5:$B$2004,B183))</f>
        <v/>
      </c>
      <c r="G183" s="35">
        <f>IF(B183="","",COUNTIF($D$38:$D$187,"&gt;"&amp;D183)+1)</f>
        <v/>
      </c>
      <c r="H183" s="35">
        <f>IF(B183="","",INDEX(الموظفات!$L$5:$L$304,MATCH(B183,الموظفات!$B$5:$B$304,0)))</f>
        <v/>
      </c>
      <c r="K183" s="36">
        <f>IF(146&gt;$B$10,"",146)</f>
        <v/>
      </c>
      <c r="L183" s="37">
        <f>IF($K183="","",INDEX('سجل التحفيز'!$A$5:$A$2004,MATCH($K183,'سجل التحفيز'!$Y$5:$Y$2004,0)))</f>
        <v/>
      </c>
      <c r="M183" s="9">
        <f>IF($K183="","",INDEX('سجل التحفيز'!$B$5:$B$2004,MATCH($K183,'سجل التحفيز'!$Y$5:$Y$2004,0)))</f>
        <v/>
      </c>
      <c r="N183" s="9">
        <f>IF($K183="","",INDEX('سجل التحفيز'!$M$5:$M$2004,MATCH($K183,'سجل التحفيز'!$Y$5:$Y$2004,0)))</f>
        <v/>
      </c>
      <c r="O183" s="9">
        <f>IF($K183="","",INDEX('سجل التحفيز'!$C$5:$C$2004,MATCH($K183,'سجل التحفيز'!$Y$5:$Y$2004,0)))</f>
        <v/>
      </c>
      <c r="P183" s="36">
        <f>IF($K183="","",INDEX('سجل التحفيز'!$D$5:$D$2004,MATCH($K183,'سجل التحفيز'!$Y$5:$Y$2004,0)))</f>
        <v/>
      </c>
      <c r="Q183" s="9">
        <f>IF($K183="","",INDEX('سجل التحفيز'!$E$5:$E$2004,MATCH($K183,'سجل التحفيز'!$Y$5:$Y$2004,0)))</f>
        <v/>
      </c>
      <c r="R183" s="9">
        <f>IF($K183="","",INDEX('سجل التحفيز'!$F$5:$F$2004,MATCH($K183,'سجل التحفيز'!$Y$5:$Y$2004,0)))</f>
        <v/>
      </c>
      <c r="S183" s="35">
        <f>IF($K183="","",INDEX('سجل التحفيز'!$G$5:$G$2004,MATCH($K183,'سجل التحفيز'!$Y$5:$Y$2004,0)))</f>
        <v/>
      </c>
    </row>
    <row r="184">
      <c r="B184" s="34">
        <f>IFERROR(INDEX(الموظفات!$B$5:$B$304,MATCH(147,الموظفات!$S$5:$S$304,0)),"")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التحفيز'!$Y$5:$Y$2004,"&gt;0",'سجل التحفيز'!$B$5:$B$2004,B184))</f>
        <v/>
      </c>
      <c r="E184" s="35">
        <f>IF(B184="","",COUNTIFS('سجل التحفيز'!$Y$5:$Y$2004,"&gt;0",'سجل التحفيز'!$B$5:$B$2004,B184,'سجل التحفيز'!$D$5:$D$2004,"ذهبي"))</f>
        <v/>
      </c>
      <c r="F184" s="35">
        <f>IF(B184="","",SUMIFS('سجل التحفيز'!$G$5:$G$2004,'سجل التحفيز'!$Y$5:$Y$2004,"&gt;0",'سجل التحفيز'!$B$5:$B$2004,B184))</f>
        <v/>
      </c>
      <c r="G184" s="35">
        <f>IF(B184="","",COUNTIF($D$38:$D$187,"&gt;"&amp;D184)+1)</f>
        <v/>
      </c>
      <c r="H184" s="35">
        <f>IF(B184="","",INDEX(الموظفات!$L$5:$L$304,MATCH(B184,الموظفات!$B$5:$B$304,0)))</f>
        <v/>
      </c>
      <c r="K184" s="36">
        <f>IF(147&gt;$B$10,"",147)</f>
        <v/>
      </c>
      <c r="L184" s="37">
        <f>IF($K184="","",INDEX('سجل التحفيز'!$A$5:$A$2004,MATCH($K184,'سجل التحفيز'!$Y$5:$Y$2004,0)))</f>
        <v/>
      </c>
      <c r="M184" s="9">
        <f>IF($K184="","",INDEX('سجل التحفيز'!$B$5:$B$2004,MATCH($K184,'سجل التحفيز'!$Y$5:$Y$2004,0)))</f>
        <v/>
      </c>
      <c r="N184" s="9">
        <f>IF($K184="","",INDEX('سجل التحفيز'!$M$5:$M$2004,MATCH($K184,'سجل التحفيز'!$Y$5:$Y$2004,0)))</f>
        <v/>
      </c>
      <c r="O184" s="9">
        <f>IF($K184="","",INDEX('سجل التحفيز'!$C$5:$C$2004,MATCH($K184,'سجل التحفيز'!$Y$5:$Y$2004,0)))</f>
        <v/>
      </c>
      <c r="P184" s="36">
        <f>IF($K184="","",INDEX('سجل التحفيز'!$D$5:$D$2004,MATCH($K184,'سجل التحفيز'!$Y$5:$Y$2004,0)))</f>
        <v/>
      </c>
      <c r="Q184" s="9">
        <f>IF($K184="","",INDEX('سجل التحفيز'!$E$5:$E$2004,MATCH($K184,'سجل التحفيز'!$Y$5:$Y$2004,0)))</f>
        <v/>
      </c>
      <c r="R184" s="9">
        <f>IF($K184="","",INDEX('سجل التحفيز'!$F$5:$F$2004,MATCH($K184,'سجل التحفيز'!$Y$5:$Y$2004,0)))</f>
        <v/>
      </c>
      <c r="S184" s="35">
        <f>IF($K184="","",INDEX('سجل التحفيز'!$G$5:$G$2004,MATCH($K184,'سجل التحفيز'!$Y$5:$Y$2004,0)))</f>
        <v/>
      </c>
    </row>
    <row r="185">
      <c r="B185" s="34">
        <f>IFERROR(INDEX(الموظفات!$B$5:$B$304,MATCH(148,الموظفات!$S$5:$S$304,0)),"")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التحفيز'!$Y$5:$Y$2004,"&gt;0",'سجل التحفيز'!$B$5:$B$2004,B185))</f>
        <v/>
      </c>
      <c r="E185" s="35">
        <f>IF(B185="","",COUNTIFS('سجل التحفيز'!$Y$5:$Y$2004,"&gt;0",'سجل التحفيز'!$B$5:$B$2004,B185,'سجل التحفيز'!$D$5:$D$2004,"ذهبي"))</f>
        <v/>
      </c>
      <c r="F185" s="35">
        <f>IF(B185="","",SUMIFS('سجل التحفيز'!$G$5:$G$2004,'سجل التحفيز'!$Y$5:$Y$2004,"&gt;0",'سجل التحفيز'!$B$5:$B$2004,B185))</f>
        <v/>
      </c>
      <c r="G185" s="35">
        <f>IF(B185="","",COUNTIF($D$38:$D$187,"&gt;"&amp;D185)+1)</f>
        <v/>
      </c>
      <c r="H185" s="35">
        <f>IF(B185="","",INDEX(الموظفات!$L$5:$L$304,MATCH(B185,الموظفات!$B$5:$B$304,0)))</f>
        <v/>
      </c>
      <c r="K185" s="36">
        <f>IF(148&gt;$B$10,"",148)</f>
        <v/>
      </c>
      <c r="L185" s="37">
        <f>IF($K185="","",INDEX('سجل التحفيز'!$A$5:$A$2004,MATCH($K185,'سجل التحفيز'!$Y$5:$Y$2004,0)))</f>
        <v/>
      </c>
      <c r="M185" s="9">
        <f>IF($K185="","",INDEX('سجل التحفيز'!$B$5:$B$2004,MATCH($K185,'سجل التحفيز'!$Y$5:$Y$2004,0)))</f>
        <v/>
      </c>
      <c r="N185" s="9">
        <f>IF($K185="","",INDEX('سجل التحفيز'!$M$5:$M$2004,MATCH($K185,'سجل التحفيز'!$Y$5:$Y$2004,0)))</f>
        <v/>
      </c>
      <c r="O185" s="9">
        <f>IF($K185="","",INDEX('سجل التحفيز'!$C$5:$C$2004,MATCH($K185,'سجل التحفيز'!$Y$5:$Y$2004,0)))</f>
        <v/>
      </c>
      <c r="P185" s="36">
        <f>IF($K185="","",INDEX('سجل التحفيز'!$D$5:$D$2004,MATCH($K185,'سجل التحفيز'!$Y$5:$Y$2004,0)))</f>
        <v/>
      </c>
      <c r="Q185" s="9">
        <f>IF($K185="","",INDEX('سجل التحفيز'!$E$5:$E$2004,MATCH($K185,'سجل التحفيز'!$Y$5:$Y$2004,0)))</f>
        <v/>
      </c>
      <c r="R185" s="9">
        <f>IF($K185="","",INDEX('سجل التحفيز'!$F$5:$F$2004,MATCH($K185,'سجل التحفيز'!$Y$5:$Y$2004,0)))</f>
        <v/>
      </c>
      <c r="S185" s="35">
        <f>IF($K185="","",INDEX('سجل التحفيز'!$G$5:$G$2004,MATCH($K185,'سجل التحفيز'!$Y$5:$Y$2004,0)))</f>
        <v/>
      </c>
    </row>
    <row r="186">
      <c r="B186" s="34">
        <f>IFERROR(INDEX(الموظفات!$B$5:$B$304,MATCH(149,الموظفات!$S$5:$S$304,0)),"")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التحفيز'!$Y$5:$Y$2004,"&gt;0",'سجل التحفيز'!$B$5:$B$2004,B186))</f>
        <v/>
      </c>
      <c r="E186" s="35">
        <f>IF(B186="","",COUNTIFS('سجل التحفيز'!$Y$5:$Y$2004,"&gt;0",'سجل التحفيز'!$B$5:$B$2004,B186,'سجل التحفيز'!$D$5:$D$2004,"ذهبي"))</f>
        <v/>
      </c>
      <c r="F186" s="35">
        <f>IF(B186="","",SUMIFS('سجل التحفيز'!$G$5:$G$2004,'سجل التحفيز'!$Y$5:$Y$2004,"&gt;0",'سجل التحفيز'!$B$5:$B$2004,B186))</f>
        <v/>
      </c>
      <c r="G186" s="35">
        <f>IF(B186="","",COUNTIF($D$38:$D$187,"&gt;"&amp;D186)+1)</f>
        <v/>
      </c>
      <c r="H186" s="35">
        <f>IF(B186="","",INDEX(الموظفات!$L$5:$L$304,MATCH(B186,الموظفات!$B$5:$B$304,0)))</f>
        <v/>
      </c>
      <c r="K186" s="36">
        <f>IF(149&gt;$B$10,"",149)</f>
        <v/>
      </c>
      <c r="L186" s="37">
        <f>IF($K186="","",INDEX('سجل التحفيز'!$A$5:$A$2004,MATCH($K186,'سجل التحفيز'!$Y$5:$Y$2004,0)))</f>
        <v/>
      </c>
      <c r="M186" s="9">
        <f>IF($K186="","",INDEX('سجل التحفيز'!$B$5:$B$2004,MATCH($K186,'سجل التحفيز'!$Y$5:$Y$2004,0)))</f>
        <v/>
      </c>
      <c r="N186" s="9">
        <f>IF($K186="","",INDEX('سجل التحفيز'!$M$5:$M$2004,MATCH($K186,'سجل التحفيز'!$Y$5:$Y$2004,0)))</f>
        <v/>
      </c>
      <c r="O186" s="9">
        <f>IF($K186="","",INDEX('سجل التحفيز'!$C$5:$C$2004,MATCH($K186,'سجل التحفيز'!$Y$5:$Y$2004,0)))</f>
        <v/>
      </c>
      <c r="P186" s="36">
        <f>IF($K186="","",INDEX('سجل التحفيز'!$D$5:$D$2004,MATCH($K186,'سجل التحفيز'!$Y$5:$Y$2004,0)))</f>
        <v/>
      </c>
      <c r="Q186" s="9">
        <f>IF($K186="","",INDEX('سجل التحفيز'!$E$5:$E$2004,MATCH($K186,'سجل التحفيز'!$Y$5:$Y$2004,0)))</f>
        <v/>
      </c>
      <c r="R186" s="9">
        <f>IF($K186="","",INDEX('سجل التحفيز'!$F$5:$F$2004,MATCH($K186,'سجل التحفيز'!$Y$5:$Y$2004,0)))</f>
        <v/>
      </c>
      <c r="S186" s="35">
        <f>IF($K186="","",INDEX('سجل التحفيز'!$G$5:$G$2004,MATCH($K186,'سجل التحفيز'!$Y$5:$Y$2004,0)))</f>
        <v/>
      </c>
    </row>
    <row r="187">
      <c r="B187" s="34">
        <f>IFERROR(INDEX(الموظفات!$B$5:$B$304,MATCH(150,الموظفات!$S$5:$S$304,0)),"")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التحفيز'!$Y$5:$Y$2004,"&gt;0",'سجل التحفيز'!$B$5:$B$2004,B187))</f>
        <v/>
      </c>
      <c r="E187" s="35">
        <f>IF(B187="","",COUNTIFS('سجل التحفيز'!$Y$5:$Y$2004,"&gt;0",'سجل التحفيز'!$B$5:$B$2004,B187,'سجل التحفيز'!$D$5:$D$2004,"ذهبي"))</f>
        <v/>
      </c>
      <c r="F187" s="35">
        <f>IF(B187="","",SUMIFS('سجل التحفيز'!$G$5:$G$2004,'سجل التحفيز'!$Y$5:$Y$2004,"&gt;0",'سجل التحفيز'!$B$5:$B$2004,B187))</f>
        <v/>
      </c>
      <c r="G187" s="35">
        <f>IF(B187="","",COUNTIF($D$38:$D$187,"&gt;"&amp;D187)+1)</f>
        <v/>
      </c>
      <c r="H187" s="35">
        <f>IF(B187="","",INDEX(الموظفات!$L$5:$L$304,MATCH(B187,الموظفات!$B$5:$B$304,0)))</f>
        <v/>
      </c>
      <c r="K187" s="36">
        <f>IF(150&gt;$B$10,"",150)</f>
        <v/>
      </c>
      <c r="L187" s="37">
        <f>IF($K187="","",INDEX('سجل التحفيز'!$A$5:$A$2004,MATCH($K187,'سجل التحفيز'!$Y$5:$Y$2004,0)))</f>
        <v/>
      </c>
      <c r="M187" s="9">
        <f>IF($K187="","",INDEX('سجل التحفيز'!$B$5:$B$2004,MATCH($K187,'سجل التحفيز'!$Y$5:$Y$2004,0)))</f>
        <v/>
      </c>
      <c r="N187" s="9">
        <f>IF($K187="","",INDEX('سجل التحفيز'!$M$5:$M$2004,MATCH($K187,'سجل التحفيز'!$Y$5:$Y$2004,0)))</f>
        <v/>
      </c>
      <c r="O187" s="9">
        <f>IF($K187="","",INDEX('سجل التحفيز'!$C$5:$C$2004,MATCH($K187,'سجل التحفيز'!$Y$5:$Y$2004,0)))</f>
        <v/>
      </c>
      <c r="P187" s="36">
        <f>IF($K187="","",INDEX('سجل التحفيز'!$D$5:$D$2004,MATCH($K187,'سجل التحفيز'!$Y$5:$Y$2004,0)))</f>
        <v/>
      </c>
      <c r="Q187" s="9">
        <f>IF($K187="","",INDEX('سجل التحفيز'!$E$5:$E$2004,MATCH($K187,'سجل التحفيز'!$Y$5:$Y$2004,0)))</f>
        <v/>
      </c>
      <c r="R187" s="9">
        <f>IF($K187="","",INDEX('سجل التحفيز'!$F$5:$F$2004,MATCH($K187,'سجل التحفيز'!$Y$5:$Y$2004,0)))</f>
        <v/>
      </c>
      <c r="S187" s="35">
        <f>IF($K187="","",INDEX('سجل التحفيز'!$G$5:$G$2004,MATCH($K187,'سجل التحفيز'!$Y$5:$Y$2004,0)))</f>
        <v/>
      </c>
    </row>
    <row r="188">
      <c r="K188" s="36">
        <f>IF(151&gt;$B$10,"",151)</f>
        <v/>
      </c>
      <c r="L188" s="37">
        <f>IF($K188="","",INDEX('سجل التحفيز'!$A$5:$A$2004,MATCH($K188,'سجل التحفيز'!$Y$5:$Y$2004,0)))</f>
        <v/>
      </c>
      <c r="M188" s="9">
        <f>IF($K188="","",INDEX('سجل التحفيز'!$B$5:$B$2004,MATCH($K188,'سجل التحفيز'!$Y$5:$Y$2004,0)))</f>
        <v/>
      </c>
      <c r="N188" s="9">
        <f>IF($K188="","",INDEX('سجل التحفيز'!$M$5:$M$2004,MATCH($K188,'سجل التحفيز'!$Y$5:$Y$2004,0)))</f>
        <v/>
      </c>
      <c r="O188" s="9">
        <f>IF($K188="","",INDEX('سجل التحفيز'!$C$5:$C$2004,MATCH($K188,'سجل التحفيز'!$Y$5:$Y$2004,0)))</f>
        <v/>
      </c>
      <c r="P188" s="36">
        <f>IF($K188="","",INDEX('سجل التحفيز'!$D$5:$D$2004,MATCH($K188,'سجل التحفيز'!$Y$5:$Y$2004,0)))</f>
        <v/>
      </c>
      <c r="Q188" s="9">
        <f>IF($K188="","",INDEX('سجل التحفيز'!$E$5:$E$2004,MATCH($K188,'سجل التحفيز'!$Y$5:$Y$2004,0)))</f>
        <v/>
      </c>
      <c r="R188" s="9">
        <f>IF($K188="","",INDEX('سجل التحفيز'!$F$5:$F$2004,MATCH($K188,'سجل التحفيز'!$Y$5:$Y$2004,0)))</f>
        <v/>
      </c>
      <c r="S188" s="35">
        <f>IF($K188="","",INDEX('سجل التحفيز'!$G$5:$G$2004,MATCH($K188,'سجل التحفيز'!$Y$5:$Y$2004,0)))</f>
        <v/>
      </c>
    </row>
    <row r="189">
      <c r="K189" s="36">
        <f>IF(152&gt;$B$10,"",152)</f>
        <v/>
      </c>
      <c r="L189" s="37">
        <f>IF($K189="","",INDEX('سجل التحفيز'!$A$5:$A$2004,MATCH($K189,'سجل التحفيز'!$Y$5:$Y$2004,0)))</f>
        <v/>
      </c>
      <c r="M189" s="9">
        <f>IF($K189="","",INDEX('سجل التحفيز'!$B$5:$B$2004,MATCH($K189,'سجل التحفيز'!$Y$5:$Y$2004,0)))</f>
        <v/>
      </c>
      <c r="N189" s="9">
        <f>IF($K189="","",INDEX('سجل التحفيز'!$M$5:$M$2004,MATCH($K189,'سجل التحفيز'!$Y$5:$Y$2004,0)))</f>
        <v/>
      </c>
      <c r="O189" s="9">
        <f>IF($K189="","",INDEX('سجل التحفيز'!$C$5:$C$2004,MATCH($K189,'سجل التحفيز'!$Y$5:$Y$2004,0)))</f>
        <v/>
      </c>
      <c r="P189" s="36">
        <f>IF($K189="","",INDEX('سجل التحفيز'!$D$5:$D$2004,MATCH($K189,'سجل التحفيز'!$Y$5:$Y$2004,0)))</f>
        <v/>
      </c>
      <c r="Q189" s="9">
        <f>IF($K189="","",INDEX('سجل التحفيز'!$E$5:$E$2004,MATCH($K189,'سجل التحفيز'!$Y$5:$Y$2004,0)))</f>
        <v/>
      </c>
      <c r="R189" s="9">
        <f>IF($K189="","",INDEX('سجل التحفيز'!$F$5:$F$2004,MATCH($K189,'سجل التحفيز'!$Y$5:$Y$2004,0)))</f>
        <v/>
      </c>
      <c r="S189" s="35">
        <f>IF($K189="","",INDEX('سجل التحفيز'!$G$5:$G$2004,MATCH($K189,'سجل التحفيز'!$Y$5:$Y$2004,0)))</f>
        <v/>
      </c>
    </row>
    <row r="190">
      <c r="K190" s="36">
        <f>IF(153&gt;$B$10,"",153)</f>
        <v/>
      </c>
      <c r="L190" s="37">
        <f>IF($K190="","",INDEX('سجل التحفيز'!$A$5:$A$2004,MATCH($K190,'سجل التحفيز'!$Y$5:$Y$2004,0)))</f>
        <v/>
      </c>
      <c r="M190" s="9">
        <f>IF($K190="","",INDEX('سجل التحفيز'!$B$5:$B$2004,MATCH($K190,'سجل التحفيز'!$Y$5:$Y$2004,0)))</f>
        <v/>
      </c>
      <c r="N190" s="9">
        <f>IF($K190="","",INDEX('سجل التحفيز'!$M$5:$M$2004,MATCH($K190,'سجل التحفيز'!$Y$5:$Y$2004,0)))</f>
        <v/>
      </c>
      <c r="O190" s="9">
        <f>IF($K190="","",INDEX('سجل التحفيز'!$C$5:$C$2004,MATCH($K190,'سجل التحفيز'!$Y$5:$Y$2004,0)))</f>
        <v/>
      </c>
      <c r="P190" s="36">
        <f>IF($K190="","",INDEX('سجل التحفيز'!$D$5:$D$2004,MATCH($K190,'سجل التحفيز'!$Y$5:$Y$2004,0)))</f>
        <v/>
      </c>
      <c r="Q190" s="9">
        <f>IF($K190="","",INDEX('سجل التحفيز'!$E$5:$E$2004,MATCH($K190,'سجل التحفيز'!$Y$5:$Y$2004,0)))</f>
        <v/>
      </c>
      <c r="R190" s="9">
        <f>IF($K190="","",INDEX('سجل التحفيز'!$F$5:$F$2004,MATCH($K190,'سجل التحفيز'!$Y$5:$Y$2004,0)))</f>
        <v/>
      </c>
      <c r="S190" s="35">
        <f>IF($K190="","",INDEX('سجل التحفيز'!$G$5:$G$2004,MATCH($K190,'سجل التحفيز'!$Y$5:$Y$2004,0)))</f>
        <v/>
      </c>
    </row>
    <row r="191">
      <c r="K191" s="36">
        <f>IF(154&gt;$B$10,"",154)</f>
        <v/>
      </c>
      <c r="L191" s="37">
        <f>IF($K191="","",INDEX('سجل التحفيز'!$A$5:$A$2004,MATCH($K191,'سجل التحفيز'!$Y$5:$Y$2004,0)))</f>
        <v/>
      </c>
      <c r="M191" s="9">
        <f>IF($K191="","",INDEX('سجل التحفيز'!$B$5:$B$2004,MATCH($K191,'سجل التحفيز'!$Y$5:$Y$2004,0)))</f>
        <v/>
      </c>
      <c r="N191" s="9">
        <f>IF($K191="","",INDEX('سجل التحفيز'!$M$5:$M$2004,MATCH($K191,'سجل التحفيز'!$Y$5:$Y$2004,0)))</f>
        <v/>
      </c>
      <c r="O191" s="9">
        <f>IF($K191="","",INDEX('سجل التحفيز'!$C$5:$C$2004,MATCH($K191,'سجل التحفيز'!$Y$5:$Y$2004,0)))</f>
        <v/>
      </c>
      <c r="P191" s="36">
        <f>IF($K191="","",INDEX('سجل التحفيز'!$D$5:$D$2004,MATCH($K191,'سجل التحفيز'!$Y$5:$Y$2004,0)))</f>
        <v/>
      </c>
      <c r="Q191" s="9">
        <f>IF($K191="","",INDEX('سجل التحفيز'!$E$5:$E$2004,MATCH($K191,'سجل التحفيز'!$Y$5:$Y$2004,0)))</f>
        <v/>
      </c>
      <c r="R191" s="9">
        <f>IF($K191="","",INDEX('سجل التحفيز'!$F$5:$F$2004,MATCH($K191,'سجل التحفيز'!$Y$5:$Y$2004,0)))</f>
        <v/>
      </c>
      <c r="S191" s="35">
        <f>IF($K191="","",INDEX('سجل التحفيز'!$G$5:$G$2004,MATCH($K191,'سجل التحفيز'!$Y$5:$Y$2004,0)))</f>
        <v/>
      </c>
    </row>
    <row r="192">
      <c r="K192" s="36">
        <f>IF(155&gt;$B$10,"",155)</f>
        <v/>
      </c>
      <c r="L192" s="37">
        <f>IF($K192="","",INDEX('سجل التحفيز'!$A$5:$A$2004,MATCH($K192,'سجل التحفيز'!$Y$5:$Y$2004,0)))</f>
        <v/>
      </c>
      <c r="M192" s="9">
        <f>IF($K192="","",INDEX('سجل التحفيز'!$B$5:$B$2004,MATCH($K192,'سجل التحفيز'!$Y$5:$Y$2004,0)))</f>
        <v/>
      </c>
      <c r="N192" s="9">
        <f>IF($K192="","",INDEX('سجل التحفيز'!$M$5:$M$2004,MATCH($K192,'سجل التحفيز'!$Y$5:$Y$2004,0)))</f>
        <v/>
      </c>
      <c r="O192" s="9">
        <f>IF($K192="","",INDEX('سجل التحفيز'!$C$5:$C$2004,MATCH($K192,'سجل التحفيز'!$Y$5:$Y$2004,0)))</f>
        <v/>
      </c>
      <c r="P192" s="36">
        <f>IF($K192="","",INDEX('سجل التحفيز'!$D$5:$D$2004,MATCH($K192,'سجل التحفيز'!$Y$5:$Y$2004,0)))</f>
        <v/>
      </c>
      <c r="Q192" s="9">
        <f>IF($K192="","",INDEX('سجل التحفيز'!$E$5:$E$2004,MATCH($K192,'سجل التحفيز'!$Y$5:$Y$2004,0)))</f>
        <v/>
      </c>
      <c r="R192" s="9">
        <f>IF($K192="","",INDEX('سجل التحفيز'!$F$5:$F$2004,MATCH($K192,'سجل التحفيز'!$Y$5:$Y$2004,0)))</f>
        <v/>
      </c>
      <c r="S192" s="35">
        <f>IF($K192="","",INDEX('سجل التحفيز'!$G$5:$G$2004,MATCH($K192,'سجل التحفيز'!$Y$5:$Y$2004,0)))</f>
        <v/>
      </c>
    </row>
    <row r="193">
      <c r="K193" s="36">
        <f>IF(156&gt;$B$10,"",156)</f>
        <v/>
      </c>
      <c r="L193" s="37">
        <f>IF($K193="","",INDEX('سجل التحفيز'!$A$5:$A$2004,MATCH($K193,'سجل التحفيز'!$Y$5:$Y$2004,0)))</f>
        <v/>
      </c>
      <c r="M193" s="9">
        <f>IF($K193="","",INDEX('سجل التحفيز'!$B$5:$B$2004,MATCH($K193,'سجل التحفيز'!$Y$5:$Y$2004,0)))</f>
        <v/>
      </c>
      <c r="N193" s="9">
        <f>IF($K193="","",INDEX('سجل التحفيز'!$M$5:$M$2004,MATCH($K193,'سجل التحفيز'!$Y$5:$Y$2004,0)))</f>
        <v/>
      </c>
      <c r="O193" s="9">
        <f>IF($K193="","",INDEX('سجل التحفيز'!$C$5:$C$2004,MATCH($K193,'سجل التحفيز'!$Y$5:$Y$2004,0)))</f>
        <v/>
      </c>
      <c r="P193" s="36">
        <f>IF($K193="","",INDEX('سجل التحفيز'!$D$5:$D$2004,MATCH($K193,'سجل التحفيز'!$Y$5:$Y$2004,0)))</f>
        <v/>
      </c>
      <c r="Q193" s="9">
        <f>IF($K193="","",INDEX('سجل التحفيز'!$E$5:$E$2004,MATCH($K193,'سجل التحفيز'!$Y$5:$Y$2004,0)))</f>
        <v/>
      </c>
      <c r="R193" s="9">
        <f>IF($K193="","",INDEX('سجل التحفيز'!$F$5:$F$2004,MATCH($K193,'سجل التحفيز'!$Y$5:$Y$2004,0)))</f>
        <v/>
      </c>
      <c r="S193" s="35">
        <f>IF($K193="","",INDEX('سجل التحفيز'!$G$5:$G$2004,MATCH($K193,'سجل التحفيز'!$Y$5:$Y$2004,0)))</f>
        <v/>
      </c>
    </row>
    <row r="194">
      <c r="K194" s="36">
        <f>IF(157&gt;$B$10,"",157)</f>
        <v/>
      </c>
      <c r="L194" s="37">
        <f>IF($K194="","",INDEX('سجل التحفيز'!$A$5:$A$2004,MATCH($K194,'سجل التحفيز'!$Y$5:$Y$2004,0)))</f>
        <v/>
      </c>
      <c r="M194" s="9">
        <f>IF($K194="","",INDEX('سجل التحفيز'!$B$5:$B$2004,MATCH($K194,'سجل التحفيز'!$Y$5:$Y$2004,0)))</f>
        <v/>
      </c>
      <c r="N194" s="9">
        <f>IF($K194="","",INDEX('سجل التحفيز'!$M$5:$M$2004,MATCH($K194,'سجل التحفيز'!$Y$5:$Y$2004,0)))</f>
        <v/>
      </c>
      <c r="O194" s="9">
        <f>IF($K194="","",INDEX('سجل التحفيز'!$C$5:$C$2004,MATCH($K194,'سجل التحفيز'!$Y$5:$Y$2004,0)))</f>
        <v/>
      </c>
      <c r="P194" s="36">
        <f>IF($K194="","",INDEX('سجل التحفيز'!$D$5:$D$2004,MATCH($K194,'سجل التحفيز'!$Y$5:$Y$2004,0)))</f>
        <v/>
      </c>
      <c r="Q194" s="9">
        <f>IF($K194="","",INDEX('سجل التحفيز'!$E$5:$E$2004,MATCH($K194,'سجل التحفيز'!$Y$5:$Y$2004,0)))</f>
        <v/>
      </c>
      <c r="R194" s="9">
        <f>IF($K194="","",INDEX('سجل التحفيز'!$F$5:$F$2004,MATCH($K194,'سجل التحفيز'!$Y$5:$Y$2004,0)))</f>
        <v/>
      </c>
      <c r="S194" s="35">
        <f>IF($K194="","",INDEX('سجل التحفيز'!$G$5:$G$2004,MATCH($K194,'سجل التحفيز'!$Y$5:$Y$2004,0)))</f>
        <v/>
      </c>
    </row>
    <row r="195">
      <c r="K195" s="36">
        <f>IF(158&gt;$B$10,"",158)</f>
        <v/>
      </c>
      <c r="L195" s="37">
        <f>IF($K195="","",INDEX('سجل التحفيز'!$A$5:$A$2004,MATCH($K195,'سجل التحفيز'!$Y$5:$Y$2004,0)))</f>
        <v/>
      </c>
      <c r="M195" s="9">
        <f>IF($K195="","",INDEX('سجل التحفيز'!$B$5:$B$2004,MATCH($K195,'سجل التحفيز'!$Y$5:$Y$2004,0)))</f>
        <v/>
      </c>
      <c r="N195" s="9">
        <f>IF($K195="","",INDEX('سجل التحفيز'!$M$5:$M$2004,MATCH($K195,'سجل التحفيز'!$Y$5:$Y$2004,0)))</f>
        <v/>
      </c>
      <c r="O195" s="9">
        <f>IF($K195="","",INDEX('سجل التحفيز'!$C$5:$C$2004,MATCH($K195,'سجل التحفيز'!$Y$5:$Y$2004,0)))</f>
        <v/>
      </c>
      <c r="P195" s="36">
        <f>IF($K195="","",INDEX('سجل التحفيز'!$D$5:$D$2004,MATCH($K195,'سجل التحفيز'!$Y$5:$Y$2004,0)))</f>
        <v/>
      </c>
      <c r="Q195" s="9">
        <f>IF($K195="","",INDEX('سجل التحفيز'!$E$5:$E$2004,MATCH($K195,'سجل التحفيز'!$Y$5:$Y$2004,0)))</f>
        <v/>
      </c>
      <c r="R195" s="9">
        <f>IF($K195="","",INDEX('سجل التحفيز'!$F$5:$F$2004,MATCH($K195,'سجل التحفيز'!$Y$5:$Y$2004,0)))</f>
        <v/>
      </c>
      <c r="S195" s="35">
        <f>IF($K195="","",INDEX('سجل التحفيز'!$G$5:$G$2004,MATCH($K195,'سجل التحفيز'!$Y$5:$Y$2004,0)))</f>
        <v/>
      </c>
    </row>
    <row r="196">
      <c r="K196" s="36">
        <f>IF(159&gt;$B$10,"",159)</f>
        <v/>
      </c>
      <c r="L196" s="37">
        <f>IF($K196="","",INDEX('سجل التحفيز'!$A$5:$A$2004,MATCH($K196,'سجل التحفيز'!$Y$5:$Y$2004,0)))</f>
        <v/>
      </c>
      <c r="M196" s="9">
        <f>IF($K196="","",INDEX('سجل التحفيز'!$B$5:$B$2004,MATCH($K196,'سجل التحفيز'!$Y$5:$Y$2004,0)))</f>
        <v/>
      </c>
      <c r="N196" s="9">
        <f>IF($K196="","",INDEX('سجل التحفيز'!$M$5:$M$2004,MATCH($K196,'سجل التحفيز'!$Y$5:$Y$2004,0)))</f>
        <v/>
      </c>
      <c r="O196" s="9">
        <f>IF($K196="","",INDEX('سجل التحفيز'!$C$5:$C$2004,MATCH($K196,'سجل التحفيز'!$Y$5:$Y$2004,0)))</f>
        <v/>
      </c>
      <c r="P196" s="36">
        <f>IF($K196="","",INDEX('سجل التحفيز'!$D$5:$D$2004,MATCH($K196,'سجل التحفيز'!$Y$5:$Y$2004,0)))</f>
        <v/>
      </c>
      <c r="Q196" s="9">
        <f>IF($K196="","",INDEX('سجل التحفيز'!$E$5:$E$2004,MATCH($K196,'سجل التحفيز'!$Y$5:$Y$2004,0)))</f>
        <v/>
      </c>
      <c r="R196" s="9">
        <f>IF($K196="","",INDEX('سجل التحفيز'!$F$5:$F$2004,MATCH($K196,'سجل التحفيز'!$Y$5:$Y$2004,0)))</f>
        <v/>
      </c>
      <c r="S196" s="35">
        <f>IF($K196="","",INDEX('سجل التحفيز'!$G$5:$G$2004,MATCH($K196,'سجل التحفيز'!$Y$5:$Y$2004,0)))</f>
        <v/>
      </c>
    </row>
    <row r="197">
      <c r="K197" s="36">
        <f>IF(160&gt;$B$10,"",160)</f>
        <v/>
      </c>
      <c r="L197" s="37">
        <f>IF($K197="","",INDEX('سجل التحفيز'!$A$5:$A$2004,MATCH($K197,'سجل التحفيز'!$Y$5:$Y$2004,0)))</f>
        <v/>
      </c>
      <c r="M197" s="9">
        <f>IF($K197="","",INDEX('سجل التحفيز'!$B$5:$B$2004,MATCH($K197,'سجل التحفيز'!$Y$5:$Y$2004,0)))</f>
        <v/>
      </c>
      <c r="N197" s="9">
        <f>IF($K197="","",INDEX('سجل التحفيز'!$M$5:$M$2004,MATCH($K197,'سجل التحفيز'!$Y$5:$Y$2004,0)))</f>
        <v/>
      </c>
      <c r="O197" s="9">
        <f>IF($K197="","",INDEX('سجل التحفيز'!$C$5:$C$2004,MATCH($K197,'سجل التحفيز'!$Y$5:$Y$2004,0)))</f>
        <v/>
      </c>
      <c r="P197" s="36">
        <f>IF($K197="","",INDEX('سجل التحفيز'!$D$5:$D$2004,MATCH($K197,'سجل التحفيز'!$Y$5:$Y$2004,0)))</f>
        <v/>
      </c>
      <c r="Q197" s="9">
        <f>IF($K197="","",INDEX('سجل التحفيز'!$E$5:$E$2004,MATCH($K197,'سجل التحفيز'!$Y$5:$Y$2004,0)))</f>
        <v/>
      </c>
      <c r="R197" s="9">
        <f>IF($K197="","",INDEX('سجل التحفيز'!$F$5:$F$2004,MATCH($K197,'سجل التحفيز'!$Y$5:$Y$2004,0)))</f>
        <v/>
      </c>
      <c r="S197" s="35">
        <f>IF($K197="","",INDEX('سجل التحفيز'!$G$5:$G$2004,MATCH($K197,'سجل التحفيز'!$Y$5:$Y$2004,0)))</f>
        <v/>
      </c>
    </row>
    <row r="198">
      <c r="K198" s="36">
        <f>IF(161&gt;$B$10,"",161)</f>
        <v/>
      </c>
      <c r="L198" s="37">
        <f>IF($K198="","",INDEX('سجل التحفيز'!$A$5:$A$2004,MATCH($K198,'سجل التحفيز'!$Y$5:$Y$2004,0)))</f>
        <v/>
      </c>
      <c r="M198" s="9">
        <f>IF($K198="","",INDEX('سجل التحفيز'!$B$5:$B$2004,MATCH($K198,'سجل التحفيز'!$Y$5:$Y$2004,0)))</f>
        <v/>
      </c>
      <c r="N198" s="9">
        <f>IF($K198="","",INDEX('سجل التحفيز'!$M$5:$M$2004,MATCH($K198,'سجل التحفيز'!$Y$5:$Y$2004,0)))</f>
        <v/>
      </c>
      <c r="O198" s="9">
        <f>IF($K198="","",INDEX('سجل التحفيز'!$C$5:$C$2004,MATCH($K198,'سجل التحفيز'!$Y$5:$Y$2004,0)))</f>
        <v/>
      </c>
      <c r="P198" s="36">
        <f>IF($K198="","",INDEX('سجل التحفيز'!$D$5:$D$2004,MATCH($K198,'سجل التحفيز'!$Y$5:$Y$2004,0)))</f>
        <v/>
      </c>
      <c r="Q198" s="9">
        <f>IF($K198="","",INDEX('سجل التحفيز'!$E$5:$E$2004,MATCH($K198,'سجل التحفيز'!$Y$5:$Y$2004,0)))</f>
        <v/>
      </c>
      <c r="R198" s="9">
        <f>IF($K198="","",INDEX('سجل التحفيز'!$F$5:$F$2004,MATCH($K198,'سجل التحفيز'!$Y$5:$Y$2004,0)))</f>
        <v/>
      </c>
      <c r="S198" s="35">
        <f>IF($K198="","",INDEX('سجل التحفيز'!$G$5:$G$2004,MATCH($K198,'سجل التحفيز'!$Y$5:$Y$2004,0)))</f>
        <v/>
      </c>
    </row>
    <row r="199">
      <c r="K199" s="36">
        <f>IF(162&gt;$B$10,"",162)</f>
        <v/>
      </c>
      <c r="L199" s="37">
        <f>IF($K199="","",INDEX('سجل التحفيز'!$A$5:$A$2004,MATCH($K199,'سجل التحفيز'!$Y$5:$Y$2004,0)))</f>
        <v/>
      </c>
      <c r="M199" s="9">
        <f>IF($K199="","",INDEX('سجل التحفيز'!$B$5:$B$2004,MATCH($K199,'سجل التحفيز'!$Y$5:$Y$2004,0)))</f>
        <v/>
      </c>
      <c r="N199" s="9">
        <f>IF($K199="","",INDEX('سجل التحفيز'!$M$5:$M$2004,MATCH($K199,'سجل التحفيز'!$Y$5:$Y$2004,0)))</f>
        <v/>
      </c>
      <c r="O199" s="9">
        <f>IF($K199="","",INDEX('سجل التحفيز'!$C$5:$C$2004,MATCH($K199,'سجل التحفيز'!$Y$5:$Y$2004,0)))</f>
        <v/>
      </c>
      <c r="P199" s="36">
        <f>IF($K199="","",INDEX('سجل التحفيز'!$D$5:$D$2004,MATCH($K199,'سجل التحفيز'!$Y$5:$Y$2004,0)))</f>
        <v/>
      </c>
      <c r="Q199" s="9">
        <f>IF($K199="","",INDEX('سجل التحفيز'!$E$5:$E$2004,MATCH($K199,'سجل التحفيز'!$Y$5:$Y$2004,0)))</f>
        <v/>
      </c>
      <c r="R199" s="9">
        <f>IF($K199="","",INDEX('سجل التحفيز'!$F$5:$F$2004,MATCH($K199,'سجل التحفيز'!$Y$5:$Y$2004,0)))</f>
        <v/>
      </c>
      <c r="S199" s="35">
        <f>IF($K199="","",INDEX('سجل التحفيز'!$G$5:$G$2004,MATCH($K199,'سجل التحفيز'!$Y$5:$Y$2004,0)))</f>
        <v/>
      </c>
    </row>
    <row r="200">
      <c r="K200" s="36">
        <f>IF(163&gt;$B$10,"",163)</f>
        <v/>
      </c>
      <c r="L200" s="37">
        <f>IF($K200="","",INDEX('سجل التحفيز'!$A$5:$A$2004,MATCH($K200,'سجل التحفيز'!$Y$5:$Y$2004,0)))</f>
        <v/>
      </c>
      <c r="M200" s="9">
        <f>IF($K200="","",INDEX('سجل التحفيز'!$B$5:$B$2004,MATCH($K200,'سجل التحفيز'!$Y$5:$Y$2004,0)))</f>
        <v/>
      </c>
      <c r="N200" s="9">
        <f>IF($K200="","",INDEX('سجل التحفيز'!$M$5:$M$2004,MATCH($K200,'سجل التحفيز'!$Y$5:$Y$2004,0)))</f>
        <v/>
      </c>
      <c r="O200" s="9">
        <f>IF($K200="","",INDEX('سجل التحفيز'!$C$5:$C$2004,MATCH($K200,'سجل التحفيز'!$Y$5:$Y$2004,0)))</f>
        <v/>
      </c>
      <c r="P200" s="36">
        <f>IF($K200="","",INDEX('سجل التحفيز'!$D$5:$D$2004,MATCH($K200,'سجل التحفيز'!$Y$5:$Y$2004,0)))</f>
        <v/>
      </c>
      <c r="Q200" s="9">
        <f>IF($K200="","",INDEX('سجل التحفيز'!$E$5:$E$2004,MATCH($K200,'سجل التحفيز'!$Y$5:$Y$2004,0)))</f>
        <v/>
      </c>
      <c r="R200" s="9">
        <f>IF($K200="","",INDEX('سجل التحفيز'!$F$5:$F$2004,MATCH($K200,'سجل التحفيز'!$Y$5:$Y$2004,0)))</f>
        <v/>
      </c>
      <c r="S200" s="35">
        <f>IF($K200="","",INDEX('سجل التحفيز'!$G$5:$G$2004,MATCH($K200,'سجل التحفيز'!$Y$5:$Y$2004,0)))</f>
        <v/>
      </c>
    </row>
    <row r="201">
      <c r="K201" s="36">
        <f>IF(164&gt;$B$10,"",164)</f>
        <v/>
      </c>
      <c r="L201" s="37">
        <f>IF($K201="","",INDEX('سجل التحفيز'!$A$5:$A$2004,MATCH($K201,'سجل التحفيز'!$Y$5:$Y$2004,0)))</f>
        <v/>
      </c>
      <c r="M201" s="9">
        <f>IF($K201="","",INDEX('سجل التحفيز'!$B$5:$B$2004,MATCH($K201,'سجل التحفيز'!$Y$5:$Y$2004,0)))</f>
        <v/>
      </c>
      <c r="N201" s="9">
        <f>IF($K201="","",INDEX('سجل التحفيز'!$M$5:$M$2004,MATCH($K201,'سجل التحفيز'!$Y$5:$Y$2004,0)))</f>
        <v/>
      </c>
      <c r="O201" s="9">
        <f>IF($K201="","",INDEX('سجل التحفيز'!$C$5:$C$2004,MATCH($K201,'سجل التحفيز'!$Y$5:$Y$2004,0)))</f>
        <v/>
      </c>
      <c r="P201" s="36">
        <f>IF($K201="","",INDEX('سجل التحفيز'!$D$5:$D$2004,MATCH($K201,'سجل التحفيز'!$Y$5:$Y$2004,0)))</f>
        <v/>
      </c>
      <c r="Q201" s="9">
        <f>IF($K201="","",INDEX('سجل التحفيز'!$E$5:$E$2004,MATCH($K201,'سجل التحفيز'!$Y$5:$Y$2004,0)))</f>
        <v/>
      </c>
      <c r="R201" s="9">
        <f>IF($K201="","",INDEX('سجل التحفيز'!$F$5:$F$2004,MATCH($K201,'سجل التحفيز'!$Y$5:$Y$2004,0)))</f>
        <v/>
      </c>
      <c r="S201" s="35">
        <f>IF($K201="","",INDEX('سجل التحفيز'!$G$5:$G$2004,MATCH($K201,'سجل التحفيز'!$Y$5:$Y$2004,0)))</f>
        <v/>
      </c>
    </row>
    <row r="202">
      <c r="K202" s="36">
        <f>IF(165&gt;$B$10,"",165)</f>
        <v/>
      </c>
      <c r="L202" s="37">
        <f>IF($K202="","",INDEX('سجل التحفيز'!$A$5:$A$2004,MATCH($K202,'سجل التحفيز'!$Y$5:$Y$2004,0)))</f>
        <v/>
      </c>
      <c r="M202" s="9">
        <f>IF($K202="","",INDEX('سجل التحفيز'!$B$5:$B$2004,MATCH($K202,'سجل التحفيز'!$Y$5:$Y$2004,0)))</f>
        <v/>
      </c>
      <c r="N202" s="9">
        <f>IF($K202="","",INDEX('سجل التحفيز'!$M$5:$M$2004,MATCH($K202,'سجل التحفيز'!$Y$5:$Y$2004,0)))</f>
        <v/>
      </c>
      <c r="O202" s="9">
        <f>IF($K202="","",INDEX('سجل التحفيز'!$C$5:$C$2004,MATCH($K202,'سجل التحفيز'!$Y$5:$Y$2004,0)))</f>
        <v/>
      </c>
      <c r="P202" s="36">
        <f>IF($K202="","",INDEX('سجل التحفيز'!$D$5:$D$2004,MATCH($K202,'سجل التحفيز'!$Y$5:$Y$2004,0)))</f>
        <v/>
      </c>
      <c r="Q202" s="9">
        <f>IF($K202="","",INDEX('سجل التحفيز'!$E$5:$E$2004,MATCH($K202,'سجل التحفيز'!$Y$5:$Y$2004,0)))</f>
        <v/>
      </c>
      <c r="R202" s="9">
        <f>IF($K202="","",INDEX('سجل التحفيز'!$F$5:$F$2004,MATCH($K202,'سجل التحفيز'!$Y$5:$Y$2004,0)))</f>
        <v/>
      </c>
      <c r="S202" s="35">
        <f>IF($K202="","",INDEX('سجل التحفيز'!$G$5:$G$2004,MATCH($K202,'سجل التحفيز'!$Y$5:$Y$2004,0)))</f>
        <v/>
      </c>
    </row>
    <row r="203">
      <c r="K203" s="36">
        <f>IF(166&gt;$B$10,"",166)</f>
        <v/>
      </c>
      <c r="L203" s="37">
        <f>IF($K203="","",INDEX('سجل التحفيز'!$A$5:$A$2004,MATCH($K203,'سجل التحفيز'!$Y$5:$Y$2004,0)))</f>
        <v/>
      </c>
      <c r="M203" s="9">
        <f>IF($K203="","",INDEX('سجل التحفيز'!$B$5:$B$2004,MATCH($K203,'سجل التحفيز'!$Y$5:$Y$2004,0)))</f>
        <v/>
      </c>
      <c r="N203" s="9">
        <f>IF($K203="","",INDEX('سجل التحفيز'!$M$5:$M$2004,MATCH($K203,'سجل التحفيز'!$Y$5:$Y$2004,0)))</f>
        <v/>
      </c>
      <c r="O203" s="9">
        <f>IF($K203="","",INDEX('سجل التحفيز'!$C$5:$C$2004,MATCH($K203,'سجل التحفيز'!$Y$5:$Y$2004,0)))</f>
        <v/>
      </c>
      <c r="P203" s="36">
        <f>IF($K203="","",INDEX('سجل التحفيز'!$D$5:$D$2004,MATCH($K203,'سجل التحفيز'!$Y$5:$Y$2004,0)))</f>
        <v/>
      </c>
      <c r="Q203" s="9">
        <f>IF($K203="","",INDEX('سجل التحفيز'!$E$5:$E$2004,MATCH($K203,'سجل التحفيز'!$Y$5:$Y$2004,0)))</f>
        <v/>
      </c>
      <c r="R203" s="9">
        <f>IF($K203="","",INDEX('سجل التحفيز'!$F$5:$F$2004,MATCH($K203,'سجل التحفيز'!$Y$5:$Y$2004,0)))</f>
        <v/>
      </c>
      <c r="S203" s="35">
        <f>IF($K203="","",INDEX('سجل التحفيز'!$G$5:$G$2004,MATCH($K203,'سجل التحفيز'!$Y$5:$Y$2004,0)))</f>
        <v/>
      </c>
    </row>
    <row r="204">
      <c r="K204" s="36">
        <f>IF(167&gt;$B$10,"",167)</f>
        <v/>
      </c>
      <c r="L204" s="37">
        <f>IF($K204="","",INDEX('سجل التحفيز'!$A$5:$A$2004,MATCH($K204,'سجل التحفيز'!$Y$5:$Y$2004,0)))</f>
        <v/>
      </c>
      <c r="M204" s="9">
        <f>IF($K204="","",INDEX('سجل التحفيز'!$B$5:$B$2004,MATCH($K204,'سجل التحفيز'!$Y$5:$Y$2004,0)))</f>
        <v/>
      </c>
      <c r="N204" s="9">
        <f>IF($K204="","",INDEX('سجل التحفيز'!$M$5:$M$2004,MATCH($K204,'سجل التحفيز'!$Y$5:$Y$2004,0)))</f>
        <v/>
      </c>
      <c r="O204" s="9">
        <f>IF($K204="","",INDEX('سجل التحفيز'!$C$5:$C$2004,MATCH($K204,'سجل التحفيز'!$Y$5:$Y$2004,0)))</f>
        <v/>
      </c>
      <c r="P204" s="36">
        <f>IF($K204="","",INDEX('سجل التحفيز'!$D$5:$D$2004,MATCH($K204,'سجل التحفيز'!$Y$5:$Y$2004,0)))</f>
        <v/>
      </c>
      <c r="Q204" s="9">
        <f>IF($K204="","",INDEX('سجل التحفيز'!$E$5:$E$2004,MATCH($K204,'سجل التحفيز'!$Y$5:$Y$2004,0)))</f>
        <v/>
      </c>
      <c r="R204" s="9">
        <f>IF($K204="","",INDEX('سجل التحفيز'!$F$5:$F$2004,MATCH($K204,'سجل التحفيز'!$Y$5:$Y$2004,0)))</f>
        <v/>
      </c>
      <c r="S204" s="35">
        <f>IF($K204="","",INDEX('سجل التحفيز'!$G$5:$G$2004,MATCH($K204,'سجل التحفيز'!$Y$5:$Y$2004,0)))</f>
        <v/>
      </c>
    </row>
    <row r="205">
      <c r="K205" s="36">
        <f>IF(168&gt;$B$10,"",168)</f>
        <v/>
      </c>
      <c r="L205" s="37">
        <f>IF($K205="","",INDEX('سجل التحفيز'!$A$5:$A$2004,MATCH($K205,'سجل التحفيز'!$Y$5:$Y$2004,0)))</f>
        <v/>
      </c>
      <c r="M205" s="9">
        <f>IF($K205="","",INDEX('سجل التحفيز'!$B$5:$B$2004,MATCH($K205,'سجل التحفيز'!$Y$5:$Y$2004,0)))</f>
        <v/>
      </c>
      <c r="N205" s="9">
        <f>IF($K205="","",INDEX('سجل التحفيز'!$M$5:$M$2004,MATCH($K205,'سجل التحفيز'!$Y$5:$Y$2004,0)))</f>
        <v/>
      </c>
      <c r="O205" s="9">
        <f>IF($K205="","",INDEX('سجل التحفيز'!$C$5:$C$2004,MATCH($K205,'سجل التحفيز'!$Y$5:$Y$2004,0)))</f>
        <v/>
      </c>
      <c r="P205" s="36">
        <f>IF($K205="","",INDEX('سجل التحفيز'!$D$5:$D$2004,MATCH($K205,'سجل التحفيز'!$Y$5:$Y$2004,0)))</f>
        <v/>
      </c>
      <c r="Q205" s="9">
        <f>IF($K205="","",INDEX('سجل التحفيز'!$E$5:$E$2004,MATCH($K205,'سجل التحفيز'!$Y$5:$Y$2004,0)))</f>
        <v/>
      </c>
      <c r="R205" s="9">
        <f>IF($K205="","",INDEX('سجل التحفيز'!$F$5:$F$2004,MATCH($K205,'سجل التحفيز'!$Y$5:$Y$2004,0)))</f>
        <v/>
      </c>
      <c r="S205" s="35">
        <f>IF($K205="","",INDEX('سجل التحفيز'!$G$5:$G$2004,MATCH($K205,'سجل التحفيز'!$Y$5:$Y$2004,0)))</f>
        <v/>
      </c>
    </row>
    <row r="206">
      <c r="K206" s="36">
        <f>IF(169&gt;$B$10,"",169)</f>
        <v/>
      </c>
      <c r="L206" s="37">
        <f>IF($K206="","",INDEX('سجل التحفيز'!$A$5:$A$2004,MATCH($K206,'سجل التحفيز'!$Y$5:$Y$2004,0)))</f>
        <v/>
      </c>
      <c r="M206" s="9">
        <f>IF($K206="","",INDEX('سجل التحفيز'!$B$5:$B$2004,MATCH($K206,'سجل التحفيز'!$Y$5:$Y$2004,0)))</f>
        <v/>
      </c>
      <c r="N206" s="9">
        <f>IF($K206="","",INDEX('سجل التحفيز'!$M$5:$M$2004,MATCH($K206,'سجل التحفيز'!$Y$5:$Y$2004,0)))</f>
        <v/>
      </c>
      <c r="O206" s="9">
        <f>IF($K206="","",INDEX('سجل التحفيز'!$C$5:$C$2004,MATCH($K206,'سجل التحفيز'!$Y$5:$Y$2004,0)))</f>
        <v/>
      </c>
      <c r="P206" s="36">
        <f>IF($K206="","",INDEX('سجل التحفيز'!$D$5:$D$2004,MATCH($K206,'سجل التحفيز'!$Y$5:$Y$2004,0)))</f>
        <v/>
      </c>
      <c r="Q206" s="9">
        <f>IF($K206="","",INDEX('سجل التحفيز'!$E$5:$E$2004,MATCH($K206,'سجل التحفيز'!$Y$5:$Y$2004,0)))</f>
        <v/>
      </c>
      <c r="R206" s="9">
        <f>IF($K206="","",INDEX('سجل التحفيز'!$F$5:$F$2004,MATCH($K206,'سجل التحفيز'!$Y$5:$Y$2004,0)))</f>
        <v/>
      </c>
      <c r="S206" s="35">
        <f>IF($K206="","",INDEX('سجل التحفيز'!$G$5:$G$2004,MATCH($K206,'سجل التحفيز'!$Y$5:$Y$2004,0)))</f>
        <v/>
      </c>
    </row>
    <row r="207">
      <c r="K207" s="36">
        <f>IF(170&gt;$B$10,"",170)</f>
        <v/>
      </c>
      <c r="L207" s="37">
        <f>IF($K207="","",INDEX('سجل التحفيز'!$A$5:$A$2004,MATCH($K207,'سجل التحفيز'!$Y$5:$Y$2004,0)))</f>
        <v/>
      </c>
      <c r="M207" s="9">
        <f>IF($K207="","",INDEX('سجل التحفيز'!$B$5:$B$2004,MATCH($K207,'سجل التحفيز'!$Y$5:$Y$2004,0)))</f>
        <v/>
      </c>
      <c r="N207" s="9">
        <f>IF($K207="","",INDEX('سجل التحفيز'!$M$5:$M$2004,MATCH($K207,'سجل التحفيز'!$Y$5:$Y$2004,0)))</f>
        <v/>
      </c>
      <c r="O207" s="9">
        <f>IF($K207="","",INDEX('سجل التحفيز'!$C$5:$C$2004,MATCH($K207,'سجل التحفيز'!$Y$5:$Y$2004,0)))</f>
        <v/>
      </c>
      <c r="P207" s="36">
        <f>IF($K207="","",INDEX('سجل التحفيز'!$D$5:$D$2004,MATCH($K207,'سجل التحفيز'!$Y$5:$Y$2004,0)))</f>
        <v/>
      </c>
      <c r="Q207" s="9">
        <f>IF($K207="","",INDEX('سجل التحفيز'!$E$5:$E$2004,MATCH($K207,'سجل التحفيز'!$Y$5:$Y$2004,0)))</f>
        <v/>
      </c>
      <c r="R207" s="9">
        <f>IF($K207="","",INDEX('سجل التحفيز'!$F$5:$F$2004,MATCH($K207,'سجل التحفيز'!$Y$5:$Y$2004,0)))</f>
        <v/>
      </c>
      <c r="S207" s="35">
        <f>IF($K207="","",INDEX('سجل التحفيز'!$G$5:$G$2004,MATCH($K207,'سجل التحفيز'!$Y$5:$Y$2004,0)))</f>
        <v/>
      </c>
    </row>
    <row r="208">
      <c r="K208" s="36">
        <f>IF(171&gt;$B$10,"",171)</f>
        <v/>
      </c>
      <c r="L208" s="37">
        <f>IF($K208="","",INDEX('سجل التحفيز'!$A$5:$A$2004,MATCH($K208,'سجل التحفيز'!$Y$5:$Y$2004,0)))</f>
        <v/>
      </c>
      <c r="M208" s="9">
        <f>IF($K208="","",INDEX('سجل التحفيز'!$B$5:$B$2004,MATCH($K208,'سجل التحفيز'!$Y$5:$Y$2004,0)))</f>
        <v/>
      </c>
      <c r="N208" s="9">
        <f>IF($K208="","",INDEX('سجل التحفيز'!$M$5:$M$2004,MATCH($K208,'سجل التحفيز'!$Y$5:$Y$2004,0)))</f>
        <v/>
      </c>
      <c r="O208" s="9">
        <f>IF($K208="","",INDEX('سجل التحفيز'!$C$5:$C$2004,MATCH($K208,'سجل التحفيز'!$Y$5:$Y$2004,0)))</f>
        <v/>
      </c>
      <c r="P208" s="36">
        <f>IF($K208="","",INDEX('سجل التحفيز'!$D$5:$D$2004,MATCH($K208,'سجل التحفيز'!$Y$5:$Y$2004,0)))</f>
        <v/>
      </c>
      <c r="Q208" s="9">
        <f>IF($K208="","",INDEX('سجل التحفيز'!$E$5:$E$2004,MATCH($K208,'سجل التحفيز'!$Y$5:$Y$2004,0)))</f>
        <v/>
      </c>
      <c r="R208" s="9">
        <f>IF($K208="","",INDEX('سجل التحفيز'!$F$5:$F$2004,MATCH($K208,'سجل التحفيز'!$Y$5:$Y$2004,0)))</f>
        <v/>
      </c>
      <c r="S208" s="35">
        <f>IF($K208="","",INDEX('سجل التحفيز'!$G$5:$G$2004,MATCH($K208,'سجل التحفيز'!$Y$5:$Y$2004,0)))</f>
        <v/>
      </c>
    </row>
    <row r="209">
      <c r="K209" s="36">
        <f>IF(172&gt;$B$10,"",172)</f>
        <v/>
      </c>
      <c r="L209" s="37">
        <f>IF($K209="","",INDEX('سجل التحفيز'!$A$5:$A$2004,MATCH($K209,'سجل التحفيز'!$Y$5:$Y$2004,0)))</f>
        <v/>
      </c>
      <c r="M209" s="9">
        <f>IF($K209="","",INDEX('سجل التحفيز'!$B$5:$B$2004,MATCH($K209,'سجل التحفيز'!$Y$5:$Y$2004,0)))</f>
        <v/>
      </c>
      <c r="N209" s="9">
        <f>IF($K209="","",INDEX('سجل التحفيز'!$M$5:$M$2004,MATCH($K209,'سجل التحفيز'!$Y$5:$Y$2004,0)))</f>
        <v/>
      </c>
      <c r="O209" s="9">
        <f>IF($K209="","",INDEX('سجل التحفيز'!$C$5:$C$2004,MATCH($K209,'سجل التحفيز'!$Y$5:$Y$2004,0)))</f>
        <v/>
      </c>
      <c r="P209" s="36">
        <f>IF($K209="","",INDEX('سجل التحفيز'!$D$5:$D$2004,MATCH($K209,'سجل التحفيز'!$Y$5:$Y$2004,0)))</f>
        <v/>
      </c>
      <c r="Q209" s="9">
        <f>IF($K209="","",INDEX('سجل التحفيز'!$E$5:$E$2004,MATCH($K209,'سجل التحفيز'!$Y$5:$Y$2004,0)))</f>
        <v/>
      </c>
      <c r="R209" s="9">
        <f>IF($K209="","",INDEX('سجل التحفيز'!$F$5:$F$2004,MATCH($K209,'سجل التحفيز'!$Y$5:$Y$2004,0)))</f>
        <v/>
      </c>
      <c r="S209" s="35">
        <f>IF($K209="","",INDEX('سجل التحفيز'!$G$5:$G$2004,MATCH($K209,'سجل التحفيز'!$Y$5:$Y$2004,0)))</f>
        <v/>
      </c>
    </row>
    <row r="210">
      <c r="K210" s="36">
        <f>IF(173&gt;$B$10,"",173)</f>
        <v/>
      </c>
      <c r="L210" s="37">
        <f>IF($K210="","",INDEX('سجل التحفيز'!$A$5:$A$2004,MATCH($K210,'سجل التحفيز'!$Y$5:$Y$2004,0)))</f>
        <v/>
      </c>
      <c r="M210" s="9">
        <f>IF($K210="","",INDEX('سجل التحفيز'!$B$5:$B$2004,MATCH($K210,'سجل التحفيز'!$Y$5:$Y$2004,0)))</f>
        <v/>
      </c>
      <c r="N210" s="9">
        <f>IF($K210="","",INDEX('سجل التحفيز'!$M$5:$M$2004,MATCH($K210,'سجل التحفيز'!$Y$5:$Y$2004,0)))</f>
        <v/>
      </c>
      <c r="O210" s="9">
        <f>IF($K210="","",INDEX('سجل التحفيز'!$C$5:$C$2004,MATCH($K210,'سجل التحفيز'!$Y$5:$Y$2004,0)))</f>
        <v/>
      </c>
      <c r="P210" s="36">
        <f>IF($K210="","",INDEX('سجل التحفيز'!$D$5:$D$2004,MATCH($K210,'سجل التحفيز'!$Y$5:$Y$2004,0)))</f>
        <v/>
      </c>
      <c r="Q210" s="9">
        <f>IF($K210="","",INDEX('سجل التحفيز'!$E$5:$E$2004,MATCH($K210,'سجل التحفيز'!$Y$5:$Y$2004,0)))</f>
        <v/>
      </c>
      <c r="R210" s="9">
        <f>IF($K210="","",INDEX('سجل التحفيز'!$F$5:$F$2004,MATCH($K210,'سجل التحفيز'!$Y$5:$Y$2004,0)))</f>
        <v/>
      </c>
      <c r="S210" s="35">
        <f>IF($K210="","",INDEX('سجل التحفيز'!$G$5:$G$2004,MATCH($K210,'سجل التحفيز'!$Y$5:$Y$2004,0)))</f>
        <v/>
      </c>
    </row>
    <row r="211">
      <c r="K211" s="36">
        <f>IF(174&gt;$B$10,"",174)</f>
        <v/>
      </c>
      <c r="L211" s="37">
        <f>IF($K211="","",INDEX('سجل التحفيز'!$A$5:$A$2004,MATCH($K211,'سجل التحفيز'!$Y$5:$Y$2004,0)))</f>
        <v/>
      </c>
      <c r="M211" s="9">
        <f>IF($K211="","",INDEX('سجل التحفيز'!$B$5:$B$2004,MATCH($K211,'سجل التحفيز'!$Y$5:$Y$2004,0)))</f>
        <v/>
      </c>
      <c r="N211" s="9">
        <f>IF($K211="","",INDEX('سجل التحفيز'!$M$5:$M$2004,MATCH($K211,'سجل التحفيز'!$Y$5:$Y$2004,0)))</f>
        <v/>
      </c>
      <c r="O211" s="9">
        <f>IF($K211="","",INDEX('سجل التحفيز'!$C$5:$C$2004,MATCH($K211,'سجل التحفيز'!$Y$5:$Y$2004,0)))</f>
        <v/>
      </c>
      <c r="P211" s="36">
        <f>IF($K211="","",INDEX('سجل التحفيز'!$D$5:$D$2004,MATCH($K211,'سجل التحفيز'!$Y$5:$Y$2004,0)))</f>
        <v/>
      </c>
      <c r="Q211" s="9">
        <f>IF($K211="","",INDEX('سجل التحفيز'!$E$5:$E$2004,MATCH($K211,'سجل التحفيز'!$Y$5:$Y$2004,0)))</f>
        <v/>
      </c>
      <c r="R211" s="9">
        <f>IF($K211="","",INDEX('سجل التحفيز'!$F$5:$F$2004,MATCH($K211,'سجل التحفيز'!$Y$5:$Y$2004,0)))</f>
        <v/>
      </c>
      <c r="S211" s="35">
        <f>IF($K211="","",INDEX('سجل التحفيز'!$G$5:$G$2004,MATCH($K211,'سجل التحفيز'!$Y$5:$Y$2004,0)))</f>
        <v/>
      </c>
    </row>
    <row r="212">
      <c r="K212" s="36">
        <f>IF(175&gt;$B$10,"",175)</f>
        <v/>
      </c>
      <c r="L212" s="37">
        <f>IF($K212="","",INDEX('سجل التحفيز'!$A$5:$A$2004,MATCH($K212,'سجل التحفيز'!$Y$5:$Y$2004,0)))</f>
        <v/>
      </c>
      <c r="M212" s="9">
        <f>IF($K212="","",INDEX('سجل التحفيز'!$B$5:$B$2004,MATCH($K212,'سجل التحفيز'!$Y$5:$Y$2004,0)))</f>
        <v/>
      </c>
      <c r="N212" s="9">
        <f>IF($K212="","",INDEX('سجل التحفيز'!$M$5:$M$2004,MATCH($K212,'سجل التحفيز'!$Y$5:$Y$2004,0)))</f>
        <v/>
      </c>
      <c r="O212" s="9">
        <f>IF($K212="","",INDEX('سجل التحفيز'!$C$5:$C$2004,MATCH($K212,'سجل التحفيز'!$Y$5:$Y$2004,0)))</f>
        <v/>
      </c>
      <c r="P212" s="36">
        <f>IF($K212="","",INDEX('سجل التحفيز'!$D$5:$D$2004,MATCH($K212,'سجل التحفيز'!$Y$5:$Y$2004,0)))</f>
        <v/>
      </c>
      <c r="Q212" s="9">
        <f>IF($K212="","",INDEX('سجل التحفيز'!$E$5:$E$2004,MATCH($K212,'سجل التحفيز'!$Y$5:$Y$2004,0)))</f>
        <v/>
      </c>
      <c r="R212" s="9">
        <f>IF($K212="","",INDEX('سجل التحفيز'!$F$5:$F$2004,MATCH($K212,'سجل التحفيز'!$Y$5:$Y$2004,0)))</f>
        <v/>
      </c>
      <c r="S212" s="35">
        <f>IF($K212="","",INDEX('سجل التحفيز'!$G$5:$G$2004,MATCH($K212,'سجل التحفيز'!$Y$5:$Y$2004,0)))</f>
        <v/>
      </c>
    </row>
    <row r="213">
      <c r="K213" s="36">
        <f>IF(176&gt;$B$10,"",176)</f>
        <v/>
      </c>
      <c r="L213" s="37">
        <f>IF($K213="","",INDEX('سجل التحفيز'!$A$5:$A$2004,MATCH($K213,'سجل التحفيز'!$Y$5:$Y$2004,0)))</f>
        <v/>
      </c>
      <c r="M213" s="9">
        <f>IF($K213="","",INDEX('سجل التحفيز'!$B$5:$B$2004,MATCH($K213,'سجل التحفيز'!$Y$5:$Y$2004,0)))</f>
        <v/>
      </c>
      <c r="N213" s="9">
        <f>IF($K213="","",INDEX('سجل التحفيز'!$M$5:$M$2004,MATCH($K213,'سجل التحفيز'!$Y$5:$Y$2004,0)))</f>
        <v/>
      </c>
      <c r="O213" s="9">
        <f>IF($K213="","",INDEX('سجل التحفيز'!$C$5:$C$2004,MATCH($K213,'سجل التحفيز'!$Y$5:$Y$2004,0)))</f>
        <v/>
      </c>
      <c r="P213" s="36">
        <f>IF($K213="","",INDEX('سجل التحفيز'!$D$5:$D$2004,MATCH($K213,'سجل التحفيز'!$Y$5:$Y$2004,0)))</f>
        <v/>
      </c>
      <c r="Q213" s="9">
        <f>IF($K213="","",INDEX('سجل التحفيز'!$E$5:$E$2004,MATCH($K213,'سجل التحفيز'!$Y$5:$Y$2004,0)))</f>
        <v/>
      </c>
      <c r="R213" s="9">
        <f>IF($K213="","",INDEX('سجل التحفيز'!$F$5:$F$2004,MATCH($K213,'سجل التحفيز'!$Y$5:$Y$2004,0)))</f>
        <v/>
      </c>
      <c r="S213" s="35">
        <f>IF($K213="","",INDEX('سجل التحفيز'!$G$5:$G$2004,MATCH($K213,'سجل التحفيز'!$Y$5:$Y$2004,0)))</f>
        <v/>
      </c>
    </row>
    <row r="214">
      <c r="K214" s="36">
        <f>IF(177&gt;$B$10,"",177)</f>
        <v/>
      </c>
      <c r="L214" s="37">
        <f>IF($K214="","",INDEX('سجل التحفيز'!$A$5:$A$2004,MATCH($K214,'سجل التحفيز'!$Y$5:$Y$2004,0)))</f>
        <v/>
      </c>
      <c r="M214" s="9">
        <f>IF($K214="","",INDEX('سجل التحفيز'!$B$5:$B$2004,MATCH($K214,'سجل التحفيز'!$Y$5:$Y$2004,0)))</f>
        <v/>
      </c>
      <c r="N214" s="9">
        <f>IF($K214="","",INDEX('سجل التحفيز'!$M$5:$M$2004,MATCH($K214,'سجل التحفيز'!$Y$5:$Y$2004,0)))</f>
        <v/>
      </c>
      <c r="O214" s="9">
        <f>IF($K214="","",INDEX('سجل التحفيز'!$C$5:$C$2004,MATCH($K214,'سجل التحفيز'!$Y$5:$Y$2004,0)))</f>
        <v/>
      </c>
      <c r="P214" s="36">
        <f>IF($K214="","",INDEX('سجل التحفيز'!$D$5:$D$2004,MATCH($K214,'سجل التحفيز'!$Y$5:$Y$2004,0)))</f>
        <v/>
      </c>
      <c r="Q214" s="9">
        <f>IF($K214="","",INDEX('سجل التحفيز'!$E$5:$E$2004,MATCH($K214,'سجل التحفيز'!$Y$5:$Y$2004,0)))</f>
        <v/>
      </c>
      <c r="R214" s="9">
        <f>IF($K214="","",INDEX('سجل التحفيز'!$F$5:$F$2004,MATCH($K214,'سجل التحفيز'!$Y$5:$Y$2004,0)))</f>
        <v/>
      </c>
      <c r="S214" s="35">
        <f>IF($K214="","",INDEX('سجل التحفيز'!$G$5:$G$2004,MATCH($K214,'سجل التحفيز'!$Y$5:$Y$2004,0)))</f>
        <v/>
      </c>
    </row>
    <row r="215">
      <c r="K215" s="36">
        <f>IF(178&gt;$B$10,"",178)</f>
        <v/>
      </c>
      <c r="L215" s="37">
        <f>IF($K215="","",INDEX('سجل التحفيز'!$A$5:$A$2004,MATCH($K215,'سجل التحفيز'!$Y$5:$Y$2004,0)))</f>
        <v/>
      </c>
      <c r="M215" s="9">
        <f>IF($K215="","",INDEX('سجل التحفيز'!$B$5:$B$2004,MATCH($K215,'سجل التحفيز'!$Y$5:$Y$2004,0)))</f>
        <v/>
      </c>
      <c r="N215" s="9">
        <f>IF($K215="","",INDEX('سجل التحفيز'!$M$5:$M$2004,MATCH($K215,'سجل التحفيز'!$Y$5:$Y$2004,0)))</f>
        <v/>
      </c>
      <c r="O215" s="9">
        <f>IF($K215="","",INDEX('سجل التحفيز'!$C$5:$C$2004,MATCH($K215,'سجل التحفيز'!$Y$5:$Y$2004,0)))</f>
        <v/>
      </c>
      <c r="P215" s="36">
        <f>IF($K215="","",INDEX('سجل التحفيز'!$D$5:$D$2004,MATCH($K215,'سجل التحفيز'!$Y$5:$Y$2004,0)))</f>
        <v/>
      </c>
      <c r="Q215" s="9">
        <f>IF($K215="","",INDEX('سجل التحفيز'!$E$5:$E$2004,MATCH($K215,'سجل التحفيز'!$Y$5:$Y$2004,0)))</f>
        <v/>
      </c>
      <c r="R215" s="9">
        <f>IF($K215="","",INDEX('سجل التحفيز'!$F$5:$F$2004,MATCH($K215,'سجل التحفيز'!$Y$5:$Y$2004,0)))</f>
        <v/>
      </c>
      <c r="S215" s="35">
        <f>IF($K215="","",INDEX('سجل التحفيز'!$G$5:$G$2004,MATCH($K215,'سجل التحفيز'!$Y$5:$Y$2004,0)))</f>
        <v/>
      </c>
    </row>
    <row r="216">
      <c r="K216" s="36">
        <f>IF(179&gt;$B$10,"",179)</f>
        <v/>
      </c>
      <c r="L216" s="37">
        <f>IF($K216="","",INDEX('سجل التحفيز'!$A$5:$A$2004,MATCH($K216,'سجل التحفيز'!$Y$5:$Y$2004,0)))</f>
        <v/>
      </c>
      <c r="M216" s="9">
        <f>IF($K216="","",INDEX('سجل التحفيز'!$B$5:$B$2004,MATCH($K216,'سجل التحفيز'!$Y$5:$Y$2004,0)))</f>
        <v/>
      </c>
      <c r="N216" s="9">
        <f>IF($K216="","",INDEX('سجل التحفيز'!$M$5:$M$2004,MATCH($K216,'سجل التحفيز'!$Y$5:$Y$2004,0)))</f>
        <v/>
      </c>
      <c r="O216" s="9">
        <f>IF($K216="","",INDEX('سجل التحفيز'!$C$5:$C$2004,MATCH($K216,'سجل التحفيز'!$Y$5:$Y$2004,0)))</f>
        <v/>
      </c>
      <c r="P216" s="36">
        <f>IF($K216="","",INDEX('سجل التحفيز'!$D$5:$D$2004,MATCH($K216,'سجل التحفيز'!$Y$5:$Y$2004,0)))</f>
        <v/>
      </c>
      <c r="Q216" s="9">
        <f>IF($K216="","",INDEX('سجل التحفيز'!$E$5:$E$2004,MATCH($K216,'سجل التحفيز'!$Y$5:$Y$2004,0)))</f>
        <v/>
      </c>
      <c r="R216" s="9">
        <f>IF($K216="","",INDEX('سجل التحفيز'!$F$5:$F$2004,MATCH($K216,'سجل التحفيز'!$Y$5:$Y$2004,0)))</f>
        <v/>
      </c>
      <c r="S216" s="35">
        <f>IF($K216="","",INDEX('سجل التحفيز'!$G$5:$G$2004,MATCH($K216,'سجل التحفيز'!$Y$5:$Y$2004,0)))</f>
        <v/>
      </c>
    </row>
    <row r="217">
      <c r="K217" s="36">
        <f>IF(180&gt;$B$10,"",180)</f>
        <v/>
      </c>
      <c r="L217" s="37">
        <f>IF($K217="","",INDEX('سجل التحفيز'!$A$5:$A$2004,MATCH($K217,'سجل التحفيز'!$Y$5:$Y$2004,0)))</f>
        <v/>
      </c>
      <c r="M217" s="9">
        <f>IF($K217="","",INDEX('سجل التحفيز'!$B$5:$B$2004,MATCH($K217,'سجل التحفيز'!$Y$5:$Y$2004,0)))</f>
        <v/>
      </c>
      <c r="N217" s="9">
        <f>IF($K217="","",INDEX('سجل التحفيز'!$M$5:$M$2004,MATCH($K217,'سجل التحفيز'!$Y$5:$Y$2004,0)))</f>
        <v/>
      </c>
      <c r="O217" s="9">
        <f>IF($K217="","",INDEX('سجل التحفيز'!$C$5:$C$2004,MATCH($K217,'سجل التحفيز'!$Y$5:$Y$2004,0)))</f>
        <v/>
      </c>
      <c r="P217" s="36">
        <f>IF($K217="","",INDEX('سجل التحفيز'!$D$5:$D$2004,MATCH($K217,'سجل التحفيز'!$Y$5:$Y$2004,0)))</f>
        <v/>
      </c>
      <c r="Q217" s="9">
        <f>IF($K217="","",INDEX('سجل التحفيز'!$E$5:$E$2004,MATCH($K217,'سجل التحفيز'!$Y$5:$Y$2004,0)))</f>
        <v/>
      </c>
      <c r="R217" s="9">
        <f>IF($K217="","",INDEX('سجل التحفيز'!$F$5:$F$2004,MATCH($K217,'سجل التحفيز'!$Y$5:$Y$2004,0)))</f>
        <v/>
      </c>
      <c r="S217" s="35">
        <f>IF($K217="","",INDEX('سجل التحفيز'!$G$5:$G$2004,MATCH($K217,'سجل التحفيز'!$Y$5:$Y$2004,0)))</f>
        <v/>
      </c>
    </row>
    <row r="218">
      <c r="K218" s="36">
        <f>IF(181&gt;$B$10,"",181)</f>
        <v/>
      </c>
      <c r="L218" s="37">
        <f>IF($K218="","",INDEX('سجل التحفيز'!$A$5:$A$2004,MATCH($K218,'سجل التحفيز'!$Y$5:$Y$2004,0)))</f>
        <v/>
      </c>
      <c r="M218" s="9">
        <f>IF($K218="","",INDEX('سجل التحفيز'!$B$5:$B$2004,MATCH($K218,'سجل التحفيز'!$Y$5:$Y$2004,0)))</f>
        <v/>
      </c>
      <c r="N218" s="9">
        <f>IF($K218="","",INDEX('سجل التحفيز'!$M$5:$M$2004,MATCH($K218,'سجل التحفيز'!$Y$5:$Y$2004,0)))</f>
        <v/>
      </c>
      <c r="O218" s="9">
        <f>IF($K218="","",INDEX('سجل التحفيز'!$C$5:$C$2004,MATCH($K218,'سجل التحفيز'!$Y$5:$Y$2004,0)))</f>
        <v/>
      </c>
      <c r="P218" s="36">
        <f>IF($K218="","",INDEX('سجل التحفيز'!$D$5:$D$2004,MATCH($K218,'سجل التحفيز'!$Y$5:$Y$2004,0)))</f>
        <v/>
      </c>
      <c r="Q218" s="9">
        <f>IF($K218="","",INDEX('سجل التحفيز'!$E$5:$E$2004,MATCH($K218,'سجل التحفيز'!$Y$5:$Y$2004,0)))</f>
        <v/>
      </c>
      <c r="R218" s="9">
        <f>IF($K218="","",INDEX('سجل التحفيز'!$F$5:$F$2004,MATCH($K218,'سجل التحفيز'!$Y$5:$Y$2004,0)))</f>
        <v/>
      </c>
      <c r="S218" s="35">
        <f>IF($K218="","",INDEX('سجل التحفيز'!$G$5:$G$2004,MATCH($K218,'سجل التحفيز'!$Y$5:$Y$2004,0)))</f>
        <v/>
      </c>
    </row>
    <row r="219">
      <c r="K219" s="36">
        <f>IF(182&gt;$B$10,"",182)</f>
        <v/>
      </c>
      <c r="L219" s="37">
        <f>IF($K219="","",INDEX('سجل التحفيز'!$A$5:$A$2004,MATCH($K219,'سجل التحفيز'!$Y$5:$Y$2004,0)))</f>
        <v/>
      </c>
      <c r="M219" s="9">
        <f>IF($K219="","",INDEX('سجل التحفيز'!$B$5:$B$2004,MATCH($K219,'سجل التحفيز'!$Y$5:$Y$2004,0)))</f>
        <v/>
      </c>
      <c r="N219" s="9">
        <f>IF($K219="","",INDEX('سجل التحفيز'!$M$5:$M$2004,MATCH($K219,'سجل التحفيز'!$Y$5:$Y$2004,0)))</f>
        <v/>
      </c>
      <c r="O219" s="9">
        <f>IF($K219="","",INDEX('سجل التحفيز'!$C$5:$C$2004,MATCH($K219,'سجل التحفيز'!$Y$5:$Y$2004,0)))</f>
        <v/>
      </c>
      <c r="P219" s="36">
        <f>IF($K219="","",INDEX('سجل التحفيز'!$D$5:$D$2004,MATCH($K219,'سجل التحفيز'!$Y$5:$Y$2004,0)))</f>
        <v/>
      </c>
      <c r="Q219" s="9">
        <f>IF($K219="","",INDEX('سجل التحفيز'!$E$5:$E$2004,MATCH($K219,'سجل التحفيز'!$Y$5:$Y$2004,0)))</f>
        <v/>
      </c>
      <c r="R219" s="9">
        <f>IF($K219="","",INDEX('سجل التحفيز'!$F$5:$F$2004,MATCH($K219,'سجل التحفيز'!$Y$5:$Y$2004,0)))</f>
        <v/>
      </c>
      <c r="S219" s="35">
        <f>IF($K219="","",INDEX('سجل التحفيز'!$G$5:$G$2004,MATCH($K219,'سجل التحفيز'!$Y$5:$Y$2004,0)))</f>
        <v/>
      </c>
    </row>
    <row r="220">
      <c r="K220" s="36">
        <f>IF(183&gt;$B$10,"",183)</f>
        <v/>
      </c>
      <c r="L220" s="37">
        <f>IF($K220="","",INDEX('سجل التحفيز'!$A$5:$A$2004,MATCH($K220,'سجل التحفيز'!$Y$5:$Y$2004,0)))</f>
        <v/>
      </c>
      <c r="M220" s="9">
        <f>IF($K220="","",INDEX('سجل التحفيز'!$B$5:$B$2004,MATCH($K220,'سجل التحفيز'!$Y$5:$Y$2004,0)))</f>
        <v/>
      </c>
      <c r="N220" s="9">
        <f>IF($K220="","",INDEX('سجل التحفيز'!$M$5:$M$2004,MATCH($K220,'سجل التحفيز'!$Y$5:$Y$2004,0)))</f>
        <v/>
      </c>
      <c r="O220" s="9">
        <f>IF($K220="","",INDEX('سجل التحفيز'!$C$5:$C$2004,MATCH($K220,'سجل التحفيز'!$Y$5:$Y$2004,0)))</f>
        <v/>
      </c>
      <c r="P220" s="36">
        <f>IF($K220="","",INDEX('سجل التحفيز'!$D$5:$D$2004,MATCH($K220,'سجل التحفيز'!$Y$5:$Y$2004,0)))</f>
        <v/>
      </c>
      <c r="Q220" s="9">
        <f>IF($K220="","",INDEX('سجل التحفيز'!$E$5:$E$2004,MATCH($K220,'سجل التحفيز'!$Y$5:$Y$2004,0)))</f>
        <v/>
      </c>
      <c r="R220" s="9">
        <f>IF($K220="","",INDEX('سجل التحفيز'!$F$5:$F$2004,MATCH($K220,'سجل التحفيز'!$Y$5:$Y$2004,0)))</f>
        <v/>
      </c>
      <c r="S220" s="35">
        <f>IF($K220="","",INDEX('سجل التحفيز'!$G$5:$G$2004,MATCH($K220,'سجل التحفيز'!$Y$5:$Y$2004,0)))</f>
        <v/>
      </c>
    </row>
    <row r="221">
      <c r="K221" s="36">
        <f>IF(184&gt;$B$10,"",184)</f>
        <v/>
      </c>
      <c r="L221" s="37">
        <f>IF($K221="","",INDEX('سجل التحفيز'!$A$5:$A$2004,MATCH($K221,'سجل التحفيز'!$Y$5:$Y$2004,0)))</f>
        <v/>
      </c>
      <c r="M221" s="9">
        <f>IF($K221="","",INDEX('سجل التحفيز'!$B$5:$B$2004,MATCH($K221,'سجل التحفيز'!$Y$5:$Y$2004,0)))</f>
        <v/>
      </c>
      <c r="N221" s="9">
        <f>IF($K221="","",INDEX('سجل التحفيز'!$M$5:$M$2004,MATCH($K221,'سجل التحفيز'!$Y$5:$Y$2004,0)))</f>
        <v/>
      </c>
      <c r="O221" s="9">
        <f>IF($K221="","",INDEX('سجل التحفيز'!$C$5:$C$2004,MATCH($K221,'سجل التحفيز'!$Y$5:$Y$2004,0)))</f>
        <v/>
      </c>
      <c r="P221" s="36">
        <f>IF($K221="","",INDEX('سجل التحفيز'!$D$5:$D$2004,MATCH($K221,'سجل التحفيز'!$Y$5:$Y$2004,0)))</f>
        <v/>
      </c>
      <c r="Q221" s="9">
        <f>IF($K221="","",INDEX('سجل التحفيز'!$E$5:$E$2004,MATCH($K221,'سجل التحفيز'!$Y$5:$Y$2004,0)))</f>
        <v/>
      </c>
      <c r="R221" s="9">
        <f>IF($K221="","",INDEX('سجل التحفيز'!$F$5:$F$2004,MATCH($K221,'سجل التحفيز'!$Y$5:$Y$2004,0)))</f>
        <v/>
      </c>
      <c r="S221" s="35">
        <f>IF($K221="","",INDEX('سجل التحفيز'!$G$5:$G$2004,MATCH($K221,'سجل التحفيز'!$Y$5:$Y$2004,0)))</f>
        <v/>
      </c>
    </row>
    <row r="222">
      <c r="K222" s="36">
        <f>IF(185&gt;$B$10,"",185)</f>
        <v/>
      </c>
      <c r="L222" s="37">
        <f>IF($K222="","",INDEX('سجل التحفيز'!$A$5:$A$2004,MATCH($K222,'سجل التحفيز'!$Y$5:$Y$2004,0)))</f>
        <v/>
      </c>
      <c r="M222" s="9">
        <f>IF($K222="","",INDEX('سجل التحفيز'!$B$5:$B$2004,MATCH($K222,'سجل التحفيز'!$Y$5:$Y$2004,0)))</f>
        <v/>
      </c>
      <c r="N222" s="9">
        <f>IF($K222="","",INDEX('سجل التحفيز'!$M$5:$M$2004,MATCH($K222,'سجل التحفيز'!$Y$5:$Y$2004,0)))</f>
        <v/>
      </c>
      <c r="O222" s="9">
        <f>IF($K222="","",INDEX('سجل التحفيز'!$C$5:$C$2004,MATCH($K222,'سجل التحفيز'!$Y$5:$Y$2004,0)))</f>
        <v/>
      </c>
      <c r="P222" s="36">
        <f>IF($K222="","",INDEX('سجل التحفيز'!$D$5:$D$2004,MATCH($K222,'سجل التحفيز'!$Y$5:$Y$2004,0)))</f>
        <v/>
      </c>
      <c r="Q222" s="9">
        <f>IF($K222="","",INDEX('سجل التحفيز'!$E$5:$E$2004,MATCH($K222,'سجل التحفيز'!$Y$5:$Y$2004,0)))</f>
        <v/>
      </c>
      <c r="R222" s="9">
        <f>IF($K222="","",INDEX('سجل التحفيز'!$F$5:$F$2004,MATCH($K222,'سجل التحفيز'!$Y$5:$Y$2004,0)))</f>
        <v/>
      </c>
      <c r="S222" s="35">
        <f>IF($K222="","",INDEX('سجل التحفيز'!$G$5:$G$2004,MATCH($K222,'سجل التحفيز'!$Y$5:$Y$2004,0)))</f>
        <v/>
      </c>
    </row>
    <row r="223">
      <c r="K223" s="36">
        <f>IF(186&gt;$B$10,"",186)</f>
        <v/>
      </c>
      <c r="L223" s="37">
        <f>IF($K223="","",INDEX('سجل التحفيز'!$A$5:$A$2004,MATCH($K223,'سجل التحفيز'!$Y$5:$Y$2004,0)))</f>
        <v/>
      </c>
      <c r="M223" s="9">
        <f>IF($K223="","",INDEX('سجل التحفيز'!$B$5:$B$2004,MATCH($K223,'سجل التحفيز'!$Y$5:$Y$2004,0)))</f>
        <v/>
      </c>
      <c r="N223" s="9">
        <f>IF($K223="","",INDEX('سجل التحفيز'!$M$5:$M$2004,MATCH($K223,'سجل التحفيز'!$Y$5:$Y$2004,0)))</f>
        <v/>
      </c>
      <c r="O223" s="9">
        <f>IF($K223="","",INDEX('سجل التحفيز'!$C$5:$C$2004,MATCH($K223,'سجل التحفيز'!$Y$5:$Y$2004,0)))</f>
        <v/>
      </c>
      <c r="P223" s="36">
        <f>IF($K223="","",INDEX('سجل التحفيز'!$D$5:$D$2004,MATCH($K223,'سجل التحفيز'!$Y$5:$Y$2004,0)))</f>
        <v/>
      </c>
      <c r="Q223" s="9">
        <f>IF($K223="","",INDEX('سجل التحفيز'!$E$5:$E$2004,MATCH($K223,'سجل التحفيز'!$Y$5:$Y$2004,0)))</f>
        <v/>
      </c>
      <c r="R223" s="9">
        <f>IF($K223="","",INDEX('سجل التحفيز'!$F$5:$F$2004,MATCH($K223,'سجل التحفيز'!$Y$5:$Y$2004,0)))</f>
        <v/>
      </c>
      <c r="S223" s="35">
        <f>IF($K223="","",INDEX('سجل التحفيز'!$G$5:$G$2004,MATCH($K223,'سجل التحفيز'!$Y$5:$Y$2004,0)))</f>
        <v/>
      </c>
    </row>
    <row r="224">
      <c r="K224" s="36">
        <f>IF(187&gt;$B$10,"",187)</f>
        <v/>
      </c>
      <c r="L224" s="37">
        <f>IF($K224="","",INDEX('سجل التحفيز'!$A$5:$A$2004,MATCH($K224,'سجل التحفيز'!$Y$5:$Y$2004,0)))</f>
        <v/>
      </c>
      <c r="M224" s="9">
        <f>IF($K224="","",INDEX('سجل التحفيز'!$B$5:$B$2004,MATCH($K224,'سجل التحفيز'!$Y$5:$Y$2004,0)))</f>
        <v/>
      </c>
      <c r="N224" s="9">
        <f>IF($K224="","",INDEX('سجل التحفيز'!$M$5:$M$2004,MATCH($K224,'سجل التحفيز'!$Y$5:$Y$2004,0)))</f>
        <v/>
      </c>
      <c r="O224" s="9">
        <f>IF($K224="","",INDEX('سجل التحفيز'!$C$5:$C$2004,MATCH($K224,'سجل التحفيز'!$Y$5:$Y$2004,0)))</f>
        <v/>
      </c>
      <c r="P224" s="36">
        <f>IF($K224="","",INDEX('سجل التحفيز'!$D$5:$D$2004,MATCH($K224,'سجل التحفيز'!$Y$5:$Y$2004,0)))</f>
        <v/>
      </c>
      <c r="Q224" s="9">
        <f>IF($K224="","",INDEX('سجل التحفيز'!$E$5:$E$2004,MATCH($K224,'سجل التحفيز'!$Y$5:$Y$2004,0)))</f>
        <v/>
      </c>
      <c r="R224" s="9">
        <f>IF($K224="","",INDEX('سجل التحفيز'!$F$5:$F$2004,MATCH($K224,'سجل التحفيز'!$Y$5:$Y$2004,0)))</f>
        <v/>
      </c>
      <c r="S224" s="35">
        <f>IF($K224="","",INDEX('سجل التحفيز'!$G$5:$G$2004,MATCH($K224,'سجل التحفيز'!$Y$5:$Y$2004,0)))</f>
        <v/>
      </c>
    </row>
    <row r="225">
      <c r="K225" s="36">
        <f>IF(188&gt;$B$10,"",188)</f>
        <v/>
      </c>
      <c r="L225" s="37">
        <f>IF($K225="","",INDEX('سجل التحفيز'!$A$5:$A$2004,MATCH($K225,'سجل التحفيز'!$Y$5:$Y$2004,0)))</f>
        <v/>
      </c>
      <c r="M225" s="9">
        <f>IF($K225="","",INDEX('سجل التحفيز'!$B$5:$B$2004,MATCH($K225,'سجل التحفيز'!$Y$5:$Y$2004,0)))</f>
        <v/>
      </c>
      <c r="N225" s="9">
        <f>IF($K225="","",INDEX('سجل التحفيز'!$M$5:$M$2004,MATCH($K225,'سجل التحفيز'!$Y$5:$Y$2004,0)))</f>
        <v/>
      </c>
      <c r="O225" s="9">
        <f>IF($K225="","",INDEX('سجل التحفيز'!$C$5:$C$2004,MATCH($K225,'سجل التحفيز'!$Y$5:$Y$2004,0)))</f>
        <v/>
      </c>
      <c r="P225" s="36">
        <f>IF($K225="","",INDEX('سجل التحفيز'!$D$5:$D$2004,MATCH($K225,'سجل التحفيز'!$Y$5:$Y$2004,0)))</f>
        <v/>
      </c>
      <c r="Q225" s="9">
        <f>IF($K225="","",INDEX('سجل التحفيز'!$E$5:$E$2004,MATCH($K225,'سجل التحفيز'!$Y$5:$Y$2004,0)))</f>
        <v/>
      </c>
      <c r="R225" s="9">
        <f>IF($K225="","",INDEX('سجل التحفيز'!$F$5:$F$2004,MATCH($K225,'سجل التحفيز'!$Y$5:$Y$2004,0)))</f>
        <v/>
      </c>
      <c r="S225" s="35">
        <f>IF($K225="","",INDEX('سجل التحفيز'!$G$5:$G$2004,MATCH($K225,'سجل التحفيز'!$Y$5:$Y$2004,0)))</f>
        <v/>
      </c>
    </row>
    <row r="226">
      <c r="K226" s="36">
        <f>IF(189&gt;$B$10,"",189)</f>
        <v/>
      </c>
      <c r="L226" s="37">
        <f>IF($K226="","",INDEX('سجل التحفيز'!$A$5:$A$2004,MATCH($K226,'سجل التحفيز'!$Y$5:$Y$2004,0)))</f>
        <v/>
      </c>
      <c r="M226" s="9">
        <f>IF($K226="","",INDEX('سجل التحفيز'!$B$5:$B$2004,MATCH($K226,'سجل التحفيز'!$Y$5:$Y$2004,0)))</f>
        <v/>
      </c>
      <c r="N226" s="9">
        <f>IF($K226="","",INDEX('سجل التحفيز'!$M$5:$M$2004,MATCH($K226,'سجل التحفيز'!$Y$5:$Y$2004,0)))</f>
        <v/>
      </c>
      <c r="O226" s="9">
        <f>IF($K226="","",INDEX('سجل التحفيز'!$C$5:$C$2004,MATCH($K226,'سجل التحفيز'!$Y$5:$Y$2004,0)))</f>
        <v/>
      </c>
      <c r="P226" s="36">
        <f>IF($K226="","",INDEX('سجل التحفيز'!$D$5:$D$2004,MATCH($K226,'سجل التحفيز'!$Y$5:$Y$2004,0)))</f>
        <v/>
      </c>
      <c r="Q226" s="9">
        <f>IF($K226="","",INDEX('سجل التحفيز'!$E$5:$E$2004,MATCH($K226,'سجل التحفيز'!$Y$5:$Y$2004,0)))</f>
        <v/>
      </c>
      <c r="R226" s="9">
        <f>IF($K226="","",INDEX('سجل التحفيز'!$F$5:$F$2004,MATCH($K226,'سجل التحفيز'!$Y$5:$Y$2004,0)))</f>
        <v/>
      </c>
      <c r="S226" s="35">
        <f>IF($K226="","",INDEX('سجل التحفيز'!$G$5:$G$2004,MATCH($K226,'سجل التحفيز'!$Y$5:$Y$2004,0)))</f>
        <v/>
      </c>
    </row>
    <row r="227">
      <c r="K227" s="36">
        <f>IF(190&gt;$B$10,"",190)</f>
        <v/>
      </c>
      <c r="L227" s="37">
        <f>IF($K227="","",INDEX('سجل التحفيز'!$A$5:$A$2004,MATCH($K227,'سجل التحفيز'!$Y$5:$Y$2004,0)))</f>
        <v/>
      </c>
      <c r="M227" s="9">
        <f>IF($K227="","",INDEX('سجل التحفيز'!$B$5:$B$2004,MATCH($K227,'سجل التحفيز'!$Y$5:$Y$2004,0)))</f>
        <v/>
      </c>
      <c r="N227" s="9">
        <f>IF($K227="","",INDEX('سجل التحفيز'!$M$5:$M$2004,MATCH($K227,'سجل التحفيز'!$Y$5:$Y$2004,0)))</f>
        <v/>
      </c>
      <c r="O227" s="9">
        <f>IF($K227="","",INDEX('سجل التحفيز'!$C$5:$C$2004,MATCH($K227,'سجل التحفيز'!$Y$5:$Y$2004,0)))</f>
        <v/>
      </c>
      <c r="P227" s="36">
        <f>IF($K227="","",INDEX('سجل التحفيز'!$D$5:$D$2004,MATCH($K227,'سجل التحفيز'!$Y$5:$Y$2004,0)))</f>
        <v/>
      </c>
      <c r="Q227" s="9">
        <f>IF($K227="","",INDEX('سجل التحفيز'!$E$5:$E$2004,MATCH($K227,'سجل التحفيز'!$Y$5:$Y$2004,0)))</f>
        <v/>
      </c>
      <c r="R227" s="9">
        <f>IF($K227="","",INDEX('سجل التحفيز'!$F$5:$F$2004,MATCH($K227,'سجل التحفيز'!$Y$5:$Y$2004,0)))</f>
        <v/>
      </c>
      <c r="S227" s="35">
        <f>IF($K227="","",INDEX('سجل التحفيز'!$G$5:$G$2004,MATCH($K227,'سجل التحفيز'!$Y$5:$Y$2004,0)))</f>
        <v/>
      </c>
    </row>
    <row r="228">
      <c r="K228" s="36">
        <f>IF(191&gt;$B$10,"",191)</f>
        <v/>
      </c>
      <c r="L228" s="37">
        <f>IF($K228="","",INDEX('سجل التحفيز'!$A$5:$A$2004,MATCH($K228,'سجل التحفيز'!$Y$5:$Y$2004,0)))</f>
        <v/>
      </c>
      <c r="M228" s="9">
        <f>IF($K228="","",INDEX('سجل التحفيز'!$B$5:$B$2004,MATCH($K228,'سجل التحفيز'!$Y$5:$Y$2004,0)))</f>
        <v/>
      </c>
      <c r="N228" s="9">
        <f>IF($K228="","",INDEX('سجل التحفيز'!$M$5:$M$2004,MATCH($K228,'سجل التحفيز'!$Y$5:$Y$2004,0)))</f>
        <v/>
      </c>
      <c r="O228" s="9">
        <f>IF($K228="","",INDEX('سجل التحفيز'!$C$5:$C$2004,MATCH($K228,'سجل التحفيز'!$Y$5:$Y$2004,0)))</f>
        <v/>
      </c>
      <c r="P228" s="36">
        <f>IF($K228="","",INDEX('سجل التحفيز'!$D$5:$D$2004,MATCH($K228,'سجل التحفيز'!$Y$5:$Y$2004,0)))</f>
        <v/>
      </c>
      <c r="Q228" s="9">
        <f>IF($K228="","",INDEX('سجل التحفيز'!$E$5:$E$2004,MATCH($K228,'سجل التحفيز'!$Y$5:$Y$2004,0)))</f>
        <v/>
      </c>
      <c r="R228" s="9">
        <f>IF($K228="","",INDEX('سجل التحفيز'!$F$5:$F$2004,MATCH($K228,'سجل التحفيز'!$Y$5:$Y$2004,0)))</f>
        <v/>
      </c>
      <c r="S228" s="35">
        <f>IF($K228="","",INDEX('سجل التحفيز'!$G$5:$G$2004,MATCH($K228,'سجل التحفيز'!$Y$5:$Y$2004,0)))</f>
        <v/>
      </c>
    </row>
    <row r="229">
      <c r="K229" s="36">
        <f>IF(192&gt;$B$10,"",192)</f>
        <v/>
      </c>
      <c r="L229" s="37">
        <f>IF($K229="","",INDEX('سجل التحفيز'!$A$5:$A$2004,MATCH($K229,'سجل التحفيز'!$Y$5:$Y$2004,0)))</f>
        <v/>
      </c>
      <c r="M229" s="9">
        <f>IF($K229="","",INDEX('سجل التحفيز'!$B$5:$B$2004,MATCH($K229,'سجل التحفيز'!$Y$5:$Y$2004,0)))</f>
        <v/>
      </c>
      <c r="N229" s="9">
        <f>IF($K229="","",INDEX('سجل التحفيز'!$M$5:$M$2004,MATCH($K229,'سجل التحفيز'!$Y$5:$Y$2004,0)))</f>
        <v/>
      </c>
      <c r="O229" s="9">
        <f>IF($K229="","",INDEX('سجل التحفيز'!$C$5:$C$2004,MATCH($K229,'سجل التحفيز'!$Y$5:$Y$2004,0)))</f>
        <v/>
      </c>
      <c r="P229" s="36">
        <f>IF($K229="","",INDEX('سجل التحفيز'!$D$5:$D$2004,MATCH($K229,'سجل التحفيز'!$Y$5:$Y$2004,0)))</f>
        <v/>
      </c>
      <c r="Q229" s="9">
        <f>IF($K229="","",INDEX('سجل التحفيز'!$E$5:$E$2004,MATCH($K229,'سجل التحفيز'!$Y$5:$Y$2004,0)))</f>
        <v/>
      </c>
      <c r="R229" s="9">
        <f>IF($K229="","",INDEX('سجل التحفيز'!$F$5:$F$2004,MATCH($K229,'سجل التحفيز'!$Y$5:$Y$2004,0)))</f>
        <v/>
      </c>
      <c r="S229" s="35">
        <f>IF($K229="","",INDEX('سجل التحفيز'!$G$5:$G$2004,MATCH($K229,'سجل التحفيز'!$Y$5:$Y$2004,0)))</f>
        <v/>
      </c>
    </row>
    <row r="230">
      <c r="K230" s="36">
        <f>IF(193&gt;$B$10,"",193)</f>
        <v/>
      </c>
      <c r="L230" s="37">
        <f>IF($K230="","",INDEX('سجل التحفيز'!$A$5:$A$2004,MATCH($K230,'سجل التحفيز'!$Y$5:$Y$2004,0)))</f>
        <v/>
      </c>
      <c r="M230" s="9">
        <f>IF($K230="","",INDEX('سجل التحفيز'!$B$5:$B$2004,MATCH($K230,'سجل التحفيز'!$Y$5:$Y$2004,0)))</f>
        <v/>
      </c>
      <c r="N230" s="9">
        <f>IF($K230="","",INDEX('سجل التحفيز'!$M$5:$M$2004,MATCH($K230,'سجل التحفيز'!$Y$5:$Y$2004,0)))</f>
        <v/>
      </c>
      <c r="O230" s="9">
        <f>IF($K230="","",INDEX('سجل التحفيز'!$C$5:$C$2004,MATCH($K230,'سجل التحفيز'!$Y$5:$Y$2004,0)))</f>
        <v/>
      </c>
      <c r="P230" s="36">
        <f>IF($K230="","",INDEX('سجل التحفيز'!$D$5:$D$2004,MATCH($K230,'سجل التحفيز'!$Y$5:$Y$2004,0)))</f>
        <v/>
      </c>
      <c r="Q230" s="9">
        <f>IF($K230="","",INDEX('سجل التحفيز'!$E$5:$E$2004,MATCH($K230,'سجل التحفيز'!$Y$5:$Y$2004,0)))</f>
        <v/>
      </c>
      <c r="R230" s="9">
        <f>IF($K230="","",INDEX('سجل التحفيز'!$F$5:$F$2004,MATCH($K230,'سجل التحفيز'!$Y$5:$Y$2004,0)))</f>
        <v/>
      </c>
      <c r="S230" s="35">
        <f>IF($K230="","",INDEX('سجل التحفيز'!$G$5:$G$2004,MATCH($K230,'سجل التحفيز'!$Y$5:$Y$2004,0)))</f>
        <v/>
      </c>
    </row>
    <row r="231">
      <c r="K231" s="36">
        <f>IF(194&gt;$B$10,"",194)</f>
        <v/>
      </c>
      <c r="L231" s="37">
        <f>IF($K231="","",INDEX('سجل التحفيز'!$A$5:$A$2004,MATCH($K231,'سجل التحفيز'!$Y$5:$Y$2004,0)))</f>
        <v/>
      </c>
      <c r="M231" s="9">
        <f>IF($K231="","",INDEX('سجل التحفيز'!$B$5:$B$2004,MATCH($K231,'سجل التحفيز'!$Y$5:$Y$2004,0)))</f>
        <v/>
      </c>
      <c r="N231" s="9">
        <f>IF($K231="","",INDEX('سجل التحفيز'!$M$5:$M$2004,MATCH($K231,'سجل التحفيز'!$Y$5:$Y$2004,0)))</f>
        <v/>
      </c>
      <c r="O231" s="9">
        <f>IF($K231="","",INDEX('سجل التحفيز'!$C$5:$C$2004,MATCH($K231,'سجل التحفيز'!$Y$5:$Y$2004,0)))</f>
        <v/>
      </c>
      <c r="P231" s="36">
        <f>IF($K231="","",INDEX('سجل التحفيز'!$D$5:$D$2004,MATCH($K231,'سجل التحفيز'!$Y$5:$Y$2004,0)))</f>
        <v/>
      </c>
      <c r="Q231" s="9">
        <f>IF($K231="","",INDEX('سجل التحفيز'!$E$5:$E$2004,MATCH($K231,'سجل التحفيز'!$Y$5:$Y$2004,0)))</f>
        <v/>
      </c>
      <c r="R231" s="9">
        <f>IF($K231="","",INDEX('سجل التحفيز'!$F$5:$F$2004,MATCH($K231,'سجل التحفيز'!$Y$5:$Y$2004,0)))</f>
        <v/>
      </c>
      <c r="S231" s="35">
        <f>IF($K231="","",INDEX('سجل التحفيز'!$G$5:$G$2004,MATCH($K231,'سجل التحفيز'!$Y$5:$Y$2004,0)))</f>
        <v/>
      </c>
    </row>
    <row r="232">
      <c r="K232" s="36">
        <f>IF(195&gt;$B$10,"",195)</f>
        <v/>
      </c>
      <c r="L232" s="37">
        <f>IF($K232="","",INDEX('سجل التحفيز'!$A$5:$A$2004,MATCH($K232,'سجل التحفيز'!$Y$5:$Y$2004,0)))</f>
        <v/>
      </c>
      <c r="M232" s="9">
        <f>IF($K232="","",INDEX('سجل التحفيز'!$B$5:$B$2004,MATCH($K232,'سجل التحفيز'!$Y$5:$Y$2004,0)))</f>
        <v/>
      </c>
      <c r="N232" s="9">
        <f>IF($K232="","",INDEX('سجل التحفيز'!$M$5:$M$2004,MATCH($K232,'سجل التحفيز'!$Y$5:$Y$2004,0)))</f>
        <v/>
      </c>
      <c r="O232" s="9">
        <f>IF($K232="","",INDEX('سجل التحفيز'!$C$5:$C$2004,MATCH($K232,'سجل التحفيز'!$Y$5:$Y$2004,0)))</f>
        <v/>
      </c>
      <c r="P232" s="36">
        <f>IF($K232="","",INDEX('سجل التحفيز'!$D$5:$D$2004,MATCH($K232,'سجل التحفيز'!$Y$5:$Y$2004,0)))</f>
        <v/>
      </c>
      <c r="Q232" s="9">
        <f>IF($K232="","",INDEX('سجل التحفيز'!$E$5:$E$2004,MATCH($K232,'سجل التحفيز'!$Y$5:$Y$2004,0)))</f>
        <v/>
      </c>
      <c r="R232" s="9">
        <f>IF($K232="","",INDEX('سجل التحفيز'!$F$5:$F$2004,MATCH($K232,'سجل التحفيز'!$Y$5:$Y$2004,0)))</f>
        <v/>
      </c>
      <c r="S232" s="35">
        <f>IF($K232="","",INDEX('سجل التحفيز'!$G$5:$G$2004,MATCH($K232,'سجل التحفيز'!$Y$5:$Y$2004,0)))</f>
        <v/>
      </c>
    </row>
    <row r="233">
      <c r="K233" s="36">
        <f>IF(196&gt;$B$10,"",196)</f>
        <v/>
      </c>
      <c r="L233" s="37">
        <f>IF($K233="","",INDEX('سجل التحفيز'!$A$5:$A$2004,MATCH($K233,'سجل التحفيز'!$Y$5:$Y$2004,0)))</f>
        <v/>
      </c>
      <c r="M233" s="9">
        <f>IF($K233="","",INDEX('سجل التحفيز'!$B$5:$B$2004,MATCH($K233,'سجل التحفيز'!$Y$5:$Y$2004,0)))</f>
        <v/>
      </c>
      <c r="N233" s="9">
        <f>IF($K233="","",INDEX('سجل التحفيز'!$M$5:$M$2004,MATCH($K233,'سجل التحفيز'!$Y$5:$Y$2004,0)))</f>
        <v/>
      </c>
      <c r="O233" s="9">
        <f>IF($K233="","",INDEX('سجل التحفيز'!$C$5:$C$2004,MATCH($K233,'سجل التحفيز'!$Y$5:$Y$2004,0)))</f>
        <v/>
      </c>
      <c r="P233" s="36">
        <f>IF($K233="","",INDEX('سجل التحفيز'!$D$5:$D$2004,MATCH($K233,'سجل التحفيز'!$Y$5:$Y$2004,0)))</f>
        <v/>
      </c>
      <c r="Q233" s="9">
        <f>IF($K233="","",INDEX('سجل التحفيز'!$E$5:$E$2004,MATCH($K233,'سجل التحفيز'!$Y$5:$Y$2004,0)))</f>
        <v/>
      </c>
      <c r="R233" s="9">
        <f>IF($K233="","",INDEX('سجل التحفيز'!$F$5:$F$2004,MATCH($K233,'سجل التحفيز'!$Y$5:$Y$2004,0)))</f>
        <v/>
      </c>
      <c r="S233" s="35">
        <f>IF($K233="","",INDEX('سجل التحفيز'!$G$5:$G$2004,MATCH($K233,'سجل التحفيز'!$Y$5:$Y$2004,0)))</f>
        <v/>
      </c>
    </row>
    <row r="234">
      <c r="K234" s="36">
        <f>IF(197&gt;$B$10,"",197)</f>
        <v/>
      </c>
      <c r="L234" s="37">
        <f>IF($K234="","",INDEX('سجل التحفيز'!$A$5:$A$2004,MATCH($K234,'سجل التحفيز'!$Y$5:$Y$2004,0)))</f>
        <v/>
      </c>
      <c r="M234" s="9">
        <f>IF($K234="","",INDEX('سجل التحفيز'!$B$5:$B$2004,MATCH($K234,'سجل التحفيز'!$Y$5:$Y$2004,0)))</f>
        <v/>
      </c>
      <c r="N234" s="9">
        <f>IF($K234="","",INDEX('سجل التحفيز'!$M$5:$M$2004,MATCH($K234,'سجل التحفيز'!$Y$5:$Y$2004,0)))</f>
        <v/>
      </c>
      <c r="O234" s="9">
        <f>IF($K234="","",INDEX('سجل التحفيز'!$C$5:$C$2004,MATCH($K234,'سجل التحفيز'!$Y$5:$Y$2004,0)))</f>
        <v/>
      </c>
      <c r="P234" s="36">
        <f>IF($K234="","",INDEX('سجل التحفيز'!$D$5:$D$2004,MATCH($K234,'سجل التحفيز'!$Y$5:$Y$2004,0)))</f>
        <v/>
      </c>
      <c r="Q234" s="9">
        <f>IF($K234="","",INDEX('سجل التحفيز'!$E$5:$E$2004,MATCH($K234,'سجل التحفيز'!$Y$5:$Y$2004,0)))</f>
        <v/>
      </c>
      <c r="R234" s="9">
        <f>IF($K234="","",INDEX('سجل التحفيز'!$F$5:$F$2004,MATCH($K234,'سجل التحفيز'!$Y$5:$Y$2004,0)))</f>
        <v/>
      </c>
      <c r="S234" s="35">
        <f>IF($K234="","",INDEX('سجل التحفيز'!$G$5:$G$2004,MATCH($K234,'سجل التحفيز'!$Y$5:$Y$2004,0)))</f>
        <v/>
      </c>
    </row>
    <row r="235">
      <c r="K235" s="36">
        <f>IF(198&gt;$B$10,"",198)</f>
        <v/>
      </c>
      <c r="L235" s="37">
        <f>IF($K235="","",INDEX('سجل التحفيز'!$A$5:$A$2004,MATCH($K235,'سجل التحفيز'!$Y$5:$Y$2004,0)))</f>
        <v/>
      </c>
      <c r="M235" s="9">
        <f>IF($K235="","",INDEX('سجل التحفيز'!$B$5:$B$2004,MATCH($K235,'سجل التحفيز'!$Y$5:$Y$2004,0)))</f>
        <v/>
      </c>
      <c r="N235" s="9">
        <f>IF($K235="","",INDEX('سجل التحفيز'!$M$5:$M$2004,MATCH($K235,'سجل التحفيز'!$Y$5:$Y$2004,0)))</f>
        <v/>
      </c>
      <c r="O235" s="9">
        <f>IF($K235="","",INDEX('سجل التحفيز'!$C$5:$C$2004,MATCH($K235,'سجل التحفيز'!$Y$5:$Y$2004,0)))</f>
        <v/>
      </c>
      <c r="P235" s="36">
        <f>IF($K235="","",INDEX('سجل التحفيز'!$D$5:$D$2004,MATCH($K235,'سجل التحفيز'!$Y$5:$Y$2004,0)))</f>
        <v/>
      </c>
      <c r="Q235" s="9">
        <f>IF($K235="","",INDEX('سجل التحفيز'!$E$5:$E$2004,MATCH($K235,'سجل التحفيز'!$Y$5:$Y$2004,0)))</f>
        <v/>
      </c>
      <c r="R235" s="9">
        <f>IF($K235="","",INDEX('سجل التحفيز'!$F$5:$F$2004,MATCH($K235,'سجل التحفيز'!$Y$5:$Y$2004,0)))</f>
        <v/>
      </c>
      <c r="S235" s="35">
        <f>IF($K235="","",INDEX('سجل التحفيز'!$G$5:$G$2004,MATCH($K235,'سجل التحفيز'!$Y$5:$Y$2004,0)))</f>
        <v/>
      </c>
    </row>
    <row r="236">
      <c r="K236" s="36">
        <f>IF(199&gt;$B$10,"",199)</f>
        <v/>
      </c>
      <c r="L236" s="37">
        <f>IF($K236="","",INDEX('سجل التحفيز'!$A$5:$A$2004,MATCH($K236,'سجل التحفيز'!$Y$5:$Y$2004,0)))</f>
        <v/>
      </c>
      <c r="M236" s="9">
        <f>IF($K236="","",INDEX('سجل التحفيز'!$B$5:$B$2004,MATCH($K236,'سجل التحفيز'!$Y$5:$Y$2004,0)))</f>
        <v/>
      </c>
      <c r="N236" s="9">
        <f>IF($K236="","",INDEX('سجل التحفيز'!$M$5:$M$2004,MATCH($K236,'سجل التحفيز'!$Y$5:$Y$2004,0)))</f>
        <v/>
      </c>
      <c r="O236" s="9">
        <f>IF($K236="","",INDEX('سجل التحفيز'!$C$5:$C$2004,MATCH($K236,'سجل التحفيز'!$Y$5:$Y$2004,0)))</f>
        <v/>
      </c>
      <c r="P236" s="36">
        <f>IF($K236="","",INDEX('سجل التحفيز'!$D$5:$D$2004,MATCH($K236,'سجل التحفيز'!$Y$5:$Y$2004,0)))</f>
        <v/>
      </c>
      <c r="Q236" s="9">
        <f>IF($K236="","",INDEX('سجل التحفيز'!$E$5:$E$2004,MATCH($K236,'سجل التحفيز'!$Y$5:$Y$2004,0)))</f>
        <v/>
      </c>
      <c r="R236" s="9">
        <f>IF($K236="","",INDEX('سجل التحفيز'!$F$5:$F$2004,MATCH($K236,'سجل التحفيز'!$Y$5:$Y$2004,0)))</f>
        <v/>
      </c>
      <c r="S236" s="35">
        <f>IF($K236="","",INDEX('سجل التحفيز'!$G$5:$G$2004,MATCH($K236,'سجل التحفيز'!$Y$5:$Y$2004,0)))</f>
        <v/>
      </c>
    </row>
    <row r="237">
      <c r="K237" s="36">
        <f>IF(200&gt;$B$10,"",200)</f>
        <v/>
      </c>
      <c r="L237" s="37">
        <f>IF($K237="","",INDEX('سجل التحفيز'!$A$5:$A$2004,MATCH($K237,'سجل التحفيز'!$Y$5:$Y$2004,0)))</f>
        <v/>
      </c>
      <c r="M237" s="9">
        <f>IF($K237="","",INDEX('سجل التحفيز'!$B$5:$B$2004,MATCH($K237,'سجل التحفيز'!$Y$5:$Y$2004,0)))</f>
        <v/>
      </c>
      <c r="N237" s="9">
        <f>IF($K237="","",INDEX('سجل التحفيز'!$M$5:$M$2004,MATCH($K237,'سجل التحفيز'!$Y$5:$Y$2004,0)))</f>
        <v/>
      </c>
      <c r="O237" s="9">
        <f>IF($K237="","",INDEX('سجل التحفيز'!$C$5:$C$2004,MATCH($K237,'سجل التحفيز'!$Y$5:$Y$2004,0)))</f>
        <v/>
      </c>
      <c r="P237" s="36">
        <f>IF($K237="","",INDEX('سجل التحفيز'!$D$5:$D$2004,MATCH($K237,'سجل التحفيز'!$Y$5:$Y$2004,0)))</f>
        <v/>
      </c>
      <c r="Q237" s="9">
        <f>IF($K237="","",INDEX('سجل التحفيز'!$E$5:$E$2004,MATCH($K237,'سجل التحفيز'!$Y$5:$Y$2004,0)))</f>
        <v/>
      </c>
      <c r="R237" s="9">
        <f>IF($K237="","",INDEX('سجل التحفيز'!$F$5:$F$2004,MATCH($K237,'سجل التحفيز'!$Y$5:$Y$2004,0)))</f>
        <v/>
      </c>
      <c r="S237" s="35">
        <f>IF($K237="","",INDEX('سجل التحفيز'!$G$5:$G$2004,MATCH($K237,'سجل التحفيز'!$Y$5:$Y$2004,0)))</f>
        <v/>
      </c>
    </row>
    <row r="238">
      <c r="K238" s="36">
        <f>IF(201&gt;$B$10,"",201)</f>
        <v/>
      </c>
      <c r="L238" s="37">
        <f>IF($K238="","",INDEX('سجل التحفيز'!$A$5:$A$2004,MATCH($K238,'سجل التحفيز'!$Y$5:$Y$2004,0)))</f>
        <v/>
      </c>
      <c r="M238" s="9">
        <f>IF($K238="","",INDEX('سجل التحفيز'!$B$5:$B$2004,MATCH($K238,'سجل التحفيز'!$Y$5:$Y$2004,0)))</f>
        <v/>
      </c>
      <c r="N238" s="9">
        <f>IF($K238="","",INDEX('سجل التحفيز'!$M$5:$M$2004,MATCH($K238,'سجل التحفيز'!$Y$5:$Y$2004,0)))</f>
        <v/>
      </c>
      <c r="O238" s="9">
        <f>IF($K238="","",INDEX('سجل التحفيز'!$C$5:$C$2004,MATCH($K238,'سجل التحفيز'!$Y$5:$Y$2004,0)))</f>
        <v/>
      </c>
      <c r="P238" s="36">
        <f>IF($K238="","",INDEX('سجل التحفيز'!$D$5:$D$2004,MATCH($K238,'سجل التحفيز'!$Y$5:$Y$2004,0)))</f>
        <v/>
      </c>
      <c r="Q238" s="9">
        <f>IF($K238="","",INDEX('سجل التحفيز'!$E$5:$E$2004,MATCH($K238,'سجل التحفيز'!$Y$5:$Y$2004,0)))</f>
        <v/>
      </c>
      <c r="R238" s="9">
        <f>IF($K238="","",INDEX('سجل التحفيز'!$F$5:$F$2004,MATCH($K238,'سجل التحفيز'!$Y$5:$Y$2004,0)))</f>
        <v/>
      </c>
      <c r="S238" s="35">
        <f>IF($K238="","",INDEX('سجل التحفيز'!$G$5:$G$2004,MATCH($K238,'سجل التحفيز'!$Y$5:$Y$2004,0)))</f>
        <v/>
      </c>
    </row>
    <row r="239">
      <c r="K239" s="36">
        <f>IF(202&gt;$B$10,"",202)</f>
        <v/>
      </c>
      <c r="L239" s="37">
        <f>IF($K239="","",INDEX('سجل التحفيز'!$A$5:$A$2004,MATCH($K239,'سجل التحفيز'!$Y$5:$Y$2004,0)))</f>
        <v/>
      </c>
      <c r="M239" s="9">
        <f>IF($K239="","",INDEX('سجل التحفيز'!$B$5:$B$2004,MATCH($K239,'سجل التحفيز'!$Y$5:$Y$2004,0)))</f>
        <v/>
      </c>
      <c r="N239" s="9">
        <f>IF($K239="","",INDEX('سجل التحفيز'!$M$5:$M$2004,MATCH($K239,'سجل التحفيز'!$Y$5:$Y$2004,0)))</f>
        <v/>
      </c>
      <c r="O239" s="9">
        <f>IF($K239="","",INDEX('سجل التحفيز'!$C$5:$C$2004,MATCH($K239,'سجل التحفيز'!$Y$5:$Y$2004,0)))</f>
        <v/>
      </c>
      <c r="P239" s="36">
        <f>IF($K239="","",INDEX('سجل التحفيز'!$D$5:$D$2004,MATCH($K239,'سجل التحفيز'!$Y$5:$Y$2004,0)))</f>
        <v/>
      </c>
      <c r="Q239" s="9">
        <f>IF($K239="","",INDEX('سجل التحفيز'!$E$5:$E$2004,MATCH($K239,'سجل التحفيز'!$Y$5:$Y$2004,0)))</f>
        <v/>
      </c>
      <c r="R239" s="9">
        <f>IF($K239="","",INDEX('سجل التحفيز'!$F$5:$F$2004,MATCH($K239,'سجل التحفيز'!$Y$5:$Y$2004,0)))</f>
        <v/>
      </c>
      <c r="S239" s="35">
        <f>IF($K239="","",INDEX('سجل التحفيز'!$G$5:$G$2004,MATCH($K239,'سجل التحفيز'!$Y$5:$Y$2004,0)))</f>
        <v/>
      </c>
    </row>
    <row r="240">
      <c r="K240" s="36">
        <f>IF(203&gt;$B$10,"",203)</f>
        <v/>
      </c>
      <c r="L240" s="37">
        <f>IF($K240="","",INDEX('سجل التحفيز'!$A$5:$A$2004,MATCH($K240,'سجل التحفيز'!$Y$5:$Y$2004,0)))</f>
        <v/>
      </c>
      <c r="M240" s="9">
        <f>IF($K240="","",INDEX('سجل التحفيز'!$B$5:$B$2004,MATCH($K240,'سجل التحفيز'!$Y$5:$Y$2004,0)))</f>
        <v/>
      </c>
      <c r="N240" s="9">
        <f>IF($K240="","",INDEX('سجل التحفيز'!$M$5:$M$2004,MATCH($K240,'سجل التحفيز'!$Y$5:$Y$2004,0)))</f>
        <v/>
      </c>
      <c r="O240" s="9">
        <f>IF($K240="","",INDEX('سجل التحفيز'!$C$5:$C$2004,MATCH($K240,'سجل التحفيز'!$Y$5:$Y$2004,0)))</f>
        <v/>
      </c>
      <c r="P240" s="36">
        <f>IF($K240="","",INDEX('سجل التحفيز'!$D$5:$D$2004,MATCH($K240,'سجل التحفيز'!$Y$5:$Y$2004,0)))</f>
        <v/>
      </c>
      <c r="Q240" s="9">
        <f>IF($K240="","",INDEX('سجل التحفيز'!$E$5:$E$2004,MATCH($K240,'سجل التحفيز'!$Y$5:$Y$2004,0)))</f>
        <v/>
      </c>
      <c r="R240" s="9">
        <f>IF($K240="","",INDEX('سجل التحفيز'!$F$5:$F$2004,MATCH($K240,'سجل التحفيز'!$Y$5:$Y$2004,0)))</f>
        <v/>
      </c>
      <c r="S240" s="35">
        <f>IF($K240="","",INDEX('سجل التحفيز'!$G$5:$G$2004,MATCH($K240,'سجل التحفيز'!$Y$5:$Y$2004,0)))</f>
        <v/>
      </c>
    </row>
    <row r="241">
      <c r="K241" s="36">
        <f>IF(204&gt;$B$10,"",204)</f>
        <v/>
      </c>
      <c r="L241" s="37">
        <f>IF($K241="","",INDEX('سجل التحفيز'!$A$5:$A$2004,MATCH($K241,'سجل التحفيز'!$Y$5:$Y$2004,0)))</f>
        <v/>
      </c>
      <c r="M241" s="9">
        <f>IF($K241="","",INDEX('سجل التحفيز'!$B$5:$B$2004,MATCH($K241,'سجل التحفيز'!$Y$5:$Y$2004,0)))</f>
        <v/>
      </c>
      <c r="N241" s="9">
        <f>IF($K241="","",INDEX('سجل التحفيز'!$M$5:$M$2004,MATCH($K241,'سجل التحفيز'!$Y$5:$Y$2004,0)))</f>
        <v/>
      </c>
      <c r="O241" s="9">
        <f>IF($K241="","",INDEX('سجل التحفيز'!$C$5:$C$2004,MATCH($K241,'سجل التحفيز'!$Y$5:$Y$2004,0)))</f>
        <v/>
      </c>
      <c r="P241" s="36">
        <f>IF($K241="","",INDEX('سجل التحفيز'!$D$5:$D$2004,MATCH($K241,'سجل التحفيز'!$Y$5:$Y$2004,0)))</f>
        <v/>
      </c>
      <c r="Q241" s="9">
        <f>IF($K241="","",INDEX('سجل التحفيز'!$E$5:$E$2004,MATCH($K241,'سجل التحفيز'!$Y$5:$Y$2004,0)))</f>
        <v/>
      </c>
      <c r="R241" s="9">
        <f>IF($K241="","",INDEX('سجل التحفيز'!$F$5:$F$2004,MATCH($K241,'سجل التحفيز'!$Y$5:$Y$2004,0)))</f>
        <v/>
      </c>
      <c r="S241" s="35">
        <f>IF($K241="","",INDEX('سجل التحفيز'!$G$5:$G$2004,MATCH($K241,'سجل التحفيز'!$Y$5:$Y$2004,0)))</f>
        <v/>
      </c>
    </row>
    <row r="242">
      <c r="K242" s="36">
        <f>IF(205&gt;$B$10,"",205)</f>
        <v/>
      </c>
      <c r="L242" s="37">
        <f>IF($K242="","",INDEX('سجل التحفيز'!$A$5:$A$2004,MATCH($K242,'سجل التحفيز'!$Y$5:$Y$2004,0)))</f>
        <v/>
      </c>
      <c r="M242" s="9">
        <f>IF($K242="","",INDEX('سجل التحفيز'!$B$5:$B$2004,MATCH($K242,'سجل التحفيز'!$Y$5:$Y$2004,0)))</f>
        <v/>
      </c>
      <c r="N242" s="9">
        <f>IF($K242="","",INDEX('سجل التحفيز'!$M$5:$M$2004,MATCH($K242,'سجل التحفيز'!$Y$5:$Y$2004,0)))</f>
        <v/>
      </c>
      <c r="O242" s="9">
        <f>IF($K242="","",INDEX('سجل التحفيز'!$C$5:$C$2004,MATCH($K242,'سجل التحفيز'!$Y$5:$Y$2004,0)))</f>
        <v/>
      </c>
      <c r="P242" s="36">
        <f>IF($K242="","",INDEX('سجل التحفيز'!$D$5:$D$2004,MATCH($K242,'سجل التحفيز'!$Y$5:$Y$2004,0)))</f>
        <v/>
      </c>
      <c r="Q242" s="9">
        <f>IF($K242="","",INDEX('سجل التحفيز'!$E$5:$E$2004,MATCH($K242,'سجل التحفيز'!$Y$5:$Y$2004,0)))</f>
        <v/>
      </c>
      <c r="R242" s="9">
        <f>IF($K242="","",INDEX('سجل التحفيز'!$F$5:$F$2004,MATCH($K242,'سجل التحفيز'!$Y$5:$Y$2004,0)))</f>
        <v/>
      </c>
      <c r="S242" s="35">
        <f>IF($K242="","",INDEX('سجل التحفيز'!$G$5:$G$2004,MATCH($K242,'سجل التحفيز'!$Y$5:$Y$2004,0)))</f>
        <v/>
      </c>
    </row>
    <row r="243">
      <c r="K243" s="36">
        <f>IF(206&gt;$B$10,"",206)</f>
        <v/>
      </c>
      <c r="L243" s="37">
        <f>IF($K243="","",INDEX('سجل التحفيز'!$A$5:$A$2004,MATCH($K243,'سجل التحفيز'!$Y$5:$Y$2004,0)))</f>
        <v/>
      </c>
      <c r="M243" s="9">
        <f>IF($K243="","",INDEX('سجل التحفيز'!$B$5:$B$2004,MATCH($K243,'سجل التحفيز'!$Y$5:$Y$2004,0)))</f>
        <v/>
      </c>
      <c r="N243" s="9">
        <f>IF($K243="","",INDEX('سجل التحفيز'!$M$5:$M$2004,MATCH($K243,'سجل التحفيز'!$Y$5:$Y$2004,0)))</f>
        <v/>
      </c>
      <c r="O243" s="9">
        <f>IF($K243="","",INDEX('سجل التحفيز'!$C$5:$C$2004,MATCH($K243,'سجل التحفيز'!$Y$5:$Y$2004,0)))</f>
        <v/>
      </c>
      <c r="P243" s="36">
        <f>IF($K243="","",INDEX('سجل التحفيز'!$D$5:$D$2004,MATCH($K243,'سجل التحفيز'!$Y$5:$Y$2004,0)))</f>
        <v/>
      </c>
      <c r="Q243" s="9">
        <f>IF($K243="","",INDEX('سجل التحفيز'!$E$5:$E$2004,MATCH($K243,'سجل التحفيز'!$Y$5:$Y$2004,0)))</f>
        <v/>
      </c>
      <c r="R243" s="9">
        <f>IF($K243="","",INDEX('سجل التحفيز'!$F$5:$F$2004,MATCH($K243,'سجل التحفيز'!$Y$5:$Y$2004,0)))</f>
        <v/>
      </c>
      <c r="S243" s="35">
        <f>IF($K243="","",INDEX('سجل التحفيز'!$G$5:$G$2004,MATCH($K243,'سجل التحفيز'!$Y$5:$Y$2004,0)))</f>
        <v/>
      </c>
    </row>
    <row r="244">
      <c r="K244" s="36">
        <f>IF(207&gt;$B$10,"",207)</f>
        <v/>
      </c>
      <c r="L244" s="37">
        <f>IF($K244="","",INDEX('سجل التحفيز'!$A$5:$A$2004,MATCH($K244,'سجل التحفيز'!$Y$5:$Y$2004,0)))</f>
        <v/>
      </c>
      <c r="M244" s="9">
        <f>IF($K244="","",INDEX('سجل التحفيز'!$B$5:$B$2004,MATCH($K244,'سجل التحفيز'!$Y$5:$Y$2004,0)))</f>
        <v/>
      </c>
      <c r="N244" s="9">
        <f>IF($K244="","",INDEX('سجل التحفيز'!$M$5:$M$2004,MATCH($K244,'سجل التحفيز'!$Y$5:$Y$2004,0)))</f>
        <v/>
      </c>
      <c r="O244" s="9">
        <f>IF($K244="","",INDEX('سجل التحفيز'!$C$5:$C$2004,MATCH($K244,'سجل التحفيز'!$Y$5:$Y$2004,0)))</f>
        <v/>
      </c>
      <c r="P244" s="36">
        <f>IF($K244="","",INDEX('سجل التحفيز'!$D$5:$D$2004,MATCH($K244,'سجل التحفيز'!$Y$5:$Y$2004,0)))</f>
        <v/>
      </c>
      <c r="Q244" s="9">
        <f>IF($K244="","",INDEX('سجل التحفيز'!$E$5:$E$2004,MATCH($K244,'سجل التحفيز'!$Y$5:$Y$2004,0)))</f>
        <v/>
      </c>
      <c r="R244" s="9">
        <f>IF($K244="","",INDEX('سجل التحفيز'!$F$5:$F$2004,MATCH($K244,'سجل التحفيز'!$Y$5:$Y$2004,0)))</f>
        <v/>
      </c>
      <c r="S244" s="35">
        <f>IF($K244="","",INDEX('سجل التحفيز'!$G$5:$G$2004,MATCH($K244,'سجل التحفيز'!$Y$5:$Y$2004,0)))</f>
        <v/>
      </c>
    </row>
    <row r="245">
      <c r="K245" s="36">
        <f>IF(208&gt;$B$10,"",208)</f>
        <v/>
      </c>
      <c r="L245" s="37">
        <f>IF($K245="","",INDEX('سجل التحفيز'!$A$5:$A$2004,MATCH($K245,'سجل التحفيز'!$Y$5:$Y$2004,0)))</f>
        <v/>
      </c>
      <c r="M245" s="9">
        <f>IF($K245="","",INDEX('سجل التحفيز'!$B$5:$B$2004,MATCH($K245,'سجل التحفيز'!$Y$5:$Y$2004,0)))</f>
        <v/>
      </c>
      <c r="N245" s="9">
        <f>IF($K245="","",INDEX('سجل التحفيز'!$M$5:$M$2004,MATCH($K245,'سجل التحفيز'!$Y$5:$Y$2004,0)))</f>
        <v/>
      </c>
      <c r="O245" s="9">
        <f>IF($K245="","",INDEX('سجل التحفيز'!$C$5:$C$2004,MATCH($K245,'سجل التحفيز'!$Y$5:$Y$2004,0)))</f>
        <v/>
      </c>
      <c r="P245" s="36">
        <f>IF($K245="","",INDEX('سجل التحفيز'!$D$5:$D$2004,MATCH($K245,'سجل التحفيز'!$Y$5:$Y$2004,0)))</f>
        <v/>
      </c>
      <c r="Q245" s="9">
        <f>IF($K245="","",INDEX('سجل التحفيز'!$E$5:$E$2004,MATCH($K245,'سجل التحفيز'!$Y$5:$Y$2004,0)))</f>
        <v/>
      </c>
      <c r="R245" s="9">
        <f>IF($K245="","",INDEX('سجل التحفيز'!$F$5:$F$2004,MATCH($K245,'سجل التحفيز'!$Y$5:$Y$2004,0)))</f>
        <v/>
      </c>
      <c r="S245" s="35">
        <f>IF($K245="","",INDEX('سجل التحفيز'!$G$5:$G$2004,MATCH($K245,'سجل التحفيز'!$Y$5:$Y$2004,0)))</f>
        <v/>
      </c>
    </row>
    <row r="246">
      <c r="K246" s="36">
        <f>IF(209&gt;$B$10,"",209)</f>
        <v/>
      </c>
      <c r="L246" s="37">
        <f>IF($K246="","",INDEX('سجل التحفيز'!$A$5:$A$2004,MATCH($K246,'سجل التحفيز'!$Y$5:$Y$2004,0)))</f>
        <v/>
      </c>
      <c r="M246" s="9">
        <f>IF($K246="","",INDEX('سجل التحفيز'!$B$5:$B$2004,MATCH($K246,'سجل التحفيز'!$Y$5:$Y$2004,0)))</f>
        <v/>
      </c>
      <c r="N246" s="9">
        <f>IF($K246="","",INDEX('سجل التحفيز'!$M$5:$M$2004,MATCH($K246,'سجل التحفيز'!$Y$5:$Y$2004,0)))</f>
        <v/>
      </c>
      <c r="O246" s="9">
        <f>IF($K246="","",INDEX('سجل التحفيز'!$C$5:$C$2004,MATCH($K246,'سجل التحفيز'!$Y$5:$Y$2004,0)))</f>
        <v/>
      </c>
      <c r="P246" s="36">
        <f>IF($K246="","",INDEX('سجل التحفيز'!$D$5:$D$2004,MATCH($K246,'سجل التحفيز'!$Y$5:$Y$2004,0)))</f>
        <v/>
      </c>
      <c r="Q246" s="9">
        <f>IF($K246="","",INDEX('سجل التحفيز'!$E$5:$E$2004,MATCH($K246,'سجل التحفيز'!$Y$5:$Y$2004,0)))</f>
        <v/>
      </c>
      <c r="R246" s="9">
        <f>IF($K246="","",INDEX('سجل التحفيز'!$F$5:$F$2004,MATCH($K246,'سجل التحفيز'!$Y$5:$Y$2004,0)))</f>
        <v/>
      </c>
      <c r="S246" s="35">
        <f>IF($K246="","",INDEX('سجل التحفيز'!$G$5:$G$2004,MATCH($K246,'سجل التحفيز'!$Y$5:$Y$2004,0)))</f>
        <v/>
      </c>
    </row>
    <row r="247">
      <c r="K247" s="36">
        <f>IF(210&gt;$B$10,"",210)</f>
        <v/>
      </c>
      <c r="L247" s="37">
        <f>IF($K247="","",INDEX('سجل التحفيز'!$A$5:$A$2004,MATCH($K247,'سجل التحفيز'!$Y$5:$Y$2004,0)))</f>
        <v/>
      </c>
      <c r="M247" s="9">
        <f>IF($K247="","",INDEX('سجل التحفيز'!$B$5:$B$2004,MATCH($K247,'سجل التحفيز'!$Y$5:$Y$2004,0)))</f>
        <v/>
      </c>
      <c r="N247" s="9">
        <f>IF($K247="","",INDEX('سجل التحفيز'!$M$5:$M$2004,MATCH($K247,'سجل التحفيز'!$Y$5:$Y$2004,0)))</f>
        <v/>
      </c>
      <c r="O247" s="9">
        <f>IF($K247="","",INDEX('سجل التحفيز'!$C$5:$C$2004,MATCH($K247,'سجل التحفيز'!$Y$5:$Y$2004,0)))</f>
        <v/>
      </c>
      <c r="P247" s="36">
        <f>IF($K247="","",INDEX('سجل التحفيز'!$D$5:$D$2004,MATCH($K247,'سجل التحفيز'!$Y$5:$Y$2004,0)))</f>
        <v/>
      </c>
      <c r="Q247" s="9">
        <f>IF($K247="","",INDEX('سجل التحفيز'!$E$5:$E$2004,MATCH($K247,'سجل التحفيز'!$Y$5:$Y$2004,0)))</f>
        <v/>
      </c>
      <c r="R247" s="9">
        <f>IF($K247="","",INDEX('سجل التحفيز'!$F$5:$F$2004,MATCH($K247,'سجل التحفيز'!$Y$5:$Y$2004,0)))</f>
        <v/>
      </c>
      <c r="S247" s="35">
        <f>IF($K247="","",INDEX('سجل التحفيز'!$G$5:$G$2004,MATCH($K247,'سجل التحفيز'!$Y$5:$Y$2004,0)))</f>
        <v/>
      </c>
    </row>
    <row r="248">
      <c r="K248" s="36">
        <f>IF(211&gt;$B$10,"",211)</f>
        <v/>
      </c>
      <c r="L248" s="37">
        <f>IF($K248="","",INDEX('سجل التحفيز'!$A$5:$A$2004,MATCH($K248,'سجل التحفيز'!$Y$5:$Y$2004,0)))</f>
        <v/>
      </c>
      <c r="M248" s="9">
        <f>IF($K248="","",INDEX('سجل التحفيز'!$B$5:$B$2004,MATCH($K248,'سجل التحفيز'!$Y$5:$Y$2004,0)))</f>
        <v/>
      </c>
      <c r="N248" s="9">
        <f>IF($K248="","",INDEX('سجل التحفيز'!$M$5:$M$2004,MATCH($K248,'سجل التحفيز'!$Y$5:$Y$2004,0)))</f>
        <v/>
      </c>
      <c r="O248" s="9">
        <f>IF($K248="","",INDEX('سجل التحفيز'!$C$5:$C$2004,MATCH($K248,'سجل التحفيز'!$Y$5:$Y$2004,0)))</f>
        <v/>
      </c>
      <c r="P248" s="36">
        <f>IF($K248="","",INDEX('سجل التحفيز'!$D$5:$D$2004,MATCH($K248,'سجل التحفيز'!$Y$5:$Y$2004,0)))</f>
        <v/>
      </c>
      <c r="Q248" s="9">
        <f>IF($K248="","",INDEX('سجل التحفيز'!$E$5:$E$2004,MATCH($K248,'سجل التحفيز'!$Y$5:$Y$2004,0)))</f>
        <v/>
      </c>
      <c r="R248" s="9">
        <f>IF($K248="","",INDEX('سجل التحفيز'!$F$5:$F$2004,MATCH($K248,'سجل التحفيز'!$Y$5:$Y$2004,0)))</f>
        <v/>
      </c>
      <c r="S248" s="35">
        <f>IF($K248="","",INDEX('سجل التحفيز'!$G$5:$G$2004,MATCH($K248,'سجل التحفيز'!$Y$5:$Y$2004,0)))</f>
        <v/>
      </c>
    </row>
    <row r="249">
      <c r="K249" s="36">
        <f>IF(212&gt;$B$10,"",212)</f>
        <v/>
      </c>
      <c r="L249" s="37">
        <f>IF($K249="","",INDEX('سجل التحفيز'!$A$5:$A$2004,MATCH($K249,'سجل التحفيز'!$Y$5:$Y$2004,0)))</f>
        <v/>
      </c>
      <c r="M249" s="9">
        <f>IF($K249="","",INDEX('سجل التحفيز'!$B$5:$B$2004,MATCH($K249,'سجل التحفيز'!$Y$5:$Y$2004,0)))</f>
        <v/>
      </c>
      <c r="N249" s="9">
        <f>IF($K249="","",INDEX('سجل التحفيز'!$M$5:$M$2004,MATCH($K249,'سجل التحفيز'!$Y$5:$Y$2004,0)))</f>
        <v/>
      </c>
      <c r="O249" s="9">
        <f>IF($K249="","",INDEX('سجل التحفيز'!$C$5:$C$2004,MATCH($K249,'سجل التحفيز'!$Y$5:$Y$2004,0)))</f>
        <v/>
      </c>
      <c r="P249" s="36">
        <f>IF($K249="","",INDEX('سجل التحفيز'!$D$5:$D$2004,MATCH($K249,'سجل التحفيز'!$Y$5:$Y$2004,0)))</f>
        <v/>
      </c>
      <c r="Q249" s="9">
        <f>IF($K249="","",INDEX('سجل التحفيز'!$E$5:$E$2004,MATCH($K249,'سجل التحفيز'!$Y$5:$Y$2004,0)))</f>
        <v/>
      </c>
      <c r="R249" s="9">
        <f>IF($K249="","",INDEX('سجل التحفيز'!$F$5:$F$2004,MATCH($K249,'سجل التحفيز'!$Y$5:$Y$2004,0)))</f>
        <v/>
      </c>
      <c r="S249" s="35">
        <f>IF($K249="","",INDEX('سجل التحفيز'!$G$5:$G$2004,MATCH($K249,'سجل التحفيز'!$Y$5:$Y$2004,0)))</f>
        <v/>
      </c>
    </row>
    <row r="250">
      <c r="K250" s="36">
        <f>IF(213&gt;$B$10,"",213)</f>
        <v/>
      </c>
      <c r="L250" s="37">
        <f>IF($K250="","",INDEX('سجل التحفيز'!$A$5:$A$2004,MATCH($K250,'سجل التحفيز'!$Y$5:$Y$2004,0)))</f>
        <v/>
      </c>
      <c r="M250" s="9">
        <f>IF($K250="","",INDEX('سجل التحفيز'!$B$5:$B$2004,MATCH($K250,'سجل التحفيز'!$Y$5:$Y$2004,0)))</f>
        <v/>
      </c>
      <c r="N250" s="9">
        <f>IF($K250="","",INDEX('سجل التحفيز'!$M$5:$M$2004,MATCH($K250,'سجل التحفيز'!$Y$5:$Y$2004,0)))</f>
        <v/>
      </c>
      <c r="O250" s="9">
        <f>IF($K250="","",INDEX('سجل التحفيز'!$C$5:$C$2004,MATCH($K250,'سجل التحفيز'!$Y$5:$Y$2004,0)))</f>
        <v/>
      </c>
      <c r="P250" s="36">
        <f>IF($K250="","",INDEX('سجل التحفيز'!$D$5:$D$2004,MATCH($K250,'سجل التحفيز'!$Y$5:$Y$2004,0)))</f>
        <v/>
      </c>
      <c r="Q250" s="9">
        <f>IF($K250="","",INDEX('سجل التحفيز'!$E$5:$E$2004,MATCH($K250,'سجل التحفيز'!$Y$5:$Y$2004,0)))</f>
        <v/>
      </c>
      <c r="R250" s="9">
        <f>IF($K250="","",INDEX('سجل التحفيز'!$F$5:$F$2004,MATCH($K250,'سجل التحفيز'!$Y$5:$Y$2004,0)))</f>
        <v/>
      </c>
      <c r="S250" s="35">
        <f>IF($K250="","",INDEX('سجل التحفيز'!$G$5:$G$2004,MATCH($K250,'سجل التحفيز'!$Y$5:$Y$2004,0)))</f>
        <v/>
      </c>
    </row>
    <row r="251">
      <c r="K251" s="36">
        <f>IF(214&gt;$B$10,"",214)</f>
        <v/>
      </c>
      <c r="L251" s="37">
        <f>IF($K251="","",INDEX('سجل التحفيز'!$A$5:$A$2004,MATCH($K251,'سجل التحفيز'!$Y$5:$Y$2004,0)))</f>
        <v/>
      </c>
      <c r="M251" s="9">
        <f>IF($K251="","",INDEX('سجل التحفيز'!$B$5:$B$2004,MATCH($K251,'سجل التحفيز'!$Y$5:$Y$2004,0)))</f>
        <v/>
      </c>
      <c r="N251" s="9">
        <f>IF($K251="","",INDEX('سجل التحفيز'!$M$5:$M$2004,MATCH($K251,'سجل التحفيز'!$Y$5:$Y$2004,0)))</f>
        <v/>
      </c>
      <c r="O251" s="9">
        <f>IF($K251="","",INDEX('سجل التحفيز'!$C$5:$C$2004,MATCH($K251,'سجل التحفيز'!$Y$5:$Y$2004,0)))</f>
        <v/>
      </c>
      <c r="P251" s="36">
        <f>IF($K251="","",INDEX('سجل التحفيز'!$D$5:$D$2004,MATCH($K251,'سجل التحفيز'!$Y$5:$Y$2004,0)))</f>
        <v/>
      </c>
      <c r="Q251" s="9">
        <f>IF($K251="","",INDEX('سجل التحفيز'!$E$5:$E$2004,MATCH($K251,'سجل التحفيز'!$Y$5:$Y$2004,0)))</f>
        <v/>
      </c>
      <c r="R251" s="9">
        <f>IF($K251="","",INDEX('سجل التحفيز'!$F$5:$F$2004,MATCH($K251,'سجل التحفيز'!$Y$5:$Y$2004,0)))</f>
        <v/>
      </c>
      <c r="S251" s="35">
        <f>IF($K251="","",INDEX('سجل التحفيز'!$G$5:$G$2004,MATCH($K251,'سجل التحفيز'!$Y$5:$Y$2004,0)))</f>
        <v/>
      </c>
    </row>
    <row r="252">
      <c r="K252" s="36">
        <f>IF(215&gt;$B$10,"",215)</f>
        <v/>
      </c>
      <c r="L252" s="37">
        <f>IF($K252="","",INDEX('سجل التحفيز'!$A$5:$A$2004,MATCH($K252,'سجل التحفيز'!$Y$5:$Y$2004,0)))</f>
        <v/>
      </c>
      <c r="M252" s="9">
        <f>IF($K252="","",INDEX('سجل التحفيز'!$B$5:$B$2004,MATCH($K252,'سجل التحفيز'!$Y$5:$Y$2004,0)))</f>
        <v/>
      </c>
      <c r="N252" s="9">
        <f>IF($K252="","",INDEX('سجل التحفيز'!$M$5:$M$2004,MATCH($K252,'سجل التحفيز'!$Y$5:$Y$2004,0)))</f>
        <v/>
      </c>
      <c r="O252" s="9">
        <f>IF($K252="","",INDEX('سجل التحفيز'!$C$5:$C$2004,MATCH($K252,'سجل التحفيز'!$Y$5:$Y$2004,0)))</f>
        <v/>
      </c>
      <c r="P252" s="36">
        <f>IF($K252="","",INDEX('سجل التحفيز'!$D$5:$D$2004,MATCH($K252,'سجل التحفيز'!$Y$5:$Y$2004,0)))</f>
        <v/>
      </c>
      <c r="Q252" s="9">
        <f>IF($K252="","",INDEX('سجل التحفيز'!$E$5:$E$2004,MATCH($K252,'سجل التحفيز'!$Y$5:$Y$2004,0)))</f>
        <v/>
      </c>
      <c r="R252" s="9">
        <f>IF($K252="","",INDEX('سجل التحفيز'!$F$5:$F$2004,MATCH($K252,'سجل التحفيز'!$Y$5:$Y$2004,0)))</f>
        <v/>
      </c>
      <c r="S252" s="35">
        <f>IF($K252="","",INDEX('سجل التحفيز'!$G$5:$G$2004,MATCH($K252,'سجل التحفيز'!$Y$5:$Y$2004,0)))</f>
        <v/>
      </c>
    </row>
    <row r="253">
      <c r="K253" s="36">
        <f>IF(216&gt;$B$10,"",216)</f>
        <v/>
      </c>
      <c r="L253" s="37">
        <f>IF($K253="","",INDEX('سجل التحفيز'!$A$5:$A$2004,MATCH($K253,'سجل التحفيز'!$Y$5:$Y$2004,0)))</f>
        <v/>
      </c>
      <c r="M253" s="9">
        <f>IF($K253="","",INDEX('سجل التحفيز'!$B$5:$B$2004,MATCH($K253,'سجل التحفيز'!$Y$5:$Y$2004,0)))</f>
        <v/>
      </c>
      <c r="N253" s="9">
        <f>IF($K253="","",INDEX('سجل التحفيز'!$M$5:$M$2004,MATCH($K253,'سجل التحفيز'!$Y$5:$Y$2004,0)))</f>
        <v/>
      </c>
      <c r="O253" s="9">
        <f>IF($K253="","",INDEX('سجل التحفيز'!$C$5:$C$2004,MATCH($K253,'سجل التحفيز'!$Y$5:$Y$2004,0)))</f>
        <v/>
      </c>
      <c r="P253" s="36">
        <f>IF($K253="","",INDEX('سجل التحفيز'!$D$5:$D$2004,MATCH($K253,'سجل التحفيز'!$Y$5:$Y$2004,0)))</f>
        <v/>
      </c>
      <c r="Q253" s="9">
        <f>IF($K253="","",INDEX('سجل التحفيز'!$E$5:$E$2004,MATCH($K253,'سجل التحفيز'!$Y$5:$Y$2004,0)))</f>
        <v/>
      </c>
      <c r="R253" s="9">
        <f>IF($K253="","",INDEX('سجل التحفيز'!$F$5:$F$2004,MATCH($K253,'سجل التحفيز'!$Y$5:$Y$2004,0)))</f>
        <v/>
      </c>
      <c r="S253" s="35">
        <f>IF($K253="","",INDEX('سجل التحفيز'!$G$5:$G$2004,MATCH($K253,'سجل التحفيز'!$Y$5:$Y$2004,0)))</f>
        <v/>
      </c>
    </row>
    <row r="254">
      <c r="K254" s="36">
        <f>IF(217&gt;$B$10,"",217)</f>
        <v/>
      </c>
      <c r="L254" s="37">
        <f>IF($K254="","",INDEX('سجل التحفيز'!$A$5:$A$2004,MATCH($K254,'سجل التحفيز'!$Y$5:$Y$2004,0)))</f>
        <v/>
      </c>
      <c r="M254" s="9">
        <f>IF($K254="","",INDEX('سجل التحفيز'!$B$5:$B$2004,MATCH($K254,'سجل التحفيز'!$Y$5:$Y$2004,0)))</f>
        <v/>
      </c>
      <c r="N254" s="9">
        <f>IF($K254="","",INDEX('سجل التحفيز'!$M$5:$M$2004,MATCH($K254,'سجل التحفيز'!$Y$5:$Y$2004,0)))</f>
        <v/>
      </c>
      <c r="O254" s="9">
        <f>IF($K254="","",INDEX('سجل التحفيز'!$C$5:$C$2004,MATCH($K254,'سجل التحفيز'!$Y$5:$Y$2004,0)))</f>
        <v/>
      </c>
      <c r="P254" s="36">
        <f>IF($K254="","",INDEX('سجل التحفيز'!$D$5:$D$2004,MATCH($K254,'سجل التحفيز'!$Y$5:$Y$2004,0)))</f>
        <v/>
      </c>
      <c r="Q254" s="9">
        <f>IF($K254="","",INDEX('سجل التحفيز'!$E$5:$E$2004,MATCH($K254,'سجل التحفيز'!$Y$5:$Y$2004,0)))</f>
        <v/>
      </c>
      <c r="R254" s="9">
        <f>IF($K254="","",INDEX('سجل التحفيز'!$F$5:$F$2004,MATCH($K254,'سجل التحفيز'!$Y$5:$Y$2004,0)))</f>
        <v/>
      </c>
      <c r="S254" s="35">
        <f>IF($K254="","",INDEX('سجل التحفيز'!$G$5:$G$2004,MATCH($K254,'سجل التحفيز'!$Y$5:$Y$2004,0)))</f>
        <v/>
      </c>
    </row>
    <row r="255">
      <c r="K255" s="36">
        <f>IF(218&gt;$B$10,"",218)</f>
        <v/>
      </c>
      <c r="L255" s="37">
        <f>IF($K255="","",INDEX('سجل التحفيز'!$A$5:$A$2004,MATCH($K255,'سجل التحفيز'!$Y$5:$Y$2004,0)))</f>
        <v/>
      </c>
      <c r="M255" s="9">
        <f>IF($K255="","",INDEX('سجل التحفيز'!$B$5:$B$2004,MATCH($K255,'سجل التحفيز'!$Y$5:$Y$2004,0)))</f>
        <v/>
      </c>
      <c r="N255" s="9">
        <f>IF($K255="","",INDEX('سجل التحفيز'!$M$5:$M$2004,MATCH($K255,'سجل التحفيز'!$Y$5:$Y$2004,0)))</f>
        <v/>
      </c>
      <c r="O255" s="9">
        <f>IF($K255="","",INDEX('سجل التحفيز'!$C$5:$C$2004,MATCH($K255,'سجل التحفيز'!$Y$5:$Y$2004,0)))</f>
        <v/>
      </c>
      <c r="P255" s="36">
        <f>IF($K255="","",INDEX('سجل التحفيز'!$D$5:$D$2004,MATCH($K255,'سجل التحفيز'!$Y$5:$Y$2004,0)))</f>
        <v/>
      </c>
      <c r="Q255" s="9">
        <f>IF($K255="","",INDEX('سجل التحفيز'!$E$5:$E$2004,MATCH($K255,'سجل التحفيز'!$Y$5:$Y$2004,0)))</f>
        <v/>
      </c>
      <c r="R255" s="9">
        <f>IF($K255="","",INDEX('سجل التحفيز'!$F$5:$F$2004,MATCH($K255,'سجل التحفيز'!$Y$5:$Y$2004,0)))</f>
        <v/>
      </c>
      <c r="S255" s="35">
        <f>IF($K255="","",INDEX('سجل التحفيز'!$G$5:$G$2004,MATCH($K255,'سجل التحفيز'!$Y$5:$Y$2004,0)))</f>
        <v/>
      </c>
    </row>
    <row r="256">
      <c r="K256" s="36">
        <f>IF(219&gt;$B$10,"",219)</f>
        <v/>
      </c>
      <c r="L256" s="37">
        <f>IF($K256="","",INDEX('سجل التحفيز'!$A$5:$A$2004,MATCH($K256,'سجل التحفيز'!$Y$5:$Y$2004,0)))</f>
        <v/>
      </c>
      <c r="M256" s="9">
        <f>IF($K256="","",INDEX('سجل التحفيز'!$B$5:$B$2004,MATCH($K256,'سجل التحفيز'!$Y$5:$Y$2004,0)))</f>
        <v/>
      </c>
      <c r="N256" s="9">
        <f>IF($K256="","",INDEX('سجل التحفيز'!$M$5:$M$2004,MATCH($K256,'سجل التحفيز'!$Y$5:$Y$2004,0)))</f>
        <v/>
      </c>
      <c r="O256" s="9">
        <f>IF($K256="","",INDEX('سجل التحفيز'!$C$5:$C$2004,MATCH($K256,'سجل التحفيز'!$Y$5:$Y$2004,0)))</f>
        <v/>
      </c>
      <c r="P256" s="36">
        <f>IF($K256="","",INDEX('سجل التحفيز'!$D$5:$D$2004,MATCH($K256,'سجل التحفيز'!$Y$5:$Y$2004,0)))</f>
        <v/>
      </c>
      <c r="Q256" s="9">
        <f>IF($K256="","",INDEX('سجل التحفيز'!$E$5:$E$2004,MATCH($K256,'سجل التحفيز'!$Y$5:$Y$2004,0)))</f>
        <v/>
      </c>
      <c r="R256" s="9">
        <f>IF($K256="","",INDEX('سجل التحفيز'!$F$5:$F$2004,MATCH($K256,'سجل التحفيز'!$Y$5:$Y$2004,0)))</f>
        <v/>
      </c>
      <c r="S256" s="35">
        <f>IF($K256="","",INDEX('سجل التحفيز'!$G$5:$G$2004,MATCH($K256,'سجل التحفيز'!$Y$5:$Y$2004,0)))</f>
        <v/>
      </c>
    </row>
    <row r="257">
      <c r="K257" s="36">
        <f>IF(220&gt;$B$10,"",220)</f>
        <v/>
      </c>
      <c r="L257" s="37">
        <f>IF($K257="","",INDEX('سجل التحفيز'!$A$5:$A$2004,MATCH($K257,'سجل التحفيز'!$Y$5:$Y$2004,0)))</f>
        <v/>
      </c>
      <c r="M257" s="9">
        <f>IF($K257="","",INDEX('سجل التحفيز'!$B$5:$B$2004,MATCH($K257,'سجل التحفيز'!$Y$5:$Y$2004,0)))</f>
        <v/>
      </c>
      <c r="N257" s="9">
        <f>IF($K257="","",INDEX('سجل التحفيز'!$M$5:$M$2004,MATCH($K257,'سجل التحفيز'!$Y$5:$Y$2004,0)))</f>
        <v/>
      </c>
      <c r="O257" s="9">
        <f>IF($K257="","",INDEX('سجل التحفيز'!$C$5:$C$2004,MATCH($K257,'سجل التحفيز'!$Y$5:$Y$2004,0)))</f>
        <v/>
      </c>
      <c r="P257" s="36">
        <f>IF($K257="","",INDEX('سجل التحفيز'!$D$5:$D$2004,MATCH($K257,'سجل التحفيز'!$Y$5:$Y$2004,0)))</f>
        <v/>
      </c>
      <c r="Q257" s="9">
        <f>IF($K257="","",INDEX('سجل التحفيز'!$E$5:$E$2004,MATCH($K257,'سجل التحفيز'!$Y$5:$Y$2004,0)))</f>
        <v/>
      </c>
      <c r="R257" s="9">
        <f>IF($K257="","",INDEX('سجل التحفيز'!$F$5:$F$2004,MATCH($K257,'سجل التحفيز'!$Y$5:$Y$2004,0)))</f>
        <v/>
      </c>
      <c r="S257" s="35">
        <f>IF($K257="","",INDEX('سجل التحفيز'!$G$5:$G$2004,MATCH($K257,'سجل التحفيز'!$Y$5:$Y$2004,0)))</f>
        <v/>
      </c>
    </row>
    <row r="258">
      <c r="K258" s="36">
        <f>IF(221&gt;$B$10,"",221)</f>
        <v/>
      </c>
      <c r="L258" s="37">
        <f>IF($K258="","",INDEX('سجل التحفيز'!$A$5:$A$2004,MATCH($K258,'سجل التحفيز'!$Y$5:$Y$2004,0)))</f>
        <v/>
      </c>
      <c r="M258" s="9">
        <f>IF($K258="","",INDEX('سجل التحفيز'!$B$5:$B$2004,MATCH($K258,'سجل التحفيز'!$Y$5:$Y$2004,0)))</f>
        <v/>
      </c>
      <c r="N258" s="9">
        <f>IF($K258="","",INDEX('سجل التحفيز'!$M$5:$M$2004,MATCH($K258,'سجل التحفيز'!$Y$5:$Y$2004,0)))</f>
        <v/>
      </c>
      <c r="O258" s="9">
        <f>IF($K258="","",INDEX('سجل التحفيز'!$C$5:$C$2004,MATCH($K258,'سجل التحفيز'!$Y$5:$Y$2004,0)))</f>
        <v/>
      </c>
      <c r="P258" s="36">
        <f>IF($K258="","",INDEX('سجل التحفيز'!$D$5:$D$2004,MATCH($K258,'سجل التحفيز'!$Y$5:$Y$2004,0)))</f>
        <v/>
      </c>
      <c r="Q258" s="9">
        <f>IF($K258="","",INDEX('سجل التحفيز'!$E$5:$E$2004,MATCH($K258,'سجل التحفيز'!$Y$5:$Y$2004,0)))</f>
        <v/>
      </c>
      <c r="R258" s="9">
        <f>IF($K258="","",INDEX('سجل التحفيز'!$F$5:$F$2004,MATCH($K258,'سجل التحفيز'!$Y$5:$Y$2004,0)))</f>
        <v/>
      </c>
      <c r="S258" s="35">
        <f>IF($K258="","",INDEX('سجل التحفيز'!$G$5:$G$2004,MATCH($K258,'سجل التحفيز'!$Y$5:$Y$2004,0)))</f>
        <v/>
      </c>
    </row>
    <row r="259">
      <c r="K259" s="36">
        <f>IF(222&gt;$B$10,"",222)</f>
        <v/>
      </c>
      <c r="L259" s="37">
        <f>IF($K259="","",INDEX('سجل التحفيز'!$A$5:$A$2004,MATCH($K259,'سجل التحفيز'!$Y$5:$Y$2004,0)))</f>
        <v/>
      </c>
      <c r="M259" s="9">
        <f>IF($K259="","",INDEX('سجل التحفيز'!$B$5:$B$2004,MATCH($K259,'سجل التحفيز'!$Y$5:$Y$2004,0)))</f>
        <v/>
      </c>
      <c r="N259" s="9">
        <f>IF($K259="","",INDEX('سجل التحفيز'!$M$5:$M$2004,MATCH($K259,'سجل التحفيز'!$Y$5:$Y$2004,0)))</f>
        <v/>
      </c>
      <c r="O259" s="9">
        <f>IF($K259="","",INDEX('سجل التحفيز'!$C$5:$C$2004,MATCH($K259,'سجل التحفيز'!$Y$5:$Y$2004,0)))</f>
        <v/>
      </c>
      <c r="P259" s="36">
        <f>IF($K259="","",INDEX('سجل التحفيز'!$D$5:$D$2004,MATCH($K259,'سجل التحفيز'!$Y$5:$Y$2004,0)))</f>
        <v/>
      </c>
      <c r="Q259" s="9">
        <f>IF($K259="","",INDEX('سجل التحفيز'!$E$5:$E$2004,MATCH($K259,'سجل التحفيز'!$Y$5:$Y$2004,0)))</f>
        <v/>
      </c>
      <c r="R259" s="9">
        <f>IF($K259="","",INDEX('سجل التحفيز'!$F$5:$F$2004,MATCH($K259,'سجل التحفيز'!$Y$5:$Y$2004,0)))</f>
        <v/>
      </c>
      <c r="S259" s="35">
        <f>IF($K259="","",INDEX('سجل التحفيز'!$G$5:$G$2004,MATCH($K259,'سجل التحفيز'!$Y$5:$Y$2004,0)))</f>
        <v/>
      </c>
    </row>
    <row r="260">
      <c r="K260" s="36">
        <f>IF(223&gt;$B$10,"",223)</f>
        <v/>
      </c>
      <c r="L260" s="37">
        <f>IF($K260="","",INDEX('سجل التحفيز'!$A$5:$A$2004,MATCH($K260,'سجل التحفيز'!$Y$5:$Y$2004,0)))</f>
        <v/>
      </c>
      <c r="M260" s="9">
        <f>IF($K260="","",INDEX('سجل التحفيز'!$B$5:$B$2004,MATCH($K260,'سجل التحفيز'!$Y$5:$Y$2004,0)))</f>
        <v/>
      </c>
      <c r="N260" s="9">
        <f>IF($K260="","",INDEX('سجل التحفيز'!$M$5:$M$2004,MATCH($K260,'سجل التحفيز'!$Y$5:$Y$2004,0)))</f>
        <v/>
      </c>
      <c r="O260" s="9">
        <f>IF($K260="","",INDEX('سجل التحفيز'!$C$5:$C$2004,MATCH($K260,'سجل التحفيز'!$Y$5:$Y$2004,0)))</f>
        <v/>
      </c>
      <c r="P260" s="36">
        <f>IF($K260="","",INDEX('سجل التحفيز'!$D$5:$D$2004,MATCH($K260,'سجل التحفيز'!$Y$5:$Y$2004,0)))</f>
        <v/>
      </c>
      <c r="Q260" s="9">
        <f>IF($K260="","",INDEX('سجل التحفيز'!$E$5:$E$2004,MATCH($K260,'سجل التحفيز'!$Y$5:$Y$2004,0)))</f>
        <v/>
      </c>
      <c r="R260" s="9">
        <f>IF($K260="","",INDEX('سجل التحفيز'!$F$5:$F$2004,MATCH($K260,'سجل التحفيز'!$Y$5:$Y$2004,0)))</f>
        <v/>
      </c>
      <c r="S260" s="35">
        <f>IF($K260="","",INDEX('سجل التحفيز'!$G$5:$G$2004,MATCH($K260,'سجل التحفيز'!$Y$5:$Y$2004,0)))</f>
        <v/>
      </c>
    </row>
    <row r="261">
      <c r="K261" s="36">
        <f>IF(224&gt;$B$10,"",224)</f>
        <v/>
      </c>
      <c r="L261" s="37">
        <f>IF($K261="","",INDEX('سجل التحفيز'!$A$5:$A$2004,MATCH($K261,'سجل التحفيز'!$Y$5:$Y$2004,0)))</f>
        <v/>
      </c>
      <c r="M261" s="9">
        <f>IF($K261="","",INDEX('سجل التحفيز'!$B$5:$B$2004,MATCH($K261,'سجل التحفيز'!$Y$5:$Y$2004,0)))</f>
        <v/>
      </c>
      <c r="N261" s="9">
        <f>IF($K261="","",INDEX('سجل التحفيز'!$M$5:$M$2004,MATCH($K261,'سجل التحفيز'!$Y$5:$Y$2004,0)))</f>
        <v/>
      </c>
      <c r="O261" s="9">
        <f>IF($K261="","",INDEX('سجل التحفيز'!$C$5:$C$2004,MATCH($K261,'سجل التحفيز'!$Y$5:$Y$2004,0)))</f>
        <v/>
      </c>
      <c r="P261" s="36">
        <f>IF($K261="","",INDEX('سجل التحفيز'!$D$5:$D$2004,MATCH($K261,'سجل التحفيز'!$Y$5:$Y$2004,0)))</f>
        <v/>
      </c>
      <c r="Q261" s="9">
        <f>IF($K261="","",INDEX('سجل التحفيز'!$E$5:$E$2004,MATCH($K261,'سجل التحفيز'!$Y$5:$Y$2004,0)))</f>
        <v/>
      </c>
      <c r="R261" s="9">
        <f>IF($K261="","",INDEX('سجل التحفيز'!$F$5:$F$2004,MATCH($K261,'سجل التحفيز'!$Y$5:$Y$2004,0)))</f>
        <v/>
      </c>
      <c r="S261" s="35">
        <f>IF($K261="","",INDEX('سجل التحفيز'!$G$5:$G$2004,MATCH($K261,'سجل التحفيز'!$Y$5:$Y$2004,0)))</f>
        <v/>
      </c>
    </row>
    <row r="262">
      <c r="K262" s="36">
        <f>IF(225&gt;$B$10,"",225)</f>
        <v/>
      </c>
      <c r="L262" s="37">
        <f>IF($K262="","",INDEX('سجل التحفيز'!$A$5:$A$2004,MATCH($K262,'سجل التحفيز'!$Y$5:$Y$2004,0)))</f>
        <v/>
      </c>
      <c r="M262" s="9">
        <f>IF($K262="","",INDEX('سجل التحفيز'!$B$5:$B$2004,MATCH($K262,'سجل التحفيز'!$Y$5:$Y$2004,0)))</f>
        <v/>
      </c>
      <c r="N262" s="9">
        <f>IF($K262="","",INDEX('سجل التحفيز'!$M$5:$M$2004,MATCH($K262,'سجل التحفيز'!$Y$5:$Y$2004,0)))</f>
        <v/>
      </c>
      <c r="O262" s="9">
        <f>IF($K262="","",INDEX('سجل التحفيز'!$C$5:$C$2004,MATCH($K262,'سجل التحفيز'!$Y$5:$Y$2004,0)))</f>
        <v/>
      </c>
      <c r="P262" s="36">
        <f>IF($K262="","",INDEX('سجل التحفيز'!$D$5:$D$2004,MATCH($K262,'سجل التحفيز'!$Y$5:$Y$2004,0)))</f>
        <v/>
      </c>
      <c r="Q262" s="9">
        <f>IF($K262="","",INDEX('سجل التحفيز'!$E$5:$E$2004,MATCH($K262,'سجل التحفيز'!$Y$5:$Y$2004,0)))</f>
        <v/>
      </c>
      <c r="R262" s="9">
        <f>IF($K262="","",INDEX('سجل التحفيز'!$F$5:$F$2004,MATCH($K262,'سجل التحفيز'!$Y$5:$Y$2004,0)))</f>
        <v/>
      </c>
      <c r="S262" s="35">
        <f>IF($K262="","",INDEX('سجل التحفيز'!$G$5:$G$2004,MATCH($K262,'سجل التحفيز'!$Y$5:$Y$2004,0)))</f>
        <v/>
      </c>
    </row>
    <row r="263">
      <c r="K263" s="36">
        <f>IF(226&gt;$B$10,"",226)</f>
        <v/>
      </c>
      <c r="L263" s="37">
        <f>IF($K263="","",INDEX('سجل التحفيز'!$A$5:$A$2004,MATCH($K263,'سجل التحفيز'!$Y$5:$Y$2004,0)))</f>
        <v/>
      </c>
      <c r="M263" s="9">
        <f>IF($K263="","",INDEX('سجل التحفيز'!$B$5:$B$2004,MATCH($K263,'سجل التحفيز'!$Y$5:$Y$2004,0)))</f>
        <v/>
      </c>
      <c r="N263" s="9">
        <f>IF($K263="","",INDEX('سجل التحفيز'!$M$5:$M$2004,MATCH($K263,'سجل التحفيز'!$Y$5:$Y$2004,0)))</f>
        <v/>
      </c>
      <c r="O263" s="9">
        <f>IF($K263="","",INDEX('سجل التحفيز'!$C$5:$C$2004,MATCH($K263,'سجل التحفيز'!$Y$5:$Y$2004,0)))</f>
        <v/>
      </c>
      <c r="P263" s="36">
        <f>IF($K263="","",INDEX('سجل التحفيز'!$D$5:$D$2004,MATCH($K263,'سجل التحفيز'!$Y$5:$Y$2004,0)))</f>
        <v/>
      </c>
      <c r="Q263" s="9">
        <f>IF($K263="","",INDEX('سجل التحفيز'!$E$5:$E$2004,MATCH($K263,'سجل التحفيز'!$Y$5:$Y$2004,0)))</f>
        <v/>
      </c>
      <c r="R263" s="9">
        <f>IF($K263="","",INDEX('سجل التحفيز'!$F$5:$F$2004,MATCH($K263,'سجل التحفيز'!$Y$5:$Y$2004,0)))</f>
        <v/>
      </c>
      <c r="S263" s="35">
        <f>IF($K263="","",INDEX('سجل التحفيز'!$G$5:$G$2004,MATCH($K263,'سجل التحفيز'!$Y$5:$Y$2004,0)))</f>
        <v/>
      </c>
    </row>
    <row r="264">
      <c r="K264" s="36">
        <f>IF(227&gt;$B$10,"",227)</f>
        <v/>
      </c>
      <c r="L264" s="37">
        <f>IF($K264="","",INDEX('سجل التحفيز'!$A$5:$A$2004,MATCH($K264,'سجل التحفيز'!$Y$5:$Y$2004,0)))</f>
        <v/>
      </c>
      <c r="M264" s="9">
        <f>IF($K264="","",INDEX('سجل التحفيز'!$B$5:$B$2004,MATCH($K264,'سجل التحفيز'!$Y$5:$Y$2004,0)))</f>
        <v/>
      </c>
      <c r="N264" s="9">
        <f>IF($K264="","",INDEX('سجل التحفيز'!$M$5:$M$2004,MATCH($K264,'سجل التحفيز'!$Y$5:$Y$2004,0)))</f>
        <v/>
      </c>
      <c r="O264" s="9">
        <f>IF($K264="","",INDEX('سجل التحفيز'!$C$5:$C$2004,MATCH($K264,'سجل التحفيز'!$Y$5:$Y$2004,0)))</f>
        <v/>
      </c>
      <c r="P264" s="36">
        <f>IF($K264="","",INDEX('سجل التحفيز'!$D$5:$D$2004,MATCH($K264,'سجل التحفيز'!$Y$5:$Y$2004,0)))</f>
        <v/>
      </c>
      <c r="Q264" s="9">
        <f>IF($K264="","",INDEX('سجل التحفيز'!$E$5:$E$2004,MATCH($K264,'سجل التحفيز'!$Y$5:$Y$2004,0)))</f>
        <v/>
      </c>
      <c r="R264" s="9">
        <f>IF($K264="","",INDEX('سجل التحفيز'!$F$5:$F$2004,MATCH($K264,'سجل التحفيز'!$Y$5:$Y$2004,0)))</f>
        <v/>
      </c>
      <c r="S264" s="35">
        <f>IF($K264="","",INDEX('سجل التحفيز'!$G$5:$G$2004,MATCH($K264,'سجل التحفيز'!$Y$5:$Y$2004,0)))</f>
        <v/>
      </c>
    </row>
    <row r="265">
      <c r="K265" s="36">
        <f>IF(228&gt;$B$10,"",228)</f>
        <v/>
      </c>
      <c r="L265" s="37">
        <f>IF($K265="","",INDEX('سجل التحفيز'!$A$5:$A$2004,MATCH($K265,'سجل التحفيز'!$Y$5:$Y$2004,0)))</f>
        <v/>
      </c>
      <c r="M265" s="9">
        <f>IF($K265="","",INDEX('سجل التحفيز'!$B$5:$B$2004,MATCH($K265,'سجل التحفيز'!$Y$5:$Y$2004,0)))</f>
        <v/>
      </c>
      <c r="N265" s="9">
        <f>IF($K265="","",INDEX('سجل التحفيز'!$M$5:$M$2004,MATCH($K265,'سجل التحفيز'!$Y$5:$Y$2004,0)))</f>
        <v/>
      </c>
      <c r="O265" s="9">
        <f>IF($K265="","",INDEX('سجل التحفيز'!$C$5:$C$2004,MATCH($K265,'سجل التحفيز'!$Y$5:$Y$2004,0)))</f>
        <v/>
      </c>
      <c r="P265" s="36">
        <f>IF($K265="","",INDEX('سجل التحفيز'!$D$5:$D$2004,MATCH($K265,'سجل التحفيز'!$Y$5:$Y$2004,0)))</f>
        <v/>
      </c>
      <c r="Q265" s="9">
        <f>IF($K265="","",INDEX('سجل التحفيز'!$E$5:$E$2004,MATCH($K265,'سجل التحفيز'!$Y$5:$Y$2004,0)))</f>
        <v/>
      </c>
      <c r="R265" s="9">
        <f>IF($K265="","",INDEX('سجل التحفيز'!$F$5:$F$2004,MATCH($K265,'سجل التحفيز'!$Y$5:$Y$2004,0)))</f>
        <v/>
      </c>
      <c r="S265" s="35">
        <f>IF($K265="","",INDEX('سجل التحفيز'!$G$5:$G$2004,MATCH($K265,'سجل التحفيز'!$Y$5:$Y$2004,0)))</f>
        <v/>
      </c>
    </row>
    <row r="266">
      <c r="K266" s="36">
        <f>IF(229&gt;$B$10,"",229)</f>
        <v/>
      </c>
      <c r="L266" s="37">
        <f>IF($K266="","",INDEX('سجل التحفيز'!$A$5:$A$2004,MATCH($K266,'سجل التحفيز'!$Y$5:$Y$2004,0)))</f>
        <v/>
      </c>
      <c r="M266" s="9">
        <f>IF($K266="","",INDEX('سجل التحفيز'!$B$5:$B$2004,MATCH($K266,'سجل التحفيز'!$Y$5:$Y$2004,0)))</f>
        <v/>
      </c>
      <c r="N266" s="9">
        <f>IF($K266="","",INDEX('سجل التحفيز'!$M$5:$M$2004,MATCH($K266,'سجل التحفيز'!$Y$5:$Y$2004,0)))</f>
        <v/>
      </c>
      <c r="O266" s="9">
        <f>IF($K266="","",INDEX('سجل التحفيز'!$C$5:$C$2004,MATCH($K266,'سجل التحفيز'!$Y$5:$Y$2004,0)))</f>
        <v/>
      </c>
      <c r="P266" s="36">
        <f>IF($K266="","",INDEX('سجل التحفيز'!$D$5:$D$2004,MATCH($K266,'سجل التحفيز'!$Y$5:$Y$2004,0)))</f>
        <v/>
      </c>
      <c r="Q266" s="9">
        <f>IF($K266="","",INDEX('سجل التحفيز'!$E$5:$E$2004,MATCH($K266,'سجل التحفيز'!$Y$5:$Y$2004,0)))</f>
        <v/>
      </c>
      <c r="R266" s="9">
        <f>IF($K266="","",INDEX('سجل التحفيز'!$F$5:$F$2004,MATCH($K266,'سجل التحفيز'!$Y$5:$Y$2004,0)))</f>
        <v/>
      </c>
      <c r="S266" s="35">
        <f>IF($K266="","",INDEX('سجل التحفيز'!$G$5:$G$2004,MATCH($K266,'سجل التحفيز'!$Y$5:$Y$2004,0)))</f>
        <v/>
      </c>
    </row>
    <row r="267">
      <c r="K267" s="36">
        <f>IF(230&gt;$B$10,"",230)</f>
        <v/>
      </c>
      <c r="L267" s="37">
        <f>IF($K267="","",INDEX('سجل التحفيز'!$A$5:$A$2004,MATCH($K267,'سجل التحفيز'!$Y$5:$Y$2004,0)))</f>
        <v/>
      </c>
      <c r="M267" s="9">
        <f>IF($K267="","",INDEX('سجل التحفيز'!$B$5:$B$2004,MATCH($K267,'سجل التحفيز'!$Y$5:$Y$2004,0)))</f>
        <v/>
      </c>
      <c r="N267" s="9">
        <f>IF($K267="","",INDEX('سجل التحفيز'!$M$5:$M$2004,MATCH($K267,'سجل التحفيز'!$Y$5:$Y$2004,0)))</f>
        <v/>
      </c>
      <c r="O267" s="9">
        <f>IF($K267="","",INDEX('سجل التحفيز'!$C$5:$C$2004,MATCH($K267,'سجل التحفيز'!$Y$5:$Y$2004,0)))</f>
        <v/>
      </c>
      <c r="P267" s="36">
        <f>IF($K267="","",INDEX('سجل التحفيز'!$D$5:$D$2004,MATCH($K267,'سجل التحفيز'!$Y$5:$Y$2004,0)))</f>
        <v/>
      </c>
      <c r="Q267" s="9">
        <f>IF($K267="","",INDEX('سجل التحفيز'!$E$5:$E$2004,MATCH($K267,'سجل التحفيز'!$Y$5:$Y$2004,0)))</f>
        <v/>
      </c>
      <c r="R267" s="9">
        <f>IF($K267="","",INDEX('سجل التحفيز'!$F$5:$F$2004,MATCH($K267,'سجل التحفيز'!$Y$5:$Y$2004,0)))</f>
        <v/>
      </c>
      <c r="S267" s="35">
        <f>IF($K267="","",INDEX('سجل التحفيز'!$G$5:$G$2004,MATCH($K267,'سجل التحفيز'!$Y$5:$Y$2004,0)))</f>
        <v/>
      </c>
    </row>
    <row r="268">
      <c r="K268" s="36">
        <f>IF(231&gt;$B$10,"",231)</f>
        <v/>
      </c>
      <c r="L268" s="37">
        <f>IF($K268="","",INDEX('سجل التحفيز'!$A$5:$A$2004,MATCH($K268,'سجل التحفيز'!$Y$5:$Y$2004,0)))</f>
        <v/>
      </c>
      <c r="M268" s="9">
        <f>IF($K268="","",INDEX('سجل التحفيز'!$B$5:$B$2004,MATCH($K268,'سجل التحفيز'!$Y$5:$Y$2004,0)))</f>
        <v/>
      </c>
      <c r="N268" s="9">
        <f>IF($K268="","",INDEX('سجل التحفيز'!$M$5:$M$2004,MATCH($K268,'سجل التحفيز'!$Y$5:$Y$2004,0)))</f>
        <v/>
      </c>
      <c r="O268" s="9">
        <f>IF($K268="","",INDEX('سجل التحفيز'!$C$5:$C$2004,MATCH($K268,'سجل التحفيز'!$Y$5:$Y$2004,0)))</f>
        <v/>
      </c>
      <c r="P268" s="36">
        <f>IF($K268="","",INDEX('سجل التحفيز'!$D$5:$D$2004,MATCH($K268,'سجل التحفيز'!$Y$5:$Y$2004,0)))</f>
        <v/>
      </c>
      <c r="Q268" s="9">
        <f>IF($K268="","",INDEX('سجل التحفيز'!$E$5:$E$2004,MATCH($K268,'سجل التحفيز'!$Y$5:$Y$2004,0)))</f>
        <v/>
      </c>
      <c r="R268" s="9">
        <f>IF($K268="","",INDEX('سجل التحفيز'!$F$5:$F$2004,MATCH($K268,'سجل التحفيز'!$Y$5:$Y$2004,0)))</f>
        <v/>
      </c>
      <c r="S268" s="35">
        <f>IF($K268="","",INDEX('سجل التحفيز'!$G$5:$G$2004,MATCH($K268,'سجل التحفيز'!$Y$5:$Y$2004,0)))</f>
        <v/>
      </c>
    </row>
    <row r="269">
      <c r="K269" s="36">
        <f>IF(232&gt;$B$10,"",232)</f>
        <v/>
      </c>
      <c r="L269" s="37">
        <f>IF($K269="","",INDEX('سجل التحفيز'!$A$5:$A$2004,MATCH($K269,'سجل التحفيز'!$Y$5:$Y$2004,0)))</f>
        <v/>
      </c>
      <c r="M269" s="9">
        <f>IF($K269="","",INDEX('سجل التحفيز'!$B$5:$B$2004,MATCH($K269,'سجل التحفيز'!$Y$5:$Y$2004,0)))</f>
        <v/>
      </c>
      <c r="N269" s="9">
        <f>IF($K269="","",INDEX('سجل التحفيز'!$M$5:$M$2004,MATCH($K269,'سجل التحفيز'!$Y$5:$Y$2004,0)))</f>
        <v/>
      </c>
      <c r="O269" s="9">
        <f>IF($K269="","",INDEX('سجل التحفيز'!$C$5:$C$2004,MATCH($K269,'سجل التحفيز'!$Y$5:$Y$2004,0)))</f>
        <v/>
      </c>
      <c r="P269" s="36">
        <f>IF($K269="","",INDEX('سجل التحفيز'!$D$5:$D$2004,MATCH($K269,'سجل التحفيز'!$Y$5:$Y$2004,0)))</f>
        <v/>
      </c>
      <c r="Q269" s="9">
        <f>IF($K269="","",INDEX('سجل التحفيز'!$E$5:$E$2004,MATCH($K269,'سجل التحفيز'!$Y$5:$Y$2004,0)))</f>
        <v/>
      </c>
      <c r="R269" s="9">
        <f>IF($K269="","",INDEX('سجل التحفيز'!$F$5:$F$2004,MATCH($K269,'سجل التحفيز'!$Y$5:$Y$2004,0)))</f>
        <v/>
      </c>
      <c r="S269" s="35">
        <f>IF($K269="","",INDEX('سجل التحفيز'!$G$5:$G$2004,MATCH($K269,'سجل التحفيز'!$Y$5:$Y$2004,0)))</f>
        <v/>
      </c>
    </row>
    <row r="270">
      <c r="K270" s="36">
        <f>IF(233&gt;$B$10,"",233)</f>
        <v/>
      </c>
      <c r="L270" s="37">
        <f>IF($K270="","",INDEX('سجل التحفيز'!$A$5:$A$2004,MATCH($K270,'سجل التحفيز'!$Y$5:$Y$2004,0)))</f>
        <v/>
      </c>
      <c r="M270" s="9">
        <f>IF($K270="","",INDEX('سجل التحفيز'!$B$5:$B$2004,MATCH($K270,'سجل التحفيز'!$Y$5:$Y$2004,0)))</f>
        <v/>
      </c>
      <c r="N270" s="9">
        <f>IF($K270="","",INDEX('سجل التحفيز'!$M$5:$M$2004,MATCH($K270,'سجل التحفيز'!$Y$5:$Y$2004,0)))</f>
        <v/>
      </c>
      <c r="O270" s="9">
        <f>IF($K270="","",INDEX('سجل التحفيز'!$C$5:$C$2004,MATCH($K270,'سجل التحفيز'!$Y$5:$Y$2004,0)))</f>
        <v/>
      </c>
      <c r="P270" s="36">
        <f>IF($K270="","",INDEX('سجل التحفيز'!$D$5:$D$2004,MATCH($K270,'سجل التحفيز'!$Y$5:$Y$2004,0)))</f>
        <v/>
      </c>
      <c r="Q270" s="9">
        <f>IF($K270="","",INDEX('سجل التحفيز'!$E$5:$E$2004,MATCH($K270,'سجل التحفيز'!$Y$5:$Y$2004,0)))</f>
        <v/>
      </c>
      <c r="R270" s="9">
        <f>IF($K270="","",INDEX('سجل التحفيز'!$F$5:$F$2004,MATCH($K270,'سجل التحفيز'!$Y$5:$Y$2004,0)))</f>
        <v/>
      </c>
      <c r="S270" s="35">
        <f>IF($K270="","",INDEX('سجل التحفيز'!$G$5:$G$2004,MATCH($K270,'سجل التحفيز'!$Y$5:$Y$2004,0)))</f>
        <v/>
      </c>
    </row>
    <row r="271">
      <c r="K271" s="36">
        <f>IF(234&gt;$B$10,"",234)</f>
        <v/>
      </c>
      <c r="L271" s="37">
        <f>IF($K271="","",INDEX('سجل التحفيز'!$A$5:$A$2004,MATCH($K271,'سجل التحفيز'!$Y$5:$Y$2004,0)))</f>
        <v/>
      </c>
      <c r="M271" s="9">
        <f>IF($K271="","",INDEX('سجل التحفيز'!$B$5:$B$2004,MATCH($K271,'سجل التحفيز'!$Y$5:$Y$2004,0)))</f>
        <v/>
      </c>
      <c r="N271" s="9">
        <f>IF($K271="","",INDEX('سجل التحفيز'!$M$5:$M$2004,MATCH($K271,'سجل التحفيز'!$Y$5:$Y$2004,0)))</f>
        <v/>
      </c>
      <c r="O271" s="9">
        <f>IF($K271="","",INDEX('سجل التحفيز'!$C$5:$C$2004,MATCH($K271,'سجل التحفيز'!$Y$5:$Y$2004,0)))</f>
        <v/>
      </c>
      <c r="P271" s="36">
        <f>IF($K271="","",INDEX('سجل التحفيز'!$D$5:$D$2004,MATCH($K271,'سجل التحفيز'!$Y$5:$Y$2004,0)))</f>
        <v/>
      </c>
      <c r="Q271" s="9">
        <f>IF($K271="","",INDEX('سجل التحفيز'!$E$5:$E$2004,MATCH($K271,'سجل التحفيز'!$Y$5:$Y$2004,0)))</f>
        <v/>
      </c>
      <c r="R271" s="9">
        <f>IF($K271="","",INDEX('سجل التحفيز'!$F$5:$F$2004,MATCH($K271,'سجل التحفيز'!$Y$5:$Y$2004,0)))</f>
        <v/>
      </c>
      <c r="S271" s="35">
        <f>IF($K271="","",INDEX('سجل التحفيز'!$G$5:$G$2004,MATCH($K271,'سجل التحفيز'!$Y$5:$Y$2004,0)))</f>
        <v/>
      </c>
    </row>
    <row r="272">
      <c r="K272" s="36">
        <f>IF(235&gt;$B$10,"",235)</f>
        <v/>
      </c>
      <c r="L272" s="37">
        <f>IF($K272="","",INDEX('سجل التحفيز'!$A$5:$A$2004,MATCH($K272,'سجل التحفيز'!$Y$5:$Y$2004,0)))</f>
        <v/>
      </c>
      <c r="M272" s="9">
        <f>IF($K272="","",INDEX('سجل التحفيز'!$B$5:$B$2004,MATCH($K272,'سجل التحفيز'!$Y$5:$Y$2004,0)))</f>
        <v/>
      </c>
      <c r="N272" s="9">
        <f>IF($K272="","",INDEX('سجل التحفيز'!$M$5:$M$2004,MATCH($K272,'سجل التحفيز'!$Y$5:$Y$2004,0)))</f>
        <v/>
      </c>
      <c r="O272" s="9">
        <f>IF($K272="","",INDEX('سجل التحفيز'!$C$5:$C$2004,MATCH($K272,'سجل التحفيز'!$Y$5:$Y$2004,0)))</f>
        <v/>
      </c>
      <c r="P272" s="36">
        <f>IF($K272="","",INDEX('سجل التحفيز'!$D$5:$D$2004,MATCH($K272,'سجل التحفيز'!$Y$5:$Y$2004,0)))</f>
        <v/>
      </c>
      <c r="Q272" s="9">
        <f>IF($K272="","",INDEX('سجل التحفيز'!$E$5:$E$2004,MATCH($K272,'سجل التحفيز'!$Y$5:$Y$2004,0)))</f>
        <v/>
      </c>
      <c r="R272" s="9">
        <f>IF($K272="","",INDEX('سجل التحفيز'!$F$5:$F$2004,MATCH($K272,'سجل التحفيز'!$Y$5:$Y$2004,0)))</f>
        <v/>
      </c>
      <c r="S272" s="35">
        <f>IF($K272="","",INDEX('سجل التحفيز'!$G$5:$G$2004,MATCH($K272,'سجل التحفيز'!$Y$5:$Y$2004,0)))</f>
        <v/>
      </c>
    </row>
    <row r="273">
      <c r="K273" s="36">
        <f>IF(236&gt;$B$10,"",236)</f>
        <v/>
      </c>
      <c r="L273" s="37">
        <f>IF($K273="","",INDEX('سجل التحفيز'!$A$5:$A$2004,MATCH($K273,'سجل التحفيز'!$Y$5:$Y$2004,0)))</f>
        <v/>
      </c>
      <c r="M273" s="9">
        <f>IF($K273="","",INDEX('سجل التحفيز'!$B$5:$B$2004,MATCH($K273,'سجل التحفيز'!$Y$5:$Y$2004,0)))</f>
        <v/>
      </c>
      <c r="N273" s="9">
        <f>IF($K273="","",INDEX('سجل التحفيز'!$M$5:$M$2004,MATCH($K273,'سجل التحفيز'!$Y$5:$Y$2004,0)))</f>
        <v/>
      </c>
      <c r="O273" s="9">
        <f>IF($K273="","",INDEX('سجل التحفيز'!$C$5:$C$2004,MATCH($K273,'سجل التحفيز'!$Y$5:$Y$2004,0)))</f>
        <v/>
      </c>
      <c r="P273" s="36">
        <f>IF($K273="","",INDEX('سجل التحفيز'!$D$5:$D$2004,MATCH($K273,'سجل التحفيز'!$Y$5:$Y$2004,0)))</f>
        <v/>
      </c>
      <c r="Q273" s="9">
        <f>IF($K273="","",INDEX('سجل التحفيز'!$E$5:$E$2004,MATCH($K273,'سجل التحفيز'!$Y$5:$Y$2004,0)))</f>
        <v/>
      </c>
      <c r="R273" s="9">
        <f>IF($K273="","",INDEX('سجل التحفيز'!$F$5:$F$2004,MATCH($K273,'سجل التحفيز'!$Y$5:$Y$2004,0)))</f>
        <v/>
      </c>
      <c r="S273" s="35">
        <f>IF($K273="","",INDEX('سجل التحفيز'!$G$5:$G$2004,MATCH($K273,'سجل التحفيز'!$Y$5:$Y$2004,0)))</f>
        <v/>
      </c>
    </row>
    <row r="274">
      <c r="K274" s="36">
        <f>IF(237&gt;$B$10,"",237)</f>
        <v/>
      </c>
      <c r="L274" s="37">
        <f>IF($K274="","",INDEX('سجل التحفيز'!$A$5:$A$2004,MATCH($K274,'سجل التحفيز'!$Y$5:$Y$2004,0)))</f>
        <v/>
      </c>
      <c r="M274" s="9">
        <f>IF($K274="","",INDEX('سجل التحفيز'!$B$5:$B$2004,MATCH($K274,'سجل التحفيز'!$Y$5:$Y$2004,0)))</f>
        <v/>
      </c>
      <c r="N274" s="9">
        <f>IF($K274="","",INDEX('سجل التحفيز'!$M$5:$M$2004,MATCH($K274,'سجل التحفيز'!$Y$5:$Y$2004,0)))</f>
        <v/>
      </c>
      <c r="O274" s="9">
        <f>IF($K274="","",INDEX('سجل التحفيز'!$C$5:$C$2004,MATCH($K274,'سجل التحفيز'!$Y$5:$Y$2004,0)))</f>
        <v/>
      </c>
      <c r="P274" s="36">
        <f>IF($K274="","",INDEX('سجل التحفيز'!$D$5:$D$2004,MATCH($K274,'سجل التحفيز'!$Y$5:$Y$2004,0)))</f>
        <v/>
      </c>
      <c r="Q274" s="9">
        <f>IF($K274="","",INDEX('سجل التحفيز'!$E$5:$E$2004,MATCH($K274,'سجل التحفيز'!$Y$5:$Y$2004,0)))</f>
        <v/>
      </c>
      <c r="R274" s="9">
        <f>IF($K274="","",INDEX('سجل التحفيز'!$F$5:$F$2004,MATCH($K274,'سجل التحفيز'!$Y$5:$Y$2004,0)))</f>
        <v/>
      </c>
      <c r="S274" s="35">
        <f>IF($K274="","",INDEX('سجل التحفيز'!$G$5:$G$2004,MATCH($K274,'سجل التحفيز'!$Y$5:$Y$2004,0)))</f>
        <v/>
      </c>
    </row>
    <row r="275">
      <c r="K275" s="36">
        <f>IF(238&gt;$B$10,"",238)</f>
        <v/>
      </c>
      <c r="L275" s="37">
        <f>IF($K275="","",INDEX('سجل التحفيز'!$A$5:$A$2004,MATCH($K275,'سجل التحفيز'!$Y$5:$Y$2004,0)))</f>
        <v/>
      </c>
      <c r="M275" s="9">
        <f>IF($K275="","",INDEX('سجل التحفيز'!$B$5:$B$2004,MATCH($K275,'سجل التحفيز'!$Y$5:$Y$2004,0)))</f>
        <v/>
      </c>
      <c r="N275" s="9">
        <f>IF($K275="","",INDEX('سجل التحفيز'!$M$5:$M$2004,MATCH($K275,'سجل التحفيز'!$Y$5:$Y$2004,0)))</f>
        <v/>
      </c>
      <c r="O275" s="9">
        <f>IF($K275="","",INDEX('سجل التحفيز'!$C$5:$C$2004,MATCH($K275,'سجل التحفيز'!$Y$5:$Y$2004,0)))</f>
        <v/>
      </c>
      <c r="P275" s="36">
        <f>IF($K275="","",INDEX('سجل التحفيز'!$D$5:$D$2004,MATCH($K275,'سجل التحفيز'!$Y$5:$Y$2004,0)))</f>
        <v/>
      </c>
      <c r="Q275" s="9">
        <f>IF($K275="","",INDEX('سجل التحفيز'!$E$5:$E$2004,MATCH($K275,'سجل التحفيز'!$Y$5:$Y$2004,0)))</f>
        <v/>
      </c>
      <c r="R275" s="9">
        <f>IF($K275="","",INDEX('سجل التحفيز'!$F$5:$F$2004,MATCH($K275,'سجل التحفيز'!$Y$5:$Y$2004,0)))</f>
        <v/>
      </c>
      <c r="S275" s="35">
        <f>IF($K275="","",INDEX('سجل التحفيز'!$G$5:$G$2004,MATCH($K275,'سجل التحفيز'!$Y$5:$Y$2004,0)))</f>
        <v/>
      </c>
    </row>
    <row r="276">
      <c r="K276" s="36">
        <f>IF(239&gt;$B$10,"",239)</f>
        <v/>
      </c>
      <c r="L276" s="37">
        <f>IF($K276="","",INDEX('سجل التحفيز'!$A$5:$A$2004,MATCH($K276,'سجل التحفيز'!$Y$5:$Y$2004,0)))</f>
        <v/>
      </c>
      <c r="M276" s="9">
        <f>IF($K276="","",INDEX('سجل التحفيز'!$B$5:$B$2004,MATCH($K276,'سجل التحفيز'!$Y$5:$Y$2004,0)))</f>
        <v/>
      </c>
      <c r="N276" s="9">
        <f>IF($K276="","",INDEX('سجل التحفيز'!$M$5:$M$2004,MATCH($K276,'سجل التحفيز'!$Y$5:$Y$2004,0)))</f>
        <v/>
      </c>
      <c r="O276" s="9">
        <f>IF($K276="","",INDEX('سجل التحفيز'!$C$5:$C$2004,MATCH($K276,'سجل التحفيز'!$Y$5:$Y$2004,0)))</f>
        <v/>
      </c>
      <c r="P276" s="36">
        <f>IF($K276="","",INDEX('سجل التحفيز'!$D$5:$D$2004,MATCH($K276,'سجل التحفيز'!$Y$5:$Y$2004,0)))</f>
        <v/>
      </c>
      <c r="Q276" s="9">
        <f>IF($K276="","",INDEX('سجل التحفيز'!$E$5:$E$2004,MATCH($K276,'سجل التحفيز'!$Y$5:$Y$2004,0)))</f>
        <v/>
      </c>
      <c r="R276" s="9">
        <f>IF($K276="","",INDEX('سجل التحفيز'!$F$5:$F$2004,MATCH($K276,'سجل التحفيز'!$Y$5:$Y$2004,0)))</f>
        <v/>
      </c>
      <c r="S276" s="35">
        <f>IF($K276="","",INDEX('سجل التحفيز'!$G$5:$G$2004,MATCH($K276,'سجل التحفيز'!$Y$5:$Y$2004,0)))</f>
        <v/>
      </c>
    </row>
    <row r="277">
      <c r="K277" s="36">
        <f>IF(240&gt;$B$10,"",240)</f>
        <v/>
      </c>
      <c r="L277" s="37">
        <f>IF($K277="","",INDEX('سجل التحفيز'!$A$5:$A$2004,MATCH($K277,'سجل التحفيز'!$Y$5:$Y$2004,0)))</f>
        <v/>
      </c>
      <c r="M277" s="9">
        <f>IF($K277="","",INDEX('سجل التحفيز'!$B$5:$B$2004,MATCH($K277,'سجل التحفيز'!$Y$5:$Y$2004,0)))</f>
        <v/>
      </c>
      <c r="N277" s="9">
        <f>IF($K277="","",INDEX('سجل التحفيز'!$M$5:$M$2004,MATCH($K277,'سجل التحفيز'!$Y$5:$Y$2004,0)))</f>
        <v/>
      </c>
      <c r="O277" s="9">
        <f>IF($K277="","",INDEX('سجل التحفيز'!$C$5:$C$2004,MATCH($K277,'سجل التحفيز'!$Y$5:$Y$2004,0)))</f>
        <v/>
      </c>
      <c r="P277" s="36">
        <f>IF($K277="","",INDEX('سجل التحفيز'!$D$5:$D$2004,MATCH($K277,'سجل التحفيز'!$Y$5:$Y$2004,0)))</f>
        <v/>
      </c>
      <c r="Q277" s="9">
        <f>IF($K277="","",INDEX('سجل التحفيز'!$E$5:$E$2004,MATCH($K277,'سجل التحفيز'!$Y$5:$Y$2004,0)))</f>
        <v/>
      </c>
      <c r="R277" s="9">
        <f>IF($K277="","",INDEX('سجل التحفيز'!$F$5:$F$2004,MATCH($K277,'سجل التحفيز'!$Y$5:$Y$2004,0)))</f>
        <v/>
      </c>
      <c r="S277" s="35">
        <f>IF($K277="","",INDEX('سجل التحفيز'!$G$5:$G$2004,MATCH($K277,'سجل التحفيز'!$Y$5:$Y$2004,0)))</f>
        <v/>
      </c>
    </row>
    <row r="278">
      <c r="K278" s="36">
        <f>IF(241&gt;$B$10,"",241)</f>
        <v/>
      </c>
      <c r="L278" s="37">
        <f>IF($K278="","",INDEX('سجل التحفيز'!$A$5:$A$2004,MATCH($K278,'سجل التحفيز'!$Y$5:$Y$2004,0)))</f>
        <v/>
      </c>
      <c r="M278" s="9">
        <f>IF($K278="","",INDEX('سجل التحفيز'!$B$5:$B$2004,MATCH($K278,'سجل التحفيز'!$Y$5:$Y$2004,0)))</f>
        <v/>
      </c>
      <c r="N278" s="9">
        <f>IF($K278="","",INDEX('سجل التحفيز'!$M$5:$M$2004,MATCH($K278,'سجل التحفيز'!$Y$5:$Y$2004,0)))</f>
        <v/>
      </c>
      <c r="O278" s="9">
        <f>IF($K278="","",INDEX('سجل التحفيز'!$C$5:$C$2004,MATCH($K278,'سجل التحفيز'!$Y$5:$Y$2004,0)))</f>
        <v/>
      </c>
      <c r="P278" s="36">
        <f>IF($K278="","",INDEX('سجل التحفيز'!$D$5:$D$2004,MATCH($K278,'سجل التحفيز'!$Y$5:$Y$2004,0)))</f>
        <v/>
      </c>
      <c r="Q278" s="9">
        <f>IF($K278="","",INDEX('سجل التحفيز'!$E$5:$E$2004,MATCH($K278,'سجل التحفيز'!$Y$5:$Y$2004,0)))</f>
        <v/>
      </c>
      <c r="R278" s="9">
        <f>IF($K278="","",INDEX('سجل التحفيز'!$F$5:$F$2004,MATCH($K278,'سجل التحفيز'!$Y$5:$Y$2004,0)))</f>
        <v/>
      </c>
      <c r="S278" s="35">
        <f>IF($K278="","",INDEX('سجل التحفيز'!$G$5:$G$2004,MATCH($K278,'سجل التحفيز'!$Y$5:$Y$2004,0)))</f>
        <v/>
      </c>
    </row>
    <row r="279">
      <c r="K279" s="36">
        <f>IF(242&gt;$B$10,"",242)</f>
        <v/>
      </c>
      <c r="L279" s="37">
        <f>IF($K279="","",INDEX('سجل التحفيز'!$A$5:$A$2004,MATCH($K279,'سجل التحفيز'!$Y$5:$Y$2004,0)))</f>
        <v/>
      </c>
      <c r="M279" s="9">
        <f>IF($K279="","",INDEX('سجل التحفيز'!$B$5:$B$2004,MATCH($K279,'سجل التحفيز'!$Y$5:$Y$2004,0)))</f>
        <v/>
      </c>
      <c r="N279" s="9">
        <f>IF($K279="","",INDEX('سجل التحفيز'!$M$5:$M$2004,MATCH($K279,'سجل التحفيز'!$Y$5:$Y$2004,0)))</f>
        <v/>
      </c>
      <c r="O279" s="9">
        <f>IF($K279="","",INDEX('سجل التحفيز'!$C$5:$C$2004,MATCH($K279,'سجل التحفيز'!$Y$5:$Y$2004,0)))</f>
        <v/>
      </c>
      <c r="P279" s="36">
        <f>IF($K279="","",INDEX('سجل التحفيز'!$D$5:$D$2004,MATCH($K279,'سجل التحفيز'!$Y$5:$Y$2004,0)))</f>
        <v/>
      </c>
      <c r="Q279" s="9">
        <f>IF($K279="","",INDEX('سجل التحفيز'!$E$5:$E$2004,MATCH($K279,'سجل التحفيز'!$Y$5:$Y$2004,0)))</f>
        <v/>
      </c>
      <c r="R279" s="9">
        <f>IF($K279="","",INDEX('سجل التحفيز'!$F$5:$F$2004,MATCH($K279,'سجل التحفيز'!$Y$5:$Y$2004,0)))</f>
        <v/>
      </c>
      <c r="S279" s="35">
        <f>IF($K279="","",INDEX('سجل التحفيز'!$G$5:$G$2004,MATCH($K279,'سجل التحفيز'!$Y$5:$Y$2004,0)))</f>
        <v/>
      </c>
    </row>
    <row r="280">
      <c r="K280" s="36">
        <f>IF(243&gt;$B$10,"",243)</f>
        <v/>
      </c>
      <c r="L280" s="37">
        <f>IF($K280="","",INDEX('سجل التحفيز'!$A$5:$A$2004,MATCH($K280,'سجل التحفيز'!$Y$5:$Y$2004,0)))</f>
        <v/>
      </c>
      <c r="M280" s="9">
        <f>IF($K280="","",INDEX('سجل التحفيز'!$B$5:$B$2004,MATCH($K280,'سجل التحفيز'!$Y$5:$Y$2004,0)))</f>
        <v/>
      </c>
      <c r="N280" s="9">
        <f>IF($K280="","",INDEX('سجل التحفيز'!$M$5:$M$2004,MATCH($K280,'سجل التحفيز'!$Y$5:$Y$2004,0)))</f>
        <v/>
      </c>
      <c r="O280" s="9">
        <f>IF($K280="","",INDEX('سجل التحفيز'!$C$5:$C$2004,MATCH($K280,'سجل التحفيز'!$Y$5:$Y$2004,0)))</f>
        <v/>
      </c>
      <c r="P280" s="36">
        <f>IF($K280="","",INDEX('سجل التحفيز'!$D$5:$D$2004,MATCH($K280,'سجل التحفيز'!$Y$5:$Y$2004,0)))</f>
        <v/>
      </c>
      <c r="Q280" s="9">
        <f>IF($K280="","",INDEX('سجل التحفيز'!$E$5:$E$2004,MATCH($K280,'سجل التحفيز'!$Y$5:$Y$2004,0)))</f>
        <v/>
      </c>
      <c r="R280" s="9">
        <f>IF($K280="","",INDEX('سجل التحفيز'!$F$5:$F$2004,MATCH($K280,'سجل التحفيز'!$Y$5:$Y$2004,0)))</f>
        <v/>
      </c>
      <c r="S280" s="35">
        <f>IF($K280="","",INDEX('سجل التحفيز'!$G$5:$G$2004,MATCH($K280,'سجل التحفيز'!$Y$5:$Y$2004,0)))</f>
        <v/>
      </c>
    </row>
    <row r="281">
      <c r="K281" s="36">
        <f>IF(244&gt;$B$10,"",244)</f>
        <v/>
      </c>
      <c r="L281" s="37">
        <f>IF($K281="","",INDEX('سجل التحفيز'!$A$5:$A$2004,MATCH($K281,'سجل التحفيز'!$Y$5:$Y$2004,0)))</f>
        <v/>
      </c>
      <c r="M281" s="9">
        <f>IF($K281="","",INDEX('سجل التحفيز'!$B$5:$B$2004,MATCH($K281,'سجل التحفيز'!$Y$5:$Y$2004,0)))</f>
        <v/>
      </c>
      <c r="N281" s="9">
        <f>IF($K281="","",INDEX('سجل التحفيز'!$M$5:$M$2004,MATCH($K281,'سجل التحفيز'!$Y$5:$Y$2004,0)))</f>
        <v/>
      </c>
      <c r="O281" s="9">
        <f>IF($K281="","",INDEX('سجل التحفيز'!$C$5:$C$2004,MATCH($K281,'سجل التحفيز'!$Y$5:$Y$2004,0)))</f>
        <v/>
      </c>
      <c r="P281" s="36">
        <f>IF($K281="","",INDEX('سجل التحفيز'!$D$5:$D$2004,MATCH($K281,'سجل التحفيز'!$Y$5:$Y$2004,0)))</f>
        <v/>
      </c>
      <c r="Q281" s="9">
        <f>IF($K281="","",INDEX('سجل التحفيز'!$E$5:$E$2004,MATCH($K281,'سجل التحفيز'!$Y$5:$Y$2004,0)))</f>
        <v/>
      </c>
      <c r="R281" s="9">
        <f>IF($K281="","",INDEX('سجل التحفيز'!$F$5:$F$2004,MATCH($K281,'سجل التحفيز'!$Y$5:$Y$2004,0)))</f>
        <v/>
      </c>
      <c r="S281" s="35">
        <f>IF($K281="","",INDEX('سجل التحفيز'!$G$5:$G$2004,MATCH($K281,'سجل التحفيز'!$Y$5:$Y$2004,0)))</f>
        <v/>
      </c>
    </row>
    <row r="282">
      <c r="K282" s="36">
        <f>IF(245&gt;$B$10,"",245)</f>
        <v/>
      </c>
      <c r="L282" s="37">
        <f>IF($K282="","",INDEX('سجل التحفيز'!$A$5:$A$2004,MATCH($K282,'سجل التحفيز'!$Y$5:$Y$2004,0)))</f>
        <v/>
      </c>
      <c r="M282" s="9">
        <f>IF($K282="","",INDEX('سجل التحفيز'!$B$5:$B$2004,MATCH($K282,'سجل التحفيز'!$Y$5:$Y$2004,0)))</f>
        <v/>
      </c>
      <c r="N282" s="9">
        <f>IF($K282="","",INDEX('سجل التحفيز'!$M$5:$M$2004,MATCH($K282,'سجل التحفيز'!$Y$5:$Y$2004,0)))</f>
        <v/>
      </c>
      <c r="O282" s="9">
        <f>IF($K282="","",INDEX('سجل التحفيز'!$C$5:$C$2004,MATCH($K282,'سجل التحفيز'!$Y$5:$Y$2004,0)))</f>
        <v/>
      </c>
      <c r="P282" s="36">
        <f>IF($K282="","",INDEX('سجل التحفيز'!$D$5:$D$2004,MATCH($K282,'سجل التحفيز'!$Y$5:$Y$2004,0)))</f>
        <v/>
      </c>
      <c r="Q282" s="9">
        <f>IF($K282="","",INDEX('سجل التحفيز'!$E$5:$E$2004,MATCH($K282,'سجل التحفيز'!$Y$5:$Y$2004,0)))</f>
        <v/>
      </c>
      <c r="R282" s="9">
        <f>IF($K282="","",INDEX('سجل التحفيز'!$F$5:$F$2004,MATCH($K282,'سجل التحفيز'!$Y$5:$Y$2004,0)))</f>
        <v/>
      </c>
      <c r="S282" s="35">
        <f>IF($K282="","",INDEX('سجل التحفيز'!$G$5:$G$2004,MATCH($K282,'سجل التحفيز'!$Y$5:$Y$2004,0)))</f>
        <v/>
      </c>
    </row>
    <row r="283">
      <c r="K283" s="36">
        <f>IF(246&gt;$B$10,"",246)</f>
        <v/>
      </c>
      <c r="L283" s="37">
        <f>IF($K283="","",INDEX('سجل التحفيز'!$A$5:$A$2004,MATCH($K283,'سجل التحفيز'!$Y$5:$Y$2004,0)))</f>
        <v/>
      </c>
      <c r="M283" s="9">
        <f>IF($K283="","",INDEX('سجل التحفيز'!$B$5:$B$2004,MATCH($K283,'سجل التحفيز'!$Y$5:$Y$2004,0)))</f>
        <v/>
      </c>
      <c r="N283" s="9">
        <f>IF($K283="","",INDEX('سجل التحفيز'!$M$5:$M$2004,MATCH($K283,'سجل التحفيز'!$Y$5:$Y$2004,0)))</f>
        <v/>
      </c>
      <c r="O283" s="9">
        <f>IF($K283="","",INDEX('سجل التحفيز'!$C$5:$C$2004,MATCH($K283,'سجل التحفيز'!$Y$5:$Y$2004,0)))</f>
        <v/>
      </c>
      <c r="P283" s="36">
        <f>IF($K283="","",INDEX('سجل التحفيز'!$D$5:$D$2004,MATCH($K283,'سجل التحفيز'!$Y$5:$Y$2004,0)))</f>
        <v/>
      </c>
      <c r="Q283" s="9">
        <f>IF($K283="","",INDEX('سجل التحفيز'!$E$5:$E$2004,MATCH($K283,'سجل التحفيز'!$Y$5:$Y$2004,0)))</f>
        <v/>
      </c>
      <c r="R283" s="9">
        <f>IF($K283="","",INDEX('سجل التحفيز'!$F$5:$F$2004,MATCH($K283,'سجل التحفيز'!$Y$5:$Y$2004,0)))</f>
        <v/>
      </c>
      <c r="S283" s="35">
        <f>IF($K283="","",INDEX('سجل التحفيز'!$G$5:$G$2004,MATCH($K283,'سجل التحفيز'!$Y$5:$Y$2004,0)))</f>
        <v/>
      </c>
    </row>
    <row r="284">
      <c r="K284" s="36">
        <f>IF(247&gt;$B$10,"",247)</f>
        <v/>
      </c>
      <c r="L284" s="37">
        <f>IF($K284="","",INDEX('سجل التحفيز'!$A$5:$A$2004,MATCH($K284,'سجل التحفيز'!$Y$5:$Y$2004,0)))</f>
        <v/>
      </c>
      <c r="M284" s="9">
        <f>IF($K284="","",INDEX('سجل التحفيز'!$B$5:$B$2004,MATCH($K284,'سجل التحفيز'!$Y$5:$Y$2004,0)))</f>
        <v/>
      </c>
      <c r="N284" s="9">
        <f>IF($K284="","",INDEX('سجل التحفيز'!$M$5:$M$2004,MATCH($K284,'سجل التحفيز'!$Y$5:$Y$2004,0)))</f>
        <v/>
      </c>
      <c r="O284" s="9">
        <f>IF($K284="","",INDEX('سجل التحفيز'!$C$5:$C$2004,MATCH($K284,'سجل التحفيز'!$Y$5:$Y$2004,0)))</f>
        <v/>
      </c>
      <c r="P284" s="36">
        <f>IF($K284="","",INDEX('سجل التحفيز'!$D$5:$D$2004,MATCH($K284,'سجل التحفيز'!$Y$5:$Y$2004,0)))</f>
        <v/>
      </c>
      <c r="Q284" s="9">
        <f>IF($K284="","",INDEX('سجل التحفيز'!$E$5:$E$2004,MATCH($K284,'سجل التحفيز'!$Y$5:$Y$2004,0)))</f>
        <v/>
      </c>
      <c r="R284" s="9">
        <f>IF($K284="","",INDEX('سجل التحفيز'!$F$5:$F$2004,MATCH($K284,'سجل التحفيز'!$Y$5:$Y$2004,0)))</f>
        <v/>
      </c>
      <c r="S284" s="35">
        <f>IF($K284="","",INDEX('سجل التحفيز'!$G$5:$G$2004,MATCH($K284,'سجل التحفيز'!$Y$5:$Y$2004,0)))</f>
        <v/>
      </c>
    </row>
    <row r="285">
      <c r="K285" s="36">
        <f>IF(248&gt;$B$10,"",248)</f>
        <v/>
      </c>
      <c r="L285" s="37">
        <f>IF($K285="","",INDEX('سجل التحفيز'!$A$5:$A$2004,MATCH($K285,'سجل التحفيز'!$Y$5:$Y$2004,0)))</f>
        <v/>
      </c>
      <c r="M285" s="9">
        <f>IF($K285="","",INDEX('سجل التحفيز'!$B$5:$B$2004,MATCH($K285,'سجل التحفيز'!$Y$5:$Y$2004,0)))</f>
        <v/>
      </c>
      <c r="N285" s="9">
        <f>IF($K285="","",INDEX('سجل التحفيز'!$M$5:$M$2004,MATCH($K285,'سجل التحفيز'!$Y$5:$Y$2004,0)))</f>
        <v/>
      </c>
      <c r="O285" s="9">
        <f>IF($K285="","",INDEX('سجل التحفيز'!$C$5:$C$2004,MATCH($K285,'سجل التحفيز'!$Y$5:$Y$2004,0)))</f>
        <v/>
      </c>
      <c r="P285" s="36">
        <f>IF($K285="","",INDEX('سجل التحفيز'!$D$5:$D$2004,MATCH($K285,'سجل التحفيز'!$Y$5:$Y$2004,0)))</f>
        <v/>
      </c>
      <c r="Q285" s="9">
        <f>IF($K285="","",INDEX('سجل التحفيز'!$E$5:$E$2004,MATCH($K285,'سجل التحفيز'!$Y$5:$Y$2004,0)))</f>
        <v/>
      </c>
      <c r="R285" s="9">
        <f>IF($K285="","",INDEX('سجل التحفيز'!$F$5:$F$2004,MATCH($K285,'سجل التحفيز'!$Y$5:$Y$2004,0)))</f>
        <v/>
      </c>
      <c r="S285" s="35">
        <f>IF($K285="","",INDEX('سجل التحفيز'!$G$5:$G$2004,MATCH($K285,'سجل التحفيز'!$Y$5:$Y$2004,0)))</f>
        <v/>
      </c>
    </row>
    <row r="286">
      <c r="K286" s="36">
        <f>IF(249&gt;$B$10,"",249)</f>
        <v/>
      </c>
      <c r="L286" s="37">
        <f>IF($K286="","",INDEX('سجل التحفيز'!$A$5:$A$2004,MATCH($K286,'سجل التحفيز'!$Y$5:$Y$2004,0)))</f>
        <v/>
      </c>
      <c r="M286" s="9">
        <f>IF($K286="","",INDEX('سجل التحفيز'!$B$5:$B$2004,MATCH($K286,'سجل التحفيز'!$Y$5:$Y$2004,0)))</f>
        <v/>
      </c>
      <c r="N286" s="9">
        <f>IF($K286="","",INDEX('سجل التحفيز'!$M$5:$M$2004,MATCH($K286,'سجل التحفيز'!$Y$5:$Y$2004,0)))</f>
        <v/>
      </c>
      <c r="O286" s="9">
        <f>IF($K286="","",INDEX('سجل التحفيز'!$C$5:$C$2004,MATCH($K286,'سجل التحفيز'!$Y$5:$Y$2004,0)))</f>
        <v/>
      </c>
      <c r="P286" s="36">
        <f>IF($K286="","",INDEX('سجل التحفيز'!$D$5:$D$2004,MATCH($K286,'سجل التحفيز'!$Y$5:$Y$2004,0)))</f>
        <v/>
      </c>
      <c r="Q286" s="9">
        <f>IF($K286="","",INDEX('سجل التحفيز'!$E$5:$E$2004,MATCH($K286,'سجل التحفيز'!$Y$5:$Y$2004,0)))</f>
        <v/>
      </c>
      <c r="R286" s="9">
        <f>IF($K286="","",INDEX('سجل التحفيز'!$F$5:$F$2004,MATCH($K286,'سجل التحفيز'!$Y$5:$Y$2004,0)))</f>
        <v/>
      </c>
      <c r="S286" s="35">
        <f>IF($K286="","",INDEX('سجل التحفيز'!$G$5:$G$2004,MATCH($K286,'سجل التحفيز'!$Y$5:$Y$2004,0)))</f>
        <v/>
      </c>
    </row>
    <row r="287">
      <c r="K287" s="36">
        <f>IF(250&gt;$B$10,"",250)</f>
        <v/>
      </c>
      <c r="L287" s="37">
        <f>IF($K287="","",INDEX('سجل التحفيز'!$A$5:$A$2004,MATCH($K287,'سجل التحفيز'!$Y$5:$Y$2004,0)))</f>
        <v/>
      </c>
      <c r="M287" s="9">
        <f>IF($K287="","",INDEX('سجل التحفيز'!$B$5:$B$2004,MATCH($K287,'سجل التحفيز'!$Y$5:$Y$2004,0)))</f>
        <v/>
      </c>
      <c r="N287" s="9">
        <f>IF($K287="","",INDEX('سجل التحفيز'!$M$5:$M$2004,MATCH($K287,'سجل التحفيز'!$Y$5:$Y$2004,0)))</f>
        <v/>
      </c>
      <c r="O287" s="9">
        <f>IF($K287="","",INDEX('سجل التحفيز'!$C$5:$C$2004,MATCH($K287,'سجل التحفيز'!$Y$5:$Y$2004,0)))</f>
        <v/>
      </c>
      <c r="P287" s="36">
        <f>IF($K287="","",INDEX('سجل التحفيز'!$D$5:$D$2004,MATCH($K287,'سجل التحفيز'!$Y$5:$Y$2004,0)))</f>
        <v/>
      </c>
      <c r="Q287" s="9">
        <f>IF($K287="","",INDEX('سجل التحفيز'!$E$5:$E$2004,MATCH($K287,'سجل التحفيز'!$Y$5:$Y$2004,0)))</f>
        <v/>
      </c>
      <c r="R287" s="9">
        <f>IF($K287="","",INDEX('سجل التحفيز'!$F$5:$F$2004,MATCH($K287,'سجل التحفيز'!$Y$5:$Y$2004,0)))</f>
        <v/>
      </c>
      <c r="S287" s="35">
        <f>IF($K287="","",INDEX('سجل التحفيز'!$G$5:$G$2004,MATCH($K287,'سجل التحفيز'!$Y$5:$Y$2004,0)))</f>
        <v/>
      </c>
    </row>
    <row r="288">
      <c r="K288" s="36">
        <f>IF(251&gt;$B$10,"",251)</f>
        <v/>
      </c>
      <c r="L288" s="37">
        <f>IF($K288="","",INDEX('سجل التحفيز'!$A$5:$A$2004,MATCH($K288,'سجل التحفيز'!$Y$5:$Y$2004,0)))</f>
        <v/>
      </c>
      <c r="M288" s="9">
        <f>IF($K288="","",INDEX('سجل التحفيز'!$B$5:$B$2004,MATCH($K288,'سجل التحفيز'!$Y$5:$Y$2004,0)))</f>
        <v/>
      </c>
      <c r="N288" s="9">
        <f>IF($K288="","",INDEX('سجل التحفيز'!$M$5:$M$2004,MATCH($K288,'سجل التحفيز'!$Y$5:$Y$2004,0)))</f>
        <v/>
      </c>
      <c r="O288" s="9">
        <f>IF($K288="","",INDEX('سجل التحفيز'!$C$5:$C$2004,MATCH($K288,'سجل التحفيز'!$Y$5:$Y$2004,0)))</f>
        <v/>
      </c>
      <c r="P288" s="36">
        <f>IF($K288="","",INDEX('سجل التحفيز'!$D$5:$D$2004,MATCH($K288,'سجل التحفيز'!$Y$5:$Y$2004,0)))</f>
        <v/>
      </c>
      <c r="Q288" s="9">
        <f>IF($K288="","",INDEX('سجل التحفيز'!$E$5:$E$2004,MATCH($K288,'سجل التحفيز'!$Y$5:$Y$2004,0)))</f>
        <v/>
      </c>
      <c r="R288" s="9">
        <f>IF($K288="","",INDEX('سجل التحفيز'!$F$5:$F$2004,MATCH($K288,'سجل التحفيز'!$Y$5:$Y$2004,0)))</f>
        <v/>
      </c>
      <c r="S288" s="35">
        <f>IF($K288="","",INDEX('سجل التحفيز'!$G$5:$G$2004,MATCH($K288,'سجل التحفيز'!$Y$5:$Y$2004,0)))</f>
        <v/>
      </c>
    </row>
    <row r="289">
      <c r="K289" s="36">
        <f>IF(252&gt;$B$10,"",252)</f>
        <v/>
      </c>
      <c r="L289" s="37">
        <f>IF($K289="","",INDEX('سجل التحفيز'!$A$5:$A$2004,MATCH($K289,'سجل التحفيز'!$Y$5:$Y$2004,0)))</f>
        <v/>
      </c>
      <c r="M289" s="9">
        <f>IF($K289="","",INDEX('سجل التحفيز'!$B$5:$B$2004,MATCH($K289,'سجل التحفيز'!$Y$5:$Y$2004,0)))</f>
        <v/>
      </c>
      <c r="N289" s="9">
        <f>IF($K289="","",INDEX('سجل التحفيز'!$M$5:$M$2004,MATCH($K289,'سجل التحفيز'!$Y$5:$Y$2004,0)))</f>
        <v/>
      </c>
      <c r="O289" s="9">
        <f>IF($K289="","",INDEX('سجل التحفيز'!$C$5:$C$2004,MATCH($K289,'سجل التحفيز'!$Y$5:$Y$2004,0)))</f>
        <v/>
      </c>
      <c r="P289" s="36">
        <f>IF($K289="","",INDEX('سجل التحفيز'!$D$5:$D$2004,MATCH($K289,'سجل التحفيز'!$Y$5:$Y$2004,0)))</f>
        <v/>
      </c>
      <c r="Q289" s="9">
        <f>IF($K289="","",INDEX('سجل التحفيز'!$E$5:$E$2004,MATCH($K289,'سجل التحفيز'!$Y$5:$Y$2004,0)))</f>
        <v/>
      </c>
      <c r="R289" s="9">
        <f>IF($K289="","",INDEX('سجل التحفيز'!$F$5:$F$2004,MATCH($K289,'سجل التحفيز'!$Y$5:$Y$2004,0)))</f>
        <v/>
      </c>
      <c r="S289" s="35">
        <f>IF($K289="","",INDEX('سجل التحفيز'!$G$5:$G$2004,MATCH($K289,'سجل التحفيز'!$Y$5:$Y$2004,0)))</f>
        <v/>
      </c>
    </row>
    <row r="290">
      <c r="K290" s="36">
        <f>IF(253&gt;$B$10,"",253)</f>
        <v/>
      </c>
      <c r="L290" s="37">
        <f>IF($K290="","",INDEX('سجل التحفيز'!$A$5:$A$2004,MATCH($K290,'سجل التحفيز'!$Y$5:$Y$2004,0)))</f>
        <v/>
      </c>
      <c r="M290" s="9">
        <f>IF($K290="","",INDEX('سجل التحفيز'!$B$5:$B$2004,MATCH($K290,'سجل التحفيز'!$Y$5:$Y$2004,0)))</f>
        <v/>
      </c>
      <c r="N290" s="9">
        <f>IF($K290="","",INDEX('سجل التحفيز'!$M$5:$M$2004,MATCH($K290,'سجل التحفيز'!$Y$5:$Y$2004,0)))</f>
        <v/>
      </c>
      <c r="O290" s="9">
        <f>IF($K290="","",INDEX('سجل التحفيز'!$C$5:$C$2004,MATCH($K290,'سجل التحفيز'!$Y$5:$Y$2004,0)))</f>
        <v/>
      </c>
      <c r="P290" s="36">
        <f>IF($K290="","",INDEX('سجل التحفيز'!$D$5:$D$2004,MATCH($K290,'سجل التحفيز'!$Y$5:$Y$2004,0)))</f>
        <v/>
      </c>
      <c r="Q290" s="9">
        <f>IF($K290="","",INDEX('سجل التحفيز'!$E$5:$E$2004,MATCH($K290,'سجل التحفيز'!$Y$5:$Y$2004,0)))</f>
        <v/>
      </c>
      <c r="R290" s="9">
        <f>IF($K290="","",INDEX('سجل التحفيز'!$F$5:$F$2004,MATCH($K290,'سجل التحفيز'!$Y$5:$Y$2004,0)))</f>
        <v/>
      </c>
      <c r="S290" s="35">
        <f>IF($K290="","",INDEX('سجل التحفيز'!$G$5:$G$2004,MATCH($K290,'سجل التحفيز'!$Y$5:$Y$2004,0)))</f>
        <v/>
      </c>
    </row>
    <row r="291">
      <c r="K291" s="36">
        <f>IF(254&gt;$B$10,"",254)</f>
        <v/>
      </c>
      <c r="L291" s="37">
        <f>IF($K291="","",INDEX('سجل التحفيز'!$A$5:$A$2004,MATCH($K291,'سجل التحفيز'!$Y$5:$Y$2004,0)))</f>
        <v/>
      </c>
      <c r="M291" s="9">
        <f>IF($K291="","",INDEX('سجل التحفيز'!$B$5:$B$2004,MATCH($K291,'سجل التحفيز'!$Y$5:$Y$2004,0)))</f>
        <v/>
      </c>
      <c r="N291" s="9">
        <f>IF($K291="","",INDEX('سجل التحفيز'!$M$5:$M$2004,MATCH($K291,'سجل التحفيز'!$Y$5:$Y$2004,0)))</f>
        <v/>
      </c>
      <c r="O291" s="9">
        <f>IF($K291="","",INDEX('سجل التحفيز'!$C$5:$C$2004,MATCH($K291,'سجل التحفيز'!$Y$5:$Y$2004,0)))</f>
        <v/>
      </c>
      <c r="P291" s="36">
        <f>IF($K291="","",INDEX('سجل التحفيز'!$D$5:$D$2004,MATCH($K291,'سجل التحفيز'!$Y$5:$Y$2004,0)))</f>
        <v/>
      </c>
      <c r="Q291" s="9">
        <f>IF($K291="","",INDEX('سجل التحفيز'!$E$5:$E$2004,MATCH($K291,'سجل التحفيز'!$Y$5:$Y$2004,0)))</f>
        <v/>
      </c>
      <c r="R291" s="9">
        <f>IF($K291="","",INDEX('سجل التحفيز'!$F$5:$F$2004,MATCH($K291,'سجل التحفيز'!$Y$5:$Y$2004,0)))</f>
        <v/>
      </c>
      <c r="S291" s="35">
        <f>IF($K291="","",INDEX('سجل التحفيز'!$G$5:$G$2004,MATCH($K291,'سجل التحفيز'!$Y$5:$Y$2004,0)))</f>
        <v/>
      </c>
    </row>
    <row r="292">
      <c r="K292" s="36">
        <f>IF(255&gt;$B$10,"",255)</f>
        <v/>
      </c>
      <c r="L292" s="37">
        <f>IF($K292="","",INDEX('سجل التحفيز'!$A$5:$A$2004,MATCH($K292,'سجل التحفيز'!$Y$5:$Y$2004,0)))</f>
        <v/>
      </c>
      <c r="M292" s="9">
        <f>IF($K292="","",INDEX('سجل التحفيز'!$B$5:$B$2004,MATCH($K292,'سجل التحفيز'!$Y$5:$Y$2004,0)))</f>
        <v/>
      </c>
      <c r="N292" s="9">
        <f>IF($K292="","",INDEX('سجل التحفيز'!$M$5:$M$2004,MATCH($K292,'سجل التحفيز'!$Y$5:$Y$2004,0)))</f>
        <v/>
      </c>
      <c r="O292" s="9">
        <f>IF($K292="","",INDEX('سجل التحفيز'!$C$5:$C$2004,MATCH($K292,'سجل التحفيز'!$Y$5:$Y$2004,0)))</f>
        <v/>
      </c>
      <c r="P292" s="36">
        <f>IF($K292="","",INDEX('سجل التحفيز'!$D$5:$D$2004,MATCH($K292,'سجل التحفيز'!$Y$5:$Y$2004,0)))</f>
        <v/>
      </c>
      <c r="Q292" s="9">
        <f>IF($K292="","",INDEX('سجل التحفيز'!$E$5:$E$2004,MATCH($K292,'سجل التحفيز'!$Y$5:$Y$2004,0)))</f>
        <v/>
      </c>
      <c r="R292" s="9">
        <f>IF($K292="","",INDEX('سجل التحفيز'!$F$5:$F$2004,MATCH($K292,'سجل التحفيز'!$Y$5:$Y$2004,0)))</f>
        <v/>
      </c>
      <c r="S292" s="35">
        <f>IF($K292="","",INDEX('سجل التحفيز'!$G$5:$G$2004,MATCH($K292,'سجل التحفيز'!$Y$5:$Y$2004,0)))</f>
        <v/>
      </c>
    </row>
    <row r="293">
      <c r="K293" s="36">
        <f>IF(256&gt;$B$10,"",256)</f>
        <v/>
      </c>
      <c r="L293" s="37">
        <f>IF($K293="","",INDEX('سجل التحفيز'!$A$5:$A$2004,MATCH($K293,'سجل التحفيز'!$Y$5:$Y$2004,0)))</f>
        <v/>
      </c>
      <c r="M293" s="9">
        <f>IF($K293="","",INDEX('سجل التحفيز'!$B$5:$B$2004,MATCH($K293,'سجل التحفيز'!$Y$5:$Y$2004,0)))</f>
        <v/>
      </c>
      <c r="N293" s="9">
        <f>IF($K293="","",INDEX('سجل التحفيز'!$M$5:$M$2004,MATCH($K293,'سجل التحفيز'!$Y$5:$Y$2004,0)))</f>
        <v/>
      </c>
      <c r="O293" s="9">
        <f>IF($K293="","",INDEX('سجل التحفيز'!$C$5:$C$2004,MATCH($K293,'سجل التحفيز'!$Y$5:$Y$2004,0)))</f>
        <v/>
      </c>
      <c r="P293" s="36">
        <f>IF($K293="","",INDEX('سجل التحفيز'!$D$5:$D$2004,MATCH($K293,'سجل التحفيز'!$Y$5:$Y$2004,0)))</f>
        <v/>
      </c>
      <c r="Q293" s="9">
        <f>IF($K293="","",INDEX('سجل التحفيز'!$E$5:$E$2004,MATCH($K293,'سجل التحفيز'!$Y$5:$Y$2004,0)))</f>
        <v/>
      </c>
      <c r="R293" s="9">
        <f>IF($K293="","",INDEX('سجل التحفيز'!$F$5:$F$2004,MATCH($K293,'سجل التحفيز'!$Y$5:$Y$2004,0)))</f>
        <v/>
      </c>
      <c r="S293" s="35">
        <f>IF($K293="","",INDEX('سجل التحفيز'!$G$5:$G$2004,MATCH($K293,'سجل التحفيز'!$Y$5:$Y$2004,0)))</f>
        <v/>
      </c>
    </row>
    <row r="294">
      <c r="K294" s="36">
        <f>IF(257&gt;$B$10,"",257)</f>
        <v/>
      </c>
      <c r="L294" s="37">
        <f>IF($K294="","",INDEX('سجل التحفيز'!$A$5:$A$2004,MATCH($K294,'سجل التحفيز'!$Y$5:$Y$2004,0)))</f>
        <v/>
      </c>
      <c r="M294" s="9">
        <f>IF($K294="","",INDEX('سجل التحفيز'!$B$5:$B$2004,MATCH($K294,'سجل التحفيز'!$Y$5:$Y$2004,0)))</f>
        <v/>
      </c>
      <c r="N294" s="9">
        <f>IF($K294="","",INDEX('سجل التحفيز'!$M$5:$M$2004,MATCH($K294,'سجل التحفيز'!$Y$5:$Y$2004,0)))</f>
        <v/>
      </c>
      <c r="O294" s="9">
        <f>IF($K294="","",INDEX('سجل التحفيز'!$C$5:$C$2004,MATCH($K294,'سجل التحفيز'!$Y$5:$Y$2004,0)))</f>
        <v/>
      </c>
      <c r="P294" s="36">
        <f>IF($K294="","",INDEX('سجل التحفيز'!$D$5:$D$2004,MATCH($K294,'سجل التحفيز'!$Y$5:$Y$2004,0)))</f>
        <v/>
      </c>
      <c r="Q294" s="9">
        <f>IF($K294="","",INDEX('سجل التحفيز'!$E$5:$E$2004,MATCH($K294,'سجل التحفيز'!$Y$5:$Y$2004,0)))</f>
        <v/>
      </c>
      <c r="R294" s="9">
        <f>IF($K294="","",INDEX('سجل التحفيز'!$F$5:$F$2004,MATCH($K294,'سجل التحفيز'!$Y$5:$Y$2004,0)))</f>
        <v/>
      </c>
      <c r="S294" s="35">
        <f>IF($K294="","",INDEX('سجل التحفيز'!$G$5:$G$2004,MATCH($K294,'سجل التحفيز'!$Y$5:$Y$2004,0)))</f>
        <v/>
      </c>
    </row>
    <row r="295">
      <c r="K295" s="36">
        <f>IF(258&gt;$B$10,"",258)</f>
        <v/>
      </c>
      <c r="L295" s="37">
        <f>IF($K295="","",INDEX('سجل التحفيز'!$A$5:$A$2004,MATCH($K295,'سجل التحفيز'!$Y$5:$Y$2004,0)))</f>
        <v/>
      </c>
      <c r="M295" s="9">
        <f>IF($K295="","",INDEX('سجل التحفيز'!$B$5:$B$2004,MATCH($K295,'سجل التحفيز'!$Y$5:$Y$2004,0)))</f>
        <v/>
      </c>
      <c r="N295" s="9">
        <f>IF($K295="","",INDEX('سجل التحفيز'!$M$5:$M$2004,MATCH($K295,'سجل التحفيز'!$Y$5:$Y$2004,0)))</f>
        <v/>
      </c>
      <c r="O295" s="9">
        <f>IF($K295="","",INDEX('سجل التحفيز'!$C$5:$C$2004,MATCH($K295,'سجل التحفيز'!$Y$5:$Y$2004,0)))</f>
        <v/>
      </c>
      <c r="P295" s="36">
        <f>IF($K295="","",INDEX('سجل التحفيز'!$D$5:$D$2004,MATCH($K295,'سجل التحفيز'!$Y$5:$Y$2004,0)))</f>
        <v/>
      </c>
      <c r="Q295" s="9">
        <f>IF($K295="","",INDEX('سجل التحفيز'!$E$5:$E$2004,MATCH($K295,'سجل التحفيز'!$Y$5:$Y$2004,0)))</f>
        <v/>
      </c>
      <c r="R295" s="9">
        <f>IF($K295="","",INDEX('سجل التحفيز'!$F$5:$F$2004,MATCH($K295,'سجل التحفيز'!$Y$5:$Y$2004,0)))</f>
        <v/>
      </c>
      <c r="S295" s="35">
        <f>IF($K295="","",INDEX('سجل التحفيز'!$G$5:$G$2004,MATCH($K295,'سجل التحفيز'!$Y$5:$Y$2004,0)))</f>
        <v/>
      </c>
    </row>
    <row r="296">
      <c r="K296" s="36">
        <f>IF(259&gt;$B$10,"",259)</f>
        <v/>
      </c>
      <c r="L296" s="37">
        <f>IF($K296="","",INDEX('سجل التحفيز'!$A$5:$A$2004,MATCH($K296,'سجل التحفيز'!$Y$5:$Y$2004,0)))</f>
        <v/>
      </c>
      <c r="M296" s="9">
        <f>IF($K296="","",INDEX('سجل التحفيز'!$B$5:$B$2004,MATCH($K296,'سجل التحفيز'!$Y$5:$Y$2004,0)))</f>
        <v/>
      </c>
      <c r="N296" s="9">
        <f>IF($K296="","",INDEX('سجل التحفيز'!$M$5:$M$2004,MATCH($K296,'سجل التحفيز'!$Y$5:$Y$2004,0)))</f>
        <v/>
      </c>
      <c r="O296" s="9">
        <f>IF($K296="","",INDEX('سجل التحفيز'!$C$5:$C$2004,MATCH($K296,'سجل التحفيز'!$Y$5:$Y$2004,0)))</f>
        <v/>
      </c>
      <c r="P296" s="36">
        <f>IF($K296="","",INDEX('سجل التحفيز'!$D$5:$D$2004,MATCH($K296,'سجل التحفيز'!$Y$5:$Y$2004,0)))</f>
        <v/>
      </c>
      <c r="Q296" s="9">
        <f>IF($K296="","",INDEX('سجل التحفيز'!$E$5:$E$2004,MATCH($K296,'سجل التحفيز'!$Y$5:$Y$2004,0)))</f>
        <v/>
      </c>
      <c r="R296" s="9">
        <f>IF($K296="","",INDEX('سجل التحفيز'!$F$5:$F$2004,MATCH($K296,'سجل التحفيز'!$Y$5:$Y$2004,0)))</f>
        <v/>
      </c>
      <c r="S296" s="35">
        <f>IF($K296="","",INDEX('سجل التحفيز'!$G$5:$G$2004,MATCH($K296,'سجل التحفيز'!$Y$5:$Y$2004,0)))</f>
        <v/>
      </c>
    </row>
    <row r="297">
      <c r="K297" s="36">
        <f>IF(260&gt;$B$10,"",260)</f>
        <v/>
      </c>
      <c r="L297" s="37">
        <f>IF($K297="","",INDEX('سجل التحفيز'!$A$5:$A$2004,MATCH($K297,'سجل التحفيز'!$Y$5:$Y$2004,0)))</f>
        <v/>
      </c>
      <c r="M297" s="9">
        <f>IF($K297="","",INDEX('سجل التحفيز'!$B$5:$B$2004,MATCH($K297,'سجل التحفيز'!$Y$5:$Y$2004,0)))</f>
        <v/>
      </c>
      <c r="N297" s="9">
        <f>IF($K297="","",INDEX('سجل التحفيز'!$M$5:$M$2004,MATCH($K297,'سجل التحفيز'!$Y$5:$Y$2004,0)))</f>
        <v/>
      </c>
      <c r="O297" s="9">
        <f>IF($K297="","",INDEX('سجل التحفيز'!$C$5:$C$2004,MATCH($K297,'سجل التحفيز'!$Y$5:$Y$2004,0)))</f>
        <v/>
      </c>
      <c r="P297" s="36">
        <f>IF($K297="","",INDEX('سجل التحفيز'!$D$5:$D$2004,MATCH($K297,'سجل التحفيز'!$Y$5:$Y$2004,0)))</f>
        <v/>
      </c>
      <c r="Q297" s="9">
        <f>IF($K297="","",INDEX('سجل التحفيز'!$E$5:$E$2004,MATCH($K297,'سجل التحفيز'!$Y$5:$Y$2004,0)))</f>
        <v/>
      </c>
      <c r="R297" s="9">
        <f>IF($K297="","",INDEX('سجل التحفيز'!$F$5:$F$2004,MATCH($K297,'سجل التحفيز'!$Y$5:$Y$2004,0)))</f>
        <v/>
      </c>
      <c r="S297" s="35">
        <f>IF($K297="","",INDEX('سجل التحفيز'!$G$5:$G$2004,MATCH($K297,'سجل التحفيز'!$Y$5:$Y$2004,0)))</f>
        <v/>
      </c>
    </row>
    <row r="298">
      <c r="K298" s="36">
        <f>IF(261&gt;$B$10,"",261)</f>
        <v/>
      </c>
      <c r="L298" s="37">
        <f>IF($K298="","",INDEX('سجل التحفيز'!$A$5:$A$2004,MATCH($K298,'سجل التحفيز'!$Y$5:$Y$2004,0)))</f>
        <v/>
      </c>
      <c r="M298" s="9">
        <f>IF($K298="","",INDEX('سجل التحفيز'!$B$5:$B$2004,MATCH($K298,'سجل التحفيز'!$Y$5:$Y$2004,0)))</f>
        <v/>
      </c>
      <c r="N298" s="9">
        <f>IF($K298="","",INDEX('سجل التحفيز'!$M$5:$M$2004,MATCH($K298,'سجل التحفيز'!$Y$5:$Y$2004,0)))</f>
        <v/>
      </c>
      <c r="O298" s="9">
        <f>IF($K298="","",INDEX('سجل التحفيز'!$C$5:$C$2004,MATCH($K298,'سجل التحفيز'!$Y$5:$Y$2004,0)))</f>
        <v/>
      </c>
      <c r="P298" s="36">
        <f>IF($K298="","",INDEX('سجل التحفيز'!$D$5:$D$2004,MATCH($K298,'سجل التحفيز'!$Y$5:$Y$2004,0)))</f>
        <v/>
      </c>
      <c r="Q298" s="9">
        <f>IF($K298="","",INDEX('سجل التحفيز'!$E$5:$E$2004,MATCH($K298,'سجل التحفيز'!$Y$5:$Y$2004,0)))</f>
        <v/>
      </c>
      <c r="R298" s="9">
        <f>IF($K298="","",INDEX('سجل التحفيز'!$F$5:$F$2004,MATCH($K298,'سجل التحفيز'!$Y$5:$Y$2004,0)))</f>
        <v/>
      </c>
      <c r="S298" s="35">
        <f>IF($K298="","",INDEX('سجل التحفيز'!$G$5:$G$2004,MATCH($K298,'سجل التحفيز'!$Y$5:$Y$2004,0)))</f>
        <v/>
      </c>
    </row>
    <row r="299">
      <c r="K299" s="36">
        <f>IF(262&gt;$B$10,"",262)</f>
        <v/>
      </c>
      <c r="L299" s="37">
        <f>IF($K299="","",INDEX('سجل التحفيز'!$A$5:$A$2004,MATCH($K299,'سجل التحفيز'!$Y$5:$Y$2004,0)))</f>
        <v/>
      </c>
      <c r="M299" s="9">
        <f>IF($K299="","",INDEX('سجل التحفيز'!$B$5:$B$2004,MATCH($K299,'سجل التحفيز'!$Y$5:$Y$2004,0)))</f>
        <v/>
      </c>
      <c r="N299" s="9">
        <f>IF($K299="","",INDEX('سجل التحفيز'!$M$5:$M$2004,MATCH($K299,'سجل التحفيز'!$Y$5:$Y$2004,0)))</f>
        <v/>
      </c>
      <c r="O299" s="9">
        <f>IF($K299="","",INDEX('سجل التحفيز'!$C$5:$C$2004,MATCH($K299,'سجل التحفيز'!$Y$5:$Y$2004,0)))</f>
        <v/>
      </c>
      <c r="P299" s="36">
        <f>IF($K299="","",INDEX('سجل التحفيز'!$D$5:$D$2004,MATCH($K299,'سجل التحفيز'!$Y$5:$Y$2004,0)))</f>
        <v/>
      </c>
      <c r="Q299" s="9">
        <f>IF($K299="","",INDEX('سجل التحفيز'!$E$5:$E$2004,MATCH($K299,'سجل التحفيز'!$Y$5:$Y$2004,0)))</f>
        <v/>
      </c>
      <c r="R299" s="9">
        <f>IF($K299="","",INDEX('سجل التحفيز'!$F$5:$F$2004,MATCH($K299,'سجل التحفيز'!$Y$5:$Y$2004,0)))</f>
        <v/>
      </c>
      <c r="S299" s="35">
        <f>IF($K299="","",INDEX('سجل التحفيز'!$G$5:$G$2004,MATCH($K299,'سجل التحفيز'!$Y$5:$Y$2004,0)))</f>
        <v/>
      </c>
    </row>
    <row r="300">
      <c r="K300" s="36">
        <f>IF(263&gt;$B$10,"",263)</f>
        <v/>
      </c>
      <c r="L300" s="37">
        <f>IF($K300="","",INDEX('سجل التحفيز'!$A$5:$A$2004,MATCH($K300,'سجل التحفيز'!$Y$5:$Y$2004,0)))</f>
        <v/>
      </c>
      <c r="M300" s="9">
        <f>IF($K300="","",INDEX('سجل التحفيز'!$B$5:$B$2004,MATCH($K300,'سجل التحفيز'!$Y$5:$Y$2004,0)))</f>
        <v/>
      </c>
      <c r="N300" s="9">
        <f>IF($K300="","",INDEX('سجل التحفيز'!$M$5:$M$2004,MATCH($K300,'سجل التحفيز'!$Y$5:$Y$2004,0)))</f>
        <v/>
      </c>
      <c r="O300" s="9">
        <f>IF($K300="","",INDEX('سجل التحفيز'!$C$5:$C$2004,MATCH($K300,'سجل التحفيز'!$Y$5:$Y$2004,0)))</f>
        <v/>
      </c>
      <c r="P300" s="36">
        <f>IF($K300="","",INDEX('سجل التحفيز'!$D$5:$D$2004,MATCH($K300,'سجل التحفيز'!$Y$5:$Y$2004,0)))</f>
        <v/>
      </c>
      <c r="Q300" s="9">
        <f>IF($K300="","",INDEX('سجل التحفيز'!$E$5:$E$2004,MATCH($K300,'سجل التحفيز'!$Y$5:$Y$2004,0)))</f>
        <v/>
      </c>
      <c r="R300" s="9">
        <f>IF($K300="","",INDEX('سجل التحفيز'!$F$5:$F$2004,MATCH($K300,'سجل التحفيز'!$Y$5:$Y$2004,0)))</f>
        <v/>
      </c>
      <c r="S300" s="35">
        <f>IF($K300="","",INDEX('سجل التحفيز'!$G$5:$G$2004,MATCH($K300,'سجل التحفيز'!$Y$5:$Y$2004,0)))</f>
        <v/>
      </c>
    </row>
    <row r="301">
      <c r="K301" s="36">
        <f>IF(264&gt;$B$10,"",264)</f>
        <v/>
      </c>
      <c r="L301" s="37">
        <f>IF($K301="","",INDEX('سجل التحفيز'!$A$5:$A$2004,MATCH($K301,'سجل التحفيز'!$Y$5:$Y$2004,0)))</f>
        <v/>
      </c>
      <c r="M301" s="9">
        <f>IF($K301="","",INDEX('سجل التحفيز'!$B$5:$B$2004,MATCH($K301,'سجل التحفيز'!$Y$5:$Y$2004,0)))</f>
        <v/>
      </c>
      <c r="N301" s="9">
        <f>IF($K301="","",INDEX('سجل التحفيز'!$M$5:$M$2004,MATCH($K301,'سجل التحفيز'!$Y$5:$Y$2004,0)))</f>
        <v/>
      </c>
      <c r="O301" s="9">
        <f>IF($K301="","",INDEX('سجل التحفيز'!$C$5:$C$2004,MATCH($K301,'سجل التحفيز'!$Y$5:$Y$2004,0)))</f>
        <v/>
      </c>
      <c r="P301" s="36">
        <f>IF($K301="","",INDEX('سجل التحفيز'!$D$5:$D$2004,MATCH($K301,'سجل التحفيز'!$Y$5:$Y$2004,0)))</f>
        <v/>
      </c>
      <c r="Q301" s="9">
        <f>IF($K301="","",INDEX('سجل التحفيز'!$E$5:$E$2004,MATCH($K301,'سجل التحفيز'!$Y$5:$Y$2004,0)))</f>
        <v/>
      </c>
      <c r="R301" s="9">
        <f>IF($K301="","",INDEX('سجل التحفيز'!$F$5:$F$2004,MATCH($K301,'سجل التحفيز'!$Y$5:$Y$2004,0)))</f>
        <v/>
      </c>
      <c r="S301" s="35">
        <f>IF($K301="","",INDEX('سجل التحفيز'!$G$5:$G$2004,MATCH($K301,'سجل التحفيز'!$Y$5:$Y$2004,0)))</f>
        <v/>
      </c>
    </row>
    <row r="302">
      <c r="K302" s="36">
        <f>IF(265&gt;$B$10,"",265)</f>
        <v/>
      </c>
      <c r="L302" s="37">
        <f>IF($K302="","",INDEX('سجل التحفيز'!$A$5:$A$2004,MATCH($K302,'سجل التحفيز'!$Y$5:$Y$2004,0)))</f>
        <v/>
      </c>
      <c r="M302" s="9">
        <f>IF($K302="","",INDEX('سجل التحفيز'!$B$5:$B$2004,MATCH($K302,'سجل التحفيز'!$Y$5:$Y$2004,0)))</f>
        <v/>
      </c>
      <c r="N302" s="9">
        <f>IF($K302="","",INDEX('سجل التحفيز'!$M$5:$M$2004,MATCH($K302,'سجل التحفيز'!$Y$5:$Y$2004,0)))</f>
        <v/>
      </c>
      <c r="O302" s="9">
        <f>IF($K302="","",INDEX('سجل التحفيز'!$C$5:$C$2004,MATCH($K302,'سجل التحفيز'!$Y$5:$Y$2004,0)))</f>
        <v/>
      </c>
      <c r="P302" s="36">
        <f>IF($K302="","",INDEX('سجل التحفيز'!$D$5:$D$2004,MATCH($K302,'سجل التحفيز'!$Y$5:$Y$2004,0)))</f>
        <v/>
      </c>
      <c r="Q302" s="9">
        <f>IF($K302="","",INDEX('سجل التحفيز'!$E$5:$E$2004,MATCH($K302,'سجل التحفيز'!$Y$5:$Y$2004,0)))</f>
        <v/>
      </c>
      <c r="R302" s="9">
        <f>IF($K302="","",INDEX('سجل التحفيز'!$F$5:$F$2004,MATCH($K302,'سجل التحفيز'!$Y$5:$Y$2004,0)))</f>
        <v/>
      </c>
      <c r="S302" s="35">
        <f>IF($K302="","",INDEX('سجل التحفيز'!$G$5:$G$2004,MATCH($K302,'سجل التحفيز'!$Y$5:$Y$2004,0)))</f>
        <v/>
      </c>
    </row>
    <row r="303">
      <c r="K303" s="36">
        <f>IF(266&gt;$B$10,"",266)</f>
        <v/>
      </c>
      <c r="L303" s="37">
        <f>IF($K303="","",INDEX('سجل التحفيز'!$A$5:$A$2004,MATCH($K303,'سجل التحفيز'!$Y$5:$Y$2004,0)))</f>
        <v/>
      </c>
      <c r="M303" s="9">
        <f>IF($K303="","",INDEX('سجل التحفيز'!$B$5:$B$2004,MATCH($K303,'سجل التحفيز'!$Y$5:$Y$2004,0)))</f>
        <v/>
      </c>
      <c r="N303" s="9">
        <f>IF($K303="","",INDEX('سجل التحفيز'!$M$5:$M$2004,MATCH($K303,'سجل التحفيز'!$Y$5:$Y$2004,0)))</f>
        <v/>
      </c>
      <c r="O303" s="9">
        <f>IF($K303="","",INDEX('سجل التحفيز'!$C$5:$C$2004,MATCH($K303,'سجل التحفيز'!$Y$5:$Y$2004,0)))</f>
        <v/>
      </c>
      <c r="P303" s="36">
        <f>IF($K303="","",INDEX('سجل التحفيز'!$D$5:$D$2004,MATCH($K303,'سجل التحفيز'!$Y$5:$Y$2004,0)))</f>
        <v/>
      </c>
      <c r="Q303" s="9">
        <f>IF($K303="","",INDEX('سجل التحفيز'!$E$5:$E$2004,MATCH($K303,'سجل التحفيز'!$Y$5:$Y$2004,0)))</f>
        <v/>
      </c>
      <c r="R303" s="9">
        <f>IF($K303="","",INDEX('سجل التحفيز'!$F$5:$F$2004,MATCH($K303,'سجل التحفيز'!$Y$5:$Y$2004,0)))</f>
        <v/>
      </c>
      <c r="S303" s="35">
        <f>IF($K303="","",INDEX('سجل التحفيز'!$G$5:$G$2004,MATCH($K303,'سجل التحفيز'!$Y$5:$Y$2004,0)))</f>
        <v/>
      </c>
    </row>
    <row r="304">
      <c r="K304" s="36">
        <f>IF(267&gt;$B$10,"",267)</f>
        <v/>
      </c>
      <c r="L304" s="37">
        <f>IF($K304="","",INDEX('سجل التحفيز'!$A$5:$A$2004,MATCH($K304,'سجل التحفيز'!$Y$5:$Y$2004,0)))</f>
        <v/>
      </c>
      <c r="M304" s="9">
        <f>IF($K304="","",INDEX('سجل التحفيز'!$B$5:$B$2004,MATCH($K304,'سجل التحفيز'!$Y$5:$Y$2004,0)))</f>
        <v/>
      </c>
      <c r="N304" s="9">
        <f>IF($K304="","",INDEX('سجل التحفيز'!$M$5:$M$2004,MATCH($K304,'سجل التحفيز'!$Y$5:$Y$2004,0)))</f>
        <v/>
      </c>
      <c r="O304" s="9">
        <f>IF($K304="","",INDEX('سجل التحفيز'!$C$5:$C$2004,MATCH($K304,'سجل التحفيز'!$Y$5:$Y$2004,0)))</f>
        <v/>
      </c>
      <c r="P304" s="36">
        <f>IF($K304="","",INDEX('سجل التحفيز'!$D$5:$D$2004,MATCH($K304,'سجل التحفيز'!$Y$5:$Y$2004,0)))</f>
        <v/>
      </c>
      <c r="Q304" s="9">
        <f>IF($K304="","",INDEX('سجل التحفيز'!$E$5:$E$2004,MATCH($K304,'سجل التحفيز'!$Y$5:$Y$2004,0)))</f>
        <v/>
      </c>
      <c r="R304" s="9">
        <f>IF($K304="","",INDEX('سجل التحفيز'!$F$5:$F$2004,MATCH($K304,'سجل التحفيز'!$Y$5:$Y$2004,0)))</f>
        <v/>
      </c>
      <c r="S304" s="35">
        <f>IF($K304="","",INDEX('سجل التحفيز'!$G$5:$G$2004,MATCH($K304,'سجل التحفيز'!$Y$5:$Y$2004,0)))</f>
        <v/>
      </c>
    </row>
    <row r="305">
      <c r="K305" s="36">
        <f>IF(268&gt;$B$10,"",268)</f>
        <v/>
      </c>
      <c r="L305" s="37">
        <f>IF($K305="","",INDEX('سجل التحفيز'!$A$5:$A$2004,MATCH($K305,'سجل التحفيز'!$Y$5:$Y$2004,0)))</f>
        <v/>
      </c>
      <c r="M305" s="9">
        <f>IF($K305="","",INDEX('سجل التحفيز'!$B$5:$B$2004,MATCH($K305,'سجل التحفيز'!$Y$5:$Y$2004,0)))</f>
        <v/>
      </c>
      <c r="N305" s="9">
        <f>IF($K305="","",INDEX('سجل التحفيز'!$M$5:$M$2004,MATCH($K305,'سجل التحفيز'!$Y$5:$Y$2004,0)))</f>
        <v/>
      </c>
      <c r="O305" s="9">
        <f>IF($K305="","",INDEX('سجل التحفيز'!$C$5:$C$2004,MATCH($K305,'سجل التحفيز'!$Y$5:$Y$2004,0)))</f>
        <v/>
      </c>
      <c r="P305" s="36">
        <f>IF($K305="","",INDEX('سجل التحفيز'!$D$5:$D$2004,MATCH($K305,'سجل التحفيز'!$Y$5:$Y$2004,0)))</f>
        <v/>
      </c>
      <c r="Q305" s="9">
        <f>IF($K305="","",INDEX('سجل التحفيز'!$E$5:$E$2004,MATCH($K305,'سجل التحفيز'!$Y$5:$Y$2004,0)))</f>
        <v/>
      </c>
      <c r="R305" s="9">
        <f>IF($K305="","",INDEX('سجل التحفيز'!$F$5:$F$2004,MATCH($K305,'سجل التحفيز'!$Y$5:$Y$2004,0)))</f>
        <v/>
      </c>
      <c r="S305" s="35">
        <f>IF($K305="","",INDEX('سجل التحفيز'!$G$5:$G$2004,MATCH($K305,'سجل التحفيز'!$Y$5:$Y$2004,0)))</f>
        <v/>
      </c>
    </row>
    <row r="306">
      <c r="K306" s="36">
        <f>IF(269&gt;$B$10,"",269)</f>
        <v/>
      </c>
      <c r="L306" s="37">
        <f>IF($K306="","",INDEX('سجل التحفيز'!$A$5:$A$2004,MATCH($K306,'سجل التحفيز'!$Y$5:$Y$2004,0)))</f>
        <v/>
      </c>
      <c r="M306" s="9">
        <f>IF($K306="","",INDEX('سجل التحفيز'!$B$5:$B$2004,MATCH($K306,'سجل التحفيز'!$Y$5:$Y$2004,0)))</f>
        <v/>
      </c>
      <c r="N306" s="9">
        <f>IF($K306="","",INDEX('سجل التحفيز'!$M$5:$M$2004,MATCH($K306,'سجل التحفيز'!$Y$5:$Y$2004,0)))</f>
        <v/>
      </c>
      <c r="O306" s="9">
        <f>IF($K306="","",INDEX('سجل التحفيز'!$C$5:$C$2004,MATCH($K306,'سجل التحفيز'!$Y$5:$Y$2004,0)))</f>
        <v/>
      </c>
      <c r="P306" s="36">
        <f>IF($K306="","",INDEX('سجل التحفيز'!$D$5:$D$2004,MATCH($K306,'سجل التحفيز'!$Y$5:$Y$2004,0)))</f>
        <v/>
      </c>
      <c r="Q306" s="9">
        <f>IF($K306="","",INDEX('سجل التحفيز'!$E$5:$E$2004,MATCH($K306,'سجل التحفيز'!$Y$5:$Y$2004,0)))</f>
        <v/>
      </c>
      <c r="R306" s="9">
        <f>IF($K306="","",INDEX('سجل التحفيز'!$F$5:$F$2004,MATCH($K306,'سجل التحفيز'!$Y$5:$Y$2004,0)))</f>
        <v/>
      </c>
      <c r="S306" s="35">
        <f>IF($K306="","",INDEX('سجل التحفيز'!$G$5:$G$2004,MATCH($K306,'سجل التحفيز'!$Y$5:$Y$2004,0)))</f>
        <v/>
      </c>
    </row>
    <row r="307">
      <c r="K307" s="36">
        <f>IF(270&gt;$B$10,"",270)</f>
        <v/>
      </c>
      <c r="L307" s="37">
        <f>IF($K307="","",INDEX('سجل التحفيز'!$A$5:$A$2004,MATCH($K307,'سجل التحفيز'!$Y$5:$Y$2004,0)))</f>
        <v/>
      </c>
      <c r="M307" s="9">
        <f>IF($K307="","",INDEX('سجل التحفيز'!$B$5:$B$2004,MATCH($K307,'سجل التحفيز'!$Y$5:$Y$2004,0)))</f>
        <v/>
      </c>
      <c r="N307" s="9">
        <f>IF($K307="","",INDEX('سجل التحفيز'!$M$5:$M$2004,MATCH($K307,'سجل التحفيز'!$Y$5:$Y$2004,0)))</f>
        <v/>
      </c>
      <c r="O307" s="9">
        <f>IF($K307="","",INDEX('سجل التحفيز'!$C$5:$C$2004,MATCH($K307,'سجل التحفيز'!$Y$5:$Y$2004,0)))</f>
        <v/>
      </c>
      <c r="P307" s="36">
        <f>IF($K307="","",INDEX('سجل التحفيز'!$D$5:$D$2004,MATCH($K307,'سجل التحفيز'!$Y$5:$Y$2004,0)))</f>
        <v/>
      </c>
      <c r="Q307" s="9">
        <f>IF($K307="","",INDEX('سجل التحفيز'!$E$5:$E$2004,MATCH($K307,'سجل التحفيز'!$Y$5:$Y$2004,0)))</f>
        <v/>
      </c>
      <c r="R307" s="9">
        <f>IF($K307="","",INDEX('سجل التحفيز'!$F$5:$F$2004,MATCH($K307,'سجل التحفيز'!$Y$5:$Y$2004,0)))</f>
        <v/>
      </c>
      <c r="S307" s="35">
        <f>IF($K307="","",INDEX('سجل التحفيز'!$G$5:$G$2004,MATCH($K307,'سجل التحفيز'!$Y$5:$Y$2004,0)))</f>
        <v/>
      </c>
    </row>
    <row r="308">
      <c r="K308" s="36">
        <f>IF(271&gt;$B$10,"",271)</f>
        <v/>
      </c>
      <c r="L308" s="37">
        <f>IF($K308="","",INDEX('سجل التحفيز'!$A$5:$A$2004,MATCH($K308,'سجل التحفيز'!$Y$5:$Y$2004,0)))</f>
        <v/>
      </c>
      <c r="M308" s="9">
        <f>IF($K308="","",INDEX('سجل التحفيز'!$B$5:$B$2004,MATCH($K308,'سجل التحفيز'!$Y$5:$Y$2004,0)))</f>
        <v/>
      </c>
      <c r="N308" s="9">
        <f>IF($K308="","",INDEX('سجل التحفيز'!$M$5:$M$2004,MATCH($K308,'سجل التحفيز'!$Y$5:$Y$2004,0)))</f>
        <v/>
      </c>
      <c r="O308" s="9">
        <f>IF($K308="","",INDEX('سجل التحفيز'!$C$5:$C$2004,MATCH($K308,'سجل التحفيز'!$Y$5:$Y$2004,0)))</f>
        <v/>
      </c>
      <c r="P308" s="36">
        <f>IF($K308="","",INDEX('سجل التحفيز'!$D$5:$D$2004,MATCH($K308,'سجل التحفيز'!$Y$5:$Y$2004,0)))</f>
        <v/>
      </c>
      <c r="Q308" s="9">
        <f>IF($K308="","",INDEX('سجل التحفيز'!$E$5:$E$2004,MATCH($K308,'سجل التحفيز'!$Y$5:$Y$2004,0)))</f>
        <v/>
      </c>
      <c r="R308" s="9">
        <f>IF($K308="","",INDEX('سجل التحفيز'!$F$5:$F$2004,MATCH($K308,'سجل التحفيز'!$Y$5:$Y$2004,0)))</f>
        <v/>
      </c>
      <c r="S308" s="35">
        <f>IF($K308="","",INDEX('سجل التحفيز'!$G$5:$G$2004,MATCH($K308,'سجل التحفيز'!$Y$5:$Y$2004,0)))</f>
        <v/>
      </c>
    </row>
    <row r="309">
      <c r="K309" s="36">
        <f>IF(272&gt;$B$10,"",272)</f>
        <v/>
      </c>
      <c r="L309" s="37">
        <f>IF($K309="","",INDEX('سجل التحفيز'!$A$5:$A$2004,MATCH($K309,'سجل التحفيز'!$Y$5:$Y$2004,0)))</f>
        <v/>
      </c>
      <c r="M309" s="9">
        <f>IF($K309="","",INDEX('سجل التحفيز'!$B$5:$B$2004,MATCH($K309,'سجل التحفيز'!$Y$5:$Y$2004,0)))</f>
        <v/>
      </c>
      <c r="N309" s="9">
        <f>IF($K309="","",INDEX('سجل التحفيز'!$M$5:$M$2004,MATCH($K309,'سجل التحفيز'!$Y$5:$Y$2004,0)))</f>
        <v/>
      </c>
      <c r="O309" s="9">
        <f>IF($K309="","",INDEX('سجل التحفيز'!$C$5:$C$2004,MATCH($K309,'سجل التحفيز'!$Y$5:$Y$2004,0)))</f>
        <v/>
      </c>
      <c r="P309" s="36">
        <f>IF($K309="","",INDEX('سجل التحفيز'!$D$5:$D$2004,MATCH($K309,'سجل التحفيز'!$Y$5:$Y$2004,0)))</f>
        <v/>
      </c>
      <c r="Q309" s="9">
        <f>IF($K309="","",INDEX('سجل التحفيز'!$E$5:$E$2004,MATCH($K309,'سجل التحفيز'!$Y$5:$Y$2004,0)))</f>
        <v/>
      </c>
      <c r="R309" s="9">
        <f>IF($K309="","",INDEX('سجل التحفيز'!$F$5:$F$2004,MATCH($K309,'سجل التحفيز'!$Y$5:$Y$2004,0)))</f>
        <v/>
      </c>
      <c r="S309" s="35">
        <f>IF($K309="","",INDEX('سجل التحفيز'!$G$5:$G$2004,MATCH($K309,'سجل التحفيز'!$Y$5:$Y$2004,0)))</f>
        <v/>
      </c>
    </row>
    <row r="310">
      <c r="K310" s="36">
        <f>IF(273&gt;$B$10,"",273)</f>
        <v/>
      </c>
      <c r="L310" s="37">
        <f>IF($K310="","",INDEX('سجل التحفيز'!$A$5:$A$2004,MATCH($K310,'سجل التحفيز'!$Y$5:$Y$2004,0)))</f>
        <v/>
      </c>
      <c r="M310" s="9">
        <f>IF($K310="","",INDEX('سجل التحفيز'!$B$5:$B$2004,MATCH($K310,'سجل التحفيز'!$Y$5:$Y$2004,0)))</f>
        <v/>
      </c>
      <c r="N310" s="9">
        <f>IF($K310="","",INDEX('سجل التحفيز'!$M$5:$M$2004,MATCH($K310,'سجل التحفيز'!$Y$5:$Y$2004,0)))</f>
        <v/>
      </c>
      <c r="O310" s="9">
        <f>IF($K310="","",INDEX('سجل التحفيز'!$C$5:$C$2004,MATCH($K310,'سجل التحفيز'!$Y$5:$Y$2004,0)))</f>
        <v/>
      </c>
      <c r="P310" s="36">
        <f>IF($K310="","",INDEX('سجل التحفيز'!$D$5:$D$2004,MATCH($K310,'سجل التحفيز'!$Y$5:$Y$2004,0)))</f>
        <v/>
      </c>
      <c r="Q310" s="9">
        <f>IF($K310="","",INDEX('سجل التحفيز'!$E$5:$E$2004,MATCH($K310,'سجل التحفيز'!$Y$5:$Y$2004,0)))</f>
        <v/>
      </c>
      <c r="R310" s="9">
        <f>IF($K310="","",INDEX('سجل التحفيز'!$F$5:$F$2004,MATCH($K310,'سجل التحفيز'!$Y$5:$Y$2004,0)))</f>
        <v/>
      </c>
      <c r="S310" s="35">
        <f>IF($K310="","",INDEX('سجل التحفيز'!$G$5:$G$2004,MATCH($K310,'سجل التحفيز'!$Y$5:$Y$2004,0)))</f>
        <v/>
      </c>
    </row>
    <row r="311">
      <c r="K311" s="36">
        <f>IF(274&gt;$B$10,"",274)</f>
        <v/>
      </c>
      <c r="L311" s="37">
        <f>IF($K311="","",INDEX('سجل التحفيز'!$A$5:$A$2004,MATCH($K311,'سجل التحفيز'!$Y$5:$Y$2004,0)))</f>
        <v/>
      </c>
      <c r="M311" s="9">
        <f>IF($K311="","",INDEX('سجل التحفيز'!$B$5:$B$2004,MATCH($K311,'سجل التحفيز'!$Y$5:$Y$2004,0)))</f>
        <v/>
      </c>
      <c r="N311" s="9">
        <f>IF($K311="","",INDEX('سجل التحفيز'!$M$5:$M$2004,MATCH($K311,'سجل التحفيز'!$Y$5:$Y$2004,0)))</f>
        <v/>
      </c>
      <c r="O311" s="9">
        <f>IF($K311="","",INDEX('سجل التحفيز'!$C$5:$C$2004,MATCH($K311,'سجل التحفيز'!$Y$5:$Y$2004,0)))</f>
        <v/>
      </c>
      <c r="P311" s="36">
        <f>IF($K311="","",INDEX('سجل التحفيز'!$D$5:$D$2004,MATCH($K311,'سجل التحفيز'!$Y$5:$Y$2004,0)))</f>
        <v/>
      </c>
      <c r="Q311" s="9">
        <f>IF($K311="","",INDEX('سجل التحفيز'!$E$5:$E$2004,MATCH($K311,'سجل التحفيز'!$Y$5:$Y$2004,0)))</f>
        <v/>
      </c>
      <c r="R311" s="9">
        <f>IF($K311="","",INDEX('سجل التحفيز'!$F$5:$F$2004,MATCH($K311,'سجل التحفيز'!$Y$5:$Y$2004,0)))</f>
        <v/>
      </c>
      <c r="S311" s="35">
        <f>IF($K311="","",INDEX('سجل التحفيز'!$G$5:$G$2004,MATCH($K311,'سجل التحفيز'!$Y$5:$Y$2004,0)))</f>
        <v/>
      </c>
    </row>
    <row r="312">
      <c r="K312" s="36">
        <f>IF(275&gt;$B$10,"",275)</f>
        <v/>
      </c>
      <c r="L312" s="37">
        <f>IF($K312="","",INDEX('سجل التحفيز'!$A$5:$A$2004,MATCH($K312,'سجل التحفيز'!$Y$5:$Y$2004,0)))</f>
        <v/>
      </c>
      <c r="M312" s="9">
        <f>IF($K312="","",INDEX('سجل التحفيز'!$B$5:$B$2004,MATCH($K312,'سجل التحفيز'!$Y$5:$Y$2004,0)))</f>
        <v/>
      </c>
      <c r="N312" s="9">
        <f>IF($K312="","",INDEX('سجل التحفيز'!$M$5:$M$2004,MATCH($K312,'سجل التحفيز'!$Y$5:$Y$2004,0)))</f>
        <v/>
      </c>
      <c r="O312" s="9">
        <f>IF($K312="","",INDEX('سجل التحفيز'!$C$5:$C$2004,MATCH($K312,'سجل التحفيز'!$Y$5:$Y$2004,0)))</f>
        <v/>
      </c>
      <c r="P312" s="36">
        <f>IF($K312="","",INDEX('سجل التحفيز'!$D$5:$D$2004,MATCH($K312,'سجل التحفيز'!$Y$5:$Y$2004,0)))</f>
        <v/>
      </c>
      <c r="Q312" s="9">
        <f>IF($K312="","",INDEX('سجل التحفيز'!$E$5:$E$2004,MATCH($K312,'سجل التحفيز'!$Y$5:$Y$2004,0)))</f>
        <v/>
      </c>
      <c r="R312" s="9">
        <f>IF($K312="","",INDEX('سجل التحفيز'!$F$5:$F$2004,MATCH($K312,'سجل التحفيز'!$Y$5:$Y$2004,0)))</f>
        <v/>
      </c>
      <c r="S312" s="35">
        <f>IF($K312="","",INDEX('سجل التحفيز'!$G$5:$G$2004,MATCH($K312,'سجل التحفيز'!$Y$5:$Y$2004,0)))</f>
        <v/>
      </c>
    </row>
    <row r="313">
      <c r="K313" s="36">
        <f>IF(276&gt;$B$10,"",276)</f>
        <v/>
      </c>
      <c r="L313" s="37">
        <f>IF($K313="","",INDEX('سجل التحفيز'!$A$5:$A$2004,MATCH($K313,'سجل التحفيز'!$Y$5:$Y$2004,0)))</f>
        <v/>
      </c>
      <c r="M313" s="9">
        <f>IF($K313="","",INDEX('سجل التحفيز'!$B$5:$B$2004,MATCH($K313,'سجل التحفيز'!$Y$5:$Y$2004,0)))</f>
        <v/>
      </c>
      <c r="N313" s="9">
        <f>IF($K313="","",INDEX('سجل التحفيز'!$M$5:$M$2004,MATCH($K313,'سجل التحفيز'!$Y$5:$Y$2004,0)))</f>
        <v/>
      </c>
      <c r="O313" s="9">
        <f>IF($K313="","",INDEX('سجل التحفيز'!$C$5:$C$2004,MATCH($K313,'سجل التحفيز'!$Y$5:$Y$2004,0)))</f>
        <v/>
      </c>
      <c r="P313" s="36">
        <f>IF($K313="","",INDEX('سجل التحفيز'!$D$5:$D$2004,MATCH($K313,'سجل التحفيز'!$Y$5:$Y$2004,0)))</f>
        <v/>
      </c>
      <c r="Q313" s="9">
        <f>IF($K313="","",INDEX('سجل التحفيز'!$E$5:$E$2004,MATCH($K313,'سجل التحفيز'!$Y$5:$Y$2004,0)))</f>
        <v/>
      </c>
      <c r="R313" s="9">
        <f>IF($K313="","",INDEX('سجل التحفيز'!$F$5:$F$2004,MATCH($K313,'سجل التحفيز'!$Y$5:$Y$2004,0)))</f>
        <v/>
      </c>
      <c r="S313" s="35">
        <f>IF($K313="","",INDEX('سجل التحفيز'!$G$5:$G$2004,MATCH($K313,'سجل التحفيز'!$Y$5:$Y$2004,0)))</f>
        <v/>
      </c>
    </row>
    <row r="314">
      <c r="K314" s="36">
        <f>IF(277&gt;$B$10,"",277)</f>
        <v/>
      </c>
      <c r="L314" s="37">
        <f>IF($K314="","",INDEX('سجل التحفيز'!$A$5:$A$2004,MATCH($K314,'سجل التحفيز'!$Y$5:$Y$2004,0)))</f>
        <v/>
      </c>
      <c r="M314" s="9">
        <f>IF($K314="","",INDEX('سجل التحفيز'!$B$5:$B$2004,MATCH($K314,'سجل التحفيز'!$Y$5:$Y$2004,0)))</f>
        <v/>
      </c>
      <c r="N314" s="9">
        <f>IF($K314="","",INDEX('سجل التحفيز'!$M$5:$M$2004,MATCH($K314,'سجل التحفيز'!$Y$5:$Y$2004,0)))</f>
        <v/>
      </c>
      <c r="O314" s="9">
        <f>IF($K314="","",INDEX('سجل التحفيز'!$C$5:$C$2004,MATCH($K314,'سجل التحفيز'!$Y$5:$Y$2004,0)))</f>
        <v/>
      </c>
      <c r="P314" s="36">
        <f>IF($K314="","",INDEX('سجل التحفيز'!$D$5:$D$2004,MATCH($K314,'سجل التحفيز'!$Y$5:$Y$2004,0)))</f>
        <v/>
      </c>
      <c r="Q314" s="9">
        <f>IF($K314="","",INDEX('سجل التحفيز'!$E$5:$E$2004,MATCH($K314,'سجل التحفيز'!$Y$5:$Y$2004,0)))</f>
        <v/>
      </c>
      <c r="R314" s="9">
        <f>IF($K314="","",INDEX('سجل التحفيز'!$F$5:$F$2004,MATCH($K314,'سجل التحفيز'!$Y$5:$Y$2004,0)))</f>
        <v/>
      </c>
      <c r="S314" s="35">
        <f>IF($K314="","",INDEX('سجل التحفيز'!$G$5:$G$2004,MATCH($K314,'سجل التحفيز'!$Y$5:$Y$2004,0)))</f>
        <v/>
      </c>
    </row>
    <row r="315">
      <c r="K315" s="36">
        <f>IF(278&gt;$B$10,"",278)</f>
        <v/>
      </c>
      <c r="L315" s="37">
        <f>IF($K315="","",INDEX('سجل التحفيز'!$A$5:$A$2004,MATCH($K315,'سجل التحفيز'!$Y$5:$Y$2004,0)))</f>
        <v/>
      </c>
      <c r="M315" s="9">
        <f>IF($K315="","",INDEX('سجل التحفيز'!$B$5:$B$2004,MATCH($K315,'سجل التحفيز'!$Y$5:$Y$2004,0)))</f>
        <v/>
      </c>
      <c r="N315" s="9">
        <f>IF($K315="","",INDEX('سجل التحفيز'!$M$5:$M$2004,MATCH($K315,'سجل التحفيز'!$Y$5:$Y$2004,0)))</f>
        <v/>
      </c>
      <c r="O315" s="9">
        <f>IF($K315="","",INDEX('سجل التحفيز'!$C$5:$C$2004,MATCH($K315,'سجل التحفيز'!$Y$5:$Y$2004,0)))</f>
        <v/>
      </c>
      <c r="P315" s="36">
        <f>IF($K315="","",INDEX('سجل التحفيز'!$D$5:$D$2004,MATCH($K315,'سجل التحفيز'!$Y$5:$Y$2004,0)))</f>
        <v/>
      </c>
      <c r="Q315" s="9">
        <f>IF($K315="","",INDEX('سجل التحفيز'!$E$5:$E$2004,MATCH($K315,'سجل التحفيز'!$Y$5:$Y$2004,0)))</f>
        <v/>
      </c>
      <c r="R315" s="9">
        <f>IF($K315="","",INDEX('سجل التحفيز'!$F$5:$F$2004,MATCH($K315,'سجل التحفيز'!$Y$5:$Y$2004,0)))</f>
        <v/>
      </c>
      <c r="S315" s="35">
        <f>IF($K315="","",INDEX('سجل التحفيز'!$G$5:$G$2004,MATCH($K315,'سجل التحفيز'!$Y$5:$Y$2004,0)))</f>
        <v/>
      </c>
    </row>
    <row r="316">
      <c r="K316" s="36">
        <f>IF(279&gt;$B$10,"",279)</f>
        <v/>
      </c>
      <c r="L316" s="37">
        <f>IF($K316="","",INDEX('سجل التحفيز'!$A$5:$A$2004,MATCH($K316,'سجل التحفيز'!$Y$5:$Y$2004,0)))</f>
        <v/>
      </c>
      <c r="M316" s="9">
        <f>IF($K316="","",INDEX('سجل التحفيز'!$B$5:$B$2004,MATCH($K316,'سجل التحفيز'!$Y$5:$Y$2004,0)))</f>
        <v/>
      </c>
      <c r="N316" s="9">
        <f>IF($K316="","",INDEX('سجل التحفيز'!$M$5:$M$2004,MATCH($K316,'سجل التحفيز'!$Y$5:$Y$2004,0)))</f>
        <v/>
      </c>
      <c r="O316" s="9">
        <f>IF($K316="","",INDEX('سجل التحفيز'!$C$5:$C$2004,MATCH($K316,'سجل التحفيز'!$Y$5:$Y$2004,0)))</f>
        <v/>
      </c>
      <c r="P316" s="36">
        <f>IF($K316="","",INDEX('سجل التحفيز'!$D$5:$D$2004,MATCH($K316,'سجل التحفيز'!$Y$5:$Y$2004,0)))</f>
        <v/>
      </c>
      <c r="Q316" s="9">
        <f>IF($K316="","",INDEX('سجل التحفيز'!$E$5:$E$2004,MATCH($K316,'سجل التحفيز'!$Y$5:$Y$2004,0)))</f>
        <v/>
      </c>
      <c r="R316" s="9">
        <f>IF($K316="","",INDEX('سجل التحفيز'!$F$5:$F$2004,MATCH($K316,'سجل التحفيز'!$Y$5:$Y$2004,0)))</f>
        <v/>
      </c>
      <c r="S316" s="35">
        <f>IF($K316="","",INDEX('سجل التحفيز'!$G$5:$G$2004,MATCH($K316,'سجل التحفيز'!$Y$5:$Y$2004,0)))</f>
        <v/>
      </c>
    </row>
    <row r="317">
      <c r="K317" s="36">
        <f>IF(280&gt;$B$10,"",280)</f>
        <v/>
      </c>
      <c r="L317" s="37">
        <f>IF($K317="","",INDEX('سجل التحفيز'!$A$5:$A$2004,MATCH($K317,'سجل التحفيز'!$Y$5:$Y$2004,0)))</f>
        <v/>
      </c>
      <c r="M317" s="9">
        <f>IF($K317="","",INDEX('سجل التحفيز'!$B$5:$B$2004,MATCH($K317,'سجل التحفيز'!$Y$5:$Y$2004,0)))</f>
        <v/>
      </c>
      <c r="N317" s="9">
        <f>IF($K317="","",INDEX('سجل التحفيز'!$M$5:$M$2004,MATCH($K317,'سجل التحفيز'!$Y$5:$Y$2004,0)))</f>
        <v/>
      </c>
      <c r="O317" s="9">
        <f>IF($K317="","",INDEX('سجل التحفيز'!$C$5:$C$2004,MATCH($K317,'سجل التحفيز'!$Y$5:$Y$2004,0)))</f>
        <v/>
      </c>
      <c r="P317" s="36">
        <f>IF($K317="","",INDEX('سجل التحفيز'!$D$5:$D$2004,MATCH($K317,'سجل التحفيز'!$Y$5:$Y$2004,0)))</f>
        <v/>
      </c>
      <c r="Q317" s="9">
        <f>IF($K317="","",INDEX('سجل التحفيز'!$E$5:$E$2004,MATCH($K317,'سجل التحفيز'!$Y$5:$Y$2004,0)))</f>
        <v/>
      </c>
      <c r="R317" s="9">
        <f>IF($K317="","",INDEX('سجل التحفيز'!$F$5:$F$2004,MATCH($K317,'سجل التحفيز'!$Y$5:$Y$2004,0)))</f>
        <v/>
      </c>
      <c r="S317" s="35">
        <f>IF($K317="","",INDEX('سجل التحفيز'!$G$5:$G$2004,MATCH($K317,'سجل التحفيز'!$Y$5:$Y$2004,0)))</f>
        <v/>
      </c>
    </row>
    <row r="318">
      <c r="K318" s="36">
        <f>IF(281&gt;$B$10,"",281)</f>
        <v/>
      </c>
      <c r="L318" s="37">
        <f>IF($K318="","",INDEX('سجل التحفيز'!$A$5:$A$2004,MATCH($K318,'سجل التحفيز'!$Y$5:$Y$2004,0)))</f>
        <v/>
      </c>
      <c r="M318" s="9">
        <f>IF($K318="","",INDEX('سجل التحفيز'!$B$5:$B$2004,MATCH($K318,'سجل التحفيز'!$Y$5:$Y$2004,0)))</f>
        <v/>
      </c>
      <c r="N318" s="9">
        <f>IF($K318="","",INDEX('سجل التحفيز'!$M$5:$M$2004,MATCH($K318,'سجل التحفيز'!$Y$5:$Y$2004,0)))</f>
        <v/>
      </c>
      <c r="O318" s="9">
        <f>IF($K318="","",INDEX('سجل التحفيز'!$C$5:$C$2004,MATCH($K318,'سجل التحفيز'!$Y$5:$Y$2004,0)))</f>
        <v/>
      </c>
      <c r="P318" s="36">
        <f>IF($K318="","",INDEX('سجل التحفيز'!$D$5:$D$2004,MATCH($K318,'سجل التحفيز'!$Y$5:$Y$2004,0)))</f>
        <v/>
      </c>
      <c r="Q318" s="9">
        <f>IF($K318="","",INDEX('سجل التحفيز'!$E$5:$E$2004,MATCH($K318,'سجل التحفيز'!$Y$5:$Y$2004,0)))</f>
        <v/>
      </c>
      <c r="R318" s="9">
        <f>IF($K318="","",INDEX('سجل التحفيز'!$F$5:$F$2004,MATCH($K318,'سجل التحفيز'!$Y$5:$Y$2004,0)))</f>
        <v/>
      </c>
      <c r="S318" s="35">
        <f>IF($K318="","",INDEX('سجل التحفيز'!$G$5:$G$2004,MATCH($K318,'سجل التحفيز'!$Y$5:$Y$2004,0)))</f>
        <v/>
      </c>
    </row>
    <row r="319">
      <c r="K319" s="36">
        <f>IF(282&gt;$B$10,"",282)</f>
        <v/>
      </c>
      <c r="L319" s="37">
        <f>IF($K319="","",INDEX('سجل التحفيز'!$A$5:$A$2004,MATCH($K319,'سجل التحفيز'!$Y$5:$Y$2004,0)))</f>
        <v/>
      </c>
      <c r="M319" s="9">
        <f>IF($K319="","",INDEX('سجل التحفيز'!$B$5:$B$2004,MATCH($K319,'سجل التحفيز'!$Y$5:$Y$2004,0)))</f>
        <v/>
      </c>
      <c r="N319" s="9">
        <f>IF($K319="","",INDEX('سجل التحفيز'!$M$5:$M$2004,MATCH($K319,'سجل التحفيز'!$Y$5:$Y$2004,0)))</f>
        <v/>
      </c>
      <c r="O319" s="9">
        <f>IF($K319="","",INDEX('سجل التحفيز'!$C$5:$C$2004,MATCH($K319,'سجل التحفيز'!$Y$5:$Y$2004,0)))</f>
        <v/>
      </c>
      <c r="P319" s="36">
        <f>IF($K319="","",INDEX('سجل التحفيز'!$D$5:$D$2004,MATCH($K319,'سجل التحفيز'!$Y$5:$Y$2004,0)))</f>
        <v/>
      </c>
      <c r="Q319" s="9">
        <f>IF($K319="","",INDEX('سجل التحفيز'!$E$5:$E$2004,MATCH($K319,'سجل التحفيز'!$Y$5:$Y$2004,0)))</f>
        <v/>
      </c>
      <c r="R319" s="9">
        <f>IF($K319="","",INDEX('سجل التحفيز'!$F$5:$F$2004,MATCH($K319,'سجل التحفيز'!$Y$5:$Y$2004,0)))</f>
        <v/>
      </c>
      <c r="S319" s="35">
        <f>IF($K319="","",INDEX('سجل التحفيز'!$G$5:$G$2004,MATCH($K319,'سجل التحفيز'!$Y$5:$Y$2004,0)))</f>
        <v/>
      </c>
    </row>
    <row r="320">
      <c r="K320" s="36">
        <f>IF(283&gt;$B$10,"",283)</f>
        <v/>
      </c>
      <c r="L320" s="37">
        <f>IF($K320="","",INDEX('سجل التحفيز'!$A$5:$A$2004,MATCH($K320,'سجل التحفيز'!$Y$5:$Y$2004,0)))</f>
        <v/>
      </c>
      <c r="M320" s="9">
        <f>IF($K320="","",INDEX('سجل التحفيز'!$B$5:$B$2004,MATCH($K320,'سجل التحفيز'!$Y$5:$Y$2004,0)))</f>
        <v/>
      </c>
      <c r="N320" s="9">
        <f>IF($K320="","",INDEX('سجل التحفيز'!$M$5:$M$2004,MATCH($K320,'سجل التحفيز'!$Y$5:$Y$2004,0)))</f>
        <v/>
      </c>
      <c r="O320" s="9">
        <f>IF($K320="","",INDEX('سجل التحفيز'!$C$5:$C$2004,MATCH($K320,'سجل التحفيز'!$Y$5:$Y$2004,0)))</f>
        <v/>
      </c>
      <c r="P320" s="36">
        <f>IF($K320="","",INDEX('سجل التحفيز'!$D$5:$D$2004,MATCH($K320,'سجل التحفيز'!$Y$5:$Y$2004,0)))</f>
        <v/>
      </c>
      <c r="Q320" s="9">
        <f>IF($K320="","",INDEX('سجل التحفيز'!$E$5:$E$2004,MATCH($K320,'سجل التحفيز'!$Y$5:$Y$2004,0)))</f>
        <v/>
      </c>
      <c r="R320" s="9">
        <f>IF($K320="","",INDEX('سجل التحفيز'!$F$5:$F$2004,MATCH($K320,'سجل التحفيز'!$Y$5:$Y$2004,0)))</f>
        <v/>
      </c>
      <c r="S320" s="35">
        <f>IF($K320="","",INDEX('سجل التحفيز'!$G$5:$G$2004,MATCH($K320,'سجل التحفيز'!$Y$5:$Y$2004,0)))</f>
        <v/>
      </c>
    </row>
    <row r="321">
      <c r="K321" s="36">
        <f>IF(284&gt;$B$10,"",284)</f>
        <v/>
      </c>
      <c r="L321" s="37">
        <f>IF($K321="","",INDEX('سجل التحفيز'!$A$5:$A$2004,MATCH($K321,'سجل التحفيز'!$Y$5:$Y$2004,0)))</f>
        <v/>
      </c>
      <c r="M321" s="9">
        <f>IF($K321="","",INDEX('سجل التحفيز'!$B$5:$B$2004,MATCH($K321,'سجل التحفيز'!$Y$5:$Y$2004,0)))</f>
        <v/>
      </c>
      <c r="N321" s="9">
        <f>IF($K321="","",INDEX('سجل التحفيز'!$M$5:$M$2004,MATCH($K321,'سجل التحفيز'!$Y$5:$Y$2004,0)))</f>
        <v/>
      </c>
      <c r="O321" s="9">
        <f>IF($K321="","",INDEX('سجل التحفيز'!$C$5:$C$2004,MATCH($K321,'سجل التحفيز'!$Y$5:$Y$2004,0)))</f>
        <v/>
      </c>
      <c r="P321" s="36">
        <f>IF($K321="","",INDEX('سجل التحفيز'!$D$5:$D$2004,MATCH($K321,'سجل التحفيز'!$Y$5:$Y$2004,0)))</f>
        <v/>
      </c>
      <c r="Q321" s="9">
        <f>IF($K321="","",INDEX('سجل التحفيز'!$E$5:$E$2004,MATCH($K321,'سجل التحفيز'!$Y$5:$Y$2004,0)))</f>
        <v/>
      </c>
      <c r="R321" s="9">
        <f>IF($K321="","",INDEX('سجل التحفيز'!$F$5:$F$2004,MATCH($K321,'سجل التحفيز'!$Y$5:$Y$2004,0)))</f>
        <v/>
      </c>
      <c r="S321" s="35">
        <f>IF($K321="","",INDEX('سجل التحفيز'!$G$5:$G$2004,MATCH($K321,'سجل التحفيز'!$Y$5:$Y$2004,0)))</f>
        <v/>
      </c>
    </row>
    <row r="322">
      <c r="K322" s="36">
        <f>IF(285&gt;$B$10,"",285)</f>
        <v/>
      </c>
      <c r="L322" s="37">
        <f>IF($K322="","",INDEX('سجل التحفيز'!$A$5:$A$2004,MATCH($K322,'سجل التحفيز'!$Y$5:$Y$2004,0)))</f>
        <v/>
      </c>
      <c r="M322" s="9">
        <f>IF($K322="","",INDEX('سجل التحفيز'!$B$5:$B$2004,MATCH($K322,'سجل التحفيز'!$Y$5:$Y$2004,0)))</f>
        <v/>
      </c>
      <c r="N322" s="9">
        <f>IF($K322="","",INDEX('سجل التحفيز'!$M$5:$M$2004,MATCH($K322,'سجل التحفيز'!$Y$5:$Y$2004,0)))</f>
        <v/>
      </c>
      <c r="O322" s="9">
        <f>IF($K322="","",INDEX('سجل التحفيز'!$C$5:$C$2004,MATCH($K322,'سجل التحفيز'!$Y$5:$Y$2004,0)))</f>
        <v/>
      </c>
      <c r="P322" s="36">
        <f>IF($K322="","",INDEX('سجل التحفيز'!$D$5:$D$2004,MATCH($K322,'سجل التحفيز'!$Y$5:$Y$2004,0)))</f>
        <v/>
      </c>
      <c r="Q322" s="9">
        <f>IF($K322="","",INDEX('سجل التحفيز'!$E$5:$E$2004,MATCH($K322,'سجل التحفيز'!$Y$5:$Y$2004,0)))</f>
        <v/>
      </c>
      <c r="R322" s="9">
        <f>IF($K322="","",INDEX('سجل التحفيز'!$F$5:$F$2004,MATCH($K322,'سجل التحفيز'!$Y$5:$Y$2004,0)))</f>
        <v/>
      </c>
      <c r="S322" s="35">
        <f>IF($K322="","",INDEX('سجل التحفيز'!$G$5:$G$2004,MATCH($K322,'سجل التحفيز'!$Y$5:$Y$2004,0)))</f>
        <v/>
      </c>
    </row>
    <row r="323">
      <c r="K323" s="36">
        <f>IF(286&gt;$B$10,"",286)</f>
        <v/>
      </c>
      <c r="L323" s="37">
        <f>IF($K323="","",INDEX('سجل التحفيز'!$A$5:$A$2004,MATCH($K323,'سجل التحفيز'!$Y$5:$Y$2004,0)))</f>
        <v/>
      </c>
      <c r="M323" s="9">
        <f>IF($K323="","",INDEX('سجل التحفيز'!$B$5:$B$2004,MATCH($K323,'سجل التحفيز'!$Y$5:$Y$2004,0)))</f>
        <v/>
      </c>
      <c r="N323" s="9">
        <f>IF($K323="","",INDEX('سجل التحفيز'!$M$5:$M$2004,MATCH($K323,'سجل التحفيز'!$Y$5:$Y$2004,0)))</f>
        <v/>
      </c>
      <c r="O323" s="9">
        <f>IF($K323="","",INDEX('سجل التحفيز'!$C$5:$C$2004,MATCH($K323,'سجل التحفيز'!$Y$5:$Y$2004,0)))</f>
        <v/>
      </c>
      <c r="P323" s="36">
        <f>IF($K323="","",INDEX('سجل التحفيز'!$D$5:$D$2004,MATCH($K323,'سجل التحفيز'!$Y$5:$Y$2004,0)))</f>
        <v/>
      </c>
      <c r="Q323" s="9">
        <f>IF($K323="","",INDEX('سجل التحفيز'!$E$5:$E$2004,MATCH($K323,'سجل التحفيز'!$Y$5:$Y$2004,0)))</f>
        <v/>
      </c>
      <c r="R323" s="9">
        <f>IF($K323="","",INDEX('سجل التحفيز'!$F$5:$F$2004,MATCH($K323,'سجل التحفيز'!$Y$5:$Y$2004,0)))</f>
        <v/>
      </c>
      <c r="S323" s="35">
        <f>IF($K323="","",INDEX('سجل التحفيز'!$G$5:$G$2004,MATCH($K323,'سجل التحفيز'!$Y$5:$Y$2004,0)))</f>
        <v/>
      </c>
    </row>
    <row r="324">
      <c r="K324" s="36">
        <f>IF(287&gt;$B$10,"",287)</f>
        <v/>
      </c>
      <c r="L324" s="37">
        <f>IF($K324="","",INDEX('سجل التحفيز'!$A$5:$A$2004,MATCH($K324,'سجل التحفيز'!$Y$5:$Y$2004,0)))</f>
        <v/>
      </c>
      <c r="M324" s="9">
        <f>IF($K324="","",INDEX('سجل التحفيز'!$B$5:$B$2004,MATCH($K324,'سجل التحفيز'!$Y$5:$Y$2004,0)))</f>
        <v/>
      </c>
      <c r="N324" s="9">
        <f>IF($K324="","",INDEX('سجل التحفيز'!$M$5:$M$2004,MATCH($K324,'سجل التحفيز'!$Y$5:$Y$2004,0)))</f>
        <v/>
      </c>
      <c r="O324" s="9">
        <f>IF($K324="","",INDEX('سجل التحفيز'!$C$5:$C$2004,MATCH($K324,'سجل التحفيز'!$Y$5:$Y$2004,0)))</f>
        <v/>
      </c>
      <c r="P324" s="36">
        <f>IF($K324="","",INDEX('سجل التحفيز'!$D$5:$D$2004,MATCH($K324,'سجل التحفيز'!$Y$5:$Y$2004,0)))</f>
        <v/>
      </c>
      <c r="Q324" s="9">
        <f>IF($K324="","",INDEX('سجل التحفيز'!$E$5:$E$2004,MATCH($K324,'سجل التحفيز'!$Y$5:$Y$2004,0)))</f>
        <v/>
      </c>
      <c r="R324" s="9">
        <f>IF($K324="","",INDEX('سجل التحفيز'!$F$5:$F$2004,MATCH($K324,'سجل التحفيز'!$Y$5:$Y$2004,0)))</f>
        <v/>
      </c>
      <c r="S324" s="35">
        <f>IF($K324="","",INDEX('سجل التحفيز'!$G$5:$G$2004,MATCH($K324,'سجل التحفيز'!$Y$5:$Y$2004,0)))</f>
        <v/>
      </c>
    </row>
    <row r="325">
      <c r="K325" s="36">
        <f>IF(288&gt;$B$10,"",288)</f>
        <v/>
      </c>
      <c r="L325" s="37">
        <f>IF($K325="","",INDEX('سجل التحفيز'!$A$5:$A$2004,MATCH($K325,'سجل التحفيز'!$Y$5:$Y$2004,0)))</f>
        <v/>
      </c>
      <c r="M325" s="9">
        <f>IF($K325="","",INDEX('سجل التحفيز'!$B$5:$B$2004,MATCH($K325,'سجل التحفيز'!$Y$5:$Y$2004,0)))</f>
        <v/>
      </c>
      <c r="N325" s="9">
        <f>IF($K325="","",INDEX('سجل التحفيز'!$M$5:$M$2004,MATCH($K325,'سجل التحفيز'!$Y$5:$Y$2004,0)))</f>
        <v/>
      </c>
      <c r="O325" s="9">
        <f>IF($K325="","",INDEX('سجل التحفيز'!$C$5:$C$2004,MATCH($K325,'سجل التحفيز'!$Y$5:$Y$2004,0)))</f>
        <v/>
      </c>
      <c r="P325" s="36">
        <f>IF($K325="","",INDEX('سجل التحفيز'!$D$5:$D$2004,MATCH($K325,'سجل التحفيز'!$Y$5:$Y$2004,0)))</f>
        <v/>
      </c>
      <c r="Q325" s="9">
        <f>IF($K325="","",INDEX('سجل التحفيز'!$E$5:$E$2004,MATCH($K325,'سجل التحفيز'!$Y$5:$Y$2004,0)))</f>
        <v/>
      </c>
      <c r="R325" s="9">
        <f>IF($K325="","",INDEX('سجل التحفيز'!$F$5:$F$2004,MATCH($K325,'سجل التحفيز'!$Y$5:$Y$2004,0)))</f>
        <v/>
      </c>
      <c r="S325" s="35">
        <f>IF($K325="","",INDEX('سجل التحفيز'!$G$5:$G$2004,MATCH($K325,'سجل التحفيز'!$Y$5:$Y$2004,0)))</f>
        <v/>
      </c>
    </row>
    <row r="326">
      <c r="K326" s="36">
        <f>IF(289&gt;$B$10,"",289)</f>
        <v/>
      </c>
      <c r="L326" s="37">
        <f>IF($K326="","",INDEX('سجل التحفيز'!$A$5:$A$2004,MATCH($K326,'سجل التحفيز'!$Y$5:$Y$2004,0)))</f>
        <v/>
      </c>
      <c r="M326" s="9">
        <f>IF($K326="","",INDEX('سجل التحفيز'!$B$5:$B$2004,MATCH($K326,'سجل التحفيز'!$Y$5:$Y$2004,0)))</f>
        <v/>
      </c>
      <c r="N326" s="9">
        <f>IF($K326="","",INDEX('سجل التحفيز'!$M$5:$M$2004,MATCH($K326,'سجل التحفيز'!$Y$5:$Y$2004,0)))</f>
        <v/>
      </c>
      <c r="O326" s="9">
        <f>IF($K326="","",INDEX('سجل التحفيز'!$C$5:$C$2004,MATCH($K326,'سجل التحفيز'!$Y$5:$Y$2004,0)))</f>
        <v/>
      </c>
      <c r="P326" s="36">
        <f>IF($K326="","",INDEX('سجل التحفيز'!$D$5:$D$2004,MATCH($K326,'سجل التحفيز'!$Y$5:$Y$2004,0)))</f>
        <v/>
      </c>
      <c r="Q326" s="9">
        <f>IF($K326="","",INDEX('سجل التحفيز'!$E$5:$E$2004,MATCH($K326,'سجل التحفيز'!$Y$5:$Y$2004,0)))</f>
        <v/>
      </c>
      <c r="R326" s="9">
        <f>IF($K326="","",INDEX('سجل التحفيز'!$F$5:$F$2004,MATCH($K326,'سجل التحفيز'!$Y$5:$Y$2004,0)))</f>
        <v/>
      </c>
      <c r="S326" s="35">
        <f>IF($K326="","",INDEX('سجل التحفيز'!$G$5:$G$2004,MATCH($K326,'سجل التحفيز'!$Y$5:$Y$2004,0)))</f>
        <v/>
      </c>
    </row>
    <row r="327">
      <c r="K327" s="36">
        <f>IF(290&gt;$B$10,"",290)</f>
        <v/>
      </c>
      <c r="L327" s="37">
        <f>IF($K327="","",INDEX('سجل التحفيز'!$A$5:$A$2004,MATCH($K327,'سجل التحفيز'!$Y$5:$Y$2004,0)))</f>
        <v/>
      </c>
      <c r="M327" s="9">
        <f>IF($K327="","",INDEX('سجل التحفيز'!$B$5:$B$2004,MATCH($K327,'سجل التحفيز'!$Y$5:$Y$2004,0)))</f>
        <v/>
      </c>
      <c r="N327" s="9">
        <f>IF($K327="","",INDEX('سجل التحفيز'!$M$5:$M$2004,MATCH($K327,'سجل التحفيز'!$Y$5:$Y$2004,0)))</f>
        <v/>
      </c>
      <c r="O327" s="9">
        <f>IF($K327="","",INDEX('سجل التحفيز'!$C$5:$C$2004,MATCH($K327,'سجل التحفيز'!$Y$5:$Y$2004,0)))</f>
        <v/>
      </c>
      <c r="P327" s="36">
        <f>IF($K327="","",INDEX('سجل التحفيز'!$D$5:$D$2004,MATCH($K327,'سجل التحفيز'!$Y$5:$Y$2004,0)))</f>
        <v/>
      </c>
      <c r="Q327" s="9">
        <f>IF($K327="","",INDEX('سجل التحفيز'!$E$5:$E$2004,MATCH($K327,'سجل التحفيز'!$Y$5:$Y$2004,0)))</f>
        <v/>
      </c>
      <c r="R327" s="9">
        <f>IF($K327="","",INDEX('سجل التحفيز'!$F$5:$F$2004,MATCH($K327,'سجل التحفيز'!$Y$5:$Y$2004,0)))</f>
        <v/>
      </c>
      <c r="S327" s="35">
        <f>IF($K327="","",INDEX('سجل التحفيز'!$G$5:$G$2004,MATCH($K327,'سجل التحفيز'!$Y$5:$Y$2004,0)))</f>
        <v/>
      </c>
    </row>
    <row r="328">
      <c r="K328" s="36">
        <f>IF(291&gt;$B$10,"",291)</f>
        <v/>
      </c>
      <c r="L328" s="37">
        <f>IF($K328="","",INDEX('سجل التحفيز'!$A$5:$A$2004,MATCH($K328,'سجل التحفيز'!$Y$5:$Y$2004,0)))</f>
        <v/>
      </c>
      <c r="M328" s="9">
        <f>IF($K328="","",INDEX('سجل التحفيز'!$B$5:$B$2004,MATCH($K328,'سجل التحفيز'!$Y$5:$Y$2004,0)))</f>
        <v/>
      </c>
      <c r="N328" s="9">
        <f>IF($K328="","",INDEX('سجل التحفيز'!$M$5:$M$2004,MATCH($K328,'سجل التحفيز'!$Y$5:$Y$2004,0)))</f>
        <v/>
      </c>
      <c r="O328" s="9">
        <f>IF($K328="","",INDEX('سجل التحفيز'!$C$5:$C$2004,MATCH($K328,'سجل التحفيز'!$Y$5:$Y$2004,0)))</f>
        <v/>
      </c>
      <c r="P328" s="36">
        <f>IF($K328="","",INDEX('سجل التحفيز'!$D$5:$D$2004,MATCH($K328,'سجل التحفيز'!$Y$5:$Y$2004,0)))</f>
        <v/>
      </c>
      <c r="Q328" s="9">
        <f>IF($K328="","",INDEX('سجل التحفيز'!$E$5:$E$2004,MATCH($K328,'سجل التحفيز'!$Y$5:$Y$2004,0)))</f>
        <v/>
      </c>
      <c r="R328" s="9">
        <f>IF($K328="","",INDEX('سجل التحفيز'!$F$5:$F$2004,MATCH($K328,'سجل التحفيز'!$Y$5:$Y$2004,0)))</f>
        <v/>
      </c>
      <c r="S328" s="35">
        <f>IF($K328="","",INDEX('سجل التحفيز'!$G$5:$G$2004,MATCH($K328,'سجل التحفيز'!$Y$5:$Y$2004,0)))</f>
        <v/>
      </c>
    </row>
    <row r="329">
      <c r="K329" s="36">
        <f>IF(292&gt;$B$10,"",292)</f>
        <v/>
      </c>
      <c r="L329" s="37">
        <f>IF($K329="","",INDEX('سجل التحفيز'!$A$5:$A$2004,MATCH($K329,'سجل التحفيز'!$Y$5:$Y$2004,0)))</f>
        <v/>
      </c>
      <c r="M329" s="9">
        <f>IF($K329="","",INDEX('سجل التحفيز'!$B$5:$B$2004,MATCH($K329,'سجل التحفيز'!$Y$5:$Y$2004,0)))</f>
        <v/>
      </c>
      <c r="N329" s="9">
        <f>IF($K329="","",INDEX('سجل التحفيز'!$M$5:$M$2004,MATCH($K329,'سجل التحفيز'!$Y$5:$Y$2004,0)))</f>
        <v/>
      </c>
      <c r="O329" s="9">
        <f>IF($K329="","",INDEX('سجل التحفيز'!$C$5:$C$2004,MATCH($K329,'سجل التحفيز'!$Y$5:$Y$2004,0)))</f>
        <v/>
      </c>
      <c r="P329" s="36">
        <f>IF($K329="","",INDEX('سجل التحفيز'!$D$5:$D$2004,MATCH($K329,'سجل التحفيز'!$Y$5:$Y$2004,0)))</f>
        <v/>
      </c>
      <c r="Q329" s="9">
        <f>IF($K329="","",INDEX('سجل التحفيز'!$E$5:$E$2004,MATCH($K329,'سجل التحفيز'!$Y$5:$Y$2004,0)))</f>
        <v/>
      </c>
      <c r="R329" s="9">
        <f>IF($K329="","",INDEX('سجل التحفيز'!$F$5:$F$2004,MATCH($K329,'سجل التحفيز'!$Y$5:$Y$2004,0)))</f>
        <v/>
      </c>
      <c r="S329" s="35">
        <f>IF($K329="","",INDEX('سجل التحفيز'!$G$5:$G$2004,MATCH($K329,'سجل التحفيز'!$Y$5:$Y$2004,0)))</f>
        <v/>
      </c>
    </row>
    <row r="330">
      <c r="K330" s="36">
        <f>IF(293&gt;$B$10,"",293)</f>
        <v/>
      </c>
      <c r="L330" s="37">
        <f>IF($K330="","",INDEX('سجل التحفيز'!$A$5:$A$2004,MATCH($K330,'سجل التحفيز'!$Y$5:$Y$2004,0)))</f>
        <v/>
      </c>
      <c r="M330" s="9">
        <f>IF($K330="","",INDEX('سجل التحفيز'!$B$5:$B$2004,MATCH($K330,'سجل التحفيز'!$Y$5:$Y$2004,0)))</f>
        <v/>
      </c>
      <c r="N330" s="9">
        <f>IF($K330="","",INDEX('سجل التحفيز'!$M$5:$M$2004,MATCH($K330,'سجل التحفيز'!$Y$5:$Y$2004,0)))</f>
        <v/>
      </c>
      <c r="O330" s="9">
        <f>IF($K330="","",INDEX('سجل التحفيز'!$C$5:$C$2004,MATCH($K330,'سجل التحفيز'!$Y$5:$Y$2004,0)))</f>
        <v/>
      </c>
      <c r="P330" s="36">
        <f>IF($K330="","",INDEX('سجل التحفيز'!$D$5:$D$2004,MATCH($K330,'سجل التحفيز'!$Y$5:$Y$2004,0)))</f>
        <v/>
      </c>
      <c r="Q330" s="9">
        <f>IF($K330="","",INDEX('سجل التحفيز'!$E$5:$E$2004,MATCH($K330,'سجل التحفيز'!$Y$5:$Y$2004,0)))</f>
        <v/>
      </c>
      <c r="R330" s="9">
        <f>IF($K330="","",INDEX('سجل التحفيز'!$F$5:$F$2004,MATCH($K330,'سجل التحفيز'!$Y$5:$Y$2004,0)))</f>
        <v/>
      </c>
      <c r="S330" s="35">
        <f>IF($K330="","",INDEX('سجل التحفيز'!$G$5:$G$2004,MATCH($K330,'سجل التحفيز'!$Y$5:$Y$2004,0)))</f>
        <v/>
      </c>
    </row>
    <row r="331">
      <c r="K331" s="36">
        <f>IF(294&gt;$B$10,"",294)</f>
        <v/>
      </c>
      <c r="L331" s="37">
        <f>IF($K331="","",INDEX('سجل التحفيز'!$A$5:$A$2004,MATCH($K331,'سجل التحفيز'!$Y$5:$Y$2004,0)))</f>
        <v/>
      </c>
      <c r="M331" s="9">
        <f>IF($K331="","",INDEX('سجل التحفيز'!$B$5:$B$2004,MATCH($K331,'سجل التحفيز'!$Y$5:$Y$2004,0)))</f>
        <v/>
      </c>
      <c r="N331" s="9">
        <f>IF($K331="","",INDEX('سجل التحفيز'!$M$5:$M$2004,MATCH($K331,'سجل التحفيز'!$Y$5:$Y$2004,0)))</f>
        <v/>
      </c>
      <c r="O331" s="9">
        <f>IF($K331="","",INDEX('سجل التحفيز'!$C$5:$C$2004,MATCH($K331,'سجل التحفيز'!$Y$5:$Y$2004,0)))</f>
        <v/>
      </c>
      <c r="P331" s="36">
        <f>IF($K331="","",INDEX('سجل التحفيز'!$D$5:$D$2004,MATCH($K331,'سجل التحفيز'!$Y$5:$Y$2004,0)))</f>
        <v/>
      </c>
      <c r="Q331" s="9">
        <f>IF($K331="","",INDEX('سجل التحفيز'!$E$5:$E$2004,MATCH($K331,'سجل التحفيز'!$Y$5:$Y$2004,0)))</f>
        <v/>
      </c>
      <c r="R331" s="9">
        <f>IF($K331="","",INDEX('سجل التحفيز'!$F$5:$F$2004,MATCH($K331,'سجل التحفيز'!$Y$5:$Y$2004,0)))</f>
        <v/>
      </c>
      <c r="S331" s="35">
        <f>IF($K331="","",INDEX('سجل التحفيز'!$G$5:$G$2004,MATCH($K331,'سجل التحفيز'!$Y$5:$Y$2004,0)))</f>
        <v/>
      </c>
    </row>
    <row r="332">
      <c r="K332" s="36">
        <f>IF(295&gt;$B$10,"",295)</f>
        <v/>
      </c>
      <c r="L332" s="37">
        <f>IF($K332="","",INDEX('سجل التحفيز'!$A$5:$A$2004,MATCH($K332,'سجل التحفيز'!$Y$5:$Y$2004,0)))</f>
        <v/>
      </c>
      <c r="M332" s="9">
        <f>IF($K332="","",INDEX('سجل التحفيز'!$B$5:$B$2004,MATCH($K332,'سجل التحفيز'!$Y$5:$Y$2004,0)))</f>
        <v/>
      </c>
      <c r="N332" s="9">
        <f>IF($K332="","",INDEX('سجل التحفيز'!$M$5:$M$2004,MATCH($K332,'سجل التحفيز'!$Y$5:$Y$2004,0)))</f>
        <v/>
      </c>
      <c r="O332" s="9">
        <f>IF($K332="","",INDEX('سجل التحفيز'!$C$5:$C$2004,MATCH($K332,'سجل التحفيز'!$Y$5:$Y$2004,0)))</f>
        <v/>
      </c>
      <c r="P332" s="36">
        <f>IF($K332="","",INDEX('سجل التحفيز'!$D$5:$D$2004,MATCH($K332,'سجل التحفيز'!$Y$5:$Y$2004,0)))</f>
        <v/>
      </c>
      <c r="Q332" s="9">
        <f>IF($K332="","",INDEX('سجل التحفيز'!$E$5:$E$2004,MATCH($K332,'سجل التحفيز'!$Y$5:$Y$2004,0)))</f>
        <v/>
      </c>
      <c r="R332" s="9">
        <f>IF($K332="","",INDEX('سجل التحفيز'!$F$5:$F$2004,MATCH($K332,'سجل التحفيز'!$Y$5:$Y$2004,0)))</f>
        <v/>
      </c>
      <c r="S332" s="35">
        <f>IF($K332="","",INDEX('سجل التحفيز'!$G$5:$G$2004,MATCH($K332,'سجل التحفيز'!$Y$5:$Y$2004,0)))</f>
        <v/>
      </c>
    </row>
    <row r="333">
      <c r="K333" s="36">
        <f>IF(296&gt;$B$10,"",296)</f>
        <v/>
      </c>
      <c r="L333" s="37">
        <f>IF($K333="","",INDEX('سجل التحفيز'!$A$5:$A$2004,MATCH($K333,'سجل التحفيز'!$Y$5:$Y$2004,0)))</f>
        <v/>
      </c>
      <c r="M333" s="9">
        <f>IF($K333="","",INDEX('سجل التحفيز'!$B$5:$B$2004,MATCH($K333,'سجل التحفيز'!$Y$5:$Y$2004,0)))</f>
        <v/>
      </c>
      <c r="N333" s="9">
        <f>IF($K333="","",INDEX('سجل التحفيز'!$M$5:$M$2004,MATCH($K333,'سجل التحفيز'!$Y$5:$Y$2004,0)))</f>
        <v/>
      </c>
      <c r="O333" s="9">
        <f>IF($K333="","",INDEX('سجل التحفيز'!$C$5:$C$2004,MATCH($K333,'سجل التحفيز'!$Y$5:$Y$2004,0)))</f>
        <v/>
      </c>
      <c r="P333" s="36">
        <f>IF($K333="","",INDEX('سجل التحفيز'!$D$5:$D$2004,MATCH($K333,'سجل التحفيز'!$Y$5:$Y$2004,0)))</f>
        <v/>
      </c>
      <c r="Q333" s="9">
        <f>IF($K333="","",INDEX('سجل التحفيز'!$E$5:$E$2004,MATCH($K333,'سجل التحفيز'!$Y$5:$Y$2004,0)))</f>
        <v/>
      </c>
      <c r="R333" s="9">
        <f>IF($K333="","",INDEX('سجل التحفيز'!$F$5:$F$2004,MATCH($K333,'سجل التحفيز'!$Y$5:$Y$2004,0)))</f>
        <v/>
      </c>
      <c r="S333" s="35">
        <f>IF($K333="","",INDEX('سجل التحفيز'!$G$5:$G$2004,MATCH($K333,'سجل التحفيز'!$Y$5:$Y$2004,0)))</f>
        <v/>
      </c>
    </row>
    <row r="334">
      <c r="K334" s="36">
        <f>IF(297&gt;$B$10,"",297)</f>
        <v/>
      </c>
      <c r="L334" s="37">
        <f>IF($K334="","",INDEX('سجل التحفيز'!$A$5:$A$2004,MATCH($K334,'سجل التحفيز'!$Y$5:$Y$2004,0)))</f>
        <v/>
      </c>
      <c r="M334" s="9">
        <f>IF($K334="","",INDEX('سجل التحفيز'!$B$5:$B$2004,MATCH($K334,'سجل التحفيز'!$Y$5:$Y$2004,0)))</f>
        <v/>
      </c>
      <c r="N334" s="9">
        <f>IF($K334="","",INDEX('سجل التحفيز'!$M$5:$M$2004,MATCH($K334,'سجل التحفيز'!$Y$5:$Y$2004,0)))</f>
        <v/>
      </c>
      <c r="O334" s="9">
        <f>IF($K334="","",INDEX('سجل التحفيز'!$C$5:$C$2004,MATCH($K334,'سجل التحفيز'!$Y$5:$Y$2004,0)))</f>
        <v/>
      </c>
      <c r="P334" s="36">
        <f>IF($K334="","",INDEX('سجل التحفيز'!$D$5:$D$2004,MATCH($K334,'سجل التحفيز'!$Y$5:$Y$2004,0)))</f>
        <v/>
      </c>
      <c r="Q334" s="9">
        <f>IF($K334="","",INDEX('سجل التحفيز'!$E$5:$E$2004,MATCH($K334,'سجل التحفيز'!$Y$5:$Y$2004,0)))</f>
        <v/>
      </c>
      <c r="R334" s="9">
        <f>IF($K334="","",INDEX('سجل التحفيز'!$F$5:$F$2004,MATCH($K334,'سجل التحفيز'!$Y$5:$Y$2004,0)))</f>
        <v/>
      </c>
      <c r="S334" s="35">
        <f>IF($K334="","",INDEX('سجل التحفيز'!$G$5:$G$2004,MATCH($K334,'سجل التحفيز'!$Y$5:$Y$2004,0)))</f>
        <v/>
      </c>
    </row>
    <row r="335">
      <c r="K335" s="36">
        <f>IF(298&gt;$B$10,"",298)</f>
        <v/>
      </c>
      <c r="L335" s="37">
        <f>IF($K335="","",INDEX('سجل التحفيز'!$A$5:$A$2004,MATCH($K335,'سجل التحفيز'!$Y$5:$Y$2004,0)))</f>
        <v/>
      </c>
      <c r="M335" s="9">
        <f>IF($K335="","",INDEX('سجل التحفيز'!$B$5:$B$2004,MATCH($K335,'سجل التحفيز'!$Y$5:$Y$2004,0)))</f>
        <v/>
      </c>
      <c r="N335" s="9">
        <f>IF($K335="","",INDEX('سجل التحفيز'!$M$5:$M$2004,MATCH($K335,'سجل التحفيز'!$Y$5:$Y$2004,0)))</f>
        <v/>
      </c>
      <c r="O335" s="9">
        <f>IF($K335="","",INDEX('سجل التحفيز'!$C$5:$C$2004,MATCH($K335,'سجل التحفيز'!$Y$5:$Y$2004,0)))</f>
        <v/>
      </c>
      <c r="P335" s="36">
        <f>IF($K335="","",INDEX('سجل التحفيز'!$D$5:$D$2004,MATCH($K335,'سجل التحفيز'!$Y$5:$Y$2004,0)))</f>
        <v/>
      </c>
      <c r="Q335" s="9">
        <f>IF($K335="","",INDEX('سجل التحفيز'!$E$5:$E$2004,MATCH($K335,'سجل التحفيز'!$Y$5:$Y$2004,0)))</f>
        <v/>
      </c>
      <c r="R335" s="9">
        <f>IF($K335="","",INDEX('سجل التحفيز'!$F$5:$F$2004,MATCH($K335,'سجل التحفيز'!$Y$5:$Y$2004,0)))</f>
        <v/>
      </c>
      <c r="S335" s="35">
        <f>IF($K335="","",INDEX('سجل التحفيز'!$G$5:$G$2004,MATCH($K335,'سجل التحفيز'!$Y$5:$Y$2004,0)))</f>
        <v/>
      </c>
    </row>
    <row r="336">
      <c r="K336" s="36">
        <f>IF(299&gt;$B$10,"",299)</f>
        <v/>
      </c>
      <c r="L336" s="37">
        <f>IF($K336="","",INDEX('سجل التحفيز'!$A$5:$A$2004,MATCH($K336,'سجل التحفيز'!$Y$5:$Y$2004,0)))</f>
        <v/>
      </c>
      <c r="M336" s="9">
        <f>IF($K336="","",INDEX('سجل التحفيز'!$B$5:$B$2004,MATCH($K336,'سجل التحفيز'!$Y$5:$Y$2004,0)))</f>
        <v/>
      </c>
      <c r="N336" s="9">
        <f>IF($K336="","",INDEX('سجل التحفيز'!$M$5:$M$2004,MATCH($K336,'سجل التحفيز'!$Y$5:$Y$2004,0)))</f>
        <v/>
      </c>
      <c r="O336" s="9">
        <f>IF($K336="","",INDEX('سجل التحفيز'!$C$5:$C$2004,MATCH($K336,'سجل التحفيز'!$Y$5:$Y$2004,0)))</f>
        <v/>
      </c>
      <c r="P336" s="36">
        <f>IF($K336="","",INDEX('سجل التحفيز'!$D$5:$D$2004,MATCH($K336,'سجل التحفيز'!$Y$5:$Y$2004,0)))</f>
        <v/>
      </c>
      <c r="Q336" s="9">
        <f>IF($K336="","",INDEX('سجل التحفيز'!$E$5:$E$2004,MATCH($K336,'سجل التحفيز'!$Y$5:$Y$2004,0)))</f>
        <v/>
      </c>
      <c r="R336" s="9">
        <f>IF($K336="","",INDEX('سجل التحفيز'!$F$5:$F$2004,MATCH($K336,'سجل التحفيز'!$Y$5:$Y$2004,0)))</f>
        <v/>
      </c>
      <c r="S336" s="35">
        <f>IF($K336="","",INDEX('سجل التحفيز'!$G$5:$G$2004,MATCH($K336,'سجل التحفيز'!$Y$5:$Y$2004,0)))</f>
        <v/>
      </c>
    </row>
    <row r="337">
      <c r="K337" s="36">
        <f>IF(300&gt;$B$10,"",300)</f>
        <v/>
      </c>
      <c r="L337" s="37">
        <f>IF($K337="","",INDEX('سجل التحفيز'!$A$5:$A$2004,MATCH($K337,'سجل التحفيز'!$Y$5:$Y$2004,0)))</f>
        <v/>
      </c>
      <c r="M337" s="9">
        <f>IF($K337="","",INDEX('سجل التحفيز'!$B$5:$B$2004,MATCH($K337,'سجل التحفيز'!$Y$5:$Y$2004,0)))</f>
        <v/>
      </c>
      <c r="N337" s="9">
        <f>IF($K337="","",INDEX('سجل التحفيز'!$M$5:$M$2004,MATCH($K337,'سجل التحفيز'!$Y$5:$Y$2004,0)))</f>
        <v/>
      </c>
      <c r="O337" s="9">
        <f>IF($K337="","",INDEX('سجل التحفيز'!$C$5:$C$2004,MATCH($K337,'سجل التحفيز'!$Y$5:$Y$2004,0)))</f>
        <v/>
      </c>
      <c r="P337" s="36">
        <f>IF($K337="","",INDEX('سجل التحفيز'!$D$5:$D$2004,MATCH($K337,'سجل التحفيز'!$Y$5:$Y$2004,0)))</f>
        <v/>
      </c>
      <c r="Q337" s="9">
        <f>IF($K337="","",INDEX('سجل التحفيز'!$E$5:$E$2004,MATCH($K337,'سجل التحفيز'!$Y$5:$Y$2004,0)))</f>
        <v/>
      </c>
      <c r="R337" s="9">
        <f>IF($K337="","",INDEX('سجل التحفيز'!$F$5:$F$2004,MATCH($K337,'سجل التحفيز'!$Y$5:$Y$2004,0)))</f>
        <v/>
      </c>
      <c r="S337" s="35">
        <f>IF($K337="","",INDEX('سجل التحفيز'!$G$5:$G$2004,MATCH($K337,'سجل التحفيز'!$Y$5:$Y$2004,0)))</f>
        <v/>
      </c>
    </row>
    <row r="339">
      <c r="K339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38:H187">
    <cfRule type="expression" priority="1" dxfId="3">
      <formula>$B38&lt;&gt;""</formula>
    </cfRule>
    <cfRule type="expression" priority="2" dxfId="1">
      <formula>AND($B38&lt;&gt;"",$G38=1)</formula>
    </cfRule>
  </conditionalFormatting>
  <conditionalFormatting sqref="K38:S337">
    <cfRule type="expression" priority="3" dxfId="3">
      <formula>$K38&lt;&gt;""</formula>
    </cfRule>
    <cfRule type="expression" priority="4" dxfId="4">
      <formula>AND($K38&lt;&gt;"",$P38="ذهبي")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S33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التقرير الشهري — ديسمبر</t>
        </is>
      </c>
    </row>
    <row r="2" ht="30" customHeight="1">
      <c r="A2" s="2" t="inlineStr">
        <is>
          <t>تقرير ثابت لهذا الشهر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شهري</t>
        </is>
      </c>
    </row>
    <row r="6">
      <c r="B6" s="22" t="inlineStr">
        <is>
          <t>الشهر</t>
        </is>
      </c>
      <c r="C6" s="25" t="inlineStr">
        <is>
          <t>ديسمبر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—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التحفيز'!$Z$5:$Z$2004)</f>
        <v/>
      </c>
      <c r="C10" s="28">
        <f>COUNT(الموظفات!$T$5:$T$304)</f>
        <v/>
      </c>
      <c r="D10" s="28">
        <f>COUNTIFS('سجل التحفيز'!$Z$5:$Z$2004,"&gt;0",'سجل التحفيز'!$D$5:$D$2004,"ذهبي")</f>
        <v/>
      </c>
      <c r="E10" s="28">
        <f>COUNTIFS('سجل التحفيز'!$Z$5:$Z$2004,"&gt;0",'سجل التحفيز'!$D$5:$D$2004,"أساسي")</f>
        <v/>
      </c>
      <c r="F10" s="28">
        <f>SUMIFS('سجل التحفيز'!$G$5:$G$2004,'سجل التحفيز'!$Z$5:$Z$2004,"&gt;0")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التحفيز'!$Z$5:$Z$2004,"&gt;0",'سجل التحفيز'!$C$5:$C$2004,B14,'سجل التحفيز'!$D$5:$D$2004,"أساسي")</f>
        <v/>
      </c>
      <c r="D14" s="31">
        <f>COUNTIFS('سجل التحفيز'!$Z$5:$Z$2004,"&gt;0",'سجل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التحفيز'!$Z$5:$Z$2004,"&gt;0",'سجل التحفيز'!$C$5:$C$2004,B14)</f>
        <v/>
      </c>
    </row>
    <row r="15">
      <c r="B15" s="30">
        <f>الإعدادات!A8</f>
        <v/>
      </c>
      <c r="C15" s="31">
        <f>COUNTIFS('سجل التحفيز'!$Z$5:$Z$2004,"&gt;0",'سجل التحفيز'!$C$5:$C$2004,B15,'سجل التحفيز'!$D$5:$D$2004,"أساسي")</f>
        <v/>
      </c>
      <c r="D15" s="31">
        <f>COUNTIFS('سجل التحفيز'!$Z$5:$Z$2004,"&gt;0",'سجل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التحفيز'!$Z$5:$Z$2004,"&gt;0",'سجل التحفيز'!$C$5:$C$2004,B15)</f>
        <v/>
      </c>
    </row>
    <row r="16">
      <c r="B16" s="30">
        <f>الإعدادات!A9</f>
        <v/>
      </c>
      <c r="C16" s="31">
        <f>COUNTIFS('سجل التحفيز'!$Z$5:$Z$2004,"&gt;0",'سجل التحفيز'!$C$5:$C$2004,B16,'سجل التحفيز'!$D$5:$D$2004,"أساسي")</f>
        <v/>
      </c>
      <c r="D16" s="31">
        <f>COUNTIFS('سجل التحفيز'!$Z$5:$Z$2004,"&gt;0",'سجل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التحفيز'!$Z$5:$Z$2004,"&gt;0",'سجل التحفيز'!$C$5:$C$2004,B16)</f>
        <v/>
      </c>
    </row>
    <row r="17">
      <c r="B17" s="30">
        <f>الإعدادات!A10</f>
        <v/>
      </c>
      <c r="C17" s="31">
        <f>COUNTIFS('سجل التحفيز'!$Z$5:$Z$2004,"&gt;0",'سجل التحفيز'!$C$5:$C$2004,B17,'سجل التحفيز'!$D$5:$D$2004,"أساسي")</f>
        <v/>
      </c>
      <c r="D17" s="31">
        <f>COUNTIFS('سجل التحفيز'!$Z$5:$Z$2004,"&gt;0",'سجل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التحفيز'!$Z$5:$Z$2004,"&gt;0",'سجل التحفيز'!$C$5:$C$2004,B17)</f>
        <v/>
      </c>
    </row>
    <row r="18">
      <c r="B18" s="30">
        <f>الإعدادات!A11</f>
        <v/>
      </c>
      <c r="C18" s="31">
        <f>COUNTIFS('سجل التحفيز'!$Z$5:$Z$2004,"&gt;0",'سجل التحفيز'!$C$5:$C$2004,B18,'سجل التحفيز'!$D$5:$D$2004,"أساسي")</f>
        <v/>
      </c>
      <c r="D18" s="31">
        <f>COUNTIFS('سجل التحفيز'!$Z$5:$Z$2004,"&gt;0",'سجل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التحفيز'!$Z$5:$Z$2004,"&gt;0",'سجل التحفيز'!$C$5:$C$2004,B18)</f>
        <v/>
      </c>
    </row>
    <row r="19">
      <c r="B19" s="30">
        <f>الإعدادات!A12</f>
        <v/>
      </c>
      <c r="C19" s="31">
        <f>COUNTIFS('سجل التحفيز'!$Z$5:$Z$2004,"&gt;0",'سجل التحفيز'!$C$5:$C$2004,B19,'سجل التحفيز'!$D$5:$D$2004,"أساسي")</f>
        <v/>
      </c>
      <c r="D19" s="31">
        <f>COUNTIFS('سجل التحفيز'!$Z$5:$Z$2004,"&gt;0",'سجل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التحفيز'!$Z$5:$Z$2004,"&gt;0",'سجل التحفيز'!$C$5:$C$2004,B19)</f>
        <v/>
      </c>
    </row>
    <row r="20">
      <c r="B20" s="30">
        <f>الإعدادات!A13</f>
        <v/>
      </c>
      <c r="C20" s="31">
        <f>COUNTIFS('سجل التحفيز'!$Z$5:$Z$2004,"&gt;0",'سجل التحفيز'!$C$5:$C$2004,B20,'سجل التحفيز'!$D$5:$D$2004,"أساسي")</f>
        <v/>
      </c>
      <c r="D20" s="31">
        <f>COUNTIFS('سجل التحفيز'!$Z$5:$Z$2004,"&gt;0",'سجل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التحفيز'!$Z$5:$Z$2004,"&gt;0",'سجل التحفيز'!$C$5:$C$2004,B20)</f>
        <v/>
      </c>
    </row>
    <row r="21">
      <c r="B21" s="30">
        <f>الإعدادات!A14</f>
        <v/>
      </c>
      <c r="C21" s="31">
        <f>COUNTIFS('سجل التحفيز'!$Z$5:$Z$2004,"&gt;0",'سجل التحفيز'!$C$5:$C$2004,B21,'سجل التحفيز'!$D$5:$D$2004,"أساسي")</f>
        <v/>
      </c>
      <c r="D21" s="31">
        <f>COUNTIFS('سجل التحفيز'!$Z$5:$Z$2004,"&gt;0",'سجل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التحفيز'!$Z$5:$Z$2004,"&gt;0",'سجل التحفيز'!$C$5:$C$2004,B21)</f>
        <v/>
      </c>
    </row>
    <row r="22">
      <c r="B22" s="30">
        <f>الإعدادات!A15</f>
        <v/>
      </c>
      <c r="C22" s="31">
        <f>COUNTIFS('سجل التحفيز'!$Z$5:$Z$2004,"&gt;0",'سجل التحفيز'!$C$5:$C$2004,B22,'سجل التحفيز'!$D$5:$D$2004,"أساسي")</f>
        <v/>
      </c>
      <c r="D22" s="31">
        <f>COUNTIFS('سجل التحفيز'!$Z$5:$Z$2004,"&gt;0",'سجل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التحفيز'!$Z$5:$Z$2004,"&gt;0",'سجل التحفيز'!$C$5:$C$2004,B22)</f>
        <v/>
      </c>
    </row>
    <row r="23">
      <c r="B23" s="30">
        <f>الإعدادات!A16</f>
        <v/>
      </c>
      <c r="C23" s="31">
        <f>COUNTIFS('سجل التحفيز'!$Z$5:$Z$2004,"&gt;0",'سجل التحفيز'!$C$5:$C$2004,B23,'سجل التحفيز'!$D$5:$D$2004,"أساسي")</f>
        <v/>
      </c>
      <c r="D23" s="31">
        <f>COUNTIFS('سجل التحفيز'!$Z$5:$Z$2004,"&gt;0",'سجل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التحفيز'!$Z$5:$Z$2004,"&gt;0",'سجل التحفيز'!$C$5:$C$2004,B23)</f>
        <v/>
      </c>
    </row>
    <row r="24">
      <c r="B24" s="30">
        <f>الإعدادات!A17</f>
        <v/>
      </c>
      <c r="C24" s="31">
        <f>COUNTIFS('سجل التحفيز'!$Z$5:$Z$2004,"&gt;0",'سجل التحفيز'!$C$5:$C$2004,B24,'سجل التحفيز'!$D$5:$D$2004,"أساسي")</f>
        <v/>
      </c>
      <c r="D24" s="31">
        <f>COUNTIFS('سجل التحفيز'!$Z$5:$Z$2004,"&gt;0",'سجل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التحفيز'!$Z$5:$Z$2004,"&gt;0",'سجل التحفيز'!$C$5:$C$2004,B24)</f>
        <v/>
      </c>
    </row>
    <row r="25">
      <c r="B25" s="30">
        <f>الإعدادات!A18</f>
        <v/>
      </c>
      <c r="C25" s="31">
        <f>COUNTIFS('سجل التحفيز'!$Z$5:$Z$2004,"&gt;0",'سجل التحفيز'!$C$5:$C$2004,B25,'سجل التحفيز'!$D$5:$D$2004,"أساسي")</f>
        <v/>
      </c>
      <c r="D25" s="31">
        <f>COUNTIFS('سجل التحفيز'!$Z$5:$Z$2004,"&gt;0",'سجل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التحفيز'!$Z$5:$Z$2004,"&gt;0",'سجل التحفيز'!$C$5:$C$2004,B25)</f>
        <v/>
      </c>
    </row>
    <row r="26">
      <c r="B26" s="30">
        <f>الإعدادات!A19</f>
        <v/>
      </c>
      <c r="C26" s="31">
        <f>COUNTIFS('سجل التحفيز'!$Z$5:$Z$2004,"&gt;0",'سجل التحفيز'!$C$5:$C$2004,B26,'سجل التحفيز'!$D$5:$D$2004,"أساسي")</f>
        <v/>
      </c>
      <c r="D26" s="31">
        <f>COUNTIFS('سجل التحفيز'!$Z$5:$Z$2004,"&gt;0",'سجل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التحفيز'!$Z$5:$Z$2004,"&gt;0",'سجل التحفيز'!$C$5:$C$2004,B26)</f>
        <v/>
      </c>
    </row>
    <row r="27">
      <c r="B27" s="30">
        <f>الإعدادات!A20</f>
        <v/>
      </c>
      <c r="C27" s="31">
        <f>COUNTIFS('سجل التحفيز'!$Z$5:$Z$2004,"&gt;0",'سجل التحفيز'!$C$5:$C$2004,B27,'سجل التحفيز'!$D$5:$D$2004,"أساسي")</f>
        <v/>
      </c>
      <c r="D27" s="31">
        <f>COUNTIFS('سجل التحفيز'!$Z$5:$Z$2004,"&gt;0",'سجل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التحفيز'!$Z$5:$Z$2004,"&gt;0",'سجل التحفيز'!$C$5:$C$2004,B27)</f>
        <v/>
      </c>
    </row>
    <row r="28">
      <c r="B28" s="30">
        <f>الإعدادات!A21</f>
        <v/>
      </c>
      <c r="C28" s="31">
        <f>COUNTIFS('سجل التحفيز'!$Z$5:$Z$2004,"&gt;0",'سجل التحفيز'!$C$5:$C$2004,B28,'سجل التحفيز'!$D$5:$D$2004,"أساسي")</f>
        <v/>
      </c>
      <c r="D28" s="31">
        <f>COUNTIFS('سجل التحفيز'!$Z$5:$Z$2004,"&gt;0",'سجل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التحفيز'!$Z$5:$Z$2004,"&gt;0",'سجل التحفيز'!$C$5:$C$2004,B28)</f>
        <v/>
      </c>
    </row>
    <row r="29">
      <c r="B29" s="30">
        <f>الإعدادات!A22</f>
        <v/>
      </c>
      <c r="C29" s="31">
        <f>COUNTIFS('سجل التحفيز'!$Z$5:$Z$2004,"&gt;0",'سجل التحفيز'!$C$5:$C$2004,B29,'سجل التحفيز'!$D$5:$D$2004,"أساسي")</f>
        <v/>
      </c>
      <c r="D29" s="31">
        <f>COUNTIFS('سجل التحفيز'!$Z$5:$Z$2004,"&gt;0",'سجل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التحفيز'!$Z$5:$Z$2004,"&gt;0",'سجل التحفيز'!$C$5:$C$2004,B29)</f>
        <v/>
      </c>
    </row>
    <row r="30">
      <c r="B30" s="30">
        <f>الإعدادات!A23</f>
        <v/>
      </c>
      <c r="C30" s="31">
        <f>COUNTIFS('سجل التحفيز'!$Z$5:$Z$2004,"&gt;0",'سجل التحفيز'!$C$5:$C$2004,B30,'سجل التحفيز'!$D$5:$D$2004,"أساسي")</f>
        <v/>
      </c>
      <c r="D30" s="31">
        <f>COUNTIFS('سجل التحفيز'!$Z$5:$Z$2004,"&gt;0",'سجل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التحفيز'!$Z$5:$Z$2004,"&gt;0",'سجل التحفيز'!$C$5:$C$2004,B30)</f>
        <v/>
      </c>
    </row>
    <row r="31">
      <c r="B31" s="30">
        <f>الإعدادات!A24</f>
        <v/>
      </c>
      <c r="C31" s="31">
        <f>COUNTIFS('سجل التحفيز'!$Z$5:$Z$2004,"&gt;0",'سجل التحفيز'!$C$5:$C$2004,B31,'سجل التحفيز'!$D$5:$D$2004,"أساسي")</f>
        <v/>
      </c>
      <c r="D31" s="31">
        <f>COUNTIFS('سجل التحفيز'!$Z$5:$Z$2004,"&gt;0",'سجل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التحفيز'!$Z$5:$Z$2004,"&gt;0",'سجل التحفيز'!$C$5:$C$2004,B31)</f>
        <v/>
      </c>
    </row>
    <row r="32">
      <c r="B32" s="30">
        <f>الإعدادات!A25</f>
        <v/>
      </c>
      <c r="C32" s="31">
        <f>COUNTIFS('سجل التحفيز'!$Z$5:$Z$2004,"&gt;0",'سجل التحفيز'!$C$5:$C$2004,B32,'سجل التحفيز'!$D$5:$D$2004,"أساسي")</f>
        <v/>
      </c>
      <c r="D32" s="31">
        <f>COUNTIFS('سجل التحفيز'!$Z$5:$Z$2004,"&gt;0",'سجل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التحفيز'!$Z$5:$Z$2004,"&gt;0",'سجل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الموظفات المُكرَّمات ضمن فترة التقرير</t>
        </is>
      </c>
      <c r="K36" s="29" t="inlineStr">
        <is>
          <t>تفاصيل التكريمات ضمن فترة التقرير</t>
        </is>
      </c>
    </row>
    <row r="37">
      <c r="B37" s="13" t="inlineStr">
        <is>
          <t>اسم الموظفة</t>
        </is>
      </c>
      <c r="C37" s="13" t="inlineStr">
        <is>
          <t>القسم</t>
        </is>
      </c>
      <c r="D37" s="13" t="inlineStr">
        <is>
          <t>عدد التكريمات</t>
        </is>
      </c>
      <c r="E37" s="13" t="inlineStr">
        <is>
          <t>معايير ذهبية</t>
        </is>
      </c>
      <c r="F37" s="13" t="inlineStr">
        <is>
          <t>القيمة (ر.ق)</t>
        </is>
      </c>
      <c r="G37" s="13" t="inlineStr">
        <is>
          <t>الترتيب</t>
        </is>
      </c>
      <c r="H37" s="13" t="inlineStr">
        <is>
          <t>أمري تدللي (السنة)</t>
        </is>
      </c>
      <c r="K37" s="13" t="inlineStr">
        <is>
          <t>م</t>
        </is>
      </c>
      <c r="L37" s="13" t="inlineStr">
        <is>
          <t>التاريخ</t>
        </is>
      </c>
      <c r="M37" s="13" t="inlineStr">
        <is>
          <t>اسم الموظفة</t>
        </is>
      </c>
      <c r="N37" s="13" t="inlineStr">
        <is>
          <t>القسم</t>
        </is>
      </c>
      <c r="O37" s="13" t="inlineStr">
        <is>
          <t>المجال</t>
        </is>
      </c>
      <c r="P37" s="13" t="inlineStr">
        <is>
          <t>المستوى</t>
        </is>
      </c>
      <c r="Q37" s="13" t="inlineStr">
        <is>
          <t>المعيار المحقق</t>
        </is>
      </c>
      <c r="R37" s="13" t="inlineStr">
        <is>
          <t>المكافأة الممنوحة</t>
        </is>
      </c>
      <c r="S37" s="13" t="inlineStr">
        <is>
          <t>القيمة (ر.ق)</t>
        </is>
      </c>
    </row>
    <row r="38">
      <c r="B38" s="34">
        <f>IFERROR(INDEX(الموظفات!$B$5:$B$304,MATCH(1,الموظفات!$T$5:$T$304,0)),"")</f>
        <v/>
      </c>
      <c r="C38" s="34">
        <f>IF(B38="","",INDEX(الموظفات!$D$5:$D$304,MATCH(B38,الموظفات!$B$5:$B$304,0))&amp;"")</f>
        <v/>
      </c>
      <c r="D38" s="35">
        <f>IF(B38="","",COUNTIFS('سجل التحفيز'!$Z$5:$Z$2004,"&gt;0",'سجل التحفيز'!$B$5:$B$2004,B38))</f>
        <v/>
      </c>
      <c r="E38" s="35">
        <f>IF(B38="","",COUNTIFS('سجل التحفيز'!$Z$5:$Z$2004,"&gt;0",'سجل التحفيز'!$B$5:$B$2004,B38,'سجل التحفيز'!$D$5:$D$2004,"ذهبي"))</f>
        <v/>
      </c>
      <c r="F38" s="35">
        <f>IF(B38="","",SUMIFS('سجل التحفيز'!$G$5:$G$2004,'سجل التحفيز'!$Z$5:$Z$2004,"&gt;0",'سجل التحفيز'!$B$5:$B$2004,B38))</f>
        <v/>
      </c>
      <c r="G38" s="35">
        <f>IF(B38="","",COUNTIF($D$38:$D$187,"&gt;"&amp;D38)+1)</f>
        <v/>
      </c>
      <c r="H38" s="35">
        <f>IF(B38="","",INDEX(الموظفات!$L$5:$L$304,MATCH(B38,الموظفات!$B$5:$B$304,0)))</f>
        <v/>
      </c>
      <c r="K38" s="36">
        <f>IF(1&gt;$B$10,"",1)</f>
        <v/>
      </c>
      <c r="L38" s="37">
        <f>IF($K38="","",INDEX('سجل التحفيز'!$A$5:$A$2004,MATCH($K38,'سجل التحفيز'!$Z$5:$Z$2004,0)))</f>
        <v/>
      </c>
      <c r="M38" s="9">
        <f>IF($K38="","",INDEX('سجل التحفيز'!$B$5:$B$2004,MATCH($K38,'سجل التحفيز'!$Z$5:$Z$2004,0)))</f>
        <v/>
      </c>
      <c r="N38" s="9">
        <f>IF($K38="","",INDEX('سجل التحفيز'!$M$5:$M$2004,MATCH($K38,'سجل التحفيز'!$Z$5:$Z$2004,0)))</f>
        <v/>
      </c>
      <c r="O38" s="9">
        <f>IF($K38="","",INDEX('سجل التحفيز'!$C$5:$C$2004,MATCH($K38,'سجل التحفيز'!$Z$5:$Z$2004,0)))</f>
        <v/>
      </c>
      <c r="P38" s="36">
        <f>IF($K38="","",INDEX('سجل التحفيز'!$D$5:$D$2004,MATCH($K38,'سجل التحفيز'!$Z$5:$Z$2004,0)))</f>
        <v/>
      </c>
      <c r="Q38" s="9">
        <f>IF($K38="","",INDEX('سجل التحفيز'!$E$5:$E$2004,MATCH($K38,'سجل التحفيز'!$Z$5:$Z$2004,0)))</f>
        <v/>
      </c>
      <c r="R38" s="9">
        <f>IF($K38="","",INDEX('سجل التحفيز'!$F$5:$F$2004,MATCH($K38,'سجل التحفيز'!$Z$5:$Z$2004,0)))</f>
        <v/>
      </c>
      <c r="S38" s="35">
        <f>IF($K38="","",INDEX('سجل التحفيز'!$G$5:$G$2004,MATCH($K38,'سجل التحفيز'!$Z$5:$Z$2004,0)))</f>
        <v/>
      </c>
    </row>
    <row r="39">
      <c r="B39" s="34">
        <f>IFERROR(INDEX(الموظفات!$B$5:$B$304,MATCH(2,الموظفات!$T$5:$T$304,0)),"")</f>
        <v/>
      </c>
      <c r="C39" s="34">
        <f>IF(B39="","",INDEX(الموظفات!$D$5:$D$304,MATCH(B39,الموظفات!$B$5:$B$304,0))&amp;"")</f>
        <v/>
      </c>
      <c r="D39" s="35">
        <f>IF(B39="","",COUNTIFS('سجل التحفيز'!$Z$5:$Z$2004,"&gt;0",'سجل التحفيز'!$B$5:$B$2004,B39))</f>
        <v/>
      </c>
      <c r="E39" s="35">
        <f>IF(B39="","",COUNTIFS('سجل التحفيز'!$Z$5:$Z$2004,"&gt;0",'سجل التحفيز'!$B$5:$B$2004,B39,'سجل التحفيز'!$D$5:$D$2004,"ذهبي"))</f>
        <v/>
      </c>
      <c r="F39" s="35">
        <f>IF(B39="","",SUMIFS('سجل التحفيز'!$G$5:$G$2004,'سجل التحفيز'!$Z$5:$Z$2004,"&gt;0",'سجل التحفيز'!$B$5:$B$2004,B39))</f>
        <v/>
      </c>
      <c r="G39" s="35">
        <f>IF(B39="","",COUNTIF($D$38:$D$187,"&gt;"&amp;D39)+1)</f>
        <v/>
      </c>
      <c r="H39" s="35">
        <f>IF(B39="","",INDEX(الموظفات!$L$5:$L$304,MATCH(B39,الموظفات!$B$5:$B$304,0)))</f>
        <v/>
      </c>
      <c r="K39" s="36">
        <f>IF(2&gt;$B$10,"",2)</f>
        <v/>
      </c>
      <c r="L39" s="37">
        <f>IF($K39="","",INDEX('سجل التحفيز'!$A$5:$A$2004,MATCH($K39,'سجل التحفيز'!$Z$5:$Z$2004,0)))</f>
        <v/>
      </c>
      <c r="M39" s="9">
        <f>IF($K39="","",INDEX('سجل التحفيز'!$B$5:$B$2004,MATCH($K39,'سجل التحفيز'!$Z$5:$Z$2004,0)))</f>
        <v/>
      </c>
      <c r="N39" s="9">
        <f>IF($K39="","",INDEX('سجل التحفيز'!$M$5:$M$2004,MATCH($K39,'سجل التحفيز'!$Z$5:$Z$2004,0)))</f>
        <v/>
      </c>
      <c r="O39" s="9">
        <f>IF($K39="","",INDEX('سجل التحفيز'!$C$5:$C$2004,MATCH($K39,'سجل التحفيز'!$Z$5:$Z$2004,0)))</f>
        <v/>
      </c>
      <c r="P39" s="36">
        <f>IF($K39="","",INDEX('سجل التحفيز'!$D$5:$D$2004,MATCH($K39,'سجل التحفيز'!$Z$5:$Z$2004,0)))</f>
        <v/>
      </c>
      <c r="Q39" s="9">
        <f>IF($K39="","",INDEX('سجل التحفيز'!$E$5:$E$2004,MATCH($K39,'سجل التحفيز'!$Z$5:$Z$2004,0)))</f>
        <v/>
      </c>
      <c r="R39" s="9">
        <f>IF($K39="","",INDEX('سجل التحفيز'!$F$5:$F$2004,MATCH($K39,'سجل التحفيز'!$Z$5:$Z$2004,0)))</f>
        <v/>
      </c>
      <c r="S39" s="35">
        <f>IF($K39="","",INDEX('سجل التحفيز'!$G$5:$G$2004,MATCH($K39,'سجل التحفيز'!$Z$5:$Z$2004,0)))</f>
        <v/>
      </c>
    </row>
    <row r="40">
      <c r="B40" s="34">
        <f>IFERROR(INDEX(الموظفات!$B$5:$B$304,MATCH(3,الموظفات!$T$5:$T$304,0)),"")</f>
        <v/>
      </c>
      <c r="C40" s="34">
        <f>IF(B40="","",INDEX(الموظفات!$D$5:$D$304,MATCH(B40,الموظفات!$B$5:$B$304,0))&amp;"")</f>
        <v/>
      </c>
      <c r="D40" s="35">
        <f>IF(B40="","",COUNTIFS('سجل التحفيز'!$Z$5:$Z$2004,"&gt;0",'سجل التحفيز'!$B$5:$B$2004,B40))</f>
        <v/>
      </c>
      <c r="E40" s="35">
        <f>IF(B40="","",COUNTIFS('سجل التحفيز'!$Z$5:$Z$2004,"&gt;0",'سجل التحفيز'!$B$5:$B$2004,B40,'سجل التحفيز'!$D$5:$D$2004,"ذهبي"))</f>
        <v/>
      </c>
      <c r="F40" s="35">
        <f>IF(B40="","",SUMIFS('سجل التحفيز'!$G$5:$G$2004,'سجل التحفيز'!$Z$5:$Z$2004,"&gt;0",'سجل التحفيز'!$B$5:$B$2004,B40))</f>
        <v/>
      </c>
      <c r="G40" s="35">
        <f>IF(B40="","",COUNTIF($D$38:$D$187,"&gt;"&amp;D40)+1)</f>
        <v/>
      </c>
      <c r="H40" s="35">
        <f>IF(B40="","",INDEX(الموظفات!$L$5:$L$304,MATCH(B40,الموظفات!$B$5:$B$304,0)))</f>
        <v/>
      </c>
      <c r="K40" s="36">
        <f>IF(3&gt;$B$10,"",3)</f>
        <v/>
      </c>
      <c r="L40" s="37">
        <f>IF($K40="","",INDEX('سجل التحفيز'!$A$5:$A$2004,MATCH($K40,'سجل التحفيز'!$Z$5:$Z$2004,0)))</f>
        <v/>
      </c>
      <c r="M40" s="9">
        <f>IF($K40="","",INDEX('سجل التحفيز'!$B$5:$B$2004,MATCH($K40,'سجل التحفيز'!$Z$5:$Z$2004,0)))</f>
        <v/>
      </c>
      <c r="N40" s="9">
        <f>IF($K40="","",INDEX('سجل التحفيز'!$M$5:$M$2004,MATCH($K40,'سجل التحفيز'!$Z$5:$Z$2004,0)))</f>
        <v/>
      </c>
      <c r="O40" s="9">
        <f>IF($K40="","",INDEX('سجل التحفيز'!$C$5:$C$2004,MATCH($K40,'سجل التحفيز'!$Z$5:$Z$2004,0)))</f>
        <v/>
      </c>
      <c r="P40" s="36">
        <f>IF($K40="","",INDEX('سجل التحفيز'!$D$5:$D$2004,MATCH($K40,'سجل التحفيز'!$Z$5:$Z$2004,0)))</f>
        <v/>
      </c>
      <c r="Q40" s="9">
        <f>IF($K40="","",INDEX('سجل التحفيز'!$E$5:$E$2004,MATCH($K40,'سجل التحفيز'!$Z$5:$Z$2004,0)))</f>
        <v/>
      </c>
      <c r="R40" s="9">
        <f>IF($K40="","",INDEX('سجل التحفيز'!$F$5:$F$2004,MATCH($K40,'سجل التحفيز'!$Z$5:$Z$2004,0)))</f>
        <v/>
      </c>
      <c r="S40" s="35">
        <f>IF($K40="","",INDEX('سجل التحفيز'!$G$5:$G$2004,MATCH($K40,'سجل التحفيز'!$Z$5:$Z$2004,0)))</f>
        <v/>
      </c>
    </row>
    <row r="41">
      <c r="B41" s="34">
        <f>IFERROR(INDEX(الموظفات!$B$5:$B$304,MATCH(4,الموظفات!$T$5:$T$304,0)),"")</f>
        <v/>
      </c>
      <c r="C41" s="34">
        <f>IF(B41="","",INDEX(الموظفات!$D$5:$D$304,MATCH(B41,الموظفات!$B$5:$B$304,0))&amp;"")</f>
        <v/>
      </c>
      <c r="D41" s="35">
        <f>IF(B41="","",COUNTIFS('سجل التحفيز'!$Z$5:$Z$2004,"&gt;0",'سجل التحفيز'!$B$5:$B$2004,B41))</f>
        <v/>
      </c>
      <c r="E41" s="35">
        <f>IF(B41="","",COUNTIFS('سجل التحفيز'!$Z$5:$Z$2004,"&gt;0",'سجل التحفيز'!$B$5:$B$2004,B41,'سجل التحفيز'!$D$5:$D$2004,"ذهبي"))</f>
        <v/>
      </c>
      <c r="F41" s="35">
        <f>IF(B41="","",SUMIFS('سجل التحفيز'!$G$5:$G$2004,'سجل التحفيز'!$Z$5:$Z$2004,"&gt;0",'سجل التحفيز'!$B$5:$B$2004,B41))</f>
        <v/>
      </c>
      <c r="G41" s="35">
        <f>IF(B41="","",COUNTIF($D$38:$D$187,"&gt;"&amp;D41)+1)</f>
        <v/>
      </c>
      <c r="H41" s="35">
        <f>IF(B41="","",INDEX(الموظفات!$L$5:$L$304,MATCH(B41,الموظفات!$B$5:$B$304,0)))</f>
        <v/>
      </c>
      <c r="K41" s="36">
        <f>IF(4&gt;$B$10,"",4)</f>
        <v/>
      </c>
      <c r="L41" s="37">
        <f>IF($K41="","",INDEX('سجل التحفيز'!$A$5:$A$2004,MATCH($K41,'سجل التحفيز'!$Z$5:$Z$2004,0)))</f>
        <v/>
      </c>
      <c r="M41" s="9">
        <f>IF($K41="","",INDEX('سجل التحفيز'!$B$5:$B$2004,MATCH($K41,'سجل التحفيز'!$Z$5:$Z$2004,0)))</f>
        <v/>
      </c>
      <c r="N41" s="9">
        <f>IF($K41="","",INDEX('سجل التحفيز'!$M$5:$M$2004,MATCH($K41,'سجل التحفيز'!$Z$5:$Z$2004,0)))</f>
        <v/>
      </c>
      <c r="O41" s="9">
        <f>IF($K41="","",INDEX('سجل التحفيز'!$C$5:$C$2004,MATCH($K41,'سجل التحفيز'!$Z$5:$Z$2004,0)))</f>
        <v/>
      </c>
      <c r="P41" s="36">
        <f>IF($K41="","",INDEX('سجل التحفيز'!$D$5:$D$2004,MATCH($K41,'سجل التحفيز'!$Z$5:$Z$2004,0)))</f>
        <v/>
      </c>
      <c r="Q41" s="9">
        <f>IF($K41="","",INDEX('سجل التحفيز'!$E$5:$E$2004,MATCH($K41,'سجل التحفيز'!$Z$5:$Z$2004,0)))</f>
        <v/>
      </c>
      <c r="R41" s="9">
        <f>IF($K41="","",INDEX('سجل التحفيز'!$F$5:$F$2004,MATCH($K41,'سجل التحفيز'!$Z$5:$Z$2004,0)))</f>
        <v/>
      </c>
      <c r="S41" s="35">
        <f>IF($K41="","",INDEX('سجل التحفيز'!$G$5:$G$2004,MATCH($K41,'سجل التحفيز'!$Z$5:$Z$2004,0)))</f>
        <v/>
      </c>
    </row>
    <row r="42">
      <c r="B42" s="34">
        <f>IFERROR(INDEX(الموظفات!$B$5:$B$304,MATCH(5,الموظفات!$T$5:$T$304,0)),"")</f>
        <v/>
      </c>
      <c r="C42" s="34">
        <f>IF(B42="","",INDEX(الموظفات!$D$5:$D$304,MATCH(B42,الموظفات!$B$5:$B$304,0))&amp;"")</f>
        <v/>
      </c>
      <c r="D42" s="35">
        <f>IF(B42="","",COUNTIFS('سجل التحفيز'!$Z$5:$Z$2004,"&gt;0",'سجل التحفيز'!$B$5:$B$2004,B42))</f>
        <v/>
      </c>
      <c r="E42" s="35">
        <f>IF(B42="","",COUNTIFS('سجل التحفيز'!$Z$5:$Z$2004,"&gt;0",'سجل التحفيز'!$B$5:$B$2004,B42,'سجل التحفيز'!$D$5:$D$2004,"ذهبي"))</f>
        <v/>
      </c>
      <c r="F42" s="35">
        <f>IF(B42="","",SUMIFS('سجل التحفيز'!$G$5:$G$2004,'سجل التحفيز'!$Z$5:$Z$2004,"&gt;0",'سجل التحفيز'!$B$5:$B$2004,B42))</f>
        <v/>
      </c>
      <c r="G42" s="35">
        <f>IF(B42="","",COUNTIF($D$38:$D$187,"&gt;"&amp;D42)+1)</f>
        <v/>
      </c>
      <c r="H42" s="35">
        <f>IF(B42="","",INDEX(الموظفات!$L$5:$L$304,MATCH(B42,الموظفات!$B$5:$B$304,0)))</f>
        <v/>
      </c>
      <c r="K42" s="36">
        <f>IF(5&gt;$B$10,"",5)</f>
        <v/>
      </c>
      <c r="L42" s="37">
        <f>IF($K42="","",INDEX('سجل التحفيز'!$A$5:$A$2004,MATCH($K42,'سجل التحفيز'!$Z$5:$Z$2004,0)))</f>
        <v/>
      </c>
      <c r="M42" s="9">
        <f>IF($K42="","",INDEX('سجل التحفيز'!$B$5:$B$2004,MATCH($K42,'سجل التحفيز'!$Z$5:$Z$2004,0)))</f>
        <v/>
      </c>
      <c r="N42" s="9">
        <f>IF($K42="","",INDEX('سجل التحفيز'!$M$5:$M$2004,MATCH($K42,'سجل التحفيز'!$Z$5:$Z$2004,0)))</f>
        <v/>
      </c>
      <c r="O42" s="9">
        <f>IF($K42="","",INDEX('سجل التحفيز'!$C$5:$C$2004,MATCH($K42,'سجل التحفيز'!$Z$5:$Z$2004,0)))</f>
        <v/>
      </c>
      <c r="P42" s="36">
        <f>IF($K42="","",INDEX('سجل التحفيز'!$D$5:$D$2004,MATCH($K42,'سجل التحفيز'!$Z$5:$Z$2004,0)))</f>
        <v/>
      </c>
      <c r="Q42" s="9">
        <f>IF($K42="","",INDEX('سجل التحفيز'!$E$5:$E$2004,MATCH($K42,'سجل التحفيز'!$Z$5:$Z$2004,0)))</f>
        <v/>
      </c>
      <c r="R42" s="9">
        <f>IF($K42="","",INDEX('سجل التحفيز'!$F$5:$F$2004,MATCH($K42,'سجل التحفيز'!$Z$5:$Z$2004,0)))</f>
        <v/>
      </c>
      <c r="S42" s="35">
        <f>IF($K42="","",INDEX('سجل التحفيز'!$G$5:$G$2004,MATCH($K42,'سجل التحفيز'!$Z$5:$Z$2004,0)))</f>
        <v/>
      </c>
    </row>
    <row r="43">
      <c r="B43" s="34">
        <f>IFERROR(INDEX(الموظفات!$B$5:$B$304,MATCH(6,الموظفات!$T$5:$T$304,0)),"")</f>
        <v/>
      </c>
      <c r="C43" s="34">
        <f>IF(B43="","",INDEX(الموظفات!$D$5:$D$304,MATCH(B43,الموظفات!$B$5:$B$304,0))&amp;"")</f>
        <v/>
      </c>
      <c r="D43" s="35">
        <f>IF(B43="","",COUNTIFS('سجل التحفيز'!$Z$5:$Z$2004,"&gt;0",'سجل التحفيز'!$B$5:$B$2004,B43))</f>
        <v/>
      </c>
      <c r="E43" s="35">
        <f>IF(B43="","",COUNTIFS('سجل التحفيز'!$Z$5:$Z$2004,"&gt;0",'سجل التحفيز'!$B$5:$B$2004,B43,'سجل التحفيز'!$D$5:$D$2004,"ذهبي"))</f>
        <v/>
      </c>
      <c r="F43" s="35">
        <f>IF(B43="","",SUMIFS('سجل التحفيز'!$G$5:$G$2004,'سجل التحفيز'!$Z$5:$Z$2004,"&gt;0",'سجل التحفيز'!$B$5:$B$2004,B43))</f>
        <v/>
      </c>
      <c r="G43" s="35">
        <f>IF(B43="","",COUNTIF($D$38:$D$187,"&gt;"&amp;D43)+1)</f>
        <v/>
      </c>
      <c r="H43" s="35">
        <f>IF(B43="","",INDEX(الموظفات!$L$5:$L$304,MATCH(B43,الموظفات!$B$5:$B$304,0)))</f>
        <v/>
      </c>
      <c r="K43" s="36">
        <f>IF(6&gt;$B$10,"",6)</f>
        <v/>
      </c>
      <c r="L43" s="37">
        <f>IF($K43="","",INDEX('سجل التحفيز'!$A$5:$A$2004,MATCH($K43,'سجل التحفيز'!$Z$5:$Z$2004,0)))</f>
        <v/>
      </c>
      <c r="M43" s="9">
        <f>IF($K43="","",INDEX('سجل التحفيز'!$B$5:$B$2004,MATCH($K43,'سجل التحفيز'!$Z$5:$Z$2004,0)))</f>
        <v/>
      </c>
      <c r="N43" s="9">
        <f>IF($K43="","",INDEX('سجل التحفيز'!$M$5:$M$2004,MATCH($K43,'سجل التحفيز'!$Z$5:$Z$2004,0)))</f>
        <v/>
      </c>
      <c r="O43" s="9">
        <f>IF($K43="","",INDEX('سجل التحفيز'!$C$5:$C$2004,MATCH($K43,'سجل التحفيز'!$Z$5:$Z$2004,0)))</f>
        <v/>
      </c>
      <c r="P43" s="36">
        <f>IF($K43="","",INDEX('سجل التحفيز'!$D$5:$D$2004,MATCH($K43,'سجل التحفيز'!$Z$5:$Z$2004,0)))</f>
        <v/>
      </c>
      <c r="Q43" s="9">
        <f>IF($K43="","",INDEX('سجل التحفيز'!$E$5:$E$2004,MATCH($K43,'سجل التحفيز'!$Z$5:$Z$2004,0)))</f>
        <v/>
      </c>
      <c r="R43" s="9">
        <f>IF($K43="","",INDEX('سجل التحفيز'!$F$5:$F$2004,MATCH($K43,'سجل التحفيز'!$Z$5:$Z$2004,0)))</f>
        <v/>
      </c>
      <c r="S43" s="35">
        <f>IF($K43="","",INDEX('سجل التحفيز'!$G$5:$G$2004,MATCH($K43,'سجل التحفيز'!$Z$5:$Z$2004,0)))</f>
        <v/>
      </c>
    </row>
    <row r="44">
      <c r="B44" s="34">
        <f>IFERROR(INDEX(الموظفات!$B$5:$B$304,MATCH(7,الموظفات!$T$5:$T$304,0)),"")</f>
        <v/>
      </c>
      <c r="C44" s="34">
        <f>IF(B44="","",INDEX(الموظفات!$D$5:$D$304,MATCH(B44,الموظفات!$B$5:$B$304,0))&amp;"")</f>
        <v/>
      </c>
      <c r="D44" s="35">
        <f>IF(B44="","",COUNTIFS('سجل التحفيز'!$Z$5:$Z$2004,"&gt;0",'سجل التحفيز'!$B$5:$B$2004,B44))</f>
        <v/>
      </c>
      <c r="E44" s="35">
        <f>IF(B44="","",COUNTIFS('سجل التحفيز'!$Z$5:$Z$2004,"&gt;0",'سجل التحفيز'!$B$5:$B$2004,B44,'سجل التحفيز'!$D$5:$D$2004,"ذهبي"))</f>
        <v/>
      </c>
      <c r="F44" s="35">
        <f>IF(B44="","",SUMIFS('سجل التحفيز'!$G$5:$G$2004,'سجل التحفيز'!$Z$5:$Z$2004,"&gt;0",'سجل التحفيز'!$B$5:$B$2004,B44))</f>
        <v/>
      </c>
      <c r="G44" s="35">
        <f>IF(B44="","",COUNTIF($D$38:$D$187,"&gt;"&amp;D44)+1)</f>
        <v/>
      </c>
      <c r="H44" s="35">
        <f>IF(B44="","",INDEX(الموظفات!$L$5:$L$304,MATCH(B44,الموظفات!$B$5:$B$304,0)))</f>
        <v/>
      </c>
      <c r="K44" s="36">
        <f>IF(7&gt;$B$10,"",7)</f>
        <v/>
      </c>
      <c r="L44" s="37">
        <f>IF($K44="","",INDEX('سجل التحفيز'!$A$5:$A$2004,MATCH($K44,'سجل التحفيز'!$Z$5:$Z$2004,0)))</f>
        <v/>
      </c>
      <c r="M44" s="9">
        <f>IF($K44="","",INDEX('سجل التحفيز'!$B$5:$B$2004,MATCH($K44,'سجل التحفيز'!$Z$5:$Z$2004,0)))</f>
        <v/>
      </c>
      <c r="N44" s="9">
        <f>IF($K44="","",INDEX('سجل التحفيز'!$M$5:$M$2004,MATCH($K44,'سجل التحفيز'!$Z$5:$Z$2004,0)))</f>
        <v/>
      </c>
      <c r="O44" s="9">
        <f>IF($K44="","",INDEX('سجل التحفيز'!$C$5:$C$2004,MATCH($K44,'سجل التحفيز'!$Z$5:$Z$2004,0)))</f>
        <v/>
      </c>
      <c r="P44" s="36">
        <f>IF($K44="","",INDEX('سجل التحفيز'!$D$5:$D$2004,MATCH($K44,'سجل التحفيز'!$Z$5:$Z$2004,0)))</f>
        <v/>
      </c>
      <c r="Q44" s="9">
        <f>IF($K44="","",INDEX('سجل التحفيز'!$E$5:$E$2004,MATCH($K44,'سجل التحفيز'!$Z$5:$Z$2004,0)))</f>
        <v/>
      </c>
      <c r="R44" s="9">
        <f>IF($K44="","",INDEX('سجل التحفيز'!$F$5:$F$2004,MATCH($K44,'سجل التحفيز'!$Z$5:$Z$2004,0)))</f>
        <v/>
      </c>
      <c r="S44" s="35">
        <f>IF($K44="","",INDEX('سجل التحفيز'!$G$5:$G$2004,MATCH($K44,'سجل التحفيز'!$Z$5:$Z$2004,0)))</f>
        <v/>
      </c>
    </row>
    <row r="45">
      <c r="B45" s="34">
        <f>IFERROR(INDEX(الموظفات!$B$5:$B$304,MATCH(8,الموظفات!$T$5:$T$304,0)),"")</f>
        <v/>
      </c>
      <c r="C45" s="34">
        <f>IF(B45="","",INDEX(الموظفات!$D$5:$D$304,MATCH(B45,الموظفات!$B$5:$B$304,0))&amp;"")</f>
        <v/>
      </c>
      <c r="D45" s="35">
        <f>IF(B45="","",COUNTIFS('سجل التحفيز'!$Z$5:$Z$2004,"&gt;0",'سجل التحفيز'!$B$5:$B$2004,B45))</f>
        <v/>
      </c>
      <c r="E45" s="35">
        <f>IF(B45="","",COUNTIFS('سجل التحفيز'!$Z$5:$Z$2004,"&gt;0",'سجل التحفيز'!$B$5:$B$2004,B45,'سجل التحفيز'!$D$5:$D$2004,"ذهبي"))</f>
        <v/>
      </c>
      <c r="F45" s="35">
        <f>IF(B45="","",SUMIFS('سجل التحفيز'!$G$5:$G$2004,'سجل التحفيز'!$Z$5:$Z$2004,"&gt;0",'سجل التحفيز'!$B$5:$B$2004,B45))</f>
        <v/>
      </c>
      <c r="G45" s="35">
        <f>IF(B45="","",COUNTIF($D$38:$D$187,"&gt;"&amp;D45)+1)</f>
        <v/>
      </c>
      <c r="H45" s="35">
        <f>IF(B45="","",INDEX(الموظفات!$L$5:$L$304,MATCH(B45,الموظفات!$B$5:$B$304,0)))</f>
        <v/>
      </c>
      <c r="K45" s="36">
        <f>IF(8&gt;$B$10,"",8)</f>
        <v/>
      </c>
      <c r="L45" s="37">
        <f>IF($K45="","",INDEX('سجل التحفيز'!$A$5:$A$2004,MATCH($K45,'سجل التحفيز'!$Z$5:$Z$2004,0)))</f>
        <v/>
      </c>
      <c r="M45" s="9">
        <f>IF($K45="","",INDEX('سجل التحفيز'!$B$5:$B$2004,MATCH($K45,'سجل التحفيز'!$Z$5:$Z$2004,0)))</f>
        <v/>
      </c>
      <c r="N45" s="9">
        <f>IF($K45="","",INDEX('سجل التحفيز'!$M$5:$M$2004,MATCH($K45,'سجل التحفيز'!$Z$5:$Z$2004,0)))</f>
        <v/>
      </c>
      <c r="O45" s="9">
        <f>IF($K45="","",INDEX('سجل التحفيز'!$C$5:$C$2004,MATCH($K45,'سجل التحفيز'!$Z$5:$Z$2004,0)))</f>
        <v/>
      </c>
      <c r="P45" s="36">
        <f>IF($K45="","",INDEX('سجل التحفيز'!$D$5:$D$2004,MATCH($K45,'سجل التحفيز'!$Z$5:$Z$2004,0)))</f>
        <v/>
      </c>
      <c r="Q45" s="9">
        <f>IF($K45="","",INDEX('سجل التحفيز'!$E$5:$E$2004,MATCH($K45,'سجل التحفيز'!$Z$5:$Z$2004,0)))</f>
        <v/>
      </c>
      <c r="R45" s="9">
        <f>IF($K45="","",INDEX('سجل التحفيز'!$F$5:$F$2004,MATCH($K45,'سجل التحفيز'!$Z$5:$Z$2004,0)))</f>
        <v/>
      </c>
      <c r="S45" s="35">
        <f>IF($K45="","",INDEX('سجل التحفيز'!$G$5:$G$2004,MATCH($K45,'سجل التحفيز'!$Z$5:$Z$2004,0)))</f>
        <v/>
      </c>
    </row>
    <row r="46">
      <c r="B46" s="34">
        <f>IFERROR(INDEX(الموظفات!$B$5:$B$304,MATCH(9,الموظفات!$T$5:$T$304,0)),"")</f>
        <v/>
      </c>
      <c r="C46" s="34">
        <f>IF(B46="","",INDEX(الموظفات!$D$5:$D$304,MATCH(B46,الموظفات!$B$5:$B$304,0))&amp;"")</f>
        <v/>
      </c>
      <c r="D46" s="35">
        <f>IF(B46="","",COUNTIFS('سجل التحفيز'!$Z$5:$Z$2004,"&gt;0",'سجل التحفيز'!$B$5:$B$2004,B46))</f>
        <v/>
      </c>
      <c r="E46" s="35">
        <f>IF(B46="","",COUNTIFS('سجل التحفيز'!$Z$5:$Z$2004,"&gt;0",'سجل التحفيز'!$B$5:$B$2004,B46,'سجل التحفيز'!$D$5:$D$2004,"ذهبي"))</f>
        <v/>
      </c>
      <c r="F46" s="35">
        <f>IF(B46="","",SUMIFS('سجل التحفيز'!$G$5:$G$2004,'سجل التحفيز'!$Z$5:$Z$2004,"&gt;0",'سجل التحفيز'!$B$5:$B$2004,B46))</f>
        <v/>
      </c>
      <c r="G46" s="35">
        <f>IF(B46="","",COUNTIF($D$38:$D$187,"&gt;"&amp;D46)+1)</f>
        <v/>
      </c>
      <c r="H46" s="35">
        <f>IF(B46="","",INDEX(الموظفات!$L$5:$L$304,MATCH(B46,الموظفات!$B$5:$B$304,0)))</f>
        <v/>
      </c>
      <c r="K46" s="36">
        <f>IF(9&gt;$B$10,"",9)</f>
        <v/>
      </c>
      <c r="L46" s="37">
        <f>IF($K46="","",INDEX('سجل التحفيز'!$A$5:$A$2004,MATCH($K46,'سجل التحفيز'!$Z$5:$Z$2004,0)))</f>
        <v/>
      </c>
      <c r="M46" s="9">
        <f>IF($K46="","",INDEX('سجل التحفيز'!$B$5:$B$2004,MATCH($K46,'سجل التحفيز'!$Z$5:$Z$2004,0)))</f>
        <v/>
      </c>
      <c r="N46" s="9">
        <f>IF($K46="","",INDEX('سجل التحفيز'!$M$5:$M$2004,MATCH($K46,'سجل التحفيز'!$Z$5:$Z$2004,0)))</f>
        <v/>
      </c>
      <c r="O46" s="9">
        <f>IF($K46="","",INDEX('سجل التحفيز'!$C$5:$C$2004,MATCH($K46,'سجل التحفيز'!$Z$5:$Z$2004,0)))</f>
        <v/>
      </c>
      <c r="P46" s="36">
        <f>IF($K46="","",INDEX('سجل التحفيز'!$D$5:$D$2004,MATCH($K46,'سجل التحفيز'!$Z$5:$Z$2004,0)))</f>
        <v/>
      </c>
      <c r="Q46" s="9">
        <f>IF($K46="","",INDEX('سجل التحفيز'!$E$5:$E$2004,MATCH($K46,'سجل التحفيز'!$Z$5:$Z$2004,0)))</f>
        <v/>
      </c>
      <c r="R46" s="9">
        <f>IF($K46="","",INDEX('سجل التحفيز'!$F$5:$F$2004,MATCH($K46,'سجل التحفيز'!$Z$5:$Z$2004,0)))</f>
        <v/>
      </c>
      <c r="S46" s="35">
        <f>IF($K46="","",INDEX('سجل التحفيز'!$G$5:$G$2004,MATCH($K46,'سجل التحفيز'!$Z$5:$Z$2004,0)))</f>
        <v/>
      </c>
    </row>
    <row r="47">
      <c r="B47" s="34">
        <f>IFERROR(INDEX(الموظفات!$B$5:$B$304,MATCH(10,الموظفات!$T$5:$T$304,0)),"")</f>
        <v/>
      </c>
      <c r="C47" s="34">
        <f>IF(B47="","",INDEX(الموظفات!$D$5:$D$304,MATCH(B47,الموظفات!$B$5:$B$304,0))&amp;"")</f>
        <v/>
      </c>
      <c r="D47" s="35">
        <f>IF(B47="","",COUNTIFS('سجل التحفيز'!$Z$5:$Z$2004,"&gt;0",'سجل التحفيز'!$B$5:$B$2004,B47))</f>
        <v/>
      </c>
      <c r="E47" s="35">
        <f>IF(B47="","",COUNTIFS('سجل التحفيز'!$Z$5:$Z$2004,"&gt;0",'سجل التحفيز'!$B$5:$B$2004,B47,'سجل التحفيز'!$D$5:$D$2004,"ذهبي"))</f>
        <v/>
      </c>
      <c r="F47" s="35">
        <f>IF(B47="","",SUMIFS('سجل التحفيز'!$G$5:$G$2004,'سجل التحفيز'!$Z$5:$Z$2004,"&gt;0",'سجل التحفيز'!$B$5:$B$2004,B47))</f>
        <v/>
      </c>
      <c r="G47" s="35">
        <f>IF(B47="","",COUNTIF($D$38:$D$187,"&gt;"&amp;D47)+1)</f>
        <v/>
      </c>
      <c r="H47" s="35">
        <f>IF(B47="","",INDEX(الموظفات!$L$5:$L$304,MATCH(B47,الموظفات!$B$5:$B$304,0)))</f>
        <v/>
      </c>
      <c r="K47" s="36">
        <f>IF(10&gt;$B$10,"",10)</f>
        <v/>
      </c>
      <c r="L47" s="37">
        <f>IF($K47="","",INDEX('سجل التحفيز'!$A$5:$A$2004,MATCH($K47,'سجل التحفيز'!$Z$5:$Z$2004,0)))</f>
        <v/>
      </c>
      <c r="M47" s="9">
        <f>IF($K47="","",INDEX('سجل التحفيز'!$B$5:$B$2004,MATCH($K47,'سجل التحفيز'!$Z$5:$Z$2004,0)))</f>
        <v/>
      </c>
      <c r="N47" s="9">
        <f>IF($K47="","",INDEX('سجل التحفيز'!$M$5:$M$2004,MATCH($K47,'سجل التحفيز'!$Z$5:$Z$2004,0)))</f>
        <v/>
      </c>
      <c r="O47" s="9">
        <f>IF($K47="","",INDEX('سجل التحفيز'!$C$5:$C$2004,MATCH($K47,'سجل التحفيز'!$Z$5:$Z$2004,0)))</f>
        <v/>
      </c>
      <c r="P47" s="36">
        <f>IF($K47="","",INDEX('سجل التحفيز'!$D$5:$D$2004,MATCH($K47,'سجل التحفيز'!$Z$5:$Z$2004,0)))</f>
        <v/>
      </c>
      <c r="Q47" s="9">
        <f>IF($K47="","",INDEX('سجل التحفيز'!$E$5:$E$2004,MATCH($K47,'سجل التحفيز'!$Z$5:$Z$2004,0)))</f>
        <v/>
      </c>
      <c r="R47" s="9">
        <f>IF($K47="","",INDEX('سجل التحفيز'!$F$5:$F$2004,MATCH($K47,'سجل التحفيز'!$Z$5:$Z$2004,0)))</f>
        <v/>
      </c>
      <c r="S47" s="35">
        <f>IF($K47="","",INDEX('سجل التحفيز'!$G$5:$G$2004,MATCH($K47,'سجل التحفيز'!$Z$5:$Z$2004,0)))</f>
        <v/>
      </c>
    </row>
    <row r="48">
      <c r="B48" s="34">
        <f>IFERROR(INDEX(الموظفات!$B$5:$B$304,MATCH(11,الموظفات!$T$5:$T$304,0)),"")</f>
        <v/>
      </c>
      <c r="C48" s="34">
        <f>IF(B48="","",INDEX(الموظفات!$D$5:$D$304,MATCH(B48,الموظفات!$B$5:$B$304,0))&amp;"")</f>
        <v/>
      </c>
      <c r="D48" s="35">
        <f>IF(B48="","",COUNTIFS('سجل التحفيز'!$Z$5:$Z$2004,"&gt;0",'سجل التحفيز'!$B$5:$B$2004,B48))</f>
        <v/>
      </c>
      <c r="E48" s="35">
        <f>IF(B48="","",COUNTIFS('سجل التحفيز'!$Z$5:$Z$2004,"&gt;0",'سجل التحفيز'!$B$5:$B$2004,B48,'سجل التحفيز'!$D$5:$D$2004,"ذهبي"))</f>
        <v/>
      </c>
      <c r="F48" s="35">
        <f>IF(B48="","",SUMIFS('سجل التحفيز'!$G$5:$G$2004,'سجل التحفيز'!$Z$5:$Z$2004,"&gt;0",'سجل التحفيز'!$B$5:$B$2004,B48))</f>
        <v/>
      </c>
      <c r="G48" s="35">
        <f>IF(B48="","",COUNTIF($D$38:$D$187,"&gt;"&amp;D48)+1)</f>
        <v/>
      </c>
      <c r="H48" s="35">
        <f>IF(B48="","",INDEX(الموظفات!$L$5:$L$304,MATCH(B48,الموظفات!$B$5:$B$304,0)))</f>
        <v/>
      </c>
      <c r="K48" s="36">
        <f>IF(11&gt;$B$10,"",11)</f>
        <v/>
      </c>
      <c r="L48" s="37">
        <f>IF($K48="","",INDEX('سجل التحفيز'!$A$5:$A$2004,MATCH($K48,'سجل التحفيز'!$Z$5:$Z$2004,0)))</f>
        <v/>
      </c>
      <c r="M48" s="9">
        <f>IF($K48="","",INDEX('سجل التحفيز'!$B$5:$B$2004,MATCH($K48,'سجل التحفيز'!$Z$5:$Z$2004,0)))</f>
        <v/>
      </c>
      <c r="N48" s="9">
        <f>IF($K48="","",INDEX('سجل التحفيز'!$M$5:$M$2004,MATCH($K48,'سجل التحفيز'!$Z$5:$Z$2004,0)))</f>
        <v/>
      </c>
      <c r="O48" s="9">
        <f>IF($K48="","",INDEX('سجل التحفيز'!$C$5:$C$2004,MATCH($K48,'سجل التحفيز'!$Z$5:$Z$2004,0)))</f>
        <v/>
      </c>
      <c r="P48" s="36">
        <f>IF($K48="","",INDEX('سجل التحفيز'!$D$5:$D$2004,MATCH($K48,'سجل التحفيز'!$Z$5:$Z$2004,0)))</f>
        <v/>
      </c>
      <c r="Q48" s="9">
        <f>IF($K48="","",INDEX('سجل التحفيز'!$E$5:$E$2004,MATCH($K48,'سجل التحفيز'!$Z$5:$Z$2004,0)))</f>
        <v/>
      </c>
      <c r="R48" s="9">
        <f>IF($K48="","",INDEX('سجل التحفيز'!$F$5:$F$2004,MATCH($K48,'سجل التحفيز'!$Z$5:$Z$2004,0)))</f>
        <v/>
      </c>
      <c r="S48" s="35">
        <f>IF($K48="","",INDEX('سجل التحفيز'!$G$5:$G$2004,MATCH($K48,'سجل التحفيز'!$Z$5:$Z$2004,0)))</f>
        <v/>
      </c>
    </row>
    <row r="49">
      <c r="B49" s="34">
        <f>IFERROR(INDEX(الموظفات!$B$5:$B$304,MATCH(12,الموظفات!$T$5:$T$304,0)),"")</f>
        <v/>
      </c>
      <c r="C49" s="34">
        <f>IF(B49="","",INDEX(الموظفات!$D$5:$D$304,MATCH(B49,الموظفات!$B$5:$B$304,0))&amp;"")</f>
        <v/>
      </c>
      <c r="D49" s="35">
        <f>IF(B49="","",COUNTIFS('سجل التحفيز'!$Z$5:$Z$2004,"&gt;0",'سجل التحفيز'!$B$5:$B$2004,B49))</f>
        <v/>
      </c>
      <c r="E49" s="35">
        <f>IF(B49="","",COUNTIFS('سجل التحفيز'!$Z$5:$Z$2004,"&gt;0",'سجل التحفيز'!$B$5:$B$2004,B49,'سجل التحفيز'!$D$5:$D$2004,"ذهبي"))</f>
        <v/>
      </c>
      <c r="F49" s="35">
        <f>IF(B49="","",SUMIFS('سجل التحفيز'!$G$5:$G$2004,'سجل التحفيز'!$Z$5:$Z$2004,"&gt;0",'سجل التحفيز'!$B$5:$B$2004,B49))</f>
        <v/>
      </c>
      <c r="G49" s="35">
        <f>IF(B49="","",COUNTIF($D$38:$D$187,"&gt;"&amp;D49)+1)</f>
        <v/>
      </c>
      <c r="H49" s="35">
        <f>IF(B49="","",INDEX(الموظفات!$L$5:$L$304,MATCH(B49,الموظفات!$B$5:$B$304,0)))</f>
        <v/>
      </c>
      <c r="K49" s="36">
        <f>IF(12&gt;$B$10,"",12)</f>
        <v/>
      </c>
      <c r="L49" s="37">
        <f>IF($K49="","",INDEX('سجل التحفيز'!$A$5:$A$2004,MATCH($K49,'سجل التحفيز'!$Z$5:$Z$2004,0)))</f>
        <v/>
      </c>
      <c r="M49" s="9">
        <f>IF($K49="","",INDEX('سجل التحفيز'!$B$5:$B$2004,MATCH($K49,'سجل التحفيز'!$Z$5:$Z$2004,0)))</f>
        <v/>
      </c>
      <c r="N49" s="9">
        <f>IF($K49="","",INDEX('سجل التحفيز'!$M$5:$M$2004,MATCH($K49,'سجل التحفيز'!$Z$5:$Z$2004,0)))</f>
        <v/>
      </c>
      <c r="O49" s="9">
        <f>IF($K49="","",INDEX('سجل التحفيز'!$C$5:$C$2004,MATCH($K49,'سجل التحفيز'!$Z$5:$Z$2004,0)))</f>
        <v/>
      </c>
      <c r="P49" s="36">
        <f>IF($K49="","",INDEX('سجل التحفيز'!$D$5:$D$2004,MATCH($K49,'سجل التحفيز'!$Z$5:$Z$2004,0)))</f>
        <v/>
      </c>
      <c r="Q49" s="9">
        <f>IF($K49="","",INDEX('سجل التحفيز'!$E$5:$E$2004,MATCH($K49,'سجل التحفيز'!$Z$5:$Z$2004,0)))</f>
        <v/>
      </c>
      <c r="R49" s="9">
        <f>IF($K49="","",INDEX('سجل التحفيز'!$F$5:$F$2004,MATCH($K49,'سجل التحفيز'!$Z$5:$Z$2004,0)))</f>
        <v/>
      </c>
      <c r="S49" s="35">
        <f>IF($K49="","",INDEX('سجل التحفيز'!$G$5:$G$2004,MATCH($K49,'سجل التحفيز'!$Z$5:$Z$2004,0)))</f>
        <v/>
      </c>
    </row>
    <row r="50">
      <c r="B50" s="34">
        <f>IFERROR(INDEX(الموظفات!$B$5:$B$304,MATCH(13,الموظفات!$T$5:$T$304,0)),"")</f>
        <v/>
      </c>
      <c r="C50" s="34">
        <f>IF(B50="","",INDEX(الموظفات!$D$5:$D$304,MATCH(B50,الموظفات!$B$5:$B$304,0))&amp;"")</f>
        <v/>
      </c>
      <c r="D50" s="35">
        <f>IF(B50="","",COUNTIFS('سجل التحفيز'!$Z$5:$Z$2004,"&gt;0",'سجل التحفيز'!$B$5:$B$2004,B50))</f>
        <v/>
      </c>
      <c r="E50" s="35">
        <f>IF(B50="","",COUNTIFS('سجل التحفيز'!$Z$5:$Z$2004,"&gt;0",'سجل التحفيز'!$B$5:$B$2004,B50,'سجل التحفيز'!$D$5:$D$2004,"ذهبي"))</f>
        <v/>
      </c>
      <c r="F50" s="35">
        <f>IF(B50="","",SUMIFS('سجل التحفيز'!$G$5:$G$2004,'سجل التحفيز'!$Z$5:$Z$2004,"&gt;0",'سجل التحفيز'!$B$5:$B$2004,B50))</f>
        <v/>
      </c>
      <c r="G50" s="35">
        <f>IF(B50="","",COUNTIF($D$38:$D$187,"&gt;"&amp;D50)+1)</f>
        <v/>
      </c>
      <c r="H50" s="35">
        <f>IF(B50="","",INDEX(الموظفات!$L$5:$L$304,MATCH(B50,الموظفات!$B$5:$B$304,0)))</f>
        <v/>
      </c>
      <c r="K50" s="36">
        <f>IF(13&gt;$B$10,"",13)</f>
        <v/>
      </c>
      <c r="L50" s="37">
        <f>IF($K50="","",INDEX('سجل التحفيز'!$A$5:$A$2004,MATCH($K50,'سجل التحفيز'!$Z$5:$Z$2004,0)))</f>
        <v/>
      </c>
      <c r="M50" s="9">
        <f>IF($K50="","",INDEX('سجل التحفيز'!$B$5:$B$2004,MATCH($K50,'سجل التحفيز'!$Z$5:$Z$2004,0)))</f>
        <v/>
      </c>
      <c r="N50" s="9">
        <f>IF($K50="","",INDEX('سجل التحفيز'!$M$5:$M$2004,MATCH($K50,'سجل التحفيز'!$Z$5:$Z$2004,0)))</f>
        <v/>
      </c>
      <c r="O50" s="9">
        <f>IF($K50="","",INDEX('سجل التحفيز'!$C$5:$C$2004,MATCH($K50,'سجل التحفيز'!$Z$5:$Z$2004,0)))</f>
        <v/>
      </c>
      <c r="P50" s="36">
        <f>IF($K50="","",INDEX('سجل التحفيز'!$D$5:$D$2004,MATCH($K50,'سجل التحفيز'!$Z$5:$Z$2004,0)))</f>
        <v/>
      </c>
      <c r="Q50" s="9">
        <f>IF($K50="","",INDEX('سجل التحفيز'!$E$5:$E$2004,MATCH($K50,'سجل التحفيز'!$Z$5:$Z$2004,0)))</f>
        <v/>
      </c>
      <c r="R50" s="9">
        <f>IF($K50="","",INDEX('سجل التحفيز'!$F$5:$F$2004,MATCH($K50,'سجل التحفيز'!$Z$5:$Z$2004,0)))</f>
        <v/>
      </c>
      <c r="S50" s="35">
        <f>IF($K50="","",INDEX('سجل التحفيز'!$G$5:$G$2004,MATCH($K50,'سجل التحفيز'!$Z$5:$Z$2004,0)))</f>
        <v/>
      </c>
    </row>
    <row r="51">
      <c r="B51" s="34">
        <f>IFERROR(INDEX(الموظفات!$B$5:$B$304,MATCH(14,الموظفات!$T$5:$T$304,0)),"")</f>
        <v/>
      </c>
      <c r="C51" s="34">
        <f>IF(B51="","",INDEX(الموظفات!$D$5:$D$304,MATCH(B51,الموظفات!$B$5:$B$304,0))&amp;"")</f>
        <v/>
      </c>
      <c r="D51" s="35">
        <f>IF(B51="","",COUNTIFS('سجل التحفيز'!$Z$5:$Z$2004,"&gt;0",'سجل التحفيز'!$B$5:$B$2004,B51))</f>
        <v/>
      </c>
      <c r="E51" s="35">
        <f>IF(B51="","",COUNTIFS('سجل التحفيز'!$Z$5:$Z$2004,"&gt;0",'سجل التحفيز'!$B$5:$B$2004,B51,'سجل التحفيز'!$D$5:$D$2004,"ذهبي"))</f>
        <v/>
      </c>
      <c r="F51" s="35">
        <f>IF(B51="","",SUMIFS('سجل التحفيز'!$G$5:$G$2004,'سجل التحفيز'!$Z$5:$Z$2004,"&gt;0",'سجل التحفيز'!$B$5:$B$2004,B51))</f>
        <v/>
      </c>
      <c r="G51" s="35">
        <f>IF(B51="","",COUNTIF($D$38:$D$187,"&gt;"&amp;D51)+1)</f>
        <v/>
      </c>
      <c r="H51" s="35">
        <f>IF(B51="","",INDEX(الموظفات!$L$5:$L$304,MATCH(B51,الموظفات!$B$5:$B$304,0)))</f>
        <v/>
      </c>
      <c r="K51" s="36">
        <f>IF(14&gt;$B$10,"",14)</f>
        <v/>
      </c>
      <c r="L51" s="37">
        <f>IF($K51="","",INDEX('سجل التحفيز'!$A$5:$A$2004,MATCH($K51,'سجل التحفيز'!$Z$5:$Z$2004,0)))</f>
        <v/>
      </c>
      <c r="M51" s="9">
        <f>IF($K51="","",INDEX('سجل التحفيز'!$B$5:$B$2004,MATCH($K51,'سجل التحفيز'!$Z$5:$Z$2004,0)))</f>
        <v/>
      </c>
      <c r="N51" s="9">
        <f>IF($K51="","",INDEX('سجل التحفيز'!$M$5:$M$2004,MATCH($K51,'سجل التحفيز'!$Z$5:$Z$2004,0)))</f>
        <v/>
      </c>
      <c r="O51" s="9">
        <f>IF($K51="","",INDEX('سجل التحفيز'!$C$5:$C$2004,MATCH($K51,'سجل التحفيز'!$Z$5:$Z$2004,0)))</f>
        <v/>
      </c>
      <c r="P51" s="36">
        <f>IF($K51="","",INDEX('سجل التحفيز'!$D$5:$D$2004,MATCH($K51,'سجل التحفيز'!$Z$5:$Z$2004,0)))</f>
        <v/>
      </c>
      <c r="Q51" s="9">
        <f>IF($K51="","",INDEX('سجل التحفيز'!$E$5:$E$2004,MATCH($K51,'سجل التحفيز'!$Z$5:$Z$2004,0)))</f>
        <v/>
      </c>
      <c r="R51" s="9">
        <f>IF($K51="","",INDEX('سجل التحفيز'!$F$5:$F$2004,MATCH($K51,'سجل التحفيز'!$Z$5:$Z$2004,0)))</f>
        <v/>
      </c>
      <c r="S51" s="35">
        <f>IF($K51="","",INDEX('سجل التحفيز'!$G$5:$G$2004,MATCH($K51,'سجل التحفيز'!$Z$5:$Z$2004,0)))</f>
        <v/>
      </c>
    </row>
    <row r="52">
      <c r="B52" s="34">
        <f>IFERROR(INDEX(الموظفات!$B$5:$B$304,MATCH(15,الموظفات!$T$5:$T$304,0)),"")</f>
        <v/>
      </c>
      <c r="C52" s="34">
        <f>IF(B52="","",INDEX(الموظفات!$D$5:$D$304,MATCH(B52,الموظفات!$B$5:$B$304,0))&amp;"")</f>
        <v/>
      </c>
      <c r="D52" s="35">
        <f>IF(B52="","",COUNTIFS('سجل التحفيز'!$Z$5:$Z$2004,"&gt;0",'سجل التحفيز'!$B$5:$B$2004,B52))</f>
        <v/>
      </c>
      <c r="E52" s="35">
        <f>IF(B52="","",COUNTIFS('سجل التحفيز'!$Z$5:$Z$2004,"&gt;0",'سجل التحفيز'!$B$5:$B$2004,B52,'سجل التحفيز'!$D$5:$D$2004,"ذهبي"))</f>
        <v/>
      </c>
      <c r="F52" s="35">
        <f>IF(B52="","",SUMIFS('سجل التحفيز'!$G$5:$G$2004,'سجل التحفيز'!$Z$5:$Z$2004,"&gt;0",'سجل التحفيز'!$B$5:$B$2004,B52))</f>
        <v/>
      </c>
      <c r="G52" s="35">
        <f>IF(B52="","",COUNTIF($D$38:$D$187,"&gt;"&amp;D52)+1)</f>
        <v/>
      </c>
      <c r="H52" s="35">
        <f>IF(B52="","",INDEX(الموظفات!$L$5:$L$304,MATCH(B52,الموظفات!$B$5:$B$304,0)))</f>
        <v/>
      </c>
      <c r="K52" s="36">
        <f>IF(15&gt;$B$10,"",15)</f>
        <v/>
      </c>
      <c r="L52" s="37">
        <f>IF($K52="","",INDEX('سجل التحفيز'!$A$5:$A$2004,MATCH($K52,'سجل التحفيز'!$Z$5:$Z$2004,0)))</f>
        <v/>
      </c>
      <c r="M52" s="9">
        <f>IF($K52="","",INDEX('سجل التحفيز'!$B$5:$B$2004,MATCH($K52,'سجل التحفيز'!$Z$5:$Z$2004,0)))</f>
        <v/>
      </c>
      <c r="N52" s="9">
        <f>IF($K52="","",INDEX('سجل التحفيز'!$M$5:$M$2004,MATCH($K52,'سجل التحفيز'!$Z$5:$Z$2004,0)))</f>
        <v/>
      </c>
      <c r="O52" s="9">
        <f>IF($K52="","",INDEX('سجل التحفيز'!$C$5:$C$2004,MATCH($K52,'سجل التحفيز'!$Z$5:$Z$2004,0)))</f>
        <v/>
      </c>
      <c r="P52" s="36">
        <f>IF($K52="","",INDEX('سجل التحفيز'!$D$5:$D$2004,MATCH($K52,'سجل التحفيز'!$Z$5:$Z$2004,0)))</f>
        <v/>
      </c>
      <c r="Q52" s="9">
        <f>IF($K52="","",INDEX('سجل التحفيز'!$E$5:$E$2004,MATCH($K52,'سجل التحفيز'!$Z$5:$Z$2004,0)))</f>
        <v/>
      </c>
      <c r="R52" s="9">
        <f>IF($K52="","",INDEX('سجل التحفيز'!$F$5:$F$2004,MATCH($K52,'سجل التحفيز'!$Z$5:$Z$2004,0)))</f>
        <v/>
      </c>
      <c r="S52" s="35">
        <f>IF($K52="","",INDEX('سجل التحفيز'!$G$5:$G$2004,MATCH($K52,'سجل التحفيز'!$Z$5:$Z$2004,0)))</f>
        <v/>
      </c>
    </row>
    <row r="53">
      <c r="B53" s="34">
        <f>IFERROR(INDEX(الموظفات!$B$5:$B$304,MATCH(16,الموظفات!$T$5:$T$304,0)),"")</f>
        <v/>
      </c>
      <c r="C53" s="34">
        <f>IF(B53="","",INDEX(الموظفات!$D$5:$D$304,MATCH(B53,الموظفات!$B$5:$B$304,0))&amp;"")</f>
        <v/>
      </c>
      <c r="D53" s="35">
        <f>IF(B53="","",COUNTIFS('سجل التحفيز'!$Z$5:$Z$2004,"&gt;0",'سجل التحفيز'!$B$5:$B$2004,B53))</f>
        <v/>
      </c>
      <c r="E53" s="35">
        <f>IF(B53="","",COUNTIFS('سجل التحفيز'!$Z$5:$Z$2004,"&gt;0",'سجل التحفيز'!$B$5:$B$2004,B53,'سجل التحفيز'!$D$5:$D$2004,"ذهبي"))</f>
        <v/>
      </c>
      <c r="F53" s="35">
        <f>IF(B53="","",SUMIFS('سجل التحفيز'!$G$5:$G$2004,'سجل التحفيز'!$Z$5:$Z$2004,"&gt;0",'سجل التحفيز'!$B$5:$B$2004,B53))</f>
        <v/>
      </c>
      <c r="G53" s="35">
        <f>IF(B53="","",COUNTIF($D$38:$D$187,"&gt;"&amp;D53)+1)</f>
        <v/>
      </c>
      <c r="H53" s="35">
        <f>IF(B53="","",INDEX(الموظفات!$L$5:$L$304,MATCH(B53,الموظفات!$B$5:$B$304,0)))</f>
        <v/>
      </c>
      <c r="K53" s="36">
        <f>IF(16&gt;$B$10,"",16)</f>
        <v/>
      </c>
      <c r="L53" s="37">
        <f>IF($K53="","",INDEX('سجل التحفيز'!$A$5:$A$2004,MATCH($K53,'سجل التحفيز'!$Z$5:$Z$2004,0)))</f>
        <v/>
      </c>
      <c r="M53" s="9">
        <f>IF($K53="","",INDEX('سجل التحفيز'!$B$5:$B$2004,MATCH($K53,'سجل التحفيز'!$Z$5:$Z$2004,0)))</f>
        <v/>
      </c>
      <c r="N53" s="9">
        <f>IF($K53="","",INDEX('سجل التحفيز'!$M$5:$M$2004,MATCH($K53,'سجل التحفيز'!$Z$5:$Z$2004,0)))</f>
        <v/>
      </c>
      <c r="O53" s="9">
        <f>IF($K53="","",INDEX('سجل التحفيز'!$C$5:$C$2004,MATCH($K53,'سجل التحفيز'!$Z$5:$Z$2004,0)))</f>
        <v/>
      </c>
      <c r="P53" s="36">
        <f>IF($K53="","",INDEX('سجل التحفيز'!$D$5:$D$2004,MATCH($K53,'سجل التحفيز'!$Z$5:$Z$2004,0)))</f>
        <v/>
      </c>
      <c r="Q53" s="9">
        <f>IF($K53="","",INDEX('سجل التحفيز'!$E$5:$E$2004,MATCH($K53,'سجل التحفيز'!$Z$5:$Z$2004,0)))</f>
        <v/>
      </c>
      <c r="R53" s="9">
        <f>IF($K53="","",INDEX('سجل التحفيز'!$F$5:$F$2004,MATCH($K53,'سجل التحفيز'!$Z$5:$Z$2004,0)))</f>
        <v/>
      </c>
      <c r="S53" s="35">
        <f>IF($K53="","",INDEX('سجل التحفيز'!$G$5:$G$2004,MATCH($K53,'سجل التحفيز'!$Z$5:$Z$2004,0)))</f>
        <v/>
      </c>
    </row>
    <row r="54">
      <c r="B54" s="34">
        <f>IFERROR(INDEX(الموظفات!$B$5:$B$304,MATCH(17,الموظفات!$T$5:$T$304,0)),"")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التحفيز'!$Z$5:$Z$2004,"&gt;0",'سجل التحفيز'!$B$5:$B$2004,B54))</f>
        <v/>
      </c>
      <c r="E54" s="35">
        <f>IF(B54="","",COUNTIFS('سجل التحفيز'!$Z$5:$Z$2004,"&gt;0",'سجل التحفيز'!$B$5:$B$2004,B54,'سجل التحفيز'!$D$5:$D$2004,"ذهبي"))</f>
        <v/>
      </c>
      <c r="F54" s="35">
        <f>IF(B54="","",SUMIFS('سجل التحفيز'!$G$5:$G$2004,'سجل التحفيز'!$Z$5:$Z$2004,"&gt;0",'سجل التحفيز'!$B$5:$B$2004,B54))</f>
        <v/>
      </c>
      <c r="G54" s="35">
        <f>IF(B54="","",COUNTIF($D$38:$D$187,"&gt;"&amp;D54)+1)</f>
        <v/>
      </c>
      <c r="H54" s="35">
        <f>IF(B54="","",INDEX(الموظفات!$L$5:$L$304,MATCH(B54,الموظفات!$B$5:$B$304,0)))</f>
        <v/>
      </c>
      <c r="K54" s="36">
        <f>IF(17&gt;$B$10,"",17)</f>
        <v/>
      </c>
      <c r="L54" s="37">
        <f>IF($K54="","",INDEX('سجل التحفيز'!$A$5:$A$2004,MATCH($K54,'سجل التحفيز'!$Z$5:$Z$2004,0)))</f>
        <v/>
      </c>
      <c r="M54" s="9">
        <f>IF($K54="","",INDEX('سجل التحفيز'!$B$5:$B$2004,MATCH($K54,'سجل التحفيز'!$Z$5:$Z$2004,0)))</f>
        <v/>
      </c>
      <c r="N54" s="9">
        <f>IF($K54="","",INDEX('سجل التحفيز'!$M$5:$M$2004,MATCH($K54,'سجل التحفيز'!$Z$5:$Z$2004,0)))</f>
        <v/>
      </c>
      <c r="O54" s="9">
        <f>IF($K54="","",INDEX('سجل التحفيز'!$C$5:$C$2004,MATCH($K54,'سجل التحفيز'!$Z$5:$Z$2004,0)))</f>
        <v/>
      </c>
      <c r="P54" s="36">
        <f>IF($K54="","",INDEX('سجل التحفيز'!$D$5:$D$2004,MATCH($K54,'سجل التحفيز'!$Z$5:$Z$2004,0)))</f>
        <v/>
      </c>
      <c r="Q54" s="9">
        <f>IF($K54="","",INDEX('سجل التحفيز'!$E$5:$E$2004,MATCH($K54,'سجل التحفيز'!$Z$5:$Z$2004,0)))</f>
        <v/>
      </c>
      <c r="R54" s="9">
        <f>IF($K54="","",INDEX('سجل التحفيز'!$F$5:$F$2004,MATCH($K54,'سجل التحفيز'!$Z$5:$Z$2004,0)))</f>
        <v/>
      </c>
      <c r="S54" s="35">
        <f>IF($K54="","",INDEX('سجل التحفيز'!$G$5:$G$2004,MATCH($K54,'سجل التحفيز'!$Z$5:$Z$2004,0)))</f>
        <v/>
      </c>
    </row>
    <row r="55">
      <c r="B55" s="34">
        <f>IFERROR(INDEX(الموظفات!$B$5:$B$304,MATCH(18,الموظفات!$T$5:$T$304,0)),"")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التحفيز'!$Z$5:$Z$2004,"&gt;0",'سجل التحفيز'!$B$5:$B$2004,B55))</f>
        <v/>
      </c>
      <c r="E55" s="35">
        <f>IF(B55="","",COUNTIFS('سجل التحفيز'!$Z$5:$Z$2004,"&gt;0",'سجل التحفيز'!$B$5:$B$2004,B55,'سجل التحفيز'!$D$5:$D$2004,"ذهبي"))</f>
        <v/>
      </c>
      <c r="F55" s="35">
        <f>IF(B55="","",SUMIFS('سجل التحفيز'!$G$5:$G$2004,'سجل التحفيز'!$Z$5:$Z$2004,"&gt;0",'سجل التحفيز'!$B$5:$B$2004,B55))</f>
        <v/>
      </c>
      <c r="G55" s="35">
        <f>IF(B55="","",COUNTIF($D$38:$D$187,"&gt;"&amp;D55)+1)</f>
        <v/>
      </c>
      <c r="H55" s="35">
        <f>IF(B55="","",INDEX(الموظفات!$L$5:$L$304,MATCH(B55,الموظفات!$B$5:$B$304,0)))</f>
        <v/>
      </c>
      <c r="K55" s="36">
        <f>IF(18&gt;$B$10,"",18)</f>
        <v/>
      </c>
      <c r="L55" s="37">
        <f>IF($K55="","",INDEX('سجل التحفيز'!$A$5:$A$2004,MATCH($K55,'سجل التحفيز'!$Z$5:$Z$2004,0)))</f>
        <v/>
      </c>
      <c r="M55" s="9">
        <f>IF($K55="","",INDEX('سجل التحفيز'!$B$5:$B$2004,MATCH($K55,'سجل التحفيز'!$Z$5:$Z$2004,0)))</f>
        <v/>
      </c>
      <c r="N55" s="9">
        <f>IF($K55="","",INDEX('سجل التحفيز'!$M$5:$M$2004,MATCH($K55,'سجل التحفيز'!$Z$5:$Z$2004,0)))</f>
        <v/>
      </c>
      <c r="O55" s="9">
        <f>IF($K55="","",INDEX('سجل التحفيز'!$C$5:$C$2004,MATCH($K55,'سجل التحفيز'!$Z$5:$Z$2004,0)))</f>
        <v/>
      </c>
      <c r="P55" s="36">
        <f>IF($K55="","",INDEX('سجل التحفيز'!$D$5:$D$2004,MATCH($K55,'سجل التحفيز'!$Z$5:$Z$2004,0)))</f>
        <v/>
      </c>
      <c r="Q55" s="9">
        <f>IF($K55="","",INDEX('سجل التحفيز'!$E$5:$E$2004,MATCH($K55,'سجل التحفيز'!$Z$5:$Z$2004,0)))</f>
        <v/>
      </c>
      <c r="R55" s="9">
        <f>IF($K55="","",INDEX('سجل التحفيز'!$F$5:$F$2004,MATCH($K55,'سجل التحفيز'!$Z$5:$Z$2004,0)))</f>
        <v/>
      </c>
      <c r="S55" s="35">
        <f>IF($K55="","",INDEX('سجل التحفيز'!$G$5:$G$2004,MATCH($K55,'سجل التحفيز'!$Z$5:$Z$2004,0)))</f>
        <v/>
      </c>
    </row>
    <row r="56">
      <c r="B56" s="34">
        <f>IFERROR(INDEX(الموظفات!$B$5:$B$304,MATCH(19,الموظفات!$T$5:$T$304,0)),"")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التحفيز'!$Z$5:$Z$2004,"&gt;0",'سجل التحفيز'!$B$5:$B$2004,B56))</f>
        <v/>
      </c>
      <c r="E56" s="35">
        <f>IF(B56="","",COUNTIFS('سجل التحفيز'!$Z$5:$Z$2004,"&gt;0",'سجل التحفيز'!$B$5:$B$2004,B56,'سجل التحفيز'!$D$5:$D$2004,"ذهبي"))</f>
        <v/>
      </c>
      <c r="F56" s="35">
        <f>IF(B56="","",SUMIFS('سجل التحفيز'!$G$5:$G$2004,'سجل التحفيز'!$Z$5:$Z$2004,"&gt;0",'سجل التحفيز'!$B$5:$B$2004,B56))</f>
        <v/>
      </c>
      <c r="G56" s="35">
        <f>IF(B56="","",COUNTIF($D$38:$D$187,"&gt;"&amp;D56)+1)</f>
        <v/>
      </c>
      <c r="H56" s="35">
        <f>IF(B56="","",INDEX(الموظفات!$L$5:$L$304,MATCH(B56,الموظفات!$B$5:$B$304,0)))</f>
        <v/>
      </c>
      <c r="K56" s="36">
        <f>IF(19&gt;$B$10,"",19)</f>
        <v/>
      </c>
      <c r="L56" s="37">
        <f>IF($K56="","",INDEX('سجل التحفيز'!$A$5:$A$2004,MATCH($K56,'سجل التحفيز'!$Z$5:$Z$2004,0)))</f>
        <v/>
      </c>
      <c r="M56" s="9">
        <f>IF($K56="","",INDEX('سجل التحفيز'!$B$5:$B$2004,MATCH($K56,'سجل التحفيز'!$Z$5:$Z$2004,0)))</f>
        <v/>
      </c>
      <c r="N56" s="9">
        <f>IF($K56="","",INDEX('سجل التحفيز'!$M$5:$M$2004,MATCH($K56,'سجل التحفيز'!$Z$5:$Z$2004,0)))</f>
        <v/>
      </c>
      <c r="O56" s="9">
        <f>IF($K56="","",INDEX('سجل التحفيز'!$C$5:$C$2004,MATCH($K56,'سجل التحفيز'!$Z$5:$Z$2004,0)))</f>
        <v/>
      </c>
      <c r="P56" s="36">
        <f>IF($K56="","",INDEX('سجل التحفيز'!$D$5:$D$2004,MATCH($K56,'سجل التحفيز'!$Z$5:$Z$2004,0)))</f>
        <v/>
      </c>
      <c r="Q56" s="9">
        <f>IF($K56="","",INDEX('سجل التحفيز'!$E$5:$E$2004,MATCH($K56,'سجل التحفيز'!$Z$5:$Z$2004,0)))</f>
        <v/>
      </c>
      <c r="R56" s="9">
        <f>IF($K56="","",INDEX('سجل التحفيز'!$F$5:$F$2004,MATCH($K56,'سجل التحفيز'!$Z$5:$Z$2004,0)))</f>
        <v/>
      </c>
      <c r="S56" s="35">
        <f>IF($K56="","",INDEX('سجل التحفيز'!$G$5:$G$2004,MATCH($K56,'سجل التحفيز'!$Z$5:$Z$2004,0)))</f>
        <v/>
      </c>
    </row>
    <row r="57">
      <c r="B57" s="34">
        <f>IFERROR(INDEX(الموظفات!$B$5:$B$304,MATCH(20,الموظفات!$T$5:$T$304,0)),"")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التحفيز'!$Z$5:$Z$2004,"&gt;0",'سجل التحفيز'!$B$5:$B$2004,B57))</f>
        <v/>
      </c>
      <c r="E57" s="35">
        <f>IF(B57="","",COUNTIFS('سجل التحفيز'!$Z$5:$Z$2004,"&gt;0",'سجل التحفيز'!$B$5:$B$2004,B57,'سجل التحفيز'!$D$5:$D$2004,"ذهبي"))</f>
        <v/>
      </c>
      <c r="F57" s="35">
        <f>IF(B57="","",SUMIFS('سجل التحفيز'!$G$5:$G$2004,'سجل التحفيز'!$Z$5:$Z$2004,"&gt;0",'سجل التحفيز'!$B$5:$B$2004,B57))</f>
        <v/>
      </c>
      <c r="G57" s="35">
        <f>IF(B57="","",COUNTIF($D$38:$D$187,"&gt;"&amp;D57)+1)</f>
        <v/>
      </c>
      <c r="H57" s="35">
        <f>IF(B57="","",INDEX(الموظفات!$L$5:$L$304,MATCH(B57,الموظفات!$B$5:$B$304,0)))</f>
        <v/>
      </c>
      <c r="K57" s="36">
        <f>IF(20&gt;$B$10,"",20)</f>
        <v/>
      </c>
      <c r="L57" s="37">
        <f>IF($K57="","",INDEX('سجل التحفيز'!$A$5:$A$2004,MATCH($K57,'سجل التحفيز'!$Z$5:$Z$2004,0)))</f>
        <v/>
      </c>
      <c r="M57" s="9">
        <f>IF($K57="","",INDEX('سجل التحفيز'!$B$5:$B$2004,MATCH($K57,'سجل التحفيز'!$Z$5:$Z$2004,0)))</f>
        <v/>
      </c>
      <c r="N57" s="9">
        <f>IF($K57="","",INDEX('سجل التحفيز'!$M$5:$M$2004,MATCH($K57,'سجل التحفيز'!$Z$5:$Z$2004,0)))</f>
        <v/>
      </c>
      <c r="O57" s="9">
        <f>IF($K57="","",INDEX('سجل التحفيز'!$C$5:$C$2004,MATCH($K57,'سجل التحفيز'!$Z$5:$Z$2004,0)))</f>
        <v/>
      </c>
      <c r="P57" s="36">
        <f>IF($K57="","",INDEX('سجل التحفيز'!$D$5:$D$2004,MATCH($K57,'سجل التحفيز'!$Z$5:$Z$2004,0)))</f>
        <v/>
      </c>
      <c r="Q57" s="9">
        <f>IF($K57="","",INDEX('سجل التحفيز'!$E$5:$E$2004,MATCH($K57,'سجل التحفيز'!$Z$5:$Z$2004,0)))</f>
        <v/>
      </c>
      <c r="R57" s="9">
        <f>IF($K57="","",INDEX('سجل التحفيز'!$F$5:$F$2004,MATCH($K57,'سجل التحفيز'!$Z$5:$Z$2004,0)))</f>
        <v/>
      </c>
      <c r="S57" s="35">
        <f>IF($K57="","",INDEX('سجل التحفيز'!$G$5:$G$2004,MATCH($K57,'سجل التحفيز'!$Z$5:$Z$2004,0)))</f>
        <v/>
      </c>
    </row>
    <row r="58">
      <c r="B58" s="34">
        <f>IFERROR(INDEX(الموظفات!$B$5:$B$304,MATCH(21,الموظفات!$T$5:$T$304,0)),"")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التحفيز'!$Z$5:$Z$2004,"&gt;0",'سجل التحفيز'!$B$5:$B$2004,B58))</f>
        <v/>
      </c>
      <c r="E58" s="35">
        <f>IF(B58="","",COUNTIFS('سجل التحفيز'!$Z$5:$Z$2004,"&gt;0",'سجل التحفيز'!$B$5:$B$2004,B58,'سجل التحفيز'!$D$5:$D$2004,"ذهبي"))</f>
        <v/>
      </c>
      <c r="F58" s="35">
        <f>IF(B58="","",SUMIFS('سجل التحفيز'!$G$5:$G$2004,'سجل التحفيز'!$Z$5:$Z$2004,"&gt;0",'سجل التحفيز'!$B$5:$B$2004,B58))</f>
        <v/>
      </c>
      <c r="G58" s="35">
        <f>IF(B58="","",COUNTIF($D$38:$D$187,"&gt;"&amp;D58)+1)</f>
        <v/>
      </c>
      <c r="H58" s="35">
        <f>IF(B58="","",INDEX(الموظفات!$L$5:$L$304,MATCH(B58,الموظفات!$B$5:$B$304,0)))</f>
        <v/>
      </c>
      <c r="K58" s="36">
        <f>IF(21&gt;$B$10,"",21)</f>
        <v/>
      </c>
      <c r="L58" s="37">
        <f>IF($K58="","",INDEX('سجل التحفيز'!$A$5:$A$2004,MATCH($K58,'سجل التحفيز'!$Z$5:$Z$2004,0)))</f>
        <v/>
      </c>
      <c r="M58" s="9">
        <f>IF($K58="","",INDEX('سجل التحفيز'!$B$5:$B$2004,MATCH($K58,'سجل التحفيز'!$Z$5:$Z$2004,0)))</f>
        <v/>
      </c>
      <c r="N58" s="9">
        <f>IF($K58="","",INDEX('سجل التحفيز'!$M$5:$M$2004,MATCH($K58,'سجل التحفيز'!$Z$5:$Z$2004,0)))</f>
        <v/>
      </c>
      <c r="O58" s="9">
        <f>IF($K58="","",INDEX('سجل التحفيز'!$C$5:$C$2004,MATCH($K58,'سجل التحفيز'!$Z$5:$Z$2004,0)))</f>
        <v/>
      </c>
      <c r="P58" s="36">
        <f>IF($K58="","",INDEX('سجل التحفيز'!$D$5:$D$2004,MATCH($K58,'سجل التحفيز'!$Z$5:$Z$2004,0)))</f>
        <v/>
      </c>
      <c r="Q58" s="9">
        <f>IF($K58="","",INDEX('سجل التحفيز'!$E$5:$E$2004,MATCH($K58,'سجل التحفيز'!$Z$5:$Z$2004,0)))</f>
        <v/>
      </c>
      <c r="R58" s="9">
        <f>IF($K58="","",INDEX('سجل التحفيز'!$F$5:$F$2004,MATCH($K58,'سجل التحفيز'!$Z$5:$Z$2004,0)))</f>
        <v/>
      </c>
      <c r="S58" s="35">
        <f>IF($K58="","",INDEX('سجل التحفيز'!$G$5:$G$2004,MATCH($K58,'سجل التحفيز'!$Z$5:$Z$2004,0)))</f>
        <v/>
      </c>
    </row>
    <row r="59">
      <c r="B59" s="34">
        <f>IFERROR(INDEX(الموظفات!$B$5:$B$304,MATCH(22,الموظفات!$T$5:$T$304,0)),"")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التحفيز'!$Z$5:$Z$2004,"&gt;0",'سجل التحفيز'!$B$5:$B$2004,B59))</f>
        <v/>
      </c>
      <c r="E59" s="35">
        <f>IF(B59="","",COUNTIFS('سجل التحفيز'!$Z$5:$Z$2004,"&gt;0",'سجل التحفيز'!$B$5:$B$2004,B59,'سجل التحفيز'!$D$5:$D$2004,"ذهبي"))</f>
        <v/>
      </c>
      <c r="F59" s="35">
        <f>IF(B59="","",SUMIFS('سجل التحفيز'!$G$5:$G$2004,'سجل التحفيز'!$Z$5:$Z$2004,"&gt;0",'سجل التحفيز'!$B$5:$B$2004,B59))</f>
        <v/>
      </c>
      <c r="G59" s="35">
        <f>IF(B59="","",COUNTIF($D$38:$D$187,"&gt;"&amp;D59)+1)</f>
        <v/>
      </c>
      <c r="H59" s="35">
        <f>IF(B59="","",INDEX(الموظفات!$L$5:$L$304,MATCH(B59,الموظفات!$B$5:$B$304,0)))</f>
        <v/>
      </c>
      <c r="K59" s="36">
        <f>IF(22&gt;$B$10,"",22)</f>
        <v/>
      </c>
      <c r="L59" s="37">
        <f>IF($K59="","",INDEX('سجل التحفيز'!$A$5:$A$2004,MATCH($K59,'سجل التحفيز'!$Z$5:$Z$2004,0)))</f>
        <v/>
      </c>
      <c r="M59" s="9">
        <f>IF($K59="","",INDEX('سجل التحفيز'!$B$5:$B$2004,MATCH($K59,'سجل التحفيز'!$Z$5:$Z$2004,0)))</f>
        <v/>
      </c>
      <c r="N59" s="9">
        <f>IF($K59="","",INDEX('سجل التحفيز'!$M$5:$M$2004,MATCH($K59,'سجل التحفيز'!$Z$5:$Z$2004,0)))</f>
        <v/>
      </c>
      <c r="O59" s="9">
        <f>IF($K59="","",INDEX('سجل التحفيز'!$C$5:$C$2004,MATCH($K59,'سجل التحفيز'!$Z$5:$Z$2004,0)))</f>
        <v/>
      </c>
      <c r="P59" s="36">
        <f>IF($K59="","",INDEX('سجل التحفيز'!$D$5:$D$2004,MATCH($K59,'سجل التحفيز'!$Z$5:$Z$2004,0)))</f>
        <v/>
      </c>
      <c r="Q59" s="9">
        <f>IF($K59="","",INDEX('سجل التحفيز'!$E$5:$E$2004,MATCH($K59,'سجل التحفيز'!$Z$5:$Z$2004,0)))</f>
        <v/>
      </c>
      <c r="R59" s="9">
        <f>IF($K59="","",INDEX('سجل التحفيز'!$F$5:$F$2004,MATCH($K59,'سجل التحفيز'!$Z$5:$Z$2004,0)))</f>
        <v/>
      </c>
      <c r="S59" s="35">
        <f>IF($K59="","",INDEX('سجل التحفيز'!$G$5:$G$2004,MATCH($K59,'سجل التحفيز'!$Z$5:$Z$2004,0)))</f>
        <v/>
      </c>
    </row>
    <row r="60">
      <c r="B60" s="34">
        <f>IFERROR(INDEX(الموظفات!$B$5:$B$304,MATCH(23,الموظفات!$T$5:$T$304,0)),"")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التحفيز'!$Z$5:$Z$2004,"&gt;0",'سجل التحفيز'!$B$5:$B$2004,B60))</f>
        <v/>
      </c>
      <c r="E60" s="35">
        <f>IF(B60="","",COUNTIFS('سجل التحفيز'!$Z$5:$Z$2004,"&gt;0",'سجل التحفيز'!$B$5:$B$2004,B60,'سجل التحفيز'!$D$5:$D$2004,"ذهبي"))</f>
        <v/>
      </c>
      <c r="F60" s="35">
        <f>IF(B60="","",SUMIFS('سجل التحفيز'!$G$5:$G$2004,'سجل التحفيز'!$Z$5:$Z$2004,"&gt;0",'سجل التحفيز'!$B$5:$B$2004,B60))</f>
        <v/>
      </c>
      <c r="G60" s="35">
        <f>IF(B60="","",COUNTIF($D$38:$D$187,"&gt;"&amp;D60)+1)</f>
        <v/>
      </c>
      <c r="H60" s="35">
        <f>IF(B60="","",INDEX(الموظفات!$L$5:$L$304,MATCH(B60,الموظفات!$B$5:$B$304,0)))</f>
        <v/>
      </c>
      <c r="K60" s="36">
        <f>IF(23&gt;$B$10,"",23)</f>
        <v/>
      </c>
      <c r="L60" s="37">
        <f>IF($K60="","",INDEX('سجل التحفيز'!$A$5:$A$2004,MATCH($K60,'سجل التحفيز'!$Z$5:$Z$2004,0)))</f>
        <v/>
      </c>
      <c r="M60" s="9">
        <f>IF($K60="","",INDEX('سجل التحفيز'!$B$5:$B$2004,MATCH($K60,'سجل التحفيز'!$Z$5:$Z$2004,0)))</f>
        <v/>
      </c>
      <c r="N60" s="9">
        <f>IF($K60="","",INDEX('سجل التحفيز'!$M$5:$M$2004,MATCH($K60,'سجل التحفيز'!$Z$5:$Z$2004,0)))</f>
        <v/>
      </c>
      <c r="O60" s="9">
        <f>IF($K60="","",INDEX('سجل التحفيز'!$C$5:$C$2004,MATCH($K60,'سجل التحفيز'!$Z$5:$Z$2004,0)))</f>
        <v/>
      </c>
      <c r="P60" s="36">
        <f>IF($K60="","",INDEX('سجل التحفيز'!$D$5:$D$2004,MATCH($K60,'سجل التحفيز'!$Z$5:$Z$2004,0)))</f>
        <v/>
      </c>
      <c r="Q60" s="9">
        <f>IF($K60="","",INDEX('سجل التحفيز'!$E$5:$E$2004,MATCH($K60,'سجل التحفيز'!$Z$5:$Z$2004,0)))</f>
        <v/>
      </c>
      <c r="R60" s="9">
        <f>IF($K60="","",INDEX('سجل التحفيز'!$F$5:$F$2004,MATCH($K60,'سجل التحفيز'!$Z$5:$Z$2004,0)))</f>
        <v/>
      </c>
      <c r="S60" s="35">
        <f>IF($K60="","",INDEX('سجل التحفيز'!$G$5:$G$2004,MATCH($K60,'سجل التحفيز'!$Z$5:$Z$2004,0)))</f>
        <v/>
      </c>
    </row>
    <row r="61">
      <c r="B61" s="34">
        <f>IFERROR(INDEX(الموظفات!$B$5:$B$304,MATCH(24,الموظفات!$T$5:$T$304,0)),"")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التحفيز'!$Z$5:$Z$2004,"&gt;0",'سجل التحفيز'!$B$5:$B$2004,B61))</f>
        <v/>
      </c>
      <c r="E61" s="35">
        <f>IF(B61="","",COUNTIFS('سجل التحفيز'!$Z$5:$Z$2004,"&gt;0",'سجل التحفيز'!$B$5:$B$2004,B61,'سجل التحفيز'!$D$5:$D$2004,"ذهبي"))</f>
        <v/>
      </c>
      <c r="F61" s="35">
        <f>IF(B61="","",SUMIFS('سجل التحفيز'!$G$5:$G$2004,'سجل التحفيز'!$Z$5:$Z$2004,"&gt;0",'سجل التحفيز'!$B$5:$B$2004,B61))</f>
        <v/>
      </c>
      <c r="G61" s="35">
        <f>IF(B61="","",COUNTIF($D$38:$D$187,"&gt;"&amp;D61)+1)</f>
        <v/>
      </c>
      <c r="H61" s="35">
        <f>IF(B61="","",INDEX(الموظفات!$L$5:$L$304,MATCH(B61,الموظفات!$B$5:$B$304,0)))</f>
        <v/>
      </c>
      <c r="K61" s="36">
        <f>IF(24&gt;$B$10,"",24)</f>
        <v/>
      </c>
      <c r="L61" s="37">
        <f>IF($K61="","",INDEX('سجل التحفيز'!$A$5:$A$2004,MATCH($K61,'سجل التحفيز'!$Z$5:$Z$2004,0)))</f>
        <v/>
      </c>
      <c r="M61" s="9">
        <f>IF($K61="","",INDEX('سجل التحفيز'!$B$5:$B$2004,MATCH($K61,'سجل التحفيز'!$Z$5:$Z$2004,0)))</f>
        <v/>
      </c>
      <c r="N61" s="9">
        <f>IF($K61="","",INDEX('سجل التحفيز'!$M$5:$M$2004,MATCH($K61,'سجل التحفيز'!$Z$5:$Z$2004,0)))</f>
        <v/>
      </c>
      <c r="O61" s="9">
        <f>IF($K61="","",INDEX('سجل التحفيز'!$C$5:$C$2004,MATCH($K61,'سجل التحفيز'!$Z$5:$Z$2004,0)))</f>
        <v/>
      </c>
      <c r="P61" s="36">
        <f>IF($K61="","",INDEX('سجل التحفيز'!$D$5:$D$2004,MATCH($K61,'سجل التحفيز'!$Z$5:$Z$2004,0)))</f>
        <v/>
      </c>
      <c r="Q61" s="9">
        <f>IF($K61="","",INDEX('سجل التحفيز'!$E$5:$E$2004,MATCH($K61,'سجل التحفيز'!$Z$5:$Z$2004,0)))</f>
        <v/>
      </c>
      <c r="R61" s="9">
        <f>IF($K61="","",INDEX('سجل التحفيز'!$F$5:$F$2004,MATCH($K61,'سجل التحفيز'!$Z$5:$Z$2004,0)))</f>
        <v/>
      </c>
      <c r="S61" s="35">
        <f>IF($K61="","",INDEX('سجل التحفيز'!$G$5:$G$2004,MATCH($K61,'سجل التحفيز'!$Z$5:$Z$2004,0)))</f>
        <v/>
      </c>
    </row>
    <row r="62">
      <c r="B62" s="34">
        <f>IFERROR(INDEX(الموظفات!$B$5:$B$304,MATCH(25,الموظفات!$T$5:$T$304,0)),"")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التحفيز'!$Z$5:$Z$2004,"&gt;0",'سجل التحفيز'!$B$5:$B$2004,B62))</f>
        <v/>
      </c>
      <c r="E62" s="35">
        <f>IF(B62="","",COUNTIFS('سجل التحفيز'!$Z$5:$Z$2004,"&gt;0",'سجل التحفيز'!$B$5:$B$2004,B62,'سجل التحفيز'!$D$5:$D$2004,"ذهبي"))</f>
        <v/>
      </c>
      <c r="F62" s="35">
        <f>IF(B62="","",SUMIFS('سجل التحفيز'!$G$5:$G$2004,'سجل التحفيز'!$Z$5:$Z$2004,"&gt;0",'سجل التحفيز'!$B$5:$B$2004,B62))</f>
        <v/>
      </c>
      <c r="G62" s="35">
        <f>IF(B62="","",COUNTIF($D$38:$D$187,"&gt;"&amp;D62)+1)</f>
        <v/>
      </c>
      <c r="H62" s="35">
        <f>IF(B62="","",INDEX(الموظفات!$L$5:$L$304,MATCH(B62,الموظفات!$B$5:$B$304,0)))</f>
        <v/>
      </c>
      <c r="K62" s="36">
        <f>IF(25&gt;$B$10,"",25)</f>
        <v/>
      </c>
      <c r="L62" s="37">
        <f>IF($K62="","",INDEX('سجل التحفيز'!$A$5:$A$2004,MATCH($K62,'سجل التحفيز'!$Z$5:$Z$2004,0)))</f>
        <v/>
      </c>
      <c r="M62" s="9">
        <f>IF($K62="","",INDEX('سجل التحفيز'!$B$5:$B$2004,MATCH($K62,'سجل التحفيز'!$Z$5:$Z$2004,0)))</f>
        <v/>
      </c>
      <c r="N62" s="9">
        <f>IF($K62="","",INDEX('سجل التحفيز'!$M$5:$M$2004,MATCH($K62,'سجل التحفيز'!$Z$5:$Z$2004,0)))</f>
        <v/>
      </c>
      <c r="O62" s="9">
        <f>IF($K62="","",INDEX('سجل التحفيز'!$C$5:$C$2004,MATCH($K62,'سجل التحفيز'!$Z$5:$Z$2004,0)))</f>
        <v/>
      </c>
      <c r="P62" s="36">
        <f>IF($K62="","",INDEX('سجل التحفيز'!$D$5:$D$2004,MATCH($K62,'سجل التحفيز'!$Z$5:$Z$2004,0)))</f>
        <v/>
      </c>
      <c r="Q62" s="9">
        <f>IF($K62="","",INDEX('سجل التحفيز'!$E$5:$E$2004,MATCH($K62,'سجل التحفيز'!$Z$5:$Z$2004,0)))</f>
        <v/>
      </c>
      <c r="R62" s="9">
        <f>IF($K62="","",INDEX('سجل التحفيز'!$F$5:$F$2004,MATCH($K62,'سجل التحفيز'!$Z$5:$Z$2004,0)))</f>
        <v/>
      </c>
      <c r="S62" s="35">
        <f>IF($K62="","",INDEX('سجل التحفيز'!$G$5:$G$2004,MATCH($K62,'سجل التحفيز'!$Z$5:$Z$2004,0)))</f>
        <v/>
      </c>
    </row>
    <row r="63">
      <c r="B63" s="34">
        <f>IFERROR(INDEX(الموظفات!$B$5:$B$304,MATCH(26,الموظفات!$T$5:$T$304,0)),"")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التحفيز'!$Z$5:$Z$2004,"&gt;0",'سجل التحفيز'!$B$5:$B$2004,B63))</f>
        <v/>
      </c>
      <c r="E63" s="35">
        <f>IF(B63="","",COUNTIFS('سجل التحفيز'!$Z$5:$Z$2004,"&gt;0",'سجل التحفيز'!$B$5:$B$2004,B63,'سجل التحفيز'!$D$5:$D$2004,"ذهبي"))</f>
        <v/>
      </c>
      <c r="F63" s="35">
        <f>IF(B63="","",SUMIFS('سجل التحفيز'!$G$5:$G$2004,'سجل التحفيز'!$Z$5:$Z$2004,"&gt;0",'سجل التحفيز'!$B$5:$B$2004,B63))</f>
        <v/>
      </c>
      <c r="G63" s="35">
        <f>IF(B63="","",COUNTIF($D$38:$D$187,"&gt;"&amp;D63)+1)</f>
        <v/>
      </c>
      <c r="H63" s="35">
        <f>IF(B63="","",INDEX(الموظفات!$L$5:$L$304,MATCH(B63,الموظفات!$B$5:$B$304,0)))</f>
        <v/>
      </c>
      <c r="K63" s="36">
        <f>IF(26&gt;$B$10,"",26)</f>
        <v/>
      </c>
      <c r="L63" s="37">
        <f>IF($K63="","",INDEX('سجل التحفيز'!$A$5:$A$2004,MATCH($K63,'سجل التحفيز'!$Z$5:$Z$2004,0)))</f>
        <v/>
      </c>
      <c r="M63" s="9">
        <f>IF($K63="","",INDEX('سجل التحفيز'!$B$5:$B$2004,MATCH($K63,'سجل التحفيز'!$Z$5:$Z$2004,0)))</f>
        <v/>
      </c>
      <c r="N63" s="9">
        <f>IF($K63="","",INDEX('سجل التحفيز'!$M$5:$M$2004,MATCH($K63,'سجل التحفيز'!$Z$5:$Z$2004,0)))</f>
        <v/>
      </c>
      <c r="O63" s="9">
        <f>IF($K63="","",INDEX('سجل التحفيز'!$C$5:$C$2004,MATCH($K63,'سجل التحفيز'!$Z$5:$Z$2004,0)))</f>
        <v/>
      </c>
      <c r="P63" s="36">
        <f>IF($K63="","",INDEX('سجل التحفيز'!$D$5:$D$2004,MATCH($K63,'سجل التحفيز'!$Z$5:$Z$2004,0)))</f>
        <v/>
      </c>
      <c r="Q63" s="9">
        <f>IF($K63="","",INDEX('سجل التحفيز'!$E$5:$E$2004,MATCH($K63,'سجل التحفيز'!$Z$5:$Z$2004,0)))</f>
        <v/>
      </c>
      <c r="R63" s="9">
        <f>IF($K63="","",INDEX('سجل التحفيز'!$F$5:$F$2004,MATCH($K63,'سجل التحفيز'!$Z$5:$Z$2004,0)))</f>
        <v/>
      </c>
      <c r="S63" s="35">
        <f>IF($K63="","",INDEX('سجل التحفيز'!$G$5:$G$2004,MATCH($K63,'سجل التحفيز'!$Z$5:$Z$2004,0)))</f>
        <v/>
      </c>
    </row>
    <row r="64">
      <c r="B64" s="34">
        <f>IFERROR(INDEX(الموظفات!$B$5:$B$304,MATCH(27,الموظفات!$T$5:$T$304,0)),"")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التحفيز'!$Z$5:$Z$2004,"&gt;0",'سجل التحفيز'!$B$5:$B$2004,B64))</f>
        <v/>
      </c>
      <c r="E64" s="35">
        <f>IF(B64="","",COUNTIFS('سجل التحفيز'!$Z$5:$Z$2004,"&gt;0",'سجل التحفيز'!$B$5:$B$2004,B64,'سجل التحفيز'!$D$5:$D$2004,"ذهبي"))</f>
        <v/>
      </c>
      <c r="F64" s="35">
        <f>IF(B64="","",SUMIFS('سجل التحفيز'!$G$5:$G$2004,'سجل التحفيز'!$Z$5:$Z$2004,"&gt;0",'سجل التحفيز'!$B$5:$B$2004,B64))</f>
        <v/>
      </c>
      <c r="G64" s="35">
        <f>IF(B64="","",COUNTIF($D$38:$D$187,"&gt;"&amp;D64)+1)</f>
        <v/>
      </c>
      <c r="H64" s="35">
        <f>IF(B64="","",INDEX(الموظفات!$L$5:$L$304,MATCH(B64,الموظفات!$B$5:$B$304,0)))</f>
        <v/>
      </c>
      <c r="K64" s="36">
        <f>IF(27&gt;$B$10,"",27)</f>
        <v/>
      </c>
      <c r="L64" s="37">
        <f>IF($K64="","",INDEX('سجل التحفيز'!$A$5:$A$2004,MATCH($K64,'سجل التحفيز'!$Z$5:$Z$2004,0)))</f>
        <v/>
      </c>
      <c r="M64" s="9">
        <f>IF($K64="","",INDEX('سجل التحفيز'!$B$5:$B$2004,MATCH($K64,'سجل التحفيز'!$Z$5:$Z$2004,0)))</f>
        <v/>
      </c>
      <c r="N64" s="9">
        <f>IF($K64="","",INDEX('سجل التحفيز'!$M$5:$M$2004,MATCH($K64,'سجل التحفيز'!$Z$5:$Z$2004,0)))</f>
        <v/>
      </c>
      <c r="O64" s="9">
        <f>IF($K64="","",INDEX('سجل التحفيز'!$C$5:$C$2004,MATCH($K64,'سجل التحفيز'!$Z$5:$Z$2004,0)))</f>
        <v/>
      </c>
      <c r="P64" s="36">
        <f>IF($K64="","",INDEX('سجل التحفيز'!$D$5:$D$2004,MATCH($K64,'سجل التحفيز'!$Z$5:$Z$2004,0)))</f>
        <v/>
      </c>
      <c r="Q64" s="9">
        <f>IF($K64="","",INDEX('سجل التحفيز'!$E$5:$E$2004,MATCH($K64,'سجل التحفيز'!$Z$5:$Z$2004,0)))</f>
        <v/>
      </c>
      <c r="R64" s="9">
        <f>IF($K64="","",INDEX('سجل التحفيز'!$F$5:$F$2004,MATCH($K64,'سجل التحفيز'!$Z$5:$Z$2004,0)))</f>
        <v/>
      </c>
      <c r="S64" s="35">
        <f>IF($K64="","",INDEX('سجل التحفيز'!$G$5:$G$2004,MATCH($K64,'سجل التحفيز'!$Z$5:$Z$2004,0)))</f>
        <v/>
      </c>
    </row>
    <row r="65">
      <c r="B65" s="34">
        <f>IFERROR(INDEX(الموظفات!$B$5:$B$304,MATCH(28,الموظفات!$T$5:$T$304,0)),"")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التحفيز'!$Z$5:$Z$2004,"&gt;0",'سجل التحفيز'!$B$5:$B$2004,B65))</f>
        <v/>
      </c>
      <c r="E65" s="35">
        <f>IF(B65="","",COUNTIFS('سجل التحفيز'!$Z$5:$Z$2004,"&gt;0",'سجل التحفيز'!$B$5:$B$2004,B65,'سجل التحفيز'!$D$5:$D$2004,"ذهبي"))</f>
        <v/>
      </c>
      <c r="F65" s="35">
        <f>IF(B65="","",SUMIFS('سجل التحفيز'!$G$5:$G$2004,'سجل التحفيز'!$Z$5:$Z$2004,"&gt;0",'سجل التحفيز'!$B$5:$B$2004,B65))</f>
        <v/>
      </c>
      <c r="G65" s="35">
        <f>IF(B65="","",COUNTIF($D$38:$D$187,"&gt;"&amp;D65)+1)</f>
        <v/>
      </c>
      <c r="H65" s="35">
        <f>IF(B65="","",INDEX(الموظفات!$L$5:$L$304,MATCH(B65,الموظفات!$B$5:$B$304,0)))</f>
        <v/>
      </c>
      <c r="K65" s="36">
        <f>IF(28&gt;$B$10,"",28)</f>
        <v/>
      </c>
      <c r="L65" s="37">
        <f>IF($K65="","",INDEX('سجل التحفيز'!$A$5:$A$2004,MATCH($K65,'سجل التحفيز'!$Z$5:$Z$2004,0)))</f>
        <v/>
      </c>
      <c r="M65" s="9">
        <f>IF($K65="","",INDEX('سجل التحفيز'!$B$5:$B$2004,MATCH($K65,'سجل التحفيز'!$Z$5:$Z$2004,0)))</f>
        <v/>
      </c>
      <c r="N65" s="9">
        <f>IF($K65="","",INDEX('سجل التحفيز'!$M$5:$M$2004,MATCH($K65,'سجل التحفيز'!$Z$5:$Z$2004,0)))</f>
        <v/>
      </c>
      <c r="O65" s="9">
        <f>IF($K65="","",INDEX('سجل التحفيز'!$C$5:$C$2004,MATCH($K65,'سجل التحفيز'!$Z$5:$Z$2004,0)))</f>
        <v/>
      </c>
      <c r="P65" s="36">
        <f>IF($K65="","",INDEX('سجل التحفيز'!$D$5:$D$2004,MATCH($K65,'سجل التحفيز'!$Z$5:$Z$2004,0)))</f>
        <v/>
      </c>
      <c r="Q65" s="9">
        <f>IF($K65="","",INDEX('سجل التحفيز'!$E$5:$E$2004,MATCH($K65,'سجل التحفيز'!$Z$5:$Z$2004,0)))</f>
        <v/>
      </c>
      <c r="R65" s="9">
        <f>IF($K65="","",INDEX('سجل التحفيز'!$F$5:$F$2004,MATCH($K65,'سجل التحفيز'!$Z$5:$Z$2004,0)))</f>
        <v/>
      </c>
      <c r="S65" s="35">
        <f>IF($K65="","",INDEX('سجل التحفيز'!$G$5:$G$2004,MATCH($K65,'سجل التحفيز'!$Z$5:$Z$2004,0)))</f>
        <v/>
      </c>
    </row>
    <row r="66">
      <c r="B66" s="34">
        <f>IFERROR(INDEX(الموظفات!$B$5:$B$304,MATCH(29,الموظفات!$T$5:$T$304,0)),"")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التحفيز'!$Z$5:$Z$2004,"&gt;0",'سجل التحفيز'!$B$5:$B$2004,B66))</f>
        <v/>
      </c>
      <c r="E66" s="35">
        <f>IF(B66="","",COUNTIFS('سجل التحفيز'!$Z$5:$Z$2004,"&gt;0",'سجل التحفيز'!$B$5:$B$2004,B66,'سجل التحفيز'!$D$5:$D$2004,"ذهبي"))</f>
        <v/>
      </c>
      <c r="F66" s="35">
        <f>IF(B66="","",SUMIFS('سجل التحفيز'!$G$5:$G$2004,'سجل التحفيز'!$Z$5:$Z$2004,"&gt;0",'سجل التحفيز'!$B$5:$B$2004,B66))</f>
        <v/>
      </c>
      <c r="G66" s="35">
        <f>IF(B66="","",COUNTIF($D$38:$D$187,"&gt;"&amp;D66)+1)</f>
        <v/>
      </c>
      <c r="H66" s="35">
        <f>IF(B66="","",INDEX(الموظفات!$L$5:$L$304,MATCH(B66,الموظفات!$B$5:$B$304,0)))</f>
        <v/>
      </c>
      <c r="K66" s="36">
        <f>IF(29&gt;$B$10,"",29)</f>
        <v/>
      </c>
      <c r="L66" s="37">
        <f>IF($K66="","",INDEX('سجل التحفيز'!$A$5:$A$2004,MATCH($K66,'سجل التحفيز'!$Z$5:$Z$2004,0)))</f>
        <v/>
      </c>
      <c r="M66" s="9">
        <f>IF($K66="","",INDEX('سجل التحفيز'!$B$5:$B$2004,MATCH($K66,'سجل التحفيز'!$Z$5:$Z$2004,0)))</f>
        <v/>
      </c>
      <c r="N66" s="9">
        <f>IF($K66="","",INDEX('سجل التحفيز'!$M$5:$M$2004,MATCH($K66,'سجل التحفيز'!$Z$5:$Z$2004,0)))</f>
        <v/>
      </c>
      <c r="O66" s="9">
        <f>IF($K66="","",INDEX('سجل التحفيز'!$C$5:$C$2004,MATCH($K66,'سجل التحفيز'!$Z$5:$Z$2004,0)))</f>
        <v/>
      </c>
      <c r="P66" s="36">
        <f>IF($K66="","",INDEX('سجل التحفيز'!$D$5:$D$2004,MATCH($K66,'سجل التحفيز'!$Z$5:$Z$2004,0)))</f>
        <v/>
      </c>
      <c r="Q66" s="9">
        <f>IF($K66="","",INDEX('سجل التحفيز'!$E$5:$E$2004,MATCH($K66,'سجل التحفيز'!$Z$5:$Z$2004,0)))</f>
        <v/>
      </c>
      <c r="R66" s="9">
        <f>IF($K66="","",INDEX('سجل التحفيز'!$F$5:$F$2004,MATCH($K66,'سجل التحفيز'!$Z$5:$Z$2004,0)))</f>
        <v/>
      </c>
      <c r="S66" s="35">
        <f>IF($K66="","",INDEX('سجل التحفيز'!$G$5:$G$2004,MATCH($K66,'سجل التحفيز'!$Z$5:$Z$2004,0)))</f>
        <v/>
      </c>
    </row>
    <row r="67">
      <c r="B67" s="34">
        <f>IFERROR(INDEX(الموظفات!$B$5:$B$304,MATCH(30,الموظفات!$T$5:$T$304,0)),"")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التحفيز'!$Z$5:$Z$2004,"&gt;0",'سجل التحفيز'!$B$5:$B$2004,B67))</f>
        <v/>
      </c>
      <c r="E67" s="35">
        <f>IF(B67="","",COUNTIFS('سجل التحفيز'!$Z$5:$Z$2004,"&gt;0",'سجل التحفيز'!$B$5:$B$2004,B67,'سجل التحفيز'!$D$5:$D$2004,"ذهبي"))</f>
        <v/>
      </c>
      <c r="F67" s="35">
        <f>IF(B67="","",SUMIFS('سجل التحفيز'!$G$5:$G$2004,'سجل التحفيز'!$Z$5:$Z$2004,"&gt;0",'سجل التحفيز'!$B$5:$B$2004,B67))</f>
        <v/>
      </c>
      <c r="G67" s="35">
        <f>IF(B67="","",COUNTIF($D$38:$D$187,"&gt;"&amp;D67)+1)</f>
        <v/>
      </c>
      <c r="H67" s="35">
        <f>IF(B67="","",INDEX(الموظفات!$L$5:$L$304,MATCH(B67,الموظفات!$B$5:$B$304,0)))</f>
        <v/>
      </c>
      <c r="K67" s="36">
        <f>IF(30&gt;$B$10,"",30)</f>
        <v/>
      </c>
      <c r="L67" s="37">
        <f>IF($K67="","",INDEX('سجل التحفيز'!$A$5:$A$2004,MATCH($K67,'سجل التحفيز'!$Z$5:$Z$2004,0)))</f>
        <v/>
      </c>
      <c r="M67" s="9">
        <f>IF($K67="","",INDEX('سجل التحفيز'!$B$5:$B$2004,MATCH($K67,'سجل التحفيز'!$Z$5:$Z$2004,0)))</f>
        <v/>
      </c>
      <c r="N67" s="9">
        <f>IF($K67="","",INDEX('سجل التحفيز'!$M$5:$M$2004,MATCH($K67,'سجل التحفيز'!$Z$5:$Z$2004,0)))</f>
        <v/>
      </c>
      <c r="O67" s="9">
        <f>IF($K67="","",INDEX('سجل التحفيز'!$C$5:$C$2004,MATCH($K67,'سجل التحفيز'!$Z$5:$Z$2004,0)))</f>
        <v/>
      </c>
      <c r="P67" s="36">
        <f>IF($K67="","",INDEX('سجل التحفيز'!$D$5:$D$2004,MATCH($K67,'سجل التحفيز'!$Z$5:$Z$2004,0)))</f>
        <v/>
      </c>
      <c r="Q67" s="9">
        <f>IF($K67="","",INDEX('سجل التحفيز'!$E$5:$E$2004,MATCH($K67,'سجل التحفيز'!$Z$5:$Z$2004,0)))</f>
        <v/>
      </c>
      <c r="R67" s="9">
        <f>IF($K67="","",INDEX('سجل التحفيز'!$F$5:$F$2004,MATCH($K67,'سجل التحفيز'!$Z$5:$Z$2004,0)))</f>
        <v/>
      </c>
      <c r="S67" s="35">
        <f>IF($K67="","",INDEX('سجل التحفيز'!$G$5:$G$2004,MATCH($K67,'سجل التحفيز'!$Z$5:$Z$2004,0)))</f>
        <v/>
      </c>
    </row>
    <row r="68">
      <c r="B68" s="34">
        <f>IFERROR(INDEX(الموظفات!$B$5:$B$304,MATCH(31,الموظفات!$T$5:$T$304,0)),"")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التحفيز'!$Z$5:$Z$2004,"&gt;0",'سجل التحفيز'!$B$5:$B$2004,B68))</f>
        <v/>
      </c>
      <c r="E68" s="35">
        <f>IF(B68="","",COUNTIFS('سجل التحفيز'!$Z$5:$Z$2004,"&gt;0",'سجل التحفيز'!$B$5:$B$2004,B68,'سجل التحفيز'!$D$5:$D$2004,"ذهبي"))</f>
        <v/>
      </c>
      <c r="F68" s="35">
        <f>IF(B68="","",SUMIFS('سجل التحفيز'!$G$5:$G$2004,'سجل التحفيز'!$Z$5:$Z$2004,"&gt;0",'سجل التحفيز'!$B$5:$B$2004,B68))</f>
        <v/>
      </c>
      <c r="G68" s="35">
        <f>IF(B68="","",COUNTIF($D$38:$D$187,"&gt;"&amp;D68)+1)</f>
        <v/>
      </c>
      <c r="H68" s="35">
        <f>IF(B68="","",INDEX(الموظفات!$L$5:$L$304,MATCH(B68,الموظفات!$B$5:$B$304,0)))</f>
        <v/>
      </c>
      <c r="K68" s="36">
        <f>IF(31&gt;$B$10,"",31)</f>
        <v/>
      </c>
      <c r="L68" s="37">
        <f>IF($K68="","",INDEX('سجل التحفيز'!$A$5:$A$2004,MATCH($K68,'سجل التحفيز'!$Z$5:$Z$2004,0)))</f>
        <v/>
      </c>
      <c r="M68" s="9">
        <f>IF($K68="","",INDEX('سجل التحفيز'!$B$5:$B$2004,MATCH($K68,'سجل التحفيز'!$Z$5:$Z$2004,0)))</f>
        <v/>
      </c>
      <c r="N68" s="9">
        <f>IF($K68="","",INDEX('سجل التحفيز'!$M$5:$M$2004,MATCH($K68,'سجل التحفيز'!$Z$5:$Z$2004,0)))</f>
        <v/>
      </c>
      <c r="O68" s="9">
        <f>IF($K68="","",INDEX('سجل التحفيز'!$C$5:$C$2004,MATCH($K68,'سجل التحفيز'!$Z$5:$Z$2004,0)))</f>
        <v/>
      </c>
      <c r="P68" s="36">
        <f>IF($K68="","",INDEX('سجل التحفيز'!$D$5:$D$2004,MATCH($K68,'سجل التحفيز'!$Z$5:$Z$2004,0)))</f>
        <v/>
      </c>
      <c r="Q68" s="9">
        <f>IF($K68="","",INDEX('سجل التحفيز'!$E$5:$E$2004,MATCH($K68,'سجل التحفيز'!$Z$5:$Z$2004,0)))</f>
        <v/>
      </c>
      <c r="R68" s="9">
        <f>IF($K68="","",INDEX('سجل التحفيز'!$F$5:$F$2004,MATCH($K68,'سجل التحفيز'!$Z$5:$Z$2004,0)))</f>
        <v/>
      </c>
      <c r="S68" s="35">
        <f>IF($K68="","",INDEX('سجل التحفيز'!$G$5:$G$2004,MATCH($K68,'سجل التحفيز'!$Z$5:$Z$2004,0)))</f>
        <v/>
      </c>
    </row>
    <row r="69">
      <c r="B69" s="34">
        <f>IFERROR(INDEX(الموظفات!$B$5:$B$304,MATCH(32,الموظفات!$T$5:$T$304,0)),"")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التحفيز'!$Z$5:$Z$2004,"&gt;0",'سجل التحفيز'!$B$5:$B$2004,B69))</f>
        <v/>
      </c>
      <c r="E69" s="35">
        <f>IF(B69="","",COUNTIFS('سجل التحفيز'!$Z$5:$Z$2004,"&gt;0",'سجل التحفيز'!$B$5:$B$2004,B69,'سجل التحفيز'!$D$5:$D$2004,"ذهبي"))</f>
        <v/>
      </c>
      <c r="F69" s="35">
        <f>IF(B69="","",SUMIFS('سجل التحفيز'!$G$5:$G$2004,'سجل التحفيز'!$Z$5:$Z$2004,"&gt;0",'سجل التحفيز'!$B$5:$B$2004,B69))</f>
        <v/>
      </c>
      <c r="G69" s="35">
        <f>IF(B69="","",COUNTIF($D$38:$D$187,"&gt;"&amp;D69)+1)</f>
        <v/>
      </c>
      <c r="H69" s="35">
        <f>IF(B69="","",INDEX(الموظفات!$L$5:$L$304,MATCH(B69,الموظفات!$B$5:$B$304,0)))</f>
        <v/>
      </c>
      <c r="K69" s="36">
        <f>IF(32&gt;$B$10,"",32)</f>
        <v/>
      </c>
      <c r="L69" s="37">
        <f>IF($K69="","",INDEX('سجل التحفيز'!$A$5:$A$2004,MATCH($K69,'سجل التحفيز'!$Z$5:$Z$2004,0)))</f>
        <v/>
      </c>
      <c r="M69" s="9">
        <f>IF($K69="","",INDEX('سجل التحفيز'!$B$5:$B$2004,MATCH($K69,'سجل التحفيز'!$Z$5:$Z$2004,0)))</f>
        <v/>
      </c>
      <c r="N69" s="9">
        <f>IF($K69="","",INDEX('سجل التحفيز'!$M$5:$M$2004,MATCH($K69,'سجل التحفيز'!$Z$5:$Z$2004,0)))</f>
        <v/>
      </c>
      <c r="O69" s="9">
        <f>IF($K69="","",INDEX('سجل التحفيز'!$C$5:$C$2004,MATCH($K69,'سجل التحفيز'!$Z$5:$Z$2004,0)))</f>
        <v/>
      </c>
      <c r="P69" s="36">
        <f>IF($K69="","",INDEX('سجل التحفيز'!$D$5:$D$2004,MATCH($K69,'سجل التحفيز'!$Z$5:$Z$2004,0)))</f>
        <v/>
      </c>
      <c r="Q69" s="9">
        <f>IF($K69="","",INDEX('سجل التحفيز'!$E$5:$E$2004,MATCH($K69,'سجل التحفيز'!$Z$5:$Z$2004,0)))</f>
        <v/>
      </c>
      <c r="R69" s="9">
        <f>IF($K69="","",INDEX('سجل التحفيز'!$F$5:$F$2004,MATCH($K69,'سجل التحفيز'!$Z$5:$Z$2004,0)))</f>
        <v/>
      </c>
      <c r="S69" s="35">
        <f>IF($K69="","",INDEX('سجل التحفيز'!$G$5:$G$2004,MATCH($K69,'سجل التحفيز'!$Z$5:$Z$2004,0)))</f>
        <v/>
      </c>
    </row>
    <row r="70">
      <c r="B70" s="34">
        <f>IFERROR(INDEX(الموظفات!$B$5:$B$304,MATCH(33,الموظفات!$T$5:$T$304,0)),"")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التحفيز'!$Z$5:$Z$2004,"&gt;0",'سجل التحفيز'!$B$5:$B$2004,B70))</f>
        <v/>
      </c>
      <c r="E70" s="35">
        <f>IF(B70="","",COUNTIFS('سجل التحفيز'!$Z$5:$Z$2004,"&gt;0",'سجل التحفيز'!$B$5:$B$2004,B70,'سجل التحفيز'!$D$5:$D$2004,"ذهبي"))</f>
        <v/>
      </c>
      <c r="F70" s="35">
        <f>IF(B70="","",SUMIFS('سجل التحفيز'!$G$5:$G$2004,'سجل التحفيز'!$Z$5:$Z$2004,"&gt;0",'سجل التحفيز'!$B$5:$B$2004,B70))</f>
        <v/>
      </c>
      <c r="G70" s="35">
        <f>IF(B70="","",COUNTIF($D$38:$D$187,"&gt;"&amp;D70)+1)</f>
        <v/>
      </c>
      <c r="H70" s="35">
        <f>IF(B70="","",INDEX(الموظفات!$L$5:$L$304,MATCH(B70,الموظفات!$B$5:$B$304,0)))</f>
        <v/>
      </c>
      <c r="K70" s="36">
        <f>IF(33&gt;$B$10,"",33)</f>
        <v/>
      </c>
      <c r="L70" s="37">
        <f>IF($K70="","",INDEX('سجل التحفيز'!$A$5:$A$2004,MATCH($K70,'سجل التحفيز'!$Z$5:$Z$2004,0)))</f>
        <v/>
      </c>
      <c r="M70" s="9">
        <f>IF($K70="","",INDEX('سجل التحفيز'!$B$5:$B$2004,MATCH($K70,'سجل التحفيز'!$Z$5:$Z$2004,0)))</f>
        <v/>
      </c>
      <c r="N70" s="9">
        <f>IF($K70="","",INDEX('سجل التحفيز'!$M$5:$M$2004,MATCH($K70,'سجل التحفيز'!$Z$5:$Z$2004,0)))</f>
        <v/>
      </c>
      <c r="O70" s="9">
        <f>IF($K70="","",INDEX('سجل التحفيز'!$C$5:$C$2004,MATCH($K70,'سجل التحفيز'!$Z$5:$Z$2004,0)))</f>
        <v/>
      </c>
      <c r="P70" s="36">
        <f>IF($K70="","",INDEX('سجل التحفيز'!$D$5:$D$2004,MATCH($K70,'سجل التحفيز'!$Z$5:$Z$2004,0)))</f>
        <v/>
      </c>
      <c r="Q70" s="9">
        <f>IF($K70="","",INDEX('سجل التحفيز'!$E$5:$E$2004,MATCH($K70,'سجل التحفيز'!$Z$5:$Z$2004,0)))</f>
        <v/>
      </c>
      <c r="R70" s="9">
        <f>IF($K70="","",INDEX('سجل التحفيز'!$F$5:$F$2004,MATCH($K70,'سجل التحفيز'!$Z$5:$Z$2004,0)))</f>
        <v/>
      </c>
      <c r="S70" s="35">
        <f>IF($K70="","",INDEX('سجل التحفيز'!$G$5:$G$2004,MATCH($K70,'سجل التحفيز'!$Z$5:$Z$2004,0)))</f>
        <v/>
      </c>
    </row>
    <row r="71">
      <c r="B71" s="34">
        <f>IFERROR(INDEX(الموظفات!$B$5:$B$304,MATCH(34,الموظفات!$T$5:$T$304,0)),"")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التحفيز'!$Z$5:$Z$2004,"&gt;0",'سجل التحفيز'!$B$5:$B$2004,B71))</f>
        <v/>
      </c>
      <c r="E71" s="35">
        <f>IF(B71="","",COUNTIFS('سجل التحفيز'!$Z$5:$Z$2004,"&gt;0",'سجل التحفيز'!$B$5:$B$2004,B71,'سجل التحفيز'!$D$5:$D$2004,"ذهبي"))</f>
        <v/>
      </c>
      <c r="F71" s="35">
        <f>IF(B71="","",SUMIFS('سجل التحفيز'!$G$5:$G$2004,'سجل التحفيز'!$Z$5:$Z$2004,"&gt;0",'سجل التحفيز'!$B$5:$B$2004,B71))</f>
        <v/>
      </c>
      <c r="G71" s="35">
        <f>IF(B71="","",COUNTIF($D$38:$D$187,"&gt;"&amp;D71)+1)</f>
        <v/>
      </c>
      <c r="H71" s="35">
        <f>IF(B71="","",INDEX(الموظفات!$L$5:$L$304,MATCH(B71,الموظفات!$B$5:$B$304,0)))</f>
        <v/>
      </c>
      <c r="K71" s="36">
        <f>IF(34&gt;$B$10,"",34)</f>
        <v/>
      </c>
      <c r="L71" s="37">
        <f>IF($K71="","",INDEX('سجل التحفيز'!$A$5:$A$2004,MATCH($K71,'سجل التحفيز'!$Z$5:$Z$2004,0)))</f>
        <v/>
      </c>
      <c r="M71" s="9">
        <f>IF($K71="","",INDEX('سجل التحفيز'!$B$5:$B$2004,MATCH($K71,'سجل التحفيز'!$Z$5:$Z$2004,0)))</f>
        <v/>
      </c>
      <c r="N71" s="9">
        <f>IF($K71="","",INDEX('سجل التحفيز'!$M$5:$M$2004,MATCH($K71,'سجل التحفيز'!$Z$5:$Z$2004,0)))</f>
        <v/>
      </c>
      <c r="O71" s="9">
        <f>IF($K71="","",INDEX('سجل التحفيز'!$C$5:$C$2004,MATCH($K71,'سجل التحفيز'!$Z$5:$Z$2004,0)))</f>
        <v/>
      </c>
      <c r="P71" s="36">
        <f>IF($K71="","",INDEX('سجل التحفيز'!$D$5:$D$2004,MATCH($K71,'سجل التحفيز'!$Z$5:$Z$2004,0)))</f>
        <v/>
      </c>
      <c r="Q71" s="9">
        <f>IF($K71="","",INDEX('سجل التحفيز'!$E$5:$E$2004,MATCH($K71,'سجل التحفيز'!$Z$5:$Z$2004,0)))</f>
        <v/>
      </c>
      <c r="R71" s="9">
        <f>IF($K71="","",INDEX('سجل التحفيز'!$F$5:$F$2004,MATCH($K71,'سجل التحفيز'!$Z$5:$Z$2004,0)))</f>
        <v/>
      </c>
      <c r="S71" s="35">
        <f>IF($K71="","",INDEX('سجل التحفيز'!$G$5:$G$2004,MATCH($K71,'سجل التحفيز'!$Z$5:$Z$2004,0)))</f>
        <v/>
      </c>
    </row>
    <row r="72">
      <c r="B72" s="34">
        <f>IFERROR(INDEX(الموظفات!$B$5:$B$304,MATCH(35,الموظفات!$T$5:$T$304,0)),"")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التحفيز'!$Z$5:$Z$2004,"&gt;0",'سجل التحفيز'!$B$5:$B$2004,B72))</f>
        <v/>
      </c>
      <c r="E72" s="35">
        <f>IF(B72="","",COUNTIFS('سجل التحفيز'!$Z$5:$Z$2004,"&gt;0",'سجل التحفيز'!$B$5:$B$2004,B72,'سجل التحفيز'!$D$5:$D$2004,"ذهبي"))</f>
        <v/>
      </c>
      <c r="F72" s="35">
        <f>IF(B72="","",SUMIFS('سجل التحفيز'!$G$5:$G$2004,'سجل التحفيز'!$Z$5:$Z$2004,"&gt;0",'سجل التحفيز'!$B$5:$B$2004,B72))</f>
        <v/>
      </c>
      <c r="G72" s="35">
        <f>IF(B72="","",COUNTIF($D$38:$D$187,"&gt;"&amp;D72)+1)</f>
        <v/>
      </c>
      <c r="H72" s="35">
        <f>IF(B72="","",INDEX(الموظفات!$L$5:$L$304,MATCH(B72,الموظفات!$B$5:$B$304,0)))</f>
        <v/>
      </c>
      <c r="K72" s="36">
        <f>IF(35&gt;$B$10,"",35)</f>
        <v/>
      </c>
      <c r="L72" s="37">
        <f>IF($K72="","",INDEX('سجل التحفيز'!$A$5:$A$2004,MATCH($K72,'سجل التحفيز'!$Z$5:$Z$2004,0)))</f>
        <v/>
      </c>
      <c r="M72" s="9">
        <f>IF($K72="","",INDEX('سجل التحفيز'!$B$5:$B$2004,MATCH($K72,'سجل التحفيز'!$Z$5:$Z$2004,0)))</f>
        <v/>
      </c>
      <c r="N72" s="9">
        <f>IF($K72="","",INDEX('سجل التحفيز'!$M$5:$M$2004,MATCH($K72,'سجل التحفيز'!$Z$5:$Z$2004,0)))</f>
        <v/>
      </c>
      <c r="O72" s="9">
        <f>IF($K72="","",INDEX('سجل التحفيز'!$C$5:$C$2004,MATCH($K72,'سجل التحفيز'!$Z$5:$Z$2004,0)))</f>
        <v/>
      </c>
      <c r="P72" s="36">
        <f>IF($K72="","",INDEX('سجل التحفيز'!$D$5:$D$2004,MATCH($K72,'سجل التحفيز'!$Z$5:$Z$2004,0)))</f>
        <v/>
      </c>
      <c r="Q72" s="9">
        <f>IF($K72="","",INDEX('سجل التحفيز'!$E$5:$E$2004,MATCH($K72,'سجل التحفيز'!$Z$5:$Z$2004,0)))</f>
        <v/>
      </c>
      <c r="R72" s="9">
        <f>IF($K72="","",INDEX('سجل التحفيز'!$F$5:$F$2004,MATCH($K72,'سجل التحفيز'!$Z$5:$Z$2004,0)))</f>
        <v/>
      </c>
      <c r="S72" s="35">
        <f>IF($K72="","",INDEX('سجل التحفيز'!$G$5:$G$2004,MATCH($K72,'سجل التحفيز'!$Z$5:$Z$2004,0)))</f>
        <v/>
      </c>
    </row>
    <row r="73">
      <c r="B73" s="34">
        <f>IFERROR(INDEX(الموظفات!$B$5:$B$304,MATCH(36,الموظفات!$T$5:$T$304,0)),"")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التحفيز'!$Z$5:$Z$2004,"&gt;0",'سجل التحفيز'!$B$5:$B$2004,B73))</f>
        <v/>
      </c>
      <c r="E73" s="35">
        <f>IF(B73="","",COUNTIFS('سجل التحفيز'!$Z$5:$Z$2004,"&gt;0",'سجل التحفيز'!$B$5:$B$2004,B73,'سجل التحفيز'!$D$5:$D$2004,"ذهبي"))</f>
        <v/>
      </c>
      <c r="F73" s="35">
        <f>IF(B73="","",SUMIFS('سجل التحفيز'!$G$5:$G$2004,'سجل التحفيز'!$Z$5:$Z$2004,"&gt;0",'سجل التحفيز'!$B$5:$B$2004,B73))</f>
        <v/>
      </c>
      <c r="G73" s="35">
        <f>IF(B73="","",COUNTIF($D$38:$D$187,"&gt;"&amp;D73)+1)</f>
        <v/>
      </c>
      <c r="H73" s="35">
        <f>IF(B73="","",INDEX(الموظفات!$L$5:$L$304,MATCH(B73,الموظفات!$B$5:$B$304,0)))</f>
        <v/>
      </c>
      <c r="K73" s="36">
        <f>IF(36&gt;$B$10,"",36)</f>
        <v/>
      </c>
      <c r="L73" s="37">
        <f>IF($K73="","",INDEX('سجل التحفيز'!$A$5:$A$2004,MATCH($K73,'سجل التحفيز'!$Z$5:$Z$2004,0)))</f>
        <v/>
      </c>
      <c r="M73" s="9">
        <f>IF($K73="","",INDEX('سجل التحفيز'!$B$5:$B$2004,MATCH($K73,'سجل التحفيز'!$Z$5:$Z$2004,0)))</f>
        <v/>
      </c>
      <c r="N73" s="9">
        <f>IF($K73="","",INDEX('سجل التحفيز'!$M$5:$M$2004,MATCH($K73,'سجل التحفيز'!$Z$5:$Z$2004,0)))</f>
        <v/>
      </c>
      <c r="O73" s="9">
        <f>IF($K73="","",INDEX('سجل التحفيز'!$C$5:$C$2004,MATCH($K73,'سجل التحفيز'!$Z$5:$Z$2004,0)))</f>
        <v/>
      </c>
      <c r="P73" s="36">
        <f>IF($K73="","",INDEX('سجل التحفيز'!$D$5:$D$2004,MATCH($K73,'سجل التحفيز'!$Z$5:$Z$2004,0)))</f>
        <v/>
      </c>
      <c r="Q73" s="9">
        <f>IF($K73="","",INDEX('سجل التحفيز'!$E$5:$E$2004,MATCH($K73,'سجل التحفيز'!$Z$5:$Z$2004,0)))</f>
        <v/>
      </c>
      <c r="R73" s="9">
        <f>IF($K73="","",INDEX('سجل التحفيز'!$F$5:$F$2004,MATCH($K73,'سجل التحفيز'!$Z$5:$Z$2004,0)))</f>
        <v/>
      </c>
      <c r="S73" s="35">
        <f>IF($K73="","",INDEX('سجل التحفيز'!$G$5:$G$2004,MATCH($K73,'سجل التحفيز'!$Z$5:$Z$2004,0)))</f>
        <v/>
      </c>
    </row>
    <row r="74">
      <c r="B74" s="34">
        <f>IFERROR(INDEX(الموظفات!$B$5:$B$304,MATCH(37,الموظفات!$T$5:$T$304,0)),"")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التحفيز'!$Z$5:$Z$2004,"&gt;0",'سجل التحفيز'!$B$5:$B$2004,B74))</f>
        <v/>
      </c>
      <c r="E74" s="35">
        <f>IF(B74="","",COUNTIFS('سجل التحفيز'!$Z$5:$Z$2004,"&gt;0",'سجل التحفيز'!$B$5:$B$2004,B74,'سجل التحفيز'!$D$5:$D$2004,"ذهبي"))</f>
        <v/>
      </c>
      <c r="F74" s="35">
        <f>IF(B74="","",SUMIFS('سجل التحفيز'!$G$5:$G$2004,'سجل التحفيز'!$Z$5:$Z$2004,"&gt;0",'سجل التحفيز'!$B$5:$B$2004,B74))</f>
        <v/>
      </c>
      <c r="G74" s="35">
        <f>IF(B74="","",COUNTIF($D$38:$D$187,"&gt;"&amp;D74)+1)</f>
        <v/>
      </c>
      <c r="H74" s="35">
        <f>IF(B74="","",INDEX(الموظفات!$L$5:$L$304,MATCH(B74,الموظفات!$B$5:$B$304,0)))</f>
        <v/>
      </c>
      <c r="K74" s="36">
        <f>IF(37&gt;$B$10,"",37)</f>
        <v/>
      </c>
      <c r="L74" s="37">
        <f>IF($K74="","",INDEX('سجل التحفيز'!$A$5:$A$2004,MATCH($K74,'سجل التحفيز'!$Z$5:$Z$2004,0)))</f>
        <v/>
      </c>
      <c r="M74" s="9">
        <f>IF($K74="","",INDEX('سجل التحفيز'!$B$5:$B$2004,MATCH($K74,'سجل التحفيز'!$Z$5:$Z$2004,0)))</f>
        <v/>
      </c>
      <c r="N74" s="9">
        <f>IF($K74="","",INDEX('سجل التحفيز'!$M$5:$M$2004,MATCH($K74,'سجل التحفيز'!$Z$5:$Z$2004,0)))</f>
        <v/>
      </c>
      <c r="O74" s="9">
        <f>IF($K74="","",INDEX('سجل التحفيز'!$C$5:$C$2004,MATCH($K74,'سجل التحفيز'!$Z$5:$Z$2004,0)))</f>
        <v/>
      </c>
      <c r="P74" s="36">
        <f>IF($K74="","",INDEX('سجل التحفيز'!$D$5:$D$2004,MATCH($K74,'سجل التحفيز'!$Z$5:$Z$2004,0)))</f>
        <v/>
      </c>
      <c r="Q74" s="9">
        <f>IF($K74="","",INDEX('سجل التحفيز'!$E$5:$E$2004,MATCH($K74,'سجل التحفيز'!$Z$5:$Z$2004,0)))</f>
        <v/>
      </c>
      <c r="R74" s="9">
        <f>IF($K74="","",INDEX('سجل التحفيز'!$F$5:$F$2004,MATCH($K74,'سجل التحفيز'!$Z$5:$Z$2004,0)))</f>
        <v/>
      </c>
      <c r="S74" s="35">
        <f>IF($K74="","",INDEX('سجل التحفيز'!$G$5:$G$2004,MATCH($K74,'سجل التحفيز'!$Z$5:$Z$2004,0)))</f>
        <v/>
      </c>
    </row>
    <row r="75">
      <c r="B75" s="34">
        <f>IFERROR(INDEX(الموظفات!$B$5:$B$304,MATCH(38,الموظفات!$T$5:$T$304,0)),"")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التحفيز'!$Z$5:$Z$2004,"&gt;0",'سجل التحفيز'!$B$5:$B$2004,B75))</f>
        <v/>
      </c>
      <c r="E75" s="35">
        <f>IF(B75="","",COUNTIFS('سجل التحفيز'!$Z$5:$Z$2004,"&gt;0",'سجل التحفيز'!$B$5:$B$2004,B75,'سجل التحفيز'!$D$5:$D$2004,"ذهبي"))</f>
        <v/>
      </c>
      <c r="F75" s="35">
        <f>IF(B75="","",SUMIFS('سجل التحفيز'!$G$5:$G$2004,'سجل التحفيز'!$Z$5:$Z$2004,"&gt;0",'سجل التحفيز'!$B$5:$B$2004,B75))</f>
        <v/>
      </c>
      <c r="G75" s="35">
        <f>IF(B75="","",COUNTIF($D$38:$D$187,"&gt;"&amp;D75)+1)</f>
        <v/>
      </c>
      <c r="H75" s="35">
        <f>IF(B75="","",INDEX(الموظفات!$L$5:$L$304,MATCH(B75,الموظفات!$B$5:$B$304,0)))</f>
        <v/>
      </c>
      <c r="K75" s="36">
        <f>IF(38&gt;$B$10,"",38)</f>
        <v/>
      </c>
      <c r="L75" s="37">
        <f>IF($K75="","",INDEX('سجل التحفيز'!$A$5:$A$2004,MATCH($K75,'سجل التحفيز'!$Z$5:$Z$2004,0)))</f>
        <v/>
      </c>
      <c r="M75" s="9">
        <f>IF($K75="","",INDEX('سجل التحفيز'!$B$5:$B$2004,MATCH($K75,'سجل التحفيز'!$Z$5:$Z$2004,0)))</f>
        <v/>
      </c>
      <c r="N75" s="9">
        <f>IF($K75="","",INDEX('سجل التحفيز'!$M$5:$M$2004,MATCH($K75,'سجل التحفيز'!$Z$5:$Z$2004,0)))</f>
        <v/>
      </c>
      <c r="O75" s="9">
        <f>IF($K75="","",INDEX('سجل التحفيز'!$C$5:$C$2004,MATCH($K75,'سجل التحفيز'!$Z$5:$Z$2004,0)))</f>
        <v/>
      </c>
      <c r="P75" s="36">
        <f>IF($K75="","",INDEX('سجل التحفيز'!$D$5:$D$2004,MATCH($K75,'سجل التحفيز'!$Z$5:$Z$2004,0)))</f>
        <v/>
      </c>
      <c r="Q75" s="9">
        <f>IF($K75="","",INDEX('سجل التحفيز'!$E$5:$E$2004,MATCH($K75,'سجل التحفيز'!$Z$5:$Z$2004,0)))</f>
        <v/>
      </c>
      <c r="R75" s="9">
        <f>IF($K75="","",INDEX('سجل التحفيز'!$F$5:$F$2004,MATCH($K75,'سجل التحفيز'!$Z$5:$Z$2004,0)))</f>
        <v/>
      </c>
      <c r="S75" s="35">
        <f>IF($K75="","",INDEX('سجل التحفيز'!$G$5:$G$2004,MATCH($K75,'سجل التحفيز'!$Z$5:$Z$2004,0)))</f>
        <v/>
      </c>
    </row>
    <row r="76">
      <c r="B76" s="34">
        <f>IFERROR(INDEX(الموظفات!$B$5:$B$304,MATCH(39,الموظفات!$T$5:$T$304,0)),"")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التحفيز'!$Z$5:$Z$2004,"&gt;0",'سجل التحفيز'!$B$5:$B$2004,B76))</f>
        <v/>
      </c>
      <c r="E76" s="35">
        <f>IF(B76="","",COUNTIFS('سجل التحفيز'!$Z$5:$Z$2004,"&gt;0",'سجل التحفيز'!$B$5:$B$2004,B76,'سجل التحفيز'!$D$5:$D$2004,"ذهبي"))</f>
        <v/>
      </c>
      <c r="F76" s="35">
        <f>IF(B76="","",SUMIFS('سجل التحفيز'!$G$5:$G$2004,'سجل التحفيز'!$Z$5:$Z$2004,"&gt;0",'سجل التحفيز'!$B$5:$B$2004,B76))</f>
        <v/>
      </c>
      <c r="G76" s="35">
        <f>IF(B76="","",COUNTIF($D$38:$D$187,"&gt;"&amp;D76)+1)</f>
        <v/>
      </c>
      <c r="H76" s="35">
        <f>IF(B76="","",INDEX(الموظفات!$L$5:$L$304,MATCH(B76,الموظفات!$B$5:$B$304,0)))</f>
        <v/>
      </c>
      <c r="K76" s="36">
        <f>IF(39&gt;$B$10,"",39)</f>
        <v/>
      </c>
      <c r="L76" s="37">
        <f>IF($K76="","",INDEX('سجل التحفيز'!$A$5:$A$2004,MATCH($K76,'سجل التحفيز'!$Z$5:$Z$2004,0)))</f>
        <v/>
      </c>
      <c r="M76" s="9">
        <f>IF($K76="","",INDEX('سجل التحفيز'!$B$5:$B$2004,MATCH($K76,'سجل التحفيز'!$Z$5:$Z$2004,0)))</f>
        <v/>
      </c>
      <c r="N76" s="9">
        <f>IF($K76="","",INDEX('سجل التحفيز'!$M$5:$M$2004,MATCH($K76,'سجل التحفيز'!$Z$5:$Z$2004,0)))</f>
        <v/>
      </c>
      <c r="O76" s="9">
        <f>IF($K76="","",INDEX('سجل التحفيز'!$C$5:$C$2004,MATCH($K76,'سجل التحفيز'!$Z$5:$Z$2004,0)))</f>
        <v/>
      </c>
      <c r="P76" s="36">
        <f>IF($K76="","",INDEX('سجل التحفيز'!$D$5:$D$2004,MATCH($K76,'سجل التحفيز'!$Z$5:$Z$2004,0)))</f>
        <v/>
      </c>
      <c r="Q76" s="9">
        <f>IF($K76="","",INDEX('سجل التحفيز'!$E$5:$E$2004,MATCH($K76,'سجل التحفيز'!$Z$5:$Z$2004,0)))</f>
        <v/>
      </c>
      <c r="R76" s="9">
        <f>IF($K76="","",INDEX('سجل التحفيز'!$F$5:$F$2004,MATCH($K76,'سجل التحفيز'!$Z$5:$Z$2004,0)))</f>
        <v/>
      </c>
      <c r="S76" s="35">
        <f>IF($K76="","",INDEX('سجل التحفيز'!$G$5:$G$2004,MATCH($K76,'سجل التحفيز'!$Z$5:$Z$2004,0)))</f>
        <v/>
      </c>
    </row>
    <row r="77">
      <c r="B77" s="34">
        <f>IFERROR(INDEX(الموظفات!$B$5:$B$304,MATCH(40,الموظفات!$T$5:$T$304,0)),"")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التحفيز'!$Z$5:$Z$2004,"&gt;0",'سجل التحفيز'!$B$5:$B$2004,B77))</f>
        <v/>
      </c>
      <c r="E77" s="35">
        <f>IF(B77="","",COUNTIFS('سجل التحفيز'!$Z$5:$Z$2004,"&gt;0",'سجل التحفيز'!$B$5:$B$2004,B77,'سجل التحفيز'!$D$5:$D$2004,"ذهبي"))</f>
        <v/>
      </c>
      <c r="F77" s="35">
        <f>IF(B77="","",SUMIFS('سجل التحفيز'!$G$5:$G$2004,'سجل التحفيز'!$Z$5:$Z$2004,"&gt;0",'سجل التحفيز'!$B$5:$B$2004,B77))</f>
        <v/>
      </c>
      <c r="G77" s="35">
        <f>IF(B77="","",COUNTIF($D$38:$D$187,"&gt;"&amp;D77)+1)</f>
        <v/>
      </c>
      <c r="H77" s="35">
        <f>IF(B77="","",INDEX(الموظفات!$L$5:$L$304,MATCH(B77,الموظفات!$B$5:$B$304,0)))</f>
        <v/>
      </c>
      <c r="K77" s="36">
        <f>IF(40&gt;$B$10,"",40)</f>
        <v/>
      </c>
      <c r="L77" s="37">
        <f>IF($K77="","",INDEX('سجل التحفيز'!$A$5:$A$2004,MATCH($K77,'سجل التحفيز'!$Z$5:$Z$2004,0)))</f>
        <v/>
      </c>
      <c r="M77" s="9">
        <f>IF($K77="","",INDEX('سجل التحفيز'!$B$5:$B$2004,MATCH($K77,'سجل التحفيز'!$Z$5:$Z$2004,0)))</f>
        <v/>
      </c>
      <c r="N77" s="9">
        <f>IF($K77="","",INDEX('سجل التحفيز'!$M$5:$M$2004,MATCH($K77,'سجل التحفيز'!$Z$5:$Z$2004,0)))</f>
        <v/>
      </c>
      <c r="O77" s="9">
        <f>IF($K77="","",INDEX('سجل التحفيز'!$C$5:$C$2004,MATCH($K77,'سجل التحفيز'!$Z$5:$Z$2004,0)))</f>
        <v/>
      </c>
      <c r="P77" s="36">
        <f>IF($K77="","",INDEX('سجل التحفيز'!$D$5:$D$2004,MATCH($K77,'سجل التحفيز'!$Z$5:$Z$2004,0)))</f>
        <v/>
      </c>
      <c r="Q77" s="9">
        <f>IF($K77="","",INDEX('سجل التحفيز'!$E$5:$E$2004,MATCH($K77,'سجل التحفيز'!$Z$5:$Z$2004,0)))</f>
        <v/>
      </c>
      <c r="R77" s="9">
        <f>IF($K77="","",INDEX('سجل التحفيز'!$F$5:$F$2004,MATCH($K77,'سجل التحفيز'!$Z$5:$Z$2004,0)))</f>
        <v/>
      </c>
      <c r="S77" s="35">
        <f>IF($K77="","",INDEX('سجل التحفيز'!$G$5:$G$2004,MATCH($K77,'سجل التحفيز'!$Z$5:$Z$2004,0)))</f>
        <v/>
      </c>
    </row>
    <row r="78">
      <c r="B78" s="34">
        <f>IFERROR(INDEX(الموظفات!$B$5:$B$304,MATCH(41,الموظفات!$T$5:$T$304,0)),"")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التحفيز'!$Z$5:$Z$2004,"&gt;0",'سجل التحفيز'!$B$5:$B$2004,B78))</f>
        <v/>
      </c>
      <c r="E78" s="35">
        <f>IF(B78="","",COUNTIFS('سجل التحفيز'!$Z$5:$Z$2004,"&gt;0",'سجل التحفيز'!$B$5:$B$2004,B78,'سجل التحفيز'!$D$5:$D$2004,"ذهبي"))</f>
        <v/>
      </c>
      <c r="F78" s="35">
        <f>IF(B78="","",SUMIFS('سجل التحفيز'!$G$5:$G$2004,'سجل التحفيز'!$Z$5:$Z$2004,"&gt;0",'سجل التحفيز'!$B$5:$B$2004,B78))</f>
        <v/>
      </c>
      <c r="G78" s="35">
        <f>IF(B78="","",COUNTIF($D$38:$D$187,"&gt;"&amp;D78)+1)</f>
        <v/>
      </c>
      <c r="H78" s="35">
        <f>IF(B78="","",INDEX(الموظفات!$L$5:$L$304,MATCH(B78,الموظفات!$B$5:$B$304,0)))</f>
        <v/>
      </c>
      <c r="K78" s="36">
        <f>IF(41&gt;$B$10,"",41)</f>
        <v/>
      </c>
      <c r="L78" s="37">
        <f>IF($K78="","",INDEX('سجل التحفيز'!$A$5:$A$2004,MATCH($K78,'سجل التحفيز'!$Z$5:$Z$2004,0)))</f>
        <v/>
      </c>
      <c r="M78" s="9">
        <f>IF($K78="","",INDEX('سجل التحفيز'!$B$5:$B$2004,MATCH($K78,'سجل التحفيز'!$Z$5:$Z$2004,0)))</f>
        <v/>
      </c>
      <c r="N78" s="9">
        <f>IF($K78="","",INDEX('سجل التحفيز'!$M$5:$M$2004,MATCH($K78,'سجل التحفيز'!$Z$5:$Z$2004,0)))</f>
        <v/>
      </c>
      <c r="O78" s="9">
        <f>IF($K78="","",INDEX('سجل التحفيز'!$C$5:$C$2004,MATCH($K78,'سجل التحفيز'!$Z$5:$Z$2004,0)))</f>
        <v/>
      </c>
      <c r="P78" s="36">
        <f>IF($K78="","",INDEX('سجل التحفيز'!$D$5:$D$2004,MATCH($K78,'سجل التحفيز'!$Z$5:$Z$2004,0)))</f>
        <v/>
      </c>
      <c r="Q78" s="9">
        <f>IF($K78="","",INDEX('سجل التحفيز'!$E$5:$E$2004,MATCH($K78,'سجل التحفيز'!$Z$5:$Z$2004,0)))</f>
        <v/>
      </c>
      <c r="R78" s="9">
        <f>IF($K78="","",INDEX('سجل التحفيز'!$F$5:$F$2004,MATCH($K78,'سجل التحفيز'!$Z$5:$Z$2004,0)))</f>
        <v/>
      </c>
      <c r="S78" s="35">
        <f>IF($K78="","",INDEX('سجل التحفيز'!$G$5:$G$2004,MATCH($K78,'سجل التحفيز'!$Z$5:$Z$2004,0)))</f>
        <v/>
      </c>
    </row>
    <row r="79">
      <c r="B79" s="34">
        <f>IFERROR(INDEX(الموظفات!$B$5:$B$304,MATCH(42,الموظفات!$T$5:$T$304,0)),"")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التحفيز'!$Z$5:$Z$2004,"&gt;0",'سجل التحفيز'!$B$5:$B$2004,B79))</f>
        <v/>
      </c>
      <c r="E79" s="35">
        <f>IF(B79="","",COUNTIFS('سجل التحفيز'!$Z$5:$Z$2004,"&gt;0",'سجل التحفيز'!$B$5:$B$2004,B79,'سجل التحفيز'!$D$5:$D$2004,"ذهبي"))</f>
        <v/>
      </c>
      <c r="F79" s="35">
        <f>IF(B79="","",SUMIFS('سجل التحفيز'!$G$5:$G$2004,'سجل التحفيز'!$Z$5:$Z$2004,"&gt;0",'سجل التحفيز'!$B$5:$B$2004,B79))</f>
        <v/>
      </c>
      <c r="G79" s="35">
        <f>IF(B79="","",COUNTIF($D$38:$D$187,"&gt;"&amp;D79)+1)</f>
        <v/>
      </c>
      <c r="H79" s="35">
        <f>IF(B79="","",INDEX(الموظفات!$L$5:$L$304,MATCH(B79,الموظفات!$B$5:$B$304,0)))</f>
        <v/>
      </c>
      <c r="K79" s="36">
        <f>IF(42&gt;$B$10,"",42)</f>
        <v/>
      </c>
      <c r="L79" s="37">
        <f>IF($K79="","",INDEX('سجل التحفيز'!$A$5:$A$2004,MATCH($K79,'سجل التحفيز'!$Z$5:$Z$2004,0)))</f>
        <v/>
      </c>
      <c r="M79" s="9">
        <f>IF($K79="","",INDEX('سجل التحفيز'!$B$5:$B$2004,MATCH($K79,'سجل التحفيز'!$Z$5:$Z$2004,0)))</f>
        <v/>
      </c>
      <c r="N79" s="9">
        <f>IF($K79="","",INDEX('سجل التحفيز'!$M$5:$M$2004,MATCH($K79,'سجل التحفيز'!$Z$5:$Z$2004,0)))</f>
        <v/>
      </c>
      <c r="O79" s="9">
        <f>IF($K79="","",INDEX('سجل التحفيز'!$C$5:$C$2004,MATCH($K79,'سجل التحفيز'!$Z$5:$Z$2004,0)))</f>
        <v/>
      </c>
      <c r="P79" s="36">
        <f>IF($K79="","",INDEX('سجل التحفيز'!$D$5:$D$2004,MATCH($K79,'سجل التحفيز'!$Z$5:$Z$2004,0)))</f>
        <v/>
      </c>
      <c r="Q79" s="9">
        <f>IF($K79="","",INDEX('سجل التحفيز'!$E$5:$E$2004,MATCH($K79,'سجل التحفيز'!$Z$5:$Z$2004,0)))</f>
        <v/>
      </c>
      <c r="R79" s="9">
        <f>IF($K79="","",INDEX('سجل التحفيز'!$F$5:$F$2004,MATCH($K79,'سجل التحفيز'!$Z$5:$Z$2004,0)))</f>
        <v/>
      </c>
      <c r="S79" s="35">
        <f>IF($K79="","",INDEX('سجل التحفيز'!$G$5:$G$2004,MATCH($K79,'سجل التحفيز'!$Z$5:$Z$2004,0)))</f>
        <v/>
      </c>
    </row>
    <row r="80">
      <c r="B80" s="34">
        <f>IFERROR(INDEX(الموظفات!$B$5:$B$304,MATCH(43,الموظفات!$T$5:$T$304,0)),"")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التحفيز'!$Z$5:$Z$2004,"&gt;0",'سجل التحفيز'!$B$5:$B$2004,B80))</f>
        <v/>
      </c>
      <c r="E80" s="35">
        <f>IF(B80="","",COUNTIFS('سجل التحفيز'!$Z$5:$Z$2004,"&gt;0",'سجل التحفيز'!$B$5:$B$2004,B80,'سجل التحفيز'!$D$5:$D$2004,"ذهبي"))</f>
        <v/>
      </c>
      <c r="F80" s="35">
        <f>IF(B80="","",SUMIFS('سجل التحفيز'!$G$5:$G$2004,'سجل التحفيز'!$Z$5:$Z$2004,"&gt;0",'سجل التحفيز'!$B$5:$B$2004,B80))</f>
        <v/>
      </c>
      <c r="G80" s="35">
        <f>IF(B80="","",COUNTIF($D$38:$D$187,"&gt;"&amp;D80)+1)</f>
        <v/>
      </c>
      <c r="H80" s="35">
        <f>IF(B80="","",INDEX(الموظفات!$L$5:$L$304,MATCH(B80,الموظفات!$B$5:$B$304,0)))</f>
        <v/>
      </c>
      <c r="K80" s="36">
        <f>IF(43&gt;$B$10,"",43)</f>
        <v/>
      </c>
      <c r="L80" s="37">
        <f>IF($K80="","",INDEX('سجل التحفيز'!$A$5:$A$2004,MATCH($K80,'سجل التحفيز'!$Z$5:$Z$2004,0)))</f>
        <v/>
      </c>
      <c r="M80" s="9">
        <f>IF($K80="","",INDEX('سجل التحفيز'!$B$5:$B$2004,MATCH($K80,'سجل التحفيز'!$Z$5:$Z$2004,0)))</f>
        <v/>
      </c>
      <c r="N80" s="9">
        <f>IF($K80="","",INDEX('سجل التحفيز'!$M$5:$M$2004,MATCH($K80,'سجل التحفيز'!$Z$5:$Z$2004,0)))</f>
        <v/>
      </c>
      <c r="O80" s="9">
        <f>IF($K80="","",INDEX('سجل التحفيز'!$C$5:$C$2004,MATCH($K80,'سجل التحفيز'!$Z$5:$Z$2004,0)))</f>
        <v/>
      </c>
      <c r="P80" s="36">
        <f>IF($K80="","",INDEX('سجل التحفيز'!$D$5:$D$2004,MATCH($K80,'سجل التحفيز'!$Z$5:$Z$2004,0)))</f>
        <v/>
      </c>
      <c r="Q80" s="9">
        <f>IF($K80="","",INDEX('سجل التحفيز'!$E$5:$E$2004,MATCH($K80,'سجل التحفيز'!$Z$5:$Z$2004,0)))</f>
        <v/>
      </c>
      <c r="R80" s="9">
        <f>IF($K80="","",INDEX('سجل التحفيز'!$F$5:$F$2004,MATCH($K80,'سجل التحفيز'!$Z$5:$Z$2004,0)))</f>
        <v/>
      </c>
      <c r="S80" s="35">
        <f>IF($K80="","",INDEX('سجل التحفيز'!$G$5:$G$2004,MATCH($K80,'سجل التحفيز'!$Z$5:$Z$2004,0)))</f>
        <v/>
      </c>
    </row>
    <row r="81">
      <c r="B81" s="34">
        <f>IFERROR(INDEX(الموظفات!$B$5:$B$304,MATCH(44,الموظفات!$T$5:$T$304,0)),"")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التحفيز'!$Z$5:$Z$2004,"&gt;0",'سجل التحفيز'!$B$5:$B$2004,B81))</f>
        <v/>
      </c>
      <c r="E81" s="35">
        <f>IF(B81="","",COUNTIFS('سجل التحفيز'!$Z$5:$Z$2004,"&gt;0",'سجل التحفيز'!$B$5:$B$2004,B81,'سجل التحفيز'!$D$5:$D$2004,"ذهبي"))</f>
        <v/>
      </c>
      <c r="F81" s="35">
        <f>IF(B81="","",SUMIFS('سجل التحفيز'!$G$5:$G$2004,'سجل التحفيز'!$Z$5:$Z$2004,"&gt;0",'سجل التحفيز'!$B$5:$B$2004,B81))</f>
        <v/>
      </c>
      <c r="G81" s="35">
        <f>IF(B81="","",COUNTIF($D$38:$D$187,"&gt;"&amp;D81)+1)</f>
        <v/>
      </c>
      <c r="H81" s="35">
        <f>IF(B81="","",INDEX(الموظفات!$L$5:$L$304,MATCH(B81,الموظفات!$B$5:$B$304,0)))</f>
        <v/>
      </c>
      <c r="K81" s="36">
        <f>IF(44&gt;$B$10,"",44)</f>
        <v/>
      </c>
      <c r="L81" s="37">
        <f>IF($K81="","",INDEX('سجل التحفيز'!$A$5:$A$2004,MATCH($K81,'سجل التحفيز'!$Z$5:$Z$2004,0)))</f>
        <v/>
      </c>
      <c r="M81" s="9">
        <f>IF($K81="","",INDEX('سجل التحفيز'!$B$5:$B$2004,MATCH($K81,'سجل التحفيز'!$Z$5:$Z$2004,0)))</f>
        <v/>
      </c>
      <c r="N81" s="9">
        <f>IF($K81="","",INDEX('سجل التحفيز'!$M$5:$M$2004,MATCH($K81,'سجل التحفيز'!$Z$5:$Z$2004,0)))</f>
        <v/>
      </c>
      <c r="O81" s="9">
        <f>IF($K81="","",INDEX('سجل التحفيز'!$C$5:$C$2004,MATCH($K81,'سجل التحفيز'!$Z$5:$Z$2004,0)))</f>
        <v/>
      </c>
      <c r="P81" s="36">
        <f>IF($K81="","",INDEX('سجل التحفيز'!$D$5:$D$2004,MATCH($K81,'سجل التحفيز'!$Z$5:$Z$2004,0)))</f>
        <v/>
      </c>
      <c r="Q81" s="9">
        <f>IF($K81="","",INDEX('سجل التحفيز'!$E$5:$E$2004,MATCH($K81,'سجل التحفيز'!$Z$5:$Z$2004,0)))</f>
        <v/>
      </c>
      <c r="R81" s="9">
        <f>IF($K81="","",INDEX('سجل التحفيز'!$F$5:$F$2004,MATCH($K81,'سجل التحفيز'!$Z$5:$Z$2004,0)))</f>
        <v/>
      </c>
      <c r="S81" s="35">
        <f>IF($K81="","",INDEX('سجل التحفيز'!$G$5:$G$2004,MATCH($K81,'سجل التحفيز'!$Z$5:$Z$2004,0)))</f>
        <v/>
      </c>
    </row>
    <row r="82">
      <c r="B82" s="34">
        <f>IFERROR(INDEX(الموظفات!$B$5:$B$304,MATCH(45,الموظفات!$T$5:$T$304,0)),"")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التحفيز'!$Z$5:$Z$2004,"&gt;0",'سجل التحفيز'!$B$5:$B$2004,B82))</f>
        <v/>
      </c>
      <c r="E82" s="35">
        <f>IF(B82="","",COUNTIFS('سجل التحفيز'!$Z$5:$Z$2004,"&gt;0",'سجل التحفيز'!$B$5:$B$2004,B82,'سجل التحفيز'!$D$5:$D$2004,"ذهبي"))</f>
        <v/>
      </c>
      <c r="F82" s="35">
        <f>IF(B82="","",SUMIFS('سجل التحفيز'!$G$5:$G$2004,'سجل التحفيز'!$Z$5:$Z$2004,"&gt;0",'سجل التحفيز'!$B$5:$B$2004,B82))</f>
        <v/>
      </c>
      <c r="G82" s="35">
        <f>IF(B82="","",COUNTIF($D$38:$D$187,"&gt;"&amp;D82)+1)</f>
        <v/>
      </c>
      <c r="H82" s="35">
        <f>IF(B82="","",INDEX(الموظفات!$L$5:$L$304,MATCH(B82,الموظفات!$B$5:$B$304,0)))</f>
        <v/>
      </c>
      <c r="K82" s="36">
        <f>IF(45&gt;$B$10,"",45)</f>
        <v/>
      </c>
      <c r="L82" s="37">
        <f>IF($K82="","",INDEX('سجل التحفيز'!$A$5:$A$2004,MATCH($K82,'سجل التحفيز'!$Z$5:$Z$2004,0)))</f>
        <v/>
      </c>
      <c r="M82" s="9">
        <f>IF($K82="","",INDEX('سجل التحفيز'!$B$5:$B$2004,MATCH($K82,'سجل التحفيز'!$Z$5:$Z$2004,0)))</f>
        <v/>
      </c>
      <c r="N82" s="9">
        <f>IF($K82="","",INDEX('سجل التحفيز'!$M$5:$M$2004,MATCH($K82,'سجل التحفيز'!$Z$5:$Z$2004,0)))</f>
        <v/>
      </c>
      <c r="O82" s="9">
        <f>IF($K82="","",INDEX('سجل التحفيز'!$C$5:$C$2004,MATCH($K82,'سجل التحفيز'!$Z$5:$Z$2004,0)))</f>
        <v/>
      </c>
      <c r="P82" s="36">
        <f>IF($K82="","",INDEX('سجل التحفيز'!$D$5:$D$2004,MATCH($K82,'سجل التحفيز'!$Z$5:$Z$2004,0)))</f>
        <v/>
      </c>
      <c r="Q82" s="9">
        <f>IF($K82="","",INDEX('سجل التحفيز'!$E$5:$E$2004,MATCH($K82,'سجل التحفيز'!$Z$5:$Z$2004,0)))</f>
        <v/>
      </c>
      <c r="R82" s="9">
        <f>IF($K82="","",INDEX('سجل التحفيز'!$F$5:$F$2004,MATCH($K82,'سجل التحفيز'!$Z$5:$Z$2004,0)))</f>
        <v/>
      </c>
      <c r="S82" s="35">
        <f>IF($K82="","",INDEX('سجل التحفيز'!$G$5:$G$2004,MATCH($K82,'سجل التحفيز'!$Z$5:$Z$2004,0)))</f>
        <v/>
      </c>
    </row>
    <row r="83">
      <c r="B83" s="34">
        <f>IFERROR(INDEX(الموظفات!$B$5:$B$304,MATCH(46,الموظفات!$T$5:$T$304,0)),"")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التحفيز'!$Z$5:$Z$2004,"&gt;0",'سجل التحفيز'!$B$5:$B$2004,B83))</f>
        <v/>
      </c>
      <c r="E83" s="35">
        <f>IF(B83="","",COUNTIFS('سجل التحفيز'!$Z$5:$Z$2004,"&gt;0",'سجل التحفيز'!$B$5:$B$2004,B83,'سجل التحفيز'!$D$5:$D$2004,"ذهبي"))</f>
        <v/>
      </c>
      <c r="F83" s="35">
        <f>IF(B83="","",SUMIFS('سجل التحفيز'!$G$5:$G$2004,'سجل التحفيز'!$Z$5:$Z$2004,"&gt;0",'سجل التحفيز'!$B$5:$B$2004,B83))</f>
        <v/>
      </c>
      <c r="G83" s="35">
        <f>IF(B83="","",COUNTIF($D$38:$D$187,"&gt;"&amp;D83)+1)</f>
        <v/>
      </c>
      <c r="H83" s="35">
        <f>IF(B83="","",INDEX(الموظفات!$L$5:$L$304,MATCH(B83,الموظفات!$B$5:$B$304,0)))</f>
        <v/>
      </c>
      <c r="K83" s="36">
        <f>IF(46&gt;$B$10,"",46)</f>
        <v/>
      </c>
      <c r="L83" s="37">
        <f>IF($K83="","",INDEX('سجل التحفيز'!$A$5:$A$2004,MATCH($K83,'سجل التحفيز'!$Z$5:$Z$2004,0)))</f>
        <v/>
      </c>
      <c r="M83" s="9">
        <f>IF($K83="","",INDEX('سجل التحفيز'!$B$5:$B$2004,MATCH($K83,'سجل التحفيز'!$Z$5:$Z$2004,0)))</f>
        <v/>
      </c>
      <c r="N83" s="9">
        <f>IF($K83="","",INDEX('سجل التحفيز'!$M$5:$M$2004,MATCH($K83,'سجل التحفيز'!$Z$5:$Z$2004,0)))</f>
        <v/>
      </c>
      <c r="O83" s="9">
        <f>IF($K83="","",INDEX('سجل التحفيز'!$C$5:$C$2004,MATCH($K83,'سجل التحفيز'!$Z$5:$Z$2004,0)))</f>
        <v/>
      </c>
      <c r="P83" s="36">
        <f>IF($K83="","",INDEX('سجل التحفيز'!$D$5:$D$2004,MATCH($K83,'سجل التحفيز'!$Z$5:$Z$2004,0)))</f>
        <v/>
      </c>
      <c r="Q83" s="9">
        <f>IF($K83="","",INDEX('سجل التحفيز'!$E$5:$E$2004,MATCH($K83,'سجل التحفيز'!$Z$5:$Z$2004,0)))</f>
        <v/>
      </c>
      <c r="R83" s="9">
        <f>IF($K83="","",INDEX('سجل التحفيز'!$F$5:$F$2004,MATCH($K83,'سجل التحفيز'!$Z$5:$Z$2004,0)))</f>
        <v/>
      </c>
      <c r="S83" s="35">
        <f>IF($K83="","",INDEX('سجل التحفيز'!$G$5:$G$2004,MATCH($K83,'سجل التحفيز'!$Z$5:$Z$2004,0)))</f>
        <v/>
      </c>
    </row>
    <row r="84">
      <c r="B84" s="34">
        <f>IFERROR(INDEX(الموظفات!$B$5:$B$304,MATCH(47,الموظفات!$T$5:$T$304,0)),"")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التحفيز'!$Z$5:$Z$2004,"&gt;0",'سجل التحفيز'!$B$5:$B$2004,B84))</f>
        <v/>
      </c>
      <c r="E84" s="35">
        <f>IF(B84="","",COUNTIFS('سجل التحفيز'!$Z$5:$Z$2004,"&gt;0",'سجل التحفيز'!$B$5:$B$2004,B84,'سجل التحفيز'!$D$5:$D$2004,"ذهبي"))</f>
        <v/>
      </c>
      <c r="F84" s="35">
        <f>IF(B84="","",SUMIFS('سجل التحفيز'!$G$5:$G$2004,'سجل التحفيز'!$Z$5:$Z$2004,"&gt;0",'سجل التحفيز'!$B$5:$B$2004,B84))</f>
        <v/>
      </c>
      <c r="G84" s="35">
        <f>IF(B84="","",COUNTIF($D$38:$D$187,"&gt;"&amp;D84)+1)</f>
        <v/>
      </c>
      <c r="H84" s="35">
        <f>IF(B84="","",INDEX(الموظفات!$L$5:$L$304,MATCH(B84,الموظفات!$B$5:$B$304,0)))</f>
        <v/>
      </c>
      <c r="K84" s="36">
        <f>IF(47&gt;$B$10,"",47)</f>
        <v/>
      </c>
      <c r="L84" s="37">
        <f>IF($K84="","",INDEX('سجل التحفيز'!$A$5:$A$2004,MATCH($K84,'سجل التحفيز'!$Z$5:$Z$2004,0)))</f>
        <v/>
      </c>
      <c r="M84" s="9">
        <f>IF($K84="","",INDEX('سجل التحفيز'!$B$5:$B$2004,MATCH($K84,'سجل التحفيز'!$Z$5:$Z$2004,0)))</f>
        <v/>
      </c>
      <c r="N84" s="9">
        <f>IF($K84="","",INDEX('سجل التحفيز'!$M$5:$M$2004,MATCH($K84,'سجل التحفيز'!$Z$5:$Z$2004,0)))</f>
        <v/>
      </c>
      <c r="O84" s="9">
        <f>IF($K84="","",INDEX('سجل التحفيز'!$C$5:$C$2004,MATCH($K84,'سجل التحفيز'!$Z$5:$Z$2004,0)))</f>
        <v/>
      </c>
      <c r="P84" s="36">
        <f>IF($K84="","",INDEX('سجل التحفيز'!$D$5:$D$2004,MATCH($K84,'سجل التحفيز'!$Z$5:$Z$2004,0)))</f>
        <v/>
      </c>
      <c r="Q84" s="9">
        <f>IF($K84="","",INDEX('سجل التحفيز'!$E$5:$E$2004,MATCH($K84,'سجل التحفيز'!$Z$5:$Z$2004,0)))</f>
        <v/>
      </c>
      <c r="R84" s="9">
        <f>IF($K84="","",INDEX('سجل التحفيز'!$F$5:$F$2004,MATCH($K84,'سجل التحفيز'!$Z$5:$Z$2004,0)))</f>
        <v/>
      </c>
      <c r="S84" s="35">
        <f>IF($K84="","",INDEX('سجل التحفيز'!$G$5:$G$2004,MATCH($K84,'سجل التحفيز'!$Z$5:$Z$2004,0)))</f>
        <v/>
      </c>
    </row>
    <row r="85">
      <c r="B85" s="34">
        <f>IFERROR(INDEX(الموظفات!$B$5:$B$304,MATCH(48,الموظفات!$T$5:$T$304,0)),"")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التحفيز'!$Z$5:$Z$2004,"&gt;0",'سجل التحفيز'!$B$5:$B$2004,B85))</f>
        <v/>
      </c>
      <c r="E85" s="35">
        <f>IF(B85="","",COUNTIFS('سجل التحفيز'!$Z$5:$Z$2004,"&gt;0",'سجل التحفيز'!$B$5:$B$2004,B85,'سجل التحفيز'!$D$5:$D$2004,"ذهبي"))</f>
        <v/>
      </c>
      <c r="F85" s="35">
        <f>IF(B85="","",SUMIFS('سجل التحفيز'!$G$5:$G$2004,'سجل التحفيز'!$Z$5:$Z$2004,"&gt;0",'سجل التحفيز'!$B$5:$B$2004,B85))</f>
        <v/>
      </c>
      <c r="G85" s="35">
        <f>IF(B85="","",COUNTIF($D$38:$D$187,"&gt;"&amp;D85)+1)</f>
        <v/>
      </c>
      <c r="H85" s="35">
        <f>IF(B85="","",INDEX(الموظفات!$L$5:$L$304,MATCH(B85,الموظفات!$B$5:$B$304,0)))</f>
        <v/>
      </c>
      <c r="K85" s="36">
        <f>IF(48&gt;$B$10,"",48)</f>
        <v/>
      </c>
      <c r="L85" s="37">
        <f>IF($K85="","",INDEX('سجل التحفيز'!$A$5:$A$2004,MATCH($K85,'سجل التحفيز'!$Z$5:$Z$2004,0)))</f>
        <v/>
      </c>
      <c r="M85" s="9">
        <f>IF($K85="","",INDEX('سجل التحفيز'!$B$5:$B$2004,MATCH($K85,'سجل التحفيز'!$Z$5:$Z$2004,0)))</f>
        <v/>
      </c>
      <c r="N85" s="9">
        <f>IF($K85="","",INDEX('سجل التحفيز'!$M$5:$M$2004,MATCH($K85,'سجل التحفيز'!$Z$5:$Z$2004,0)))</f>
        <v/>
      </c>
      <c r="O85" s="9">
        <f>IF($K85="","",INDEX('سجل التحفيز'!$C$5:$C$2004,MATCH($K85,'سجل التحفيز'!$Z$5:$Z$2004,0)))</f>
        <v/>
      </c>
      <c r="P85" s="36">
        <f>IF($K85="","",INDEX('سجل التحفيز'!$D$5:$D$2004,MATCH($K85,'سجل التحفيز'!$Z$5:$Z$2004,0)))</f>
        <v/>
      </c>
      <c r="Q85" s="9">
        <f>IF($K85="","",INDEX('سجل التحفيز'!$E$5:$E$2004,MATCH($K85,'سجل التحفيز'!$Z$5:$Z$2004,0)))</f>
        <v/>
      </c>
      <c r="R85" s="9">
        <f>IF($K85="","",INDEX('سجل التحفيز'!$F$5:$F$2004,MATCH($K85,'سجل التحفيز'!$Z$5:$Z$2004,0)))</f>
        <v/>
      </c>
      <c r="S85" s="35">
        <f>IF($K85="","",INDEX('سجل التحفيز'!$G$5:$G$2004,MATCH($K85,'سجل التحفيز'!$Z$5:$Z$2004,0)))</f>
        <v/>
      </c>
    </row>
    <row r="86">
      <c r="B86" s="34">
        <f>IFERROR(INDEX(الموظفات!$B$5:$B$304,MATCH(49,الموظفات!$T$5:$T$304,0)),"")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التحفيز'!$Z$5:$Z$2004,"&gt;0",'سجل التحفيز'!$B$5:$B$2004,B86))</f>
        <v/>
      </c>
      <c r="E86" s="35">
        <f>IF(B86="","",COUNTIFS('سجل التحفيز'!$Z$5:$Z$2004,"&gt;0",'سجل التحفيز'!$B$5:$B$2004,B86,'سجل التحفيز'!$D$5:$D$2004,"ذهبي"))</f>
        <v/>
      </c>
      <c r="F86" s="35">
        <f>IF(B86="","",SUMIFS('سجل التحفيز'!$G$5:$G$2004,'سجل التحفيز'!$Z$5:$Z$2004,"&gt;0",'سجل التحفيز'!$B$5:$B$2004,B86))</f>
        <v/>
      </c>
      <c r="G86" s="35">
        <f>IF(B86="","",COUNTIF($D$38:$D$187,"&gt;"&amp;D86)+1)</f>
        <v/>
      </c>
      <c r="H86" s="35">
        <f>IF(B86="","",INDEX(الموظفات!$L$5:$L$304,MATCH(B86,الموظفات!$B$5:$B$304,0)))</f>
        <v/>
      </c>
      <c r="K86" s="36">
        <f>IF(49&gt;$B$10,"",49)</f>
        <v/>
      </c>
      <c r="L86" s="37">
        <f>IF($K86="","",INDEX('سجل التحفيز'!$A$5:$A$2004,MATCH($K86,'سجل التحفيز'!$Z$5:$Z$2004,0)))</f>
        <v/>
      </c>
      <c r="M86" s="9">
        <f>IF($K86="","",INDEX('سجل التحفيز'!$B$5:$B$2004,MATCH($K86,'سجل التحفيز'!$Z$5:$Z$2004,0)))</f>
        <v/>
      </c>
      <c r="N86" s="9">
        <f>IF($K86="","",INDEX('سجل التحفيز'!$M$5:$M$2004,MATCH($K86,'سجل التحفيز'!$Z$5:$Z$2004,0)))</f>
        <v/>
      </c>
      <c r="O86" s="9">
        <f>IF($K86="","",INDEX('سجل التحفيز'!$C$5:$C$2004,MATCH($K86,'سجل التحفيز'!$Z$5:$Z$2004,0)))</f>
        <v/>
      </c>
      <c r="P86" s="36">
        <f>IF($K86="","",INDEX('سجل التحفيز'!$D$5:$D$2004,MATCH($K86,'سجل التحفيز'!$Z$5:$Z$2004,0)))</f>
        <v/>
      </c>
      <c r="Q86" s="9">
        <f>IF($K86="","",INDEX('سجل التحفيز'!$E$5:$E$2004,MATCH($K86,'سجل التحفيز'!$Z$5:$Z$2004,0)))</f>
        <v/>
      </c>
      <c r="R86" s="9">
        <f>IF($K86="","",INDEX('سجل التحفيز'!$F$5:$F$2004,MATCH($K86,'سجل التحفيز'!$Z$5:$Z$2004,0)))</f>
        <v/>
      </c>
      <c r="S86" s="35">
        <f>IF($K86="","",INDEX('سجل التحفيز'!$G$5:$G$2004,MATCH($K86,'سجل التحفيز'!$Z$5:$Z$2004,0)))</f>
        <v/>
      </c>
    </row>
    <row r="87">
      <c r="B87" s="34">
        <f>IFERROR(INDEX(الموظفات!$B$5:$B$304,MATCH(50,الموظفات!$T$5:$T$304,0)),"")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التحفيز'!$Z$5:$Z$2004,"&gt;0",'سجل التحفيز'!$B$5:$B$2004,B87))</f>
        <v/>
      </c>
      <c r="E87" s="35">
        <f>IF(B87="","",COUNTIFS('سجل التحفيز'!$Z$5:$Z$2004,"&gt;0",'سجل التحفيز'!$B$5:$B$2004,B87,'سجل التحفيز'!$D$5:$D$2004,"ذهبي"))</f>
        <v/>
      </c>
      <c r="F87" s="35">
        <f>IF(B87="","",SUMIFS('سجل التحفيز'!$G$5:$G$2004,'سجل التحفيز'!$Z$5:$Z$2004,"&gt;0",'سجل التحفيز'!$B$5:$B$2004,B87))</f>
        <v/>
      </c>
      <c r="G87" s="35">
        <f>IF(B87="","",COUNTIF($D$38:$D$187,"&gt;"&amp;D87)+1)</f>
        <v/>
      </c>
      <c r="H87" s="35">
        <f>IF(B87="","",INDEX(الموظفات!$L$5:$L$304,MATCH(B87,الموظفات!$B$5:$B$304,0)))</f>
        <v/>
      </c>
      <c r="K87" s="36">
        <f>IF(50&gt;$B$10,"",50)</f>
        <v/>
      </c>
      <c r="L87" s="37">
        <f>IF($K87="","",INDEX('سجل التحفيز'!$A$5:$A$2004,MATCH($K87,'سجل التحفيز'!$Z$5:$Z$2004,0)))</f>
        <v/>
      </c>
      <c r="M87" s="9">
        <f>IF($K87="","",INDEX('سجل التحفيز'!$B$5:$B$2004,MATCH($K87,'سجل التحفيز'!$Z$5:$Z$2004,0)))</f>
        <v/>
      </c>
      <c r="N87" s="9">
        <f>IF($K87="","",INDEX('سجل التحفيز'!$M$5:$M$2004,MATCH($K87,'سجل التحفيز'!$Z$5:$Z$2004,0)))</f>
        <v/>
      </c>
      <c r="O87" s="9">
        <f>IF($K87="","",INDEX('سجل التحفيز'!$C$5:$C$2004,MATCH($K87,'سجل التحفيز'!$Z$5:$Z$2004,0)))</f>
        <v/>
      </c>
      <c r="P87" s="36">
        <f>IF($K87="","",INDEX('سجل التحفيز'!$D$5:$D$2004,MATCH($K87,'سجل التحفيز'!$Z$5:$Z$2004,0)))</f>
        <v/>
      </c>
      <c r="Q87" s="9">
        <f>IF($K87="","",INDEX('سجل التحفيز'!$E$5:$E$2004,MATCH($K87,'سجل التحفيز'!$Z$5:$Z$2004,0)))</f>
        <v/>
      </c>
      <c r="R87" s="9">
        <f>IF($K87="","",INDEX('سجل التحفيز'!$F$5:$F$2004,MATCH($K87,'سجل التحفيز'!$Z$5:$Z$2004,0)))</f>
        <v/>
      </c>
      <c r="S87" s="35">
        <f>IF($K87="","",INDEX('سجل التحفيز'!$G$5:$G$2004,MATCH($K87,'سجل التحفيز'!$Z$5:$Z$2004,0)))</f>
        <v/>
      </c>
    </row>
    <row r="88">
      <c r="B88" s="34">
        <f>IFERROR(INDEX(الموظفات!$B$5:$B$304,MATCH(51,الموظفات!$T$5:$T$304,0)),"")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التحفيز'!$Z$5:$Z$2004,"&gt;0",'سجل التحفيز'!$B$5:$B$2004,B88))</f>
        <v/>
      </c>
      <c r="E88" s="35">
        <f>IF(B88="","",COUNTIFS('سجل التحفيز'!$Z$5:$Z$2004,"&gt;0",'سجل التحفيز'!$B$5:$B$2004,B88,'سجل التحفيز'!$D$5:$D$2004,"ذهبي"))</f>
        <v/>
      </c>
      <c r="F88" s="35">
        <f>IF(B88="","",SUMIFS('سجل التحفيز'!$G$5:$G$2004,'سجل التحفيز'!$Z$5:$Z$2004,"&gt;0",'سجل التحفيز'!$B$5:$B$2004,B88))</f>
        <v/>
      </c>
      <c r="G88" s="35">
        <f>IF(B88="","",COUNTIF($D$38:$D$187,"&gt;"&amp;D88)+1)</f>
        <v/>
      </c>
      <c r="H88" s="35">
        <f>IF(B88="","",INDEX(الموظفات!$L$5:$L$304,MATCH(B88,الموظفات!$B$5:$B$304,0)))</f>
        <v/>
      </c>
      <c r="K88" s="36">
        <f>IF(51&gt;$B$10,"",51)</f>
        <v/>
      </c>
      <c r="L88" s="37">
        <f>IF($K88="","",INDEX('سجل التحفيز'!$A$5:$A$2004,MATCH($K88,'سجل التحفيز'!$Z$5:$Z$2004,0)))</f>
        <v/>
      </c>
      <c r="M88" s="9">
        <f>IF($K88="","",INDEX('سجل التحفيز'!$B$5:$B$2004,MATCH($K88,'سجل التحفيز'!$Z$5:$Z$2004,0)))</f>
        <v/>
      </c>
      <c r="N88" s="9">
        <f>IF($K88="","",INDEX('سجل التحفيز'!$M$5:$M$2004,MATCH($K88,'سجل التحفيز'!$Z$5:$Z$2004,0)))</f>
        <v/>
      </c>
      <c r="O88" s="9">
        <f>IF($K88="","",INDEX('سجل التحفيز'!$C$5:$C$2004,MATCH($K88,'سجل التحفيز'!$Z$5:$Z$2004,0)))</f>
        <v/>
      </c>
      <c r="P88" s="36">
        <f>IF($K88="","",INDEX('سجل التحفيز'!$D$5:$D$2004,MATCH($K88,'سجل التحفيز'!$Z$5:$Z$2004,0)))</f>
        <v/>
      </c>
      <c r="Q88" s="9">
        <f>IF($K88="","",INDEX('سجل التحفيز'!$E$5:$E$2004,MATCH($K88,'سجل التحفيز'!$Z$5:$Z$2004,0)))</f>
        <v/>
      </c>
      <c r="R88" s="9">
        <f>IF($K88="","",INDEX('سجل التحفيز'!$F$5:$F$2004,MATCH($K88,'سجل التحفيز'!$Z$5:$Z$2004,0)))</f>
        <v/>
      </c>
      <c r="S88" s="35">
        <f>IF($K88="","",INDEX('سجل التحفيز'!$G$5:$G$2004,MATCH($K88,'سجل التحفيز'!$Z$5:$Z$2004,0)))</f>
        <v/>
      </c>
    </row>
    <row r="89">
      <c r="B89" s="34">
        <f>IFERROR(INDEX(الموظفات!$B$5:$B$304,MATCH(52,الموظفات!$T$5:$T$304,0)),"")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التحفيز'!$Z$5:$Z$2004,"&gt;0",'سجل التحفيز'!$B$5:$B$2004,B89))</f>
        <v/>
      </c>
      <c r="E89" s="35">
        <f>IF(B89="","",COUNTIFS('سجل التحفيز'!$Z$5:$Z$2004,"&gt;0",'سجل التحفيز'!$B$5:$B$2004,B89,'سجل التحفيز'!$D$5:$D$2004,"ذهبي"))</f>
        <v/>
      </c>
      <c r="F89" s="35">
        <f>IF(B89="","",SUMIFS('سجل التحفيز'!$G$5:$G$2004,'سجل التحفيز'!$Z$5:$Z$2004,"&gt;0",'سجل التحفيز'!$B$5:$B$2004,B89))</f>
        <v/>
      </c>
      <c r="G89" s="35">
        <f>IF(B89="","",COUNTIF($D$38:$D$187,"&gt;"&amp;D89)+1)</f>
        <v/>
      </c>
      <c r="H89" s="35">
        <f>IF(B89="","",INDEX(الموظفات!$L$5:$L$304,MATCH(B89,الموظفات!$B$5:$B$304,0)))</f>
        <v/>
      </c>
      <c r="K89" s="36">
        <f>IF(52&gt;$B$10,"",52)</f>
        <v/>
      </c>
      <c r="L89" s="37">
        <f>IF($K89="","",INDEX('سجل التحفيز'!$A$5:$A$2004,MATCH($K89,'سجل التحفيز'!$Z$5:$Z$2004,0)))</f>
        <v/>
      </c>
      <c r="M89" s="9">
        <f>IF($K89="","",INDEX('سجل التحفيز'!$B$5:$B$2004,MATCH($K89,'سجل التحفيز'!$Z$5:$Z$2004,0)))</f>
        <v/>
      </c>
      <c r="N89" s="9">
        <f>IF($K89="","",INDEX('سجل التحفيز'!$M$5:$M$2004,MATCH($K89,'سجل التحفيز'!$Z$5:$Z$2004,0)))</f>
        <v/>
      </c>
      <c r="O89" s="9">
        <f>IF($K89="","",INDEX('سجل التحفيز'!$C$5:$C$2004,MATCH($K89,'سجل التحفيز'!$Z$5:$Z$2004,0)))</f>
        <v/>
      </c>
      <c r="P89" s="36">
        <f>IF($K89="","",INDEX('سجل التحفيز'!$D$5:$D$2004,MATCH($K89,'سجل التحفيز'!$Z$5:$Z$2004,0)))</f>
        <v/>
      </c>
      <c r="Q89" s="9">
        <f>IF($K89="","",INDEX('سجل التحفيز'!$E$5:$E$2004,MATCH($K89,'سجل التحفيز'!$Z$5:$Z$2004,0)))</f>
        <v/>
      </c>
      <c r="R89" s="9">
        <f>IF($K89="","",INDEX('سجل التحفيز'!$F$5:$F$2004,MATCH($K89,'سجل التحفيز'!$Z$5:$Z$2004,0)))</f>
        <v/>
      </c>
      <c r="S89" s="35">
        <f>IF($K89="","",INDEX('سجل التحفيز'!$G$5:$G$2004,MATCH($K89,'سجل التحفيز'!$Z$5:$Z$2004,0)))</f>
        <v/>
      </c>
    </row>
    <row r="90">
      <c r="B90" s="34">
        <f>IFERROR(INDEX(الموظفات!$B$5:$B$304,MATCH(53,الموظفات!$T$5:$T$304,0)),"")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التحفيز'!$Z$5:$Z$2004,"&gt;0",'سجل التحفيز'!$B$5:$B$2004,B90))</f>
        <v/>
      </c>
      <c r="E90" s="35">
        <f>IF(B90="","",COUNTIFS('سجل التحفيز'!$Z$5:$Z$2004,"&gt;0",'سجل التحفيز'!$B$5:$B$2004,B90,'سجل التحفيز'!$D$5:$D$2004,"ذهبي"))</f>
        <v/>
      </c>
      <c r="F90" s="35">
        <f>IF(B90="","",SUMIFS('سجل التحفيز'!$G$5:$G$2004,'سجل التحفيز'!$Z$5:$Z$2004,"&gt;0",'سجل التحفيز'!$B$5:$B$2004,B90))</f>
        <v/>
      </c>
      <c r="G90" s="35">
        <f>IF(B90="","",COUNTIF($D$38:$D$187,"&gt;"&amp;D90)+1)</f>
        <v/>
      </c>
      <c r="H90" s="35">
        <f>IF(B90="","",INDEX(الموظفات!$L$5:$L$304,MATCH(B90,الموظفات!$B$5:$B$304,0)))</f>
        <v/>
      </c>
      <c r="K90" s="36">
        <f>IF(53&gt;$B$10,"",53)</f>
        <v/>
      </c>
      <c r="L90" s="37">
        <f>IF($K90="","",INDEX('سجل التحفيز'!$A$5:$A$2004,MATCH($K90,'سجل التحفيز'!$Z$5:$Z$2004,0)))</f>
        <v/>
      </c>
      <c r="M90" s="9">
        <f>IF($K90="","",INDEX('سجل التحفيز'!$B$5:$B$2004,MATCH($K90,'سجل التحفيز'!$Z$5:$Z$2004,0)))</f>
        <v/>
      </c>
      <c r="N90" s="9">
        <f>IF($K90="","",INDEX('سجل التحفيز'!$M$5:$M$2004,MATCH($K90,'سجل التحفيز'!$Z$5:$Z$2004,0)))</f>
        <v/>
      </c>
      <c r="O90" s="9">
        <f>IF($K90="","",INDEX('سجل التحفيز'!$C$5:$C$2004,MATCH($K90,'سجل التحفيز'!$Z$5:$Z$2004,0)))</f>
        <v/>
      </c>
      <c r="P90" s="36">
        <f>IF($K90="","",INDEX('سجل التحفيز'!$D$5:$D$2004,MATCH($K90,'سجل التحفيز'!$Z$5:$Z$2004,0)))</f>
        <v/>
      </c>
      <c r="Q90" s="9">
        <f>IF($K90="","",INDEX('سجل التحفيز'!$E$5:$E$2004,MATCH($K90,'سجل التحفيز'!$Z$5:$Z$2004,0)))</f>
        <v/>
      </c>
      <c r="R90" s="9">
        <f>IF($K90="","",INDEX('سجل التحفيز'!$F$5:$F$2004,MATCH($K90,'سجل التحفيز'!$Z$5:$Z$2004,0)))</f>
        <v/>
      </c>
      <c r="S90" s="35">
        <f>IF($K90="","",INDEX('سجل التحفيز'!$G$5:$G$2004,MATCH($K90,'سجل التحفيز'!$Z$5:$Z$2004,0)))</f>
        <v/>
      </c>
    </row>
    <row r="91">
      <c r="B91" s="34">
        <f>IFERROR(INDEX(الموظفات!$B$5:$B$304,MATCH(54,الموظفات!$T$5:$T$304,0)),"")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التحفيز'!$Z$5:$Z$2004,"&gt;0",'سجل التحفيز'!$B$5:$B$2004,B91))</f>
        <v/>
      </c>
      <c r="E91" s="35">
        <f>IF(B91="","",COUNTIFS('سجل التحفيز'!$Z$5:$Z$2004,"&gt;0",'سجل التحفيز'!$B$5:$B$2004,B91,'سجل التحفيز'!$D$5:$D$2004,"ذهبي"))</f>
        <v/>
      </c>
      <c r="F91" s="35">
        <f>IF(B91="","",SUMIFS('سجل التحفيز'!$G$5:$G$2004,'سجل التحفيز'!$Z$5:$Z$2004,"&gt;0",'سجل التحفيز'!$B$5:$B$2004,B91))</f>
        <v/>
      </c>
      <c r="G91" s="35">
        <f>IF(B91="","",COUNTIF($D$38:$D$187,"&gt;"&amp;D91)+1)</f>
        <v/>
      </c>
      <c r="H91" s="35">
        <f>IF(B91="","",INDEX(الموظفات!$L$5:$L$304,MATCH(B91,الموظفات!$B$5:$B$304,0)))</f>
        <v/>
      </c>
      <c r="K91" s="36">
        <f>IF(54&gt;$B$10,"",54)</f>
        <v/>
      </c>
      <c r="L91" s="37">
        <f>IF($K91="","",INDEX('سجل التحفيز'!$A$5:$A$2004,MATCH($K91,'سجل التحفيز'!$Z$5:$Z$2004,0)))</f>
        <v/>
      </c>
      <c r="M91" s="9">
        <f>IF($K91="","",INDEX('سجل التحفيز'!$B$5:$B$2004,MATCH($K91,'سجل التحفيز'!$Z$5:$Z$2004,0)))</f>
        <v/>
      </c>
      <c r="N91" s="9">
        <f>IF($K91="","",INDEX('سجل التحفيز'!$M$5:$M$2004,MATCH($K91,'سجل التحفيز'!$Z$5:$Z$2004,0)))</f>
        <v/>
      </c>
      <c r="O91" s="9">
        <f>IF($K91="","",INDEX('سجل التحفيز'!$C$5:$C$2004,MATCH($K91,'سجل التحفيز'!$Z$5:$Z$2004,0)))</f>
        <v/>
      </c>
      <c r="P91" s="36">
        <f>IF($K91="","",INDEX('سجل التحفيز'!$D$5:$D$2004,MATCH($K91,'سجل التحفيز'!$Z$5:$Z$2004,0)))</f>
        <v/>
      </c>
      <c r="Q91" s="9">
        <f>IF($K91="","",INDEX('سجل التحفيز'!$E$5:$E$2004,MATCH($K91,'سجل التحفيز'!$Z$5:$Z$2004,0)))</f>
        <v/>
      </c>
      <c r="R91" s="9">
        <f>IF($K91="","",INDEX('سجل التحفيز'!$F$5:$F$2004,MATCH($K91,'سجل التحفيز'!$Z$5:$Z$2004,0)))</f>
        <v/>
      </c>
      <c r="S91" s="35">
        <f>IF($K91="","",INDEX('سجل التحفيز'!$G$5:$G$2004,MATCH($K91,'سجل التحفيز'!$Z$5:$Z$2004,0)))</f>
        <v/>
      </c>
    </row>
    <row r="92">
      <c r="B92" s="34">
        <f>IFERROR(INDEX(الموظفات!$B$5:$B$304,MATCH(55,الموظفات!$T$5:$T$304,0)),"")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التحفيز'!$Z$5:$Z$2004,"&gt;0",'سجل التحفيز'!$B$5:$B$2004,B92))</f>
        <v/>
      </c>
      <c r="E92" s="35">
        <f>IF(B92="","",COUNTIFS('سجل التحفيز'!$Z$5:$Z$2004,"&gt;0",'سجل التحفيز'!$B$5:$B$2004,B92,'سجل التحفيز'!$D$5:$D$2004,"ذهبي"))</f>
        <v/>
      </c>
      <c r="F92" s="35">
        <f>IF(B92="","",SUMIFS('سجل التحفيز'!$G$5:$G$2004,'سجل التحفيز'!$Z$5:$Z$2004,"&gt;0",'سجل التحفيز'!$B$5:$B$2004,B92))</f>
        <v/>
      </c>
      <c r="G92" s="35">
        <f>IF(B92="","",COUNTIF($D$38:$D$187,"&gt;"&amp;D92)+1)</f>
        <v/>
      </c>
      <c r="H92" s="35">
        <f>IF(B92="","",INDEX(الموظفات!$L$5:$L$304,MATCH(B92,الموظفات!$B$5:$B$304,0)))</f>
        <v/>
      </c>
      <c r="K92" s="36">
        <f>IF(55&gt;$B$10,"",55)</f>
        <v/>
      </c>
      <c r="L92" s="37">
        <f>IF($K92="","",INDEX('سجل التحفيز'!$A$5:$A$2004,MATCH($K92,'سجل التحفيز'!$Z$5:$Z$2004,0)))</f>
        <v/>
      </c>
      <c r="M92" s="9">
        <f>IF($K92="","",INDEX('سجل التحفيز'!$B$5:$B$2004,MATCH($K92,'سجل التحفيز'!$Z$5:$Z$2004,0)))</f>
        <v/>
      </c>
      <c r="N92" s="9">
        <f>IF($K92="","",INDEX('سجل التحفيز'!$M$5:$M$2004,MATCH($K92,'سجل التحفيز'!$Z$5:$Z$2004,0)))</f>
        <v/>
      </c>
      <c r="O92" s="9">
        <f>IF($K92="","",INDEX('سجل التحفيز'!$C$5:$C$2004,MATCH($K92,'سجل التحفيز'!$Z$5:$Z$2004,0)))</f>
        <v/>
      </c>
      <c r="P92" s="36">
        <f>IF($K92="","",INDEX('سجل التحفيز'!$D$5:$D$2004,MATCH($K92,'سجل التحفيز'!$Z$5:$Z$2004,0)))</f>
        <v/>
      </c>
      <c r="Q92" s="9">
        <f>IF($K92="","",INDEX('سجل التحفيز'!$E$5:$E$2004,MATCH($K92,'سجل التحفيز'!$Z$5:$Z$2004,0)))</f>
        <v/>
      </c>
      <c r="R92" s="9">
        <f>IF($K92="","",INDEX('سجل التحفيز'!$F$5:$F$2004,MATCH($K92,'سجل التحفيز'!$Z$5:$Z$2004,0)))</f>
        <v/>
      </c>
      <c r="S92" s="35">
        <f>IF($K92="","",INDEX('سجل التحفيز'!$G$5:$G$2004,MATCH($K92,'سجل التحفيز'!$Z$5:$Z$2004,0)))</f>
        <v/>
      </c>
    </row>
    <row r="93">
      <c r="B93" s="34">
        <f>IFERROR(INDEX(الموظفات!$B$5:$B$304,MATCH(56,الموظفات!$T$5:$T$304,0)),"")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التحفيز'!$Z$5:$Z$2004,"&gt;0",'سجل التحفيز'!$B$5:$B$2004,B93))</f>
        <v/>
      </c>
      <c r="E93" s="35">
        <f>IF(B93="","",COUNTIFS('سجل التحفيز'!$Z$5:$Z$2004,"&gt;0",'سجل التحفيز'!$B$5:$B$2004,B93,'سجل التحفيز'!$D$5:$D$2004,"ذهبي"))</f>
        <v/>
      </c>
      <c r="F93" s="35">
        <f>IF(B93="","",SUMIFS('سجل التحفيز'!$G$5:$G$2004,'سجل التحفيز'!$Z$5:$Z$2004,"&gt;0",'سجل التحفيز'!$B$5:$B$2004,B93))</f>
        <v/>
      </c>
      <c r="G93" s="35">
        <f>IF(B93="","",COUNTIF($D$38:$D$187,"&gt;"&amp;D93)+1)</f>
        <v/>
      </c>
      <c r="H93" s="35">
        <f>IF(B93="","",INDEX(الموظفات!$L$5:$L$304,MATCH(B93,الموظفات!$B$5:$B$304,0)))</f>
        <v/>
      </c>
      <c r="K93" s="36">
        <f>IF(56&gt;$B$10,"",56)</f>
        <v/>
      </c>
      <c r="L93" s="37">
        <f>IF($K93="","",INDEX('سجل التحفيز'!$A$5:$A$2004,MATCH($K93,'سجل التحفيز'!$Z$5:$Z$2004,0)))</f>
        <v/>
      </c>
      <c r="M93" s="9">
        <f>IF($K93="","",INDEX('سجل التحفيز'!$B$5:$B$2004,MATCH($K93,'سجل التحفيز'!$Z$5:$Z$2004,0)))</f>
        <v/>
      </c>
      <c r="N93" s="9">
        <f>IF($K93="","",INDEX('سجل التحفيز'!$M$5:$M$2004,MATCH($K93,'سجل التحفيز'!$Z$5:$Z$2004,0)))</f>
        <v/>
      </c>
      <c r="O93" s="9">
        <f>IF($K93="","",INDEX('سجل التحفيز'!$C$5:$C$2004,MATCH($K93,'سجل التحفيز'!$Z$5:$Z$2004,0)))</f>
        <v/>
      </c>
      <c r="P93" s="36">
        <f>IF($K93="","",INDEX('سجل التحفيز'!$D$5:$D$2004,MATCH($K93,'سجل التحفيز'!$Z$5:$Z$2004,0)))</f>
        <v/>
      </c>
      <c r="Q93" s="9">
        <f>IF($K93="","",INDEX('سجل التحفيز'!$E$5:$E$2004,MATCH($K93,'سجل التحفيز'!$Z$5:$Z$2004,0)))</f>
        <v/>
      </c>
      <c r="R93" s="9">
        <f>IF($K93="","",INDEX('سجل التحفيز'!$F$5:$F$2004,MATCH($K93,'سجل التحفيز'!$Z$5:$Z$2004,0)))</f>
        <v/>
      </c>
      <c r="S93" s="35">
        <f>IF($K93="","",INDEX('سجل التحفيز'!$G$5:$G$2004,MATCH($K93,'سجل التحفيز'!$Z$5:$Z$2004,0)))</f>
        <v/>
      </c>
    </row>
    <row r="94">
      <c r="B94" s="34">
        <f>IFERROR(INDEX(الموظفات!$B$5:$B$304,MATCH(57,الموظفات!$T$5:$T$304,0)),"")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التحفيز'!$Z$5:$Z$2004,"&gt;0",'سجل التحفيز'!$B$5:$B$2004,B94))</f>
        <v/>
      </c>
      <c r="E94" s="35">
        <f>IF(B94="","",COUNTIFS('سجل التحفيز'!$Z$5:$Z$2004,"&gt;0",'سجل التحفيز'!$B$5:$B$2004,B94,'سجل التحفيز'!$D$5:$D$2004,"ذهبي"))</f>
        <v/>
      </c>
      <c r="F94" s="35">
        <f>IF(B94="","",SUMIFS('سجل التحفيز'!$G$5:$G$2004,'سجل التحفيز'!$Z$5:$Z$2004,"&gt;0",'سجل التحفيز'!$B$5:$B$2004,B94))</f>
        <v/>
      </c>
      <c r="G94" s="35">
        <f>IF(B94="","",COUNTIF($D$38:$D$187,"&gt;"&amp;D94)+1)</f>
        <v/>
      </c>
      <c r="H94" s="35">
        <f>IF(B94="","",INDEX(الموظفات!$L$5:$L$304,MATCH(B94,الموظفات!$B$5:$B$304,0)))</f>
        <v/>
      </c>
      <c r="K94" s="36">
        <f>IF(57&gt;$B$10,"",57)</f>
        <v/>
      </c>
      <c r="L94" s="37">
        <f>IF($K94="","",INDEX('سجل التحفيز'!$A$5:$A$2004,MATCH($K94,'سجل التحفيز'!$Z$5:$Z$2004,0)))</f>
        <v/>
      </c>
      <c r="M94" s="9">
        <f>IF($K94="","",INDEX('سجل التحفيز'!$B$5:$B$2004,MATCH($K94,'سجل التحفيز'!$Z$5:$Z$2004,0)))</f>
        <v/>
      </c>
      <c r="N94" s="9">
        <f>IF($K94="","",INDEX('سجل التحفيز'!$M$5:$M$2004,MATCH($K94,'سجل التحفيز'!$Z$5:$Z$2004,0)))</f>
        <v/>
      </c>
      <c r="O94" s="9">
        <f>IF($K94="","",INDEX('سجل التحفيز'!$C$5:$C$2004,MATCH($K94,'سجل التحفيز'!$Z$5:$Z$2004,0)))</f>
        <v/>
      </c>
      <c r="P94" s="36">
        <f>IF($K94="","",INDEX('سجل التحفيز'!$D$5:$D$2004,MATCH($K94,'سجل التحفيز'!$Z$5:$Z$2004,0)))</f>
        <v/>
      </c>
      <c r="Q94" s="9">
        <f>IF($K94="","",INDEX('سجل التحفيز'!$E$5:$E$2004,MATCH($K94,'سجل التحفيز'!$Z$5:$Z$2004,0)))</f>
        <v/>
      </c>
      <c r="R94" s="9">
        <f>IF($K94="","",INDEX('سجل التحفيز'!$F$5:$F$2004,MATCH($K94,'سجل التحفيز'!$Z$5:$Z$2004,0)))</f>
        <v/>
      </c>
      <c r="S94" s="35">
        <f>IF($K94="","",INDEX('سجل التحفيز'!$G$5:$G$2004,MATCH($K94,'سجل التحفيز'!$Z$5:$Z$2004,0)))</f>
        <v/>
      </c>
    </row>
    <row r="95">
      <c r="B95" s="34">
        <f>IFERROR(INDEX(الموظفات!$B$5:$B$304,MATCH(58,الموظفات!$T$5:$T$304,0)),"")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التحفيز'!$Z$5:$Z$2004,"&gt;0",'سجل التحفيز'!$B$5:$B$2004,B95))</f>
        <v/>
      </c>
      <c r="E95" s="35">
        <f>IF(B95="","",COUNTIFS('سجل التحفيز'!$Z$5:$Z$2004,"&gt;0",'سجل التحفيز'!$B$5:$B$2004,B95,'سجل التحفيز'!$D$5:$D$2004,"ذهبي"))</f>
        <v/>
      </c>
      <c r="F95" s="35">
        <f>IF(B95="","",SUMIFS('سجل التحفيز'!$G$5:$G$2004,'سجل التحفيز'!$Z$5:$Z$2004,"&gt;0",'سجل التحفيز'!$B$5:$B$2004,B95))</f>
        <v/>
      </c>
      <c r="G95" s="35">
        <f>IF(B95="","",COUNTIF($D$38:$D$187,"&gt;"&amp;D95)+1)</f>
        <v/>
      </c>
      <c r="H95" s="35">
        <f>IF(B95="","",INDEX(الموظفات!$L$5:$L$304,MATCH(B95,الموظفات!$B$5:$B$304,0)))</f>
        <v/>
      </c>
      <c r="K95" s="36">
        <f>IF(58&gt;$B$10,"",58)</f>
        <v/>
      </c>
      <c r="L95" s="37">
        <f>IF($K95="","",INDEX('سجل التحفيز'!$A$5:$A$2004,MATCH($K95,'سجل التحفيز'!$Z$5:$Z$2004,0)))</f>
        <v/>
      </c>
      <c r="M95" s="9">
        <f>IF($K95="","",INDEX('سجل التحفيز'!$B$5:$B$2004,MATCH($K95,'سجل التحفيز'!$Z$5:$Z$2004,0)))</f>
        <v/>
      </c>
      <c r="N95" s="9">
        <f>IF($K95="","",INDEX('سجل التحفيز'!$M$5:$M$2004,MATCH($K95,'سجل التحفيز'!$Z$5:$Z$2004,0)))</f>
        <v/>
      </c>
      <c r="O95" s="9">
        <f>IF($K95="","",INDEX('سجل التحفيز'!$C$5:$C$2004,MATCH($K95,'سجل التحفيز'!$Z$5:$Z$2004,0)))</f>
        <v/>
      </c>
      <c r="P95" s="36">
        <f>IF($K95="","",INDEX('سجل التحفيز'!$D$5:$D$2004,MATCH($K95,'سجل التحفيز'!$Z$5:$Z$2004,0)))</f>
        <v/>
      </c>
      <c r="Q95" s="9">
        <f>IF($K95="","",INDEX('سجل التحفيز'!$E$5:$E$2004,MATCH($K95,'سجل التحفيز'!$Z$5:$Z$2004,0)))</f>
        <v/>
      </c>
      <c r="R95" s="9">
        <f>IF($K95="","",INDEX('سجل التحفيز'!$F$5:$F$2004,MATCH($K95,'سجل التحفيز'!$Z$5:$Z$2004,0)))</f>
        <v/>
      </c>
      <c r="S95" s="35">
        <f>IF($K95="","",INDEX('سجل التحفيز'!$G$5:$G$2004,MATCH($K95,'سجل التحفيز'!$Z$5:$Z$2004,0)))</f>
        <v/>
      </c>
    </row>
    <row r="96">
      <c r="B96" s="34">
        <f>IFERROR(INDEX(الموظفات!$B$5:$B$304,MATCH(59,الموظفات!$T$5:$T$304,0)),"")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التحفيز'!$Z$5:$Z$2004,"&gt;0",'سجل التحفيز'!$B$5:$B$2004,B96))</f>
        <v/>
      </c>
      <c r="E96" s="35">
        <f>IF(B96="","",COUNTIFS('سجل التحفيز'!$Z$5:$Z$2004,"&gt;0",'سجل التحفيز'!$B$5:$B$2004,B96,'سجل التحفيز'!$D$5:$D$2004,"ذهبي"))</f>
        <v/>
      </c>
      <c r="F96" s="35">
        <f>IF(B96="","",SUMIFS('سجل التحفيز'!$G$5:$G$2004,'سجل التحفيز'!$Z$5:$Z$2004,"&gt;0",'سجل التحفيز'!$B$5:$B$2004,B96))</f>
        <v/>
      </c>
      <c r="G96" s="35">
        <f>IF(B96="","",COUNTIF($D$38:$D$187,"&gt;"&amp;D96)+1)</f>
        <v/>
      </c>
      <c r="H96" s="35">
        <f>IF(B96="","",INDEX(الموظفات!$L$5:$L$304,MATCH(B96,الموظفات!$B$5:$B$304,0)))</f>
        <v/>
      </c>
      <c r="K96" s="36">
        <f>IF(59&gt;$B$10,"",59)</f>
        <v/>
      </c>
      <c r="L96" s="37">
        <f>IF($K96="","",INDEX('سجل التحفيز'!$A$5:$A$2004,MATCH($K96,'سجل التحفيز'!$Z$5:$Z$2004,0)))</f>
        <v/>
      </c>
      <c r="M96" s="9">
        <f>IF($K96="","",INDEX('سجل التحفيز'!$B$5:$B$2004,MATCH($K96,'سجل التحفيز'!$Z$5:$Z$2004,0)))</f>
        <v/>
      </c>
      <c r="N96" s="9">
        <f>IF($K96="","",INDEX('سجل التحفيز'!$M$5:$M$2004,MATCH($K96,'سجل التحفيز'!$Z$5:$Z$2004,0)))</f>
        <v/>
      </c>
      <c r="O96" s="9">
        <f>IF($K96="","",INDEX('سجل التحفيز'!$C$5:$C$2004,MATCH($K96,'سجل التحفيز'!$Z$5:$Z$2004,0)))</f>
        <v/>
      </c>
      <c r="P96" s="36">
        <f>IF($K96="","",INDEX('سجل التحفيز'!$D$5:$D$2004,MATCH($K96,'سجل التحفيز'!$Z$5:$Z$2004,0)))</f>
        <v/>
      </c>
      <c r="Q96" s="9">
        <f>IF($K96="","",INDEX('سجل التحفيز'!$E$5:$E$2004,MATCH($K96,'سجل التحفيز'!$Z$5:$Z$2004,0)))</f>
        <v/>
      </c>
      <c r="R96" s="9">
        <f>IF($K96="","",INDEX('سجل التحفيز'!$F$5:$F$2004,MATCH($K96,'سجل التحفيز'!$Z$5:$Z$2004,0)))</f>
        <v/>
      </c>
      <c r="S96" s="35">
        <f>IF($K96="","",INDEX('سجل التحفيز'!$G$5:$G$2004,MATCH($K96,'سجل التحفيز'!$Z$5:$Z$2004,0)))</f>
        <v/>
      </c>
    </row>
    <row r="97">
      <c r="B97" s="34">
        <f>IFERROR(INDEX(الموظفات!$B$5:$B$304,MATCH(60,الموظفات!$T$5:$T$304,0)),"")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التحفيز'!$Z$5:$Z$2004,"&gt;0",'سجل التحفيز'!$B$5:$B$2004,B97))</f>
        <v/>
      </c>
      <c r="E97" s="35">
        <f>IF(B97="","",COUNTIFS('سجل التحفيز'!$Z$5:$Z$2004,"&gt;0",'سجل التحفيز'!$B$5:$B$2004,B97,'سجل التحفيز'!$D$5:$D$2004,"ذهبي"))</f>
        <v/>
      </c>
      <c r="F97" s="35">
        <f>IF(B97="","",SUMIFS('سجل التحفيز'!$G$5:$G$2004,'سجل التحفيز'!$Z$5:$Z$2004,"&gt;0",'سجل التحفيز'!$B$5:$B$2004,B97))</f>
        <v/>
      </c>
      <c r="G97" s="35">
        <f>IF(B97="","",COUNTIF($D$38:$D$187,"&gt;"&amp;D97)+1)</f>
        <v/>
      </c>
      <c r="H97" s="35">
        <f>IF(B97="","",INDEX(الموظفات!$L$5:$L$304,MATCH(B97,الموظفات!$B$5:$B$304,0)))</f>
        <v/>
      </c>
      <c r="K97" s="36">
        <f>IF(60&gt;$B$10,"",60)</f>
        <v/>
      </c>
      <c r="L97" s="37">
        <f>IF($K97="","",INDEX('سجل التحفيز'!$A$5:$A$2004,MATCH($K97,'سجل التحفيز'!$Z$5:$Z$2004,0)))</f>
        <v/>
      </c>
      <c r="M97" s="9">
        <f>IF($K97="","",INDEX('سجل التحفيز'!$B$5:$B$2004,MATCH($K97,'سجل التحفيز'!$Z$5:$Z$2004,0)))</f>
        <v/>
      </c>
      <c r="N97" s="9">
        <f>IF($K97="","",INDEX('سجل التحفيز'!$M$5:$M$2004,MATCH($K97,'سجل التحفيز'!$Z$5:$Z$2004,0)))</f>
        <v/>
      </c>
      <c r="O97" s="9">
        <f>IF($K97="","",INDEX('سجل التحفيز'!$C$5:$C$2004,MATCH($K97,'سجل التحفيز'!$Z$5:$Z$2004,0)))</f>
        <v/>
      </c>
      <c r="P97" s="36">
        <f>IF($K97="","",INDEX('سجل التحفيز'!$D$5:$D$2004,MATCH($K97,'سجل التحفيز'!$Z$5:$Z$2004,0)))</f>
        <v/>
      </c>
      <c r="Q97" s="9">
        <f>IF($K97="","",INDEX('سجل التحفيز'!$E$5:$E$2004,MATCH($K97,'سجل التحفيز'!$Z$5:$Z$2004,0)))</f>
        <v/>
      </c>
      <c r="R97" s="9">
        <f>IF($K97="","",INDEX('سجل التحفيز'!$F$5:$F$2004,MATCH($K97,'سجل التحفيز'!$Z$5:$Z$2004,0)))</f>
        <v/>
      </c>
      <c r="S97" s="35">
        <f>IF($K97="","",INDEX('سجل التحفيز'!$G$5:$G$2004,MATCH($K97,'سجل التحفيز'!$Z$5:$Z$2004,0)))</f>
        <v/>
      </c>
    </row>
    <row r="98">
      <c r="B98" s="34">
        <f>IFERROR(INDEX(الموظفات!$B$5:$B$304,MATCH(61,الموظفات!$T$5:$T$304,0)),"")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التحفيز'!$Z$5:$Z$2004,"&gt;0",'سجل التحفيز'!$B$5:$B$2004,B98))</f>
        <v/>
      </c>
      <c r="E98" s="35">
        <f>IF(B98="","",COUNTIFS('سجل التحفيز'!$Z$5:$Z$2004,"&gt;0",'سجل التحفيز'!$B$5:$B$2004,B98,'سجل التحفيز'!$D$5:$D$2004,"ذهبي"))</f>
        <v/>
      </c>
      <c r="F98" s="35">
        <f>IF(B98="","",SUMIFS('سجل التحفيز'!$G$5:$G$2004,'سجل التحفيز'!$Z$5:$Z$2004,"&gt;0",'سجل التحفيز'!$B$5:$B$2004,B98))</f>
        <v/>
      </c>
      <c r="G98" s="35">
        <f>IF(B98="","",COUNTIF($D$38:$D$187,"&gt;"&amp;D98)+1)</f>
        <v/>
      </c>
      <c r="H98" s="35">
        <f>IF(B98="","",INDEX(الموظفات!$L$5:$L$304,MATCH(B98,الموظفات!$B$5:$B$304,0)))</f>
        <v/>
      </c>
      <c r="K98" s="36">
        <f>IF(61&gt;$B$10,"",61)</f>
        <v/>
      </c>
      <c r="L98" s="37">
        <f>IF($K98="","",INDEX('سجل التحفيز'!$A$5:$A$2004,MATCH($K98,'سجل التحفيز'!$Z$5:$Z$2004,0)))</f>
        <v/>
      </c>
      <c r="M98" s="9">
        <f>IF($K98="","",INDEX('سجل التحفيز'!$B$5:$B$2004,MATCH($K98,'سجل التحفيز'!$Z$5:$Z$2004,0)))</f>
        <v/>
      </c>
      <c r="N98" s="9">
        <f>IF($K98="","",INDEX('سجل التحفيز'!$M$5:$M$2004,MATCH($K98,'سجل التحفيز'!$Z$5:$Z$2004,0)))</f>
        <v/>
      </c>
      <c r="O98" s="9">
        <f>IF($K98="","",INDEX('سجل التحفيز'!$C$5:$C$2004,MATCH($K98,'سجل التحفيز'!$Z$5:$Z$2004,0)))</f>
        <v/>
      </c>
      <c r="P98" s="36">
        <f>IF($K98="","",INDEX('سجل التحفيز'!$D$5:$D$2004,MATCH($K98,'سجل التحفيز'!$Z$5:$Z$2004,0)))</f>
        <v/>
      </c>
      <c r="Q98" s="9">
        <f>IF($K98="","",INDEX('سجل التحفيز'!$E$5:$E$2004,MATCH($K98,'سجل التحفيز'!$Z$5:$Z$2004,0)))</f>
        <v/>
      </c>
      <c r="R98" s="9">
        <f>IF($K98="","",INDEX('سجل التحفيز'!$F$5:$F$2004,MATCH($K98,'سجل التحفيز'!$Z$5:$Z$2004,0)))</f>
        <v/>
      </c>
      <c r="S98" s="35">
        <f>IF($K98="","",INDEX('سجل التحفيز'!$G$5:$G$2004,MATCH($K98,'سجل التحفيز'!$Z$5:$Z$2004,0)))</f>
        <v/>
      </c>
    </row>
    <row r="99">
      <c r="B99" s="34">
        <f>IFERROR(INDEX(الموظفات!$B$5:$B$304,MATCH(62,الموظفات!$T$5:$T$304,0)),"")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التحفيز'!$Z$5:$Z$2004,"&gt;0",'سجل التحفيز'!$B$5:$B$2004,B99))</f>
        <v/>
      </c>
      <c r="E99" s="35">
        <f>IF(B99="","",COUNTIFS('سجل التحفيز'!$Z$5:$Z$2004,"&gt;0",'سجل التحفيز'!$B$5:$B$2004,B99,'سجل التحفيز'!$D$5:$D$2004,"ذهبي"))</f>
        <v/>
      </c>
      <c r="F99" s="35">
        <f>IF(B99="","",SUMIFS('سجل التحفيز'!$G$5:$G$2004,'سجل التحفيز'!$Z$5:$Z$2004,"&gt;0",'سجل التحفيز'!$B$5:$B$2004,B99))</f>
        <v/>
      </c>
      <c r="G99" s="35">
        <f>IF(B99="","",COUNTIF($D$38:$D$187,"&gt;"&amp;D99)+1)</f>
        <v/>
      </c>
      <c r="H99" s="35">
        <f>IF(B99="","",INDEX(الموظفات!$L$5:$L$304,MATCH(B99,الموظفات!$B$5:$B$304,0)))</f>
        <v/>
      </c>
      <c r="K99" s="36">
        <f>IF(62&gt;$B$10,"",62)</f>
        <v/>
      </c>
      <c r="L99" s="37">
        <f>IF($K99="","",INDEX('سجل التحفيز'!$A$5:$A$2004,MATCH($K99,'سجل التحفيز'!$Z$5:$Z$2004,0)))</f>
        <v/>
      </c>
      <c r="M99" s="9">
        <f>IF($K99="","",INDEX('سجل التحفيز'!$B$5:$B$2004,MATCH($K99,'سجل التحفيز'!$Z$5:$Z$2004,0)))</f>
        <v/>
      </c>
      <c r="N99" s="9">
        <f>IF($K99="","",INDEX('سجل التحفيز'!$M$5:$M$2004,MATCH($K99,'سجل التحفيز'!$Z$5:$Z$2004,0)))</f>
        <v/>
      </c>
      <c r="O99" s="9">
        <f>IF($K99="","",INDEX('سجل التحفيز'!$C$5:$C$2004,MATCH($K99,'سجل التحفيز'!$Z$5:$Z$2004,0)))</f>
        <v/>
      </c>
      <c r="P99" s="36">
        <f>IF($K99="","",INDEX('سجل التحفيز'!$D$5:$D$2004,MATCH($K99,'سجل التحفيز'!$Z$5:$Z$2004,0)))</f>
        <v/>
      </c>
      <c r="Q99" s="9">
        <f>IF($K99="","",INDEX('سجل التحفيز'!$E$5:$E$2004,MATCH($K99,'سجل التحفيز'!$Z$5:$Z$2004,0)))</f>
        <v/>
      </c>
      <c r="R99" s="9">
        <f>IF($K99="","",INDEX('سجل التحفيز'!$F$5:$F$2004,MATCH($K99,'سجل التحفيز'!$Z$5:$Z$2004,0)))</f>
        <v/>
      </c>
      <c r="S99" s="35">
        <f>IF($K99="","",INDEX('سجل التحفيز'!$G$5:$G$2004,MATCH($K99,'سجل التحفيز'!$Z$5:$Z$2004,0)))</f>
        <v/>
      </c>
    </row>
    <row r="100">
      <c r="B100" s="34">
        <f>IFERROR(INDEX(الموظفات!$B$5:$B$304,MATCH(63,الموظفات!$T$5:$T$304,0)),"")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التحفيز'!$Z$5:$Z$2004,"&gt;0",'سجل التحفيز'!$B$5:$B$2004,B100))</f>
        <v/>
      </c>
      <c r="E100" s="35">
        <f>IF(B100="","",COUNTIFS('سجل التحفيز'!$Z$5:$Z$2004,"&gt;0",'سجل التحفيز'!$B$5:$B$2004,B100,'سجل التحفيز'!$D$5:$D$2004,"ذهبي"))</f>
        <v/>
      </c>
      <c r="F100" s="35">
        <f>IF(B100="","",SUMIFS('سجل التحفيز'!$G$5:$G$2004,'سجل التحفيز'!$Z$5:$Z$2004,"&gt;0",'سجل التحفيز'!$B$5:$B$2004,B100))</f>
        <v/>
      </c>
      <c r="G100" s="35">
        <f>IF(B100="","",COUNTIF($D$38:$D$187,"&gt;"&amp;D100)+1)</f>
        <v/>
      </c>
      <c r="H100" s="35">
        <f>IF(B100="","",INDEX(الموظفات!$L$5:$L$304,MATCH(B100,الموظفات!$B$5:$B$304,0)))</f>
        <v/>
      </c>
      <c r="K100" s="36">
        <f>IF(63&gt;$B$10,"",63)</f>
        <v/>
      </c>
      <c r="L100" s="37">
        <f>IF($K100="","",INDEX('سجل التحفيز'!$A$5:$A$2004,MATCH($K100,'سجل التحفيز'!$Z$5:$Z$2004,0)))</f>
        <v/>
      </c>
      <c r="M100" s="9">
        <f>IF($K100="","",INDEX('سجل التحفيز'!$B$5:$B$2004,MATCH($K100,'سجل التحفيز'!$Z$5:$Z$2004,0)))</f>
        <v/>
      </c>
      <c r="N100" s="9">
        <f>IF($K100="","",INDEX('سجل التحفيز'!$M$5:$M$2004,MATCH($K100,'سجل التحفيز'!$Z$5:$Z$2004,0)))</f>
        <v/>
      </c>
      <c r="O100" s="9">
        <f>IF($K100="","",INDEX('سجل التحفيز'!$C$5:$C$2004,MATCH($K100,'سجل التحفيز'!$Z$5:$Z$2004,0)))</f>
        <v/>
      </c>
      <c r="P100" s="36">
        <f>IF($K100="","",INDEX('سجل التحفيز'!$D$5:$D$2004,MATCH($K100,'سجل التحفيز'!$Z$5:$Z$2004,0)))</f>
        <v/>
      </c>
      <c r="Q100" s="9">
        <f>IF($K100="","",INDEX('سجل التحفيز'!$E$5:$E$2004,MATCH($K100,'سجل التحفيز'!$Z$5:$Z$2004,0)))</f>
        <v/>
      </c>
      <c r="R100" s="9">
        <f>IF($K100="","",INDEX('سجل التحفيز'!$F$5:$F$2004,MATCH($K100,'سجل التحفيز'!$Z$5:$Z$2004,0)))</f>
        <v/>
      </c>
      <c r="S100" s="35">
        <f>IF($K100="","",INDEX('سجل التحفيز'!$G$5:$G$2004,MATCH($K100,'سجل التحفيز'!$Z$5:$Z$2004,0)))</f>
        <v/>
      </c>
    </row>
    <row r="101">
      <c r="B101" s="34">
        <f>IFERROR(INDEX(الموظفات!$B$5:$B$304,MATCH(64,الموظفات!$T$5:$T$304,0)),"")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التحفيز'!$Z$5:$Z$2004,"&gt;0",'سجل التحفيز'!$B$5:$B$2004,B101))</f>
        <v/>
      </c>
      <c r="E101" s="35">
        <f>IF(B101="","",COUNTIFS('سجل التحفيز'!$Z$5:$Z$2004,"&gt;0",'سجل التحفيز'!$B$5:$B$2004,B101,'سجل التحفيز'!$D$5:$D$2004,"ذهبي"))</f>
        <v/>
      </c>
      <c r="F101" s="35">
        <f>IF(B101="","",SUMIFS('سجل التحفيز'!$G$5:$G$2004,'سجل التحفيز'!$Z$5:$Z$2004,"&gt;0",'سجل التحفيز'!$B$5:$B$2004,B101))</f>
        <v/>
      </c>
      <c r="G101" s="35">
        <f>IF(B101="","",COUNTIF($D$38:$D$187,"&gt;"&amp;D101)+1)</f>
        <v/>
      </c>
      <c r="H101" s="35">
        <f>IF(B101="","",INDEX(الموظفات!$L$5:$L$304,MATCH(B101,الموظفات!$B$5:$B$304,0)))</f>
        <v/>
      </c>
      <c r="K101" s="36">
        <f>IF(64&gt;$B$10,"",64)</f>
        <v/>
      </c>
      <c r="L101" s="37">
        <f>IF($K101="","",INDEX('سجل التحفيز'!$A$5:$A$2004,MATCH($K101,'سجل التحفيز'!$Z$5:$Z$2004,0)))</f>
        <v/>
      </c>
      <c r="M101" s="9">
        <f>IF($K101="","",INDEX('سجل التحفيز'!$B$5:$B$2004,MATCH($K101,'سجل التحفيز'!$Z$5:$Z$2004,0)))</f>
        <v/>
      </c>
      <c r="N101" s="9">
        <f>IF($K101="","",INDEX('سجل التحفيز'!$M$5:$M$2004,MATCH($K101,'سجل التحفيز'!$Z$5:$Z$2004,0)))</f>
        <v/>
      </c>
      <c r="O101" s="9">
        <f>IF($K101="","",INDEX('سجل التحفيز'!$C$5:$C$2004,MATCH($K101,'سجل التحفيز'!$Z$5:$Z$2004,0)))</f>
        <v/>
      </c>
      <c r="P101" s="36">
        <f>IF($K101="","",INDEX('سجل التحفيز'!$D$5:$D$2004,MATCH($K101,'سجل التحفيز'!$Z$5:$Z$2004,0)))</f>
        <v/>
      </c>
      <c r="Q101" s="9">
        <f>IF($K101="","",INDEX('سجل التحفيز'!$E$5:$E$2004,MATCH($K101,'سجل التحفيز'!$Z$5:$Z$2004,0)))</f>
        <v/>
      </c>
      <c r="R101" s="9">
        <f>IF($K101="","",INDEX('سجل التحفيز'!$F$5:$F$2004,MATCH($K101,'سجل التحفيز'!$Z$5:$Z$2004,0)))</f>
        <v/>
      </c>
      <c r="S101" s="35">
        <f>IF($K101="","",INDEX('سجل التحفيز'!$G$5:$G$2004,MATCH($K101,'سجل التحفيز'!$Z$5:$Z$2004,0)))</f>
        <v/>
      </c>
    </row>
    <row r="102">
      <c r="B102" s="34">
        <f>IFERROR(INDEX(الموظفات!$B$5:$B$304,MATCH(65,الموظفات!$T$5:$T$304,0)),"")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التحفيز'!$Z$5:$Z$2004,"&gt;0",'سجل التحفيز'!$B$5:$B$2004,B102))</f>
        <v/>
      </c>
      <c r="E102" s="35">
        <f>IF(B102="","",COUNTIFS('سجل التحفيز'!$Z$5:$Z$2004,"&gt;0",'سجل التحفيز'!$B$5:$B$2004,B102,'سجل التحفيز'!$D$5:$D$2004,"ذهبي"))</f>
        <v/>
      </c>
      <c r="F102" s="35">
        <f>IF(B102="","",SUMIFS('سجل التحفيز'!$G$5:$G$2004,'سجل التحفيز'!$Z$5:$Z$2004,"&gt;0",'سجل التحفيز'!$B$5:$B$2004,B102))</f>
        <v/>
      </c>
      <c r="G102" s="35">
        <f>IF(B102="","",COUNTIF($D$38:$D$187,"&gt;"&amp;D102)+1)</f>
        <v/>
      </c>
      <c r="H102" s="35">
        <f>IF(B102="","",INDEX(الموظفات!$L$5:$L$304,MATCH(B102,الموظفات!$B$5:$B$304,0)))</f>
        <v/>
      </c>
      <c r="K102" s="36">
        <f>IF(65&gt;$B$10,"",65)</f>
        <v/>
      </c>
      <c r="L102" s="37">
        <f>IF($K102="","",INDEX('سجل التحفيز'!$A$5:$A$2004,MATCH($K102,'سجل التحفيز'!$Z$5:$Z$2004,0)))</f>
        <v/>
      </c>
      <c r="M102" s="9">
        <f>IF($K102="","",INDEX('سجل التحفيز'!$B$5:$B$2004,MATCH($K102,'سجل التحفيز'!$Z$5:$Z$2004,0)))</f>
        <v/>
      </c>
      <c r="N102" s="9">
        <f>IF($K102="","",INDEX('سجل التحفيز'!$M$5:$M$2004,MATCH($K102,'سجل التحفيز'!$Z$5:$Z$2004,0)))</f>
        <v/>
      </c>
      <c r="O102" s="9">
        <f>IF($K102="","",INDEX('سجل التحفيز'!$C$5:$C$2004,MATCH($K102,'سجل التحفيز'!$Z$5:$Z$2004,0)))</f>
        <v/>
      </c>
      <c r="P102" s="36">
        <f>IF($K102="","",INDEX('سجل التحفيز'!$D$5:$D$2004,MATCH($K102,'سجل التحفيز'!$Z$5:$Z$2004,0)))</f>
        <v/>
      </c>
      <c r="Q102" s="9">
        <f>IF($K102="","",INDEX('سجل التحفيز'!$E$5:$E$2004,MATCH($K102,'سجل التحفيز'!$Z$5:$Z$2004,0)))</f>
        <v/>
      </c>
      <c r="R102" s="9">
        <f>IF($K102="","",INDEX('سجل التحفيز'!$F$5:$F$2004,MATCH($K102,'سجل التحفيز'!$Z$5:$Z$2004,0)))</f>
        <v/>
      </c>
      <c r="S102" s="35">
        <f>IF($K102="","",INDEX('سجل التحفيز'!$G$5:$G$2004,MATCH($K102,'سجل التحفيز'!$Z$5:$Z$2004,0)))</f>
        <v/>
      </c>
    </row>
    <row r="103">
      <c r="B103" s="34">
        <f>IFERROR(INDEX(الموظفات!$B$5:$B$304,MATCH(66,الموظفات!$T$5:$T$304,0)),"")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التحفيز'!$Z$5:$Z$2004,"&gt;0",'سجل التحفيز'!$B$5:$B$2004,B103))</f>
        <v/>
      </c>
      <c r="E103" s="35">
        <f>IF(B103="","",COUNTIFS('سجل التحفيز'!$Z$5:$Z$2004,"&gt;0",'سجل التحفيز'!$B$5:$B$2004,B103,'سجل التحفيز'!$D$5:$D$2004,"ذهبي"))</f>
        <v/>
      </c>
      <c r="F103" s="35">
        <f>IF(B103="","",SUMIFS('سجل التحفيز'!$G$5:$G$2004,'سجل التحفيز'!$Z$5:$Z$2004,"&gt;0",'سجل التحفيز'!$B$5:$B$2004,B103))</f>
        <v/>
      </c>
      <c r="G103" s="35">
        <f>IF(B103="","",COUNTIF($D$38:$D$187,"&gt;"&amp;D103)+1)</f>
        <v/>
      </c>
      <c r="H103" s="35">
        <f>IF(B103="","",INDEX(الموظفات!$L$5:$L$304,MATCH(B103,الموظفات!$B$5:$B$304,0)))</f>
        <v/>
      </c>
      <c r="K103" s="36">
        <f>IF(66&gt;$B$10,"",66)</f>
        <v/>
      </c>
      <c r="L103" s="37">
        <f>IF($K103="","",INDEX('سجل التحفيز'!$A$5:$A$2004,MATCH($K103,'سجل التحفيز'!$Z$5:$Z$2004,0)))</f>
        <v/>
      </c>
      <c r="M103" s="9">
        <f>IF($K103="","",INDEX('سجل التحفيز'!$B$5:$B$2004,MATCH($K103,'سجل التحفيز'!$Z$5:$Z$2004,0)))</f>
        <v/>
      </c>
      <c r="N103" s="9">
        <f>IF($K103="","",INDEX('سجل التحفيز'!$M$5:$M$2004,MATCH($K103,'سجل التحفيز'!$Z$5:$Z$2004,0)))</f>
        <v/>
      </c>
      <c r="O103" s="9">
        <f>IF($K103="","",INDEX('سجل التحفيز'!$C$5:$C$2004,MATCH($K103,'سجل التحفيز'!$Z$5:$Z$2004,0)))</f>
        <v/>
      </c>
      <c r="P103" s="36">
        <f>IF($K103="","",INDEX('سجل التحفيز'!$D$5:$D$2004,MATCH($K103,'سجل التحفيز'!$Z$5:$Z$2004,0)))</f>
        <v/>
      </c>
      <c r="Q103" s="9">
        <f>IF($K103="","",INDEX('سجل التحفيز'!$E$5:$E$2004,MATCH($K103,'سجل التحفيز'!$Z$5:$Z$2004,0)))</f>
        <v/>
      </c>
      <c r="R103" s="9">
        <f>IF($K103="","",INDEX('سجل التحفيز'!$F$5:$F$2004,MATCH($K103,'سجل التحفيز'!$Z$5:$Z$2004,0)))</f>
        <v/>
      </c>
      <c r="S103" s="35">
        <f>IF($K103="","",INDEX('سجل التحفيز'!$G$5:$G$2004,MATCH($K103,'سجل التحفيز'!$Z$5:$Z$2004,0)))</f>
        <v/>
      </c>
    </row>
    <row r="104">
      <c r="B104" s="34">
        <f>IFERROR(INDEX(الموظفات!$B$5:$B$304,MATCH(67,الموظفات!$T$5:$T$304,0)),"")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التحفيز'!$Z$5:$Z$2004,"&gt;0",'سجل التحفيز'!$B$5:$B$2004,B104))</f>
        <v/>
      </c>
      <c r="E104" s="35">
        <f>IF(B104="","",COUNTIFS('سجل التحفيز'!$Z$5:$Z$2004,"&gt;0",'سجل التحفيز'!$B$5:$B$2004,B104,'سجل التحفيز'!$D$5:$D$2004,"ذهبي"))</f>
        <v/>
      </c>
      <c r="F104" s="35">
        <f>IF(B104="","",SUMIFS('سجل التحفيز'!$G$5:$G$2004,'سجل التحفيز'!$Z$5:$Z$2004,"&gt;0",'سجل التحفيز'!$B$5:$B$2004,B104))</f>
        <v/>
      </c>
      <c r="G104" s="35">
        <f>IF(B104="","",COUNTIF($D$38:$D$187,"&gt;"&amp;D104)+1)</f>
        <v/>
      </c>
      <c r="H104" s="35">
        <f>IF(B104="","",INDEX(الموظفات!$L$5:$L$304,MATCH(B104,الموظفات!$B$5:$B$304,0)))</f>
        <v/>
      </c>
      <c r="K104" s="36">
        <f>IF(67&gt;$B$10,"",67)</f>
        <v/>
      </c>
      <c r="L104" s="37">
        <f>IF($K104="","",INDEX('سجل التحفيز'!$A$5:$A$2004,MATCH($K104,'سجل التحفيز'!$Z$5:$Z$2004,0)))</f>
        <v/>
      </c>
      <c r="M104" s="9">
        <f>IF($K104="","",INDEX('سجل التحفيز'!$B$5:$B$2004,MATCH($K104,'سجل التحفيز'!$Z$5:$Z$2004,0)))</f>
        <v/>
      </c>
      <c r="N104" s="9">
        <f>IF($K104="","",INDEX('سجل التحفيز'!$M$5:$M$2004,MATCH($K104,'سجل التحفيز'!$Z$5:$Z$2004,0)))</f>
        <v/>
      </c>
      <c r="O104" s="9">
        <f>IF($K104="","",INDEX('سجل التحفيز'!$C$5:$C$2004,MATCH($K104,'سجل التحفيز'!$Z$5:$Z$2004,0)))</f>
        <v/>
      </c>
      <c r="P104" s="36">
        <f>IF($K104="","",INDEX('سجل التحفيز'!$D$5:$D$2004,MATCH($K104,'سجل التحفيز'!$Z$5:$Z$2004,0)))</f>
        <v/>
      </c>
      <c r="Q104" s="9">
        <f>IF($K104="","",INDEX('سجل التحفيز'!$E$5:$E$2004,MATCH($K104,'سجل التحفيز'!$Z$5:$Z$2004,0)))</f>
        <v/>
      </c>
      <c r="R104" s="9">
        <f>IF($K104="","",INDEX('سجل التحفيز'!$F$5:$F$2004,MATCH($K104,'سجل التحفيز'!$Z$5:$Z$2004,0)))</f>
        <v/>
      </c>
      <c r="S104" s="35">
        <f>IF($K104="","",INDEX('سجل التحفيز'!$G$5:$G$2004,MATCH($K104,'سجل التحفيز'!$Z$5:$Z$2004,0)))</f>
        <v/>
      </c>
    </row>
    <row r="105">
      <c r="B105" s="34">
        <f>IFERROR(INDEX(الموظفات!$B$5:$B$304,MATCH(68,الموظفات!$T$5:$T$304,0)),"")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التحفيز'!$Z$5:$Z$2004,"&gt;0",'سجل التحفيز'!$B$5:$B$2004,B105))</f>
        <v/>
      </c>
      <c r="E105" s="35">
        <f>IF(B105="","",COUNTIFS('سجل التحفيز'!$Z$5:$Z$2004,"&gt;0",'سجل التحفيز'!$B$5:$B$2004,B105,'سجل التحفيز'!$D$5:$D$2004,"ذهبي"))</f>
        <v/>
      </c>
      <c r="F105" s="35">
        <f>IF(B105="","",SUMIFS('سجل التحفيز'!$G$5:$G$2004,'سجل التحفيز'!$Z$5:$Z$2004,"&gt;0",'سجل التحفيز'!$B$5:$B$2004,B105))</f>
        <v/>
      </c>
      <c r="G105" s="35">
        <f>IF(B105="","",COUNTIF($D$38:$D$187,"&gt;"&amp;D105)+1)</f>
        <v/>
      </c>
      <c r="H105" s="35">
        <f>IF(B105="","",INDEX(الموظفات!$L$5:$L$304,MATCH(B105,الموظفات!$B$5:$B$304,0)))</f>
        <v/>
      </c>
      <c r="K105" s="36">
        <f>IF(68&gt;$B$10,"",68)</f>
        <v/>
      </c>
      <c r="L105" s="37">
        <f>IF($K105="","",INDEX('سجل التحفيز'!$A$5:$A$2004,MATCH($K105,'سجل التحفيز'!$Z$5:$Z$2004,0)))</f>
        <v/>
      </c>
      <c r="M105" s="9">
        <f>IF($K105="","",INDEX('سجل التحفيز'!$B$5:$B$2004,MATCH($K105,'سجل التحفيز'!$Z$5:$Z$2004,0)))</f>
        <v/>
      </c>
      <c r="N105" s="9">
        <f>IF($K105="","",INDEX('سجل التحفيز'!$M$5:$M$2004,MATCH($K105,'سجل التحفيز'!$Z$5:$Z$2004,0)))</f>
        <v/>
      </c>
      <c r="O105" s="9">
        <f>IF($K105="","",INDEX('سجل التحفيز'!$C$5:$C$2004,MATCH($K105,'سجل التحفيز'!$Z$5:$Z$2004,0)))</f>
        <v/>
      </c>
      <c r="P105" s="36">
        <f>IF($K105="","",INDEX('سجل التحفيز'!$D$5:$D$2004,MATCH($K105,'سجل التحفيز'!$Z$5:$Z$2004,0)))</f>
        <v/>
      </c>
      <c r="Q105" s="9">
        <f>IF($K105="","",INDEX('سجل التحفيز'!$E$5:$E$2004,MATCH($K105,'سجل التحفيز'!$Z$5:$Z$2004,0)))</f>
        <v/>
      </c>
      <c r="R105" s="9">
        <f>IF($K105="","",INDEX('سجل التحفيز'!$F$5:$F$2004,MATCH($K105,'سجل التحفيز'!$Z$5:$Z$2004,0)))</f>
        <v/>
      </c>
      <c r="S105" s="35">
        <f>IF($K105="","",INDEX('سجل التحفيز'!$G$5:$G$2004,MATCH($K105,'سجل التحفيز'!$Z$5:$Z$2004,0)))</f>
        <v/>
      </c>
    </row>
    <row r="106">
      <c r="B106" s="34">
        <f>IFERROR(INDEX(الموظفات!$B$5:$B$304,MATCH(69,الموظفات!$T$5:$T$304,0)),"")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التحفيز'!$Z$5:$Z$2004,"&gt;0",'سجل التحفيز'!$B$5:$B$2004,B106))</f>
        <v/>
      </c>
      <c r="E106" s="35">
        <f>IF(B106="","",COUNTIFS('سجل التحفيز'!$Z$5:$Z$2004,"&gt;0",'سجل التحفيز'!$B$5:$B$2004,B106,'سجل التحفيز'!$D$5:$D$2004,"ذهبي"))</f>
        <v/>
      </c>
      <c r="F106" s="35">
        <f>IF(B106="","",SUMIFS('سجل التحفيز'!$G$5:$G$2004,'سجل التحفيز'!$Z$5:$Z$2004,"&gt;0",'سجل التحفيز'!$B$5:$B$2004,B106))</f>
        <v/>
      </c>
      <c r="G106" s="35">
        <f>IF(B106="","",COUNTIF($D$38:$D$187,"&gt;"&amp;D106)+1)</f>
        <v/>
      </c>
      <c r="H106" s="35">
        <f>IF(B106="","",INDEX(الموظفات!$L$5:$L$304,MATCH(B106,الموظفات!$B$5:$B$304,0)))</f>
        <v/>
      </c>
      <c r="K106" s="36">
        <f>IF(69&gt;$B$10,"",69)</f>
        <v/>
      </c>
      <c r="L106" s="37">
        <f>IF($K106="","",INDEX('سجل التحفيز'!$A$5:$A$2004,MATCH($K106,'سجل التحفيز'!$Z$5:$Z$2004,0)))</f>
        <v/>
      </c>
      <c r="M106" s="9">
        <f>IF($K106="","",INDEX('سجل التحفيز'!$B$5:$B$2004,MATCH($K106,'سجل التحفيز'!$Z$5:$Z$2004,0)))</f>
        <v/>
      </c>
      <c r="N106" s="9">
        <f>IF($K106="","",INDEX('سجل التحفيز'!$M$5:$M$2004,MATCH($K106,'سجل التحفيز'!$Z$5:$Z$2004,0)))</f>
        <v/>
      </c>
      <c r="O106" s="9">
        <f>IF($K106="","",INDEX('سجل التحفيز'!$C$5:$C$2004,MATCH($K106,'سجل التحفيز'!$Z$5:$Z$2004,0)))</f>
        <v/>
      </c>
      <c r="P106" s="36">
        <f>IF($K106="","",INDEX('سجل التحفيز'!$D$5:$D$2004,MATCH($K106,'سجل التحفيز'!$Z$5:$Z$2004,0)))</f>
        <v/>
      </c>
      <c r="Q106" s="9">
        <f>IF($K106="","",INDEX('سجل التحفيز'!$E$5:$E$2004,MATCH($K106,'سجل التحفيز'!$Z$5:$Z$2004,0)))</f>
        <v/>
      </c>
      <c r="R106" s="9">
        <f>IF($K106="","",INDEX('سجل التحفيز'!$F$5:$F$2004,MATCH($K106,'سجل التحفيز'!$Z$5:$Z$2004,0)))</f>
        <v/>
      </c>
      <c r="S106" s="35">
        <f>IF($K106="","",INDEX('سجل التحفيز'!$G$5:$G$2004,MATCH($K106,'سجل التحفيز'!$Z$5:$Z$2004,0)))</f>
        <v/>
      </c>
    </row>
    <row r="107">
      <c r="B107" s="34">
        <f>IFERROR(INDEX(الموظفات!$B$5:$B$304,MATCH(70,الموظفات!$T$5:$T$304,0)),"")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التحفيز'!$Z$5:$Z$2004,"&gt;0",'سجل التحفيز'!$B$5:$B$2004,B107))</f>
        <v/>
      </c>
      <c r="E107" s="35">
        <f>IF(B107="","",COUNTIFS('سجل التحفيز'!$Z$5:$Z$2004,"&gt;0",'سجل التحفيز'!$B$5:$B$2004,B107,'سجل التحفيز'!$D$5:$D$2004,"ذهبي"))</f>
        <v/>
      </c>
      <c r="F107" s="35">
        <f>IF(B107="","",SUMIFS('سجل التحفيز'!$G$5:$G$2004,'سجل التحفيز'!$Z$5:$Z$2004,"&gt;0",'سجل التحفيز'!$B$5:$B$2004,B107))</f>
        <v/>
      </c>
      <c r="G107" s="35">
        <f>IF(B107="","",COUNTIF($D$38:$D$187,"&gt;"&amp;D107)+1)</f>
        <v/>
      </c>
      <c r="H107" s="35">
        <f>IF(B107="","",INDEX(الموظفات!$L$5:$L$304,MATCH(B107,الموظفات!$B$5:$B$304,0)))</f>
        <v/>
      </c>
      <c r="K107" s="36">
        <f>IF(70&gt;$B$10,"",70)</f>
        <v/>
      </c>
      <c r="L107" s="37">
        <f>IF($K107="","",INDEX('سجل التحفيز'!$A$5:$A$2004,MATCH($K107,'سجل التحفيز'!$Z$5:$Z$2004,0)))</f>
        <v/>
      </c>
      <c r="M107" s="9">
        <f>IF($K107="","",INDEX('سجل التحفيز'!$B$5:$B$2004,MATCH($K107,'سجل التحفيز'!$Z$5:$Z$2004,0)))</f>
        <v/>
      </c>
      <c r="N107" s="9">
        <f>IF($K107="","",INDEX('سجل التحفيز'!$M$5:$M$2004,MATCH($K107,'سجل التحفيز'!$Z$5:$Z$2004,0)))</f>
        <v/>
      </c>
      <c r="O107" s="9">
        <f>IF($K107="","",INDEX('سجل التحفيز'!$C$5:$C$2004,MATCH($K107,'سجل التحفيز'!$Z$5:$Z$2004,0)))</f>
        <v/>
      </c>
      <c r="P107" s="36">
        <f>IF($K107="","",INDEX('سجل التحفيز'!$D$5:$D$2004,MATCH($K107,'سجل التحفيز'!$Z$5:$Z$2004,0)))</f>
        <v/>
      </c>
      <c r="Q107" s="9">
        <f>IF($K107="","",INDEX('سجل التحفيز'!$E$5:$E$2004,MATCH($K107,'سجل التحفيز'!$Z$5:$Z$2004,0)))</f>
        <v/>
      </c>
      <c r="R107" s="9">
        <f>IF($K107="","",INDEX('سجل التحفيز'!$F$5:$F$2004,MATCH($K107,'سجل التحفيز'!$Z$5:$Z$2004,0)))</f>
        <v/>
      </c>
      <c r="S107" s="35">
        <f>IF($K107="","",INDEX('سجل التحفيز'!$G$5:$G$2004,MATCH($K107,'سجل التحفيز'!$Z$5:$Z$2004,0)))</f>
        <v/>
      </c>
    </row>
    <row r="108">
      <c r="B108" s="34">
        <f>IFERROR(INDEX(الموظفات!$B$5:$B$304,MATCH(71,الموظفات!$T$5:$T$304,0)),"")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التحفيز'!$Z$5:$Z$2004,"&gt;0",'سجل التحفيز'!$B$5:$B$2004,B108))</f>
        <v/>
      </c>
      <c r="E108" s="35">
        <f>IF(B108="","",COUNTIFS('سجل التحفيز'!$Z$5:$Z$2004,"&gt;0",'سجل التحفيز'!$B$5:$B$2004,B108,'سجل التحفيز'!$D$5:$D$2004,"ذهبي"))</f>
        <v/>
      </c>
      <c r="F108" s="35">
        <f>IF(B108="","",SUMIFS('سجل التحفيز'!$G$5:$G$2004,'سجل التحفيز'!$Z$5:$Z$2004,"&gt;0",'سجل التحفيز'!$B$5:$B$2004,B108))</f>
        <v/>
      </c>
      <c r="G108" s="35">
        <f>IF(B108="","",COUNTIF($D$38:$D$187,"&gt;"&amp;D108)+1)</f>
        <v/>
      </c>
      <c r="H108" s="35">
        <f>IF(B108="","",INDEX(الموظفات!$L$5:$L$304,MATCH(B108,الموظفات!$B$5:$B$304,0)))</f>
        <v/>
      </c>
      <c r="K108" s="36">
        <f>IF(71&gt;$B$10,"",71)</f>
        <v/>
      </c>
      <c r="L108" s="37">
        <f>IF($K108="","",INDEX('سجل التحفيز'!$A$5:$A$2004,MATCH($K108,'سجل التحفيز'!$Z$5:$Z$2004,0)))</f>
        <v/>
      </c>
      <c r="M108" s="9">
        <f>IF($K108="","",INDEX('سجل التحفيز'!$B$5:$B$2004,MATCH($K108,'سجل التحفيز'!$Z$5:$Z$2004,0)))</f>
        <v/>
      </c>
      <c r="N108" s="9">
        <f>IF($K108="","",INDEX('سجل التحفيز'!$M$5:$M$2004,MATCH($K108,'سجل التحفيز'!$Z$5:$Z$2004,0)))</f>
        <v/>
      </c>
      <c r="O108" s="9">
        <f>IF($K108="","",INDEX('سجل التحفيز'!$C$5:$C$2004,MATCH($K108,'سجل التحفيز'!$Z$5:$Z$2004,0)))</f>
        <v/>
      </c>
      <c r="P108" s="36">
        <f>IF($K108="","",INDEX('سجل التحفيز'!$D$5:$D$2004,MATCH($K108,'سجل التحفيز'!$Z$5:$Z$2004,0)))</f>
        <v/>
      </c>
      <c r="Q108" s="9">
        <f>IF($K108="","",INDEX('سجل التحفيز'!$E$5:$E$2004,MATCH($K108,'سجل التحفيز'!$Z$5:$Z$2004,0)))</f>
        <v/>
      </c>
      <c r="R108" s="9">
        <f>IF($K108="","",INDEX('سجل التحفيز'!$F$5:$F$2004,MATCH($K108,'سجل التحفيز'!$Z$5:$Z$2004,0)))</f>
        <v/>
      </c>
      <c r="S108" s="35">
        <f>IF($K108="","",INDEX('سجل التحفيز'!$G$5:$G$2004,MATCH($K108,'سجل التحفيز'!$Z$5:$Z$2004,0)))</f>
        <v/>
      </c>
    </row>
    <row r="109">
      <c r="B109" s="34">
        <f>IFERROR(INDEX(الموظفات!$B$5:$B$304,MATCH(72,الموظفات!$T$5:$T$304,0)),"")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التحفيز'!$Z$5:$Z$2004,"&gt;0",'سجل التحفيز'!$B$5:$B$2004,B109))</f>
        <v/>
      </c>
      <c r="E109" s="35">
        <f>IF(B109="","",COUNTIFS('سجل التحفيز'!$Z$5:$Z$2004,"&gt;0",'سجل التحفيز'!$B$5:$B$2004,B109,'سجل التحفيز'!$D$5:$D$2004,"ذهبي"))</f>
        <v/>
      </c>
      <c r="F109" s="35">
        <f>IF(B109="","",SUMIFS('سجل التحفيز'!$G$5:$G$2004,'سجل التحفيز'!$Z$5:$Z$2004,"&gt;0",'سجل التحفيز'!$B$5:$B$2004,B109))</f>
        <v/>
      </c>
      <c r="G109" s="35">
        <f>IF(B109="","",COUNTIF($D$38:$D$187,"&gt;"&amp;D109)+1)</f>
        <v/>
      </c>
      <c r="H109" s="35">
        <f>IF(B109="","",INDEX(الموظفات!$L$5:$L$304,MATCH(B109,الموظفات!$B$5:$B$304,0)))</f>
        <v/>
      </c>
      <c r="K109" s="36">
        <f>IF(72&gt;$B$10,"",72)</f>
        <v/>
      </c>
      <c r="L109" s="37">
        <f>IF($K109="","",INDEX('سجل التحفيز'!$A$5:$A$2004,MATCH($K109,'سجل التحفيز'!$Z$5:$Z$2004,0)))</f>
        <v/>
      </c>
      <c r="M109" s="9">
        <f>IF($K109="","",INDEX('سجل التحفيز'!$B$5:$B$2004,MATCH($K109,'سجل التحفيز'!$Z$5:$Z$2004,0)))</f>
        <v/>
      </c>
      <c r="N109" s="9">
        <f>IF($K109="","",INDEX('سجل التحفيز'!$M$5:$M$2004,MATCH($K109,'سجل التحفيز'!$Z$5:$Z$2004,0)))</f>
        <v/>
      </c>
      <c r="O109" s="9">
        <f>IF($K109="","",INDEX('سجل التحفيز'!$C$5:$C$2004,MATCH($K109,'سجل التحفيز'!$Z$5:$Z$2004,0)))</f>
        <v/>
      </c>
      <c r="P109" s="36">
        <f>IF($K109="","",INDEX('سجل التحفيز'!$D$5:$D$2004,MATCH($K109,'سجل التحفيز'!$Z$5:$Z$2004,0)))</f>
        <v/>
      </c>
      <c r="Q109" s="9">
        <f>IF($K109="","",INDEX('سجل التحفيز'!$E$5:$E$2004,MATCH($K109,'سجل التحفيز'!$Z$5:$Z$2004,0)))</f>
        <v/>
      </c>
      <c r="R109" s="9">
        <f>IF($K109="","",INDEX('سجل التحفيز'!$F$5:$F$2004,MATCH($K109,'سجل التحفيز'!$Z$5:$Z$2004,0)))</f>
        <v/>
      </c>
      <c r="S109" s="35">
        <f>IF($K109="","",INDEX('سجل التحفيز'!$G$5:$G$2004,MATCH($K109,'سجل التحفيز'!$Z$5:$Z$2004,0)))</f>
        <v/>
      </c>
    </row>
    <row r="110">
      <c r="B110" s="34">
        <f>IFERROR(INDEX(الموظفات!$B$5:$B$304,MATCH(73,الموظفات!$T$5:$T$304,0)),"")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التحفيز'!$Z$5:$Z$2004,"&gt;0",'سجل التحفيز'!$B$5:$B$2004,B110))</f>
        <v/>
      </c>
      <c r="E110" s="35">
        <f>IF(B110="","",COUNTIFS('سجل التحفيز'!$Z$5:$Z$2004,"&gt;0",'سجل التحفيز'!$B$5:$B$2004,B110,'سجل التحفيز'!$D$5:$D$2004,"ذهبي"))</f>
        <v/>
      </c>
      <c r="F110" s="35">
        <f>IF(B110="","",SUMIFS('سجل التحفيز'!$G$5:$G$2004,'سجل التحفيز'!$Z$5:$Z$2004,"&gt;0",'سجل التحفيز'!$B$5:$B$2004,B110))</f>
        <v/>
      </c>
      <c r="G110" s="35">
        <f>IF(B110="","",COUNTIF($D$38:$D$187,"&gt;"&amp;D110)+1)</f>
        <v/>
      </c>
      <c r="H110" s="35">
        <f>IF(B110="","",INDEX(الموظفات!$L$5:$L$304,MATCH(B110,الموظفات!$B$5:$B$304,0)))</f>
        <v/>
      </c>
      <c r="K110" s="36">
        <f>IF(73&gt;$B$10,"",73)</f>
        <v/>
      </c>
      <c r="L110" s="37">
        <f>IF($K110="","",INDEX('سجل التحفيز'!$A$5:$A$2004,MATCH($K110,'سجل التحفيز'!$Z$5:$Z$2004,0)))</f>
        <v/>
      </c>
      <c r="M110" s="9">
        <f>IF($K110="","",INDEX('سجل التحفيز'!$B$5:$B$2004,MATCH($K110,'سجل التحفيز'!$Z$5:$Z$2004,0)))</f>
        <v/>
      </c>
      <c r="N110" s="9">
        <f>IF($K110="","",INDEX('سجل التحفيز'!$M$5:$M$2004,MATCH($K110,'سجل التحفيز'!$Z$5:$Z$2004,0)))</f>
        <v/>
      </c>
      <c r="O110" s="9">
        <f>IF($K110="","",INDEX('سجل التحفيز'!$C$5:$C$2004,MATCH($K110,'سجل التحفيز'!$Z$5:$Z$2004,0)))</f>
        <v/>
      </c>
      <c r="P110" s="36">
        <f>IF($K110="","",INDEX('سجل التحفيز'!$D$5:$D$2004,MATCH($K110,'سجل التحفيز'!$Z$5:$Z$2004,0)))</f>
        <v/>
      </c>
      <c r="Q110" s="9">
        <f>IF($K110="","",INDEX('سجل التحفيز'!$E$5:$E$2004,MATCH($K110,'سجل التحفيز'!$Z$5:$Z$2004,0)))</f>
        <v/>
      </c>
      <c r="R110" s="9">
        <f>IF($K110="","",INDEX('سجل التحفيز'!$F$5:$F$2004,MATCH($K110,'سجل التحفيز'!$Z$5:$Z$2004,0)))</f>
        <v/>
      </c>
      <c r="S110" s="35">
        <f>IF($K110="","",INDEX('سجل التحفيز'!$G$5:$G$2004,MATCH($K110,'سجل التحفيز'!$Z$5:$Z$2004,0)))</f>
        <v/>
      </c>
    </row>
    <row r="111">
      <c r="B111" s="34">
        <f>IFERROR(INDEX(الموظفات!$B$5:$B$304,MATCH(74,الموظفات!$T$5:$T$304,0)),"")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التحفيز'!$Z$5:$Z$2004,"&gt;0",'سجل التحفيز'!$B$5:$B$2004,B111))</f>
        <v/>
      </c>
      <c r="E111" s="35">
        <f>IF(B111="","",COUNTIFS('سجل التحفيز'!$Z$5:$Z$2004,"&gt;0",'سجل التحفيز'!$B$5:$B$2004,B111,'سجل التحفيز'!$D$5:$D$2004,"ذهبي"))</f>
        <v/>
      </c>
      <c r="F111" s="35">
        <f>IF(B111="","",SUMIFS('سجل التحفيز'!$G$5:$G$2004,'سجل التحفيز'!$Z$5:$Z$2004,"&gt;0",'سجل التحفيز'!$B$5:$B$2004,B111))</f>
        <v/>
      </c>
      <c r="G111" s="35">
        <f>IF(B111="","",COUNTIF($D$38:$D$187,"&gt;"&amp;D111)+1)</f>
        <v/>
      </c>
      <c r="H111" s="35">
        <f>IF(B111="","",INDEX(الموظفات!$L$5:$L$304,MATCH(B111,الموظفات!$B$5:$B$304,0)))</f>
        <v/>
      </c>
      <c r="K111" s="36">
        <f>IF(74&gt;$B$10,"",74)</f>
        <v/>
      </c>
      <c r="L111" s="37">
        <f>IF($K111="","",INDEX('سجل التحفيز'!$A$5:$A$2004,MATCH($K111,'سجل التحفيز'!$Z$5:$Z$2004,0)))</f>
        <v/>
      </c>
      <c r="M111" s="9">
        <f>IF($K111="","",INDEX('سجل التحفيز'!$B$5:$B$2004,MATCH($K111,'سجل التحفيز'!$Z$5:$Z$2004,0)))</f>
        <v/>
      </c>
      <c r="N111" s="9">
        <f>IF($K111="","",INDEX('سجل التحفيز'!$M$5:$M$2004,MATCH($K111,'سجل التحفيز'!$Z$5:$Z$2004,0)))</f>
        <v/>
      </c>
      <c r="O111" s="9">
        <f>IF($K111="","",INDEX('سجل التحفيز'!$C$5:$C$2004,MATCH($K111,'سجل التحفيز'!$Z$5:$Z$2004,0)))</f>
        <v/>
      </c>
      <c r="P111" s="36">
        <f>IF($K111="","",INDEX('سجل التحفيز'!$D$5:$D$2004,MATCH($K111,'سجل التحفيز'!$Z$5:$Z$2004,0)))</f>
        <v/>
      </c>
      <c r="Q111" s="9">
        <f>IF($K111="","",INDEX('سجل التحفيز'!$E$5:$E$2004,MATCH($K111,'سجل التحفيز'!$Z$5:$Z$2004,0)))</f>
        <v/>
      </c>
      <c r="R111" s="9">
        <f>IF($K111="","",INDEX('سجل التحفيز'!$F$5:$F$2004,MATCH($K111,'سجل التحفيز'!$Z$5:$Z$2004,0)))</f>
        <v/>
      </c>
      <c r="S111" s="35">
        <f>IF($K111="","",INDEX('سجل التحفيز'!$G$5:$G$2004,MATCH($K111,'سجل التحفيز'!$Z$5:$Z$2004,0)))</f>
        <v/>
      </c>
    </row>
    <row r="112">
      <c r="B112" s="34">
        <f>IFERROR(INDEX(الموظفات!$B$5:$B$304,MATCH(75,الموظفات!$T$5:$T$304,0)),"")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التحفيز'!$Z$5:$Z$2004,"&gt;0",'سجل التحفيز'!$B$5:$B$2004,B112))</f>
        <v/>
      </c>
      <c r="E112" s="35">
        <f>IF(B112="","",COUNTIFS('سجل التحفيز'!$Z$5:$Z$2004,"&gt;0",'سجل التحفيز'!$B$5:$B$2004,B112,'سجل التحفيز'!$D$5:$D$2004,"ذهبي"))</f>
        <v/>
      </c>
      <c r="F112" s="35">
        <f>IF(B112="","",SUMIFS('سجل التحفيز'!$G$5:$G$2004,'سجل التحفيز'!$Z$5:$Z$2004,"&gt;0",'سجل التحفيز'!$B$5:$B$2004,B112))</f>
        <v/>
      </c>
      <c r="G112" s="35">
        <f>IF(B112="","",COUNTIF($D$38:$D$187,"&gt;"&amp;D112)+1)</f>
        <v/>
      </c>
      <c r="H112" s="35">
        <f>IF(B112="","",INDEX(الموظفات!$L$5:$L$304,MATCH(B112,الموظفات!$B$5:$B$304,0)))</f>
        <v/>
      </c>
      <c r="K112" s="36">
        <f>IF(75&gt;$B$10,"",75)</f>
        <v/>
      </c>
      <c r="L112" s="37">
        <f>IF($K112="","",INDEX('سجل التحفيز'!$A$5:$A$2004,MATCH($K112,'سجل التحفيز'!$Z$5:$Z$2004,0)))</f>
        <v/>
      </c>
      <c r="M112" s="9">
        <f>IF($K112="","",INDEX('سجل التحفيز'!$B$5:$B$2004,MATCH($K112,'سجل التحفيز'!$Z$5:$Z$2004,0)))</f>
        <v/>
      </c>
      <c r="N112" s="9">
        <f>IF($K112="","",INDEX('سجل التحفيز'!$M$5:$M$2004,MATCH($K112,'سجل التحفيز'!$Z$5:$Z$2004,0)))</f>
        <v/>
      </c>
      <c r="O112" s="9">
        <f>IF($K112="","",INDEX('سجل التحفيز'!$C$5:$C$2004,MATCH($K112,'سجل التحفيز'!$Z$5:$Z$2004,0)))</f>
        <v/>
      </c>
      <c r="P112" s="36">
        <f>IF($K112="","",INDEX('سجل التحفيز'!$D$5:$D$2004,MATCH($K112,'سجل التحفيز'!$Z$5:$Z$2004,0)))</f>
        <v/>
      </c>
      <c r="Q112" s="9">
        <f>IF($K112="","",INDEX('سجل التحفيز'!$E$5:$E$2004,MATCH($K112,'سجل التحفيز'!$Z$5:$Z$2004,0)))</f>
        <v/>
      </c>
      <c r="R112" s="9">
        <f>IF($K112="","",INDEX('سجل التحفيز'!$F$5:$F$2004,MATCH($K112,'سجل التحفيز'!$Z$5:$Z$2004,0)))</f>
        <v/>
      </c>
      <c r="S112" s="35">
        <f>IF($K112="","",INDEX('سجل التحفيز'!$G$5:$G$2004,MATCH($K112,'سجل التحفيز'!$Z$5:$Z$2004,0)))</f>
        <v/>
      </c>
    </row>
    <row r="113">
      <c r="B113" s="34">
        <f>IFERROR(INDEX(الموظفات!$B$5:$B$304,MATCH(76,الموظفات!$T$5:$T$304,0)),"")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التحفيز'!$Z$5:$Z$2004,"&gt;0",'سجل التحفيز'!$B$5:$B$2004,B113))</f>
        <v/>
      </c>
      <c r="E113" s="35">
        <f>IF(B113="","",COUNTIFS('سجل التحفيز'!$Z$5:$Z$2004,"&gt;0",'سجل التحفيز'!$B$5:$B$2004,B113,'سجل التحفيز'!$D$5:$D$2004,"ذهبي"))</f>
        <v/>
      </c>
      <c r="F113" s="35">
        <f>IF(B113="","",SUMIFS('سجل التحفيز'!$G$5:$G$2004,'سجل التحفيز'!$Z$5:$Z$2004,"&gt;0",'سجل التحفيز'!$B$5:$B$2004,B113))</f>
        <v/>
      </c>
      <c r="G113" s="35">
        <f>IF(B113="","",COUNTIF($D$38:$D$187,"&gt;"&amp;D113)+1)</f>
        <v/>
      </c>
      <c r="H113" s="35">
        <f>IF(B113="","",INDEX(الموظفات!$L$5:$L$304,MATCH(B113,الموظفات!$B$5:$B$304,0)))</f>
        <v/>
      </c>
      <c r="K113" s="36">
        <f>IF(76&gt;$B$10,"",76)</f>
        <v/>
      </c>
      <c r="L113" s="37">
        <f>IF($K113="","",INDEX('سجل التحفيز'!$A$5:$A$2004,MATCH($K113,'سجل التحفيز'!$Z$5:$Z$2004,0)))</f>
        <v/>
      </c>
      <c r="M113" s="9">
        <f>IF($K113="","",INDEX('سجل التحفيز'!$B$5:$B$2004,MATCH($K113,'سجل التحفيز'!$Z$5:$Z$2004,0)))</f>
        <v/>
      </c>
      <c r="N113" s="9">
        <f>IF($K113="","",INDEX('سجل التحفيز'!$M$5:$M$2004,MATCH($K113,'سجل التحفيز'!$Z$5:$Z$2004,0)))</f>
        <v/>
      </c>
      <c r="O113" s="9">
        <f>IF($K113="","",INDEX('سجل التحفيز'!$C$5:$C$2004,MATCH($K113,'سجل التحفيز'!$Z$5:$Z$2004,0)))</f>
        <v/>
      </c>
      <c r="P113" s="36">
        <f>IF($K113="","",INDEX('سجل التحفيز'!$D$5:$D$2004,MATCH($K113,'سجل التحفيز'!$Z$5:$Z$2004,0)))</f>
        <v/>
      </c>
      <c r="Q113" s="9">
        <f>IF($K113="","",INDEX('سجل التحفيز'!$E$5:$E$2004,MATCH($K113,'سجل التحفيز'!$Z$5:$Z$2004,0)))</f>
        <v/>
      </c>
      <c r="R113" s="9">
        <f>IF($K113="","",INDEX('سجل التحفيز'!$F$5:$F$2004,MATCH($K113,'سجل التحفيز'!$Z$5:$Z$2004,0)))</f>
        <v/>
      </c>
      <c r="S113" s="35">
        <f>IF($K113="","",INDEX('سجل التحفيز'!$G$5:$G$2004,MATCH($K113,'سجل التحفيز'!$Z$5:$Z$2004,0)))</f>
        <v/>
      </c>
    </row>
    <row r="114">
      <c r="B114" s="34">
        <f>IFERROR(INDEX(الموظفات!$B$5:$B$304,MATCH(77,الموظفات!$T$5:$T$304,0)),"")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التحفيز'!$Z$5:$Z$2004,"&gt;0",'سجل التحفيز'!$B$5:$B$2004,B114))</f>
        <v/>
      </c>
      <c r="E114" s="35">
        <f>IF(B114="","",COUNTIFS('سجل التحفيز'!$Z$5:$Z$2004,"&gt;0",'سجل التحفيز'!$B$5:$B$2004,B114,'سجل التحفيز'!$D$5:$D$2004,"ذهبي"))</f>
        <v/>
      </c>
      <c r="F114" s="35">
        <f>IF(B114="","",SUMIFS('سجل التحفيز'!$G$5:$G$2004,'سجل التحفيز'!$Z$5:$Z$2004,"&gt;0",'سجل التحفيز'!$B$5:$B$2004,B114))</f>
        <v/>
      </c>
      <c r="G114" s="35">
        <f>IF(B114="","",COUNTIF($D$38:$D$187,"&gt;"&amp;D114)+1)</f>
        <v/>
      </c>
      <c r="H114" s="35">
        <f>IF(B114="","",INDEX(الموظفات!$L$5:$L$304,MATCH(B114,الموظفات!$B$5:$B$304,0)))</f>
        <v/>
      </c>
      <c r="K114" s="36">
        <f>IF(77&gt;$B$10,"",77)</f>
        <v/>
      </c>
      <c r="L114" s="37">
        <f>IF($K114="","",INDEX('سجل التحفيز'!$A$5:$A$2004,MATCH($K114,'سجل التحفيز'!$Z$5:$Z$2004,0)))</f>
        <v/>
      </c>
      <c r="M114" s="9">
        <f>IF($K114="","",INDEX('سجل التحفيز'!$B$5:$B$2004,MATCH($K114,'سجل التحفيز'!$Z$5:$Z$2004,0)))</f>
        <v/>
      </c>
      <c r="N114" s="9">
        <f>IF($K114="","",INDEX('سجل التحفيز'!$M$5:$M$2004,MATCH($K114,'سجل التحفيز'!$Z$5:$Z$2004,0)))</f>
        <v/>
      </c>
      <c r="O114" s="9">
        <f>IF($K114="","",INDEX('سجل التحفيز'!$C$5:$C$2004,MATCH($K114,'سجل التحفيز'!$Z$5:$Z$2004,0)))</f>
        <v/>
      </c>
      <c r="P114" s="36">
        <f>IF($K114="","",INDEX('سجل التحفيز'!$D$5:$D$2004,MATCH($K114,'سجل التحفيز'!$Z$5:$Z$2004,0)))</f>
        <v/>
      </c>
      <c r="Q114" s="9">
        <f>IF($K114="","",INDEX('سجل التحفيز'!$E$5:$E$2004,MATCH($K114,'سجل التحفيز'!$Z$5:$Z$2004,0)))</f>
        <v/>
      </c>
      <c r="R114" s="9">
        <f>IF($K114="","",INDEX('سجل التحفيز'!$F$5:$F$2004,MATCH($K114,'سجل التحفيز'!$Z$5:$Z$2004,0)))</f>
        <v/>
      </c>
      <c r="S114" s="35">
        <f>IF($K114="","",INDEX('سجل التحفيز'!$G$5:$G$2004,MATCH($K114,'سجل التحفيز'!$Z$5:$Z$2004,0)))</f>
        <v/>
      </c>
    </row>
    <row r="115">
      <c r="B115" s="34">
        <f>IFERROR(INDEX(الموظفات!$B$5:$B$304,MATCH(78,الموظفات!$T$5:$T$304,0)),"")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التحفيز'!$Z$5:$Z$2004,"&gt;0",'سجل التحفيز'!$B$5:$B$2004,B115))</f>
        <v/>
      </c>
      <c r="E115" s="35">
        <f>IF(B115="","",COUNTIFS('سجل التحفيز'!$Z$5:$Z$2004,"&gt;0",'سجل التحفيز'!$B$5:$B$2004,B115,'سجل التحفيز'!$D$5:$D$2004,"ذهبي"))</f>
        <v/>
      </c>
      <c r="F115" s="35">
        <f>IF(B115="","",SUMIFS('سجل التحفيز'!$G$5:$G$2004,'سجل التحفيز'!$Z$5:$Z$2004,"&gt;0",'سجل التحفيز'!$B$5:$B$2004,B115))</f>
        <v/>
      </c>
      <c r="G115" s="35">
        <f>IF(B115="","",COUNTIF($D$38:$D$187,"&gt;"&amp;D115)+1)</f>
        <v/>
      </c>
      <c r="H115" s="35">
        <f>IF(B115="","",INDEX(الموظفات!$L$5:$L$304,MATCH(B115,الموظفات!$B$5:$B$304,0)))</f>
        <v/>
      </c>
      <c r="K115" s="36">
        <f>IF(78&gt;$B$10,"",78)</f>
        <v/>
      </c>
      <c r="L115" s="37">
        <f>IF($K115="","",INDEX('سجل التحفيز'!$A$5:$A$2004,MATCH($K115,'سجل التحفيز'!$Z$5:$Z$2004,0)))</f>
        <v/>
      </c>
      <c r="M115" s="9">
        <f>IF($K115="","",INDEX('سجل التحفيز'!$B$5:$B$2004,MATCH($K115,'سجل التحفيز'!$Z$5:$Z$2004,0)))</f>
        <v/>
      </c>
      <c r="N115" s="9">
        <f>IF($K115="","",INDEX('سجل التحفيز'!$M$5:$M$2004,MATCH($K115,'سجل التحفيز'!$Z$5:$Z$2004,0)))</f>
        <v/>
      </c>
      <c r="O115" s="9">
        <f>IF($K115="","",INDEX('سجل التحفيز'!$C$5:$C$2004,MATCH($K115,'سجل التحفيز'!$Z$5:$Z$2004,0)))</f>
        <v/>
      </c>
      <c r="P115" s="36">
        <f>IF($K115="","",INDEX('سجل التحفيز'!$D$5:$D$2004,MATCH($K115,'سجل التحفيز'!$Z$5:$Z$2004,0)))</f>
        <v/>
      </c>
      <c r="Q115" s="9">
        <f>IF($K115="","",INDEX('سجل التحفيز'!$E$5:$E$2004,MATCH($K115,'سجل التحفيز'!$Z$5:$Z$2004,0)))</f>
        <v/>
      </c>
      <c r="R115" s="9">
        <f>IF($K115="","",INDEX('سجل التحفيز'!$F$5:$F$2004,MATCH($K115,'سجل التحفيز'!$Z$5:$Z$2004,0)))</f>
        <v/>
      </c>
      <c r="S115" s="35">
        <f>IF($K115="","",INDEX('سجل التحفيز'!$G$5:$G$2004,MATCH($K115,'سجل التحفيز'!$Z$5:$Z$2004,0)))</f>
        <v/>
      </c>
    </row>
    <row r="116">
      <c r="B116" s="34">
        <f>IFERROR(INDEX(الموظفات!$B$5:$B$304,MATCH(79,الموظفات!$T$5:$T$304,0)),"")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التحفيز'!$Z$5:$Z$2004,"&gt;0",'سجل التحفيز'!$B$5:$B$2004,B116))</f>
        <v/>
      </c>
      <c r="E116" s="35">
        <f>IF(B116="","",COUNTIFS('سجل التحفيز'!$Z$5:$Z$2004,"&gt;0",'سجل التحفيز'!$B$5:$B$2004,B116,'سجل التحفيز'!$D$5:$D$2004,"ذهبي"))</f>
        <v/>
      </c>
      <c r="F116" s="35">
        <f>IF(B116="","",SUMIFS('سجل التحفيز'!$G$5:$G$2004,'سجل التحفيز'!$Z$5:$Z$2004,"&gt;0",'سجل التحفيز'!$B$5:$B$2004,B116))</f>
        <v/>
      </c>
      <c r="G116" s="35">
        <f>IF(B116="","",COUNTIF($D$38:$D$187,"&gt;"&amp;D116)+1)</f>
        <v/>
      </c>
      <c r="H116" s="35">
        <f>IF(B116="","",INDEX(الموظفات!$L$5:$L$304,MATCH(B116,الموظفات!$B$5:$B$304,0)))</f>
        <v/>
      </c>
      <c r="K116" s="36">
        <f>IF(79&gt;$B$10,"",79)</f>
        <v/>
      </c>
      <c r="L116" s="37">
        <f>IF($K116="","",INDEX('سجل التحفيز'!$A$5:$A$2004,MATCH($K116,'سجل التحفيز'!$Z$5:$Z$2004,0)))</f>
        <v/>
      </c>
      <c r="M116" s="9">
        <f>IF($K116="","",INDEX('سجل التحفيز'!$B$5:$B$2004,MATCH($K116,'سجل التحفيز'!$Z$5:$Z$2004,0)))</f>
        <v/>
      </c>
      <c r="N116" s="9">
        <f>IF($K116="","",INDEX('سجل التحفيز'!$M$5:$M$2004,MATCH($K116,'سجل التحفيز'!$Z$5:$Z$2004,0)))</f>
        <v/>
      </c>
      <c r="O116" s="9">
        <f>IF($K116="","",INDEX('سجل التحفيز'!$C$5:$C$2004,MATCH($K116,'سجل التحفيز'!$Z$5:$Z$2004,0)))</f>
        <v/>
      </c>
      <c r="P116" s="36">
        <f>IF($K116="","",INDEX('سجل التحفيز'!$D$5:$D$2004,MATCH($K116,'سجل التحفيز'!$Z$5:$Z$2004,0)))</f>
        <v/>
      </c>
      <c r="Q116" s="9">
        <f>IF($K116="","",INDEX('سجل التحفيز'!$E$5:$E$2004,MATCH($K116,'سجل التحفيز'!$Z$5:$Z$2004,0)))</f>
        <v/>
      </c>
      <c r="R116" s="9">
        <f>IF($K116="","",INDEX('سجل التحفيز'!$F$5:$F$2004,MATCH($K116,'سجل التحفيز'!$Z$5:$Z$2004,0)))</f>
        <v/>
      </c>
      <c r="S116" s="35">
        <f>IF($K116="","",INDEX('سجل التحفيز'!$G$5:$G$2004,MATCH($K116,'سجل التحفيز'!$Z$5:$Z$2004,0)))</f>
        <v/>
      </c>
    </row>
    <row r="117">
      <c r="B117" s="34">
        <f>IFERROR(INDEX(الموظفات!$B$5:$B$304,MATCH(80,الموظفات!$T$5:$T$304,0)),"")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التحفيز'!$Z$5:$Z$2004,"&gt;0",'سجل التحفيز'!$B$5:$B$2004,B117))</f>
        <v/>
      </c>
      <c r="E117" s="35">
        <f>IF(B117="","",COUNTIFS('سجل التحفيز'!$Z$5:$Z$2004,"&gt;0",'سجل التحفيز'!$B$5:$B$2004,B117,'سجل التحفيز'!$D$5:$D$2004,"ذهبي"))</f>
        <v/>
      </c>
      <c r="F117" s="35">
        <f>IF(B117="","",SUMIFS('سجل التحفيز'!$G$5:$G$2004,'سجل التحفيز'!$Z$5:$Z$2004,"&gt;0",'سجل التحفيز'!$B$5:$B$2004,B117))</f>
        <v/>
      </c>
      <c r="G117" s="35">
        <f>IF(B117="","",COUNTIF($D$38:$D$187,"&gt;"&amp;D117)+1)</f>
        <v/>
      </c>
      <c r="H117" s="35">
        <f>IF(B117="","",INDEX(الموظفات!$L$5:$L$304,MATCH(B117,الموظفات!$B$5:$B$304,0)))</f>
        <v/>
      </c>
      <c r="K117" s="36">
        <f>IF(80&gt;$B$10,"",80)</f>
        <v/>
      </c>
      <c r="L117" s="37">
        <f>IF($K117="","",INDEX('سجل التحفيز'!$A$5:$A$2004,MATCH($K117,'سجل التحفيز'!$Z$5:$Z$2004,0)))</f>
        <v/>
      </c>
      <c r="M117" s="9">
        <f>IF($K117="","",INDEX('سجل التحفيز'!$B$5:$B$2004,MATCH($K117,'سجل التحفيز'!$Z$5:$Z$2004,0)))</f>
        <v/>
      </c>
      <c r="N117" s="9">
        <f>IF($K117="","",INDEX('سجل التحفيز'!$M$5:$M$2004,MATCH($K117,'سجل التحفيز'!$Z$5:$Z$2004,0)))</f>
        <v/>
      </c>
      <c r="O117" s="9">
        <f>IF($K117="","",INDEX('سجل التحفيز'!$C$5:$C$2004,MATCH($K117,'سجل التحفيز'!$Z$5:$Z$2004,0)))</f>
        <v/>
      </c>
      <c r="P117" s="36">
        <f>IF($K117="","",INDEX('سجل التحفيز'!$D$5:$D$2004,MATCH($K117,'سجل التحفيز'!$Z$5:$Z$2004,0)))</f>
        <v/>
      </c>
      <c r="Q117" s="9">
        <f>IF($K117="","",INDEX('سجل التحفيز'!$E$5:$E$2004,MATCH($K117,'سجل التحفيز'!$Z$5:$Z$2004,0)))</f>
        <v/>
      </c>
      <c r="R117" s="9">
        <f>IF($K117="","",INDEX('سجل التحفيز'!$F$5:$F$2004,MATCH($K117,'سجل التحفيز'!$Z$5:$Z$2004,0)))</f>
        <v/>
      </c>
      <c r="S117" s="35">
        <f>IF($K117="","",INDEX('سجل التحفيز'!$G$5:$G$2004,MATCH($K117,'سجل التحفيز'!$Z$5:$Z$2004,0)))</f>
        <v/>
      </c>
    </row>
    <row r="118">
      <c r="B118" s="34">
        <f>IFERROR(INDEX(الموظفات!$B$5:$B$304,MATCH(81,الموظفات!$T$5:$T$304,0)),"")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التحفيز'!$Z$5:$Z$2004,"&gt;0",'سجل التحفيز'!$B$5:$B$2004,B118))</f>
        <v/>
      </c>
      <c r="E118" s="35">
        <f>IF(B118="","",COUNTIFS('سجل التحفيز'!$Z$5:$Z$2004,"&gt;0",'سجل التحفيز'!$B$5:$B$2004,B118,'سجل التحفيز'!$D$5:$D$2004,"ذهبي"))</f>
        <v/>
      </c>
      <c r="F118" s="35">
        <f>IF(B118="","",SUMIFS('سجل التحفيز'!$G$5:$G$2004,'سجل التحفيز'!$Z$5:$Z$2004,"&gt;0",'سجل التحفيز'!$B$5:$B$2004,B118))</f>
        <v/>
      </c>
      <c r="G118" s="35">
        <f>IF(B118="","",COUNTIF($D$38:$D$187,"&gt;"&amp;D118)+1)</f>
        <v/>
      </c>
      <c r="H118" s="35">
        <f>IF(B118="","",INDEX(الموظفات!$L$5:$L$304,MATCH(B118,الموظفات!$B$5:$B$304,0)))</f>
        <v/>
      </c>
      <c r="K118" s="36">
        <f>IF(81&gt;$B$10,"",81)</f>
        <v/>
      </c>
      <c r="L118" s="37">
        <f>IF($K118="","",INDEX('سجل التحفيز'!$A$5:$A$2004,MATCH($K118,'سجل التحفيز'!$Z$5:$Z$2004,0)))</f>
        <v/>
      </c>
      <c r="M118" s="9">
        <f>IF($K118="","",INDEX('سجل التحفيز'!$B$5:$B$2004,MATCH($K118,'سجل التحفيز'!$Z$5:$Z$2004,0)))</f>
        <v/>
      </c>
      <c r="N118" s="9">
        <f>IF($K118="","",INDEX('سجل التحفيز'!$M$5:$M$2004,MATCH($K118,'سجل التحفيز'!$Z$5:$Z$2004,0)))</f>
        <v/>
      </c>
      <c r="O118" s="9">
        <f>IF($K118="","",INDEX('سجل التحفيز'!$C$5:$C$2004,MATCH($K118,'سجل التحفيز'!$Z$5:$Z$2004,0)))</f>
        <v/>
      </c>
      <c r="P118" s="36">
        <f>IF($K118="","",INDEX('سجل التحفيز'!$D$5:$D$2004,MATCH($K118,'سجل التحفيز'!$Z$5:$Z$2004,0)))</f>
        <v/>
      </c>
      <c r="Q118" s="9">
        <f>IF($K118="","",INDEX('سجل التحفيز'!$E$5:$E$2004,MATCH($K118,'سجل التحفيز'!$Z$5:$Z$2004,0)))</f>
        <v/>
      </c>
      <c r="R118" s="9">
        <f>IF($K118="","",INDEX('سجل التحفيز'!$F$5:$F$2004,MATCH($K118,'سجل التحفيز'!$Z$5:$Z$2004,0)))</f>
        <v/>
      </c>
      <c r="S118" s="35">
        <f>IF($K118="","",INDEX('سجل التحفيز'!$G$5:$G$2004,MATCH($K118,'سجل التحفيز'!$Z$5:$Z$2004,0)))</f>
        <v/>
      </c>
    </row>
    <row r="119">
      <c r="B119" s="34">
        <f>IFERROR(INDEX(الموظفات!$B$5:$B$304,MATCH(82,الموظفات!$T$5:$T$304,0)),"")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التحفيز'!$Z$5:$Z$2004,"&gt;0",'سجل التحفيز'!$B$5:$B$2004,B119))</f>
        <v/>
      </c>
      <c r="E119" s="35">
        <f>IF(B119="","",COUNTIFS('سجل التحفيز'!$Z$5:$Z$2004,"&gt;0",'سجل التحفيز'!$B$5:$B$2004,B119,'سجل التحفيز'!$D$5:$D$2004,"ذهبي"))</f>
        <v/>
      </c>
      <c r="F119" s="35">
        <f>IF(B119="","",SUMIFS('سجل التحفيز'!$G$5:$G$2004,'سجل التحفيز'!$Z$5:$Z$2004,"&gt;0",'سجل التحفيز'!$B$5:$B$2004,B119))</f>
        <v/>
      </c>
      <c r="G119" s="35">
        <f>IF(B119="","",COUNTIF($D$38:$D$187,"&gt;"&amp;D119)+1)</f>
        <v/>
      </c>
      <c r="H119" s="35">
        <f>IF(B119="","",INDEX(الموظفات!$L$5:$L$304,MATCH(B119,الموظفات!$B$5:$B$304,0)))</f>
        <v/>
      </c>
      <c r="K119" s="36">
        <f>IF(82&gt;$B$10,"",82)</f>
        <v/>
      </c>
      <c r="L119" s="37">
        <f>IF($K119="","",INDEX('سجل التحفيز'!$A$5:$A$2004,MATCH($K119,'سجل التحفيز'!$Z$5:$Z$2004,0)))</f>
        <v/>
      </c>
      <c r="M119" s="9">
        <f>IF($K119="","",INDEX('سجل التحفيز'!$B$5:$B$2004,MATCH($K119,'سجل التحفيز'!$Z$5:$Z$2004,0)))</f>
        <v/>
      </c>
      <c r="N119" s="9">
        <f>IF($K119="","",INDEX('سجل التحفيز'!$M$5:$M$2004,MATCH($K119,'سجل التحفيز'!$Z$5:$Z$2004,0)))</f>
        <v/>
      </c>
      <c r="O119" s="9">
        <f>IF($K119="","",INDEX('سجل التحفيز'!$C$5:$C$2004,MATCH($K119,'سجل التحفيز'!$Z$5:$Z$2004,0)))</f>
        <v/>
      </c>
      <c r="P119" s="36">
        <f>IF($K119="","",INDEX('سجل التحفيز'!$D$5:$D$2004,MATCH($K119,'سجل التحفيز'!$Z$5:$Z$2004,0)))</f>
        <v/>
      </c>
      <c r="Q119" s="9">
        <f>IF($K119="","",INDEX('سجل التحفيز'!$E$5:$E$2004,MATCH($K119,'سجل التحفيز'!$Z$5:$Z$2004,0)))</f>
        <v/>
      </c>
      <c r="R119" s="9">
        <f>IF($K119="","",INDEX('سجل التحفيز'!$F$5:$F$2004,MATCH($K119,'سجل التحفيز'!$Z$5:$Z$2004,0)))</f>
        <v/>
      </c>
      <c r="S119" s="35">
        <f>IF($K119="","",INDEX('سجل التحفيز'!$G$5:$G$2004,MATCH($K119,'سجل التحفيز'!$Z$5:$Z$2004,0)))</f>
        <v/>
      </c>
    </row>
    <row r="120">
      <c r="B120" s="34">
        <f>IFERROR(INDEX(الموظفات!$B$5:$B$304,MATCH(83,الموظفات!$T$5:$T$304,0)),"")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التحفيز'!$Z$5:$Z$2004,"&gt;0",'سجل التحفيز'!$B$5:$B$2004,B120))</f>
        <v/>
      </c>
      <c r="E120" s="35">
        <f>IF(B120="","",COUNTIFS('سجل التحفيز'!$Z$5:$Z$2004,"&gt;0",'سجل التحفيز'!$B$5:$B$2004,B120,'سجل التحفيز'!$D$5:$D$2004,"ذهبي"))</f>
        <v/>
      </c>
      <c r="F120" s="35">
        <f>IF(B120="","",SUMIFS('سجل التحفيز'!$G$5:$G$2004,'سجل التحفيز'!$Z$5:$Z$2004,"&gt;0",'سجل التحفيز'!$B$5:$B$2004,B120))</f>
        <v/>
      </c>
      <c r="G120" s="35">
        <f>IF(B120="","",COUNTIF($D$38:$D$187,"&gt;"&amp;D120)+1)</f>
        <v/>
      </c>
      <c r="H120" s="35">
        <f>IF(B120="","",INDEX(الموظفات!$L$5:$L$304,MATCH(B120,الموظفات!$B$5:$B$304,0)))</f>
        <v/>
      </c>
      <c r="K120" s="36">
        <f>IF(83&gt;$B$10,"",83)</f>
        <v/>
      </c>
      <c r="L120" s="37">
        <f>IF($K120="","",INDEX('سجل التحفيز'!$A$5:$A$2004,MATCH($K120,'سجل التحفيز'!$Z$5:$Z$2004,0)))</f>
        <v/>
      </c>
      <c r="M120" s="9">
        <f>IF($K120="","",INDEX('سجل التحفيز'!$B$5:$B$2004,MATCH($K120,'سجل التحفيز'!$Z$5:$Z$2004,0)))</f>
        <v/>
      </c>
      <c r="N120" s="9">
        <f>IF($K120="","",INDEX('سجل التحفيز'!$M$5:$M$2004,MATCH($K120,'سجل التحفيز'!$Z$5:$Z$2004,0)))</f>
        <v/>
      </c>
      <c r="O120" s="9">
        <f>IF($K120="","",INDEX('سجل التحفيز'!$C$5:$C$2004,MATCH($K120,'سجل التحفيز'!$Z$5:$Z$2004,0)))</f>
        <v/>
      </c>
      <c r="P120" s="36">
        <f>IF($K120="","",INDEX('سجل التحفيز'!$D$5:$D$2004,MATCH($K120,'سجل التحفيز'!$Z$5:$Z$2004,0)))</f>
        <v/>
      </c>
      <c r="Q120" s="9">
        <f>IF($K120="","",INDEX('سجل التحفيز'!$E$5:$E$2004,MATCH($K120,'سجل التحفيز'!$Z$5:$Z$2004,0)))</f>
        <v/>
      </c>
      <c r="R120" s="9">
        <f>IF($K120="","",INDEX('سجل التحفيز'!$F$5:$F$2004,MATCH($K120,'سجل التحفيز'!$Z$5:$Z$2004,0)))</f>
        <v/>
      </c>
      <c r="S120" s="35">
        <f>IF($K120="","",INDEX('سجل التحفيز'!$G$5:$G$2004,MATCH($K120,'سجل التحفيز'!$Z$5:$Z$2004,0)))</f>
        <v/>
      </c>
    </row>
    <row r="121">
      <c r="B121" s="34">
        <f>IFERROR(INDEX(الموظفات!$B$5:$B$304,MATCH(84,الموظفات!$T$5:$T$304,0)),"")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التحفيز'!$Z$5:$Z$2004,"&gt;0",'سجل التحفيز'!$B$5:$B$2004,B121))</f>
        <v/>
      </c>
      <c r="E121" s="35">
        <f>IF(B121="","",COUNTIFS('سجل التحفيز'!$Z$5:$Z$2004,"&gt;0",'سجل التحفيز'!$B$5:$B$2004,B121,'سجل التحفيز'!$D$5:$D$2004,"ذهبي"))</f>
        <v/>
      </c>
      <c r="F121" s="35">
        <f>IF(B121="","",SUMIFS('سجل التحفيز'!$G$5:$G$2004,'سجل التحفيز'!$Z$5:$Z$2004,"&gt;0",'سجل التحفيز'!$B$5:$B$2004,B121))</f>
        <v/>
      </c>
      <c r="G121" s="35">
        <f>IF(B121="","",COUNTIF($D$38:$D$187,"&gt;"&amp;D121)+1)</f>
        <v/>
      </c>
      <c r="H121" s="35">
        <f>IF(B121="","",INDEX(الموظفات!$L$5:$L$304,MATCH(B121,الموظفات!$B$5:$B$304,0)))</f>
        <v/>
      </c>
      <c r="K121" s="36">
        <f>IF(84&gt;$B$10,"",84)</f>
        <v/>
      </c>
      <c r="L121" s="37">
        <f>IF($K121="","",INDEX('سجل التحفيز'!$A$5:$A$2004,MATCH($K121,'سجل التحفيز'!$Z$5:$Z$2004,0)))</f>
        <v/>
      </c>
      <c r="M121" s="9">
        <f>IF($K121="","",INDEX('سجل التحفيز'!$B$5:$B$2004,MATCH($K121,'سجل التحفيز'!$Z$5:$Z$2004,0)))</f>
        <v/>
      </c>
      <c r="N121" s="9">
        <f>IF($K121="","",INDEX('سجل التحفيز'!$M$5:$M$2004,MATCH($K121,'سجل التحفيز'!$Z$5:$Z$2004,0)))</f>
        <v/>
      </c>
      <c r="O121" s="9">
        <f>IF($K121="","",INDEX('سجل التحفيز'!$C$5:$C$2004,MATCH($K121,'سجل التحفيز'!$Z$5:$Z$2004,0)))</f>
        <v/>
      </c>
      <c r="P121" s="36">
        <f>IF($K121="","",INDEX('سجل التحفيز'!$D$5:$D$2004,MATCH($K121,'سجل التحفيز'!$Z$5:$Z$2004,0)))</f>
        <v/>
      </c>
      <c r="Q121" s="9">
        <f>IF($K121="","",INDEX('سجل التحفيز'!$E$5:$E$2004,MATCH($K121,'سجل التحفيز'!$Z$5:$Z$2004,0)))</f>
        <v/>
      </c>
      <c r="R121" s="9">
        <f>IF($K121="","",INDEX('سجل التحفيز'!$F$5:$F$2004,MATCH($K121,'سجل التحفيز'!$Z$5:$Z$2004,0)))</f>
        <v/>
      </c>
      <c r="S121" s="35">
        <f>IF($K121="","",INDEX('سجل التحفيز'!$G$5:$G$2004,MATCH($K121,'سجل التحفيز'!$Z$5:$Z$2004,0)))</f>
        <v/>
      </c>
    </row>
    <row r="122">
      <c r="B122" s="34">
        <f>IFERROR(INDEX(الموظفات!$B$5:$B$304,MATCH(85,الموظفات!$T$5:$T$304,0)),"")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التحفيز'!$Z$5:$Z$2004,"&gt;0",'سجل التحفيز'!$B$5:$B$2004,B122))</f>
        <v/>
      </c>
      <c r="E122" s="35">
        <f>IF(B122="","",COUNTIFS('سجل التحفيز'!$Z$5:$Z$2004,"&gt;0",'سجل التحفيز'!$B$5:$B$2004,B122,'سجل التحفيز'!$D$5:$D$2004,"ذهبي"))</f>
        <v/>
      </c>
      <c r="F122" s="35">
        <f>IF(B122="","",SUMIFS('سجل التحفيز'!$G$5:$G$2004,'سجل التحفيز'!$Z$5:$Z$2004,"&gt;0",'سجل التحفيز'!$B$5:$B$2004,B122))</f>
        <v/>
      </c>
      <c r="G122" s="35">
        <f>IF(B122="","",COUNTIF($D$38:$D$187,"&gt;"&amp;D122)+1)</f>
        <v/>
      </c>
      <c r="H122" s="35">
        <f>IF(B122="","",INDEX(الموظفات!$L$5:$L$304,MATCH(B122,الموظفات!$B$5:$B$304,0)))</f>
        <v/>
      </c>
      <c r="K122" s="36">
        <f>IF(85&gt;$B$10,"",85)</f>
        <v/>
      </c>
      <c r="L122" s="37">
        <f>IF($K122="","",INDEX('سجل التحفيز'!$A$5:$A$2004,MATCH($K122,'سجل التحفيز'!$Z$5:$Z$2004,0)))</f>
        <v/>
      </c>
      <c r="M122" s="9">
        <f>IF($K122="","",INDEX('سجل التحفيز'!$B$5:$B$2004,MATCH($K122,'سجل التحفيز'!$Z$5:$Z$2004,0)))</f>
        <v/>
      </c>
      <c r="N122" s="9">
        <f>IF($K122="","",INDEX('سجل التحفيز'!$M$5:$M$2004,MATCH($K122,'سجل التحفيز'!$Z$5:$Z$2004,0)))</f>
        <v/>
      </c>
      <c r="O122" s="9">
        <f>IF($K122="","",INDEX('سجل التحفيز'!$C$5:$C$2004,MATCH($K122,'سجل التحفيز'!$Z$5:$Z$2004,0)))</f>
        <v/>
      </c>
      <c r="P122" s="36">
        <f>IF($K122="","",INDEX('سجل التحفيز'!$D$5:$D$2004,MATCH($K122,'سجل التحفيز'!$Z$5:$Z$2004,0)))</f>
        <v/>
      </c>
      <c r="Q122" s="9">
        <f>IF($K122="","",INDEX('سجل التحفيز'!$E$5:$E$2004,MATCH($K122,'سجل التحفيز'!$Z$5:$Z$2004,0)))</f>
        <v/>
      </c>
      <c r="R122" s="9">
        <f>IF($K122="","",INDEX('سجل التحفيز'!$F$5:$F$2004,MATCH($K122,'سجل التحفيز'!$Z$5:$Z$2004,0)))</f>
        <v/>
      </c>
      <c r="S122" s="35">
        <f>IF($K122="","",INDEX('سجل التحفيز'!$G$5:$G$2004,MATCH($K122,'سجل التحفيز'!$Z$5:$Z$2004,0)))</f>
        <v/>
      </c>
    </row>
    <row r="123">
      <c r="B123" s="34">
        <f>IFERROR(INDEX(الموظفات!$B$5:$B$304,MATCH(86,الموظفات!$T$5:$T$304,0)),"")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التحفيز'!$Z$5:$Z$2004,"&gt;0",'سجل التحفيز'!$B$5:$B$2004,B123))</f>
        <v/>
      </c>
      <c r="E123" s="35">
        <f>IF(B123="","",COUNTIFS('سجل التحفيز'!$Z$5:$Z$2004,"&gt;0",'سجل التحفيز'!$B$5:$B$2004,B123,'سجل التحفيز'!$D$5:$D$2004,"ذهبي"))</f>
        <v/>
      </c>
      <c r="F123" s="35">
        <f>IF(B123="","",SUMIFS('سجل التحفيز'!$G$5:$G$2004,'سجل التحفيز'!$Z$5:$Z$2004,"&gt;0",'سجل التحفيز'!$B$5:$B$2004,B123))</f>
        <v/>
      </c>
      <c r="G123" s="35">
        <f>IF(B123="","",COUNTIF($D$38:$D$187,"&gt;"&amp;D123)+1)</f>
        <v/>
      </c>
      <c r="H123" s="35">
        <f>IF(B123="","",INDEX(الموظفات!$L$5:$L$304,MATCH(B123,الموظفات!$B$5:$B$304,0)))</f>
        <v/>
      </c>
      <c r="K123" s="36">
        <f>IF(86&gt;$B$10,"",86)</f>
        <v/>
      </c>
      <c r="L123" s="37">
        <f>IF($K123="","",INDEX('سجل التحفيز'!$A$5:$A$2004,MATCH($K123,'سجل التحفيز'!$Z$5:$Z$2004,0)))</f>
        <v/>
      </c>
      <c r="M123" s="9">
        <f>IF($K123="","",INDEX('سجل التحفيز'!$B$5:$B$2004,MATCH($K123,'سجل التحفيز'!$Z$5:$Z$2004,0)))</f>
        <v/>
      </c>
      <c r="N123" s="9">
        <f>IF($K123="","",INDEX('سجل التحفيز'!$M$5:$M$2004,MATCH($K123,'سجل التحفيز'!$Z$5:$Z$2004,0)))</f>
        <v/>
      </c>
      <c r="O123" s="9">
        <f>IF($K123="","",INDEX('سجل التحفيز'!$C$5:$C$2004,MATCH($K123,'سجل التحفيز'!$Z$5:$Z$2004,0)))</f>
        <v/>
      </c>
      <c r="P123" s="36">
        <f>IF($K123="","",INDEX('سجل التحفيز'!$D$5:$D$2004,MATCH($K123,'سجل التحفيز'!$Z$5:$Z$2004,0)))</f>
        <v/>
      </c>
      <c r="Q123" s="9">
        <f>IF($K123="","",INDEX('سجل التحفيز'!$E$5:$E$2004,MATCH($K123,'سجل التحفيز'!$Z$5:$Z$2004,0)))</f>
        <v/>
      </c>
      <c r="R123" s="9">
        <f>IF($K123="","",INDEX('سجل التحفيز'!$F$5:$F$2004,MATCH($K123,'سجل التحفيز'!$Z$5:$Z$2004,0)))</f>
        <v/>
      </c>
      <c r="S123" s="35">
        <f>IF($K123="","",INDEX('سجل التحفيز'!$G$5:$G$2004,MATCH($K123,'سجل التحفيز'!$Z$5:$Z$2004,0)))</f>
        <v/>
      </c>
    </row>
    <row r="124">
      <c r="B124" s="34">
        <f>IFERROR(INDEX(الموظفات!$B$5:$B$304,MATCH(87,الموظفات!$T$5:$T$304,0)),"")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التحفيز'!$Z$5:$Z$2004,"&gt;0",'سجل التحفيز'!$B$5:$B$2004,B124))</f>
        <v/>
      </c>
      <c r="E124" s="35">
        <f>IF(B124="","",COUNTIFS('سجل التحفيز'!$Z$5:$Z$2004,"&gt;0",'سجل التحفيز'!$B$5:$B$2004,B124,'سجل التحفيز'!$D$5:$D$2004,"ذهبي"))</f>
        <v/>
      </c>
      <c r="F124" s="35">
        <f>IF(B124="","",SUMIFS('سجل التحفيز'!$G$5:$G$2004,'سجل التحفيز'!$Z$5:$Z$2004,"&gt;0",'سجل التحفيز'!$B$5:$B$2004,B124))</f>
        <v/>
      </c>
      <c r="G124" s="35">
        <f>IF(B124="","",COUNTIF($D$38:$D$187,"&gt;"&amp;D124)+1)</f>
        <v/>
      </c>
      <c r="H124" s="35">
        <f>IF(B124="","",INDEX(الموظفات!$L$5:$L$304,MATCH(B124,الموظفات!$B$5:$B$304,0)))</f>
        <v/>
      </c>
      <c r="K124" s="36">
        <f>IF(87&gt;$B$10,"",87)</f>
        <v/>
      </c>
      <c r="L124" s="37">
        <f>IF($K124="","",INDEX('سجل التحفيز'!$A$5:$A$2004,MATCH($K124,'سجل التحفيز'!$Z$5:$Z$2004,0)))</f>
        <v/>
      </c>
      <c r="M124" s="9">
        <f>IF($K124="","",INDEX('سجل التحفيز'!$B$5:$B$2004,MATCH($K124,'سجل التحفيز'!$Z$5:$Z$2004,0)))</f>
        <v/>
      </c>
      <c r="N124" s="9">
        <f>IF($K124="","",INDEX('سجل التحفيز'!$M$5:$M$2004,MATCH($K124,'سجل التحفيز'!$Z$5:$Z$2004,0)))</f>
        <v/>
      </c>
      <c r="O124" s="9">
        <f>IF($K124="","",INDEX('سجل التحفيز'!$C$5:$C$2004,MATCH($K124,'سجل التحفيز'!$Z$5:$Z$2004,0)))</f>
        <v/>
      </c>
      <c r="P124" s="36">
        <f>IF($K124="","",INDEX('سجل التحفيز'!$D$5:$D$2004,MATCH($K124,'سجل التحفيز'!$Z$5:$Z$2004,0)))</f>
        <v/>
      </c>
      <c r="Q124" s="9">
        <f>IF($K124="","",INDEX('سجل التحفيز'!$E$5:$E$2004,MATCH($K124,'سجل التحفيز'!$Z$5:$Z$2004,0)))</f>
        <v/>
      </c>
      <c r="R124" s="9">
        <f>IF($K124="","",INDEX('سجل التحفيز'!$F$5:$F$2004,MATCH($K124,'سجل التحفيز'!$Z$5:$Z$2004,0)))</f>
        <v/>
      </c>
      <c r="S124" s="35">
        <f>IF($K124="","",INDEX('سجل التحفيز'!$G$5:$G$2004,MATCH($K124,'سجل التحفيز'!$Z$5:$Z$2004,0)))</f>
        <v/>
      </c>
    </row>
    <row r="125">
      <c r="B125" s="34">
        <f>IFERROR(INDEX(الموظفات!$B$5:$B$304,MATCH(88,الموظفات!$T$5:$T$304,0)),"")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التحفيز'!$Z$5:$Z$2004,"&gt;0",'سجل التحفيز'!$B$5:$B$2004,B125))</f>
        <v/>
      </c>
      <c r="E125" s="35">
        <f>IF(B125="","",COUNTIFS('سجل التحفيز'!$Z$5:$Z$2004,"&gt;0",'سجل التحفيز'!$B$5:$B$2004,B125,'سجل التحفيز'!$D$5:$D$2004,"ذهبي"))</f>
        <v/>
      </c>
      <c r="F125" s="35">
        <f>IF(B125="","",SUMIFS('سجل التحفيز'!$G$5:$G$2004,'سجل التحفيز'!$Z$5:$Z$2004,"&gt;0",'سجل التحفيز'!$B$5:$B$2004,B125))</f>
        <v/>
      </c>
      <c r="G125" s="35">
        <f>IF(B125="","",COUNTIF($D$38:$D$187,"&gt;"&amp;D125)+1)</f>
        <v/>
      </c>
      <c r="H125" s="35">
        <f>IF(B125="","",INDEX(الموظفات!$L$5:$L$304,MATCH(B125,الموظفات!$B$5:$B$304,0)))</f>
        <v/>
      </c>
      <c r="K125" s="36">
        <f>IF(88&gt;$B$10,"",88)</f>
        <v/>
      </c>
      <c r="L125" s="37">
        <f>IF($K125="","",INDEX('سجل التحفيز'!$A$5:$A$2004,MATCH($K125,'سجل التحفيز'!$Z$5:$Z$2004,0)))</f>
        <v/>
      </c>
      <c r="M125" s="9">
        <f>IF($K125="","",INDEX('سجل التحفيز'!$B$5:$B$2004,MATCH($K125,'سجل التحفيز'!$Z$5:$Z$2004,0)))</f>
        <v/>
      </c>
      <c r="N125" s="9">
        <f>IF($K125="","",INDEX('سجل التحفيز'!$M$5:$M$2004,MATCH($K125,'سجل التحفيز'!$Z$5:$Z$2004,0)))</f>
        <v/>
      </c>
      <c r="O125" s="9">
        <f>IF($K125="","",INDEX('سجل التحفيز'!$C$5:$C$2004,MATCH($K125,'سجل التحفيز'!$Z$5:$Z$2004,0)))</f>
        <v/>
      </c>
      <c r="P125" s="36">
        <f>IF($K125="","",INDEX('سجل التحفيز'!$D$5:$D$2004,MATCH($K125,'سجل التحفيز'!$Z$5:$Z$2004,0)))</f>
        <v/>
      </c>
      <c r="Q125" s="9">
        <f>IF($K125="","",INDEX('سجل التحفيز'!$E$5:$E$2004,MATCH($K125,'سجل التحفيز'!$Z$5:$Z$2004,0)))</f>
        <v/>
      </c>
      <c r="R125" s="9">
        <f>IF($K125="","",INDEX('سجل التحفيز'!$F$5:$F$2004,MATCH($K125,'سجل التحفيز'!$Z$5:$Z$2004,0)))</f>
        <v/>
      </c>
      <c r="S125" s="35">
        <f>IF($K125="","",INDEX('سجل التحفيز'!$G$5:$G$2004,MATCH($K125,'سجل التحفيز'!$Z$5:$Z$2004,0)))</f>
        <v/>
      </c>
    </row>
    <row r="126">
      <c r="B126" s="34">
        <f>IFERROR(INDEX(الموظفات!$B$5:$B$304,MATCH(89,الموظفات!$T$5:$T$304,0)),"")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التحفيز'!$Z$5:$Z$2004,"&gt;0",'سجل التحفيز'!$B$5:$B$2004,B126))</f>
        <v/>
      </c>
      <c r="E126" s="35">
        <f>IF(B126="","",COUNTIFS('سجل التحفيز'!$Z$5:$Z$2004,"&gt;0",'سجل التحفيز'!$B$5:$B$2004,B126,'سجل التحفيز'!$D$5:$D$2004,"ذهبي"))</f>
        <v/>
      </c>
      <c r="F126" s="35">
        <f>IF(B126="","",SUMIFS('سجل التحفيز'!$G$5:$G$2004,'سجل التحفيز'!$Z$5:$Z$2004,"&gt;0",'سجل التحفيز'!$B$5:$B$2004,B126))</f>
        <v/>
      </c>
      <c r="G126" s="35">
        <f>IF(B126="","",COUNTIF($D$38:$D$187,"&gt;"&amp;D126)+1)</f>
        <v/>
      </c>
      <c r="H126" s="35">
        <f>IF(B126="","",INDEX(الموظفات!$L$5:$L$304,MATCH(B126,الموظفات!$B$5:$B$304,0)))</f>
        <v/>
      </c>
      <c r="K126" s="36">
        <f>IF(89&gt;$B$10,"",89)</f>
        <v/>
      </c>
      <c r="L126" s="37">
        <f>IF($K126="","",INDEX('سجل التحفيز'!$A$5:$A$2004,MATCH($K126,'سجل التحفيز'!$Z$5:$Z$2004,0)))</f>
        <v/>
      </c>
      <c r="M126" s="9">
        <f>IF($K126="","",INDEX('سجل التحفيز'!$B$5:$B$2004,MATCH($K126,'سجل التحفيز'!$Z$5:$Z$2004,0)))</f>
        <v/>
      </c>
      <c r="N126" s="9">
        <f>IF($K126="","",INDEX('سجل التحفيز'!$M$5:$M$2004,MATCH($K126,'سجل التحفيز'!$Z$5:$Z$2004,0)))</f>
        <v/>
      </c>
      <c r="O126" s="9">
        <f>IF($K126="","",INDEX('سجل التحفيز'!$C$5:$C$2004,MATCH($K126,'سجل التحفيز'!$Z$5:$Z$2004,0)))</f>
        <v/>
      </c>
      <c r="P126" s="36">
        <f>IF($K126="","",INDEX('سجل التحفيز'!$D$5:$D$2004,MATCH($K126,'سجل التحفيز'!$Z$5:$Z$2004,0)))</f>
        <v/>
      </c>
      <c r="Q126" s="9">
        <f>IF($K126="","",INDEX('سجل التحفيز'!$E$5:$E$2004,MATCH($K126,'سجل التحفيز'!$Z$5:$Z$2004,0)))</f>
        <v/>
      </c>
      <c r="R126" s="9">
        <f>IF($K126="","",INDEX('سجل التحفيز'!$F$5:$F$2004,MATCH($K126,'سجل التحفيز'!$Z$5:$Z$2004,0)))</f>
        <v/>
      </c>
      <c r="S126" s="35">
        <f>IF($K126="","",INDEX('سجل التحفيز'!$G$5:$G$2004,MATCH($K126,'سجل التحفيز'!$Z$5:$Z$2004,0)))</f>
        <v/>
      </c>
    </row>
    <row r="127">
      <c r="B127" s="34">
        <f>IFERROR(INDEX(الموظفات!$B$5:$B$304,MATCH(90,الموظفات!$T$5:$T$304,0)),"")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التحفيز'!$Z$5:$Z$2004,"&gt;0",'سجل التحفيز'!$B$5:$B$2004,B127))</f>
        <v/>
      </c>
      <c r="E127" s="35">
        <f>IF(B127="","",COUNTIFS('سجل التحفيز'!$Z$5:$Z$2004,"&gt;0",'سجل التحفيز'!$B$5:$B$2004,B127,'سجل التحفيز'!$D$5:$D$2004,"ذهبي"))</f>
        <v/>
      </c>
      <c r="F127" s="35">
        <f>IF(B127="","",SUMIFS('سجل التحفيز'!$G$5:$G$2004,'سجل التحفيز'!$Z$5:$Z$2004,"&gt;0",'سجل التحفيز'!$B$5:$B$2004,B127))</f>
        <v/>
      </c>
      <c r="G127" s="35">
        <f>IF(B127="","",COUNTIF($D$38:$D$187,"&gt;"&amp;D127)+1)</f>
        <v/>
      </c>
      <c r="H127" s="35">
        <f>IF(B127="","",INDEX(الموظفات!$L$5:$L$304,MATCH(B127,الموظفات!$B$5:$B$304,0)))</f>
        <v/>
      </c>
      <c r="K127" s="36">
        <f>IF(90&gt;$B$10,"",90)</f>
        <v/>
      </c>
      <c r="L127" s="37">
        <f>IF($K127="","",INDEX('سجل التحفيز'!$A$5:$A$2004,MATCH($K127,'سجل التحفيز'!$Z$5:$Z$2004,0)))</f>
        <v/>
      </c>
      <c r="M127" s="9">
        <f>IF($K127="","",INDEX('سجل التحفيز'!$B$5:$B$2004,MATCH($K127,'سجل التحفيز'!$Z$5:$Z$2004,0)))</f>
        <v/>
      </c>
      <c r="N127" s="9">
        <f>IF($K127="","",INDEX('سجل التحفيز'!$M$5:$M$2004,MATCH($K127,'سجل التحفيز'!$Z$5:$Z$2004,0)))</f>
        <v/>
      </c>
      <c r="O127" s="9">
        <f>IF($K127="","",INDEX('سجل التحفيز'!$C$5:$C$2004,MATCH($K127,'سجل التحفيز'!$Z$5:$Z$2004,0)))</f>
        <v/>
      </c>
      <c r="P127" s="36">
        <f>IF($K127="","",INDEX('سجل التحفيز'!$D$5:$D$2004,MATCH($K127,'سجل التحفيز'!$Z$5:$Z$2004,0)))</f>
        <v/>
      </c>
      <c r="Q127" s="9">
        <f>IF($K127="","",INDEX('سجل التحفيز'!$E$5:$E$2004,MATCH($K127,'سجل التحفيز'!$Z$5:$Z$2004,0)))</f>
        <v/>
      </c>
      <c r="R127" s="9">
        <f>IF($K127="","",INDEX('سجل التحفيز'!$F$5:$F$2004,MATCH($K127,'سجل التحفيز'!$Z$5:$Z$2004,0)))</f>
        <v/>
      </c>
      <c r="S127" s="35">
        <f>IF($K127="","",INDEX('سجل التحفيز'!$G$5:$G$2004,MATCH($K127,'سجل التحفيز'!$Z$5:$Z$2004,0)))</f>
        <v/>
      </c>
    </row>
    <row r="128">
      <c r="B128" s="34">
        <f>IFERROR(INDEX(الموظفات!$B$5:$B$304,MATCH(91,الموظفات!$T$5:$T$304,0)),"")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التحفيز'!$Z$5:$Z$2004,"&gt;0",'سجل التحفيز'!$B$5:$B$2004,B128))</f>
        <v/>
      </c>
      <c r="E128" s="35">
        <f>IF(B128="","",COUNTIFS('سجل التحفيز'!$Z$5:$Z$2004,"&gt;0",'سجل التحفيز'!$B$5:$B$2004,B128,'سجل التحفيز'!$D$5:$D$2004,"ذهبي"))</f>
        <v/>
      </c>
      <c r="F128" s="35">
        <f>IF(B128="","",SUMIFS('سجل التحفيز'!$G$5:$G$2004,'سجل التحفيز'!$Z$5:$Z$2004,"&gt;0",'سجل التحفيز'!$B$5:$B$2004,B128))</f>
        <v/>
      </c>
      <c r="G128" s="35">
        <f>IF(B128="","",COUNTIF($D$38:$D$187,"&gt;"&amp;D128)+1)</f>
        <v/>
      </c>
      <c r="H128" s="35">
        <f>IF(B128="","",INDEX(الموظفات!$L$5:$L$304,MATCH(B128,الموظفات!$B$5:$B$304,0)))</f>
        <v/>
      </c>
      <c r="K128" s="36">
        <f>IF(91&gt;$B$10,"",91)</f>
        <v/>
      </c>
      <c r="L128" s="37">
        <f>IF($K128="","",INDEX('سجل التحفيز'!$A$5:$A$2004,MATCH($K128,'سجل التحفيز'!$Z$5:$Z$2004,0)))</f>
        <v/>
      </c>
      <c r="M128" s="9">
        <f>IF($K128="","",INDEX('سجل التحفيز'!$B$5:$B$2004,MATCH($K128,'سجل التحفيز'!$Z$5:$Z$2004,0)))</f>
        <v/>
      </c>
      <c r="N128" s="9">
        <f>IF($K128="","",INDEX('سجل التحفيز'!$M$5:$M$2004,MATCH($K128,'سجل التحفيز'!$Z$5:$Z$2004,0)))</f>
        <v/>
      </c>
      <c r="O128" s="9">
        <f>IF($K128="","",INDEX('سجل التحفيز'!$C$5:$C$2004,MATCH($K128,'سجل التحفيز'!$Z$5:$Z$2004,0)))</f>
        <v/>
      </c>
      <c r="P128" s="36">
        <f>IF($K128="","",INDEX('سجل التحفيز'!$D$5:$D$2004,MATCH($K128,'سجل التحفيز'!$Z$5:$Z$2004,0)))</f>
        <v/>
      </c>
      <c r="Q128" s="9">
        <f>IF($K128="","",INDEX('سجل التحفيز'!$E$5:$E$2004,MATCH($K128,'سجل التحفيز'!$Z$5:$Z$2004,0)))</f>
        <v/>
      </c>
      <c r="R128" s="9">
        <f>IF($K128="","",INDEX('سجل التحفيز'!$F$5:$F$2004,MATCH($K128,'سجل التحفيز'!$Z$5:$Z$2004,0)))</f>
        <v/>
      </c>
      <c r="S128" s="35">
        <f>IF($K128="","",INDEX('سجل التحفيز'!$G$5:$G$2004,MATCH($K128,'سجل التحفيز'!$Z$5:$Z$2004,0)))</f>
        <v/>
      </c>
    </row>
    <row r="129">
      <c r="B129" s="34">
        <f>IFERROR(INDEX(الموظفات!$B$5:$B$304,MATCH(92,الموظفات!$T$5:$T$304,0)),"")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التحفيز'!$Z$5:$Z$2004,"&gt;0",'سجل التحفيز'!$B$5:$B$2004,B129))</f>
        <v/>
      </c>
      <c r="E129" s="35">
        <f>IF(B129="","",COUNTIFS('سجل التحفيز'!$Z$5:$Z$2004,"&gt;0",'سجل التحفيز'!$B$5:$B$2004,B129,'سجل التحفيز'!$D$5:$D$2004,"ذهبي"))</f>
        <v/>
      </c>
      <c r="F129" s="35">
        <f>IF(B129="","",SUMIFS('سجل التحفيز'!$G$5:$G$2004,'سجل التحفيز'!$Z$5:$Z$2004,"&gt;0",'سجل التحفيز'!$B$5:$B$2004,B129))</f>
        <v/>
      </c>
      <c r="G129" s="35">
        <f>IF(B129="","",COUNTIF($D$38:$D$187,"&gt;"&amp;D129)+1)</f>
        <v/>
      </c>
      <c r="H129" s="35">
        <f>IF(B129="","",INDEX(الموظفات!$L$5:$L$304,MATCH(B129,الموظفات!$B$5:$B$304,0)))</f>
        <v/>
      </c>
      <c r="K129" s="36">
        <f>IF(92&gt;$B$10,"",92)</f>
        <v/>
      </c>
      <c r="L129" s="37">
        <f>IF($K129="","",INDEX('سجل التحفيز'!$A$5:$A$2004,MATCH($K129,'سجل التحفيز'!$Z$5:$Z$2004,0)))</f>
        <v/>
      </c>
      <c r="M129" s="9">
        <f>IF($K129="","",INDEX('سجل التحفيز'!$B$5:$B$2004,MATCH($K129,'سجل التحفيز'!$Z$5:$Z$2004,0)))</f>
        <v/>
      </c>
      <c r="N129" s="9">
        <f>IF($K129="","",INDEX('سجل التحفيز'!$M$5:$M$2004,MATCH($K129,'سجل التحفيز'!$Z$5:$Z$2004,0)))</f>
        <v/>
      </c>
      <c r="O129" s="9">
        <f>IF($K129="","",INDEX('سجل التحفيز'!$C$5:$C$2004,MATCH($K129,'سجل التحفيز'!$Z$5:$Z$2004,0)))</f>
        <v/>
      </c>
      <c r="P129" s="36">
        <f>IF($K129="","",INDEX('سجل التحفيز'!$D$5:$D$2004,MATCH($K129,'سجل التحفيز'!$Z$5:$Z$2004,0)))</f>
        <v/>
      </c>
      <c r="Q129" s="9">
        <f>IF($K129="","",INDEX('سجل التحفيز'!$E$5:$E$2004,MATCH($K129,'سجل التحفيز'!$Z$5:$Z$2004,0)))</f>
        <v/>
      </c>
      <c r="R129" s="9">
        <f>IF($K129="","",INDEX('سجل التحفيز'!$F$5:$F$2004,MATCH($K129,'سجل التحفيز'!$Z$5:$Z$2004,0)))</f>
        <v/>
      </c>
      <c r="S129" s="35">
        <f>IF($K129="","",INDEX('سجل التحفيز'!$G$5:$G$2004,MATCH($K129,'سجل التحفيز'!$Z$5:$Z$2004,0)))</f>
        <v/>
      </c>
    </row>
    <row r="130">
      <c r="B130" s="34">
        <f>IFERROR(INDEX(الموظفات!$B$5:$B$304,MATCH(93,الموظفات!$T$5:$T$304,0)),"")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التحفيز'!$Z$5:$Z$2004,"&gt;0",'سجل التحفيز'!$B$5:$B$2004,B130))</f>
        <v/>
      </c>
      <c r="E130" s="35">
        <f>IF(B130="","",COUNTIFS('سجل التحفيز'!$Z$5:$Z$2004,"&gt;0",'سجل التحفيز'!$B$5:$B$2004,B130,'سجل التحفيز'!$D$5:$D$2004,"ذهبي"))</f>
        <v/>
      </c>
      <c r="F130" s="35">
        <f>IF(B130="","",SUMIFS('سجل التحفيز'!$G$5:$G$2004,'سجل التحفيز'!$Z$5:$Z$2004,"&gt;0",'سجل التحفيز'!$B$5:$B$2004,B130))</f>
        <v/>
      </c>
      <c r="G130" s="35">
        <f>IF(B130="","",COUNTIF($D$38:$D$187,"&gt;"&amp;D130)+1)</f>
        <v/>
      </c>
      <c r="H130" s="35">
        <f>IF(B130="","",INDEX(الموظفات!$L$5:$L$304,MATCH(B130,الموظفات!$B$5:$B$304,0)))</f>
        <v/>
      </c>
      <c r="K130" s="36">
        <f>IF(93&gt;$B$10,"",93)</f>
        <v/>
      </c>
      <c r="L130" s="37">
        <f>IF($K130="","",INDEX('سجل التحفيز'!$A$5:$A$2004,MATCH($K130,'سجل التحفيز'!$Z$5:$Z$2004,0)))</f>
        <v/>
      </c>
      <c r="M130" s="9">
        <f>IF($K130="","",INDEX('سجل التحفيز'!$B$5:$B$2004,MATCH($K130,'سجل التحفيز'!$Z$5:$Z$2004,0)))</f>
        <v/>
      </c>
      <c r="N130" s="9">
        <f>IF($K130="","",INDEX('سجل التحفيز'!$M$5:$M$2004,MATCH($K130,'سجل التحفيز'!$Z$5:$Z$2004,0)))</f>
        <v/>
      </c>
      <c r="O130" s="9">
        <f>IF($K130="","",INDEX('سجل التحفيز'!$C$5:$C$2004,MATCH($K130,'سجل التحفيز'!$Z$5:$Z$2004,0)))</f>
        <v/>
      </c>
      <c r="P130" s="36">
        <f>IF($K130="","",INDEX('سجل التحفيز'!$D$5:$D$2004,MATCH($K130,'سجل التحفيز'!$Z$5:$Z$2004,0)))</f>
        <v/>
      </c>
      <c r="Q130" s="9">
        <f>IF($K130="","",INDEX('سجل التحفيز'!$E$5:$E$2004,MATCH($K130,'سجل التحفيز'!$Z$5:$Z$2004,0)))</f>
        <v/>
      </c>
      <c r="R130" s="9">
        <f>IF($K130="","",INDEX('سجل التحفيز'!$F$5:$F$2004,MATCH($K130,'سجل التحفيز'!$Z$5:$Z$2004,0)))</f>
        <v/>
      </c>
      <c r="S130" s="35">
        <f>IF($K130="","",INDEX('سجل التحفيز'!$G$5:$G$2004,MATCH($K130,'سجل التحفيز'!$Z$5:$Z$2004,0)))</f>
        <v/>
      </c>
    </row>
    <row r="131">
      <c r="B131" s="34">
        <f>IFERROR(INDEX(الموظفات!$B$5:$B$304,MATCH(94,الموظفات!$T$5:$T$304,0)),"")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التحفيز'!$Z$5:$Z$2004,"&gt;0",'سجل التحفيز'!$B$5:$B$2004,B131))</f>
        <v/>
      </c>
      <c r="E131" s="35">
        <f>IF(B131="","",COUNTIFS('سجل التحفيز'!$Z$5:$Z$2004,"&gt;0",'سجل التحفيز'!$B$5:$B$2004,B131,'سجل التحفيز'!$D$5:$D$2004,"ذهبي"))</f>
        <v/>
      </c>
      <c r="F131" s="35">
        <f>IF(B131="","",SUMIFS('سجل التحفيز'!$G$5:$G$2004,'سجل التحفيز'!$Z$5:$Z$2004,"&gt;0",'سجل التحفيز'!$B$5:$B$2004,B131))</f>
        <v/>
      </c>
      <c r="G131" s="35">
        <f>IF(B131="","",COUNTIF($D$38:$D$187,"&gt;"&amp;D131)+1)</f>
        <v/>
      </c>
      <c r="H131" s="35">
        <f>IF(B131="","",INDEX(الموظفات!$L$5:$L$304,MATCH(B131,الموظفات!$B$5:$B$304,0)))</f>
        <v/>
      </c>
      <c r="K131" s="36">
        <f>IF(94&gt;$B$10,"",94)</f>
        <v/>
      </c>
      <c r="L131" s="37">
        <f>IF($K131="","",INDEX('سجل التحفيز'!$A$5:$A$2004,MATCH($K131,'سجل التحفيز'!$Z$5:$Z$2004,0)))</f>
        <v/>
      </c>
      <c r="M131" s="9">
        <f>IF($K131="","",INDEX('سجل التحفيز'!$B$5:$B$2004,MATCH($K131,'سجل التحفيز'!$Z$5:$Z$2004,0)))</f>
        <v/>
      </c>
      <c r="N131" s="9">
        <f>IF($K131="","",INDEX('سجل التحفيز'!$M$5:$M$2004,MATCH($K131,'سجل التحفيز'!$Z$5:$Z$2004,0)))</f>
        <v/>
      </c>
      <c r="O131" s="9">
        <f>IF($K131="","",INDEX('سجل التحفيز'!$C$5:$C$2004,MATCH($K131,'سجل التحفيز'!$Z$5:$Z$2004,0)))</f>
        <v/>
      </c>
      <c r="P131" s="36">
        <f>IF($K131="","",INDEX('سجل التحفيز'!$D$5:$D$2004,MATCH($K131,'سجل التحفيز'!$Z$5:$Z$2004,0)))</f>
        <v/>
      </c>
      <c r="Q131" s="9">
        <f>IF($K131="","",INDEX('سجل التحفيز'!$E$5:$E$2004,MATCH($K131,'سجل التحفيز'!$Z$5:$Z$2004,0)))</f>
        <v/>
      </c>
      <c r="R131" s="9">
        <f>IF($K131="","",INDEX('سجل التحفيز'!$F$5:$F$2004,MATCH($K131,'سجل التحفيز'!$Z$5:$Z$2004,0)))</f>
        <v/>
      </c>
      <c r="S131" s="35">
        <f>IF($K131="","",INDEX('سجل التحفيز'!$G$5:$G$2004,MATCH($K131,'سجل التحفيز'!$Z$5:$Z$2004,0)))</f>
        <v/>
      </c>
    </row>
    <row r="132">
      <c r="B132" s="34">
        <f>IFERROR(INDEX(الموظفات!$B$5:$B$304,MATCH(95,الموظفات!$T$5:$T$304,0)),"")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التحفيز'!$Z$5:$Z$2004,"&gt;0",'سجل التحفيز'!$B$5:$B$2004,B132))</f>
        <v/>
      </c>
      <c r="E132" s="35">
        <f>IF(B132="","",COUNTIFS('سجل التحفيز'!$Z$5:$Z$2004,"&gt;0",'سجل التحفيز'!$B$5:$B$2004,B132,'سجل التحفيز'!$D$5:$D$2004,"ذهبي"))</f>
        <v/>
      </c>
      <c r="F132" s="35">
        <f>IF(B132="","",SUMIFS('سجل التحفيز'!$G$5:$G$2004,'سجل التحفيز'!$Z$5:$Z$2004,"&gt;0",'سجل التحفيز'!$B$5:$B$2004,B132))</f>
        <v/>
      </c>
      <c r="G132" s="35">
        <f>IF(B132="","",COUNTIF($D$38:$D$187,"&gt;"&amp;D132)+1)</f>
        <v/>
      </c>
      <c r="H132" s="35">
        <f>IF(B132="","",INDEX(الموظفات!$L$5:$L$304,MATCH(B132,الموظفات!$B$5:$B$304,0)))</f>
        <v/>
      </c>
      <c r="K132" s="36">
        <f>IF(95&gt;$B$10,"",95)</f>
        <v/>
      </c>
      <c r="L132" s="37">
        <f>IF($K132="","",INDEX('سجل التحفيز'!$A$5:$A$2004,MATCH($K132,'سجل التحفيز'!$Z$5:$Z$2004,0)))</f>
        <v/>
      </c>
      <c r="M132" s="9">
        <f>IF($K132="","",INDEX('سجل التحفيز'!$B$5:$B$2004,MATCH($K132,'سجل التحفيز'!$Z$5:$Z$2004,0)))</f>
        <v/>
      </c>
      <c r="N132" s="9">
        <f>IF($K132="","",INDEX('سجل التحفيز'!$M$5:$M$2004,MATCH($K132,'سجل التحفيز'!$Z$5:$Z$2004,0)))</f>
        <v/>
      </c>
      <c r="O132" s="9">
        <f>IF($K132="","",INDEX('سجل التحفيز'!$C$5:$C$2004,MATCH($K132,'سجل التحفيز'!$Z$5:$Z$2004,0)))</f>
        <v/>
      </c>
      <c r="P132" s="36">
        <f>IF($K132="","",INDEX('سجل التحفيز'!$D$5:$D$2004,MATCH($K132,'سجل التحفيز'!$Z$5:$Z$2004,0)))</f>
        <v/>
      </c>
      <c r="Q132" s="9">
        <f>IF($K132="","",INDEX('سجل التحفيز'!$E$5:$E$2004,MATCH($K132,'سجل التحفيز'!$Z$5:$Z$2004,0)))</f>
        <v/>
      </c>
      <c r="R132" s="9">
        <f>IF($K132="","",INDEX('سجل التحفيز'!$F$5:$F$2004,MATCH($K132,'سجل التحفيز'!$Z$5:$Z$2004,0)))</f>
        <v/>
      </c>
      <c r="S132" s="35">
        <f>IF($K132="","",INDEX('سجل التحفيز'!$G$5:$G$2004,MATCH($K132,'سجل التحفيز'!$Z$5:$Z$2004,0)))</f>
        <v/>
      </c>
    </row>
    <row r="133">
      <c r="B133" s="34">
        <f>IFERROR(INDEX(الموظفات!$B$5:$B$304,MATCH(96,الموظفات!$T$5:$T$304,0)),"")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التحفيز'!$Z$5:$Z$2004,"&gt;0",'سجل التحفيز'!$B$5:$B$2004,B133))</f>
        <v/>
      </c>
      <c r="E133" s="35">
        <f>IF(B133="","",COUNTIFS('سجل التحفيز'!$Z$5:$Z$2004,"&gt;0",'سجل التحفيز'!$B$5:$B$2004,B133,'سجل التحفيز'!$D$5:$D$2004,"ذهبي"))</f>
        <v/>
      </c>
      <c r="F133" s="35">
        <f>IF(B133="","",SUMIFS('سجل التحفيز'!$G$5:$G$2004,'سجل التحفيز'!$Z$5:$Z$2004,"&gt;0",'سجل التحفيز'!$B$5:$B$2004,B133))</f>
        <v/>
      </c>
      <c r="G133" s="35">
        <f>IF(B133="","",COUNTIF($D$38:$D$187,"&gt;"&amp;D133)+1)</f>
        <v/>
      </c>
      <c r="H133" s="35">
        <f>IF(B133="","",INDEX(الموظفات!$L$5:$L$304,MATCH(B133,الموظفات!$B$5:$B$304,0)))</f>
        <v/>
      </c>
      <c r="K133" s="36">
        <f>IF(96&gt;$B$10,"",96)</f>
        <v/>
      </c>
      <c r="L133" s="37">
        <f>IF($K133="","",INDEX('سجل التحفيز'!$A$5:$A$2004,MATCH($K133,'سجل التحفيز'!$Z$5:$Z$2004,0)))</f>
        <v/>
      </c>
      <c r="M133" s="9">
        <f>IF($K133="","",INDEX('سجل التحفيز'!$B$5:$B$2004,MATCH($K133,'سجل التحفيز'!$Z$5:$Z$2004,0)))</f>
        <v/>
      </c>
      <c r="N133" s="9">
        <f>IF($K133="","",INDEX('سجل التحفيز'!$M$5:$M$2004,MATCH($K133,'سجل التحفيز'!$Z$5:$Z$2004,0)))</f>
        <v/>
      </c>
      <c r="O133" s="9">
        <f>IF($K133="","",INDEX('سجل التحفيز'!$C$5:$C$2004,MATCH($K133,'سجل التحفيز'!$Z$5:$Z$2004,0)))</f>
        <v/>
      </c>
      <c r="P133" s="36">
        <f>IF($K133="","",INDEX('سجل التحفيز'!$D$5:$D$2004,MATCH($K133,'سجل التحفيز'!$Z$5:$Z$2004,0)))</f>
        <v/>
      </c>
      <c r="Q133" s="9">
        <f>IF($K133="","",INDEX('سجل التحفيز'!$E$5:$E$2004,MATCH($K133,'سجل التحفيز'!$Z$5:$Z$2004,0)))</f>
        <v/>
      </c>
      <c r="R133" s="9">
        <f>IF($K133="","",INDEX('سجل التحفيز'!$F$5:$F$2004,MATCH($K133,'سجل التحفيز'!$Z$5:$Z$2004,0)))</f>
        <v/>
      </c>
      <c r="S133" s="35">
        <f>IF($K133="","",INDEX('سجل التحفيز'!$G$5:$G$2004,MATCH($K133,'سجل التحفيز'!$Z$5:$Z$2004,0)))</f>
        <v/>
      </c>
    </row>
    <row r="134">
      <c r="B134" s="34">
        <f>IFERROR(INDEX(الموظفات!$B$5:$B$304,MATCH(97,الموظفات!$T$5:$T$304,0)),"")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التحفيز'!$Z$5:$Z$2004,"&gt;0",'سجل التحفيز'!$B$5:$B$2004,B134))</f>
        <v/>
      </c>
      <c r="E134" s="35">
        <f>IF(B134="","",COUNTIFS('سجل التحفيز'!$Z$5:$Z$2004,"&gt;0",'سجل التحفيز'!$B$5:$B$2004,B134,'سجل التحفيز'!$D$5:$D$2004,"ذهبي"))</f>
        <v/>
      </c>
      <c r="F134" s="35">
        <f>IF(B134="","",SUMIFS('سجل التحفيز'!$G$5:$G$2004,'سجل التحفيز'!$Z$5:$Z$2004,"&gt;0",'سجل التحفيز'!$B$5:$B$2004,B134))</f>
        <v/>
      </c>
      <c r="G134" s="35">
        <f>IF(B134="","",COUNTIF($D$38:$D$187,"&gt;"&amp;D134)+1)</f>
        <v/>
      </c>
      <c r="H134" s="35">
        <f>IF(B134="","",INDEX(الموظفات!$L$5:$L$304,MATCH(B134,الموظفات!$B$5:$B$304,0)))</f>
        <v/>
      </c>
      <c r="K134" s="36">
        <f>IF(97&gt;$B$10,"",97)</f>
        <v/>
      </c>
      <c r="L134" s="37">
        <f>IF($K134="","",INDEX('سجل التحفيز'!$A$5:$A$2004,MATCH($K134,'سجل التحفيز'!$Z$5:$Z$2004,0)))</f>
        <v/>
      </c>
      <c r="M134" s="9">
        <f>IF($K134="","",INDEX('سجل التحفيز'!$B$5:$B$2004,MATCH($K134,'سجل التحفيز'!$Z$5:$Z$2004,0)))</f>
        <v/>
      </c>
      <c r="N134" s="9">
        <f>IF($K134="","",INDEX('سجل التحفيز'!$M$5:$M$2004,MATCH($K134,'سجل التحفيز'!$Z$5:$Z$2004,0)))</f>
        <v/>
      </c>
      <c r="O134" s="9">
        <f>IF($K134="","",INDEX('سجل التحفيز'!$C$5:$C$2004,MATCH($K134,'سجل التحفيز'!$Z$5:$Z$2004,0)))</f>
        <v/>
      </c>
      <c r="P134" s="36">
        <f>IF($K134="","",INDEX('سجل التحفيز'!$D$5:$D$2004,MATCH($K134,'سجل التحفيز'!$Z$5:$Z$2004,0)))</f>
        <v/>
      </c>
      <c r="Q134" s="9">
        <f>IF($K134="","",INDEX('سجل التحفيز'!$E$5:$E$2004,MATCH($K134,'سجل التحفيز'!$Z$5:$Z$2004,0)))</f>
        <v/>
      </c>
      <c r="R134" s="9">
        <f>IF($K134="","",INDEX('سجل التحفيز'!$F$5:$F$2004,MATCH($K134,'سجل التحفيز'!$Z$5:$Z$2004,0)))</f>
        <v/>
      </c>
      <c r="S134" s="35">
        <f>IF($K134="","",INDEX('سجل التحفيز'!$G$5:$G$2004,MATCH($K134,'سجل التحفيز'!$Z$5:$Z$2004,0)))</f>
        <v/>
      </c>
    </row>
    <row r="135">
      <c r="B135" s="34">
        <f>IFERROR(INDEX(الموظفات!$B$5:$B$304,MATCH(98,الموظفات!$T$5:$T$304,0)),"")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التحفيز'!$Z$5:$Z$2004,"&gt;0",'سجل التحفيز'!$B$5:$B$2004,B135))</f>
        <v/>
      </c>
      <c r="E135" s="35">
        <f>IF(B135="","",COUNTIFS('سجل التحفيز'!$Z$5:$Z$2004,"&gt;0",'سجل التحفيز'!$B$5:$B$2004,B135,'سجل التحفيز'!$D$5:$D$2004,"ذهبي"))</f>
        <v/>
      </c>
      <c r="F135" s="35">
        <f>IF(B135="","",SUMIFS('سجل التحفيز'!$G$5:$G$2004,'سجل التحفيز'!$Z$5:$Z$2004,"&gt;0",'سجل التحفيز'!$B$5:$B$2004,B135))</f>
        <v/>
      </c>
      <c r="G135" s="35">
        <f>IF(B135="","",COUNTIF($D$38:$D$187,"&gt;"&amp;D135)+1)</f>
        <v/>
      </c>
      <c r="H135" s="35">
        <f>IF(B135="","",INDEX(الموظفات!$L$5:$L$304,MATCH(B135,الموظفات!$B$5:$B$304,0)))</f>
        <v/>
      </c>
      <c r="K135" s="36">
        <f>IF(98&gt;$B$10,"",98)</f>
        <v/>
      </c>
      <c r="L135" s="37">
        <f>IF($K135="","",INDEX('سجل التحفيز'!$A$5:$A$2004,MATCH($K135,'سجل التحفيز'!$Z$5:$Z$2004,0)))</f>
        <v/>
      </c>
      <c r="M135" s="9">
        <f>IF($K135="","",INDEX('سجل التحفيز'!$B$5:$B$2004,MATCH($K135,'سجل التحفيز'!$Z$5:$Z$2004,0)))</f>
        <v/>
      </c>
      <c r="N135" s="9">
        <f>IF($K135="","",INDEX('سجل التحفيز'!$M$5:$M$2004,MATCH($K135,'سجل التحفيز'!$Z$5:$Z$2004,0)))</f>
        <v/>
      </c>
      <c r="O135" s="9">
        <f>IF($K135="","",INDEX('سجل التحفيز'!$C$5:$C$2004,MATCH($K135,'سجل التحفيز'!$Z$5:$Z$2004,0)))</f>
        <v/>
      </c>
      <c r="P135" s="36">
        <f>IF($K135="","",INDEX('سجل التحفيز'!$D$5:$D$2004,MATCH($K135,'سجل التحفيز'!$Z$5:$Z$2004,0)))</f>
        <v/>
      </c>
      <c r="Q135" s="9">
        <f>IF($K135="","",INDEX('سجل التحفيز'!$E$5:$E$2004,MATCH($K135,'سجل التحفيز'!$Z$5:$Z$2004,0)))</f>
        <v/>
      </c>
      <c r="R135" s="9">
        <f>IF($K135="","",INDEX('سجل التحفيز'!$F$5:$F$2004,MATCH($K135,'سجل التحفيز'!$Z$5:$Z$2004,0)))</f>
        <v/>
      </c>
      <c r="S135" s="35">
        <f>IF($K135="","",INDEX('سجل التحفيز'!$G$5:$G$2004,MATCH($K135,'سجل التحفيز'!$Z$5:$Z$2004,0)))</f>
        <v/>
      </c>
    </row>
    <row r="136">
      <c r="B136" s="34">
        <f>IFERROR(INDEX(الموظفات!$B$5:$B$304,MATCH(99,الموظفات!$T$5:$T$304,0)),"")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التحفيز'!$Z$5:$Z$2004,"&gt;0",'سجل التحفيز'!$B$5:$B$2004,B136))</f>
        <v/>
      </c>
      <c r="E136" s="35">
        <f>IF(B136="","",COUNTIFS('سجل التحفيز'!$Z$5:$Z$2004,"&gt;0",'سجل التحفيز'!$B$5:$B$2004,B136,'سجل التحفيز'!$D$5:$D$2004,"ذهبي"))</f>
        <v/>
      </c>
      <c r="F136" s="35">
        <f>IF(B136="","",SUMIFS('سجل التحفيز'!$G$5:$G$2004,'سجل التحفيز'!$Z$5:$Z$2004,"&gt;0",'سجل التحفيز'!$B$5:$B$2004,B136))</f>
        <v/>
      </c>
      <c r="G136" s="35">
        <f>IF(B136="","",COUNTIF($D$38:$D$187,"&gt;"&amp;D136)+1)</f>
        <v/>
      </c>
      <c r="H136" s="35">
        <f>IF(B136="","",INDEX(الموظفات!$L$5:$L$304,MATCH(B136,الموظفات!$B$5:$B$304,0)))</f>
        <v/>
      </c>
      <c r="K136" s="36">
        <f>IF(99&gt;$B$10,"",99)</f>
        <v/>
      </c>
      <c r="L136" s="37">
        <f>IF($K136="","",INDEX('سجل التحفيز'!$A$5:$A$2004,MATCH($K136,'سجل التحفيز'!$Z$5:$Z$2004,0)))</f>
        <v/>
      </c>
      <c r="M136" s="9">
        <f>IF($K136="","",INDEX('سجل التحفيز'!$B$5:$B$2004,MATCH($K136,'سجل التحفيز'!$Z$5:$Z$2004,0)))</f>
        <v/>
      </c>
      <c r="N136" s="9">
        <f>IF($K136="","",INDEX('سجل التحفيز'!$M$5:$M$2004,MATCH($K136,'سجل التحفيز'!$Z$5:$Z$2004,0)))</f>
        <v/>
      </c>
      <c r="O136" s="9">
        <f>IF($K136="","",INDEX('سجل التحفيز'!$C$5:$C$2004,MATCH($K136,'سجل التحفيز'!$Z$5:$Z$2004,0)))</f>
        <v/>
      </c>
      <c r="P136" s="36">
        <f>IF($K136="","",INDEX('سجل التحفيز'!$D$5:$D$2004,MATCH($K136,'سجل التحفيز'!$Z$5:$Z$2004,0)))</f>
        <v/>
      </c>
      <c r="Q136" s="9">
        <f>IF($K136="","",INDEX('سجل التحفيز'!$E$5:$E$2004,MATCH($K136,'سجل التحفيز'!$Z$5:$Z$2004,0)))</f>
        <v/>
      </c>
      <c r="R136" s="9">
        <f>IF($K136="","",INDEX('سجل التحفيز'!$F$5:$F$2004,MATCH($K136,'سجل التحفيز'!$Z$5:$Z$2004,0)))</f>
        <v/>
      </c>
      <c r="S136" s="35">
        <f>IF($K136="","",INDEX('سجل التحفيز'!$G$5:$G$2004,MATCH($K136,'سجل التحفيز'!$Z$5:$Z$2004,0)))</f>
        <v/>
      </c>
    </row>
    <row r="137">
      <c r="B137" s="34">
        <f>IFERROR(INDEX(الموظفات!$B$5:$B$304,MATCH(100,الموظفات!$T$5:$T$304,0)),"")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التحفيز'!$Z$5:$Z$2004,"&gt;0",'سجل التحفيز'!$B$5:$B$2004,B137))</f>
        <v/>
      </c>
      <c r="E137" s="35">
        <f>IF(B137="","",COUNTIFS('سجل التحفيز'!$Z$5:$Z$2004,"&gt;0",'سجل التحفيز'!$B$5:$B$2004,B137,'سجل التحفيز'!$D$5:$D$2004,"ذهبي"))</f>
        <v/>
      </c>
      <c r="F137" s="35">
        <f>IF(B137="","",SUMIFS('سجل التحفيز'!$G$5:$G$2004,'سجل التحفيز'!$Z$5:$Z$2004,"&gt;0",'سجل التحفيز'!$B$5:$B$2004,B137))</f>
        <v/>
      </c>
      <c r="G137" s="35">
        <f>IF(B137="","",COUNTIF($D$38:$D$187,"&gt;"&amp;D137)+1)</f>
        <v/>
      </c>
      <c r="H137" s="35">
        <f>IF(B137="","",INDEX(الموظفات!$L$5:$L$304,MATCH(B137,الموظفات!$B$5:$B$304,0)))</f>
        <v/>
      </c>
      <c r="K137" s="36">
        <f>IF(100&gt;$B$10,"",100)</f>
        <v/>
      </c>
      <c r="L137" s="37">
        <f>IF($K137="","",INDEX('سجل التحفيز'!$A$5:$A$2004,MATCH($K137,'سجل التحفيز'!$Z$5:$Z$2004,0)))</f>
        <v/>
      </c>
      <c r="M137" s="9">
        <f>IF($K137="","",INDEX('سجل التحفيز'!$B$5:$B$2004,MATCH($K137,'سجل التحفيز'!$Z$5:$Z$2004,0)))</f>
        <v/>
      </c>
      <c r="N137" s="9">
        <f>IF($K137="","",INDEX('سجل التحفيز'!$M$5:$M$2004,MATCH($K137,'سجل التحفيز'!$Z$5:$Z$2004,0)))</f>
        <v/>
      </c>
      <c r="O137" s="9">
        <f>IF($K137="","",INDEX('سجل التحفيز'!$C$5:$C$2004,MATCH($K137,'سجل التحفيز'!$Z$5:$Z$2004,0)))</f>
        <v/>
      </c>
      <c r="P137" s="36">
        <f>IF($K137="","",INDEX('سجل التحفيز'!$D$5:$D$2004,MATCH($K137,'سجل التحفيز'!$Z$5:$Z$2004,0)))</f>
        <v/>
      </c>
      <c r="Q137" s="9">
        <f>IF($K137="","",INDEX('سجل التحفيز'!$E$5:$E$2004,MATCH($K137,'سجل التحفيز'!$Z$5:$Z$2004,0)))</f>
        <v/>
      </c>
      <c r="R137" s="9">
        <f>IF($K137="","",INDEX('سجل التحفيز'!$F$5:$F$2004,MATCH($K137,'سجل التحفيز'!$Z$5:$Z$2004,0)))</f>
        <v/>
      </c>
      <c r="S137" s="35">
        <f>IF($K137="","",INDEX('سجل التحفيز'!$G$5:$G$2004,MATCH($K137,'سجل التحفيز'!$Z$5:$Z$2004,0)))</f>
        <v/>
      </c>
    </row>
    <row r="138">
      <c r="B138" s="34">
        <f>IFERROR(INDEX(الموظفات!$B$5:$B$304,MATCH(101,الموظفات!$T$5:$T$304,0)),"")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التحفيز'!$Z$5:$Z$2004,"&gt;0",'سجل التحفيز'!$B$5:$B$2004,B138))</f>
        <v/>
      </c>
      <c r="E138" s="35">
        <f>IF(B138="","",COUNTIFS('سجل التحفيز'!$Z$5:$Z$2004,"&gt;0",'سجل التحفيز'!$B$5:$B$2004,B138,'سجل التحفيز'!$D$5:$D$2004,"ذهبي"))</f>
        <v/>
      </c>
      <c r="F138" s="35">
        <f>IF(B138="","",SUMIFS('سجل التحفيز'!$G$5:$G$2004,'سجل التحفيز'!$Z$5:$Z$2004,"&gt;0",'سجل التحفيز'!$B$5:$B$2004,B138))</f>
        <v/>
      </c>
      <c r="G138" s="35">
        <f>IF(B138="","",COUNTIF($D$38:$D$187,"&gt;"&amp;D138)+1)</f>
        <v/>
      </c>
      <c r="H138" s="35">
        <f>IF(B138="","",INDEX(الموظفات!$L$5:$L$304,MATCH(B138,الموظفات!$B$5:$B$304,0)))</f>
        <v/>
      </c>
      <c r="K138" s="36">
        <f>IF(101&gt;$B$10,"",101)</f>
        <v/>
      </c>
      <c r="L138" s="37">
        <f>IF($K138="","",INDEX('سجل التحفيز'!$A$5:$A$2004,MATCH($K138,'سجل التحفيز'!$Z$5:$Z$2004,0)))</f>
        <v/>
      </c>
      <c r="M138" s="9">
        <f>IF($K138="","",INDEX('سجل التحفيز'!$B$5:$B$2004,MATCH($K138,'سجل التحفيز'!$Z$5:$Z$2004,0)))</f>
        <v/>
      </c>
      <c r="N138" s="9">
        <f>IF($K138="","",INDEX('سجل التحفيز'!$M$5:$M$2004,MATCH($K138,'سجل التحفيز'!$Z$5:$Z$2004,0)))</f>
        <v/>
      </c>
      <c r="O138" s="9">
        <f>IF($K138="","",INDEX('سجل التحفيز'!$C$5:$C$2004,MATCH($K138,'سجل التحفيز'!$Z$5:$Z$2004,0)))</f>
        <v/>
      </c>
      <c r="P138" s="36">
        <f>IF($K138="","",INDEX('سجل التحفيز'!$D$5:$D$2004,MATCH($K138,'سجل التحفيز'!$Z$5:$Z$2004,0)))</f>
        <v/>
      </c>
      <c r="Q138" s="9">
        <f>IF($K138="","",INDEX('سجل التحفيز'!$E$5:$E$2004,MATCH($K138,'سجل التحفيز'!$Z$5:$Z$2004,0)))</f>
        <v/>
      </c>
      <c r="R138" s="9">
        <f>IF($K138="","",INDEX('سجل التحفيز'!$F$5:$F$2004,MATCH($K138,'سجل التحفيز'!$Z$5:$Z$2004,0)))</f>
        <v/>
      </c>
      <c r="S138" s="35">
        <f>IF($K138="","",INDEX('سجل التحفيز'!$G$5:$G$2004,MATCH($K138,'سجل التحفيز'!$Z$5:$Z$2004,0)))</f>
        <v/>
      </c>
    </row>
    <row r="139">
      <c r="B139" s="34">
        <f>IFERROR(INDEX(الموظفات!$B$5:$B$304,MATCH(102,الموظفات!$T$5:$T$304,0)),"")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التحفيز'!$Z$5:$Z$2004,"&gt;0",'سجل التحفيز'!$B$5:$B$2004,B139))</f>
        <v/>
      </c>
      <c r="E139" s="35">
        <f>IF(B139="","",COUNTIFS('سجل التحفيز'!$Z$5:$Z$2004,"&gt;0",'سجل التحفيز'!$B$5:$B$2004,B139,'سجل التحفيز'!$D$5:$D$2004,"ذهبي"))</f>
        <v/>
      </c>
      <c r="F139" s="35">
        <f>IF(B139="","",SUMIFS('سجل التحفيز'!$G$5:$G$2004,'سجل التحفيز'!$Z$5:$Z$2004,"&gt;0",'سجل التحفيز'!$B$5:$B$2004,B139))</f>
        <v/>
      </c>
      <c r="G139" s="35">
        <f>IF(B139="","",COUNTIF($D$38:$D$187,"&gt;"&amp;D139)+1)</f>
        <v/>
      </c>
      <c r="H139" s="35">
        <f>IF(B139="","",INDEX(الموظفات!$L$5:$L$304,MATCH(B139,الموظفات!$B$5:$B$304,0)))</f>
        <v/>
      </c>
      <c r="K139" s="36">
        <f>IF(102&gt;$B$10,"",102)</f>
        <v/>
      </c>
      <c r="L139" s="37">
        <f>IF($K139="","",INDEX('سجل التحفيز'!$A$5:$A$2004,MATCH($K139,'سجل التحفيز'!$Z$5:$Z$2004,0)))</f>
        <v/>
      </c>
      <c r="M139" s="9">
        <f>IF($K139="","",INDEX('سجل التحفيز'!$B$5:$B$2004,MATCH($K139,'سجل التحفيز'!$Z$5:$Z$2004,0)))</f>
        <v/>
      </c>
      <c r="N139" s="9">
        <f>IF($K139="","",INDEX('سجل التحفيز'!$M$5:$M$2004,MATCH($K139,'سجل التحفيز'!$Z$5:$Z$2004,0)))</f>
        <v/>
      </c>
      <c r="O139" s="9">
        <f>IF($K139="","",INDEX('سجل التحفيز'!$C$5:$C$2004,MATCH($K139,'سجل التحفيز'!$Z$5:$Z$2004,0)))</f>
        <v/>
      </c>
      <c r="P139" s="36">
        <f>IF($K139="","",INDEX('سجل التحفيز'!$D$5:$D$2004,MATCH($K139,'سجل التحفيز'!$Z$5:$Z$2004,0)))</f>
        <v/>
      </c>
      <c r="Q139" s="9">
        <f>IF($K139="","",INDEX('سجل التحفيز'!$E$5:$E$2004,MATCH($K139,'سجل التحفيز'!$Z$5:$Z$2004,0)))</f>
        <v/>
      </c>
      <c r="R139" s="9">
        <f>IF($K139="","",INDEX('سجل التحفيز'!$F$5:$F$2004,MATCH($K139,'سجل التحفيز'!$Z$5:$Z$2004,0)))</f>
        <v/>
      </c>
      <c r="S139" s="35">
        <f>IF($K139="","",INDEX('سجل التحفيز'!$G$5:$G$2004,MATCH($K139,'سجل التحفيز'!$Z$5:$Z$2004,0)))</f>
        <v/>
      </c>
    </row>
    <row r="140">
      <c r="B140" s="34">
        <f>IFERROR(INDEX(الموظفات!$B$5:$B$304,MATCH(103,الموظفات!$T$5:$T$304,0)),"")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التحفيز'!$Z$5:$Z$2004,"&gt;0",'سجل التحفيز'!$B$5:$B$2004,B140))</f>
        <v/>
      </c>
      <c r="E140" s="35">
        <f>IF(B140="","",COUNTIFS('سجل التحفيز'!$Z$5:$Z$2004,"&gt;0",'سجل التحفيز'!$B$5:$B$2004,B140,'سجل التحفيز'!$D$5:$D$2004,"ذهبي"))</f>
        <v/>
      </c>
      <c r="F140" s="35">
        <f>IF(B140="","",SUMIFS('سجل التحفيز'!$G$5:$G$2004,'سجل التحفيز'!$Z$5:$Z$2004,"&gt;0",'سجل التحفيز'!$B$5:$B$2004,B140))</f>
        <v/>
      </c>
      <c r="G140" s="35">
        <f>IF(B140="","",COUNTIF($D$38:$D$187,"&gt;"&amp;D140)+1)</f>
        <v/>
      </c>
      <c r="H140" s="35">
        <f>IF(B140="","",INDEX(الموظفات!$L$5:$L$304,MATCH(B140,الموظفات!$B$5:$B$304,0)))</f>
        <v/>
      </c>
      <c r="K140" s="36">
        <f>IF(103&gt;$B$10,"",103)</f>
        <v/>
      </c>
      <c r="L140" s="37">
        <f>IF($K140="","",INDEX('سجل التحفيز'!$A$5:$A$2004,MATCH($K140,'سجل التحفيز'!$Z$5:$Z$2004,0)))</f>
        <v/>
      </c>
      <c r="M140" s="9">
        <f>IF($K140="","",INDEX('سجل التحفيز'!$B$5:$B$2004,MATCH($K140,'سجل التحفيز'!$Z$5:$Z$2004,0)))</f>
        <v/>
      </c>
      <c r="N140" s="9">
        <f>IF($K140="","",INDEX('سجل التحفيز'!$M$5:$M$2004,MATCH($K140,'سجل التحفيز'!$Z$5:$Z$2004,0)))</f>
        <v/>
      </c>
      <c r="O140" s="9">
        <f>IF($K140="","",INDEX('سجل التحفيز'!$C$5:$C$2004,MATCH($K140,'سجل التحفيز'!$Z$5:$Z$2004,0)))</f>
        <v/>
      </c>
      <c r="P140" s="36">
        <f>IF($K140="","",INDEX('سجل التحفيز'!$D$5:$D$2004,MATCH($K140,'سجل التحفيز'!$Z$5:$Z$2004,0)))</f>
        <v/>
      </c>
      <c r="Q140" s="9">
        <f>IF($K140="","",INDEX('سجل التحفيز'!$E$5:$E$2004,MATCH($K140,'سجل التحفيز'!$Z$5:$Z$2004,0)))</f>
        <v/>
      </c>
      <c r="R140" s="9">
        <f>IF($K140="","",INDEX('سجل التحفيز'!$F$5:$F$2004,MATCH($K140,'سجل التحفيز'!$Z$5:$Z$2004,0)))</f>
        <v/>
      </c>
      <c r="S140" s="35">
        <f>IF($K140="","",INDEX('سجل التحفيز'!$G$5:$G$2004,MATCH($K140,'سجل التحفيز'!$Z$5:$Z$2004,0)))</f>
        <v/>
      </c>
    </row>
    <row r="141">
      <c r="B141" s="34">
        <f>IFERROR(INDEX(الموظفات!$B$5:$B$304,MATCH(104,الموظفات!$T$5:$T$304,0)),"")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التحفيز'!$Z$5:$Z$2004,"&gt;0",'سجل التحفيز'!$B$5:$B$2004,B141))</f>
        <v/>
      </c>
      <c r="E141" s="35">
        <f>IF(B141="","",COUNTIFS('سجل التحفيز'!$Z$5:$Z$2004,"&gt;0",'سجل التحفيز'!$B$5:$B$2004,B141,'سجل التحفيز'!$D$5:$D$2004,"ذهبي"))</f>
        <v/>
      </c>
      <c r="F141" s="35">
        <f>IF(B141="","",SUMIFS('سجل التحفيز'!$G$5:$G$2004,'سجل التحفيز'!$Z$5:$Z$2004,"&gt;0",'سجل التحفيز'!$B$5:$B$2004,B141))</f>
        <v/>
      </c>
      <c r="G141" s="35">
        <f>IF(B141="","",COUNTIF($D$38:$D$187,"&gt;"&amp;D141)+1)</f>
        <v/>
      </c>
      <c r="H141" s="35">
        <f>IF(B141="","",INDEX(الموظفات!$L$5:$L$304,MATCH(B141,الموظفات!$B$5:$B$304,0)))</f>
        <v/>
      </c>
      <c r="K141" s="36">
        <f>IF(104&gt;$B$10,"",104)</f>
        <v/>
      </c>
      <c r="L141" s="37">
        <f>IF($K141="","",INDEX('سجل التحفيز'!$A$5:$A$2004,MATCH($K141,'سجل التحفيز'!$Z$5:$Z$2004,0)))</f>
        <v/>
      </c>
      <c r="M141" s="9">
        <f>IF($K141="","",INDEX('سجل التحفيز'!$B$5:$B$2004,MATCH($K141,'سجل التحفيز'!$Z$5:$Z$2004,0)))</f>
        <v/>
      </c>
      <c r="N141" s="9">
        <f>IF($K141="","",INDEX('سجل التحفيز'!$M$5:$M$2004,MATCH($K141,'سجل التحفيز'!$Z$5:$Z$2004,0)))</f>
        <v/>
      </c>
      <c r="O141" s="9">
        <f>IF($K141="","",INDEX('سجل التحفيز'!$C$5:$C$2004,MATCH($K141,'سجل التحفيز'!$Z$5:$Z$2004,0)))</f>
        <v/>
      </c>
      <c r="P141" s="36">
        <f>IF($K141="","",INDEX('سجل التحفيز'!$D$5:$D$2004,MATCH($K141,'سجل التحفيز'!$Z$5:$Z$2004,0)))</f>
        <v/>
      </c>
      <c r="Q141" s="9">
        <f>IF($K141="","",INDEX('سجل التحفيز'!$E$5:$E$2004,MATCH($K141,'سجل التحفيز'!$Z$5:$Z$2004,0)))</f>
        <v/>
      </c>
      <c r="R141" s="9">
        <f>IF($K141="","",INDEX('سجل التحفيز'!$F$5:$F$2004,MATCH($K141,'سجل التحفيز'!$Z$5:$Z$2004,0)))</f>
        <v/>
      </c>
      <c r="S141" s="35">
        <f>IF($K141="","",INDEX('سجل التحفيز'!$G$5:$G$2004,MATCH($K141,'سجل التحفيز'!$Z$5:$Z$2004,0)))</f>
        <v/>
      </c>
    </row>
    <row r="142">
      <c r="B142" s="34">
        <f>IFERROR(INDEX(الموظفات!$B$5:$B$304,MATCH(105,الموظفات!$T$5:$T$304,0)),"")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التحفيز'!$Z$5:$Z$2004,"&gt;0",'سجل التحفيز'!$B$5:$B$2004,B142))</f>
        <v/>
      </c>
      <c r="E142" s="35">
        <f>IF(B142="","",COUNTIFS('سجل التحفيز'!$Z$5:$Z$2004,"&gt;0",'سجل التحفيز'!$B$5:$B$2004,B142,'سجل التحفيز'!$D$5:$D$2004,"ذهبي"))</f>
        <v/>
      </c>
      <c r="F142" s="35">
        <f>IF(B142="","",SUMIFS('سجل التحفيز'!$G$5:$G$2004,'سجل التحفيز'!$Z$5:$Z$2004,"&gt;0",'سجل التحفيز'!$B$5:$B$2004,B142))</f>
        <v/>
      </c>
      <c r="G142" s="35">
        <f>IF(B142="","",COUNTIF($D$38:$D$187,"&gt;"&amp;D142)+1)</f>
        <v/>
      </c>
      <c r="H142" s="35">
        <f>IF(B142="","",INDEX(الموظفات!$L$5:$L$304,MATCH(B142,الموظفات!$B$5:$B$304,0)))</f>
        <v/>
      </c>
      <c r="K142" s="36">
        <f>IF(105&gt;$B$10,"",105)</f>
        <v/>
      </c>
      <c r="L142" s="37">
        <f>IF($K142="","",INDEX('سجل التحفيز'!$A$5:$A$2004,MATCH($K142,'سجل التحفيز'!$Z$5:$Z$2004,0)))</f>
        <v/>
      </c>
      <c r="M142" s="9">
        <f>IF($K142="","",INDEX('سجل التحفيز'!$B$5:$B$2004,MATCH($K142,'سجل التحفيز'!$Z$5:$Z$2004,0)))</f>
        <v/>
      </c>
      <c r="N142" s="9">
        <f>IF($K142="","",INDEX('سجل التحفيز'!$M$5:$M$2004,MATCH($K142,'سجل التحفيز'!$Z$5:$Z$2004,0)))</f>
        <v/>
      </c>
      <c r="O142" s="9">
        <f>IF($K142="","",INDEX('سجل التحفيز'!$C$5:$C$2004,MATCH($K142,'سجل التحفيز'!$Z$5:$Z$2004,0)))</f>
        <v/>
      </c>
      <c r="P142" s="36">
        <f>IF($K142="","",INDEX('سجل التحفيز'!$D$5:$D$2004,MATCH($K142,'سجل التحفيز'!$Z$5:$Z$2004,0)))</f>
        <v/>
      </c>
      <c r="Q142" s="9">
        <f>IF($K142="","",INDEX('سجل التحفيز'!$E$5:$E$2004,MATCH($K142,'سجل التحفيز'!$Z$5:$Z$2004,0)))</f>
        <v/>
      </c>
      <c r="R142" s="9">
        <f>IF($K142="","",INDEX('سجل التحفيز'!$F$5:$F$2004,MATCH($K142,'سجل التحفيز'!$Z$5:$Z$2004,0)))</f>
        <v/>
      </c>
      <c r="S142" s="35">
        <f>IF($K142="","",INDEX('سجل التحفيز'!$G$5:$G$2004,MATCH($K142,'سجل التحفيز'!$Z$5:$Z$2004,0)))</f>
        <v/>
      </c>
    </row>
    <row r="143">
      <c r="B143" s="34">
        <f>IFERROR(INDEX(الموظفات!$B$5:$B$304,MATCH(106,الموظفات!$T$5:$T$304,0)),"")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التحفيز'!$Z$5:$Z$2004,"&gt;0",'سجل التحفيز'!$B$5:$B$2004,B143))</f>
        <v/>
      </c>
      <c r="E143" s="35">
        <f>IF(B143="","",COUNTIFS('سجل التحفيز'!$Z$5:$Z$2004,"&gt;0",'سجل التحفيز'!$B$5:$B$2004,B143,'سجل التحفيز'!$D$5:$D$2004,"ذهبي"))</f>
        <v/>
      </c>
      <c r="F143" s="35">
        <f>IF(B143="","",SUMIFS('سجل التحفيز'!$G$5:$G$2004,'سجل التحفيز'!$Z$5:$Z$2004,"&gt;0",'سجل التحفيز'!$B$5:$B$2004,B143))</f>
        <v/>
      </c>
      <c r="G143" s="35">
        <f>IF(B143="","",COUNTIF($D$38:$D$187,"&gt;"&amp;D143)+1)</f>
        <v/>
      </c>
      <c r="H143" s="35">
        <f>IF(B143="","",INDEX(الموظفات!$L$5:$L$304,MATCH(B143,الموظفات!$B$5:$B$304,0)))</f>
        <v/>
      </c>
      <c r="K143" s="36">
        <f>IF(106&gt;$B$10,"",106)</f>
        <v/>
      </c>
      <c r="L143" s="37">
        <f>IF($K143="","",INDEX('سجل التحفيز'!$A$5:$A$2004,MATCH($K143,'سجل التحفيز'!$Z$5:$Z$2004,0)))</f>
        <v/>
      </c>
      <c r="M143" s="9">
        <f>IF($K143="","",INDEX('سجل التحفيز'!$B$5:$B$2004,MATCH($K143,'سجل التحفيز'!$Z$5:$Z$2004,0)))</f>
        <v/>
      </c>
      <c r="N143" s="9">
        <f>IF($K143="","",INDEX('سجل التحفيز'!$M$5:$M$2004,MATCH($K143,'سجل التحفيز'!$Z$5:$Z$2004,0)))</f>
        <v/>
      </c>
      <c r="O143" s="9">
        <f>IF($K143="","",INDEX('سجل التحفيز'!$C$5:$C$2004,MATCH($K143,'سجل التحفيز'!$Z$5:$Z$2004,0)))</f>
        <v/>
      </c>
      <c r="P143" s="36">
        <f>IF($K143="","",INDEX('سجل التحفيز'!$D$5:$D$2004,MATCH($K143,'سجل التحفيز'!$Z$5:$Z$2004,0)))</f>
        <v/>
      </c>
      <c r="Q143" s="9">
        <f>IF($K143="","",INDEX('سجل التحفيز'!$E$5:$E$2004,MATCH($K143,'سجل التحفيز'!$Z$5:$Z$2004,0)))</f>
        <v/>
      </c>
      <c r="R143" s="9">
        <f>IF($K143="","",INDEX('سجل التحفيز'!$F$5:$F$2004,MATCH($K143,'سجل التحفيز'!$Z$5:$Z$2004,0)))</f>
        <v/>
      </c>
      <c r="S143" s="35">
        <f>IF($K143="","",INDEX('سجل التحفيز'!$G$5:$G$2004,MATCH($K143,'سجل التحفيز'!$Z$5:$Z$2004,0)))</f>
        <v/>
      </c>
    </row>
    <row r="144">
      <c r="B144" s="34">
        <f>IFERROR(INDEX(الموظفات!$B$5:$B$304,MATCH(107,الموظفات!$T$5:$T$304,0)),"")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التحفيز'!$Z$5:$Z$2004,"&gt;0",'سجل التحفيز'!$B$5:$B$2004,B144))</f>
        <v/>
      </c>
      <c r="E144" s="35">
        <f>IF(B144="","",COUNTIFS('سجل التحفيز'!$Z$5:$Z$2004,"&gt;0",'سجل التحفيز'!$B$5:$B$2004,B144,'سجل التحفيز'!$D$5:$D$2004,"ذهبي"))</f>
        <v/>
      </c>
      <c r="F144" s="35">
        <f>IF(B144="","",SUMIFS('سجل التحفيز'!$G$5:$G$2004,'سجل التحفيز'!$Z$5:$Z$2004,"&gt;0",'سجل التحفيز'!$B$5:$B$2004,B144))</f>
        <v/>
      </c>
      <c r="G144" s="35">
        <f>IF(B144="","",COUNTIF($D$38:$D$187,"&gt;"&amp;D144)+1)</f>
        <v/>
      </c>
      <c r="H144" s="35">
        <f>IF(B144="","",INDEX(الموظفات!$L$5:$L$304,MATCH(B144,الموظفات!$B$5:$B$304,0)))</f>
        <v/>
      </c>
      <c r="K144" s="36">
        <f>IF(107&gt;$B$10,"",107)</f>
        <v/>
      </c>
      <c r="L144" s="37">
        <f>IF($K144="","",INDEX('سجل التحفيز'!$A$5:$A$2004,MATCH($K144,'سجل التحفيز'!$Z$5:$Z$2004,0)))</f>
        <v/>
      </c>
      <c r="M144" s="9">
        <f>IF($K144="","",INDEX('سجل التحفيز'!$B$5:$B$2004,MATCH($K144,'سجل التحفيز'!$Z$5:$Z$2004,0)))</f>
        <v/>
      </c>
      <c r="N144" s="9">
        <f>IF($K144="","",INDEX('سجل التحفيز'!$M$5:$M$2004,MATCH($K144,'سجل التحفيز'!$Z$5:$Z$2004,0)))</f>
        <v/>
      </c>
      <c r="O144" s="9">
        <f>IF($K144="","",INDEX('سجل التحفيز'!$C$5:$C$2004,MATCH($K144,'سجل التحفيز'!$Z$5:$Z$2004,0)))</f>
        <v/>
      </c>
      <c r="P144" s="36">
        <f>IF($K144="","",INDEX('سجل التحفيز'!$D$5:$D$2004,MATCH($K144,'سجل التحفيز'!$Z$5:$Z$2004,0)))</f>
        <v/>
      </c>
      <c r="Q144" s="9">
        <f>IF($K144="","",INDEX('سجل التحفيز'!$E$5:$E$2004,MATCH($K144,'سجل التحفيز'!$Z$5:$Z$2004,0)))</f>
        <v/>
      </c>
      <c r="R144" s="9">
        <f>IF($K144="","",INDEX('سجل التحفيز'!$F$5:$F$2004,MATCH($K144,'سجل التحفيز'!$Z$5:$Z$2004,0)))</f>
        <v/>
      </c>
      <c r="S144" s="35">
        <f>IF($K144="","",INDEX('سجل التحفيز'!$G$5:$G$2004,MATCH($K144,'سجل التحفيز'!$Z$5:$Z$2004,0)))</f>
        <v/>
      </c>
    </row>
    <row r="145">
      <c r="B145" s="34">
        <f>IFERROR(INDEX(الموظفات!$B$5:$B$304,MATCH(108,الموظفات!$T$5:$T$304,0)),"")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التحفيز'!$Z$5:$Z$2004,"&gt;0",'سجل التحفيز'!$B$5:$B$2004,B145))</f>
        <v/>
      </c>
      <c r="E145" s="35">
        <f>IF(B145="","",COUNTIFS('سجل التحفيز'!$Z$5:$Z$2004,"&gt;0",'سجل التحفيز'!$B$5:$B$2004,B145,'سجل التحفيز'!$D$5:$D$2004,"ذهبي"))</f>
        <v/>
      </c>
      <c r="F145" s="35">
        <f>IF(B145="","",SUMIFS('سجل التحفيز'!$G$5:$G$2004,'سجل التحفيز'!$Z$5:$Z$2004,"&gt;0",'سجل التحفيز'!$B$5:$B$2004,B145))</f>
        <v/>
      </c>
      <c r="G145" s="35">
        <f>IF(B145="","",COUNTIF($D$38:$D$187,"&gt;"&amp;D145)+1)</f>
        <v/>
      </c>
      <c r="H145" s="35">
        <f>IF(B145="","",INDEX(الموظفات!$L$5:$L$304,MATCH(B145,الموظفات!$B$5:$B$304,0)))</f>
        <v/>
      </c>
      <c r="K145" s="36">
        <f>IF(108&gt;$B$10,"",108)</f>
        <v/>
      </c>
      <c r="L145" s="37">
        <f>IF($K145="","",INDEX('سجل التحفيز'!$A$5:$A$2004,MATCH($K145,'سجل التحفيز'!$Z$5:$Z$2004,0)))</f>
        <v/>
      </c>
      <c r="M145" s="9">
        <f>IF($K145="","",INDEX('سجل التحفيز'!$B$5:$B$2004,MATCH($K145,'سجل التحفيز'!$Z$5:$Z$2004,0)))</f>
        <v/>
      </c>
      <c r="N145" s="9">
        <f>IF($K145="","",INDEX('سجل التحفيز'!$M$5:$M$2004,MATCH($K145,'سجل التحفيز'!$Z$5:$Z$2004,0)))</f>
        <v/>
      </c>
      <c r="O145" s="9">
        <f>IF($K145="","",INDEX('سجل التحفيز'!$C$5:$C$2004,MATCH($K145,'سجل التحفيز'!$Z$5:$Z$2004,0)))</f>
        <v/>
      </c>
      <c r="P145" s="36">
        <f>IF($K145="","",INDEX('سجل التحفيز'!$D$5:$D$2004,MATCH($K145,'سجل التحفيز'!$Z$5:$Z$2004,0)))</f>
        <v/>
      </c>
      <c r="Q145" s="9">
        <f>IF($K145="","",INDEX('سجل التحفيز'!$E$5:$E$2004,MATCH($K145,'سجل التحفيز'!$Z$5:$Z$2004,0)))</f>
        <v/>
      </c>
      <c r="R145" s="9">
        <f>IF($K145="","",INDEX('سجل التحفيز'!$F$5:$F$2004,MATCH($K145,'سجل التحفيز'!$Z$5:$Z$2004,0)))</f>
        <v/>
      </c>
      <c r="S145" s="35">
        <f>IF($K145="","",INDEX('سجل التحفيز'!$G$5:$G$2004,MATCH($K145,'سجل التحفيز'!$Z$5:$Z$2004,0)))</f>
        <v/>
      </c>
    </row>
    <row r="146">
      <c r="B146" s="34">
        <f>IFERROR(INDEX(الموظفات!$B$5:$B$304,MATCH(109,الموظفات!$T$5:$T$304,0)),"")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التحفيز'!$Z$5:$Z$2004,"&gt;0",'سجل التحفيز'!$B$5:$B$2004,B146))</f>
        <v/>
      </c>
      <c r="E146" s="35">
        <f>IF(B146="","",COUNTIFS('سجل التحفيز'!$Z$5:$Z$2004,"&gt;0",'سجل التحفيز'!$B$5:$B$2004,B146,'سجل التحفيز'!$D$5:$D$2004,"ذهبي"))</f>
        <v/>
      </c>
      <c r="F146" s="35">
        <f>IF(B146="","",SUMIFS('سجل التحفيز'!$G$5:$G$2004,'سجل التحفيز'!$Z$5:$Z$2004,"&gt;0",'سجل التحفيز'!$B$5:$B$2004,B146))</f>
        <v/>
      </c>
      <c r="G146" s="35">
        <f>IF(B146="","",COUNTIF($D$38:$D$187,"&gt;"&amp;D146)+1)</f>
        <v/>
      </c>
      <c r="H146" s="35">
        <f>IF(B146="","",INDEX(الموظفات!$L$5:$L$304,MATCH(B146,الموظفات!$B$5:$B$304,0)))</f>
        <v/>
      </c>
      <c r="K146" s="36">
        <f>IF(109&gt;$B$10,"",109)</f>
        <v/>
      </c>
      <c r="L146" s="37">
        <f>IF($K146="","",INDEX('سجل التحفيز'!$A$5:$A$2004,MATCH($K146,'سجل التحفيز'!$Z$5:$Z$2004,0)))</f>
        <v/>
      </c>
      <c r="M146" s="9">
        <f>IF($K146="","",INDEX('سجل التحفيز'!$B$5:$B$2004,MATCH($K146,'سجل التحفيز'!$Z$5:$Z$2004,0)))</f>
        <v/>
      </c>
      <c r="N146" s="9">
        <f>IF($K146="","",INDEX('سجل التحفيز'!$M$5:$M$2004,MATCH($K146,'سجل التحفيز'!$Z$5:$Z$2004,0)))</f>
        <v/>
      </c>
      <c r="O146" s="9">
        <f>IF($K146="","",INDEX('سجل التحفيز'!$C$5:$C$2004,MATCH($K146,'سجل التحفيز'!$Z$5:$Z$2004,0)))</f>
        <v/>
      </c>
      <c r="P146" s="36">
        <f>IF($K146="","",INDEX('سجل التحفيز'!$D$5:$D$2004,MATCH($K146,'سجل التحفيز'!$Z$5:$Z$2004,0)))</f>
        <v/>
      </c>
      <c r="Q146" s="9">
        <f>IF($K146="","",INDEX('سجل التحفيز'!$E$5:$E$2004,MATCH($K146,'سجل التحفيز'!$Z$5:$Z$2004,0)))</f>
        <v/>
      </c>
      <c r="R146" s="9">
        <f>IF($K146="","",INDEX('سجل التحفيز'!$F$5:$F$2004,MATCH($K146,'سجل التحفيز'!$Z$5:$Z$2004,0)))</f>
        <v/>
      </c>
      <c r="S146" s="35">
        <f>IF($K146="","",INDEX('سجل التحفيز'!$G$5:$G$2004,MATCH($K146,'سجل التحفيز'!$Z$5:$Z$2004,0)))</f>
        <v/>
      </c>
    </row>
    <row r="147">
      <c r="B147" s="34">
        <f>IFERROR(INDEX(الموظفات!$B$5:$B$304,MATCH(110,الموظفات!$T$5:$T$304,0)),"")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التحفيز'!$Z$5:$Z$2004,"&gt;0",'سجل التحفيز'!$B$5:$B$2004,B147))</f>
        <v/>
      </c>
      <c r="E147" s="35">
        <f>IF(B147="","",COUNTIFS('سجل التحفيز'!$Z$5:$Z$2004,"&gt;0",'سجل التحفيز'!$B$5:$B$2004,B147,'سجل التحفيز'!$D$5:$D$2004,"ذهبي"))</f>
        <v/>
      </c>
      <c r="F147" s="35">
        <f>IF(B147="","",SUMIFS('سجل التحفيز'!$G$5:$G$2004,'سجل التحفيز'!$Z$5:$Z$2004,"&gt;0",'سجل التحفيز'!$B$5:$B$2004,B147))</f>
        <v/>
      </c>
      <c r="G147" s="35">
        <f>IF(B147="","",COUNTIF($D$38:$D$187,"&gt;"&amp;D147)+1)</f>
        <v/>
      </c>
      <c r="H147" s="35">
        <f>IF(B147="","",INDEX(الموظفات!$L$5:$L$304,MATCH(B147,الموظفات!$B$5:$B$304,0)))</f>
        <v/>
      </c>
      <c r="K147" s="36">
        <f>IF(110&gt;$B$10,"",110)</f>
        <v/>
      </c>
      <c r="L147" s="37">
        <f>IF($K147="","",INDEX('سجل التحفيز'!$A$5:$A$2004,MATCH($K147,'سجل التحفيز'!$Z$5:$Z$2004,0)))</f>
        <v/>
      </c>
      <c r="M147" s="9">
        <f>IF($K147="","",INDEX('سجل التحفيز'!$B$5:$B$2004,MATCH($K147,'سجل التحفيز'!$Z$5:$Z$2004,0)))</f>
        <v/>
      </c>
      <c r="N147" s="9">
        <f>IF($K147="","",INDEX('سجل التحفيز'!$M$5:$M$2004,MATCH($K147,'سجل التحفيز'!$Z$5:$Z$2004,0)))</f>
        <v/>
      </c>
      <c r="O147" s="9">
        <f>IF($K147="","",INDEX('سجل التحفيز'!$C$5:$C$2004,MATCH($K147,'سجل التحفيز'!$Z$5:$Z$2004,0)))</f>
        <v/>
      </c>
      <c r="P147" s="36">
        <f>IF($K147="","",INDEX('سجل التحفيز'!$D$5:$D$2004,MATCH($K147,'سجل التحفيز'!$Z$5:$Z$2004,0)))</f>
        <v/>
      </c>
      <c r="Q147" s="9">
        <f>IF($K147="","",INDEX('سجل التحفيز'!$E$5:$E$2004,MATCH($K147,'سجل التحفيز'!$Z$5:$Z$2004,0)))</f>
        <v/>
      </c>
      <c r="R147" s="9">
        <f>IF($K147="","",INDEX('سجل التحفيز'!$F$5:$F$2004,MATCH($K147,'سجل التحفيز'!$Z$5:$Z$2004,0)))</f>
        <v/>
      </c>
      <c r="S147" s="35">
        <f>IF($K147="","",INDEX('سجل التحفيز'!$G$5:$G$2004,MATCH($K147,'سجل التحفيز'!$Z$5:$Z$2004,0)))</f>
        <v/>
      </c>
    </row>
    <row r="148">
      <c r="B148" s="34">
        <f>IFERROR(INDEX(الموظفات!$B$5:$B$304,MATCH(111,الموظفات!$T$5:$T$304,0)),"")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التحفيز'!$Z$5:$Z$2004,"&gt;0",'سجل التحفيز'!$B$5:$B$2004,B148))</f>
        <v/>
      </c>
      <c r="E148" s="35">
        <f>IF(B148="","",COUNTIFS('سجل التحفيز'!$Z$5:$Z$2004,"&gt;0",'سجل التحفيز'!$B$5:$B$2004,B148,'سجل التحفيز'!$D$5:$D$2004,"ذهبي"))</f>
        <v/>
      </c>
      <c r="F148" s="35">
        <f>IF(B148="","",SUMIFS('سجل التحفيز'!$G$5:$G$2004,'سجل التحفيز'!$Z$5:$Z$2004,"&gt;0",'سجل التحفيز'!$B$5:$B$2004,B148))</f>
        <v/>
      </c>
      <c r="G148" s="35">
        <f>IF(B148="","",COUNTIF($D$38:$D$187,"&gt;"&amp;D148)+1)</f>
        <v/>
      </c>
      <c r="H148" s="35">
        <f>IF(B148="","",INDEX(الموظفات!$L$5:$L$304,MATCH(B148,الموظفات!$B$5:$B$304,0)))</f>
        <v/>
      </c>
      <c r="K148" s="36">
        <f>IF(111&gt;$B$10,"",111)</f>
        <v/>
      </c>
      <c r="L148" s="37">
        <f>IF($K148="","",INDEX('سجل التحفيز'!$A$5:$A$2004,MATCH($K148,'سجل التحفيز'!$Z$5:$Z$2004,0)))</f>
        <v/>
      </c>
      <c r="M148" s="9">
        <f>IF($K148="","",INDEX('سجل التحفيز'!$B$5:$B$2004,MATCH($K148,'سجل التحفيز'!$Z$5:$Z$2004,0)))</f>
        <v/>
      </c>
      <c r="N148" s="9">
        <f>IF($K148="","",INDEX('سجل التحفيز'!$M$5:$M$2004,MATCH($K148,'سجل التحفيز'!$Z$5:$Z$2004,0)))</f>
        <v/>
      </c>
      <c r="O148" s="9">
        <f>IF($K148="","",INDEX('سجل التحفيز'!$C$5:$C$2004,MATCH($K148,'سجل التحفيز'!$Z$5:$Z$2004,0)))</f>
        <v/>
      </c>
      <c r="P148" s="36">
        <f>IF($K148="","",INDEX('سجل التحفيز'!$D$5:$D$2004,MATCH($K148,'سجل التحفيز'!$Z$5:$Z$2004,0)))</f>
        <v/>
      </c>
      <c r="Q148" s="9">
        <f>IF($K148="","",INDEX('سجل التحفيز'!$E$5:$E$2004,MATCH($K148,'سجل التحفيز'!$Z$5:$Z$2004,0)))</f>
        <v/>
      </c>
      <c r="R148" s="9">
        <f>IF($K148="","",INDEX('سجل التحفيز'!$F$5:$F$2004,MATCH($K148,'سجل التحفيز'!$Z$5:$Z$2004,0)))</f>
        <v/>
      </c>
      <c r="S148" s="35">
        <f>IF($K148="","",INDEX('سجل التحفيز'!$G$5:$G$2004,MATCH($K148,'سجل التحفيز'!$Z$5:$Z$2004,0)))</f>
        <v/>
      </c>
    </row>
    <row r="149">
      <c r="B149" s="34">
        <f>IFERROR(INDEX(الموظفات!$B$5:$B$304,MATCH(112,الموظفات!$T$5:$T$304,0)),"")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التحفيز'!$Z$5:$Z$2004,"&gt;0",'سجل التحفيز'!$B$5:$B$2004,B149))</f>
        <v/>
      </c>
      <c r="E149" s="35">
        <f>IF(B149="","",COUNTIFS('سجل التحفيز'!$Z$5:$Z$2004,"&gt;0",'سجل التحفيز'!$B$5:$B$2004,B149,'سجل التحفيز'!$D$5:$D$2004,"ذهبي"))</f>
        <v/>
      </c>
      <c r="F149" s="35">
        <f>IF(B149="","",SUMIFS('سجل التحفيز'!$G$5:$G$2004,'سجل التحفيز'!$Z$5:$Z$2004,"&gt;0",'سجل التحفيز'!$B$5:$B$2004,B149))</f>
        <v/>
      </c>
      <c r="G149" s="35">
        <f>IF(B149="","",COUNTIF($D$38:$D$187,"&gt;"&amp;D149)+1)</f>
        <v/>
      </c>
      <c r="H149" s="35">
        <f>IF(B149="","",INDEX(الموظفات!$L$5:$L$304,MATCH(B149,الموظفات!$B$5:$B$304,0)))</f>
        <v/>
      </c>
      <c r="K149" s="36">
        <f>IF(112&gt;$B$10,"",112)</f>
        <v/>
      </c>
      <c r="L149" s="37">
        <f>IF($K149="","",INDEX('سجل التحفيز'!$A$5:$A$2004,MATCH($K149,'سجل التحفيز'!$Z$5:$Z$2004,0)))</f>
        <v/>
      </c>
      <c r="M149" s="9">
        <f>IF($K149="","",INDEX('سجل التحفيز'!$B$5:$B$2004,MATCH($K149,'سجل التحفيز'!$Z$5:$Z$2004,0)))</f>
        <v/>
      </c>
      <c r="N149" s="9">
        <f>IF($K149="","",INDEX('سجل التحفيز'!$M$5:$M$2004,MATCH($K149,'سجل التحفيز'!$Z$5:$Z$2004,0)))</f>
        <v/>
      </c>
      <c r="O149" s="9">
        <f>IF($K149="","",INDEX('سجل التحفيز'!$C$5:$C$2004,MATCH($K149,'سجل التحفيز'!$Z$5:$Z$2004,0)))</f>
        <v/>
      </c>
      <c r="P149" s="36">
        <f>IF($K149="","",INDEX('سجل التحفيز'!$D$5:$D$2004,MATCH($K149,'سجل التحفيز'!$Z$5:$Z$2004,0)))</f>
        <v/>
      </c>
      <c r="Q149" s="9">
        <f>IF($K149="","",INDEX('سجل التحفيز'!$E$5:$E$2004,MATCH($K149,'سجل التحفيز'!$Z$5:$Z$2004,0)))</f>
        <v/>
      </c>
      <c r="R149" s="9">
        <f>IF($K149="","",INDEX('سجل التحفيز'!$F$5:$F$2004,MATCH($K149,'سجل التحفيز'!$Z$5:$Z$2004,0)))</f>
        <v/>
      </c>
      <c r="S149" s="35">
        <f>IF($K149="","",INDEX('سجل التحفيز'!$G$5:$G$2004,MATCH($K149,'سجل التحفيز'!$Z$5:$Z$2004,0)))</f>
        <v/>
      </c>
    </row>
    <row r="150">
      <c r="B150" s="34">
        <f>IFERROR(INDEX(الموظفات!$B$5:$B$304,MATCH(113,الموظفات!$T$5:$T$304,0)),"")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التحفيز'!$Z$5:$Z$2004,"&gt;0",'سجل التحفيز'!$B$5:$B$2004,B150))</f>
        <v/>
      </c>
      <c r="E150" s="35">
        <f>IF(B150="","",COUNTIFS('سجل التحفيز'!$Z$5:$Z$2004,"&gt;0",'سجل التحفيز'!$B$5:$B$2004,B150,'سجل التحفيز'!$D$5:$D$2004,"ذهبي"))</f>
        <v/>
      </c>
      <c r="F150" s="35">
        <f>IF(B150="","",SUMIFS('سجل التحفيز'!$G$5:$G$2004,'سجل التحفيز'!$Z$5:$Z$2004,"&gt;0",'سجل التحفيز'!$B$5:$B$2004,B150))</f>
        <v/>
      </c>
      <c r="G150" s="35">
        <f>IF(B150="","",COUNTIF($D$38:$D$187,"&gt;"&amp;D150)+1)</f>
        <v/>
      </c>
      <c r="H150" s="35">
        <f>IF(B150="","",INDEX(الموظفات!$L$5:$L$304,MATCH(B150,الموظفات!$B$5:$B$304,0)))</f>
        <v/>
      </c>
      <c r="K150" s="36">
        <f>IF(113&gt;$B$10,"",113)</f>
        <v/>
      </c>
      <c r="L150" s="37">
        <f>IF($K150="","",INDEX('سجل التحفيز'!$A$5:$A$2004,MATCH($K150,'سجل التحفيز'!$Z$5:$Z$2004,0)))</f>
        <v/>
      </c>
      <c r="M150" s="9">
        <f>IF($K150="","",INDEX('سجل التحفيز'!$B$5:$B$2004,MATCH($K150,'سجل التحفيز'!$Z$5:$Z$2004,0)))</f>
        <v/>
      </c>
      <c r="N150" s="9">
        <f>IF($K150="","",INDEX('سجل التحفيز'!$M$5:$M$2004,MATCH($K150,'سجل التحفيز'!$Z$5:$Z$2004,0)))</f>
        <v/>
      </c>
      <c r="O150" s="9">
        <f>IF($K150="","",INDEX('سجل التحفيز'!$C$5:$C$2004,MATCH($K150,'سجل التحفيز'!$Z$5:$Z$2004,0)))</f>
        <v/>
      </c>
      <c r="P150" s="36">
        <f>IF($K150="","",INDEX('سجل التحفيز'!$D$5:$D$2004,MATCH($K150,'سجل التحفيز'!$Z$5:$Z$2004,0)))</f>
        <v/>
      </c>
      <c r="Q150" s="9">
        <f>IF($K150="","",INDEX('سجل التحفيز'!$E$5:$E$2004,MATCH($K150,'سجل التحفيز'!$Z$5:$Z$2004,0)))</f>
        <v/>
      </c>
      <c r="R150" s="9">
        <f>IF($K150="","",INDEX('سجل التحفيز'!$F$5:$F$2004,MATCH($K150,'سجل التحفيز'!$Z$5:$Z$2004,0)))</f>
        <v/>
      </c>
      <c r="S150" s="35">
        <f>IF($K150="","",INDEX('سجل التحفيز'!$G$5:$G$2004,MATCH($K150,'سجل التحفيز'!$Z$5:$Z$2004,0)))</f>
        <v/>
      </c>
    </row>
    <row r="151">
      <c r="B151" s="34">
        <f>IFERROR(INDEX(الموظفات!$B$5:$B$304,MATCH(114,الموظفات!$T$5:$T$304,0)),"")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التحفيز'!$Z$5:$Z$2004,"&gt;0",'سجل التحفيز'!$B$5:$B$2004,B151))</f>
        <v/>
      </c>
      <c r="E151" s="35">
        <f>IF(B151="","",COUNTIFS('سجل التحفيز'!$Z$5:$Z$2004,"&gt;0",'سجل التحفيز'!$B$5:$B$2004,B151,'سجل التحفيز'!$D$5:$D$2004,"ذهبي"))</f>
        <v/>
      </c>
      <c r="F151" s="35">
        <f>IF(B151="","",SUMIFS('سجل التحفيز'!$G$5:$G$2004,'سجل التحفيز'!$Z$5:$Z$2004,"&gt;0",'سجل التحفيز'!$B$5:$B$2004,B151))</f>
        <v/>
      </c>
      <c r="G151" s="35">
        <f>IF(B151="","",COUNTIF($D$38:$D$187,"&gt;"&amp;D151)+1)</f>
        <v/>
      </c>
      <c r="H151" s="35">
        <f>IF(B151="","",INDEX(الموظفات!$L$5:$L$304,MATCH(B151,الموظفات!$B$5:$B$304,0)))</f>
        <v/>
      </c>
      <c r="K151" s="36">
        <f>IF(114&gt;$B$10,"",114)</f>
        <v/>
      </c>
      <c r="L151" s="37">
        <f>IF($K151="","",INDEX('سجل التحفيز'!$A$5:$A$2004,MATCH($K151,'سجل التحفيز'!$Z$5:$Z$2004,0)))</f>
        <v/>
      </c>
      <c r="M151" s="9">
        <f>IF($K151="","",INDEX('سجل التحفيز'!$B$5:$B$2004,MATCH($K151,'سجل التحفيز'!$Z$5:$Z$2004,0)))</f>
        <v/>
      </c>
      <c r="N151" s="9">
        <f>IF($K151="","",INDEX('سجل التحفيز'!$M$5:$M$2004,MATCH($K151,'سجل التحفيز'!$Z$5:$Z$2004,0)))</f>
        <v/>
      </c>
      <c r="O151" s="9">
        <f>IF($K151="","",INDEX('سجل التحفيز'!$C$5:$C$2004,MATCH($K151,'سجل التحفيز'!$Z$5:$Z$2004,0)))</f>
        <v/>
      </c>
      <c r="P151" s="36">
        <f>IF($K151="","",INDEX('سجل التحفيز'!$D$5:$D$2004,MATCH($K151,'سجل التحفيز'!$Z$5:$Z$2004,0)))</f>
        <v/>
      </c>
      <c r="Q151" s="9">
        <f>IF($K151="","",INDEX('سجل التحفيز'!$E$5:$E$2004,MATCH($K151,'سجل التحفيز'!$Z$5:$Z$2004,0)))</f>
        <v/>
      </c>
      <c r="R151" s="9">
        <f>IF($K151="","",INDEX('سجل التحفيز'!$F$5:$F$2004,MATCH($K151,'سجل التحفيز'!$Z$5:$Z$2004,0)))</f>
        <v/>
      </c>
      <c r="S151" s="35">
        <f>IF($K151="","",INDEX('سجل التحفيز'!$G$5:$G$2004,MATCH($K151,'سجل التحفيز'!$Z$5:$Z$2004,0)))</f>
        <v/>
      </c>
    </row>
    <row r="152">
      <c r="B152" s="34">
        <f>IFERROR(INDEX(الموظفات!$B$5:$B$304,MATCH(115,الموظفات!$T$5:$T$304,0)),"")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التحفيز'!$Z$5:$Z$2004,"&gt;0",'سجل التحفيز'!$B$5:$B$2004,B152))</f>
        <v/>
      </c>
      <c r="E152" s="35">
        <f>IF(B152="","",COUNTIFS('سجل التحفيز'!$Z$5:$Z$2004,"&gt;0",'سجل التحفيز'!$B$5:$B$2004,B152,'سجل التحفيز'!$D$5:$D$2004,"ذهبي"))</f>
        <v/>
      </c>
      <c r="F152" s="35">
        <f>IF(B152="","",SUMIFS('سجل التحفيز'!$G$5:$G$2004,'سجل التحفيز'!$Z$5:$Z$2004,"&gt;0",'سجل التحفيز'!$B$5:$B$2004,B152))</f>
        <v/>
      </c>
      <c r="G152" s="35">
        <f>IF(B152="","",COUNTIF($D$38:$D$187,"&gt;"&amp;D152)+1)</f>
        <v/>
      </c>
      <c r="H152" s="35">
        <f>IF(B152="","",INDEX(الموظفات!$L$5:$L$304,MATCH(B152,الموظفات!$B$5:$B$304,0)))</f>
        <v/>
      </c>
      <c r="K152" s="36">
        <f>IF(115&gt;$B$10,"",115)</f>
        <v/>
      </c>
      <c r="L152" s="37">
        <f>IF($K152="","",INDEX('سجل التحفيز'!$A$5:$A$2004,MATCH($K152,'سجل التحفيز'!$Z$5:$Z$2004,0)))</f>
        <v/>
      </c>
      <c r="M152" s="9">
        <f>IF($K152="","",INDEX('سجل التحفيز'!$B$5:$B$2004,MATCH($K152,'سجل التحفيز'!$Z$5:$Z$2004,0)))</f>
        <v/>
      </c>
      <c r="N152" s="9">
        <f>IF($K152="","",INDEX('سجل التحفيز'!$M$5:$M$2004,MATCH($K152,'سجل التحفيز'!$Z$5:$Z$2004,0)))</f>
        <v/>
      </c>
      <c r="O152" s="9">
        <f>IF($K152="","",INDEX('سجل التحفيز'!$C$5:$C$2004,MATCH($K152,'سجل التحفيز'!$Z$5:$Z$2004,0)))</f>
        <v/>
      </c>
      <c r="P152" s="36">
        <f>IF($K152="","",INDEX('سجل التحفيز'!$D$5:$D$2004,MATCH($K152,'سجل التحفيز'!$Z$5:$Z$2004,0)))</f>
        <v/>
      </c>
      <c r="Q152" s="9">
        <f>IF($K152="","",INDEX('سجل التحفيز'!$E$5:$E$2004,MATCH($K152,'سجل التحفيز'!$Z$5:$Z$2004,0)))</f>
        <v/>
      </c>
      <c r="R152" s="9">
        <f>IF($K152="","",INDEX('سجل التحفيز'!$F$5:$F$2004,MATCH($K152,'سجل التحفيز'!$Z$5:$Z$2004,0)))</f>
        <v/>
      </c>
      <c r="S152" s="35">
        <f>IF($K152="","",INDEX('سجل التحفيز'!$G$5:$G$2004,MATCH($K152,'سجل التحفيز'!$Z$5:$Z$2004,0)))</f>
        <v/>
      </c>
    </row>
    <row r="153">
      <c r="B153" s="34">
        <f>IFERROR(INDEX(الموظفات!$B$5:$B$304,MATCH(116,الموظفات!$T$5:$T$304,0)),"")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التحفيز'!$Z$5:$Z$2004,"&gt;0",'سجل التحفيز'!$B$5:$B$2004,B153))</f>
        <v/>
      </c>
      <c r="E153" s="35">
        <f>IF(B153="","",COUNTIFS('سجل التحفيز'!$Z$5:$Z$2004,"&gt;0",'سجل التحفيز'!$B$5:$B$2004,B153,'سجل التحفيز'!$D$5:$D$2004,"ذهبي"))</f>
        <v/>
      </c>
      <c r="F153" s="35">
        <f>IF(B153="","",SUMIFS('سجل التحفيز'!$G$5:$G$2004,'سجل التحفيز'!$Z$5:$Z$2004,"&gt;0",'سجل التحفيز'!$B$5:$B$2004,B153))</f>
        <v/>
      </c>
      <c r="G153" s="35">
        <f>IF(B153="","",COUNTIF($D$38:$D$187,"&gt;"&amp;D153)+1)</f>
        <v/>
      </c>
      <c r="H153" s="35">
        <f>IF(B153="","",INDEX(الموظفات!$L$5:$L$304,MATCH(B153,الموظفات!$B$5:$B$304,0)))</f>
        <v/>
      </c>
      <c r="K153" s="36">
        <f>IF(116&gt;$B$10,"",116)</f>
        <v/>
      </c>
      <c r="L153" s="37">
        <f>IF($K153="","",INDEX('سجل التحفيز'!$A$5:$A$2004,MATCH($K153,'سجل التحفيز'!$Z$5:$Z$2004,0)))</f>
        <v/>
      </c>
      <c r="M153" s="9">
        <f>IF($K153="","",INDEX('سجل التحفيز'!$B$5:$B$2004,MATCH($K153,'سجل التحفيز'!$Z$5:$Z$2004,0)))</f>
        <v/>
      </c>
      <c r="N153" s="9">
        <f>IF($K153="","",INDEX('سجل التحفيز'!$M$5:$M$2004,MATCH($K153,'سجل التحفيز'!$Z$5:$Z$2004,0)))</f>
        <v/>
      </c>
      <c r="O153" s="9">
        <f>IF($K153="","",INDEX('سجل التحفيز'!$C$5:$C$2004,MATCH($K153,'سجل التحفيز'!$Z$5:$Z$2004,0)))</f>
        <v/>
      </c>
      <c r="P153" s="36">
        <f>IF($K153="","",INDEX('سجل التحفيز'!$D$5:$D$2004,MATCH($K153,'سجل التحفيز'!$Z$5:$Z$2004,0)))</f>
        <v/>
      </c>
      <c r="Q153" s="9">
        <f>IF($K153="","",INDEX('سجل التحفيز'!$E$5:$E$2004,MATCH($K153,'سجل التحفيز'!$Z$5:$Z$2004,0)))</f>
        <v/>
      </c>
      <c r="R153" s="9">
        <f>IF($K153="","",INDEX('سجل التحفيز'!$F$5:$F$2004,MATCH($K153,'سجل التحفيز'!$Z$5:$Z$2004,0)))</f>
        <v/>
      </c>
      <c r="S153" s="35">
        <f>IF($K153="","",INDEX('سجل التحفيز'!$G$5:$G$2004,MATCH($K153,'سجل التحفيز'!$Z$5:$Z$2004,0)))</f>
        <v/>
      </c>
    </row>
    <row r="154">
      <c r="B154" s="34">
        <f>IFERROR(INDEX(الموظفات!$B$5:$B$304,MATCH(117,الموظفات!$T$5:$T$304,0)),"")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التحفيز'!$Z$5:$Z$2004,"&gt;0",'سجل التحفيز'!$B$5:$B$2004,B154))</f>
        <v/>
      </c>
      <c r="E154" s="35">
        <f>IF(B154="","",COUNTIFS('سجل التحفيز'!$Z$5:$Z$2004,"&gt;0",'سجل التحفيز'!$B$5:$B$2004,B154,'سجل التحفيز'!$D$5:$D$2004,"ذهبي"))</f>
        <v/>
      </c>
      <c r="F154" s="35">
        <f>IF(B154="","",SUMIFS('سجل التحفيز'!$G$5:$G$2004,'سجل التحفيز'!$Z$5:$Z$2004,"&gt;0",'سجل التحفيز'!$B$5:$B$2004,B154))</f>
        <v/>
      </c>
      <c r="G154" s="35">
        <f>IF(B154="","",COUNTIF($D$38:$D$187,"&gt;"&amp;D154)+1)</f>
        <v/>
      </c>
      <c r="H154" s="35">
        <f>IF(B154="","",INDEX(الموظفات!$L$5:$L$304,MATCH(B154,الموظفات!$B$5:$B$304,0)))</f>
        <v/>
      </c>
      <c r="K154" s="36">
        <f>IF(117&gt;$B$10,"",117)</f>
        <v/>
      </c>
      <c r="L154" s="37">
        <f>IF($K154="","",INDEX('سجل التحفيز'!$A$5:$A$2004,MATCH($K154,'سجل التحفيز'!$Z$5:$Z$2004,0)))</f>
        <v/>
      </c>
      <c r="M154" s="9">
        <f>IF($K154="","",INDEX('سجل التحفيز'!$B$5:$B$2004,MATCH($K154,'سجل التحفيز'!$Z$5:$Z$2004,0)))</f>
        <v/>
      </c>
      <c r="N154" s="9">
        <f>IF($K154="","",INDEX('سجل التحفيز'!$M$5:$M$2004,MATCH($K154,'سجل التحفيز'!$Z$5:$Z$2004,0)))</f>
        <v/>
      </c>
      <c r="O154" s="9">
        <f>IF($K154="","",INDEX('سجل التحفيز'!$C$5:$C$2004,MATCH($K154,'سجل التحفيز'!$Z$5:$Z$2004,0)))</f>
        <v/>
      </c>
      <c r="P154" s="36">
        <f>IF($K154="","",INDEX('سجل التحفيز'!$D$5:$D$2004,MATCH($K154,'سجل التحفيز'!$Z$5:$Z$2004,0)))</f>
        <v/>
      </c>
      <c r="Q154" s="9">
        <f>IF($K154="","",INDEX('سجل التحفيز'!$E$5:$E$2004,MATCH($K154,'سجل التحفيز'!$Z$5:$Z$2004,0)))</f>
        <v/>
      </c>
      <c r="R154" s="9">
        <f>IF($K154="","",INDEX('سجل التحفيز'!$F$5:$F$2004,MATCH($K154,'سجل التحفيز'!$Z$5:$Z$2004,0)))</f>
        <v/>
      </c>
      <c r="S154" s="35">
        <f>IF($K154="","",INDEX('سجل التحفيز'!$G$5:$G$2004,MATCH($K154,'سجل التحفيز'!$Z$5:$Z$2004,0)))</f>
        <v/>
      </c>
    </row>
    <row r="155">
      <c r="B155" s="34">
        <f>IFERROR(INDEX(الموظفات!$B$5:$B$304,MATCH(118,الموظفات!$T$5:$T$304,0)),"")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التحفيز'!$Z$5:$Z$2004,"&gt;0",'سجل التحفيز'!$B$5:$B$2004,B155))</f>
        <v/>
      </c>
      <c r="E155" s="35">
        <f>IF(B155="","",COUNTIFS('سجل التحفيز'!$Z$5:$Z$2004,"&gt;0",'سجل التحفيز'!$B$5:$B$2004,B155,'سجل التحفيز'!$D$5:$D$2004,"ذهبي"))</f>
        <v/>
      </c>
      <c r="F155" s="35">
        <f>IF(B155="","",SUMIFS('سجل التحفيز'!$G$5:$G$2004,'سجل التحفيز'!$Z$5:$Z$2004,"&gt;0",'سجل التحفيز'!$B$5:$B$2004,B155))</f>
        <v/>
      </c>
      <c r="G155" s="35">
        <f>IF(B155="","",COUNTIF($D$38:$D$187,"&gt;"&amp;D155)+1)</f>
        <v/>
      </c>
      <c r="H155" s="35">
        <f>IF(B155="","",INDEX(الموظفات!$L$5:$L$304,MATCH(B155,الموظفات!$B$5:$B$304,0)))</f>
        <v/>
      </c>
      <c r="K155" s="36">
        <f>IF(118&gt;$B$10,"",118)</f>
        <v/>
      </c>
      <c r="L155" s="37">
        <f>IF($K155="","",INDEX('سجل التحفيز'!$A$5:$A$2004,MATCH($K155,'سجل التحفيز'!$Z$5:$Z$2004,0)))</f>
        <v/>
      </c>
      <c r="M155" s="9">
        <f>IF($K155="","",INDEX('سجل التحفيز'!$B$5:$B$2004,MATCH($K155,'سجل التحفيز'!$Z$5:$Z$2004,0)))</f>
        <v/>
      </c>
      <c r="N155" s="9">
        <f>IF($K155="","",INDEX('سجل التحفيز'!$M$5:$M$2004,MATCH($K155,'سجل التحفيز'!$Z$5:$Z$2004,0)))</f>
        <v/>
      </c>
      <c r="O155" s="9">
        <f>IF($K155="","",INDEX('سجل التحفيز'!$C$5:$C$2004,MATCH($K155,'سجل التحفيز'!$Z$5:$Z$2004,0)))</f>
        <v/>
      </c>
      <c r="P155" s="36">
        <f>IF($K155="","",INDEX('سجل التحفيز'!$D$5:$D$2004,MATCH($K155,'سجل التحفيز'!$Z$5:$Z$2004,0)))</f>
        <v/>
      </c>
      <c r="Q155" s="9">
        <f>IF($K155="","",INDEX('سجل التحفيز'!$E$5:$E$2004,MATCH($K155,'سجل التحفيز'!$Z$5:$Z$2004,0)))</f>
        <v/>
      </c>
      <c r="R155" s="9">
        <f>IF($K155="","",INDEX('سجل التحفيز'!$F$5:$F$2004,MATCH($K155,'سجل التحفيز'!$Z$5:$Z$2004,0)))</f>
        <v/>
      </c>
      <c r="S155" s="35">
        <f>IF($K155="","",INDEX('سجل التحفيز'!$G$5:$G$2004,MATCH($K155,'سجل التحفيز'!$Z$5:$Z$2004,0)))</f>
        <v/>
      </c>
    </row>
    <row r="156">
      <c r="B156" s="34">
        <f>IFERROR(INDEX(الموظفات!$B$5:$B$304,MATCH(119,الموظفات!$T$5:$T$304,0)),"")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التحفيز'!$Z$5:$Z$2004,"&gt;0",'سجل التحفيز'!$B$5:$B$2004,B156))</f>
        <v/>
      </c>
      <c r="E156" s="35">
        <f>IF(B156="","",COUNTIFS('سجل التحفيز'!$Z$5:$Z$2004,"&gt;0",'سجل التحفيز'!$B$5:$B$2004,B156,'سجل التحفيز'!$D$5:$D$2004,"ذهبي"))</f>
        <v/>
      </c>
      <c r="F156" s="35">
        <f>IF(B156="","",SUMIFS('سجل التحفيز'!$G$5:$G$2004,'سجل التحفيز'!$Z$5:$Z$2004,"&gt;0",'سجل التحفيز'!$B$5:$B$2004,B156))</f>
        <v/>
      </c>
      <c r="G156" s="35">
        <f>IF(B156="","",COUNTIF($D$38:$D$187,"&gt;"&amp;D156)+1)</f>
        <v/>
      </c>
      <c r="H156" s="35">
        <f>IF(B156="","",INDEX(الموظفات!$L$5:$L$304,MATCH(B156,الموظفات!$B$5:$B$304,0)))</f>
        <v/>
      </c>
      <c r="K156" s="36">
        <f>IF(119&gt;$B$10,"",119)</f>
        <v/>
      </c>
      <c r="L156" s="37">
        <f>IF($K156="","",INDEX('سجل التحفيز'!$A$5:$A$2004,MATCH($K156,'سجل التحفيز'!$Z$5:$Z$2004,0)))</f>
        <v/>
      </c>
      <c r="M156" s="9">
        <f>IF($K156="","",INDEX('سجل التحفيز'!$B$5:$B$2004,MATCH($K156,'سجل التحفيز'!$Z$5:$Z$2004,0)))</f>
        <v/>
      </c>
      <c r="N156" s="9">
        <f>IF($K156="","",INDEX('سجل التحفيز'!$M$5:$M$2004,MATCH($K156,'سجل التحفيز'!$Z$5:$Z$2004,0)))</f>
        <v/>
      </c>
      <c r="O156" s="9">
        <f>IF($K156="","",INDEX('سجل التحفيز'!$C$5:$C$2004,MATCH($K156,'سجل التحفيز'!$Z$5:$Z$2004,0)))</f>
        <v/>
      </c>
      <c r="P156" s="36">
        <f>IF($K156="","",INDEX('سجل التحفيز'!$D$5:$D$2004,MATCH($K156,'سجل التحفيز'!$Z$5:$Z$2004,0)))</f>
        <v/>
      </c>
      <c r="Q156" s="9">
        <f>IF($K156="","",INDEX('سجل التحفيز'!$E$5:$E$2004,MATCH($K156,'سجل التحفيز'!$Z$5:$Z$2004,0)))</f>
        <v/>
      </c>
      <c r="R156" s="9">
        <f>IF($K156="","",INDEX('سجل التحفيز'!$F$5:$F$2004,MATCH($K156,'سجل التحفيز'!$Z$5:$Z$2004,0)))</f>
        <v/>
      </c>
      <c r="S156" s="35">
        <f>IF($K156="","",INDEX('سجل التحفيز'!$G$5:$G$2004,MATCH($K156,'سجل التحفيز'!$Z$5:$Z$2004,0)))</f>
        <v/>
      </c>
    </row>
    <row r="157">
      <c r="B157" s="34">
        <f>IFERROR(INDEX(الموظفات!$B$5:$B$304,MATCH(120,الموظفات!$T$5:$T$304,0)),"")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التحفيز'!$Z$5:$Z$2004,"&gt;0",'سجل التحفيز'!$B$5:$B$2004,B157))</f>
        <v/>
      </c>
      <c r="E157" s="35">
        <f>IF(B157="","",COUNTIFS('سجل التحفيز'!$Z$5:$Z$2004,"&gt;0",'سجل التحفيز'!$B$5:$B$2004,B157,'سجل التحفيز'!$D$5:$D$2004,"ذهبي"))</f>
        <v/>
      </c>
      <c r="F157" s="35">
        <f>IF(B157="","",SUMIFS('سجل التحفيز'!$G$5:$G$2004,'سجل التحفيز'!$Z$5:$Z$2004,"&gt;0",'سجل التحفيز'!$B$5:$B$2004,B157))</f>
        <v/>
      </c>
      <c r="G157" s="35">
        <f>IF(B157="","",COUNTIF($D$38:$D$187,"&gt;"&amp;D157)+1)</f>
        <v/>
      </c>
      <c r="H157" s="35">
        <f>IF(B157="","",INDEX(الموظفات!$L$5:$L$304,MATCH(B157,الموظفات!$B$5:$B$304,0)))</f>
        <v/>
      </c>
      <c r="K157" s="36">
        <f>IF(120&gt;$B$10,"",120)</f>
        <v/>
      </c>
      <c r="L157" s="37">
        <f>IF($K157="","",INDEX('سجل التحفيز'!$A$5:$A$2004,MATCH($K157,'سجل التحفيز'!$Z$5:$Z$2004,0)))</f>
        <v/>
      </c>
      <c r="M157" s="9">
        <f>IF($K157="","",INDEX('سجل التحفيز'!$B$5:$B$2004,MATCH($K157,'سجل التحفيز'!$Z$5:$Z$2004,0)))</f>
        <v/>
      </c>
      <c r="N157" s="9">
        <f>IF($K157="","",INDEX('سجل التحفيز'!$M$5:$M$2004,MATCH($K157,'سجل التحفيز'!$Z$5:$Z$2004,0)))</f>
        <v/>
      </c>
      <c r="O157" s="9">
        <f>IF($K157="","",INDEX('سجل التحفيز'!$C$5:$C$2004,MATCH($K157,'سجل التحفيز'!$Z$5:$Z$2004,0)))</f>
        <v/>
      </c>
      <c r="P157" s="36">
        <f>IF($K157="","",INDEX('سجل التحفيز'!$D$5:$D$2004,MATCH($K157,'سجل التحفيز'!$Z$5:$Z$2004,0)))</f>
        <v/>
      </c>
      <c r="Q157" s="9">
        <f>IF($K157="","",INDEX('سجل التحفيز'!$E$5:$E$2004,MATCH($K157,'سجل التحفيز'!$Z$5:$Z$2004,0)))</f>
        <v/>
      </c>
      <c r="R157" s="9">
        <f>IF($K157="","",INDEX('سجل التحفيز'!$F$5:$F$2004,MATCH($K157,'سجل التحفيز'!$Z$5:$Z$2004,0)))</f>
        <v/>
      </c>
      <c r="S157" s="35">
        <f>IF($K157="","",INDEX('سجل التحفيز'!$G$5:$G$2004,MATCH($K157,'سجل التحفيز'!$Z$5:$Z$2004,0)))</f>
        <v/>
      </c>
    </row>
    <row r="158">
      <c r="B158" s="34">
        <f>IFERROR(INDEX(الموظفات!$B$5:$B$304,MATCH(121,الموظفات!$T$5:$T$304,0)),"")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التحفيز'!$Z$5:$Z$2004,"&gt;0",'سجل التحفيز'!$B$5:$B$2004,B158))</f>
        <v/>
      </c>
      <c r="E158" s="35">
        <f>IF(B158="","",COUNTIFS('سجل التحفيز'!$Z$5:$Z$2004,"&gt;0",'سجل التحفيز'!$B$5:$B$2004,B158,'سجل التحفيز'!$D$5:$D$2004,"ذهبي"))</f>
        <v/>
      </c>
      <c r="F158" s="35">
        <f>IF(B158="","",SUMIFS('سجل التحفيز'!$G$5:$G$2004,'سجل التحفيز'!$Z$5:$Z$2004,"&gt;0",'سجل التحفيز'!$B$5:$B$2004,B158))</f>
        <v/>
      </c>
      <c r="G158" s="35">
        <f>IF(B158="","",COUNTIF($D$38:$D$187,"&gt;"&amp;D158)+1)</f>
        <v/>
      </c>
      <c r="H158" s="35">
        <f>IF(B158="","",INDEX(الموظفات!$L$5:$L$304,MATCH(B158,الموظفات!$B$5:$B$304,0)))</f>
        <v/>
      </c>
      <c r="K158" s="36">
        <f>IF(121&gt;$B$10,"",121)</f>
        <v/>
      </c>
      <c r="L158" s="37">
        <f>IF($K158="","",INDEX('سجل التحفيز'!$A$5:$A$2004,MATCH($K158,'سجل التحفيز'!$Z$5:$Z$2004,0)))</f>
        <v/>
      </c>
      <c r="M158" s="9">
        <f>IF($K158="","",INDEX('سجل التحفيز'!$B$5:$B$2004,MATCH($K158,'سجل التحفيز'!$Z$5:$Z$2004,0)))</f>
        <v/>
      </c>
      <c r="N158" s="9">
        <f>IF($K158="","",INDEX('سجل التحفيز'!$M$5:$M$2004,MATCH($K158,'سجل التحفيز'!$Z$5:$Z$2004,0)))</f>
        <v/>
      </c>
      <c r="O158" s="9">
        <f>IF($K158="","",INDEX('سجل التحفيز'!$C$5:$C$2004,MATCH($K158,'سجل التحفيز'!$Z$5:$Z$2004,0)))</f>
        <v/>
      </c>
      <c r="P158" s="36">
        <f>IF($K158="","",INDEX('سجل التحفيز'!$D$5:$D$2004,MATCH($K158,'سجل التحفيز'!$Z$5:$Z$2004,0)))</f>
        <v/>
      </c>
      <c r="Q158" s="9">
        <f>IF($K158="","",INDEX('سجل التحفيز'!$E$5:$E$2004,MATCH($K158,'سجل التحفيز'!$Z$5:$Z$2004,0)))</f>
        <v/>
      </c>
      <c r="R158" s="9">
        <f>IF($K158="","",INDEX('سجل التحفيز'!$F$5:$F$2004,MATCH($K158,'سجل التحفيز'!$Z$5:$Z$2004,0)))</f>
        <v/>
      </c>
      <c r="S158" s="35">
        <f>IF($K158="","",INDEX('سجل التحفيز'!$G$5:$G$2004,MATCH($K158,'سجل التحفيز'!$Z$5:$Z$2004,0)))</f>
        <v/>
      </c>
    </row>
    <row r="159">
      <c r="B159" s="34">
        <f>IFERROR(INDEX(الموظفات!$B$5:$B$304,MATCH(122,الموظفات!$T$5:$T$304,0)),"")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التحفيز'!$Z$5:$Z$2004,"&gt;0",'سجل التحفيز'!$B$5:$B$2004,B159))</f>
        <v/>
      </c>
      <c r="E159" s="35">
        <f>IF(B159="","",COUNTIFS('سجل التحفيز'!$Z$5:$Z$2004,"&gt;0",'سجل التحفيز'!$B$5:$B$2004,B159,'سجل التحفيز'!$D$5:$D$2004,"ذهبي"))</f>
        <v/>
      </c>
      <c r="F159" s="35">
        <f>IF(B159="","",SUMIFS('سجل التحفيز'!$G$5:$G$2004,'سجل التحفيز'!$Z$5:$Z$2004,"&gt;0",'سجل التحفيز'!$B$5:$B$2004,B159))</f>
        <v/>
      </c>
      <c r="G159" s="35">
        <f>IF(B159="","",COUNTIF($D$38:$D$187,"&gt;"&amp;D159)+1)</f>
        <v/>
      </c>
      <c r="H159" s="35">
        <f>IF(B159="","",INDEX(الموظفات!$L$5:$L$304,MATCH(B159,الموظفات!$B$5:$B$304,0)))</f>
        <v/>
      </c>
      <c r="K159" s="36">
        <f>IF(122&gt;$B$10,"",122)</f>
        <v/>
      </c>
      <c r="L159" s="37">
        <f>IF($K159="","",INDEX('سجل التحفيز'!$A$5:$A$2004,MATCH($K159,'سجل التحفيز'!$Z$5:$Z$2004,0)))</f>
        <v/>
      </c>
      <c r="M159" s="9">
        <f>IF($K159="","",INDEX('سجل التحفيز'!$B$5:$B$2004,MATCH($K159,'سجل التحفيز'!$Z$5:$Z$2004,0)))</f>
        <v/>
      </c>
      <c r="N159" s="9">
        <f>IF($K159="","",INDEX('سجل التحفيز'!$M$5:$M$2004,MATCH($K159,'سجل التحفيز'!$Z$5:$Z$2004,0)))</f>
        <v/>
      </c>
      <c r="O159" s="9">
        <f>IF($K159="","",INDEX('سجل التحفيز'!$C$5:$C$2004,MATCH($K159,'سجل التحفيز'!$Z$5:$Z$2004,0)))</f>
        <v/>
      </c>
      <c r="P159" s="36">
        <f>IF($K159="","",INDEX('سجل التحفيز'!$D$5:$D$2004,MATCH($K159,'سجل التحفيز'!$Z$5:$Z$2004,0)))</f>
        <v/>
      </c>
      <c r="Q159" s="9">
        <f>IF($K159="","",INDEX('سجل التحفيز'!$E$5:$E$2004,MATCH($K159,'سجل التحفيز'!$Z$5:$Z$2004,0)))</f>
        <v/>
      </c>
      <c r="R159" s="9">
        <f>IF($K159="","",INDEX('سجل التحفيز'!$F$5:$F$2004,MATCH($K159,'سجل التحفيز'!$Z$5:$Z$2004,0)))</f>
        <v/>
      </c>
      <c r="S159" s="35">
        <f>IF($K159="","",INDEX('سجل التحفيز'!$G$5:$G$2004,MATCH($K159,'سجل التحفيز'!$Z$5:$Z$2004,0)))</f>
        <v/>
      </c>
    </row>
    <row r="160">
      <c r="B160" s="34">
        <f>IFERROR(INDEX(الموظفات!$B$5:$B$304,MATCH(123,الموظفات!$T$5:$T$304,0)),"")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التحفيز'!$Z$5:$Z$2004,"&gt;0",'سجل التحفيز'!$B$5:$B$2004,B160))</f>
        <v/>
      </c>
      <c r="E160" s="35">
        <f>IF(B160="","",COUNTIFS('سجل التحفيز'!$Z$5:$Z$2004,"&gt;0",'سجل التحفيز'!$B$5:$B$2004,B160,'سجل التحفيز'!$D$5:$D$2004,"ذهبي"))</f>
        <v/>
      </c>
      <c r="F160" s="35">
        <f>IF(B160="","",SUMIFS('سجل التحفيز'!$G$5:$G$2004,'سجل التحفيز'!$Z$5:$Z$2004,"&gt;0",'سجل التحفيز'!$B$5:$B$2004,B160))</f>
        <v/>
      </c>
      <c r="G160" s="35">
        <f>IF(B160="","",COUNTIF($D$38:$D$187,"&gt;"&amp;D160)+1)</f>
        <v/>
      </c>
      <c r="H160" s="35">
        <f>IF(B160="","",INDEX(الموظفات!$L$5:$L$304,MATCH(B160,الموظفات!$B$5:$B$304,0)))</f>
        <v/>
      </c>
      <c r="K160" s="36">
        <f>IF(123&gt;$B$10,"",123)</f>
        <v/>
      </c>
      <c r="L160" s="37">
        <f>IF($K160="","",INDEX('سجل التحفيز'!$A$5:$A$2004,MATCH($K160,'سجل التحفيز'!$Z$5:$Z$2004,0)))</f>
        <v/>
      </c>
      <c r="M160" s="9">
        <f>IF($K160="","",INDEX('سجل التحفيز'!$B$5:$B$2004,MATCH($K160,'سجل التحفيز'!$Z$5:$Z$2004,0)))</f>
        <v/>
      </c>
      <c r="N160" s="9">
        <f>IF($K160="","",INDEX('سجل التحفيز'!$M$5:$M$2004,MATCH($K160,'سجل التحفيز'!$Z$5:$Z$2004,0)))</f>
        <v/>
      </c>
      <c r="O160" s="9">
        <f>IF($K160="","",INDEX('سجل التحفيز'!$C$5:$C$2004,MATCH($K160,'سجل التحفيز'!$Z$5:$Z$2004,0)))</f>
        <v/>
      </c>
      <c r="P160" s="36">
        <f>IF($K160="","",INDEX('سجل التحفيز'!$D$5:$D$2004,MATCH($K160,'سجل التحفيز'!$Z$5:$Z$2004,0)))</f>
        <v/>
      </c>
      <c r="Q160" s="9">
        <f>IF($K160="","",INDEX('سجل التحفيز'!$E$5:$E$2004,MATCH($K160,'سجل التحفيز'!$Z$5:$Z$2004,0)))</f>
        <v/>
      </c>
      <c r="R160" s="9">
        <f>IF($K160="","",INDEX('سجل التحفيز'!$F$5:$F$2004,MATCH($K160,'سجل التحفيز'!$Z$5:$Z$2004,0)))</f>
        <v/>
      </c>
      <c r="S160" s="35">
        <f>IF($K160="","",INDEX('سجل التحفيز'!$G$5:$G$2004,MATCH($K160,'سجل التحفيز'!$Z$5:$Z$2004,0)))</f>
        <v/>
      </c>
    </row>
    <row r="161">
      <c r="B161" s="34">
        <f>IFERROR(INDEX(الموظفات!$B$5:$B$304,MATCH(124,الموظفات!$T$5:$T$304,0)),"")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التحفيز'!$Z$5:$Z$2004,"&gt;0",'سجل التحفيز'!$B$5:$B$2004,B161))</f>
        <v/>
      </c>
      <c r="E161" s="35">
        <f>IF(B161="","",COUNTIFS('سجل التحفيز'!$Z$5:$Z$2004,"&gt;0",'سجل التحفيز'!$B$5:$B$2004,B161,'سجل التحفيز'!$D$5:$D$2004,"ذهبي"))</f>
        <v/>
      </c>
      <c r="F161" s="35">
        <f>IF(B161="","",SUMIFS('سجل التحفيز'!$G$5:$G$2004,'سجل التحفيز'!$Z$5:$Z$2004,"&gt;0",'سجل التحفيز'!$B$5:$B$2004,B161))</f>
        <v/>
      </c>
      <c r="G161" s="35">
        <f>IF(B161="","",COUNTIF($D$38:$D$187,"&gt;"&amp;D161)+1)</f>
        <v/>
      </c>
      <c r="H161" s="35">
        <f>IF(B161="","",INDEX(الموظفات!$L$5:$L$304,MATCH(B161,الموظفات!$B$5:$B$304,0)))</f>
        <v/>
      </c>
      <c r="K161" s="36">
        <f>IF(124&gt;$B$10,"",124)</f>
        <v/>
      </c>
      <c r="L161" s="37">
        <f>IF($K161="","",INDEX('سجل التحفيز'!$A$5:$A$2004,MATCH($K161,'سجل التحفيز'!$Z$5:$Z$2004,0)))</f>
        <v/>
      </c>
      <c r="M161" s="9">
        <f>IF($K161="","",INDEX('سجل التحفيز'!$B$5:$B$2004,MATCH($K161,'سجل التحفيز'!$Z$5:$Z$2004,0)))</f>
        <v/>
      </c>
      <c r="N161" s="9">
        <f>IF($K161="","",INDEX('سجل التحفيز'!$M$5:$M$2004,MATCH($K161,'سجل التحفيز'!$Z$5:$Z$2004,0)))</f>
        <v/>
      </c>
      <c r="O161" s="9">
        <f>IF($K161="","",INDEX('سجل التحفيز'!$C$5:$C$2004,MATCH($K161,'سجل التحفيز'!$Z$5:$Z$2004,0)))</f>
        <v/>
      </c>
      <c r="P161" s="36">
        <f>IF($K161="","",INDEX('سجل التحفيز'!$D$5:$D$2004,MATCH($K161,'سجل التحفيز'!$Z$5:$Z$2004,0)))</f>
        <v/>
      </c>
      <c r="Q161" s="9">
        <f>IF($K161="","",INDEX('سجل التحفيز'!$E$5:$E$2004,MATCH($K161,'سجل التحفيز'!$Z$5:$Z$2004,0)))</f>
        <v/>
      </c>
      <c r="R161" s="9">
        <f>IF($K161="","",INDEX('سجل التحفيز'!$F$5:$F$2004,MATCH($K161,'سجل التحفيز'!$Z$5:$Z$2004,0)))</f>
        <v/>
      </c>
      <c r="S161" s="35">
        <f>IF($K161="","",INDEX('سجل التحفيز'!$G$5:$G$2004,MATCH($K161,'سجل التحفيز'!$Z$5:$Z$2004,0)))</f>
        <v/>
      </c>
    </row>
    <row r="162">
      <c r="B162" s="34">
        <f>IFERROR(INDEX(الموظفات!$B$5:$B$304,MATCH(125,الموظفات!$T$5:$T$304,0)),"")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التحفيز'!$Z$5:$Z$2004,"&gt;0",'سجل التحفيز'!$B$5:$B$2004,B162))</f>
        <v/>
      </c>
      <c r="E162" s="35">
        <f>IF(B162="","",COUNTIFS('سجل التحفيز'!$Z$5:$Z$2004,"&gt;0",'سجل التحفيز'!$B$5:$B$2004,B162,'سجل التحفيز'!$D$5:$D$2004,"ذهبي"))</f>
        <v/>
      </c>
      <c r="F162" s="35">
        <f>IF(B162="","",SUMIFS('سجل التحفيز'!$G$5:$G$2004,'سجل التحفيز'!$Z$5:$Z$2004,"&gt;0",'سجل التحفيز'!$B$5:$B$2004,B162))</f>
        <v/>
      </c>
      <c r="G162" s="35">
        <f>IF(B162="","",COUNTIF($D$38:$D$187,"&gt;"&amp;D162)+1)</f>
        <v/>
      </c>
      <c r="H162" s="35">
        <f>IF(B162="","",INDEX(الموظفات!$L$5:$L$304,MATCH(B162,الموظفات!$B$5:$B$304,0)))</f>
        <v/>
      </c>
      <c r="K162" s="36">
        <f>IF(125&gt;$B$10,"",125)</f>
        <v/>
      </c>
      <c r="L162" s="37">
        <f>IF($K162="","",INDEX('سجل التحفيز'!$A$5:$A$2004,MATCH($K162,'سجل التحفيز'!$Z$5:$Z$2004,0)))</f>
        <v/>
      </c>
      <c r="M162" s="9">
        <f>IF($K162="","",INDEX('سجل التحفيز'!$B$5:$B$2004,MATCH($K162,'سجل التحفيز'!$Z$5:$Z$2004,0)))</f>
        <v/>
      </c>
      <c r="N162" s="9">
        <f>IF($K162="","",INDEX('سجل التحفيز'!$M$5:$M$2004,MATCH($K162,'سجل التحفيز'!$Z$5:$Z$2004,0)))</f>
        <v/>
      </c>
      <c r="O162" s="9">
        <f>IF($K162="","",INDEX('سجل التحفيز'!$C$5:$C$2004,MATCH($K162,'سجل التحفيز'!$Z$5:$Z$2004,0)))</f>
        <v/>
      </c>
      <c r="P162" s="36">
        <f>IF($K162="","",INDEX('سجل التحفيز'!$D$5:$D$2004,MATCH($K162,'سجل التحفيز'!$Z$5:$Z$2004,0)))</f>
        <v/>
      </c>
      <c r="Q162" s="9">
        <f>IF($K162="","",INDEX('سجل التحفيز'!$E$5:$E$2004,MATCH($K162,'سجل التحفيز'!$Z$5:$Z$2004,0)))</f>
        <v/>
      </c>
      <c r="R162" s="9">
        <f>IF($K162="","",INDEX('سجل التحفيز'!$F$5:$F$2004,MATCH($K162,'سجل التحفيز'!$Z$5:$Z$2004,0)))</f>
        <v/>
      </c>
      <c r="S162" s="35">
        <f>IF($K162="","",INDEX('سجل التحفيز'!$G$5:$G$2004,MATCH($K162,'سجل التحفيز'!$Z$5:$Z$2004,0)))</f>
        <v/>
      </c>
    </row>
    <row r="163">
      <c r="B163" s="34">
        <f>IFERROR(INDEX(الموظفات!$B$5:$B$304,MATCH(126,الموظفات!$T$5:$T$304,0)),"")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التحفيز'!$Z$5:$Z$2004,"&gt;0",'سجل التحفيز'!$B$5:$B$2004,B163))</f>
        <v/>
      </c>
      <c r="E163" s="35">
        <f>IF(B163="","",COUNTIFS('سجل التحفيز'!$Z$5:$Z$2004,"&gt;0",'سجل التحفيز'!$B$5:$B$2004,B163,'سجل التحفيز'!$D$5:$D$2004,"ذهبي"))</f>
        <v/>
      </c>
      <c r="F163" s="35">
        <f>IF(B163="","",SUMIFS('سجل التحفيز'!$G$5:$G$2004,'سجل التحفيز'!$Z$5:$Z$2004,"&gt;0",'سجل التحفيز'!$B$5:$B$2004,B163))</f>
        <v/>
      </c>
      <c r="G163" s="35">
        <f>IF(B163="","",COUNTIF($D$38:$D$187,"&gt;"&amp;D163)+1)</f>
        <v/>
      </c>
      <c r="H163" s="35">
        <f>IF(B163="","",INDEX(الموظفات!$L$5:$L$304,MATCH(B163,الموظفات!$B$5:$B$304,0)))</f>
        <v/>
      </c>
      <c r="K163" s="36">
        <f>IF(126&gt;$B$10,"",126)</f>
        <v/>
      </c>
      <c r="L163" s="37">
        <f>IF($K163="","",INDEX('سجل التحفيز'!$A$5:$A$2004,MATCH($K163,'سجل التحفيز'!$Z$5:$Z$2004,0)))</f>
        <v/>
      </c>
      <c r="M163" s="9">
        <f>IF($K163="","",INDEX('سجل التحفيز'!$B$5:$B$2004,MATCH($K163,'سجل التحفيز'!$Z$5:$Z$2004,0)))</f>
        <v/>
      </c>
      <c r="N163" s="9">
        <f>IF($K163="","",INDEX('سجل التحفيز'!$M$5:$M$2004,MATCH($K163,'سجل التحفيز'!$Z$5:$Z$2004,0)))</f>
        <v/>
      </c>
      <c r="O163" s="9">
        <f>IF($K163="","",INDEX('سجل التحفيز'!$C$5:$C$2004,MATCH($K163,'سجل التحفيز'!$Z$5:$Z$2004,0)))</f>
        <v/>
      </c>
      <c r="P163" s="36">
        <f>IF($K163="","",INDEX('سجل التحفيز'!$D$5:$D$2004,MATCH($K163,'سجل التحفيز'!$Z$5:$Z$2004,0)))</f>
        <v/>
      </c>
      <c r="Q163" s="9">
        <f>IF($K163="","",INDEX('سجل التحفيز'!$E$5:$E$2004,MATCH($K163,'سجل التحفيز'!$Z$5:$Z$2004,0)))</f>
        <v/>
      </c>
      <c r="R163" s="9">
        <f>IF($K163="","",INDEX('سجل التحفيز'!$F$5:$F$2004,MATCH($K163,'سجل التحفيز'!$Z$5:$Z$2004,0)))</f>
        <v/>
      </c>
      <c r="S163" s="35">
        <f>IF($K163="","",INDEX('سجل التحفيز'!$G$5:$G$2004,MATCH($K163,'سجل التحفيز'!$Z$5:$Z$2004,0)))</f>
        <v/>
      </c>
    </row>
    <row r="164">
      <c r="B164" s="34">
        <f>IFERROR(INDEX(الموظفات!$B$5:$B$304,MATCH(127,الموظفات!$T$5:$T$304,0)),"")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التحفيز'!$Z$5:$Z$2004,"&gt;0",'سجل التحفيز'!$B$5:$B$2004,B164))</f>
        <v/>
      </c>
      <c r="E164" s="35">
        <f>IF(B164="","",COUNTIFS('سجل التحفيز'!$Z$5:$Z$2004,"&gt;0",'سجل التحفيز'!$B$5:$B$2004,B164,'سجل التحفيز'!$D$5:$D$2004,"ذهبي"))</f>
        <v/>
      </c>
      <c r="F164" s="35">
        <f>IF(B164="","",SUMIFS('سجل التحفيز'!$G$5:$G$2004,'سجل التحفيز'!$Z$5:$Z$2004,"&gt;0",'سجل التحفيز'!$B$5:$B$2004,B164))</f>
        <v/>
      </c>
      <c r="G164" s="35">
        <f>IF(B164="","",COUNTIF($D$38:$D$187,"&gt;"&amp;D164)+1)</f>
        <v/>
      </c>
      <c r="H164" s="35">
        <f>IF(B164="","",INDEX(الموظفات!$L$5:$L$304,MATCH(B164,الموظفات!$B$5:$B$304,0)))</f>
        <v/>
      </c>
      <c r="K164" s="36">
        <f>IF(127&gt;$B$10,"",127)</f>
        <v/>
      </c>
      <c r="L164" s="37">
        <f>IF($K164="","",INDEX('سجل التحفيز'!$A$5:$A$2004,MATCH($K164,'سجل التحفيز'!$Z$5:$Z$2004,0)))</f>
        <v/>
      </c>
      <c r="M164" s="9">
        <f>IF($K164="","",INDEX('سجل التحفيز'!$B$5:$B$2004,MATCH($K164,'سجل التحفيز'!$Z$5:$Z$2004,0)))</f>
        <v/>
      </c>
      <c r="N164" s="9">
        <f>IF($K164="","",INDEX('سجل التحفيز'!$M$5:$M$2004,MATCH($K164,'سجل التحفيز'!$Z$5:$Z$2004,0)))</f>
        <v/>
      </c>
      <c r="O164" s="9">
        <f>IF($K164="","",INDEX('سجل التحفيز'!$C$5:$C$2004,MATCH($K164,'سجل التحفيز'!$Z$5:$Z$2004,0)))</f>
        <v/>
      </c>
      <c r="P164" s="36">
        <f>IF($K164="","",INDEX('سجل التحفيز'!$D$5:$D$2004,MATCH($K164,'سجل التحفيز'!$Z$5:$Z$2004,0)))</f>
        <v/>
      </c>
      <c r="Q164" s="9">
        <f>IF($K164="","",INDEX('سجل التحفيز'!$E$5:$E$2004,MATCH($K164,'سجل التحفيز'!$Z$5:$Z$2004,0)))</f>
        <v/>
      </c>
      <c r="R164" s="9">
        <f>IF($K164="","",INDEX('سجل التحفيز'!$F$5:$F$2004,MATCH($K164,'سجل التحفيز'!$Z$5:$Z$2004,0)))</f>
        <v/>
      </c>
      <c r="S164" s="35">
        <f>IF($K164="","",INDEX('سجل التحفيز'!$G$5:$G$2004,MATCH($K164,'سجل التحفيز'!$Z$5:$Z$2004,0)))</f>
        <v/>
      </c>
    </row>
    <row r="165">
      <c r="B165" s="34">
        <f>IFERROR(INDEX(الموظفات!$B$5:$B$304,MATCH(128,الموظفات!$T$5:$T$304,0)),"")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التحفيز'!$Z$5:$Z$2004,"&gt;0",'سجل التحفيز'!$B$5:$B$2004,B165))</f>
        <v/>
      </c>
      <c r="E165" s="35">
        <f>IF(B165="","",COUNTIFS('سجل التحفيز'!$Z$5:$Z$2004,"&gt;0",'سجل التحفيز'!$B$5:$B$2004,B165,'سجل التحفيز'!$D$5:$D$2004,"ذهبي"))</f>
        <v/>
      </c>
      <c r="F165" s="35">
        <f>IF(B165="","",SUMIFS('سجل التحفيز'!$G$5:$G$2004,'سجل التحفيز'!$Z$5:$Z$2004,"&gt;0",'سجل التحفيز'!$B$5:$B$2004,B165))</f>
        <v/>
      </c>
      <c r="G165" s="35">
        <f>IF(B165="","",COUNTIF($D$38:$D$187,"&gt;"&amp;D165)+1)</f>
        <v/>
      </c>
      <c r="H165" s="35">
        <f>IF(B165="","",INDEX(الموظفات!$L$5:$L$304,MATCH(B165,الموظفات!$B$5:$B$304,0)))</f>
        <v/>
      </c>
      <c r="K165" s="36">
        <f>IF(128&gt;$B$10,"",128)</f>
        <v/>
      </c>
      <c r="L165" s="37">
        <f>IF($K165="","",INDEX('سجل التحفيز'!$A$5:$A$2004,MATCH($K165,'سجل التحفيز'!$Z$5:$Z$2004,0)))</f>
        <v/>
      </c>
      <c r="M165" s="9">
        <f>IF($K165="","",INDEX('سجل التحفيز'!$B$5:$B$2004,MATCH($K165,'سجل التحفيز'!$Z$5:$Z$2004,0)))</f>
        <v/>
      </c>
      <c r="N165" s="9">
        <f>IF($K165="","",INDEX('سجل التحفيز'!$M$5:$M$2004,MATCH($K165,'سجل التحفيز'!$Z$5:$Z$2004,0)))</f>
        <v/>
      </c>
      <c r="O165" s="9">
        <f>IF($K165="","",INDEX('سجل التحفيز'!$C$5:$C$2004,MATCH($K165,'سجل التحفيز'!$Z$5:$Z$2004,0)))</f>
        <v/>
      </c>
      <c r="P165" s="36">
        <f>IF($K165="","",INDEX('سجل التحفيز'!$D$5:$D$2004,MATCH($K165,'سجل التحفيز'!$Z$5:$Z$2004,0)))</f>
        <v/>
      </c>
      <c r="Q165" s="9">
        <f>IF($K165="","",INDEX('سجل التحفيز'!$E$5:$E$2004,MATCH($K165,'سجل التحفيز'!$Z$5:$Z$2004,0)))</f>
        <v/>
      </c>
      <c r="R165" s="9">
        <f>IF($K165="","",INDEX('سجل التحفيز'!$F$5:$F$2004,MATCH($K165,'سجل التحفيز'!$Z$5:$Z$2004,0)))</f>
        <v/>
      </c>
      <c r="S165" s="35">
        <f>IF($K165="","",INDEX('سجل التحفيز'!$G$5:$G$2004,MATCH($K165,'سجل التحفيز'!$Z$5:$Z$2004,0)))</f>
        <v/>
      </c>
    </row>
    <row r="166">
      <c r="B166" s="34">
        <f>IFERROR(INDEX(الموظفات!$B$5:$B$304,MATCH(129,الموظفات!$T$5:$T$304,0)),"")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التحفيز'!$Z$5:$Z$2004,"&gt;0",'سجل التحفيز'!$B$5:$B$2004,B166))</f>
        <v/>
      </c>
      <c r="E166" s="35">
        <f>IF(B166="","",COUNTIFS('سجل التحفيز'!$Z$5:$Z$2004,"&gt;0",'سجل التحفيز'!$B$5:$B$2004,B166,'سجل التحفيز'!$D$5:$D$2004,"ذهبي"))</f>
        <v/>
      </c>
      <c r="F166" s="35">
        <f>IF(B166="","",SUMIFS('سجل التحفيز'!$G$5:$G$2004,'سجل التحفيز'!$Z$5:$Z$2004,"&gt;0",'سجل التحفيز'!$B$5:$B$2004,B166))</f>
        <v/>
      </c>
      <c r="G166" s="35">
        <f>IF(B166="","",COUNTIF($D$38:$D$187,"&gt;"&amp;D166)+1)</f>
        <v/>
      </c>
      <c r="H166" s="35">
        <f>IF(B166="","",INDEX(الموظفات!$L$5:$L$304,MATCH(B166,الموظفات!$B$5:$B$304,0)))</f>
        <v/>
      </c>
      <c r="K166" s="36">
        <f>IF(129&gt;$B$10,"",129)</f>
        <v/>
      </c>
      <c r="L166" s="37">
        <f>IF($K166="","",INDEX('سجل التحفيز'!$A$5:$A$2004,MATCH($K166,'سجل التحفيز'!$Z$5:$Z$2004,0)))</f>
        <v/>
      </c>
      <c r="M166" s="9">
        <f>IF($K166="","",INDEX('سجل التحفيز'!$B$5:$B$2004,MATCH($K166,'سجل التحفيز'!$Z$5:$Z$2004,0)))</f>
        <v/>
      </c>
      <c r="N166" s="9">
        <f>IF($K166="","",INDEX('سجل التحفيز'!$M$5:$M$2004,MATCH($K166,'سجل التحفيز'!$Z$5:$Z$2004,0)))</f>
        <v/>
      </c>
      <c r="O166" s="9">
        <f>IF($K166="","",INDEX('سجل التحفيز'!$C$5:$C$2004,MATCH($K166,'سجل التحفيز'!$Z$5:$Z$2004,0)))</f>
        <v/>
      </c>
      <c r="P166" s="36">
        <f>IF($K166="","",INDEX('سجل التحفيز'!$D$5:$D$2004,MATCH($K166,'سجل التحفيز'!$Z$5:$Z$2004,0)))</f>
        <v/>
      </c>
      <c r="Q166" s="9">
        <f>IF($K166="","",INDEX('سجل التحفيز'!$E$5:$E$2004,MATCH($K166,'سجل التحفيز'!$Z$5:$Z$2004,0)))</f>
        <v/>
      </c>
      <c r="R166" s="9">
        <f>IF($K166="","",INDEX('سجل التحفيز'!$F$5:$F$2004,MATCH($K166,'سجل التحفيز'!$Z$5:$Z$2004,0)))</f>
        <v/>
      </c>
      <c r="S166" s="35">
        <f>IF($K166="","",INDEX('سجل التحفيز'!$G$5:$G$2004,MATCH($K166,'سجل التحفيز'!$Z$5:$Z$2004,0)))</f>
        <v/>
      </c>
    </row>
    <row r="167">
      <c r="B167" s="34">
        <f>IFERROR(INDEX(الموظفات!$B$5:$B$304,MATCH(130,الموظفات!$T$5:$T$304,0)),"")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التحفيز'!$Z$5:$Z$2004,"&gt;0",'سجل التحفيز'!$B$5:$B$2004,B167))</f>
        <v/>
      </c>
      <c r="E167" s="35">
        <f>IF(B167="","",COUNTIFS('سجل التحفيز'!$Z$5:$Z$2004,"&gt;0",'سجل التحفيز'!$B$5:$B$2004,B167,'سجل التحفيز'!$D$5:$D$2004,"ذهبي"))</f>
        <v/>
      </c>
      <c r="F167" s="35">
        <f>IF(B167="","",SUMIFS('سجل التحفيز'!$G$5:$G$2004,'سجل التحفيز'!$Z$5:$Z$2004,"&gt;0",'سجل التحفيز'!$B$5:$B$2004,B167))</f>
        <v/>
      </c>
      <c r="G167" s="35">
        <f>IF(B167="","",COUNTIF($D$38:$D$187,"&gt;"&amp;D167)+1)</f>
        <v/>
      </c>
      <c r="H167" s="35">
        <f>IF(B167="","",INDEX(الموظفات!$L$5:$L$304,MATCH(B167,الموظفات!$B$5:$B$304,0)))</f>
        <v/>
      </c>
      <c r="K167" s="36">
        <f>IF(130&gt;$B$10,"",130)</f>
        <v/>
      </c>
      <c r="L167" s="37">
        <f>IF($K167="","",INDEX('سجل التحفيز'!$A$5:$A$2004,MATCH($K167,'سجل التحفيز'!$Z$5:$Z$2004,0)))</f>
        <v/>
      </c>
      <c r="M167" s="9">
        <f>IF($K167="","",INDEX('سجل التحفيز'!$B$5:$B$2004,MATCH($K167,'سجل التحفيز'!$Z$5:$Z$2004,0)))</f>
        <v/>
      </c>
      <c r="N167" s="9">
        <f>IF($K167="","",INDEX('سجل التحفيز'!$M$5:$M$2004,MATCH($K167,'سجل التحفيز'!$Z$5:$Z$2004,0)))</f>
        <v/>
      </c>
      <c r="O167" s="9">
        <f>IF($K167="","",INDEX('سجل التحفيز'!$C$5:$C$2004,MATCH($K167,'سجل التحفيز'!$Z$5:$Z$2004,0)))</f>
        <v/>
      </c>
      <c r="P167" s="36">
        <f>IF($K167="","",INDEX('سجل التحفيز'!$D$5:$D$2004,MATCH($K167,'سجل التحفيز'!$Z$5:$Z$2004,0)))</f>
        <v/>
      </c>
      <c r="Q167" s="9">
        <f>IF($K167="","",INDEX('سجل التحفيز'!$E$5:$E$2004,MATCH($K167,'سجل التحفيز'!$Z$5:$Z$2004,0)))</f>
        <v/>
      </c>
      <c r="R167" s="9">
        <f>IF($K167="","",INDEX('سجل التحفيز'!$F$5:$F$2004,MATCH($K167,'سجل التحفيز'!$Z$5:$Z$2004,0)))</f>
        <v/>
      </c>
      <c r="S167" s="35">
        <f>IF($K167="","",INDEX('سجل التحفيز'!$G$5:$G$2004,MATCH($K167,'سجل التحفيز'!$Z$5:$Z$2004,0)))</f>
        <v/>
      </c>
    </row>
    <row r="168">
      <c r="B168" s="34">
        <f>IFERROR(INDEX(الموظفات!$B$5:$B$304,MATCH(131,الموظفات!$T$5:$T$304,0)),"")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التحفيز'!$Z$5:$Z$2004,"&gt;0",'سجل التحفيز'!$B$5:$B$2004,B168))</f>
        <v/>
      </c>
      <c r="E168" s="35">
        <f>IF(B168="","",COUNTIFS('سجل التحفيز'!$Z$5:$Z$2004,"&gt;0",'سجل التحفيز'!$B$5:$B$2004,B168,'سجل التحفيز'!$D$5:$D$2004,"ذهبي"))</f>
        <v/>
      </c>
      <c r="F168" s="35">
        <f>IF(B168="","",SUMIFS('سجل التحفيز'!$G$5:$G$2004,'سجل التحفيز'!$Z$5:$Z$2004,"&gt;0",'سجل التحفيز'!$B$5:$B$2004,B168))</f>
        <v/>
      </c>
      <c r="G168" s="35">
        <f>IF(B168="","",COUNTIF($D$38:$D$187,"&gt;"&amp;D168)+1)</f>
        <v/>
      </c>
      <c r="H168" s="35">
        <f>IF(B168="","",INDEX(الموظفات!$L$5:$L$304,MATCH(B168,الموظفات!$B$5:$B$304,0)))</f>
        <v/>
      </c>
      <c r="K168" s="36">
        <f>IF(131&gt;$B$10,"",131)</f>
        <v/>
      </c>
      <c r="L168" s="37">
        <f>IF($K168="","",INDEX('سجل التحفيز'!$A$5:$A$2004,MATCH($K168,'سجل التحفيز'!$Z$5:$Z$2004,0)))</f>
        <v/>
      </c>
      <c r="M168" s="9">
        <f>IF($K168="","",INDEX('سجل التحفيز'!$B$5:$B$2004,MATCH($K168,'سجل التحفيز'!$Z$5:$Z$2004,0)))</f>
        <v/>
      </c>
      <c r="N168" s="9">
        <f>IF($K168="","",INDEX('سجل التحفيز'!$M$5:$M$2004,MATCH($K168,'سجل التحفيز'!$Z$5:$Z$2004,0)))</f>
        <v/>
      </c>
      <c r="O168" s="9">
        <f>IF($K168="","",INDEX('سجل التحفيز'!$C$5:$C$2004,MATCH($K168,'سجل التحفيز'!$Z$5:$Z$2004,0)))</f>
        <v/>
      </c>
      <c r="P168" s="36">
        <f>IF($K168="","",INDEX('سجل التحفيز'!$D$5:$D$2004,MATCH($K168,'سجل التحفيز'!$Z$5:$Z$2004,0)))</f>
        <v/>
      </c>
      <c r="Q168" s="9">
        <f>IF($K168="","",INDEX('سجل التحفيز'!$E$5:$E$2004,MATCH($K168,'سجل التحفيز'!$Z$5:$Z$2004,0)))</f>
        <v/>
      </c>
      <c r="R168" s="9">
        <f>IF($K168="","",INDEX('سجل التحفيز'!$F$5:$F$2004,MATCH($K168,'سجل التحفيز'!$Z$5:$Z$2004,0)))</f>
        <v/>
      </c>
      <c r="S168" s="35">
        <f>IF($K168="","",INDEX('سجل التحفيز'!$G$5:$G$2004,MATCH($K168,'سجل التحفيز'!$Z$5:$Z$2004,0)))</f>
        <v/>
      </c>
    </row>
    <row r="169">
      <c r="B169" s="34">
        <f>IFERROR(INDEX(الموظفات!$B$5:$B$304,MATCH(132,الموظفات!$T$5:$T$304,0)),"")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التحفيز'!$Z$5:$Z$2004,"&gt;0",'سجل التحفيز'!$B$5:$B$2004,B169))</f>
        <v/>
      </c>
      <c r="E169" s="35">
        <f>IF(B169="","",COUNTIFS('سجل التحفيز'!$Z$5:$Z$2004,"&gt;0",'سجل التحفيز'!$B$5:$B$2004,B169,'سجل التحفيز'!$D$5:$D$2004,"ذهبي"))</f>
        <v/>
      </c>
      <c r="F169" s="35">
        <f>IF(B169="","",SUMIFS('سجل التحفيز'!$G$5:$G$2004,'سجل التحفيز'!$Z$5:$Z$2004,"&gt;0",'سجل التحفيز'!$B$5:$B$2004,B169))</f>
        <v/>
      </c>
      <c r="G169" s="35">
        <f>IF(B169="","",COUNTIF($D$38:$D$187,"&gt;"&amp;D169)+1)</f>
        <v/>
      </c>
      <c r="H169" s="35">
        <f>IF(B169="","",INDEX(الموظفات!$L$5:$L$304,MATCH(B169,الموظفات!$B$5:$B$304,0)))</f>
        <v/>
      </c>
      <c r="K169" s="36">
        <f>IF(132&gt;$B$10,"",132)</f>
        <v/>
      </c>
      <c r="L169" s="37">
        <f>IF($K169="","",INDEX('سجل التحفيز'!$A$5:$A$2004,MATCH($K169,'سجل التحفيز'!$Z$5:$Z$2004,0)))</f>
        <v/>
      </c>
      <c r="M169" s="9">
        <f>IF($K169="","",INDEX('سجل التحفيز'!$B$5:$B$2004,MATCH($K169,'سجل التحفيز'!$Z$5:$Z$2004,0)))</f>
        <v/>
      </c>
      <c r="N169" s="9">
        <f>IF($K169="","",INDEX('سجل التحفيز'!$M$5:$M$2004,MATCH($K169,'سجل التحفيز'!$Z$5:$Z$2004,0)))</f>
        <v/>
      </c>
      <c r="O169" s="9">
        <f>IF($K169="","",INDEX('سجل التحفيز'!$C$5:$C$2004,MATCH($K169,'سجل التحفيز'!$Z$5:$Z$2004,0)))</f>
        <v/>
      </c>
      <c r="P169" s="36">
        <f>IF($K169="","",INDEX('سجل التحفيز'!$D$5:$D$2004,MATCH($K169,'سجل التحفيز'!$Z$5:$Z$2004,0)))</f>
        <v/>
      </c>
      <c r="Q169" s="9">
        <f>IF($K169="","",INDEX('سجل التحفيز'!$E$5:$E$2004,MATCH($K169,'سجل التحفيز'!$Z$5:$Z$2004,0)))</f>
        <v/>
      </c>
      <c r="R169" s="9">
        <f>IF($K169="","",INDEX('سجل التحفيز'!$F$5:$F$2004,MATCH($K169,'سجل التحفيز'!$Z$5:$Z$2004,0)))</f>
        <v/>
      </c>
      <c r="S169" s="35">
        <f>IF($K169="","",INDEX('سجل التحفيز'!$G$5:$G$2004,MATCH($K169,'سجل التحفيز'!$Z$5:$Z$2004,0)))</f>
        <v/>
      </c>
    </row>
    <row r="170">
      <c r="B170" s="34">
        <f>IFERROR(INDEX(الموظفات!$B$5:$B$304,MATCH(133,الموظفات!$T$5:$T$304,0)),"")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التحفيز'!$Z$5:$Z$2004,"&gt;0",'سجل التحفيز'!$B$5:$B$2004,B170))</f>
        <v/>
      </c>
      <c r="E170" s="35">
        <f>IF(B170="","",COUNTIFS('سجل التحفيز'!$Z$5:$Z$2004,"&gt;0",'سجل التحفيز'!$B$5:$B$2004,B170,'سجل التحفيز'!$D$5:$D$2004,"ذهبي"))</f>
        <v/>
      </c>
      <c r="F170" s="35">
        <f>IF(B170="","",SUMIFS('سجل التحفيز'!$G$5:$G$2004,'سجل التحفيز'!$Z$5:$Z$2004,"&gt;0",'سجل التحفيز'!$B$5:$B$2004,B170))</f>
        <v/>
      </c>
      <c r="G170" s="35">
        <f>IF(B170="","",COUNTIF($D$38:$D$187,"&gt;"&amp;D170)+1)</f>
        <v/>
      </c>
      <c r="H170" s="35">
        <f>IF(B170="","",INDEX(الموظفات!$L$5:$L$304,MATCH(B170,الموظفات!$B$5:$B$304,0)))</f>
        <v/>
      </c>
      <c r="K170" s="36">
        <f>IF(133&gt;$B$10,"",133)</f>
        <v/>
      </c>
      <c r="L170" s="37">
        <f>IF($K170="","",INDEX('سجل التحفيز'!$A$5:$A$2004,MATCH($K170,'سجل التحفيز'!$Z$5:$Z$2004,0)))</f>
        <v/>
      </c>
      <c r="M170" s="9">
        <f>IF($K170="","",INDEX('سجل التحفيز'!$B$5:$B$2004,MATCH($K170,'سجل التحفيز'!$Z$5:$Z$2004,0)))</f>
        <v/>
      </c>
      <c r="N170" s="9">
        <f>IF($K170="","",INDEX('سجل التحفيز'!$M$5:$M$2004,MATCH($K170,'سجل التحفيز'!$Z$5:$Z$2004,0)))</f>
        <v/>
      </c>
      <c r="O170" s="9">
        <f>IF($K170="","",INDEX('سجل التحفيز'!$C$5:$C$2004,MATCH($K170,'سجل التحفيز'!$Z$5:$Z$2004,0)))</f>
        <v/>
      </c>
      <c r="P170" s="36">
        <f>IF($K170="","",INDEX('سجل التحفيز'!$D$5:$D$2004,MATCH($K170,'سجل التحفيز'!$Z$5:$Z$2004,0)))</f>
        <v/>
      </c>
      <c r="Q170" s="9">
        <f>IF($K170="","",INDEX('سجل التحفيز'!$E$5:$E$2004,MATCH($K170,'سجل التحفيز'!$Z$5:$Z$2004,0)))</f>
        <v/>
      </c>
      <c r="R170" s="9">
        <f>IF($K170="","",INDEX('سجل التحفيز'!$F$5:$F$2004,MATCH($K170,'سجل التحفيز'!$Z$5:$Z$2004,0)))</f>
        <v/>
      </c>
      <c r="S170" s="35">
        <f>IF($K170="","",INDEX('سجل التحفيز'!$G$5:$G$2004,MATCH($K170,'سجل التحفيز'!$Z$5:$Z$2004,0)))</f>
        <v/>
      </c>
    </row>
    <row r="171">
      <c r="B171" s="34">
        <f>IFERROR(INDEX(الموظفات!$B$5:$B$304,MATCH(134,الموظفات!$T$5:$T$304,0)),"")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التحفيز'!$Z$5:$Z$2004,"&gt;0",'سجل التحفيز'!$B$5:$B$2004,B171))</f>
        <v/>
      </c>
      <c r="E171" s="35">
        <f>IF(B171="","",COUNTIFS('سجل التحفيز'!$Z$5:$Z$2004,"&gt;0",'سجل التحفيز'!$B$5:$B$2004,B171,'سجل التحفيز'!$D$5:$D$2004,"ذهبي"))</f>
        <v/>
      </c>
      <c r="F171" s="35">
        <f>IF(B171="","",SUMIFS('سجل التحفيز'!$G$5:$G$2004,'سجل التحفيز'!$Z$5:$Z$2004,"&gt;0",'سجل التحفيز'!$B$5:$B$2004,B171))</f>
        <v/>
      </c>
      <c r="G171" s="35">
        <f>IF(B171="","",COUNTIF($D$38:$D$187,"&gt;"&amp;D171)+1)</f>
        <v/>
      </c>
      <c r="H171" s="35">
        <f>IF(B171="","",INDEX(الموظفات!$L$5:$L$304,MATCH(B171,الموظفات!$B$5:$B$304,0)))</f>
        <v/>
      </c>
      <c r="K171" s="36">
        <f>IF(134&gt;$B$10,"",134)</f>
        <v/>
      </c>
      <c r="L171" s="37">
        <f>IF($K171="","",INDEX('سجل التحفيز'!$A$5:$A$2004,MATCH($K171,'سجل التحفيز'!$Z$5:$Z$2004,0)))</f>
        <v/>
      </c>
      <c r="M171" s="9">
        <f>IF($K171="","",INDEX('سجل التحفيز'!$B$5:$B$2004,MATCH($K171,'سجل التحفيز'!$Z$5:$Z$2004,0)))</f>
        <v/>
      </c>
      <c r="N171" s="9">
        <f>IF($K171="","",INDEX('سجل التحفيز'!$M$5:$M$2004,MATCH($K171,'سجل التحفيز'!$Z$5:$Z$2004,0)))</f>
        <v/>
      </c>
      <c r="O171" s="9">
        <f>IF($K171="","",INDEX('سجل التحفيز'!$C$5:$C$2004,MATCH($K171,'سجل التحفيز'!$Z$5:$Z$2004,0)))</f>
        <v/>
      </c>
      <c r="P171" s="36">
        <f>IF($K171="","",INDEX('سجل التحفيز'!$D$5:$D$2004,MATCH($K171,'سجل التحفيز'!$Z$5:$Z$2004,0)))</f>
        <v/>
      </c>
      <c r="Q171" s="9">
        <f>IF($K171="","",INDEX('سجل التحفيز'!$E$5:$E$2004,MATCH($K171,'سجل التحفيز'!$Z$5:$Z$2004,0)))</f>
        <v/>
      </c>
      <c r="R171" s="9">
        <f>IF($K171="","",INDEX('سجل التحفيز'!$F$5:$F$2004,MATCH($K171,'سجل التحفيز'!$Z$5:$Z$2004,0)))</f>
        <v/>
      </c>
      <c r="S171" s="35">
        <f>IF($K171="","",INDEX('سجل التحفيز'!$G$5:$G$2004,MATCH($K171,'سجل التحفيز'!$Z$5:$Z$2004,0)))</f>
        <v/>
      </c>
    </row>
    <row r="172">
      <c r="B172" s="34">
        <f>IFERROR(INDEX(الموظفات!$B$5:$B$304,MATCH(135,الموظفات!$T$5:$T$304,0)),"")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التحفيز'!$Z$5:$Z$2004,"&gt;0",'سجل التحفيز'!$B$5:$B$2004,B172))</f>
        <v/>
      </c>
      <c r="E172" s="35">
        <f>IF(B172="","",COUNTIFS('سجل التحفيز'!$Z$5:$Z$2004,"&gt;0",'سجل التحفيز'!$B$5:$B$2004,B172,'سجل التحفيز'!$D$5:$D$2004,"ذهبي"))</f>
        <v/>
      </c>
      <c r="F172" s="35">
        <f>IF(B172="","",SUMIFS('سجل التحفيز'!$G$5:$G$2004,'سجل التحفيز'!$Z$5:$Z$2004,"&gt;0",'سجل التحفيز'!$B$5:$B$2004,B172))</f>
        <v/>
      </c>
      <c r="G172" s="35">
        <f>IF(B172="","",COUNTIF($D$38:$D$187,"&gt;"&amp;D172)+1)</f>
        <v/>
      </c>
      <c r="H172" s="35">
        <f>IF(B172="","",INDEX(الموظفات!$L$5:$L$304,MATCH(B172,الموظفات!$B$5:$B$304,0)))</f>
        <v/>
      </c>
      <c r="K172" s="36">
        <f>IF(135&gt;$B$10,"",135)</f>
        <v/>
      </c>
      <c r="L172" s="37">
        <f>IF($K172="","",INDEX('سجل التحفيز'!$A$5:$A$2004,MATCH($K172,'سجل التحفيز'!$Z$5:$Z$2004,0)))</f>
        <v/>
      </c>
      <c r="M172" s="9">
        <f>IF($K172="","",INDEX('سجل التحفيز'!$B$5:$B$2004,MATCH($K172,'سجل التحفيز'!$Z$5:$Z$2004,0)))</f>
        <v/>
      </c>
      <c r="N172" s="9">
        <f>IF($K172="","",INDEX('سجل التحفيز'!$M$5:$M$2004,MATCH($K172,'سجل التحفيز'!$Z$5:$Z$2004,0)))</f>
        <v/>
      </c>
      <c r="O172" s="9">
        <f>IF($K172="","",INDEX('سجل التحفيز'!$C$5:$C$2004,MATCH($K172,'سجل التحفيز'!$Z$5:$Z$2004,0)))</f>
        <v/>
      </c>
      <c r="P172" s="36">
        <f>IF($K172="","",INDEX('سجل التحفيز'!$D$5:$D$2004,MATCH($K172,'سجل التحفيز'!$Z$5:$Z$2004,0)))</f>
        <v/>
      </c>
      <c r="Q172" s="9">
        <f>IF($K172="","",INDEX('سجل التحفيز'!$E$5:$E$2004,MATCH($K172,'سجل التحفيز'!$Z$5:$Z$2004,0)))</f>
        <v/>
      </c>
      <c r="R172" s="9">
        <f>IF($K172="","",INDEX('سجل التحفيز'!$F$5:$F$2004,MATCH($K172,'سجل التحفيز'!$Z$5:$Z$2004,0)))</f>
        <v/>
      </c>
      <c r="S172" s="35">
        <f>IF($K172="","",INDEX('سجل التحفيز'!$G$5:$G$2004,MATCH($K172,'سجل التحفيز'!$Z$5:$Z$2004,0)))</f>
        <v/>
      </c>
    </row>
    <row r="173">
      <c r="B173" s="34">
        <f>IFERROR(INDEX(الموظفات!$B$5:$B$304,MATCH(136,الموظفات!$T$5:$T$304,0)),"")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التحفيز'!$Z$5:$Z$2004,"&gt;0",'سجل التحفيز'!$B$5:$B$2004,B173))</f>
        <v/>
      </c>
      <c r="E173" s="35">
        <f>IF(B173="","",COUNTIFS('سجل التحفيز'!$Z$5:$Z$2004,"&gt;0",'سجل التحفيز'!$B$5:$B$2004,B173,'سجل التحفيز'!$D$5:$D$2004,"ذهبي"))</f>
        <v/>
      </c>
      <c r="F173" s="35">
        <f>IF(B173="","",SUMIFS('سجل التحفيز'!$G$5:$G$2004,'سجل التحفيز'!$Z$5:$Z$2004,"&gt;0",'سجل التحفيز'!$B$5:$B$2004,B173))</f>
        <v/>
      </c>
      <c r="G173" s="35">
        <f>IF(B173="","",COUNTIF($D$38:$D$187,"&gt;"&amp;D173)+1)</f>
        <v/>
      </c>
      <c r="H173" s="35">
        <f>IF(B173="","",INDEX(الموظفات!$L$5:$L$304,MATCH(B173,الموظفات!$B$5:$B$304,0)))</f>
        <v/>
      </c>
      <c r="K173" s="36">
        <f>IF(136&gt;$B$10,"",136)</f>
        <v/>
      </c>
      <c r="L173" s="37">
        <f>IF($K173="","",INDEX('سجل التحفيز'!$A$5:$A$2004,MATCH($K173,'سجل التحفيز'!$Z$5:$Z$2004,0)))</f>
        <v/>
      </c>
      <c r="M173" s="9">
        <f>IF($K173="","",INDEX('سجل التحفيز'!$B$5:$B$2004,MATCH($K173,'سجل التحفيز'!$Z$5:$Z$2004,0)))</f>
        <v/>
      </c>
      <c r="N173" s="9">
        <f>IF($K173="","",INDEX('سجل التحفيز'!$M$5:$M$2004,MATCH($K173,'سجل التحفيز'!$Z$5:$Z$2004,0)))</f>
        <v/>
      </c>
      <c r="O173" s="9">
        <f>IF($K173="","",INDEX('سجل التحفيز'!$C$5:$C$2004,MATCH($K173,'سجل التحفيز'!$Z$5:$Z$2004,0)))</f>
        <v/>
      </c>
      <c r="P173" s="36">
        <f>IF($K173="","",INDEX('سجل التحفيز'!$D$5:$D$2004,MATCH($K173,'سجل التحفيز'!$Z$5:$Z$2004,0)))</f>
        <v/>
      </c>
      <c r="Q173" s="9">
        <f>IF($K173="","",INDEX('سجل التحفيز'!$E$5:$E$2004,MATCH($K173,'سجل التحفيز'!$Z$5:$Z$2004,0)))</f>
        <v/>
      </c>
      <c r="R173" s="9">
        <f>IF($K173="","",INDEX('سجل التحفيز'!$F$5:$F$2004,MATCH($K173,'سجل التحفيز'!$Z$5:$Z$2004,0)))</f>
        <v/>
      </c>
      <c r="S173" s="35">
        <f>IF($K173="","",INDEX('سجل التحفيز'!$G$5:$G$2004,MATCH($K173,'سجل التحفيز'!$Z$5:$Z$2004,0)))</f>
        <v/>
      </c>
    </row>
    <row r="174">
      <c r="B174" s="34">
        <f>IFERROR(INDEX(الموظفات!$B$5:$B$304,MATCH(137,الموظفات!$T$5:$T$304,0)),"")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التحفيز'!$Z$5:$Z$2004,"&gt;0",'سجل التحفيز'!$B$5:$B$2004,B174))</f>
        <v/>
      </c>
      <c r="E174" s="35">
        <f>IF(B174="","",COUNTIFS('سجل التحفيز'!$Z$5:$Z$2004,"&gt;0",'سجل التحفيز'!$B$5:$B$2004,B174,'سجل التحفيز'!$D$5:$D$2004,"ذهبي"))</f>
        <v/>
      </c>
      <c r="F174" s="35">
        <f>IF(B174="","",SUMIFS('سجل التحفيز'!$G$5:$G$2004,'سجل التحفيز'!$Z$5:$Z$2004,"&gt;0",'سجل التحفيز'!$B$5:$B$2004,B174))</f>
        <v/>
      </c>
      <c r="G174" s="35">
        <f>IF(B174="","",COUNTIF($D$38:$D$187,"&gt;"&amp;D174)+1)</f>
        <v/>
      </c>
      <c r="H174" s="35">
        <f>IF(B174="","",INDEX(الموظفات!$L$5:$L$304,MATCH(B174,الموظفات!$B$5:$B$304,0)))</f>
        <v/>
      </c>
      <c r="K174" s="36">
        <f>IF(137&gt;$B$10,"",137)</f>
        <v/>
      </c>
      <c r="L174" s="37">
        <f>IF($K174="","",INDEX('سجل التحفيز'!$A$5:$A$2004,MATCH($K174,'سجل التحفيز'!$Z$5:$Z$2004,0)))</f>
        <v/>
      </c>
      <c r="M174" s="9">
        <f>IF($K174="","",INDEX('سجل التحفيز'!$B$5:$B$2004,MATCH($K174,'سجل التحفيز'!$Z$5:$Z$2004,0)))</f>
        <v/>
      </c>
      <c r="N174" s="9">
        <f>IF($K174="","",INDEX('سجل التحفيز'!$M$5:$M$2004,MATCH($K174,'سجل التحفيز'!$Z$5:$Z$2004,0)))</f>
        <v/>
      </c>
      <c r="O174" s="9">
        <f>IF($K174="","",INDEX('سجل التحفيز'!$C$5:$C$2004,MATCH($K174,'سجل التحفيز'!$Z$5:$Z$2004,0)))</f>
        <v/>
      </c>
      <c r="P174" s="36">
        <f>IF($K174="","",INDEX('سجل التحفيز'!$D$5:$D$2004,MATCH($K174,'سجل التحفيز'!$Z$5:$Z$2004,0)))</f>
        <v/>
      </c>
      <c r="Q174" s="9">
        <f>IF($K174="","",INDEX('سجل التحفيز'!$E$5:$E$2004,MATCH($K174,'سجل التحفيز'!$Z$5:$Z$2004,0)))</f>
        <v/>
      </c>
      <c r="R174" s="9">
        <f>IF($K174="","",INDEX('سجل التحفيز'!$F$5:$F$2004,MATCH($K174,'سجل التحفيز'!$Z$5:$Z$2004,0)))</f>
        <v/>
      </c>
      <c r="S174" s="35">
        <f>IF($K174="","",INDEX('سجل التحفيز'!$G$5:$G$2004,MATCH($K174,'سجل التحفيز'!$Z$5:$Z$2004,0)))</f>
        <v/>
      </c>
    </row>
    <row r="175">
      <c r="B175" s="34">
        <f>IFERROR(INDEX(الموظفات!$B$5:$B$304,MATCH(138,الموظفات!$T$5:$T$304,0)),"")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التحفيز'!$Z$5:$Z$2004,"&gt;0",'سجل التحفيز'!$B$5:$B$2004,B175))</f>
        <v/>
      </c>
      <c r="E175" s="35">
        <f>IF(B175="","",COUNTIFS('سجل التحفيز'!$Z$5:$Z$2004,"&gt;0",'سجل التحفيز'!$B$5:$B$2004,B175,'سجل التحفيز'!$D$5:$D$2004,"ذهبي"))</f>
        <v/>
      </c>
      <c r="F175" s="35">
        <f>IF(B175="","",SUMIFS('سجل التحفيز'!$G$5:$G$2004,'سجل التحفيز'!$Z$5:$Z$2004,"&gt;0",'سجل التحفيز'!$B$5:$B$2004,B175))</f>
        <v/>
      </c>
      <c r="G175" s="35">
        <f>IF(B175="","",COUNTIF($D$38:$D$187,"&gt;"&amp;D175)+1)</f>
        <v/>
      </c>
      <c r="H175" s="35">
        <f>IF(B175="","",INDEX(الموظفات!$L$5:$L$304,MATCH(B175,الموظفات!$B$5:$B$304,0)))</f>
        <v/>
      </c>
      <c r="K175" s="36">
        <f>IF(138&gt;$B$10,"",138)</f>
        <v/>
      </c>
      <c r="L175" s="37">
        <f>IF($K175="","",INDEX('سجل التحفيز'!$A$5:$A$2004,MATCH($K175,'سجل التحفيز'!$Z$5:$Z$2004,0)))</f>
        <v/>
      </c>
      <c r="M175" s="9">
        <f>IF($K175="","",INDEX('سجل التحفيز'!$B$5:$B$2004,MATCH($K175,'سجل التحفيز'!$Z$5:$Z$2004,0)))</f>
        <v/>
      </c>
      <c r="N175" s="9">
        <f>IF($K175="","",INDEX('سجل التحفيز'!$M$5:$M$2004,MATCH($K175,'سجل التحفيز'!$Z$5:$Z$2004,0)))</f>
        <v/>
      </c>
      <c r="O175" s="9">
        <f>IF($K175="","",INDEX('سجل التحفيز'!$C$5:$C$2004,MATCH($K175,'سجل التحفيز'!$Z$5:$Z$2004,0)))</f>
        <v/>
      </c>
      <c r="P175" s="36">
        <f>IF($K175="","",INDEX('سجل التحفيز'!$D$5:$D$2004,MATCH($K175,'سجل التحفيز'!$Z$5:$Z$2004,0)))</f>
        <v/>
      </c>
      <c r="Q175" s="9">
        <f>IF($K175="","",INDEX('سجل التحفيز'!$E$5:$E$2004,MATCH($K175,'سجل التحفيز'!$Z$5:$Z$2004,0)))</f>
        <v/>
      </c>
      <c r="R175" s="9">
        <f>IF($K175="","",INDEX('سجل التحفيز'!$F$5:$F$2004,MATCH($K175,'سجل التحفيز'!$Z$5:$Z$2004,0)))</f>
        <v/>
      </c>
      <c r="S175" s="35">
        <f>IF($K175="","",INDEX('سجل التحفيز'!$G$5:$G$2004,MATCH($K175,'سجل التحفيز'!$Z$5:$Z$2004,0)))</f>
        <v/>
      </c>
    </row>
    <row r="176">
      <c r="B176" s="34">
        <f>IFERROR(INDEX(الموظفات!$B$5:$B$304,MATCH(139,الموظفات!$T$5:$T$304,0)),"")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التحفيز'!$Z$5:$Z$2004,"&gt;0",'سجل التحفيز'!$B$5:$B$2004,B176))</f>
        <v/>
      </c>
      <c r="E176" s="35">
        <f>IF(B176="","",COUNTIFS('سجل التحفيز'!$Z$5:$Z$2004,"&gt;0",'سجل التحفيز'!$B$5:$B$2004,B176,'سجل التحفيز'!$D$5:$D$2004,"ذهبي"))</f>
        <v/>
      </c>
      <c r="F176" s="35">
        <f>IF(B176="","",SUMIFS('سجل التحفيز'!$G$5:$G$2004,'سجل التحفيز'!$Z$5:$Z$2004,"&gt;0",'سجل التحفيز'!$B$5:$B$2004,B176))</f>
        <v/>
      </c>
      <c r="G176" s="35">
        <f>IF(B176="","",COUNTIF($D$38:$D$187,"&gt;"&amp;D176)+1)</f>
        <v/>
      </c>
      <c r="H176" s="35">
        <f>IF(B176="","",INDEX(الموظفات!$L$5:$L$304,MATCH(B176,الموظفات!$B$5:$B$304,0)))</f>
        <v/>
      </c>
      <c r="K176" s="36">
        <f>IF(139&gt;$B$10,"",139)</f>
        <v/>
      </c>
      <c r="L176" s="37">
        <f>IF($K176="","",INDEX('سجل التحفيز'!$A$5:$A$2004,MATCH($K176,'سجل التحفيز'!$Z$5:$Z$2004,0)))</f>
        <v/>
      </c>
      <c r="M176" s="9">
        <f>IF($K176="","",INDEX('سجل التحفيز'!$B$5:$B$2004,MATCH($K176,'سجل التحفيز'!$Z$5:$Z$2004,0)))</f>
        <v/>
      </c>
      <c r="N176" s="9">
        <f>IF($K176="","",INDEX('سجل التحفيز'!$M$5:$M$2004,MATCH($K176,'سجل التحفيز'!$Z$5:$Z$2004,0)))</f>
        <v/>
      </c>
      <c r="O176" s="9">
        <f>IF($K176="","",INDEX('سجل التحفيز'!$C$5:$C$2004,MATCH($K176,'سجل التحفيز'!$Z$5:$Z$2004,0)))</f>
        <v/>
      </c>
      <c r="P176" s="36">
        <f>IF($K176="","",INDEX('سجل التحفيز'!$D$5:$D$2004,MATCH($K176,'سجل التحفيز'!$Z$5:$Z$2004,0)))</f>
        <v/>
      </c>
      <c r="Q176" s="9">
        <f>IF($K176="","",INDEX('سجل التحفيز'!$E$5:$E$2004,MATCH($K176,'سجل التحفيز'!$Z$5:$Z$2004,0)))</f>
        <v/>
      </c>
      <c r="R176" s="9">
        <f>IF($K176="","",INDEX('سجل التحفيز'!$F$5:$F$2004,MATCH($K176,'سجل التحفيز'!$Z$5:$Z$2004,0)))</f>
        <v/>
      </c>
      <c r="S176" s="35">
        <f>IF($K176="","",INDEX('سجل التحفيز'!$G$5:$G$2004,MATCH($K176,'سجل التحفيز'!$Z$5:$Z$2004,0)))</f>
        <v/>
      </c>
    </row>
    <row r="177">
      <c r="B177" s="34">
        <f>IFERROR(INDEX(الموظفات!$B$5:$B$304,MATCH(140,الموظفات!$T$5:$T$304,0)),"")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التحفيز'!$Z$5:$Z$2004,"&gt;0",'سجل التحفيز'!$B$5:$B$2004,B177))</f>
        <v/>
      </c>
      <c r="E177" s="35">
        <f>IF(B177="","",COUNTIFS('سجل التحفيز'!$Z$5:$Z$2004,"&gt;0",'سجل التحفيز'!$B$5:$B$2004,B177,'سجل التحفيز'!$D$5:$D$2004,"ذهبي"))</f>
        <v/>
      </c>
      <c r="F177" s="35">
        <f>IF(B177="","",SUMIFS('سجل التحفيز'!$G$5:$G$2004,'سجل التحفيز'!$Z$5:$Z$2004,"&gt;0",'سجل التحفيز'!$B$5:$B$2004,B177))</f>
        <v/>
      </c>
      <c r="G177" s="35">
        <f>IF(B177="","",COUNTIF($D$38:$D$187,"&gt;"&amp;D177)+1)</f>
        <v/>
      </c>
      <c r="H177" s="35">
        <f>IF(B177="","",INDEX(الموظفات!$L$5:$L$304,MATCH(B177,الموظفات!$B$5:$B$304,0)))</f>
        <v/>
      </c>
      <c r="K177" s="36">
        <f>IF(140&gt;$B$10,"",140)</f>
        <v/>
      </c>
      <c r="L177" s="37">
        <f>IF($K177="","",INDEX('سجل التحفيز'!$A$5:$A$2004,MATCH($K177,'سجل التحفيز'!$Z$5:$Z$2004,0)))</f>
        <v/>
      </c>
      <c r="M177" s="9">
        <f>IF($K177="","",INDEX('سجل التحفيز'!$B$5:$B$2004,MATCH($K177,'سجل التحفيز'!$Z$5:$Z$2004,0)))</f>
        <v/>
      </c>
      <c r="N177" s="9">
        <f>IF($K177="","",INDEX('سجل التحفيز'!$M$5:$M$2004,MATCH($K177,'سجل التحفيز'!$Z$5:$Z$2004,0)))</f>
        <v/>
      </c>
      <c r="O177" s="9">
        <f>IF($K177="","",INDEX('سجل التحفيز'!$C$5:$C$2004,MATCH($K177,'سجل التحفيز'!$Z$5:$Z$2004,0)))</f>
        <v/>
      </c>
      <c r="P177" s="36">
        <f>IF($K177="","",INDEX('سجل التحفيز'!$D$5:$D$2004,MATCH($K177,'سجل التحفيز'!$Z$5:$Z$2004,0)))</f>
        <v/>
      </c>
      <c r="Q177" s="9">
        <f>IF($K177="","",INDEX('سجل التحفيز'!$E$5:$E$2004,MATCH($K177,'سجل التحفيز'!$Z$5:$Z$2004,0)))</f>
        <v/>
      </c>
      <c r="R177" s="9">
        <f>IF($K177="","",INDEX('سجل التحفيز'!$F$5:$F$2004,MATCH($K177,'سجل التحفيز'!$Z$5:$Z$2004,0)))</f>
        <v/>
      </c>
      <c r="S177" s="35">
        <f>IF($K177="","",INDEX('سجل التحفيز'!$G$5:$G$2004,MATCH($K177,'سجل التحفيز'!$Z$5:$Z$2004,0)))</f>
        <v/>
      </c>
    </row>
    <row r="178">
      <c r="B178" s="34">
        <f>IFERROR(INDEX(الموظفات!$B$5:$B$304,MATCH(141,الموظفات!$T$5:$T$304,0)),"")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التحفيز'!$Z$5:$Z$2004,"&gt;0",'سجل التحفيز'!$B$5:$B$2004,B178))</f>
        <v/>
      </c>
      <c r="E178" s="35">
        <f>IF(B178="","",COUNTIFS('سجل التحفيز'!$Z$5:$Z$2004,"&gt;0",'سجل التحفيز'!$B$5:$B$2004,B178,'سجل التحفيز'!$D$5:$D$2004,"ذهبي"))</f>
        <v/>
      </c>
      <c r="F178" s="35">
        <f>IF(B178="","",SUMIFS('سجل التحفيز'!$G$5:$G$2004,'سجل التحفيز'!$Z$5:$Z$2004,"&gt;0",'سجل التحفيز'!$B$5:$B$2004,B178))</f>
        <v/>
      </c>
      <c r="G178" s="35">
        <f>IF(B178="","",COUNTIF($D$38:$D$187,"&gt;"&amp;D178)+1)</f>
        <v/>
      </c>
      <c r="H178" s="35">
        <f>IF(B178="","",INDEX(الموظفات!$L$5:$L$304,MATCH(B178,الموظفات!$B$5:$B$304,0)))</f>
        <v/>
      </c>
      <c r="K178" s="36">
        <f>IF(141&gt;$B$10,"",141)</f>
        <v/>
      </c>
      <c r="L178" s="37">
        <f>IF($K178="","",INDEX('سجل التحفيز'!$A$5:$A$2004,MATCH($K178,'سجل التحفيز'!$Z$5:$Z$2004,0)))</f>
        <v/>
      </c>
      <c r="M178" s="9">
        <f>IF($K178="","",INDEX('سجل التحفيز'!$B$5:$B$2004,MATCH($K178,'سجل التحفيز'!$Z$5:$Z$2004,0)))</f>
        <v/>
      </c>
      <c r="N178" s="9">
        <f>IF($K178="","",INDEX('سجل التحفيز'!$M$5:$M$2004,MATCH($K178,'سجل التحفيز'!$Z$5:$Z$2004,0)))</f>
        <v/>
      </c>
      <c r="O178" s="9">
        <f>IF($K178="","",INDEX('سجل التحفيز'!$C$5:$C$2004,MATCH($K178,'سجل التحفيز'!$Z$5:$Z$2004,0)))</f>
        <v/>
      </c>
      <c r="P178" s="36">
        <f>IF($K178="","",INDEX('سجل التحفيز'!$D$5:$D$2004,MATCH($K178,'سجل التحفيز'!$Z$5:$Z$2004,0)))</f>
        <v/>
      </c>
      <c r="Q178" s="9">
        <f>IF($K178="","",INDEX('سجل التحفيز'!$E$5:$E$2004,MATCH($K178,'سجل التحفيز'!$Z$5:$Z$2004,0)))</f>
        <v/>
      </c>
      <c r="R178" s="9">
        <f>IF($K178="","",INDEX('سجل التحفيز'!$F$5:$F$2004,MATCH($K178,'سجل التحفيز'!$Z$5:$Z$2004,0)))</f>
        <v/>
      </c>
      <c r="S178" s="35">
        <f>IF($K178="","",INDEX('سجل التحفيز'!$G$5:$G$2004,MATCH($K178,'سجل التحفيز'!$Z$5:$Z$2004,0)))</f>
        <v/>
      </c>
    </row>
    <row r="179">
      <c r="B179" s="34">
        <f>IFERROR(INDEX(الموظفات!$B$5:$B$304,MATCH(142,الموظفات!$T$5:$T$304,0)),"")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التحفيز'!$Z$5:$Z$2004,"&gt;0",'سجل التحفيز'!$B$5:$B$2004,B179))</f>
        <v/>
      </c>
      <c r="E179" s="35">
        <f>IF(B179="","",COUNTIFS('سجل التحفيز'!$Z$5:$Z$2004,"&gt;0",'سجل التحفيز'!$B$5:$B$2004,B179,'سجل التحفيز'!$D$5:$D$2004,"ذهبي"))</f>
        <v/>
      </c>
      <c r="F179" s="35">
        <f>IF(B179="","",SUMIFS('سجل التحفيز'!$G$5:$G$2004,'سجل التحفيز'!$Z$5:$Z$2004,"&gt;0",'سجل التحفيز'!$B$5:$B$2004,B179))</f>
        <v/>
      </c>
      <c r="G179" s="35">
        <f>IF(B179="","",COUNTIF($D$38:$D$187,"&gt;"&amp;D179)+1)</f>
        <v/>
      </c>
      <c r="H179" s="35">
        <f>IF(B179="","",INDEX(الموظفات!$L$5:$L$304,MATCH(B179,الموظفات!$B$5:$B$304,0)))</f>
        <v/>
      </c>
      <c r="K179" s="36">
        <f>IF(142&gt;$B$10,"",142)</f>
        <v/>
      </c>
      <c r="L179" s="37">
        <f>IF($K179="","",INDEX('سجل التحفيز'!$A$5:$A$2004,MATCH($K179,'سجل التحفيز'!$Z$5:$Z$2004,0)))</f>
        <v/>
      </c>
      <c r="M179" s="9">
        <f>IF($K179="","",INDEX('سجل التحفيز'!$B$5:$B$2004,MATCH($K179,'سجل التحفيز'!$Z$5:$Z$2004,0)))</f>
        <v/>
      </c>
      <c r="N179" s="9">
        <f>IF($K179="","",INDEX('سجل التحفيز'!$M$5:$M$2004,MATCH($K179,'سجل التحفيز'!$Z$5:$Z$2004,0)))</f>
        <v/>
      </c>
      <c r="O179" s="9">
        <f>IF($K179="","",INDEX('سجل التحفيز'!$C$5:$C$2004,MATCH($K179,'سجل التحفيز'!$Z$5:$Z$2004,0)))</f>
        <v/>
      </c>
      <c r="P179" s="36">
        <f>IF($K179="","",INDEX('سجل التحفيز'!$D$5:$D$2004,MATCH($K179,'سجل التحفيز'!$Z$5:$Z$2004,0)))</f>
        <v/>
      </c>
      <c r="Q179" s="9">
        <f>IF($K179="","",INDEX('سجل التحفيز'!$E$5:$E$2004,MATCH($K179,'سجل التحفيز'!$Z$5:$Z$2004,0)))</f>
        <v/>
      </c>
      <c r="R179" s="9">
        <f>IF($K179="","",INDEX('سجل التحفيز'!$F$5:$F$2004,MATCH($K179,'سجل التحفيز'!$Z$5:$Z$2004,0)))</f>
        <v/>
      </c>
      <c r="S179" s="35">
        <f>IF($K179="","",INDEX('سجل التحفيز'!$G$5:$G$2004,MATCH($K179,'سجل التحفيز'!$Z$5:$Z$2004,0)))</f>
        <v/>
      </c>
    </row>
    <row r="180">
      <c r="B180" s="34">
        <f>IFERROR(INDEX(الموظفات!$B$5:$B$304,MATCH(143,الموظفات!$T$5:$T$304,0)),"")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التحفيز'!$Z$5:$Z$2004,"&gt;0",'سجل التحفيز'!$B$5:$B$2004,B180))</f>
        <v/>
      </c>
      <c r="E180" s="35">
        <f>IF(B180="","",COUNTIFS('سجل التحفيز'!$Z$5:$Z$2004,"&gt;0",'سجل التحفيز'!$B$5:$B$2004,B180,'سجل التحفيز'!$D$5:$D$2004,"ذهبي"))</f>
        <v/>
      </c>
      <c r="F180" s="35">
        <f>IF(B180="","",SUMIFS('سجل التحفيز'!$G$5:$G$2004,'سجل التحفيز'!$Z$5:$Z$2004,"&gt;0",'سجل التحفيز'!$B$5:$B$2004,B180))</f>
        <v/>
      </c>
      <c r="G180" s="35">
        <f>IF(B180="","",COUNTIF($D$38:$D$187,"&gt;"&amp;D180)+1)</f>
        <v/>
      </c>
      <c r="H180" s="35">
        <f>IF(B180="","",INDEX(الموظفات!$L$5:$L$304,MATCH(B180,الموظفات!$B$5:$B$304,0)))</f>
        <v/>
      </c>
      <c r="K180" s="36">
        <f>IF(143&gt;$B$10,"",143)</f>
        <v/>
      </c>
      <c r="L180" s="37">
        <f>IF($K180="","",INDEX('سجل التحفيز'!$A$5:$A$2004,MATCH($K180,'سجل التحفيز'!$Z$5:$Z$2004,0)))</f>
        <v/>
      </c>
      <c r="M180" s="9">
        <f>IF($K180="","",INDEX('سجل التحفيز'!$B$5:$B$2004,MATCH($K180,'سجل التحفيز'!$Z$5:$Z$2004,0)))</f>
        <v/>
      </c>
      <c r="N180" s="9">
        <f>IF($K180="","",INDEX('سجل التحفيز'!$M$5:$M$2004,MATCH($K180,'سجل التحفيز'!$Z$5:$Z$2004,0)))</f>
        <v/>
      </c>
      <c r="O180" s="9">
        <f>IF($K180="","",INDEX('سجل التحفيز'!$C$5:$C$2004,MATCH($K180,'سجل التحفيز'!$Z$5:$Z$2004,0)))</f>
        <v/>
      </c>
      <c r="P180" s="36">
        <f>IF($K180="","",INDEX('سجل التحفيز'!$D$5:$D$2004,MATCH($K180,'سجل التحفيز'!$Z$5:$Z$2004,0)))</f>
        <v/>
      </c>
      <c r="Q180" s="9">
        <f>IF($K180="","",INDEX('سجل التحفيز'!$E$5:$E$2004,MATCH($K180,'سجل التحفيز'!$Z$5:$Z$2004,0)))</f>
        <v/>
      </c>
      <c r="R180" s="9">
        <f>IF($K180="","",INDEX('سجل التحفيز'!$F$5:$F$2004,MATCH($K180,'سجل التحفيز'!$Z$5:$Z$2004,0)))</f>
        <v/>
      </c>
      <c r="S180" s="35">
        <f>IF($K180="","",INDEX('سجل التحفيز'!$G$5:$G$2004,MATCH($K180,'سجل التحفيز'!$Z$5:$Z$2004,0)))</f>
        <v/>
      </c>
    </row>
    <row r="181">
      <c r="B181" s="34">
        <f>IFERROR(INDEX(الموظفات!$B$5:$B$304,MATCH(144,الموظفات!$T$5:$T$304,0)),"")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التحفيز'!$Z$5:$Z$2004,"&gt;0",'سجل التحفيز'!$B$5:$B$2004,B181))</f>
        <v/>
      </c>
      <c r="E181" s="35">
        <f>IF(B181="","",COUNTIFS('سجل التحفيز'!$Z$5:$Z$2004,"&gt;0",'سجل التحفيز'!$B$5:$B$2004,B181,'سجل التحفيز'!$D$5:$D$2004,"ذهبي"))</f>
        <v/>
      </c>
      <c r="F181" s="35">
        <f>IF(B181="","",SUMIFS('سجل التحفيز'!$G$5:$G$2004,'سجل التحفيز'!$Z$5:$Z$2004,"&gt;0",'سجل التحفيز'!$B$5:$B$2004,B181))</f>
        <v/>
      </c>
      <c r="G181" s="35">
        <f>IF(B181="","",COUNTIF($D$38:$D$187,"&gt;"&amp;D181)+1)</f>
        <v/>
      </c>
      <c r="H181" s="35">
        <f>IF(B181="","",INDEX(الموظفات!$L$5:$L$304,MATCH(B181,الموظفات!$B$5:$B$304,0)))</f>
        <v/>
      </c>
      <c r="K181" s="36">
        <f>IF(144&gt;$B$10,"",144)</f>
        <v/>
      </c>
      <c r="L181" s="37">
        <f>IF($K181="","",INDEX('سجل التحفيز'!$A$5:$A$2004,MATCH($K181,'سجل التحفيز'!$Z$5:$Z$2004,0)))</f>
        <v/>
      </c>
      <c r="M181" s="9">
        <f>IF($K181="","",INDEX('سجل التحفيز'!$B$5:$B$2004,MATCH($K181,'سجل التحفيز'!$Z$5:$Z$2004,0)))</f>
        <v/>
      </c>
      <c r="N181" s="9">
        <f>IF($K181="","",INDEX('سجل التحفيز'!$M$5:$M$2004,MATCH($K181,'سجل التحفيز'!$Z$5:$Z$2004,0)))</f>
        <v/>
      </c>
      <c r="O181" s="9">
        <f>IF($K181="","",INDEX('سجل التحفيز'!$C$5:$C$2004,MATCH($K181,'سجل التحفيز'!$Z$5:$Z$2004,0)))</f>
        <v/>
      </c>
      <c r="P181" s="36">
        <f>IF($K181="","",INDEX('سجل التحفيز'!$D$5:$D$2004,MATCH($K181,'سجل التحفيز'!$Z$5:$Z$2004,0)))</f>
        <v/>
      </c>
      <c r="Q181" s="9">
        <f>IF($K181="","",INDEX('سجل التحفيز'!$E$5:$E$2004,MATCH($K181,'سجل التحفيز'!$Z$5:$Z$2004,0)))</f>
        <v/>
      </c>
      <c r="R181" s="9">
        <f>IF($K181="","",INDEX('سجل التحفيز'!$F$5:$F$2004,MATCH($K181,'سجل التحفيز'!$Z$5:$Z$2004,0)))</f>
        <v/>
      </c>
      <c r="S181" s="35">
        <f>IF($K181="","",INDEX('سجل التحفيز'!$G$5:$G$2004,MATCH($K181,'سجل التحفيز'!$Z$5:$Z$2004,0)))</f>
        <v/>
      </c>
    </row>
    <row r="182">
      <c r="B182" s="34">
        <f>IFERROR(INDEX(الموظفات!$B$5:$B$304,MATCH(145,الموظفات!$T$5:$T$304,0)),"")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التحفيز'!$Z$5:$Z$2004,"&gt;0",'سجل التحفيز'!$B$5:$B$2004,B182))</f>
        <v/>
      </c>
      <c r="E182" s="35">
        <f>IF(B182="","",COUNTIFS('سجل التحفيز'!$Z$5:$Z$2004,"&gt;0",'سجل التحفيز'!$B$5:$B$2004,B182,'سجل التحفيز'!$D$5:$D$2004,"ذهبي"))</f>
        <v/>
      </c>
      <c r="F182" s="35">
        <f>IF(B182="","",SUMIFS('سجل التحفيز'!$G$5:$G$2004,'سجل التحفيز'!$Z$5:$Z$2004,"&gt;0",'سجل التحفيز'!$B$5:$B$2004,B182))</f>
        <v/>
      </c>
      <c r="G182" s="35">
        <f>IF(B182="","",COUNTIF($D$38:$D$187,"&gt;"&amp;D182)+1)</f>
        <v/>
      </c>
      <c r="H182" s="35">
        <f>IF(B182="","",INDEX(الموظفات!$L$5:$L$304,MATCH(B182,الموظفات!$B$5:$B$304,0)))</f>
        <v/>
      </c>
      <c r="K182" s="36">
        <f>IF(145&gt;$B$10,"",145)</f>
        <v/>
      </c>
      <c r="L182" s="37">
        <f>IF($K182="","",INDEX('سجل التحفيز'!$A$5:$A$2004,MATCH($K182,'سجل التحفيز'!$Z$5:$Z$2004,0)))</f>
        <v/>
      </c>
      <c r="M182" s="9">
        <f>IF($K182="","",INDEX('سجل التحفيز'!$B$5:$B$2004,MATCH($K182,'سجل التحفيز'!$Z$5:$Z$2004,0)))</f>
        <v/>
      </c>
      <c r="N182" s="9">
        <f>IF($K182="","",INDEX('سجل التحفيز'!$M$5:$M$2004,MATCH($K182,'سجل التحفيز'!$Z$5:$Z$2004,0)))</f>
        <v/>
      </c>
      <c r="O182" s="9">
        <f>IF($K182="","",INDEX('سجل التحفيز'!$C$5:$C$2004,MATCH($K182,'سجل التحفيز'!$Z$5:$Z$2004,0)))</f>
        <v/>
      </c>
      <c r="P182" s="36">
        <f>IF($K182="","",INDEX('سجل التحفيز'!$D$5:$D$2004,MATCH($K182,'سجل التحفيز'!$Z$5:$Z$2004,0)))</f>
        <v/>
      </c>
      <c r="Q182" s="9">
        <f>IF($K182="","",INDEX('سجل التحفيز'!$E$5:$E$2004,MATCH($K182,'سجل التحفيز'!$Z$5:$Z$2004,0)))</f>
        <v/>
      </c>
      <c r="R182" s="9">
        <f>IF($K182="","",INDEX('سجل التحفيز'!$F$5:$F$2004,MATCH($K182,'سجل التحفيز'!$Z$5:$Z$2004,0)))</f>
        <v/>
      </c>
      <c r="S182" s="35">
        <f>IF($K182="","",INDEX('سجل التحفيز'!$G$5:$G$2004,MATCH($K182,'سجل التحفيز'!$Z$5:$Z$2004,0)))</f>
        <v/>
      </c>
    </row>
    <row r="183">
      <c r="B183" s="34">
        <f>IFERROR(INDEX(الموظفات!$B$5:$B$304,MATCH(146,الموظفات!$T$5:$T$304,0)),"")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التحفيز'!$Z$5:$Z$2004,"&gt;0",'سجل التحفيز'!$B$5:$B$2004,B183))</f>
        <v/>
      </c>
      <c r="E183" s="35">
        <f>IF(B183="","",COUNTIFS('سجل التحفيز'!$Z$5:$Z$2004,"&gt;0",'سجل التحفيز'!$B$5:$B$2004,B183,'سجل التحفيز'!$D$5:$D$2004,"ذهبي"))</f>
        <v/>
      </c>
      <c r="F183" s="35">
        <f>IF(B183="","",SUMIFS('سجل التحفيز'!$G$5:$G$2004,'سجل التحفيز'!$Z$5:$Z$2004,"&gt;0",'سجل التحفيز'!$B$5:$B$2004,B183))</f>
        <v/>
      </c>
      <c r="G183" s="35">
        <f>IF(B183="","",COUNTIF($D$38:$D$187,"&gt;"&amp;D183)+1)</f>
        <v/>
      </c>
      <c r="H183" s="35">
        <f>IF(B183="","",INDEX(الموظفات!$L$5:$L$304,MATCH(B183,الموظفات!$B$5:$B$304,0)))</f>
        <v/>
      </c>
      <c r="K183" s="36">
        <f>IF(146&gt;$B$10,"",146)</f>
        <v/>
      </c>
      <c r="L183" s="37">
        <f>IF($K183="","",INDEX('سجل التحفيز'!$A$5:$A$2004,MATCH($K183,'سجل التحفيز'!$Z$5:$Z$2004,0)))</f>
        <v/>
      </c>
      <c r="M183" s="9">
        <f>IF($K183="","",INDEX('سجل التحفيز'!$B$5:$B$2004,MATCH($K183,'سجل التحفيز'!$Z$5:$Z$2004,0)))</f>
        <v/>
      </c>
      <c r="N183" s="9">
        <f>IF($K183="","",INDEX('سجل التحفيز'!$M$5:$M$2004,MATCH($K183,'سجل التحفيز'!$Z$5:$Z$2004,0)))</f>
        <v/>
      </c>
      <c r="O183" s="9">
        <f>IF($K183="","",INDEX('سجل التحفيز'!$C$5:$C$2004,MATCH($K183,'سجل التحفيز'!$Z$5:$Z$2004,0)))</f>
        <v/>
      </c>
      <c r="P183" s="36">
        <f>IF($K183="","",INDEX('سجل التحفيز'!$D$5:$D$2004,MATCH($K183,'سجل التحفيز'!$Z$5:$Z$2004,0)))</f>
        <v/>
      </c>
      <c r="Q183" s="9">
        <f>IF($K183="","",INDEX('سجل التحفيز'!$E$5:$E$2004,MATCH($K183,'سجل التحفيز'!$Z$5:$Z$2004,0)))</f>
        <v/>
      </c>
      <c r="R183" s="9">
        <f>IF($K183="","",INDEX('سجل التحفيز'!$F$5:$F$2004,MATCH($K183,'سجل التحفيز'!$Z$5:$Z$2004,0)))</f>
        <v/>
      </c>
      <c r="S183" s="35">
        <f>IF($K183="","",INDEX('سجل التحفيز'!$G$5:$G$2004,MATCH($K183,'سجل التحفيز'!$Z$5:$Z$2004,0)))</f>
        <v/>
      </c>
    </row>
    <row r="184">
      <c r="B184" s="34">
        <f>IFERROR(INDEX(الموظفات!$B$5:$B$304,MATCH(147,الموظفات!$T$5:$T$304,0)),"")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التحفيز'!$Z$5:$Z$2004,"&gt;0",'سجل التحفيز'!$B$5:$B$2004,B184))</f>
        <v/>
      </c>
      <c r="E184" s="35">
        <f>IF(B184="","",COUNTIFS('سجل التحفيز'!$Z$5:$Z$2004,"&gt;0",'سجل التحفيز'!$B$5:$B$2004,B184,'سجل التحفيز'!$D$5:$D$2004,"ذهبي"))</f>
        <v/>
      </c>
      <c r="F184" s="35">
        <f>IF(B184="","",SUMIFS('سجل التحفيز'!$G$5:$G$2004,'سجل التحفيز'!$Z$5:$Z$2004,"&gt;0",'سجل التحفيز'!$B$5:$B$2004,B184))</f>
        <v/>
      </c>
      <c r="G184" s="35">
        <f>IF(B184="","",COUNTIF($D$38:$D$187,"&gt;"&amp;D184)+1)</f>
        <v/>
      </c>
      <c r="H184" s="35">
        <f>IF(B184="","",INDEX(الموظفات!$L$5:$L$304,MATCH(B184,الموظفات!$B$5:$B$304,0)))</f>
        <v/>
      </c>
      <c r="K184" s="36">
        <f>IF(147&gt;$B$10,"",147)</f>
        <v/>
      </c>
      <c r="L184" s="37">
        <f>IF($K184="","",INDEX('سجل التحفيز'!$A$5:$A$2004,MATCH($K184,'سجل التحفيز'!$Z$5:$Z$2004,0)))</f>
        <v/>
      </c>
      <c r="M184" s="9">
        <f>IF($K184="","",INDEX('سجل التحفيز'!$B$5:$B$2004,MATCH($K184,'سجل التحفيز'!$Z$5:$Z$2004,0)))</f>
        <v/>
      </c>
      <c r="N184" s="9">
        <f>IF($K184="","",INDEX('سجل التحفيز'!$M$5:$M$2004,MATCH($K184,'سجل التحفيز'!$Z$5:$Z$2004,0)))</f>
        <v/>
      </c>
      <c r="O184" s="9">
        <f>IF($K184="","",INDEX('سجل التحفيز'!$C$5:$C$2004,MATCH($K184,'سجل التحفيز'!$Z$5:$Z$2004,0)))</f>
        <v/>
      </c>
      <c r="P184" s="36">
        <f>IF($K184="","",INDEX('سجل التحفيز'!$D$5:$D$2004,MATCH($K184,'سجل التحفيز'!$Z$5:$Z$2004,0)))</f>
        <v/>
      </c>
      <c r="Q184" s="9">
        <f>IF($K184="","",INDEX('سجل التحفيز'!$E$5:$E$2004,MATCH($K184,'سجل التحفيز'!$Z$5:$Z$2004,0)))</f>
        <v/>
      </c>
      <c r="R184" s="9">
        <f>IF($K184="","",INDEX('سجل التحفيز'!$F$5:$F$2004,MATCH($K184,'سجل التحفيز'!$Z$5:$Z$2004,0)))</f>
        <v/>
      </c>
      <c r="S184" s="35">
        <f>IF($K184="","",INDEX('سجل التحفيز'!$G$5:$G$2004,MATCH($K184,'سجل التحفيز'!$Z$5:$Z$2004,0)))</f>
        <v/>
      </c>
    </row>
    <row r="185">
      <c r="B185" s="34">
        <f>IFERROR(INDEX(الموظفات!$B$5:$B$304,MATCH(148,الموظفات!$T$5:$T$304,0)),"")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التحفيز'!$Z$5:$Z$2004,"&gt;0",'سجل التحفيز'!$B$5:$B$2004,B185))</f>
        <v/>
      </c>
      <c r="E185" s="35">
        <f>IF(B185="","",COUNTIFS('سجل التحفيز'!$Z$5:$Z$2004,"&gt;0",'سجل التحفيز'!$B$5:$B$2004,B185,'سجل التحفيز'!$D$5:$D$2004,"ذهبي"))</f>
        <v/>
      </c>
      <c r="F185" s="35">
        <f>IF(B185="","",SUMIFS('سجل التحفيز'!$G$5:$G$2004,'سجل التحفيز'!$Z$5:$Z$2004,"&gt;0",'سجل التحفيز'!$B$5:$B$2004,B185))</f>
        <v/>
      </c>
      <c r="G185" s="35">
        <f>IF(B185="","",COUNTIF($D$38:$D$187,"&gt;"&amp;D185)+1)</f>
        <v/>
      </c>
      <c r="H185" s="35">
        <f>IF(B185="","",INDEX(الموظفات!$L$5:$L$304,MATCH(B185,الموظفات!$B$5:$B$304,0)))</f>
        <v/>
      </c>
      <c r="K185" s="36">
        <f>IF(148&gt;$B$10,"",148)</f>
        <v/>
      </c>
      <c r="L185" s="37">
        <f>IF($K185="","",INDEX('سجل التحفيز'!$A$5:$A$2004,MATCH($K185,'سجل التحفيز'!$Z$5:$Z$2004,0)))</f>
        <v/>
      </c>
      <c r="M185" s="9">
        <f>IF($K185="","",INDEX('سجل التحفيز'!$B$5:$B$2004,MATCH($K185,'سجل التحفيز'!$Z$5:$Z$2004,0)))</f>
        <v/>
      </c>
      <c r="N185" s="9">
        <f>IF($K185="","",INDEX('سجل التحفيز'!$M$5:$M$2004,MATCH($K185,'سجل التحفيز'!$Z$5:$Z$2004,0)))</f>
        <v/>
      </c>
      <c r="O185" s="9">
        <f>IF($K185="","",INDEX('سجل التحفيز'!$C$5:$C$2004,MATCH($K185,'سجل التحفيز'!$Z$5:$Z$2004,0)))</f>
        <v/>
      </c>
      <c r="P185" s="36">
        <f>IF($K185="","",INDEX('سجل التحفيز'!$D$5:$D$2004,MATCH($K185,'سجل التحفيز'!$Z$5:$Z$2004,0)))</f>
        <v/>
      </c>
      <c r="Q185" s="9">
        <f>IF($K185="","",INDEX('سجل التحفيز'!$E$5:$E$2004,MATCH($K185,'سجل التحفيز'!$Z$5:$Z$2004,0)))</f>
        <v/>
      </c>
      <c r="R185" s="9">
        <f>IF($K185="","",INDEX('سجل التحفيز'!$F$5:$F$2004,MATCH($K185,'سجل التحفيز'!$Z$5:$Z$2004,0)))</f>
        <v/>
      </c>
      <c r="S185" s="35">
        <f>IF($K185="","",INDEX('سجل التحفيز'!$G$5:$G$2004,MATCH($K185,'سجل التحفيز'!$Z$5:$Z$2004,0)))</f>
        <v/>
      </c>
    </row>
    <row r="186">
      <c r="B186" s="34">
        <f>IFERROR(INDEX(الموظفات!$B$5:$B$304,MATCH(149,الموظفات!$T$5:$T$304,0)),"")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التحفيز'!$Z$5:$Z$2004,"&gt;0",'سجل التحفيز'!$B$5:$B$2004,B186))</f>
        <v/>
      </c>
      <c r="E186" s="35">
        <f>IF(B186="","",COUNTIFS('سجل التحفيز'!$Z$5:$Z$2004,"&gt;0",'سجل التحفيز'!$B$5:$B$2004,B186,'سجل التحفيز'!$D$5:$D$2004,"ذهبي"))</f>
        <v/>
      </c>
      <c r="F186" s="35">
        <f>IF(B186="","",SUMIFS('سجل التحفيز'!$G$5:$G$2004,'سجل التحفيز'!$Z$5:$Z$2004,"&gt;0",'سجل التحفيز'!$B$5:$B$2004,B186))</f>
        <v/>
      </c>
      <c r="G186" s="35">
        <f>IF(B186="","",COUNTIF($D$38:$D$187,"&gt;"&amp;D186)+1)</f>
        <v/>
      </c>
      <c r="H186" s="35">
        <f>IF(B186="","",INDEX(الموظفات!$L$5:$L$304,MATCH(B186,الموظفات!$B$5:$B$304,0)))</f>
        <v/>
      </c>
      <c r="K186" s="36">
        <f>IF(149&gt;$B$10,"",149)</f>
        <v/>
      </c>
      <c r="L186" s="37">
        <f>IF($K186="","",INDEX('سجل التحفيز'!$A$5:$A$2004,MATCH($K186,'سجل التحفيز'!$Z$5:$Z$2004,0)))</f>
        <v/>
      </c>
      <c r="M186" s="9">
        <f>IF($K186="","",INDEX('سجل التحفيز'!$B$5:$B$2004,MATCH($K186,'سجل التحفيز'!$Z$5:$Z$2004,0)))</f>
        <v/>
      </c>
      <c r="N186" s="9">
        <f>IF($K186="","",INDEX('سجل التحفيز'!$M$5:$M$2004,MATCH($K186,'سجل التحفيز'!$Z$5:$Z$2004,0)))</f>
        <v/>
      </c>
      <c r="O186" s="9">
        <f>IF($K186="","",INDEX('سجل التحفيز'!$C$5:$C$2004,MATCH($K186,'سجل التحفيز'!$Z$5:$Z$2004,0)))</f>
        <v/>
      </c>
      <c r="P186" s="36">
        <f>IF($K186="","",INDEX('سجل التحفيز'!$D$5:$D$2004,MATCH($K186,'سجل التحفيز'!$Z$5:$Z$2004,0)))</f>
        <v/>
      </c>
      <c r="Q186" s="9">
        <f>IF($K186="","",INDEX('سجل التحفيز'!$E$5:$E$2004,MATCH($K186,'سجل التحفيز'!$Z$5:$Z$2004,0)))</f>
        <v/>
      </c>
      <c r="R186" s="9">
        <f>IF($K186="","",INDEX('سجل التحفيز'!$F$5:$F$2004,MATCH($K186,'سجل التحفيز'!$Z$5:$Z$2004,0)))</f>
        <v/>
      </c>
      <c r="S186" s="35">
        <f>IF($K186="","",INDEX('سجل التحفيز'!$G$5:$G$2004,MATCH($K186,'سجل التحفيز'!$Z$5:$Z$2004,0)))</f>
        <v/>
      </c>
    </row>
    <row r="187">
      <c r="B187" s="34">
        <f>IFERROR(INDEX(الموظفات!$B$5:$B$304,MATCH(150,الموظفات!$T$5:$T$304,0)),"")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التحفيز'!$Z$5:$Z$2004,"&gt;0",'سجل التحفيز'!$B$5:$B$2004,B187))</f>
        <v/>
      </c>
      <c r="E187" s="35">
        <f>IF(B187="","",COUNTIFS('سجل التحفيز'!$Z$5:$Z$2004,"&gt;0",'سجل التحفيز'!$B$5:$B$2004,B187,'سجل التحفيز'!$D$5:$D$2004,"ذهبي"))</f>
        <v/>
      </c>
      <c r="F187" s="35">
        <f>IF(B187="","",SUMIFS('سجل التحفيز'!$G$5:$G$2004,'سجل التحفيز'!$Z$5:$Z$2004,"&gt;0",'سجل التحفيز'!$B$5:$B$2004,B187))</f>
        <v/>
      </c>
      <c r="G187" s="35">
        <f>IF(B187="","",COUNTIF($D$38:$D$187,"&gt;"&amp;D187)+1)</f>
        <v/>
      </c>
      <c r="H187" s="35">
        <f>IF(B187="","",INDEX(الموظفات!$L$5:$L$304,MATCH(B187,الموظفات!$B$5:$B$304,0)))</f>
        <v/>
      </c>
      <c r="K187" s="36">
        <f>IF(150&gt;$B$10,"",150)</f>
        <v/>
      </c>
      <c r="L187" s="37">
        <f>IF($K187="","",INDEX('سجل التحفيز'!$A$5:$A$2004,MATCH($K187,'سجل التحفيز'!$Z$5:$Z$2004,0)))</f>
        <v/>
      </c>
      <c r="M187" s="9">
        <f>IF($K187="","",INDEX('سجل التحفيز'!$B$5:$B$2004,MATCH($K187,'سجل التحفيز'!$Z$5:$Z$2004,0)))</f>
        <v/>
      </c>
      <c r="N187" s="9">
        <f>IF($K187="","",INDEX('سجل التحفيز'!$M$5:$M$2004,MATCH($K187,'سجل التحفيز'!$Z$5:$Z$2004,0)))</f>
        <v/>
      </c>
      <c r="O187" s="9">
        <f>IF($K187="","",INDEX('سجل التحفيز'!$C$5:$C$2004,MATCH($K187,'سجل التحفيز'!$Z$5:$Z$2004,0)))</f>
        <v/>
      </c>
      <c r="P187" s="36">
        <f>IF($K187="","",INDEX('سجل التحفيز'!$D$5:$D$2004,MATCH($K187,'سجل التحفيز'!$Z$5:$Z$2004,0)))</f>
        <v/>
      </c>
      <c r="Q187" s="9">
        <f>IF($K187="","",INDEX('سجل التحفيز'!$E$5:$E$2004,MATCH($K187,'سجل التحفيز'!$Z$5:$Z$2004,0)))</f>
        <v/>
      </c>
      <c r="R187" s="9">
        <f>IF($K187="","",INDEX('سجل التحفيز'!$F$5:$F$2004,MATCH($K187,'سجل التحفيز'!$Z$5:$Z$2004,0)))</f>
        <v/>
      </c>
      <c r="S187" s="35">
        <f>IF($K187="","",INDEX('سجل التحفيز'!$G$5:$G$2004,MATCH($K187,'سجل التحفيز'!$Z$5:$Z$2004,0)))</f>
        <v/>
      </c>
    </row>
    <row r="188">
      <c r="K188" s="36">
        <f>IF(151&gt;$B$10,"",151)</f>
        <v/>
      </c>
      <c r="L188" s="37">
        <f>IF($K188="","",INDEX('سجل التحفيز'!$A$5:$A$2004,MATCH($K188,'سجل التحفيز'!$Z$5:$Z$2004,0)))</f>
        <v/>
      </c>
      <c r="M188" s="9">
        <f>IF($K188="","",INDEX('سجل التحفيز'!$B$5:$B$2004,MATCH($K188,'سجل التحفيز'!$Z$5:$Z$2004,0)))</f>
        <v/>
      </c>
      <c r="N188" s="9">
        <f>IF($K188="","",INDEX('سجل التحفيز'!$M$5:$M$2004,MATCH($K188,'سجل التحفيز'!$Z$5:$Z$2004,0)))</f>
        <v/>
      </c>
      <c r="O188" s="9">
        <f>IF($K188="","",INDEX('سجل التحفيز'!$C$5:$C$2004,MATCH($K188,'سجل التحفيز'!$Z$5:$Z$2004,0)))</f>
        <v/>
      </c>
      <c r="P188" s="36">
        <f>IF($K188="","",INDEX('سجل التحفيز'!$D$5:$D$2004,MATCH($K188,'سجل التحفيز'!$Z$5:$Z$2004,0)))</f>
        <v/>
      </c>
      <c r="Q188" s="9">
        <f>IF($K188="","",INDEX('سجل التحفيز'!$E$5:$E$2004,MATCH($K188,'سجل التحفيز'!$Z$5:$Z$2004,0)))</f>
        <v/>
      </c>
      <c r="R188" s="9">
        <f>IF($K188="","",INDEX('سجل التحفيز'!$F$5:$F$2004,MATCH($K188,'سجل التحفيز'!$Z$5:$Z$2004,0)))</f>
        <v/>
      </c>
      <c r="S188" s="35">
        <f>IF($K188="","",INDEX('سجل التحفيز'!$G$5:$G$2004,MATCH($K188,'سجل التحفيز'!$Z$5:$Z$2004,0)))</f>
        <v/>
      </c>
    </row>
    <row r="189">
      <c r="K189" s="36">
        <f>IF(152&gt;$B$10,"",152)</f>
        <v/>
      </c>
      <c r="L189" s="37">
        <f>IF($K189="","",INDEX('سجل التحفيز'!$A$5:$A$2004,MATCH($K189,'سجل التحفيز'!$Z$5:$Z$2004,0)))</f>
        <v/>
      </c>
      <c r="M189" s="9">
        <f>IF($K189="","",INDEX('سجل التحفيز'!$B$5:$B$2004,MATCH($K189,'سجل التحفيز'!$Z$5:$Z$2004,0)))</f>
        <v/>
      </c>
      <c r="N189" s="9">
        <f>IF($K189="","",INDEX('سجل التحفيز'!$M$5:$M$2004,MATCH($K189,'سجل التحفيز'!$Z$5:$Z$2004,0)))</f>
        <v/>
      </c>
      <c r="O189" s="9">
        <f>IF($K189="","",INDEX('سجل التحفيز'!$C$5:$C$2004,MATCH($K189,'سجل التحفيز'!$Z$5:$Z$2004,0)))</f>
        <v/>
      </c>
      <c r="P189" s="36">
        <f>IF($K189="","",INDEX('سجل التحفيز'!$D$5:$D$2004,MATCH($K189,'سجل التحفيز'!$Z$5:$Z$2004,0)))</f>
        <v/>
      </c>
      <c r="Q189" s="9">
        <f>IF($K189="","",INDEX('سجل التحفيز'!$E$5:$E$2004,MATCH($K189,'سجل التحفيز'!$Z$5:$Z$2004,0)))</f>
        <v/>
      </c>
      <c r="R189" s="9">
        <f>IF($K189="","",INDEX('سجل التحفيز'!$F$5:$F$2004,MATCH($K189,'سجل التحفيز'!$Z$5:$Z$2004,0)))</f>
        <v/>
      </c>
      <c r="S189" s="35">
        <f>IF($K189="","",INDEX('سجل التحفيز'!$G$5:$G$2004,MATCH($K189,'سجل التحفيز'!$Z$5:$Z$2004,0)))</f>
        <v/>
      </c>
    </row>
    <row r="190">
      <c r="K190" s="36">
        <f>IF(153&gt;$B$10,"",153)</f>
        <v/>
      </c>
      <c r="L190" s="37">
        <f>IF($K190="","",INDEX('سجل التحفيز'!$A$5:$A$2004,MATCH($K190,'سجل التحفيز'!$Z$5:$Z$2004,0)))</f>
        <v/>
      </c>
      <c r="M190" s="9">
        <f>IF($K190="","",INDEX('سجل التحفيز'!$B$5:$B$2004,MATCH($K190,'سجل التحفيز'!$Z$5:$Z$2004,0)))</f>
        <v/>
      </c>
      <c r="N190" s="9">
        <f>IF($K190="","",INDEX('سجل التحفيز'!$M$5:$M$2004,MATCH($K190,'سجل التحفيز'!$Z$5:$Z$2004,0)))</f>
        <v/>
      </c>
      <c r="O190" s="9">
        <f>IF($K190="","",INDEX('سجل التحفيز'!$C$5:$C$2004,MATCH($K190,'سجل التحفيز'!$Z$5:$Z$2004,0)))</f>
        <v/>
      </c>
      <c r="P190" s="36">
        <f>IF($K190="","",INDEX('سجل التحفيز'!$D$5:$D$2004,MATCH($K190,'سجل التحفيز'!$Z$5:$Z$2004,0)))</f>
        <v/>
      </c>
      <c r="Q190" s="9">
        <f>IF($K190="","",INDEX('سجل التحفيز'!$E$5:$E$2004,MATCH($K190,'سجل التحفيز'!$Z$5:$Z$2004,0)))</f>
        <v/>
      </c>
      <c r="R190" s="9">
        <f>IF($K190="","",INDEX('سجل التحفيز'!$F$5:$F$2004,MATCH($K190,'سجل التحفيز'!$Z$5:$Z$2004,0)))</f>
        <v/>
      </c>
      <c r="S190" s="35">
        <f>IF($K190="","",INDEX('سجل التحفيز'!$G$5:$G$2004,MATCH($K190,'سجل التحفيز'!$Z$5:$Z$2004,0)))</f>
        <v/>
      </c>
    </row>
    <row r="191">
      <c r="K191" s="36">
        <f>IF(154&gt;$B$10,"",154)</f>
        <v/>
      </c>
      <c r="L191" s="37">
        <f>IF($K191="","",INDEX('سجل التحفيز'!$A$5:$A$2004,MATCH($K191,'سجل التحفيز'!$Z$5:$Z$2004,0)))</f>
        <v/>
      </c>
      <c r="M191" s="9">
        <f>IF($K191="","",INDEX('سجل التحفيز'!$B$5:$B$2004,MATCH($K191,'سجل التحفيز'!$Z$5:$Z$2004,0)))</f>
        <v/>
      </c>
      <c r="N191" s="9">
        <f>IF($K191="","",INDEX('سجل التحفيز'!$M$5:$M$2004,MATCH($K191,'سجل التحفيز'!$Z$5:$Z$2004,0)))</f>
        <v/>
      </c>
      <c r="O191" s="9">
        <f>IF($K191="","",INDEX('سجل التحفيز'!$C$5:$C$2004,MATCH($K191,'سجل التحفيز'!$Z$5:$Z$2004,0)))</f>
        <v/>
      </c>
      <c r="P191" s="36">
        <f>IF($K191="","",INDEX('سجل التحفيز'!$D$5:$D$2004,MATCH($K191,'سجل التحفيز'!$Z$5:$Z$2004,0)))</f>
        <v/>
      </c>
      <c r="Q191" s="9">
        <f>IF($K191="","",INDEX('سجل التحفيز'!$E$5:$E$2004,MATCH($K191,'سجل التحفيز'!$Z$5:$Z$2004,0)))</f>
        <v/>
      </c>
      <c r="R191" s="9">
        <f>IF($K191="","",INDEX('سجل التحفيز'!$F$5:$F$2004,MATCH($K191,'سجل التحفيز'!$Z$5:$Z$2004,0)))</f>
        <v/>
      </c>
      <c r="S191" s="35">
        <f>IF($K191="","",INDEX('سجل التحفيز'!$G$5:$G$2004,MATCH($K191,'سجل التحفيز'!$Z$5:$Z$2004,0)))</f>
        <v/>
      </c>
    </row>
    <row r="192">
      <c r="K192" s="36">
        <f>IF(155&gt;$B$10,"",155)</f>
        <v/>
      </c>
      <c r="L192" s="37">
        <f>IF($K192="","",INDEX('سجل التحفيز'!$A$5:$A$2004,MATCH($K192,'سجل التحفيز'!$Z$5:$Z$2004,0)))</f>
        <v/>
      </c>
      <c r="M192" s="9">
        <f>IF($K192="","",INDEX('سجل التحفيز'!$B$5:$B$2004,MATCH($K192,'سجل التحفيز'!$Z$5:$Z$2004,0)))</f>
        <v/>
      </c>
      <c r="N192" s="9">
        <f>IF($K192="","",INDEX('سجل التحفيز'!$M$5:$M$2004,MATCH($K192,'سجل التحفيز'!$Z$5:$Z$2004,0)))</f>
        <v/>
      </c>
      <c r="O192" s="9">
        <f>IF($K192="","",INDEX('سجل التحفيز'!$C$5:$C$2004,MATCH($K192,'سجل التحفيز'!$Z$5:$Z$2004,0)))</f>
        <v/>
      </c>
      <c r="P192" s="36">
        <f>IF($K192="","",INDEX('سجل التحفيز'!$D$5:$D$2004,MATCH($K192,'سجل التحفيز'!$Z$5:$Z$2004,0)))</f>
        <v/>
      </c>
      <c r="Q192" s="9">
        <f>IF($K192="","",INDEX('سجل التحفيز'!$E$5:$E$2004,MATCH($K192,'سجل التحفيز'!$Z$5:$Z$2004,0)))</f>
        <v/>
      </c>
      <c r="R192" s="9">
        <f>IF($K192="","",INDEX('سجل التحفيز'!$F$5:$F$2004,MATCH($K192,'سجل التحفيز'!$Z$5:$Z$2004,0)))</f>
        <v/>
      </c>
      <c r="S192" s="35">
        <f>IF($K192="","",INDEX('سجل التحفيز'!$G$5:$G$2004,MATCH($K192,'سجل التحفيز'!$Z$5:$Z$2004,0)))</f>
        <v/>
      </c>
    </row>
    <row r="193">
      <c r="K193" s="36">
        <f>IF(156&gt;$B$10,"",156)</f>
        <v/>
      </c>
      <c r="L193" s="37">
        <f>IF($K193="","",INDEX('سجل التحفيز'!$A$5:$A$2004,MATCH($K193,'سجل التحفيز'!$Z$5:$Z$2004,0)))</f>
        <v/>
      </c>
      <c r="M193" s="9">
        <f>IF($K193="","",INDEX('سجل التحفيز'!$B$5:$B$2004,MATCH($K193,'سجل التحفيز'!$Z$5:$Z$2004,0)))</f>
        <v/>
      </c>
      <c r="N193" s="9">
        <f>IF($K193="","",INDEX('سجل التحفيز'!$M$5:$M$2004,MATCH($K193,'سجل التحفيز'!$Z$5:$Z$2004,0)))</f>
        <v/>
      </c>
      <c r="O193" s="9">
        <f>IF($K193="","",INDEX('سجل التحفيز'!$C$5:$C$2004,MATCH($K193,'سجل التحفيز'!$Z$5:$Z$2004,0)))</f>
        <v/>
      </c>
      <c r="P193" s="36">
        <f>IF($K193="","",INDEX('سجل التحفيز'!$D$5:$D$2004,MATCH($K193,'سجل التحفيز'!$Z$5:$Z$2004,0)))</f>
        <v/>
      </c>
      <c r="Q193" s="9">
        <f>IF($K193="","",INDEX('سجل التحفيز'!$E$5:$E$2004,MATCH($K193,'سجل التحفيز'!$Z$5:$Z$2004,0)))</f>
        <v/>
      </c>
      <c r="R193" s="9">
        <f>IF($K193="","",INDEX('سجل التحفيز'!$F$5:$F$2004,MATCH($K193,'سجل التحفيز'!$Z$5:$Z$2004,0)))</f>
        <v/>
      </c>
      <c r="S193" s="35">
        <f>IF($K193="","",INDEX('سجل التحفيز'!$G$5:$G$2004,MATCH($K193,'سجل التحفيز'!$Z$5:$Z$2004,0)))</f>
        <v/>
      </c>
    </row>
    <row r="194">
      <c r="K194" s="36">
        <f>IF(157&gt;$B$10,"",157)</f>
        <v/>
      </c>
      <c r="L194" s="37">
        <f>IF($K194="","",INDEX('سجل التحفيز'!$A$5:$A$2004,MATCH($K194,'سجل التحفيز'!$Z$5:$Z$2004,0)))</f>
        <v/>
      </c>
      <c r="M194" s="9">
        <f>IF($K194="","",INDEX('سجل التحفيز'!$B$5:$B$2004,MATCH($K194,'سجل التحفيز'!$Z$5:$Z$2004,0)))</f>
        <v/>
      </c>
      <c r="N194" s="9">
        <f>IF($K194="","",INDEX('سجل التحفيز'!$M$5:$M$2004,MATCH($K194,'سجل التحفيز'!$Z$5:$Z$2004,0)))</f>
        <v/>
      </c>
      <c r="O194" s="9">
        <f>IF($K194="","",INDEX('سجل التحفيز'!$C$5:$C$2004,MATCH($K194,'سجل التحفيز'!$Z$5:$Z$2004,0)))</f>
        <v/>
      </c>
      <c r="P194" s="36">
        <f>IF($K194="","",INDEX('سجل التحفيز'!$D$5:$D$2004,MATCH($K194,'سجل التحفيز'!$Z$5:$Z$2004,0)))</f>
        <v/>
      </c>
      <c r="Q194" s="9">
        <f>IF($K194="","",INDEX('سجل التحفيز'!$E$5:$E$2004,MATCH($K194,'سجل التحفيز'!$Z$5:$Z$2004,0)))</f>
        <v/>
      </c>
      <c r="R194" s="9">
        <f>IF($K194="","",INDEX('سجل التحفيز'!$F$5:$F$2004,MATCH($K194,'سجل التحفيز'!$Z$5:$Z$2004,0)))</f>
        <v/>
      </c>
      <c r="S194" s="35">
        <f>IF($K194="","",INDEX('سجل التحفيز'!$G$5:$G$2004,MATCH($K194,'سجل التحفيز'!$Z$5:$Z$2004,0)))</f>
        <v/>
      </c>
    </row>
    <row r="195">
      <c r="K195" s="36">
        <f>IF(158&gt;$B$10,"",158)</f>
        <v/>
      </c>
      <c r="L195" s="37">
        <f>IF($K195="","",INDEX('سجل التحفيز'!$A$5:$A$2004,MATCH($K195,'سجل التحفيز'!$Z$5:$Z$2004,0)))</f>
        <v/>
      </c>
      <c r="M195" s="9">
        <f>IF($K195="","",INDEX('سجل التحفيز'!$B$5:$B$2004,MATCH($K195,'سجل التحفيز'!$Z$5:$Z$2004,0)))</f>
        <v/>
      </c>
      <c r="N195" s="9">
        <f>IF($K195="","",INDEX('سجل التحفيز'!$M$5:$M$2004,MATCH($K195,'سجل التحفيز'!$Z$5:$Z$2004,0)))</f>
        <v/>
      </c>
      <c r="O195" s="9">
        <f>IF($K195="","",INDEX('سجل التحفيز'!$C$5:$C$2004,MATCH($K195,'سجل التحفيز'!$Z$5:$Z$2004,0)))</f>
        <v/>
      </c>
      <c r="P195" s="36">
        <f>IF($K195="","",INDEX('سجل التحفيز'!$D$5:$D$2004,MATCH($K195,'سجل التحفيز'!$Z$5:$Z$2004,0)))</f>
        <v/>
      </c>
      <c r="Q195" s="9">
        <f>IF($K195="","",INDEX('سجل التحفيز'!$E$5:$E$2004,MATCH($K195,'سجل التحفيز'!$Z$5:$Z$2004,0)))</f>
        <v/>
      </c>
      <c r="R195" s="9">
        <f>IF($K195="","",INDEX('سجل التحفيز'!$F$5:$F$2004,MATCH($K195,'سجل التحفيز'!$Z$5:$Z$2004,0)))</f>
        <v/>
      </c>
      <c r="S195" s="35">
        <f>IF($K195="","",INDEX('سجل التحفيز'!$G$5:$G$2004,MATCH($K195,'سجل التحفيز'!$Z$5:$Z$2004,0)))</f>
        <v/>
      </c>
    </row>
    <row r="196">
      <c r="K196" s="36">
        <f>IF(159&gt;$B$10,"",159)</f>
        <v/>
      </c>
      <c r="L196" s="37">
        <f>IF($K196="","",INDEX('سجل التحفيز'!$A$5:$A$2004,MATCH($K196,'سجل التحفيز'!$Z$5:$Z$2004,0)))</f>
        <v/>
      </c>
      <c r="M196" s="9">
        <f>IF($K196="","",INDEX('سجل التحفيز'!$B$5:$B$2004,MATCH($K196,'سجل التحفيز'!$Z$5:$Z$2004,0)))</f>
        <v/>
      </c>
      <c r="N196" s="9">
        <f>IF($K196="","",INDEX('سجل التحفيز'!$M$5:$M$2004,MATCH($K196,'سجل التحفيز'!$Z$5:$Z$2004,0)))</f>
        <v/>
      </c>
      <c r="O196" s="9">
        <f>IF($K196="","",INDEX('سجل التحفيز'!$C$5:$C$2004,MATCH($K196,'سجل التحفيز'!$Z$5:$Z$2004,0)))</f>
        <v/>
      </c>
      <c r="P196" s="36">
        <f>IF($K196="","",INDEX('سجل التحفيز'!$D$5:$D$2004,MATCH($K196,'سجل التحفيز'!$Z$5:$Z$2004,0)))</f>
        <v/>
      </c>
      <c r="Q196" s="9">
        <f>IF($K196="","",INDEX('سجل التحفيز'!$E$5:$E$2004,MATCH($K196,'سجل التحفيز'!$Z$5:$Z$2004,0)))</f>
        <v/>
      </c>
      <c r="R196" s="9">
        <f>IF($K196="","",INDEX('سجل التحفيز'!$F$5:$F$2004,MATCH($K196,'سجل التحفيز'!$Z$5:$Z$2004,0)))</f>
        <v/>
      </c>
      <c r="S196" s="35">
        <f>IF($K196="","",INDEX('سجل التحفيز'!$G$5:$G$2004,MATCH($K196,'سجل التحفيز'!$Z$5:$Z$2004,0)))</f>
        <v/>
      </c>
    </row>
    <row r="197">
      <c r="K197" s="36">
        <f>IF(160&gt;$B$10,"",160)</f>
        <v/>
      </c>
      <c r="L197" s="37">
        <f>IF($K197="","",INDEX('سجل التحفيز'!$A$5:$A$2004,MATCH($K197,'سجل التحفيز'!$Z$5:$Z$2004,0)))</f>
        <v/>
      </c>
      <c r="M197" s="9">
        <f>IF($K197="","",INDEX('سجل التحفيز'!$B$5:$B$2004,MATCH($K197,'سجل التحفيز'!$Z$5:$Z$2004,0)))</f>
        <v/>
      </c>
      <c r="N197" s="9">
        <f>IF($K197="","",INDEX('سجل التحفيز'!$M$5:$M$2004,MATCH($K197,'سجل التحفيز'!$Z$5:$Z$2004,0)))</f>
        <v/>
      </c>
      <c r="O197" s="9">
        <f>IF($K197="","",INDEX('سجل التحفيز'!$C$5:$C$2004,MATCH($K197,'سجل التحفيز'!$Z$5:$Z$2004,0)))</f>
        <v/>
      </c>
      <c r="P197" s="36">
        <f>IF($K197="","",INDEX('سجل التحفيز'!$D$5:$D$2004,MATCH($K197,'سجل التحفيز'!$Z$5:$Z$2004,0)))</f>
        <v/>
      </c>
      <c r="Q197" s="9">
        <f>IF($K197="","",INDEX('سجل التحفيز'!$E$5:$E$2004,MATCH($K197,'سجل التحفيز'!$Z$5:$Z$2004,0)))</f>
        <v/>
      </c>
      <c r="R197" s="9">
        <f>IF($K197="","",INDEX('سجل التحفيز'!$F$5:$F$2004,MATCH($K197,'سجل التحفيز'!$Z$5:$Z$2004,0)))</f>
        <v/>
      </c>
      <c r="S197" s="35">
        <f>IF($K197="","",INDEX('سجل التحفيز'!$G$5:$G$2004,MATCH($K197,'سجل التحفيز'!$Z$5:$Z$2004,0)))</f>
        <v/>
      </c>
    </row>
    <row r="198">
      <c r="K198" s="36">
        <f>IF(161&gt;$B$10,"",161)</f>
        <v/>
      </c>
      <c r="L198" s="37">
        <f>IF($K198="","",INDEX('سجل التحفيز'!$A$5:$A$2004,MATCH($K198,'سجل التحفيز'!$Z$5:$Z$2004,0)))</f>
        <v/>
      </c>
      <c r="M198" s="9">
        <f>IF($K198="","",INDEX('سجل التحفيز'!$B$5:$B$2004,MATCH($K198,'سجل التحفيز'!$Z$5:$Z$2004,0)))</f>
        <v/>
      </c>
      <c r="N198" s="9">
        <f>IF($K198="","",INDEX('سجل التحفيز'!$M$5:$M$2004,MATCH($K198,'سجل التحفيز'!$Z$5:$Z$2004,0)))</f>
        <v/>
      </c>
      <c r="O198" s="9">
        <f>IF($K198="","",INDEX('سجل التحفيز'!$C$5:$C$2004,MATCH($K198,'سجل التحفيز'!$Z$5:$Z$2004,0)))</f>
        <v/>
      </c>
      <c r="P198" s="36">
        <f>IF($K198="","",INDEX('سجل التحفيز'!$D$5:$D$2004,MATCH($K198,'سجل التحفيز'!$Z$5:$Z$2004,0)))</f>
        <v/>
      </c>
      <c r="Q198" s="9">
        <f>IF($K198="","",INDEX('سجل التحفيز'!$E$5:$E$2004,MATCH($K198,'سجل التحفيز'!$Z$5:$Z$2004,0)))</f>
        <v/>
      </c>
      <c r="R198" s="9">
        <f>IF($K198="","",INDEX('سجل التحفيز'!$F$5:$F$2004,MATCH($K198,'سجل التحفيز'!$Z$5:$Z$2004,0)))</f>
        <v/>
      </c>
      <c r="S198" s="35">
        <f>IF($K198="","",INDEX('سجل التحفيز'!$G$5:$G$2004,MATCH($K198,'سجل التحفيز'!$Z$5:$Z$2004,0)))</f>
        <v/>
      </c>
    </row>
    <row r="199">
      <c r="K199" s="36">
        <f>IF(162&gt;$B$10,"",162)</f>
        <v/>
      </c>
      <c r="L199" s="37">
        <f>IF($K199="","",INDEX('سجل التحفيز'!$A$5:$A$2004,MATCH($K199,'سجل التحفيز'!$Z$5:$Z$2004,0)))</f>
        <v/>
      </c>
      <c r="M199" s="9">
        <f>IF($K199="","",INDEX('سجل التحفيز'!$B$5:$B$2004,MATCH($K199,'سجل التحفيز'!$Z$5:$Z$2004,0)))</f>
        <v/>
      </c>
      <c r="N199" s="9">
        <f>IF($K199="","",INDEX('سجل التحفيز'!$M$5:$M$2004,MATCH($K199,'سجل التحفيز'!$Z$5:$Z$2004,0)))</f>
        <v/>
      </c>
      <c r="O199" s="9">
        <f>IF($K199="","",INDEX('سجل التحفيز'!$C$5:$C$2004,MATCH($K199,'سجل التحفيز'!$Z$5:$Z$2004,0)))</f>
        <v/>
      </c>
      <c r="P199" s="36">
        <f>IF($K199="","",INDEX('سجل التحفيز'!$D$5:$D$2004,MATCH($K199,'سجل التحفيز'!$Z$5:$Z$2004,0)))</f>
        <v/>
      </c>
      <c r="Q199" s="9">
        <f>IF($K199="","",INDEX('سجل التحفيز'!$E$5:$E$2004,MATCH($K199,'سجل التحفيز'!$Z$5:$Z$2004,0)))</f>
        <v/>
      </c>
      <c r="R199" s="9">
        <f>IF($K199="","",INDEX('سجل التحفيز'!$F$5:$F$2004,MATCH($K199,'سجل التحفيز'!$Z$5:$Z$2004,0)))</f>
        <v/>
      </c>
      <c r="S199" s="35">
        <f>IF($K199="","",INDEX('سجل التحفيز'!$G$5:$G$2004,MATCH($K199,'سجل التحفيز'!$Z$5:$Z$2004,0)))</f>
        <v/>
      </c>
    </row>
    <row r="200">
      <c r="K200" s="36">
        <f>IF(163&gt;$B$10,"",163)</f>
        <v/>
      </c>
      <c r="L200" s="37">
        <f>IF($K200="","",INDEX('سجل التحفيز'!$A$5:$A$2004,MATCH($K200,'سجل التحفيز'!$Z$5:$Z$2004,0)))</f>
        <v/>
      </c>
      <c r="M200" s="9">
        <f>IF($K200="","",INDEX('سجل التحفيز'!$B$5:$B$2004,MATCH($K200,'سجل التحفيز'!$Z$5:$Z$2004,0)))</f>
        <v/>
      </c>
      <c r="N200" s="9">
        <f>IF($K200="","",INDEX('سجل التحفيز'!$M$5:$M$2004,MATCH($K200,'سجل التحفيز'!$Z$5:$Z$2004,0)))</f>
        <v/>
      </c>
      <c r="O200" s="9">
        <f>IF($K200="","",INDEX('سجل التحفيز'!$C$5:$C$2004,MATCH($K200,'سجل التحفيز'!$Z$5:$Z$2004,0)))</f>
        <v/>
      </c>
      <c r="P200" s="36">
        <f>IF($K200="","",INDEX('سجل التحفيز'!$D$5:$D$2004,MATCH($K200,'سجل التحفيز'!$Z$5:$Z$2004,0)))</f>
        <v/>
      </c>
      <c r="Q200" s="9">
        <f>IF($K200="","",INDEX('سجل التحفيز'!$E$5:$E$2004,MATCH($K200,'سجل التحفيز'!$Z$5:$Z$2004,0)))</f>
        <v/>
      </c>
      <c r="R200" s="9">
        <f>IF($K200="","",INDEX('سجل التحفيز'!$F$5:$F$2004,MATCH($K200,'سجل التحفيز'!$Z$5:$Z$2004,0)))</f>
        <v/>
      </c>
      <c r="S200" s="35">
        <f>IF($K200="","",INDEX('سجل التحفيز'!$G$5:$G$2004,MATCH($K200,'سجل التحفيز'!$Z$5:$Z$2004,0)))</f>
        <v/>
      </c>
    </row>
    <row r="201">
      <c r="K201" s="36">
        <f>IF(164&gt;$B$10,"",164)</f>
        <v/>
      </c>
      <c r="L201" s="37">
        <f>IF($K201="","",INDEX('سجل التحفيز'!$A$5:$A$2004,MATCH($K201,'سجل التحفيز'!$Z$5:$Z$2004,0)))</f>
        <v/>
      </c>
      <c r="M201" s="9">
        <f>IF($K201="","",INDEX('سجل التحفيز'!$B$5:$B$2004,MATCH($K201,'سجل التحفيز'!$Z$5:$Z$2004,0)))</f>
        <v/>
      </c>
      <c r="N201" s="9">
        <f>IF($K201="","",INDEX('سجل التحفيز'!$M$5:$M$2004,MATCH($K201,'سجل التحفيز'!$Z$5:$Z$2004,0)))</f>
        <v/>
      </c>
      <c r="O201" s="9">
        <f>IF($K201="","",INDEX('سجل التحفيز'!$C$5:$C$2004,MATCH($K201,'سجل التحفيز'!$Z$5:$Z$2004,0)))</f>
        <v/>
      </c>
      <c r="P201" s="36">
        <f>IF($K201="","",INDEX('سجل التحفيز'!$D$5:$D$2004,MATCH($K201,'سجل التحفيز'!$Z$5:$Z$2004,0)))</f>
        <v/>
      </c>
      <c r="Q201" s="9">
        <f>IF($K201="","",INDEX('سجل التحفيز'!$E$5:$E$2004,MATCH($K201,'سجل التحفيز'!$Z$5:$Z$2004,0)))</f>
        <v/>
      </c>
      <c r="R201" s="9">
        <f>IF($K201="","",INDEX('سجل التحفيز'!$F$5:$F$2004,MATCH($K201,'سجل التحفيز'!$Z$5:$Z$2004,0)))</f>
        <v/>
      </c>
      <c r="S201" s="35">
        <f>IF($K201="","",INDEX('سجل التحفيز'!$G$5:$G$2004,MATCH($K201,'سجل التحفيز'!$Z$5:$Z$2004,0)))</f>
        <v/>
      </c>
    </row>
    <row r="202">
      <c r="K202" s="36">
        <f>IF(165&gt;$B$10,"",165)</f>
        <v/>
      </c>
      <c r="L202" s="37">
        <f>IF($K202="","",INDEX('سجل التحفيز'!$A$5:$A$2004,MATCH($K202,'سجل التحفيز'!$Z$5:$Z$2004,0)))</f>
        <v/>
      </c>
      <c r="M202" s="9">
        <f>IF($K202="","",INDEX('سجل التحفيز'!$B$5:$B$2004,MATCH($K202,'سجل التحفيز'!$Z$5:$Z$2004,0)))</f>
        <v/>
      </c>
      <c r="N202" s="9">
        <f>IF($K202="","",INDEX('سجل التحفيز'!$M$5:$M$2004,MATCH($K202,'سجل التحفيز'!$Z$5:$Z$2004,0)))</f>
        <v/>
      </c>
      <c r="O202" s="9">
        <f>IF($K202="","",INDEX('سجل التحفيز'!$C$5:$C$2004,MATCH($K202,'سجل التحفيز'!$Z$5:$Z$2004,0)))</f>
        <v/>
      </c>
      <c r="P202" s="36">
        <f>IF($K202="","",INDEX('سجل التحفيز'!$D$5:$D$2004,MATCH($K202,'سجل التحفيز'!$Z$5:$Z$2004,0)))</f>
        <v/>
      </c>
      <c r="Q202" s="9">
        <f>IF($K202="","",INDEX('سجل التحفيز'!$E$5:$E$2004,MATCH($K202,'سجل التحفيز'!$Z$5:$Z$2004,0)))</f>
        <v/>
      </c>
      <c r="R202" s="9">
        <f>IF($K202="","",INDEX('سجل التحفيز'!$F$5:$F$2004,MATCH($K202,'سجل التحفيز'!$Z$5:$Z$2004,0)))</f>
        <v/>
      </c>
      <c r="S202" s="35">
        <f>IF($K202="","",INDEX('سجل التحفيز'!$G$5:$G$2004,MATCH($K202,'سجل التحفيز'!$Z$5:$Z$2004,0)))</f>
        <v/>
      </c>
    </row>
    <row r="203">
      <c r="K203" s="36">
        <f>IF(166&gt;$B$10,"",166)</f>
        <v/>
      </c>
      <c r="L203" s="37">
        <f>IF($K203="","",INDEX('سجل التحفيز'!$A$5:$A$2004,MATCH($K203,'سجل التحفيز'!$Z$5:$Z$2004,0)))</f>
        <v/>
      </c>
      <c r="M203" s="9">
        <f>IF($K203="","",INDEX('سجل التحفيز'!$B$5:$B$2004,MATCH($K203,'سجل التحفيز'!$Z$5:$Z$2004,0)))</f>
        <v/>
      </c>
      <c r="N203" s="9">
        <f>IF($K203="","",INDEX('سجل التحفيز'!$M$5:$M$2004,MATCH($K203,'سجل التحفيز'!$Z$5:$Z$2004,0)))</f>
        <v/>
      </c>
      <c r="O203" s="9">
        <f>IF($K203="","",INDEX('سجل التحفيز'!$C$5:$C$2004,MATCH($K203,'سجل التحفيز'!$Z$5:$Z$2004,0)))</f>
        <v/>
      </c>
      <c r="P203" s="36">
        <f>IF($K203="","",INDEX('سجل التحفيز'!$D$5:$D$2004,MATCH($K203,'سجل التحفيز'!$Z$5:$Z$2004,0)))</f>
        <v/>
      </c>
      <c r="Q203" s="9">
        <f>IF($K203="","",INDEX('سجل التحفيز'!$E$5:$E$2004,MATCH($K203,'سجل التحفيز'!$Z$5:$Z$2004,0)))</f>
        <v/>
      </c>
      <c r="R203" s="9">
        <f>IF($K203="","",INDEX('سجل التحفيز'!$F$5:$F$2004,MATCH($K203,'سجل التحفيز'!$Z$5:$Z$2004,0)))</f>
        <v/>
      </c>
      <c r="S203" s="35">
        <f>IF($K203="","",INDEX('سجل التحفيز'!$G$5:$G$2004,MATCH($K203,'سجل التحفيز'!$Z$5:$Z$2004,0)))</f>
        <v/>
      </c>
    </row>
    <row r="204">
      <c r="K204" s="36">
        <f>IF(167&gt;$B$10,"",167)</f>
        <v/>
      </c>
      <c r="L204" s="37">
        <f>IF($K204="","",INDEX('سجل التحفيز'!$A$5:$A$2004,MATCH($K204,'سجل التحفيز'!$Z$5:$Z$2004,0)))</f>
        <v/>
      </c>
      <c r="M204" s="9">
        <f>IF($K204="","",INDEX('سجل التحفيز'!$B$5:$B$2004,MATCH($K204,'سجل التحفيز'!$Z$5:$Z$2004,0)))</f>
        <v/>
      </c>
      <c r="N204" s="9">
        <f>IF($K204="","",INDEX('سجل التحفيز'!$M$5:$M$2004,MATCH($K204,'سجل التحفيز'!$Z$5:$Z$2004,0)))</f>
        <v/>
      </c>
      <c r="O204" s="9">
        <f>IF($K204="","",INDEX('سجل التحفيز'!$C$5:$C$2004,MATCH($K204,'سجل التحفيز'!$Z$5:$Z$2004,0)))</f>
        <v/>
      </c>
      <c r="P204" s="36">
        <f>IF($K204="","",INDEX('سجل التحفيز'!$D$5:$D$2004,MATCH($K204,'سجل التحفيز'!$Z$5:$Z$2004,0)))</f>
        <v/>
      </c>
      <c r="Q204" s="9">
        <f>IF($K204="","",INDEX('سجل التحفيز'!$E$5:$E$2004,MATCH($K204,'سجل التحفيز'!$Z$5:$Z$2004,0)))</f>
        <v/>
      </c>
      <c r="R204" s="9">
        <f>IF($K204="","",INDEX('سجل التحفيز'!$F$5:$F$2004,MATCH($K204,'سجل التحفيز'!$Z$5:$Z$2004,0)))</f>
        <v/>
      </c>
      <c r="S204" s="35">
        <f>IF($K204="","",INDEX('سجل التحفيز'!$G$5:$G$2004,MATCH($K204,'سجل التحفيز'!$Z$5:$Z$2004,0)))</f>
        <v/>
      </c>
    </row>
    <row r="205">
      <c r="K205" s="36">
        <f>IF(168&gt;$B$10,"",168)</f>
        <v/>
      </c>
      <c r="L205" s="37">
        <f>IF($K205="","",INDEX('سجل التحفيز'!$A$5:$A$2004,MATCH($K205,'سجل التحفيز'!$Z$5:$Z$2004,0)))</f>
        <v/>
      </c>
      <c r="M205" s="9">
        <f>IF($K205="","",INDEX('سجل التحفيز'!$B$5:$B$2004,MATCH($K205,'سجل التحفيز'!$Z$5:$Z$2004,0)))</f>
        <v/>
      </c>
      <c r="N205" s="9">
        <f>IF($K205="","",INDEX('سجل التحفيز'!$M$5:$M$2004,MATCH($K205,'سجل التحفيز'!$Z$5:$Z$2004,0)))</f>
        <v/>
      </c>
      <c r="O205" s="9">
        <f>IF($K205="","",INDEX('سجل التحفيز'!$C$5:$C$2004,MATCH($K205,'سجل التحفيز'!$Z$5:$Z$2004,0)))</f>
        <v/>
      </c>
      <c r="P205" s="36">
        <f>IF($K205="","",INDEX('سجل التحفيز'!$D$5:$D$2004,MATCH($K205,'سجل التحفيز'!$Z$5:$Z$2004,0)))</f>
        <v/>
      </c>
      <c r="Q205" s="9">
        <f>IF($K205="","",INDEX('سجل التحفيز'!$E$5:$E$2004,MATCH($K205,'سجل التحفيز'!$Z$5:$Z$2004,0)))</f>
        <v/>
      </c>
      <c r="R205" s="9">
        <f>IF($K205="","",INDEX('سجل التحفيز'!$F$5:$F$2004,MATCH($K205,'سجل التحفيز'!$Z$5:$Z$2004,0)))</f>
        <v/>
      </c>
      <c r="S205" s="35">
        <f>IF($K205="","",INDEX('سجل التحفيز'!$G$5:$G$2004,MATCH($K205,'سجل التحفيز'!$Z$5:$Z$2004,0)))</f>
        <v/>
      </c>
    </row>
    <row r="206">
      <c r="K206" s="36">
        <f>IF(169&gt;$B$10,"",169)</f>
        <v/>
      </c>
      <c r="L206" s="37">
        <f>IF($K206="","",INDEX('سجل التحفيز'!$A$5:$A$2004,MATCH($K206,'سجل التحفيز'!$Z$5:$Z$2004,0)))</f>
        <v/>
      </c>
      <c r="M206" s="9">
        <f>IF($K206="","",INDEX('سجل التحفيز'!$B$5:$B$2004,MATCH($K206,'سجل التحفيز'!$Z$5:$Z$2004,0)))</f>
        <v/>
      </c>
      <c r="N206" s="9">
        <f>IF($K206="","",INDEX('سجل التحفيز'!$M$5:$M$2004,MATCH($K206,'سجل التحفيز'!$Z$5:$Z$2004,0)))</f>
        <v/>
      </c>
      <c r="O206" s="9">
        <f>IF($K206="","",INDEX('سجل التحفيز'!$C$5:$C$2004,MATCH($K206,'سجل التحفيز'!$Z$5:$Z$2004,0)))</f>
        <v/>
      </c>
      <c r="P206" s="36">
        <f>IF($K206="","",INDEX('سجل التحفيز'!$D$5:$D$2004,MATCH($K206,'سجل التحفيز'!$Z$5:$Z$2004,0)))</f>
        <v/>
      </c>
      <c r="Q206" s="9">
        <f>IF($K206="","",INDEX('سجل التحفيز'!$E$5:$E$2004,MATCH($K206,'سجل التحفيز'!$Z$5:$Z$2004,0)))</f>
        <v/>
      </c>
      <c r="R206" s="9">
        <f>IF($K206="","",INDEX('سجل التحفيز'!$F$5:$F$2004,MATCH($K206,'سجل التحفيز'!$Z$5:$Z$2004,0)))</f>
        <v/>
      </c>
      <c r="S206" s="35">
        <f>IF($K206="","",INDEX('سجل التحفيز'!$G$5:$G$2004,MATCH($K206,'سجل التحفيز'!$Z$5:$Z$2004,0)))</f>
        <v/>
      </c>
    </row>
    <row r="207">
      <c r="K207" s="36">
        <f>IF(170&gt;$B$10,"",170)</f>
        <v/>
      </c>
      <c r="L207" s="37">
        <f>IF($K207="","",INDEX('سجل التحفيز'!$A$5:$A$2004,MATCH($K207,'سجل التحفيز'!$Z$5:$Z$2004,0)))</f>
        <v/>
      </c>
      <c r="M207" s="9">
        <f>IF($K207="","",INDEX('سجل التحفيز'!$B$5:$B$2004,MATCH($K207,'سجل التحفيز'!$Z$5:$Z$2004,0)))</f>
        <v/>
      </c>
      <c r="N207" s="9">
        <f>IF($K207="","",INDEX('سجل التحفيز'!$M$5:$M$2004,MATCH($K207,'سجل التحفيز'!$Z$5:$Z$2004,0)))</f>
        <v/>
      </c>
      <c r="O207" s="9">
        <f>IF($K207="","",INDEX('سجل التحفيز'!$C$5:$C$2004,MATCH($K207,'سجل التحفيز'!$Z$5:$Z$2004,0)))</f>
        <v/>
      </c>
      <c r="P207" s="36">
        <f>IF($K207="","",INDEX('سجل التحفيز'!$D$5:$D$2004,MATCH($K207,'سجل التحفيز'!$Z$5:$Z$2004,0)))</f>
        <v/>
      </c>
      <c r="Q207" s="9">
        <f>IF($K207="","",INDEX('سجل التحفيز'!$E$5:$E$2004,MATCH($K207,'سجل التحفيز'!$Z$5:$Z$2004,0)))</f>
        <v/>
      </c>
      <c r="R207" s="9">
        <f>IF($K207="","",INDEX('سجل التحفيز'!$F$5:$F$2004,MATCH($K207,'سجل التحفيز'!$Z$5:$Z$2004,0)))</f>
        <v/>
      </c>
      <c r="S207" s="35">
        <f>IF($K207="","",INDEX('سجل التحفيز'!$G$5:$G$2004,MATCH($K207,'سجل التحفيز'!$Z$5:$Z$2004,0)))</f>
        <v/>
      </c>
    </row>
    <row r="208">
      <c r="K208" s="36">
        <f>IF(171&gt;$B$10,"",171)</f>
        <v/>
      </c>
      <c r="L208" s="37">
        <f>IF($K208="","",INDEX('سجل التحفيز'!$A$5:$A$2004,MATCH($K208,'سجل التحفيز'!$Z$5:$Z$2004,0)))</f>
        <v/>
      </c>
      <c r="M208" s="9">
        <f>IF($K208="","",INDEX('سجل التحفيز'!$B$5:$B$2004,MATCH($K208,'سجل التحفيز'!$Z$5:$Z$2004,0)))</f>
        <v/>
      </c>
      <c r="N208" s="9">
        <f>IF($K208="","",INDEX('سجل التحفيز'!$M$5:$M$2004,MATCH($K208,'سجل التحفيز'!$Z$5:$Z$2004,0)))</f>
        <v/>
      </c>
      <c r="O208" s="9">
        <f>IF($K208="","",INDEX('سجل التحفيز'!$C$5:$C$2004,MATCH($K208,'سجل التحفيز'!$Z$5:$Z$2004,0)))</f>
        <v/>
      </c>
      <c r="P208" s="36">
        <f>IF($K208="","",INDEX('سجل التحفيز'!$D$5:$D$2004,MATCH($K208,'سجل التحفيز'!$Z$5:$Z$2004,0)))</f>
        <v/>
      </c>
      <c r="Q208" s="9">
        <f>IF($K208="","",INDEX('سجل التحفيز'!$E$5:$E$2004,MATCH($K208,'سجل التحفيز'!$Z$5:$Z$2004,0)))</f>
        <v/>
      </c>
      <c r="R208" s="9">
        <f>IF($K208="","",INDEX('سجل التحفيز'!$F$5:$F$2004,MATCH($K208,'سجل التحفيز'!$Z$5:$Z$2004,0)))</f>
        <v/>
      </c>
      <c r="S208" s="35">
        <f>IF($K208="","",INDEX('سجل التحفيز'!$G$5:$G$2004,MATCH($K208,'سجل التحفيز'!$Z$5:$Z$2004,0)))</f>
        <v/>
      </c>
    </row>
    <row r="209">
      <c r="K209" s="36">
        <f>IF(172&gt;$B$10,"",172)</f>
        <v/>
      </c>
      <c r="L209" s="37">
        <f>IF($K209="","",INDEX('سجل التحفيز'!$A$5:$A$2004,MATCH($K209,'سجل التحفيز'!$Z$5:$Z$2004,0)))</f>
        <v/>
      </c>
      <c r="M209" s="9">
        <f>IF($K209="","",INDEX('سجل التحفيز'!$B$5:$B$2004,MATCH($K209,'سجل التحفيز'!$Z$5:$Z$2004,0)))</f>
        <v/>
      </c>
      <c r="N209" s="9">
        <f>IF($K209="","",INDEX('سجل التحفيز'!$M$5:$M$2004,MATCH($K209,'سجل التحفيز'!$Z$5:$Z$2004,0)))</f>
        <v/>
      </c>
      <c r="O209" s="9">
        <f>IF($K209="","",INDEX('سجل التحفيز'!$C$5:$C$2004,MATCH($K209,'سجل التحفيز'!$Z$5:$Z$2004,0)))</f>
        <v/>
      </c>
      <c r="P209" s="36">
        <f>IF($K209="","",INDEX('سجل التحفيز'!$D$5:$D$2004,MATCH($K209,'سجل التحفيز'!$Z$5:$Z$2004,0)))</f>
        <v/>
      </c>
      <c r="Q209" s="9">
        <f>IF($K209="","",INDEX('سجل التحفيز'!$E$5:$E$2004,MATCH($K209,'سجل التحفيز'!$Z$5:$Z$2004,0)))</f>
        <v/>
      </c>
      <c r="R209" s="9">
        <f>IF($K209="","",INDEX('سجل التحفيز'!$F$5:$F$2004,MATCH($K209,'سجل التحفيز'!$Z$5:$Z$2004,0)))</f>
        <v/>
      </c>
      <c r="S209" s="35">
        <f>IF($K209="","",INDEX('سجل التحفيز'!$G$5:$G$2004,MATCH($K209,'سجل التحفيز'!$Z$5:$Z$2004,0)))</f>
        <v/>
      </c>
    </row>
    <row r="210">
      <c r="K210" s="36">
        <f>IF(173&gt;$B$10,"",173)</f>
        <v/>
      </c>
      <c r="L210" s="37">
        <f>IF($K210="","",INDEX('سجل التحفيز'!$A$5:$A$2004,MATCH($K210,'سجل التحفيز'!$Z$5:$Z$2004,0)))</f>
        <v/>
      </c>
      <c r="M210" s="9">
        <f>IF($K210="","",INDEX('سجل التحفيز'!$B$5:$B$2004,MATCH($K210,'سجل التحفيز'!$Z$5:$Z$2004,0)))</f>
        <v/>
      </c>
      <c r="N210" s="9">
        <f>IF($K210="","",INDEX('سجل التحفيز'!$M$5:$M$2004,MATCH($K210,'سجل التحفيز'!$Z$5:$Z$2004,0)))</f>
        <v/>
      </c>
      <c r="O210" s="9">
        <f>IF($K210="","",INDEX('سجل التحفيز'!$C$5:$C$2004,MATCH($K210,'سجل التحفيز'!$Z$5:$Z$2004,0)))</f>
        <v/>
      </c>
      <c r="P210" s="36">
        <f>IF($K210="","",INDEX('سجل التحفيز'!$D$5:$D$2004,MATCH($K210,'سجل التحفيز'!$Z$5:$Z$2004,0)))</f>
        <v/>
      </c>
      <c r="Q210" s="9">
        <f>IF($K210="","",INDEX('سجل التحفيز'!$E$5:$E$2004,MATCH($K210,'سجل التحفيز'!$Z$5:$Z$2004,0)))</f>
        <v/>
      </c>
      <c r="R210" s="9">
        <f>IF($K210="","",INDEX('سجل التحفيز'!$F$5:$F$2004,MATCH($K210,'سجل التحفيز'!$Z$5:$Z$2004,0)))</f>
        <v/>
      </c>
      <c r="S210" s="35">
        <f>IF($K210="","",INDEX('سجل التحفيز'!$G$5:$G$2004,MATCH($K210,'سجل التحفيز'!$Z$5:$Z$2004,0)))</f>
        <v/>
      </c>
    </row>
    <row r="211">
      <c r="K211" s="36">
        <f>IF(174&gt;$B$10,"",174)</f>
        <v/>
      </c>
      <c r="L211" s="37">
        <f>IF($K211="","",INDEX('سجل التحفيز'!$A$5:$A$2004,MATCH($K211,'سجل التحفيز'!$Z$5:$Z$2004,0)))</f>
        <v/>
      </c>
      <c r="M211" s="9">
        <f>IF($K211="","",INDEX('سجل التحفيز'!$B$5:$B$2004,MATCH($K211,'سجل التحفيز'!$Z$5:$Z$2004,0)))</f>
        <v/>
      </c>
      <c r="N211" s="9">
        <f>IF($K211="","",INDEX('سجل التحفيز'!$M$5:$M$2004,MATCH($K211,'سجل التحفيز'!$Z$5:$Z$2004,0)))</f>
        <v/>
      </c>
      <c r="O211" s="9">
        <f>IF($K211="","",INDEX('سجل التحفيز'!$C$5:$C$2004,MATCH($K211,'سجل التحفيز'!$Z$5:$Z$2004,0)))</f>
        <v/>
      </c>
      <c r="P211" s="36">
        <f>IF($K211="","",INDEX('سجل التحفيز'!$D$5:$D$2004,MATCH($K211,'سجل التحفيز'!$Z$5:$Z$2004,0)))</f>
        <v/>
      </c>
      <c r="Q211" s="9">
        <f>IF($K211="","",INDEX('سجل التحفيز'!$E$5:$E$2004,MATCH($K211,'سجل التحفيز'!$Z$5:$Z$2004,0)))</f>
        <v/>
      </c>
      <c r="R211" s="9">
        <f>IF($K211="","",INDEX('سجل التحفيز'!$F$5:$F$2004,MATCH($K211,'سجل التحفيز'!$Z$5:$Z$2004,0)))</f>
        <v/>
      </c>
      <c r="S211" s="35">
        <f>IF($K211="","",INDEX('سجل التحفيز'!$G$5:$G$2004,MATCH($K211,'سجل التحفيز'!$Z$5:$Z$2004,0)))</f>
        <v/>
      </c>
    </row>
    <row r="212">
      <c r="K212" s="36">
        <f>IF(175&gt;$B$10,"",175)</f>
        <v/>
      </c>
      <c r="L212" s="37">
        <f>IF($K212="","",INDEX('سجل التحفيز'!$A$5:$A$2004,MATCH($K212,'سجل التحفيز'!$Z$5:$Z$2004,0)))</f>
        <v/>
      </c>
      <c r="M212" s="9">
        <f>IF($K212="","",INDEX('سجل التحفيز'!$B$5:$B$2004,MATCH($K212,'سجل التحفيز'!$Z$5:$Z$2004,0)))</f>
        <v/>
      </c>
      <c r="N212" s="9">
        <f>IF($K212="","",INDEX('سجل التحفيز'!$M$5:$M$2004,MATCH($K212,'سجل التحفيز'!$Z$5:$Z$2004,0)))</f>
        <v/>
      </c>
      <c r="O212" s="9">
        <f>IF($K212="","",INDEX('سجل التحفيز'!$C$5:$C$2004,MATCH($K212,'سجل التحفيز'!$Z$5:$Z$2004,0)))</f>
        <v/>
      </c>
      <c r="P212" s="36">
        <f>IF($K212="","",INDEX('سجل التحفيز'!$D$5:$D$2004,MATCH($K212,'سجل التحفيز'!$Z$5:$Z$2004,0)))</f>
        <v/>
      </c>
      <c r="Q212" s="9">
        <f>IF($K212="","",INDEX('سجل التحفيز'!$E$5:$E$2004,MATCH($K212,'سجل التحفيز'!$Z$5:$Z$2004,0)))</f>
        <v/>
      </c>
      <c r="R212" s="9">
        <f>IF($K212="","",INDEX('سجل التحفيز'!$F$5:$F$2004,MATCH($K212,'سجل التحفيز'!$Z$5:$Z$2004,0)))</f>
        <v/>
      </c>
      <c r="S212" s="35">
        <f>IF($K212="","",INDEX('سجل التحفيز'!$G$5:$G$2004,MATCH($K212,'سجل التحفيز'!$Z$5:$Z$2004,0)))</f>
        <v/>
      </c>
    </row>
    <row r="213">
      <c r="K213" s="36">
        <f>IF(176&gt;$B$10,"",176)</f>
        <v/>
      </c>
      <c r="L213" s="37">
        <f>IF($K213="","",INDEX('سجل التحفيز'!$A$5:$A$2004,MATCH($K213,'سجل التحفيز'!$Z$5:$Z$2004,0)))</f>
        <v/>
      </c>
      <c r="M213" s="9">
        <f>IF($K213="","",INDEX('سجل التحفيز'!$B$5:$B$2004,MATCH($K213,'سجل التحفيز'!$Z$5:$Z$2004,0)))</f>
        <v/>
      </c>
      <c r="N213" s="9">
        <f>IF($K213="","",INDEX('سجل التحفيز'!$M$5:$M$2004,MATCH($K213,'سجل التحفيز'!$Z$5:$Z$2004,0)))</f>
        <v/>
      </c>
      <c r="O213" s="9">
        <f>IF($K213="","",INDEX('سجل التحفيز'!$C$5:$C$2004,MATCH($K213,'سجل التحفيز'!$Z$5:$Z$2004,0)))</f>
        <v/>
      </c>
      <c r="P213" s="36">
        <f>IF($K213="","",INDEX('سجل التحفيز'!$D$5:$D$2004,MATCH($K213,'سجل التحفيز'!$Z$5:$Z$2004,0)))</f>
        <v/>
      </c>
      <c r="Q213" s="9">
        <f>IF($K213="","",INDEX('سجل التحفيز'!$E$5:$E$2004,MATCH($K213,'سجل التحفيز'!$Z$5:$Z$2004,0)))</f>
        <v/>
      </c>
      <c r="R213" s="9">
        <f>IF($K213="","",INDEX('سجل التحفيز'!$F$5:$F$2004,MATCH($K213,'سجل التحفيز'!$Z$5:$Z$2004,0)))</f>
        <v/>
      </c>
      <c r="S213" s="35">
        <f>IF($K213="","",INDEX('سجل التحفيز'!$G$5:$G$2004,MATCH($K213,'سجل التحفيز'!$Z$5:$Z$2004,0)))</f>
        <v/>
      </c>
    </row>
    <row r="214">
      <c r="K214" s="36">
        <f>IF(177&gt;$B$10,"",177)</f>
        <v/>
      </c>
      <c r="L214" s="37">
        <f>IF($K214="","",INDEX('سجل التحفيز'!$A$5:$A$2004,MATCH($K214,'سجل التحفيز'!$Z$5:$Z$2004,0)))</f>
        <v/>
      </c>
      <c r="M214" s="9">
        <f>IF($K214="","",INDEX('سجل التحفيز'!$B$5:$B$2004,MATCH($K214,'سجل التحفيز'!$Z$5:$Z$2004,0)))</f>
        <v/>
      </c>
      <c r="N214" s="9">
        <f>IF($K214="","",INDEX('سجل التحفيز'!$M$5:$M$2004,MATCH($K214,'سجل التحفيز'!$Z$5:$Z$2004,0)))</f>
        <v/>
      </c>
      <c r="O214" s="9">
        <f>IF($K214="","",INDEX('سجل التحفيز'!$C$5:$C$2004,MATCH($K214,'سجل التحفيز'!$Z$5:$Z$2004,0)))</f>
        <v/>
      </c>
      <c r="P214" s="36">
        <f>IF($K214="","",INDEX('سجل التحفيز'!$D$5:$D$2004,MATCH($K214,'سجل التحفيز'!$Z$5:$Z$2004,0)))</f>
        <v/>
      </c>
      <c r="Q214" s="9">
        <f>IF($K214="","",INDEX('سجل التحفيز'!$E$5:$E$2004,MATCH($K214,'سجل التحفيز'!$Z$5:$Z$2004,0)))</f>
        <v/>
      </c>
      <c r="R214" s="9">
        <f>IF($K214="","",INDEX('سجل التحفيز'!$F$5:$F$2004,MATCH($K214,'سجل التحفيز'!$Z$5:$Z$2004,0)))</f>
        <v/>
      </c>
      <c r="S214" s="35">
        <f>IF($K214="","",INDEX('سجل التحفيز'!$G$5:$G$2004,MATCH($K214,'سجل التحفيز'!$Z$5:$Z$2004,0)))</f>
        <v/>
      </c>
    </row>
    <row r="215">
      <c r="K215" s="36">
        <f>IF(178&gt;$B$10,"",178)</f>
        <v/>
      </c>
      <c r="L215" s="37">
        <f>IF($K215="","",INDEX('سجل التحفيز'!$A$5:$A$2004,MATCH($K215,'سجل التحفيز'!$Z$5:$Z$2004,0)))</f>
        <v/>
      </c>
      <c r="M215" s="9">
        <f>IF($K215="","",INDEX('سجل التحفيز'!$B$5:$B$2004,MATCH($K215,'سجل التحفيز'!$Z$5:$Z$2004,0)))</f>
        <v/>
      </c>
      <c r="N215" s="9">
        <f>IF($K215="","",INDEX('سجل التحفيز'!$M$5:$M$2004,MATCH($K215,'سجل التحفيز'!$Z$5:$Z$2004,0)))</f>
        <v/>
      </c>
      <c r="O215" s="9">
        <f>IF($K215="","",INDEX('سجل التحفيز'!$C$5:$C$2004,MATCH($K215,'سجل التحفيز'!$Z$5:$Z$2004,0)))</f>
        <v/>
      </c>
      <c r="P215" s="36">
        <f>IF($K215="","",INDEX('سجل التحفيز'!$D$5:$D$2004,MATCH($K215,'سجل التحفيز'!$Z$5:$Z$2004,0)))</f>
        <v/>
      </c>
      <c r="Q215" s="9">
        <f>IF($K215="","",INDEX('سجل التحفيز'!$E$5:$E$2004,MATCH($K215,'سجل التحفيز'!$Z$5:$Z$2004,0)))</f>
        <v/>
      </c>
      <c r="R215" s="9">
        <f>IF($K215="","",INDEX('سجل التحفيز'!$F$5:$F$2004,MATCH($K215,'سجل التحفيز'!$Z$5:$Z$2004,0)))</f>
        <v/>
      </c>
      <c r="S215" s="35">
        <f>IF($K215="","",INDEX('سجل التحفيز'!$G$5:$G$2004,MATCH($K215,'سجل التحفيز'!$Z$5:$Z$2004,0)))</f>
        <v/>
      </c>
    </row>
    <row r="216">
      <c r="K216" s="36">
        <f>IF(179&gt;$B$10,"",179)</f>
        <v/>
      </c>
      <c r="L216" s="37">
        <f>IF($K216="","",INDEX('سجل التحفيز'!$A$5:$A$2004,MATCH($K216,'سجل التحفيز'!$Z$5:$Z$2004,0)))</f>
        <v/>
      </c>
      <c r="M216" s="9">
        <f>IF($K216="","",INDEX('سجل التحفيز'!$B$5:$B$2004,MATCH($K216,'سجل التحفيز'!$Z$5:$Z$2004,0)))</f>
        <v/>
      </c>
      <c r="N216" s="9">
        <f>IF($K216="","",INDEX('سجل التحفيز'!$M$5:$M$2004,MATCH($K216,'سجل التحفيز'!$Z$5:$Z$2004,0)))</f>
        <v/>
      </c>
      <c r="O216" s="9">
        <f>IF($K216="","",INDEX('سجل التحفيز'!$C$5:$C$2004,MATCH($K216,'سجل التحفيز'!$Z$5:$Z$2004,0)))</f>
        <v/>
      </c>
      <c r="P216" s="36">
        <f>IF($K216="","",INDEX('سجل التحفيز'!$D$5:$D$2004,MATCH($K216,'سجل التحفيز'!$Z$5:$Z$2004,0)))</f>
        <v/>
      </c>
      <c r="Q216" s="9">
        <f>IF($K216="","",INDEX('سجل التحفيز'!$E$5:$E$2004,MATCH($K216,'سجل التحفيز'!$Z$5:$Z$2004,0)))</f>
        <v/>
      </c>
      <c r="R216" s="9">
        <f>IF($K216="","",INDEX('سجل التحفيز'!$F$5:$F$2004,MATCH($K216,'سجل التحفيز'!$Z$5:$Z$2004,0)))</f>
        <v/>
      </c>
      <c r="S216" s="35">
        <f>IF($K216="","",INDEX('سجل التحفيز'!$G$5:$G$2004,MATCH($K216,'سجل التحفيز'!$Z$5:$Z$2004,0)))</f>
        <v/>
      </c>
    </row>
    <row r="217">
      <c r="K217" s="36">
        <f>IF(180&gt;$B$10,"",180)</f>
        <v/>
      </c>
      <c r="L217" s="37">
        <f>IF($K217="","",INDEX('سجل التحفيز'!$A$5:$A$2004,MATCH($K217,'سجل التحفيز'!$Z$5:$Z$2004,0)))</f>
        <v/>
      </c>
      <c r="M217" s="9">
        <f>IF($K217="","",INDEX('سجل التحفيز'!$B$5:$B$2004,MATCH($K217,'سجل التحفيز'!$Z$5:$Z$2004,0)))</f>
        <v/>
      </c>
      <c r="N217" s="9">
        <f>IF($K217="","",INDEX('سجل التحفيز'!$M$5:$M$2004,MATCH($K217,'سجل التحفيز'!$Z$5:$Z$2004,0)))</f>
        <v/>
      </c>
      <c r="O217" s="9">
        <f>IF($K217="","",INDEX('سجل التحفيز'!$C$5:$C$2004,MATCH($K217,'سجل التحفيز'!$Z$5:$Z$2004,0)))</f>
        <v/>
      </c>
      <c r="P217" s="36">
        <f>IF($K217="","",INDEX('سجل التحفيز'!$D$5:$D$2004,MATCH($K217,'سجل التحفيز'!$Z$5:$Z$2004,0)))</f>
        <v/>
      </c>
      <c r="Q217" s="9">
        <f>IF($K217="","",INDEX('سجل التحفيز'!$E$5:$E$2004,MATCH($K217,'سجل التحفيز'!$Z$5:$Z$2004,0)))</f>
        <v/>
      </c>
      <c r="R217" s="9">
        <f>IF($K217="","",INDEX('سجل التحفيز'!$F$5:$F$2004,MATCH($K217,'سجل التحفيز'!$Z$5:$Z$2004,0)))</f>
        <v/>
      </c>
      <c r="S217" s="35">
        <f>IF($K217="","",INDEX('سجل التحفيز'!$G$5:$G$2004,MATCH($K217,'سجل التحفيز'!$Z$5:$Z$2004,0)))</f>
        <v/>
      </c>
    </row>
    <row r="218">
      <c r="K218" s="36">
        <f>IF(181&gt;$B$10,"",181)</f>
        <v/>
      </c>
      <c r="L218" s="37">
        <f>IF($K218="","",INDEX('سجل التحفيز'!$A$5:$A$2004,MATCH($K218,'سجل التحفيز'!$Z$5:$Z$2004,0)))</f>
        <v/>
      </c>
      <c r="M218" s="9">
        <f>IF($K218="","",INDEX('سجل التحفيز'!$B$5:$B$2004,MATCH($K218,'سجل التحفيز'!$Z$5:$Z$2004,0)))</f>
        <v/>
      </c>
      <c r="N218" s="9">
        <f>IF($K218="","",INDEX('سجل التحفيز'!$M$5:$M$2004,MATCH($K218,'سجل التحفيز'!$Z$5:$Z$2004,0)))</f>
        <v/>
      </c>
      <c r="O218" s="9">
        <f>IF($K218="","",INDEX('سجل التحفيز'!$C$5:$C$2004,MATCH($K218,'سجل التحفيز'!$Z$5:$Z$2004,0)))</f>
        <v/>
      </c>
      <c r="P218" s="36">
        <f>IF($K218="","",INDEX('سجل التحفيز'!$D$5:$D$2004,MATCH($K218,'سجل التحفيز'!$Z$5:$Z$2004,0)))</f>
        <v/>
      </c>
      <c r="Q218" s="9">
        <f>IF($K218="","",INDEX('سجل التحفيز'!$E$5:$E$2004,MATCH($K218,'سجل التحفيز'!$Z$5:$Z$2004,0)))</f>
        <v/>
      </c>
      <c r="R218" s="9">
        <f>IF($K218="","",INDEX('سجل التحفيز'!$F$5:$F$2004,MATCH($K218,'سجل التحفيز'!$Z$5:$Z$2004,0)))</f>
        <v/>
      </c>
      <c r="S218" s="35">
        <f>IF($K218="","",INDEX('سجل التحفيز'!$G$5:$G$2004,MATCH($K218,'سجل التحفيز'!$Z$5:$Z$2004,0)))</f>
        <v/>
      </c>
    </row>
    <row r="219">
      <c r="K219" s="36">
        <f>IF(182&gt;$B$10,"",182)</f>
        <v/>
      </c>
      <c r="L219" s="37">
        <f>IF($K219="","",INDEX('سجل التحفيز'!$A$5:$A$2004,MATCH($K219,'سجل التحفيز'!$Z$5:$Z$2004,0)))</f>
        <v/>
      </c>
      <c r="M219" s="9">
        <f>IF($K219="","",INDEX('سجل التحفيز'!$B$5:$B$2004,MATCH($K219,'سجل التحفيز'!$Z$5:$Z$2004,0)))</f>
        <v/>
      </c>
      <c r="N219" s="9">
        <f>IF($K219="","",INDEX('سجل التحفيز'!$M$5:$M$2004,MATCH($K219,'سجل التحفيز'!$Z$5:$Z$2004,0)))</f>
        <v/>
      </c>
      <c r="O219" s="9">
        <f>IF($K219="","",INDEX('سجل التحفيز'!$C$5:$C$2004,MATCH($K219,'سجل التحفيز'!$Z$5:$Z$2004,0)))</f>
        <v/>
      </c>
      <c r="P219" s="36">
        <f>IF($K219="","",INDEX('سجل التحفيز'!$D$5:$D$2004,MATCH($K219,'سجل التحفيز'!$Z$5:$Z$2004,0)))</f>
        <v/>
      </c>
      <c r="Q219" s="9">
        <f>IF($K219="","",INDEX('سجل التحفيز'!$E$5:$E$2004,MATCH($K219,'سجل التحفيز'!$Z$5:$Z$2004,0)))</f>
        <v/>
      </c>
      <c r="R219" s="9">
        <f>IF($K219="","",INDEX('سجل التحفيز'!$F$5:$F$2004,MATCH($K219,'سجل التحفيز'!$Z$5:$Z$2004,0)))</f>
        <v/>
      </c>
      <c r="S219" s="35">
        <f>IF($K219="","",INDEX('سجل التحفيز'!$G$5:$G$2004,MATCH($K219,'سجل التحفيز'!$Z$5:$Z$2004,0)))</f>
        <v/>
      </c>
    </row>
    <row r="220">
      <c r="K220" s="36">
        <f>IF(183&gt;$B$10,"",183)</f>
        <v/>
      </c>
      <c r="L220" s="37">
        <f>IF($K220="","",INDEX('سجل التحفيز'!$A$5:$A$2004,MATCH($K220,'سجل التحفيز'!$Z$5:$Z$2004,0)))</f>
        <v/>
      </c>
      <c r="M220" s="9">
        <f>IF($K220="","",INDEX('سجل التحفيز'!$B$5:$B$2004,MATCH($K220,'سجل التحفيز'!$Z$5:$Z$2004,0)))</f>
        <v/>
      </c>
      <c r="N220" s="9">
        <f>IF($K220="","",INDEX('سجل التحفيز'!$M$5:$M$2004,MATCH($K220,'سجل التحفيز'!$Z$5:$Z$2004,0)))</f>
        <v/>
      </c>
      <c r="O220" s="9">
        <f>IF($K220="","",INDEX('سجل التحفيز'!$C$5:$C$2004,MATCH($K220,'سجل التحفيز'!$Z$5:$Z$2004,0)))</f>
        <v/>
      </c>
      <c r="P220" s="36">
        <f>IF($K220="","",INDEX('سجل التحفيز'!$D$5:$D$2004,MATCH($K220,'سجل التحفيز'!$Z$5:$Z$2004,0)))</f>
        <v/>
      </c>
      <c r="Q220" s="9">
        <f>IF($K220="","",INDEX('سجل التحفيز'!$E$5:$E$2004,MATCH($K220,'سجل التحفيز'!$Z$5:$Z$2004,0)))</f>
        <v/>
      </c>
      <c r="R220" s="9">
        <f>IF($K220="","",INDEX('سجل التحفيز'!$F$5:$F$2004,MATCH($K220,'سجل التحفيز'!$Z$5:$Z$2004,0)))</f>
        <v/>
      </c>
      <c r="S220" s="35">
        <f>IF($K220="","",INDEX('سجل التحفيز'!$G$5:$G$2004,MATCH($K220,'سجل التحفيز'!$Z$5:$Z$2004,0)))</f>
        <v/>
      </c>
    </row>
    <row r="221">
      <c r="K221" s="36">
        <f>IF(184&gt;$B$10,"",184)</f>
        <v/>
      </c>
      <c r="L221" s="37">
        <f>IF($K221="","",INDEX('سجل التحفيز'!$A$5:$A$2004,MATCH($K221,'سجل التحفيز'!$Z$5:$Z$2004,0)))</f>
        <v/>
      </c>
      <c r="M221" s="9">
        <f>IF($K221="","",INDEX('سجل التحفيز'!$B$5:$B$2004,MATCH($K221,'سجل التحفيز'!$Z$5:$Z$2004,0)))</f>
        <v/>
      </c>
      <c r="N221" s="9">
        <f>IF($K221="","",INDEX('سجل التحفيز'!$M$5:$M$2004,MATCH($K221,'سجل التحفيز'!$Z$5:$Z$2004,0)))</f>
        <v/>
      </c>
      <c r="O221" s="9">
        <f>IF($K221="","",INDEX('سجل التحفيز'!$C$5:$C$2004,MATCH($K221,'سجل التحفيز'!$Z$5:$Z$2004,0)))</f>
        <v/>
      </c>
      <c r="P221" s="36">
        <f>IF($K221="","",INDEX('سجل التحفيز'!$D$5:$D$2004,MATCH($K221,'سجل التحفيز'!$Z$5:$Z$2004,0)))</f>
        <v/>
      </c>
      <c r="Q221" s="9">
        <f>IF($K221="","",INDEX('سجل التحفيز'!$E$5:$E$2004,MATCH($K221,'سجل التحفيز'!$Z$5:$Z$2004,0)))</f>
        <v/>
      </c>
      <c r="R221" s="9">
        <f>IF($K221="","",INDEX('سجل التحفيز'!$F$5:$F$2004,MATCH($K221,'سجل التحفيز'!$Z$5:$Z$2004,0)))</f>
        <v/>
      </c>
      <c r="S221" s="35">
        <f>IF($K221="","",INDEX('سجل التحفيز'!$G$5:$G$2004,MATCH($K221,'سجل التحفيز'!$Z$5:$Z$2004,0)))</f>
        <v/>
      </c>
    </row>
    <row r="222">
      <c r="K222" s="36">
        <f>IF(185&gt;$B$10,"",185)</f>
        <v/>
      </c>
      <c r="L222" s="37">
        <f>IF($K222="","",INDEX('سجل التحفيز'!$A$5:$A$2004,MATCH($K222,'سجل التحفيز'!$Z$5:$Z$2004,0)))</f>
        <v/>
      </c>
      <c r="M222" s="9">
        <f>IF($K222="","",INDEX('سجل التحفيز'!$B$5:$B$2004,MATCH($K222,'سجل التحفيز'!$Z$5:$Z$2004,0)))</f>
        <v/>
      </c>
      <c r="N222" s="9">
        <f>IF($K222="","",INDEX('سجل التحفيز'!$M$5:$M$2004,MATCH($K222,'سجل التحفيز'!$Z$5:$Z$2004,0)))</f>
        <v/>
      </c>
      <c r="O222" s="9">
        <f>IF($K222="","",INDEX('سجل التحفيز'!$C$5:$C$2004,MATCH($K222,'سجل التحفيز'!$Z$5:$Z$2004,0)))</f>
        <v/>
      </c>
      <c r="P222" s="36">
        <f>IF($K222="","",INDEX('سجل التحفيز'!$D$5:$D$2004,MATCH($K222,'سجل التحفيز'!$Z$5:$Z$2004,0)))</f>
        <v/>
      </c>
      <c r="Q222" s="9">
        <f>IF($K222="","",INDEX('سجل التحفيز'!$E$5:$E$2004,MATCH($K222,'سجل التحفيز'!$Z$5:$Z$2004,0)))</f>
        <v/>
      </c>
      <c r="R222" s="9">
        <f>IF($K222="","",INDEX('سجل التحفيز'!$F$5:$F$2004,MATCH($K222,'سجل التحفيز'!$Z$5:$Z$2004,0)))</f>
        <v/>
      </c>
      <c r="S222" s="35">
        <f>IF($K222="","",INDEX('سجل التحفيز'!$G$5:$G$2004,MATCH($K222,'سجل التحفيز'!$Z$5:$Z$2004,0)))</f>
        <v/>
      </c>
    </row>
    <row r="223">
      <c r="K223" s="36">
        <f>IF(186&gt;$B$10,"",186)</f>
        <v/>
      </c>
      <c r="L223" s="37">
        <f>IF($K223="","",INDEX('سجل التحفيز'!$A$5:$A$2004,MATCH($K223,'سجل التحفيز'!$Z$5:$Z$2004,0)))</f>
        <v/>
      </c>
      <c r="M223" s="9">
        <f>IF($K223="","",INDEX('سجل التحفيز'!$B$5:$B$2004,MATCH($K223,'سجل التحفيز'!$Z$5:$Z$2004,0)))</f>
        <v/>
      </c>
      <c r="N223" s="9">
        <f>IF($K223="","",INDEX('سجل التحفيز'!$M$5:$M$2004,MATCH($K223,'سجل التحفيز'!$Z$5:$Z$2004,0)))</f>
        <v/>
      </c>
      <c r="O223" s="9">
        <f>IF($K223="","",INDEX('سجل التحفيز'!$C$5:$C$2004,MATCH($K223,'سجل التحفيز'!$Z$5:$Z$2004,0)))</f>
        <v/>
      </c>
      <c r="P223" s="36">
        <f>IF($K223="","",INDEX('سجل التحفيز'!$D$5:$D$2004,MATCH($K223,'سجل التحفيز'!$Z$5:$Z$2004,0)))</f>
        <v/>
      </c>
      <c r="Q223" s="9">
        <f>IF($K223="","",INDEX('سجل التحفيز'!$E$5:$E$2004,MATCH($K223,'سجل التحفيز'!$Z$5:$Z$2004,0)))</f>
        <v/>
      </c>
      <c r="R223" s="9">
        <f>IF($K223="","",INDEX('سجل التحفيز'!$F$5:$F$2004,MATCH($K223,'سجل التحفيز'!$Z$5:$Z$2004,0)))</f>
        <v/>
      </c>
      <c r="S223" s="35">
        <f>IF($K223="","",INDEX('سجل التحفيز'!$G$5:$G$2004,MATCH($K223,'سجل التحفيز'!$Z$5:$Z$2004,0)))</f>
        <v/>
      </c>
    </row>
    <row r="224">
      <c r="K224" s="36">
        <f>IF(187&gt;$B$10,"",187)</f>
        <v/>
      </c>
      <c r="L224" s="37">
        <f>IF($K224="","",INDEX('سجل التحفيز'!$A$5:$A$2004,MATCH($K224,'سجل التحفيز'!$Z$5:$Z$2004,0)))</f>
        <v/>
      </c>
      <c r="M224" s="9">
        <f>IF($K224="","",INDEX('سجل التحفيز'!$B$5:$B$2004,MATCH($K224,'سجل التحفيز'!$Z$5:$Z$2004,0)))</f>
        <v/>
      </c>
      <c r="N224" s="9">
        <f>IF($K224="","",INDEX('سجل التحفيز'!$M$5:$M$2004,MATCH($K224,'سجل التحفيز'!$Z$5:$Z$2004,0)))</f>
        <v/>
      </c>
      <c r="O224" s="9">
        <f>IF($K224="","",INDEX('سجل التحفيز'!$C$5:$C$2004,MATCH($K224,'سجل التحفيز'!$Z$5:$Z$2004,0)))</f>
        <v/>
      </c>
      <c r="P224" s="36">
        <f>IF($K224="","",INDEX('سجل التحفيز'!$D$5:$D$2004,MATCH($K224,'سجل التحفيز'!$Z$5:$Z$2004,0)))</f>
        <v/>
      </c>
      <c r="Q224" s="9">
        <f>IF($K224="","",INDEX('سجل التحفيز'!$E$5:$E$2004,MATCH($K224,'سجل التحفيز'!$Z$5:$Z$2004,0)))</f>
        <v/>
      </c>
      <c r="R224" s="9">
        <f>IF($K224="","",INDEX('سجل التحفيز'!$F$5:$F$2004,MATCH($K224,'سجل التحفيز'!$Z$5:$Z$2004,0)))</f>
        <v/>
      </c>
      <c r="S224" s="35">
        <f>IF($K224="","",INDEX('سجل التحفيز'!$G$5:$G$2004,MATCH($K224,'سجل التحفيز'!$Z$5:$Z$2004,0)))</f>
        <v/>
      </c>
    </row>
    <row r="225">
      <c r="K225" s="36">
        <f>IF(188&gt;$B$10,"",188)</f>
        <v/>
      </c>
      <c r="L225" s="37">
        <f>IF($K225="","",INDEX('سجل التحفيز'!$A$5:$A$2004,MATCH($K225,'سجل التحفيز'!$Z$5:$Z$2004,0)))</f>
        <v/>
      </c>
      <c r="M225" s="9">
        <f>IF($K225="","",INDEX('سجل التحفيز'!$B$5:$B$2004,MATCH($K225,'سجل التحفيز'!$Z$5:$Z$2004,0)))</f>
        <v/>
      </c>
      <c r="N225" s="9">
        <f>IF($K225="","",INDEX('سجل التحفيز'!$M$5:$M$2004,MATCH($K225,'سجل التحفيز'!$Z$5:$Z$2004,0)))</f>
        <v/>
      </c>
      <c r="O225" s="9">
        <f>IF($K225="","",INDEX('سجل التحفيز'!$C$5:$C$2004,MATCH($K225,'سجل التحفيز'!$Z$5:$Z$2004,0)))</f>
        <v/>
      </c>
      <c r="P225" s="36">
        <f>IF($K225="","",INDEX('سجل التحفيز'!$D$5:$D$2004,MATCH($K225,'سجل التحفيز'!$Z$5:$Z$2004,0)))</f>
        <v/>
      </c>
      <c r="Q225" s="9">
        <f>IF($K225="","",INDEX('سجل التحفيز'!$E$5:$E$2004,MATCH($K225,'سجل التحفيز'!$Z$5:$Z$2004,0)))</f>
        <v/>
      </c>
      <c r="R225" s="9">
        <f>IF($K225="","",INDEX('سجل التحفيز'!$F$5:$F$2004,MATCH($K225,'سجل التحفيز'!$Z$5:$Z$2004,0)))</f>
        <v/>
      </c>
      <c r="S225" s="35">
        <f>IF($K225="","",INDEX('سجل التحفيز'!$G$5:$G$2004,MATCH($K225,'سجل التحفيز'!$Z$5:$Z$2004,0)))</f>
        <v/>
      </c>
    </row>
    <row r="226">
      <c r="K226" s="36">
        <f>IF(189&gt;$B$10,"",189)</f>
        <v/>
      </c>
      <c r="L226" s="37">
        <f>IF($K226="","",INDEX('سجل التحفيز'!$A$5:$A$2004,MATCH($K226,'سجل التحفيز'!$Z$5:$Z$2004,0)))</f>
        <v/>
      </c>
      <c r="M226" s="9">
        <f>IF($K226="","",INDEX('سجل التحفيز'!$B$5:$B$2004,MATCH($K226,'سجل التحفيز'!$Z$5:$Z$2004,0)))</f>
        <v/>
      </c>
      <c r="N226" s="9">
        <f>IF($K226="","",INDEX('سجل التحفيز'!$M$5:$M$2004,MATCH($K226,'سجل التحفيز'!$Z$5:$Z$2004,0)))</f>
        <v/>
      </c>
      <c r="O226" s="9">
        <f>IF($K226="","",INDEX('سجل التحفيز'!$C$5:$C$2004,MATCH($K226,'سجل التحفيز'!$Z$5:$Z$2004,0)))</f>
        <v/>
      </c>
      <c r="P226" s="36">
        <f>IF($K226="","",INDEX('سجل التحفيز'!$D$5:$D$2004,MATCH($K226,'سجل التحفيز'!$Z$5:$Z$2004,0)))</f>
        <v/>
      </c>
      <c r="Q226" s="9">
        <f>IF($K226="","",INDEX('سجل التحفيز'!$E$5:$E$2004,MATCH($K226,'سجل التحفيز'!$Z$5:$Z$2004,0)))</f>
        <v/>
      </c>
      <c r="R226" s="9">
        <f>IF($K226="","",INDEX('سجل التحفيز'!$F$5:$F$2004,MATCH($K226,'سجل التحفيز'!$Z$5:$Z$2004,0)))</f>
        <v/>
      </c>
      <c r="S226" s="35">
        <f>IF($K226="","",INDEX('سجل التحفيز'!$G$5:$G$2004,MATCH($K226,'سجل التحفيز'!$Z$5:$Z$2004,0)))</f>
        <v/>
      </c>
    </row>
    <row r="227">
      <c r="K227" s="36">
        <f>IF(190&gt;$B$10,"",190)</f>
        <v/>
      </c>
      <c r="L227" s="37">
        <f>IF($K227="","",INDEX('سجل التحفيز'!$A$5:$A$2004,MATCH($K227,'سجل التحفيز'!$Z$5:$Z$2004,0)))</f>
        <v/>
      </c>
      <c r="M227" s="9">
        <f>IF($K227="","",INDEX('سجل التحفيز'!$B$5:$B$2004,MATCH($K227,'سجل التحفيز'!$Z$5:$Z$2004,0)))</f>
        <v/>
      </c>
      <c r="N227" s="9">
        <f>IF($K227="","",INDEX('سجل التحفيز'!$M$5:$M$2004,MATCH($K227,'سجل التحفيز'!$Z$5:$Z$2004,0)))</f>
        <v/>
      </c>
      <c r="O227" s="9">
        <f>IF($K227="","",INDEX('سجل التحفيز'!$C$5:$C$2004,MATCH($K227,'سجل التحفيز'!$Z$5:$Z$2004,0)))</f>
        <v/>
      </c>
      <c r="P227" s="36">
        <f>IF($K227="","",INDEX('سجل التحفيز'!$D$5:$D$2004,MATCH($K227,'سجل التحفيز'!$Z$5:$Z$2004,0)))</f>
        <v/>
      </c>
      <c r="Q227" s="9">
        <f>IF($K227="","",INDEX('سجل التحفيز'!$E$5:$E$2004,MATCH($K227,'سجل التحفيز'!$Z$5:$Z$2004,0)))</f>
        <v/>
      </c>
      <c r="R227" s="9">
        <f>IF($K227="","",INDEX('سجل التحفيز'!$F$5:$F$2004,MATCH($K227,'سجل التحفيز'!$Z$5:$Z$2004,0)))</f>
        <v/>
      </c>
      <c r="S227" s="35">
        <f>IF($K227="","",INDEX('سجل التحفيز'!$G$5:$G$2004,MATCH($K227,'سجل التحفيز'!$Z$5:$Z$2004,0)))</f>
        <v/>
      </c>
    </row>
    <row r="228">
      <c r="K228" s="36">
        <f>IF(191&gt;$B$10,"",191)</f>
        <v/>
      </c>
      <c r="L228" s="37">
        <f>IF($K228="","",INDEX('سجل التحفيز'!$A$5:$A$2004,MATCH($K228,'سجل التحفيز'!$Z$5:$Z$2004,0)))</f>
        <v/>
      </c>
      <c r="M228" s="9">
        <f>IF($K228="","",INDEX('سجل التحفيز'!$B$5:$B$2004,MATCH($K228,'سجل التحفيز'!$Z$5:$Z$2004,0)))</f>
        <v/>
      </c>
      <c r="N228" s="9">
        <f>IF($K228="","",INDEX('سجل التحفيز'!$M$5:$M$2004,MATCH($K228,'سجل التحفيز'!$Z$5:$Z$2004,0)))</f>
        <v/>
      </c>
      <c r="O228" s="9">
        <f>IF($K228="","",INDEX('سجل التحفيز'!$C$5:$C$2004,MATCH($K228,'سجل التحفيز'!$Z$5:$Z$2004,0)))</f>
        <v/>
      </c>
      <c r="P228" s="36">
        <f>IF($K228="","",INDEX('سجل التحفيز'!$D$5:$D$2004,MATCH($K228,'سجل التحفيز'!$Z$5:$Z$2004,0)))</f>
        <v/>
      </c>
      <c r="Q228" s="9">
        <f>IF($K228="","",INDEX('سجل التحفيز'!$E$5:$E$2004,MATCH($K228,'سجل التحفيز'!$Z$5:$Z$2004,0)))</f>
        <v/>
      </c>
      <c r="R228" s="9">
        <f>IF($K228="","",INDEX('سجل التحفيز'!$F$5:$F$2004,MATCH($K228,'سجل التحفيز'!$Z$5:$Z$2004,0)))</f>
        <v/>
      </c>
      <c r="S228" s="35">
        <f>IF($K228="","",INDEX('سجل التحفيز'!$G$5:$G$2004,MATCH($K228,'سجل التحفيز'!$Z$5:$Z$2004,0)))</f>
        <v/>
      </c>
    </row>
    <row r="229">
      <c r="K229" s="36">
        <f>IF(192&gt;$B$10,"",192)</f>
        <v/>
      </c>
      <c r="L229" s="37">
        <f>IF($K229="","",INDEX('سجل التحفيز'!$A$5:$A$2004,MATCH($K229,'سجل التحفيز'!$Z$5:$Z$2004,0)))</f>
        <v/>
      </c>
      <c r="M229" s="9">
        <f>IF($K229="","",INDEX('سجل التحفيز'!$B$5:$B$2004,MATCH($K229,'سجل التحفيز'!$Z$5:$Z$2004,0)))</f>
        <v/>
      </c>
      <c r="N229" s="9">
        <f>IF($K229="","",INDEX('سجل التحفيز'!$M$5:$M$2004,MATCH($K229,'سجل التحفيز'!$Z$5:$Z$2004,0)))</f>
        <v/>
      </c>
      <c r="O229" s="9">
        <f>IF($K229="","",INDEX('سجل التحفيز'!$C$5:$C$2004,MATCH($K229,'سجل التحفيز'!$Z$5:$Z$2004,0)))</f>
        <v/>
      </c>
      <c r="P229" s="36">
        <f>IF($K229="","",INDEX('سجل التحفيز'!$D$5:$D$2004,MATCH($K229,'سجل التحفيز'!$Z$5:$Z$2004,0)))</f>
        <v/>
      </c>
      <c r="Q229" s="9">
        <f>IF($K229="","",INDEX('سجل التحفيز'!$E$5:$E$2004,MATCH($K229,'سجل التحفيز'!$Z$5:$Z$2004,0)))</f>
        <v/>
      </c>
      <c r="R229" s="9">
        <f>IF($K229="","",INDEX('سجل التحفيز'!$F$5:$F$2004,MATCH($K229,'سجل التحفيز'!$Z$5:$Z$2004,0)))</f>
        <v/>
      </c>
      <c r="S229" s="35">
        <f>IF($K229="","",INDEX('سجل التحفيز'!$G$5:$G$2004,MATCH($K229,'سجل التحفيز'!$Z$5:$Z$2004,0)))</f>
        <v/>
      </c>
    </row>
    <row r="230">
      <c r="K230" s="36">
        <f>IF(193&gt;$B$10,"",193)</f>
        <v/>
      </c>
      <c r="L230" s="37">
        <f>IF($K230="","",INDEX('سجل التحفيز'!$A$5:$A$2004,MATCH($K230,'سجل التحفيز'!$Z$5:$Z$2004,0)))</f>
        <v/>
      </c>
      <c r="M230" s="9">
        <f>IF($K230="","",INDEX('سجل التحفيز'!$B$5:$B$2004,MATCH($K230,'سجل التحفيز'!$Z$5:$Z$2004,0)))</f>
        <v/>
      </c>
      <c r="N230" s="9">
        <f>IF($K230="","",INDEX('سجل التحفيز'!$M$5:$M$2004,MATCH($K230,'سجل التحفيز'!$Z$5:$Z$2004,0)))</f>
        <v/>
      </c>
      <c r="O230" s="9">
        <f>IF($K230="","",INDEX('سجل التحفيز'!$C$5:$C$2004,MATCH($K230,'سجل التحفيز'!$Z$5:$Z$2004,0)))</f>
        <v/>
      </c>
      <c r="P230" s="36">
        <f>IF($K230="","",INDEX('سجل التحفيز'!$D$5:$D$2004,MATCH($K230,'سجل التحفيز'!$Z$5:$Z$2004,0)))</f>
        <v/>
      </c>
      <c r="Q230" s="9">
        <f>IF($K230="","",INDEX('سجل التحفيز'!$E$5:$E$2004,MATCH($K230,'سجل التحفيز'!$Z$5:$Z$2004,0)))</f>
        <v/>
      </c>
      <c r="R230" s="9">
        <f>IF($K230="","",INDEX('سجل التحفيز'!$F$5:$F$2004,MATCH($K230,'سجل التحفيز'!$Z$5:$Z$2004,0)))</f>
        <v/>
      </c>
      <c r="S230" s="35">
        <f>IF($K230="","",INDEX('سجل التحفيز'!$G$5:$G$2004,MATCH($K230,'سجل التحفيز'!$Z$5:$Z$2004,0)))</f>
        <v/>
      </c>
    </row>
    <row r="231">
      <c r="K231" s="36">
        <f>IF(194&gt;$B$10,"",194)</f>
        <v/>
      </c>
      <c r="L231" s="37">
        <f>IF($K231="","",INDEX('سجل التحفيز'!$A$5:$A$2004,MATCH($K231,'سجل التحفيز'!$Z$5:$Z$2004,0)))</f>
        <v/>
      </c>
      <c r="M231" s="9">
        <f>IF($K231="","",INDEX('سجل التحفيز'!$B$5:$B$2004,MATCH($K231,'سجل التحفيز'!$Z$5:$Z$2004,0)))</f>
        <v/>
      </c>
      <c r="N231" s="9">
        <f>IF($K231="","",INDEX('سجل التحفيز'!$M$5:$M$2004,MATCH($K231,'سجل التحفيز'!$Z$5:$Z$2004,0)))</f>
        <v/>
      </c>
      <c r="O231" s="9">
        <f>IF($K231="","",INDEX('سجل التحفيز'!$C$5:$C$2004,MATCH($K231,'سجل التحفيز'!$Z$5:$Z$2004,0)))</f>
        <v/>
      </c>
      <c r="P231" s="36">
        <f>IF($K231="","",INDEX('سجل التحفيز'!$D$5:$D$2004,MATCH($K231,'سجل التحفيز'!$Z$5:$Z$2004,0)))</f>
        <v/>
      </c>
      <c r="Q231" s="9">
        <f>IF($K231="","",INDEX('سجل التحفيز'!$E$5:$E$2004,MATCH($K231,'سجل التحفيز'!$Z$5:$Z$2004,0)))</f>
        <v/>
      </c>
      <c r="R231" s="9">
        <f>IF($K231="","",INDEX('سجل التحفيز'!$F$5:$F$2004,MATCH($K231,'سجل التحفيز'!$Z$5:$Z$2004,0)))</f>
        <v/>
      </c>
      <c r="S231" s="35">
        <f>IF($K231="","",INDEX('سجل التحفيز'!$G$5:$G$2004,MATCH($K231,'سجل التحفيز'!$Z$5:$Z$2004,0)))</f>
        <v/>
      </c>
    </row>
    <row r="232">
      <c r="K232" s="36">
        <f>IF(195&gt;$B$10,"",195)</f>
        <v/>
      </c>
      <c r="L232" s="37">
        <f>IF($K232="","",INDEX('سجل التحفيز'!$A$5:$A$2004,MATCH($K232,'سجل التحفيز'!$Z$5:$Z$2004,0)))</f>
        <v/>
      </c>
      <c r="M232" s="9">
        <f>IF($K232="","",INDEX('سجل التحفيز'!$B$5:$B$2004,MATCH($K232,'سجل التحفيز'!$Z$5:$Z$2004,0)))</f>
        <v/>
      </c>
      <c r="N232" s="9">
        <f>IF($K232="","",INDEX('سجل التحفيز'!$M$5:$M$2004,MATCH($K232,'سجل التحفيز'!$Z$5:$Z$2004,0)))</f>
        <v/>
      </c>
      <c r="O232" s="9">
        <f>IF($K232="","",INDEX('سجل التحفيز'!$C$5:$C$2004,MATCH($K232,'سجل التحفيز'!$Z$5:$Z$2004,0)))</f>
        <v/>
      </c>
      <c r="P232" s="36">
        <f>IF($K232="","",INDEX('سجل التحفيز'!$D$5:$D$2004,MATCH($K232,'سجل التحفيز'!$Z$5:$Z$2004,0)))</f>
        <v/>
      </c>
      <c r="Q232" s="9">
        <f>IF($K232="","",INDEX('سجل التحفيز'!$E$5:$E$2004,MATCH($K232,'سجل التحفيز'!$Z$5:$Z$2004,0)))</f>
        <v/>
      </c>
      <c r="R232" s="9">
        <f>IF($K232="","",INDEX('سجل التحفيز'!$F$5:$F$2004,MATCH($K232,'سجل التحفيز'!$Z$5:$Z$2004,0)))</f>
        <v/>
      </c>
      <c r="S232" s="35">
        <f>IF($K232="","",INDEX('سجل التحفيز'!$G$5:$G$2004,MATCH($K232,'سجل التحفيز'!$Z$5:$Z$2004,0)))</f>
        <v/>
      </c>
    </row>
    <row r="233">
      <c r="K233" s="36">
        <f>IF(196&gt;$B$10,"",196)</f>
        <v/>
      </c>
      <c r="L233" s="37">
        <f>IF($K233="","",INDEX('سجل التحفيز'!$A$5:$A$2004,MATCH($K233,'سجل التحفيز'!$Z$5:$Z$2004,0)))</f>
        <v/>
      </c>
      <c r="M233" s="9">
        <f>IF($K233="","",INDEX('سجل التحفيز'!$B$5:$B$2004,MATCH($K233,'سجل التحفيز'!$Z$5:$Z$2004,0)))</f>
        <v/>
      </c>
      <c r="N233" s="9">
        <f>IF($K233="","",INDEX('سجل التحفيز'!$M$5:$M$2004,MATCH($K233,'سجل التحفيز'!$Z$5:$Z$2004,0)))</f>
        <v/>
      </c>
      <c r="O233" s="9">
        <f>IF($K233="","",INDEX('سجل التحفيز'!$C$5:$C$2004,MATCH($K233,'سجل التحفيز'!$Z$5:$Z$2004,0)))</f>
        <v/>
      </c>
      <c r="P233" s="36">
        <f>IF($K233="","",INDEX('سجل التحفيز'!$D$5:$D$2004,MATCH($K233,'سجل التحفيز'!$Z$5:$Z$2004,0)))</f>
        <v/>
      </c>
      <c r="Q233" s="9">
        <f>IF($K233="","",INDEX('سجل التحفيز'!$E$5:$E$2004,MATCH($K233,'سجل التحفيز'!$Z$5:$Z$2004,0)))</f>
        <v/>
      </c>
      <c r="R233" s="9">
        <f>IF($K233="","",INDEX('سجل التحفيز'!$F$5:$F$2004,MATCH($K233,'سجل التحفيز'!$Z$5:$Z$2004,0)))</f>
        <v/>
      </c>
      <c r="S233" s="35">
        <f>IF($K233="","",INDEX('سجل التحفيز'!$G$5:$G$2004,MATCH($K233,'سجل التحفيز'!$Z$5:$Z$2004,0)))</f>
        <v/>
      </c>
    </row>
    <row r="234">
      <c r="K234" s="36">
        <f>IF(197&gt;$B$10,"",197)</f>
        <v/>
      </c>
      <c r="L234" s="37">
        <f>IF($K234="","",INDEX('سجل التحفيز'!$A$5:$A$2004,MATCH($K234,'سجل التحفيز'!$Z$5:$Z$2004,0)))</f>
        <v/>
      </c>
      <c r="M234" s="9">
        <f>IF($K234="","",INDEX('سجل التحفيز'!$B$5:$B$2004,MATCH($K234,'سجل التحفيز'!$Z$5:$Z$2004,0)))</f>
        <v/>
      </c>
      <c r="N234" s="9">
        <f>IF($K234="","",INDEX('سجل التحفيز'!$M$5:$M$2004,MATCH($K234,'سجل التحفيز'!$Z$5:$Z$2004,0)))</f>
        <v/>
      </c>
      <c r="O234" s="9">
        <f>IF($K234="","",INDEX('سجل التحفيز'!$C$5:$C$2004,MATCH($K234,'سجل التحفيز'!$Z$5:$Z$2004,0)))</f>
        <v/>
      </c>
      <c r="P234" s="36">
        <f>IF($K234="","",INDEX('سجل التحفيز'!$D$5:$D$2004,MATCH($K234,'سجل التحفيز'!$Z$5:$Z$2004,0)))</f>
        <v/>
      </c>
      <c r="Q234" s="9">
        <f>IF($K234="","",INDEX('سجل التحفيز'!$E$5:$E$2004,MATCH($K234,'سجل التحفيز'!$Z$5:$Z$2004,0)))</f>
        <v/>
      </c>
      <c r="R234" s="9">
        <f>IF($K234="","",INDEX('سجل التحفيز'!$F$5:$F$2004,MATCH($K234,'سجل التحفيز'!$Z$5:$Z$2004,0)))</f>
        <v/>
      </c>
      <c r="S234" s="35">
        <f>IF($K234="","",INDEX('سجل التحفيز'!$G$5:$G$2004,MATCH($K234,'سجل التحفيز'!$Z$5:$Z$2004,0)))</f>
        <v/>
      </c>
    </row>
    <row r="235">
      <c r="K235" s="36">
        <f>IF(198&gt;$B$10,"",198)</f>
        <v/>
      </c>
      <c r="L235" s="37">
        <f>IF($K235="","",INDEX('سجل التحفيز'!$A$5:$A$2004,MATCH($K235,'سجل التحفيز'!$Z$5:$Z$2004,0)))</f>
        <v/>
      </c>
      <c r="M235" s="9">
        <f>IF($K235="","",INDEX('سجل التحفيز'!$B$5:$B$2004,MATCH($K235,'سجل التحفيز'!$Z$5:$Z$2004,0)))</f>
        <v/>
      </c>
      <c r="N235" s="9">
        <f>IF($K235="","",INDEX('سجل التحفيز'!$M$5:$M$2004,MATCH($K235,'سجل التحفيز'!$Z$5:$Z$2004,0)))</f>
        <v/>
      </c>
      <c r="O235" s="9">
        <f>IF($K235="","",INDEX('سجل التحفيز'!$C$5:$C$2004,MATCH($K235,'سجل التحفيز'!$Z$5:$Z$2004,0)))</f>
        <v/>
      </c>
      <c r="P235" s="36">
        <f>IF($K235="","",INDEX('سجل التحفيز'!$D$5:$D$2004,MATCH($K235,'سجل التحفيز'!$Z$5:$Z$2004,0)))</f>
        <v/>
      </c>
      <c r="Q235" s="9">
        <f>IF($K235="","",INDEX('سجل التحفيز'!$E$5:$E$2004,MATCH($K235,'سجل التحفيز'!$Z$5:$Z$2004,0)))</f>
        <v/>
      </c>
      <c r="R235" s="9">
        <f>IF($K235="","",INDEX('سجل التحفيز'!$F$5:$F$2004,MATCH($K235,'سجل التحفيز'!$Z$5:$Z$2004,0)))</f>
        <v/>
      </c>
      <c r="S235" s="35">
        <f>IF($K235="","",INDEX('سجل التحفيز'!$G$5:$G$2004,MATCH($K235,'سجل التحفيز'!$Z$5:$Z$2004,0)))</f>
        <v/>
      </c>
    </row>
    <row r="236">
      <c r="K236" s="36">
        <f>IF(199&gt;$B$10,"",199)</f>
        <v/>
      </c>
      <c r="L236" s="37">
        <f>IF($K236="","",INDEX('سجل التحفيز'!$A$5:$A$2004,MATCH($K236,'سجل التحفيز'!$Z$5:$Z$2004,0)))</f>
        <v/>
      </c>
      <c r="M236" s="9">
        <f>IF($K236="","",INDEX('سجل التحفيز'!$B$5:$B$2004,MATCH($K236,'سجل التحفيز'!$Z$5:$Z$2004,0)))</f>
        <v/>
      </c>
      <c r="N236" s="9">
        <f>IF($K236="","",INDEX('سجل التحفيز'!$M$5:$M$2004,MATCH($K236,'سجل التحفيز'!$Z$5:$Z$2004,0)))</f>
        <v/>
      </c>
      <c r="O236" s="9">
        <f>IF($K236="","",INDEX('سجل التحفيز'!$C$5:$C$2004,MATCH($K236,'سجل التحفيز'!$Z$5:$Z$2004,0)))</f>
        <v/>
      </c>
      <c r="P236" s="36">
        <f>IF($K236="","",INDEX('سجل التحفيز'!$D$5:$D$2004,MATCH($K236,'سجل التحفيز'!$Z$5:$Z$2004,0)))</f>
        <v/>
      </c>
      <c r="Q236" s="9">
        <f>IF($K236="","",INDEX('سجل التحفيز'!$E$5:$E$2004,MATCH($K236,'سجل التحفيز'!$Z$5:$Z$2004,0)))</f>
        <v/>
      </c>
      <c r="R236" s="9">
        <f>IF($K236="","",INDEX('سجل التحفيز'!$F$5:$F$2004,MATCH($K236,'سجل التحفيز'!$Z$5:$Z$2004,0)))</f>
        <v/>
      </c>
      <c r="S236" s="35">
        <f>IF($K236="","",INDEX('سجل التحفيز'!$G$5:$G$2004,MATCH($K236,'سجل التحفيز'!$Z$5:$Z$2004,0)))</f>
        <v/>
      </c>
    </row>
    <row r="237">
      <c r="K237" s="36">
        <f>IF(200&gt;$B$10,"",200)</f>
        <v/>
      </c>
      <c r="L237" s="37">
        <f>IF($K237="","",INDEX('سجل التحفيز'!$A$5:$A$2004,MATCH($K237,'سجل التحفيز'!$Z$5:$Z$2004,0)))</f>
        <v/>
      </c>
      <c r="M237" s="9">
        <f>IF($K237="","",INDEX('سجل التحفيز'!$B$5:$B$2004,MATCH($K237,'سجل التحفيز'!$Z$5:$Z$2004,0)))</f>
        <v/>
      </c>
      <c r="N237" s="9">
        <f>IF($K237="","",INDEX('سجل التحفيز'!$M$5:$M$2004,MATCH($K237,'سجل التحفيز'!$Z$5:$Z$2004,0)))</f>
        <v/>
      </c>
      <c r="O237" s="9">
        <f>IF($K237="","",INDEX('سجل التحفيز'!$C$5:$C$2004,MATCH($K237,'سجل التحفيز'!$Z$5:$Z$2004,0)))</f>
        <v/>
      </c>
      <c r="P237" s="36">
        <f>IF($K237="","",INDEX('سجل التحفيز'!$D$5:$D$2004,MATCH($K237,'سجل التحفيز'!$Z$5:$Z$2004,0)))</f>
        <v/>
      </c>
      <c r="Q237" s="9">
        <f>IF($K237="","",INDEX('سجل التحفيز'!$E$5:$E$2004,MATCH($K237,'سجل التحفيز'!$Z$5:$Z$2004,0)))</f>
        <v/>
      </c>
      <c r="R237" s="9">
        <f>IF($K237="","",INDEX('سجل التحفيز'!$F$5:$F$2004,MATCH($K237,'سجل التحفيز'!$Z$5:$Z$2004,0)))</f>
        <v/>
      </c>
      <c r="S237" s="35">
        <f>IF($K237="","",INDEX('سجل التحفيز'!$G$5:$G$2004,MATCH($K237,'سجل التحفيز'!$Z$5:$Z$2004,0)))</f>
        <v/>
      </c>
    </row>
    <row r="238">
      <c r="K238" s="36">
        <f>IF(201&gt;$B$10,"",201)</f>
        <v/>
      </c>
      <c r="L238" s="37">
        <f>IF($K238="","",INDEX('سجل التحفيز'!$A$5:$A$2004,MATCH($K238,'سجل التحفيز'!$Z$5:$Z$2004,0)))</f>
        <v/>
      </c>
      <c r="M238" s="9">
        <f>IF($K238="","",INDEX('سجل التحفيز'!$B$5:$B$2004,MATCH($K238,'سجل التحفيز'!$Z$5:$Z$2004,0)))</f>
        <v/>
      </c>
      <c r="N238" s="9">
        <f>IF($K238="","",INDEX('سجل التحفيز'!$M$5:$M$2004,MATCH($K238,'سجل التحفيز'!$Z$5:$Z$2004,0)))</f>
        <v/>
      </c>
      <c r="O238" s="9">
        <f>IF($K238="","",INDEX('سجل التحفيز'!$C$5:$C$2004,MATCH($K238,'سجل التحفيز'!$Z$5:$Z$2004,0)))</f>
        <v/>
      </c>
      <c r="P238" s="36">
        <f>IF($K238="","",INDEX('سجل التحفيز'!$D$5:$D$2004,MATCH($K238,'سجل التحفيز'!$Z$5:$Z$2004,0)))</f>
        <v/>
      </c>
      <c r="Q238" s="9">
        <f>IF($K238="","",INDEX('سجل التحفيز'!$E$5:$E$2004,MATCH($K238,'سجل التحفيز'!$Z$5:$Z$2004,0)))</f>
        <v/>
      </c>
      <c r="R238" s="9">
        <f>IF($K238="","",INDEX('سجل التحفيز'!$F$5:$F$2004,MATCH($K238,'سجل التحفيز'!$Z$5:$Z$2004,0)))</f>
        <v/>
      </c>
      <c r="S238" s="35">
        <f>IF($K238="","",INDEX('سجل التحفيز'!$G$5:$G$2004,MATCH($K238,'سجل التحفيز'!$Z$5:$Z$2004,0)))</f>
        <v/>
      </c>
    </row>
    <row r="239">
      <c r="K239" s="36">
        <f>IF(202&gt;$B$10,"",202)</f>
        <v/>
      </c>
      <c r="L239" s="37">
        <f>IF($K239="","",INDEX('سجل التحفيز'!$A$5:$A$2004,MATCH($K239,'سجل التحفيز'!$Z$5:$Z$2004,0)))</f>
        <v/>
      </c>
      <c r="M239" s="9">
        <f>IF($K239="","",INDEX('سجل التحفيز'!$B$5:$B$2004,MATCH($K239,'سجل التحفيز'!$Z$5:$Z$2004,0)))</f>
        <v/>
      </c>
      <c r="N239" s="9">
        <f>IF($K239="","",INDEX('سجل التحفيز'!$M$5:$M$2004,MATCH($K239,'سجل التحفيز'!$Z$5:$Z$2004,0)))</f>
        <v/>
      </c>
      <c r="O239" s="9">
        <f>IF($K239="","",INDEX('سجل التحفيز'!$C$5:$C$2004,MATCH($K239,'سجل التحفيز'!$Z$5:$Z$2004,0)))</f>
        <v/>
      </c>
      <c r="P239" s="36">
        <f>IF($K239="","",INDEX('سجل التحفيز'!$D$5:$D$2004,MATCH($K239,'سجل التحفيز'!$Z$5:$Z$2004,0)))</f>
        <v/>
      </c>
      <c r="Q239" s="9">
        <f>IF($K239="","",INDEX('سجل التحفيز'!$E$5:$E$2004,MATCH($K239,'سجل التحفيز'!$Z$5:$Z$2004,0)))</f>
        <v/>
      </c>
      <c r="R239" s="9">
        <f>IF($K239="","",INDEX('سجل التحفيز'!$F$5:$F$2004,MATCH($K239,'سجل التحفيز'!$Z$5:$Z$2004,0)))</f>
        <v/>
      </c>
      <c r="S239" s="35">
        <f>IF($K239="","",INDEX('سجل التحفيز'!$G$5:$G$2004,MATCH($K239,'سجل التحفيز'!$Z$5:$Z$2004,0)))</f>
        <v/>
      </c>
    </row>
    <row r="240">
      <c r="K240" s="36">
        <f>IF(203&gt;$B$10,"",203)</f>
        <v/>
      </c>
      <c r="L240" s="37">
        <f>IF($K240="","",INDEX('سجل التحفيز'!$A$5:$A$2004,MATCH($K240,'سجل التحفيز'!$Z$5:$Z$2004,0)))</f>
        <v/>
      </c>
      <c r="M240" s="9">
        <f>IF($K240="","",INDEX('سجل التحفيز'!$B$5:$B$2004,MATCH($K240,'سجل التحفيز'!$Z$5:$Z$2004,0)))</f>
        <v/>
      </c>
      <c r="N240" s="9">
        <f>IF($K240="","",INDEX('سجل التحفيز'!$M$5:$M$2004,MATCH($K240,'سجل التحفيز'!$Z$5:$Z$2004,0)))</f>
        <v/>
      </c>
      <c r="O240" s="9">
        <f>IF($K240="","",INDEX('سجل التحفيز'!$C$5:$C$2004,MATCH($K240,'سجل التحفيز'!$Z$5:$Z$2004,0)))</f>
        <v/>
      </c>
      <c r="P240" s="36">
        <f>IF($K240="","",INDEX('سجل التحفيز'!$D$5:$D$2004,MATCH($K240,'سجل التحفيز'!$Z$5:$Z$2004,0)))</f>
        <v/>
      </c>
      <c r="Q240" s="9">
        <f>IF($K240="","",INDEX('سجل التحفيز'!$E$5:$E$2004,MATCH($K240,'سجل التحفيز'!$Z$5:$Z$2004,0)))</f>
        <v/>
      </c>
      <c r="R240" s="9">
        <f>IF($K240="","",INDEX('سجل التحفيز'!$F$5:$F$2004,MATCH($K240,'سجل التحفيز'!$Z$5:$Z$2004,0)))</f>
        <v/>
      </c>
      <c r="S240" s="35">
        <f>IF($K240="","",INDEX('سجل التحفيز'!$G$5:$G$2004,MATCH($K240,'سجل التحفيز'!$Z$5:$Z$2004,0)))</f>
        <v/>
      </c>
    </row>
    <row r="241">
      <c r="K241" s="36">
        <f>IF(204&gt;$B$10,"",204)</f>
        <v/>
      </c>
      <c r="L241" s="37">
        <f>IF($K241="","",INDEX('سجل التحفيز'!$A$5:$A$2004,MATCH($K241,'سجل التحفيز'!$Z$5:$Z$2004,0)))</f>
        <v/>
      </c>
      <c r="M241" s="9">
        <f>IF($K241="","",INDEX('سجل التحفيز'!$B$5:$B$2004,MATCH($K241,'سجل التحفيز'!$Z$5:$Z$2004,0)))</f>
        <v/>
      </c>
      <c r="N241" s="9">
        <f>IF($K241="","",INDEX('سجل التحفيز'!$M$5:$M$2004,MATCH($K241,'سجل التحفيز'!$Z$5:$Z$2004,0)))</f>
        <v/>
      </c>
      <c r="O241" s="9">
        <f>IF($K241="","",INDEX('سجل التحفيز'!$C$5:$C$2004,MATCH($K241,'سجل التحفيز'!$Z$5:$Z$2004,0)))</f>
        <v/>
      </c>
      <c r="P241" s="36">
        <f>IF($K241="","",INDEX('سجل التحفيز'!$D$5:$D$2004,MATCH($K241,'سجل التحفيز'!$Z$5:$Z$2004,0)))</f>
        <v/>
      </c>
      <c r="Q241" s="9">
        <f>IF($K241="","",INDEX('سجل التحفيز'!$E$5:$E$2004,MATCH($K241,'سجل التحفيز'!$Z$5:$Z$2004,0)))</f>
        <v/>
      </c>
      <c r="R241" s="9">
        <f>IF($K241="","",INDEX('سجل التحفيز'!$F$5:$F$2004,MATCH($K241,'سجل التحفيز'!$Z$5:$Z$2004,0)))</f>
        <v/>
      </c>
      <c r="S241" s="35">
        <f>IF($K241="","",INDEX('سجل التحفيز'!$G$5:$G$2004,MATCH($K241,'سجل التحفيز'!$Z$5:$Z$2004,0)))</f>
        <v/>
      </c>
    </row>
    <row r="242">
      <c r="K242" s="36">
        <f>IF(205&gt;$B$10,"",205)</f>
        <v/>
      </c>
      <c r="L242" s="37">
        <f>IF($K242="","",INDEX('سجل التحفيز'!$A$5:$A$2004,MATCH($K242,'سجل التحفيز'!$Z$5:$Z$2004,0)))</f>
        <v/>
      </c>
      <c r="M242" s="9">
        <f>IF($K242="","",INDEX('سجل التحفيز'!$B$5:$B$2004,MATCH($K242,'سجل التحفيز'!$Z$5:$Z$2004,0)))</f>
        <v/>
      </c>
      <c r="N242" s="9">
        <f>IF($K242="","",INDEX('سجل التحفيز'!$M$5:$M$2004,MATCH($K242,'سجل التحفيز'!$Z$5:$Z$2004,0)))</f>
        <v/>
      </c>
      <c r="O242" s="9">
        <f>IF($K242="","",INDEX('سجل التحفيز'!$C$5:$C$2004,MATCH($K242,'سجل التحفيز'!$Z$5:$Z$2004,0)))</f>
        <v/>
      </c>
      <c r="P242" s="36">
        <f>IF($K242="","",INDEX('سجل التحفيز'!$D$5:$D$2004,MATCH($K242,'سجل التحفيز'!$Z$5:$Z$2004,0)))</f>
        <v/>
      </c>
      <c r="Q242" s="9">
        <f>IF($K242="","",INDEX('سجل التحفيز'!$E$5:$E$2004,MATCH($K242,'سجل التحفيز'!$Z$5:$Z$2004,0)))</f>
        <v/>
      </c>
      <c r="R242" s="9">
        <f>IF($K242="","",INDEX('سجل التحفيز'!$F$5:$F$2004,MATCH($K242,'سجل التحفيز'!$Z$5:$Z$2004,0)))</f>
        <v/>
      </c>
      <c r="S242" s="35">
        <f>IF($K242="","",INDEX('سجل التحفيز'!$G$5:$G$2004,MATCH($K242,'سجل التحفيز'!$Z$5:$Z$2004,0)))</f>
        <v/>
      </c>
    </row>
    <row r="243">
      <c r="K243" s="36">
        <f>IF(206&gt;$B$10,"",206)</f>
        <v/>
      </c>
      <c r="L243" s="37">
        <f>IF($K243="","",INDEX('سجل التحفيز'!$A$5:$A$2004,MATCH($K243,'سجل التحفيز'!$Z$5:$Z$2004,0)))</f>
        <v/>
      </c>
      <c r="M243" s="9">
        <f>IF($K243="","",INDEX('سجل التحفيز'!$B$5:$B$2004,MATCH($K243,'سجل التحفيز'!$Z$5:$Z$2004,0)))</f>
        <v/>
      </c>
      <c r="N243" s="9">
        <f>IF($K243="","",INDEX('سجل التحفيز'!$M$5:$M$2004,MATCH($K243,'سجل التحفيز'!$Z$5:$Z$2004,0)))</f>
        <v/>
      </c>
      <c r="O243" s="9">
        <f>IF($K243="","",INDEX('سجل التحفيز'!$C$5:$C$2004,MATCH($K243,'سجل التحفيز'!$Z$5:$Z$2004,0)))</f>
        <v/>
      </c>
      <c r="P243" s="36">
        <f>IF($K243="","",INDEX('سجل التحفيز'!$D$5:$D$2004,MATCH($K243,'سجل التحفيز'!$Z$5:$Z$2004,0)))</f>
        <v/>
      </c>
      <c r="Q243" s="9">
        <f>IF($K243="","",INDEX('سجل التحفيز'!$E$5:$E$2004,MATCH($K243,'سجل التحفيز'!$Z$5:$Z$2004,0)))</f>
        <v/>
      </c>
      <c r="R243" s="9">
        <f>IF($K243="","",INDEX('سجل التحفيز'!$F$5:$F$2004,MATCH($K243,'سجل التحفيز'!$Z$5:$Z$2004,0)))</f>
        <v/>
      </c>
      <c r="S243" s="35">
        <f>IF($K243="","",INDEX('سجل التحفيز'!$G$5:$G$2004,MATCH($K243,'سجل التحفيز'!$Z$5:$Z$2004,0)))</f>
        <v/>
      </c>
    </row>
    <row r="244">
      <c r="K244" s="36">
        <f>IF(207&gt;$B$10,"",207)</f>
        <v/>
      </c>
      <c r="L244" s="37">
        <f>IF($K244="","",INDEX('سجل التحفيز'!$A$5:$A$2004,MATCH($K244,'سجل التحفيز'!$Z$5:$Z$2004,0)))</f>
        <v/>
      </c>
      <c r="M244" s="9">
        <f>IF($K244="","",INDEX('سجل التحفيز'!$B$5:$B$2004,MATCH($K244,'سجل التحفيز'!$Z$5:$Z$2004,0)))</f>
        <v/>
      </c>
      <c r="N244" s="9">
        <f>IF($K244="","",INDEX('سجل التحفيز'!$M$5:$M$2004,MATCH($K244,'سجل التحفيز'!$Z$5:$Z$2004,0)))</f>
        <v/>
      </c>
      <c r="O244" s="9">
        <f>IF($K244="","",INDEX('سجل التحفيز'!$C$5:$C$2004,MATCH($K244,'سجل التحفيز'!$Z$5:$Z$2004,0)))</f>
        <v/>
      </c>
      <c r="P244" s="36">
        <f>IF($K244="","",INDEX('سجل التحفيز'!$D$5:$D$2004,MATCH($K244,'سجل التحفيز'!$Z$5:$Z$2004,0)))</f>
        <v/>
      </c>
      <c r="Q244" s="9">
        <f>IF($K244="","",INDEX('سجل التحفيز'!$E$5:$E$2004,MATCH($K244,'سجل التحفيز'!$Z$5:$Z$2004,0)))</f>
        <v/>
      </c>
      <c r="R244" s="9">
        <f>IF($K244="","",INDEX('سجل التحفيز'!$F$5:$F$2004,MATCH($K244,'سجل التحفيز'!$Z$5:$Z$2004,0)))</f>
        <v/>
      </c>
      <c r="S244" s="35">
        <f>IF($K244="","",INDEX('سجل التحفيز'!$G$5:$G$2004,MATCH($K244,'سجل التحفيز'!$Z$5:$Z$2004,0)))</f>
        <v/>
      </c>
    </row>
    <row r="245">
      <c r="K245" s="36">
        <f>IF(208&gt;$B$10,"",208)</f>
        <v/>
      </c>
      <c r="L245" s="37">
        <f>IF($K245="","",INDEX('سجل التحفيز'!$A$5:$A$2004,MATCH($K245,'سجل التحفيز'!$Z$5:$Z$2004,0)))</f>
        <v/>
      </c>
      <c r="M245" s="9">
        <f>IF($K245="","",INDEX('سجل التحفيز'!$B$5:$B$2004,MATCH($K245,'سجل التحفيز'!$Z$5:$Z$2004,0)))</f>
        <v/>
      </c>
      <c r="N245" s="9">
        <f>IF($K245="","",INDEX('سجل التحفيز'!$M$5:$M$2004,MATCH($K245,'سجل التحفيز'!$Z$5:$Z$2004,0)))</f>
        <v/>
      </c>
      <c r="O245" s="9">
        <f>IF($K245="","",INDEX('سجل التحفيز'!$C$5:$C$2004,MATCH($K245,'سجل التحفيز'!$Z$5:$Z$2004,0)))</f>
        <v/>
      </c>
      <c r="P245" s="36">
        <f>IF($K245="","",INDEX('سجل التحفيز'!$D$5:$D$2004,MATCH($K245,'سجل التحفيز'!$Z$5:$Z$2004,0)))</f>
        <v/>
      </c>
      <c r="Q245" s="9">
        <f>IF($K245="","",INDEX('سجل التحفيز'!$E$5:$E$2004,MATCH($K245,'سجل التحفيز'!$Z$5:$Z$2004,0)))</f>
        <v/>
      </c>
      <c r="R245" s="9">
        <f>IF($K245="","",INDEX('سجل التحفيز'!$F$5:$F$2004,MATCH($K245,'سجل التحفيز'!$Z$5:$Z$2004,0)))</f>
        <v/>
      </c>
      <c r="S245" s="35">
        <f>IF($K245="","",INDEX('سجل التحفيز'!$G$5:$G$2004,MATCH($K245,'سجل التحفيز'!$Z$5:$Z$2004,0)))</f>
        <v/>
      </c>
    </row>
    <row r="246">
      <c r="K246" s="36">
        <f>IF(209&gt;$B$10,"",209)</f>
        <v/>
      </c>
      <c r="L246" s="37">
        <f>IF($K246="","",INDEX('سجل التحفيز'!$A$5:$A$2004,MATCH($K246,'سجل التحفيز'!$Z$5:$Z$2004,0)))</f>
        <v/>
      </c>
      <c r="M246" s="9">
        <f>IF($K246="","",INDEX('سجل التحفيز'!$B$5:$B$2004,MATCH($K246,'سجل التحفيز'!$Z$5:$Z$2004,0)))</f>
        <v/>
      </c>
      <c r="N246" s="9">
        <f>IF($K246="","",INDEX('سجل التحفيز'!$M$5:$M$2004,MATCH($K246,'سجل التحفيز'!$Z$5:$Z$2004,0)))</f>
        <v/>
      </c>
      <c r="O246" s="9">
        <f>IF($K246="","",INDEX('سجل التحفيز'!$C$5:$C$2004,MATCH($K246,'سجل التحفيز'!$Z$5:$Z$2004,0)))</f>
        <v/>
      </c>
      <c r="P246" s="36">
        <f>IF($K246="","",INDEX('سجل التحفيز'!$D$5:$D$2004,MATCH($K246,'سجل التحفيز'!$Z$5:$Z$2004,0)))</f>
        <v/>
      </c>
      <c r="Q246" s="9">
        <f>IF($K246="","",INDEX('سجل التحفيز'!$E$5:$E$2004,MATCH($K246,'سجل التحفيز'!$Z$5:$Z$2004,0)))</f>
        <v/>
      </c>
      <c r="R246" s="9">
        <f>IF($K246="","",INDEX('سجل التحفيز'!$F$5:$F$2004,MATCH($K246,'سجل التحفيز'!$Z$5:$Z$2004,0)))</f>
        <v/>
      </c>
      <c r="S246" s="35">
        <f>IF($K246="","",INDEX('سجل التحفيز'!$G$5:$G$2004,MATCH($K246,'سجل التحفيز'!$Z$5:$Z$2004,0)))</f>
        <v/>
      </c>
    </row>
    <row r="247">
      <c r="K247" s="36">
        <f>IF(210&gt;$B$10,"",210)</f>
        <v/>
      </c>
      <c r="L247" s="37">
        <f>IF($K247="","",INDEX('سجل التحفيز'!$A$5:$A$2004,MATCH($K247,'سجل التحفيز'!$Z$5:$Z$2004,0)))</f>
        <v/>
      </c>
      <c r="M247" s="9">
        <f>IF($K247="","",INDEX('سجل التحفيز'!$B$5:$B$2004,MATCH($K247,'سجل التحفيز'!$Z$5:$Z$2004,0)))</f>
        <v/>
      </c>
      <c r="N247" s="9">
        <f>IF($K247="","",INDEX('سجل التحفيز'!$M$5:$M$2004,MATCH($K247,'سجل التحفيز'!$Z$5:$Z$2004,0)))</f>
        <v/>
      </c>
      <c r="O247" s="9">
        <f>IF($K247="","",INDEX('سجل التحفيز'!$C$5:$C$2004,MATCH($K247,'سجل التحفيز'!$Z$5:$Z$2004,0)))</f>
        <v/>
      </c>
      <c r="P247" s="36">
        <f>IF($K247="","",INDEX('سجل التحفيز'!$D$5:$D$2004,MATCH($K247,'سجل التحفيز'!$Z$5:$Z$2004,0)))</f>
        <v/>
      </c>
      <c r="Q247" s="9">
        <f>IF($K247="","",INDEX('سجل التحفيز'!$E$5:$E$2004,MATCH($K247,'سجل التحفيز'!$Z$5:$Z$2004,0)))</f>
        <v/>
      </c>
      <c r="R247" s="9">
        <f>IF($K247="","",INDEX('سجل التحفيز'!$F$5:$F$2004,MATCH($K247,'سجل التحفيز'!$Z$5:$Z$2004,0)))</f>
        <v/>
      </c>
      <c r="S247" s="35">
        <f>IF($K247="","",INDEX('سجل التحفيز'!$G$5:$G$2004,MATCH($K247,'سجل التحفيز'!$Z$5:$Z$2004,0)))</f>
        <v/>
      </c>
    </row>
    <row r="248">
      <c r="K248" s="36">
        <f>IF(211&gt;$B$10,"",211)</f>
        <v/>
      </c>
      <c r="L248" s="37">
        <f>IF($K248="","",INDEX('سجل التحفيز'!$A$5:$A$2004,MATCH($K248,'سجل التحفيز'!$Z$5:$Z$2004,0)))</f>
        <v/>
      </c>
      <c r="M248" s="9">
        <f>IF($K248="","",INDEX('سجل التحفيز'!$B$5:$B$2004,MATCH($K248,'سجل التحفيز'!$Z$5:$Z$2004,0)))</f>
        <v/>
      </c>
      <c r="N248" s="9">
        <f>IF($K248="","",INDEX('سجل التحفيز'!$M$5:$M$2004,MATCH($K248,'سجل التحفيز'!$Z$5:$Z$2004,0)))</f>
        <v/>
      </c>
      <c r="O248" s="9">
        <f>IF($K248="","",INDEX('سجل التحفيز'!$C$5:$C$2004,MATCH($K248,'سجل التحفيز'!$Z$5:$Z$2004,0)))</f>
        <v/>
      </c>
      <c r="P248" s="36">
        <f>IF($K248="","",INDEX('سجل التحفيز'!$D$5:$D$2004,MATCH($K248,'سجل التحفيز'!$Z$5:$Z$2004,0)))</f>
        <v/>
      </c>
      <c r="Q248" s="9">
        <f>IF($K248="","",INDEX('سجل التحفيز'!$E$5:$E$2004,MATCH($K248,'سجل التحفيز'!$Z$5:$Z$2004,0)))</f>
        <v/>
      </c>
      <c r="R248" s="9">
        <f>IF($K248="","",INDEX('سجل التحفيز'!$F$5:$F$2004,MATCH($K248,'سجل التحفيز'!$Z$5:$Z$2004,0)))</f>
        <v/>
      </c>
      <c r="S248" s="35">
        <f>IF($K248="","",INDEX('سجل التحفيز'!$G$5:$G$2004,MATCH($K248,'سجل التحفيز'!$Z$5:$Z$2004,0)))</f>
        <v/>
      </c>
    </row>
    <row r="249">
      <c r="K249" s="36">
        <f>IF(212&gt;$B$10,"",212)</f>
        <v/>
      </c>
      <c r="L249" s="37">
        <f>IF($K249="","",INDEX('سجل التحفيز'!$A$5:$A$2004,MATCH($K249,'سجل التحفيز'!$Z$5:$Z$2004,0)))</f>
        <v/>
      </c>
      <c r="M249" s="9">
        <f>IF($K249="","",INDEX('سجل التحفيز'!$B$5:$B$2004,MATCH($K249,'سجل التحفيز'!$Z$5:$Z$2004,0)))</f>
        <v/>
      </c>
      <c r="N249" s="9">
        <f>IF($K249="","",INDEX('سجل التحفيز'!$M$5:$M$2004,MATCH($K249,'سجل التحفيز'!$Z$5:$Z$2004,0)))</f>
        <v/>
      </c>
      <c r="O249" s="9">
        <f>IF($K249="","",INDEX('سجل التحفيز'!$C$5:$C$2004,MATCH($K249,'سجل التحفيز'!$Z$5:$Z$2004,0)))</f>
        <v/>
      </c>
      <c r="P249" s="36">
        <f>IF($K249="","",INDEX('سجل التحفيز'!$D$5:$D$2004,MATCH($K249,'سجل التحفيز'!$Z$5:$Z$2004,0)))</f>
        <v/>
      </c>
      <c r="Q249" s="9">
        <f>IF($K249="","",INDEX('سجل التحفيز'!$E$5:$E$2004,MATCH($K249,'سجل التحفيز'!$Z$5:$Z$2004,0)))</f>
        <v/>
      </c>
      <c r="R249" s="9">
        <f>IF($K249="","",INDEX('سجل التحفيز'!$F$5:$F$2004,MATCH($K249,'سجل التحفيز'!$Z$5:$Z$2004,0)))</f>
        <v/>
      </c>
      <c r="S249" s="35">
        <f>IF($K249="","",INDEX('سجل التحفيز'!$G$5:$G$2004,MATCH($K249,'سجل التحفيز'!$Z$5:$Z$2004,0)))</f>
        <v/>
      </c>
    </row>
    <row r="250">
      <c r="K250" s="36">
        <f>IF(213&gt;$B$10,"",213)</f>
        <v/>
      </c>
      <c r="L250" s="37">
        <f>IF($K250="","",INDEX('سجل التحفيز'!$A$5:$A$2004,MATCH($K250,'سجل التحفيز'!$Z$5:$Z$2004,0)))</f>
        <v/>
      </c>
      <c r="M250" s="9">
        <f>IF($K250="","",INDEX('سجل التحفيز'!$B$5:$B$2004,MATCH($K250,'سجل التحفيز'!$Z$5:$Z$2004,0)))</f>
        <v/>
      </c>
      <c r="N250" s="9">
        <f>IF($K250="","",INDEX('سجل التحفيز'!$M$5:$M$2004,MATCH($K250,'سجل التحفيز'!$Z$5:$Z$2004,0)))</f>
        <v/>
      </c>
      <c r="O250" s="9">
        <f>IF($K250="","",INDEX('سجل التحفيز'!$C$5:$C$2004,MATCH($K250,'سجل التحفيز'!$Z$5:$Z$2004,0)))</f>
        <v/>
      </c>
      <c r="P250" s="36">
        <f>IF($K250="","",INDEX('سجل التحفيز'!$D$5:$D$2004,MATCH($K250,'سجل التحفيز'!$Z$5:$Z$2004,0)))</f>
        <v/>
      </c>
      <c r="Q250" s="9">
        <f>IF($K250="","",INDEX('سجل التحفيز'!$E$5:$E$2004,MATCH($K250,'سجل التحفيز'!$Z$5:$Z$2004,0)))</f>
        <v/>
      </c>
      <c r="R250" s="9">
        <f>IF($K250="","",INDEX('سجل التحفيز'!$F$5:$F$2004,MATCH($K250,'سجل التحفيز'!$Z$5:$Z$2004,0)))</f>
        <v/>
      </c>
      <c r="S250" s="35">
        <f>IF($K250="","",INDEX('سجل التحفيز'!$G$5:$G$2004,MATCH($K250,'سجل التحفيز'!$Z$5:$Z$2004,0)))</f>
        <v/>
      </c>
    </row>
    <row r="251">
      <c r="K251" s="36">
        <f>IF(214&gt;$B$10,"",214)</f>
        <v/>
      </c>
      <c r="L251" s="37">
        <f>IF($K251="","",INDEX('سجل التحفيز'!$A$5:$A$2004,MATCH($K251,'سجل التحفيز'!$Z$5:$Z$2004,0)))</f>
        <v/>
      </c>
      <c r="M251" s="9">
        <f>IF($K251="","",INDEX('سجل التحفيز'!$B$5:$B$2004,MATCH($K251,'سجل التحفيز'!$Z$5:$Z$2004,0)))</f>
        <v/>
      </c>
      <c r="N251" s="9">
        <f>IF($K251="","",INDEX('سجل التحفيز'!$M$5:$M$2004,MATCH($K251,'سجل التحفيز'!$Z$5:$Z$2004,0)))</f>
        <v/>
      </c>
      <c r="O251" s="9">
        <f>IF($K251="","",INDEX('سجل التحفيز'!$C$5:$C$2004,MATCH($K251,'سجل التحفيز'!$Z$5:$Z$2004,0)))</f>
        <v/>
      </c>
      <c r="P251" s="36">
        <f>IF($K251="","",INDEX('سجل التحفيز'!$D$5:$D$2004,MATCH($K251,'سجل التحفيز'!$Z$5:$Z$2004,0)))</f>
        <v/>
      </c>
      <c r="Q251" s="9">
        <f>IF($K251="","",INDEX('سجل التحفيز'!$E$5:$E$2004,MATCH($K251,'سجل التحفيز'!$Z$5:$Z$2004,0)))</f>
        <v/>
      </c>
      <c r="R251" s="9">
        <f>IF($K251="","",INDEX('سجل التحفيز'!$F$5:$F$2004,MATCH($K251,'سجل التحفيز'!$Z$5:$Z$2004,0)))</f>
        <v/>
      </c>
      <c r="S251" s="35">
        <f>IF($K251="","",INDEX('سجل التحفيز'!$G$5:$G$2004,MATCH($K251,'سجل التحفيز'!$Z$5:$Z$2004,0)))</f>
        <v/>
      </c>
    </row>
    <row r="252">
      <c r="K252" s="36">
        <f>IF(215&gt;$B$10,"",215)</f>
        <v/>
      </c>
      <c r="L252" s="37">
        <f>IF($K252="","",INDEX('سجل التحفيز'!$A$5:$A$2004,MATCH($K252,'سجل التحفيز'!$Z$5:$Z$2004,0)))</f>
        <v/>
      </c>
      <c r="M252" s="9">
        <f>IF($K252="","",INDEX('سجل التحفيز'!$B$5:$B$2004,MATCH($K252,'سجل التحفيز'!$Z$5:$Z$2004,0)))</f>
        <v/>
      </c>
      <c r="N252" s="9">
        <f>IF($K252="","",INDEX('سجل التحفيز'!$M$5:$M$2004,MATCH($K252,'سجل التحفيز'!$Z$5:$Z$2004,0)))</f>
        <v/>
      </c>
      <c r="O252" s="9">
        <f>IF($K252="","",INDEX('سجل التحفيز'!$C$5:$C$2004,MATCH($K252,'سجل التحفيز'!$Z$5:$Z$2004,0)))</f>
        <v/>
      </c>
      <c r="P252" s="36">
        <f>IF($K252="","",INDEX('سجل التحفيز'!$D$5:$D$2004,MATCH($K252,'سجل التحفيز'!$Z$5:$Z$2004,0)))</f>
        <v/>
      </c>
      <c r="Q252" s="9">
        <f>IF($K252="","",INDEX('سجل التحفيز'!$E$5:$E$2004,MATCH($K252,'سجل التحفيز'!$Z$5:$Z$2004,0)))</f>
        <v/>
      </c>
      <c r="R252" s="9">
        <f>IF($K252="","",INDEX('سجل التحفيز'!$F$5:$F$2004,MATCH($K252,'سجل التحفيز'!$Z$5:$Z$2004,0)))</f>
        <v/>
      </c>
      <c r="S252" s="35">
        <f>IF($K252="","",INDEX('سجل التحفيز'!$G$5:$G$2004,MATCH($K252,'سجل التحفيز'!$Z$5:$Z$2004,0)))</f>
        <v/>
      </c>
    </row>
    <row r="253">
      <c r="K253" s="36">
        <f>IF(216&gt;$B$10,"",216)</f>
        <v/>
      </c>
      <c r="L253" s="37">
        <f>IF($K253="","",INDEX('سجل التحفيز'!$A$5:$A$2004,MATCH($K253,'سجل التحفيز'!$Z$5:$Z$2004,0)))</f>
        <v/>
      </c>
      <c r="M253" s="9">
        <f>IF($K253="","",INDEX('سجل التحفيز'!$B$5:$B$2004,MATCH($K253,'سجل التحفيز'!$Z$5:$Z$2004,0)))</f>
        <v/>
      </c>
      <c r="N253" s="9">
        <f>IF($K253="","",INDEX('سجل التحفيز'!$M$5:$M$2004,MATCH($K253,'سجل التحفيز'!$Z$5:$Z$2004,0)))</f>
        <v/>
      </c>
      <c r="O253" s="9">
        <f>IF($K253="","",INDEX('سجل التحفيز'!$C$5:$C$2004,MATCH($K253,'سجل التحفيز'!$Z$5:$Z$2004,0)))</f>
        <v/>
      </c>
      <c r="P253" s="36">
        <f>IF($K253="","",INDEX('سجل التحفيز'!$D$5:$D$2004,MATCH($K253,'سجل التحفيز'!$Z$5:$Z$2004,0)))</f>
        <v/>
      </c>
      <c r="Q253" s="9">
        <f>IF($K253="","",INDEX('سجل التحفيز'!$E$5:$E$2004,MATCH($K253,'سجل التحفيز'!$Z$5:$Z$2004,0)))</f>
        <v/>
      </c>
      <c r="R253" s="9">
        <f>IF($K253="","",INDEX('سجل التحفيز'!$F$5:$F$2004,MATCH($K253,'سجل التحفيز'!$Z$5:$Z$2004,0)))</f>
        <v/>
      </c>
      <c r="S253" s="35">
        <f>IF($K253="","",INDEX('سجل التحفيز'!$G$5:$G$2004,MATCH($K253,'سجل التحفيز'!$Z$5:$Z$2004,0)))</f>
        <v/>
      </c>
    </row>
    <row r="254">
      <c r="K254" s="36">
        <f>IF(217&gt;$B$10,"",217)</f>
        <v/>
      </c>
      <c r="L254" s="37">
        <f>IF($K254="","",INDEX('سجل التحفيز'!$A$5:$A$2004,MATCH($K254,'سجل التحفيز'!$Z$5:$Z$2004,0)))</f>
        <v/>
      </c>
      <c r="M254" s="9">
        <f>IF($K254="","",INDEX('سجل التحفيز'!$B$5:$B$2004,MATCH($K254,'سجل التحفيز'!$Z$5:$Z$2004,0)))</f>
        <v/>
      </c>
      <c r="N254" s="9">
        <f>IF($K254="","",INDEX('سجل التحفيز'!$M$5:$M$2004,MATCH($K254,'سجل التحفيز'!$Z$5:$Z$2004,0)))</f>
        <v/>
      </c>
      <c r="O254" s="9">
        <f>IF($K254="","",INDEX('سجل التحفيز'!$C$5:$C$2004,MATCH($K254,'سجل التحفيز'!$Z$5:$Z$2004,0)))</f>
        <v/>
      </c>
      <c r="P254" s="36">
        <f>IF($K254="","",INDEX('سجل التحفيز'!$D$5:$D$2004,MATCH($K254,'سجل التحفيز'!$Z$5:$Z$2004,0)))</f>
        <v/>
      </c>
      <c r="Q254" s="9">
        <f>IF($K254="","",INDEX('سجل التحفيز'!$E$5:$E$2004,MATCH($K254,'سجل التحفيز'!$Z$5:$Z$2004,0)))</f>
        <v/>
      </c>
      <c r="R254" s="9">
        <f>IF($K254="","",INDEX('سجل التحفيز'!$F$5:$F$2004,MATCH($K254,'سجل التحفيز'!$Z$5:$Z$2004,0)))</f>
        <v/>
      </c>
      <c r="S254" s="35">
        <f>IF($K254="","",INDEX('سجل التحفيز'!$G$5:$G$2004,MATCH($K254,'سجل التحفيز'!$Z$5:$Z$2004,0)))</f>
        <v/>
      </c>
    </row>
    <row r="255">
      <c r="K255" s="36">
        <f>IF(218&gt;$B$10,"",218)</f>
        <v/>
      </c>
      <c r="L255" s="37">
        <f>IF($K255="","",INDEX('سجل التحفيز'!$A$5:$A$2004,MATCH($K255,'سجل التحفيز'!$Z$5:$Z$2004,0)))</f>
        <v/>
      </c>
      <c r="M255" s="9">
        <f>IF($K255="","",INDEX('سجل التحفيز'!$B$5:$B$2004,MATCH($K255,'سجل التحفيز'!$Z$5:$Z$2004,0)))</f>
        <v/>
      </c>
      <c r="N255" s="9">
        <f>IF($K255="","",INDEX('سجل التحفيز'!$M$5:$M$2004,MATCH($K255,'سجل التحفيز'!$Z$5:$Z$2004,0)))</f>
        <v/>
      </c>
      <c r="O255" s="9">
        <f>IF($K255="","",INDEX('سجل التحفيز'!$C$5:$C$2004,MATCH($K255,'سجل التحفيز'!$Z$5:$Z$2004,0)))</f>
        <v/>
      </c>
      <c r="P255" s="36">
        <f>IF($K255="","",INDEX('سجل التحفيز'!$D$5:$D$2004,MATCH($K255,'سجل التحفيز'!$Z$5:$Z$2004,0)))</f>
        <v/>
      </c>
      <c r="Q255" s="9">
        <f>IF($K255="","",INDEX('سجل التحفيز'!$E$5:$E$2004,MATCH($K255,'سجل التحفيز'!$Z$5:$Z$2004,0)))</f>
        <v/>
      </c>
      <c r="R255" s="9">
        <f>IF($K255="","",INDEX('سجل التحفيز'!$F$5:$F$2004,MATCH($K255,'سجل التحفيز'!$Z$5:$Z$2004,0)))</f>
        <v/>
      </c>
      <c r="S255" s="35">
        <f>IF($K255="","",INDEX('سجل التحفيز'!$G$5:$G$2004,MATCH($K255,'سجل التحفيز'!$Z$5:$Z$2004,0)))</f>
        <v/>
      </c>
    </row>
    <row r="256">
      <c r="K256" s="36">
        <f>IF(219&gt;$B$10,"",219)</f>
        <v/>
      </c>
      <c r="L256" s="37">
        <f>IF($K256="","",INDEX('سجل التحفيز'!$A$5:$A$2004,MATCH($K256,'سجل التحفيز'!$Z$5:$Z$2004,0)))</f>
        <v/>
      </c>
      <c r="M256" s="9">
        <f>IF($K256="","",INDEX('سجل التحفيز'!$B$5:$B$2004,MATCH($K256,'سجل التحفيز'!$Z$5:$Z$2004,0)))</f>
        <v/>
      </c>
      <c r="N256" s="9">
        <f>IF($K256="","",INDEX('سجل التحفيز'!$M$5:$M$2004,MATCH($K256,'سجل التحفيز'!$Z$5:$Z$2004,0)))</f>
        <v/>
      </c>
      <c r="O256" s="9">
        <f>IF($K256="","",INDEX('سجل التحفيز'!$C$5:$C$2004,MATCH($K256,'سجل التحفيز'!$Z$5:$Z$2004,0)))</f>
        <v/>
      </c>
      <c r="P256" s="36">
        <f>IF($K256="","",INDEX('سجل التحفيز'!$D$5:$D$2004,MATCH($K256,'سجل التحفيز'!$Z$5:$Z$2004,0)))</f>
        <v/>
      </c>
      <c r="Q256" s="9">
        <f>IF($K256="","",INDEX('سجل التحفيز'!$E$5:$E$2004,MATCH($K256,'سجل التحفيز'!$Z$5:$Z$2004,0)))</f>
        <v/>
      </c>
      <c r="R256" s="9">
        <f>IF($K256="","",INDEX('سجل التحفيز'!$F$5:$F$2004,MATCH($K256,'سجل التحفيز'!$Z$5:$Z$2004,0)))</f>
        <v/>
      </c>
      <c r="S256" s="35">
        <f>IF($K256="","",INDEX('سجل التحفيز'!$G$5:$G$2004,MATCH($K256,'سجل التحفيز'!$Z$5:$Z$2004,0)))</f>
        <v/>
      </c>
    </row>
    <row r="257">
      <c r="K257" s="36">
        <f>IF(220&gt;$B$10,"",220)</f>
        <v/>
      </c>
      <c r="L257" s="37">
        <f>IF($K257="","",INDEX('سجل التحفيز'!$A$5:$A$2004,MATCH($K257,'سجل التحفيز'!$Z$5:$Z$2004,0)))</f>
        <v/>
      </c>
      <c r="M257" s="9">
        <f>IF($K257="","",INDEX('سجل التحفيز'!$B$5:$B$2004,MATCH($K257,'سجل التحفيز'!$Z$5:$Z$2004,0)))</f>
        <v/>
      </c>
      <c r="N257" s="9">
        <f>IF($K257="","",INDEX('سجل التحفيز'!$M$5:$M$2004,MATCH($K257,'سجل التحفيز'!$Z$5:$Z$2004,0)))</f>
        <v/>
      </c>
      <c r="O257" s="9">
        <f>IF($K257="","",INDEX('سجل التحفيز'!$C$5:$C$2004,MATCH($K257,'سجل التحفيز'!$Z$5:$Z$2004,0)))</f>
        <v/>
      </c>
      <c r="P257" s="36">
        <f>IF($K257="","",INDEX('سجل التحفيز'!$D$5:$D$2004,MATCH($K257,'سجل التحفيز'!$Z$5:$Z$2004,0)))</f>
        <v/>
      </c>
      <c r="Q257" s="9">
        <f>IF($K257="","",INDEX('سجل التحفيز'!$E$5:$E$2004,MATCH($K257,'سجل التحفيز'!$Z$5:$Z$2004,0)))</f>
        <v/>
      </c>
      <c r="R257" s="9">
        <f>IF($K257="","",INDEX('سجل التحفيز'!$F$5:$F$2004,MATCH($K257,'سجل التحفيز'!$Z$5:$Z$2004,0)))</f>
        <v/>
      </c>
      <c r="S257" s="35">
        <f>IF($K257="","",INDEX('سجل التحفيز'!$G$5:$G$2004,MATCH($K257,'سجل التحفيز'!$Z$5:$Z$2004,0)))</f>
        <v/>
      </c>
    </row>
    <row r="258">
      <c r="K258" s="36">
        <f>IF(221&gt;$B$10,"",221)</f>
        <v/>
      </c>
      <c r="L258" s="37">
        <f>IF($K258="","",INDEX('سجل التحفيز'!$A$5:$A$2004,MATCH($K258,'سجل التحفيز'!$Z$5:$Z$2004,0)))</f>
        <v/>
      </c>
      <c r="M258" s="9">
        <f>IF($K258="","",INDEX('سجل التحفيز'!$B$5:$B$2004,MATCH($K258,'سجل التحفيز'!$Z$5:$Z$2004,0)))</f>
        <v/>
      </c>
      <c r="N258" s="9">
        <f>IF($K258="","",INDEX('سجل التحفيز'!$M$5:$M$2004,MATCH($K258,'سجل التحفيز'!$Z$5:$Z$2004,0)))</f>
        <v/>
      </c>
      <c r="O258" s="9">
        <f>IF($K258="","",INDEX('سجل التحفيز'!$C$5:$C$2004,MATCH($K258,'سجل التحفيز'!$Z$5:$Z$2004,0)))</f>
        <v/>
      </c>
      <c r="P258" s="36">
        <f>IF($K258="","",INDEX('سجل التحفيز'!$D$5:$D$2004,MATCH($K258,'سجل التحفيز'!$Z$5:$Z$2004,0)))</f>
        <v/>
      </c>
      <c r="Q258" s="9">
        <f>IF($K258="","",INDEX('سجل التحفيز'!$E$5:$E$2004,MATCH($K258,'سجل التحفيز'!$Z$5:$Z$2004,0)))</f>
        <v/>
      </c>
      <c r="R258" s="9">
        <f>IF($K258="","",INDEX('سجل التحفيز'!$F$5:$F$2004,MATCH($K258,'سجل التحفيز'!$Z$5:$Z$2004,0)))</f>
        <v/>
      </c>
      <c r="S258" s="35">
        <f>IF($K258="","",INDEX('سجل التحفيز'!$G$5:$G$2004,MATCH($K258,'سجل التحفيز'!$Z$5:$Z$2004,0)))</f>
        <v/>
      </c>
    </row>
    <row r="259">
      <c r="K259" s="36">
        <f>IF(222&gt;$B$10,"",222)</f>
        <v/>
      </c>
      <c r="L259" s="37">
        <f>IF($K259="","",INDEX('سجل التحفيز'!$A$5:$A$2004,MATCH($K259,'سجل التحفيز'!$Z$5:$Z$2004,0)))</f>
        <v/>
      </c>
      <c r="M259" s="9">
        <f>IF($K259="","",INDEX('سجل التحفيز'!$B$5:$B$2004,MATCH($K259,'سجل التحفيز'!$Z$5:$Z$2004,0)))</f>
        <v/>
      </c>
      <c r="N259" s="9">
        <f>IF($K259="","",INDEX('سجل التحفيز'!$M$5:$M$2004,MATCH($K259,'سجل التحفيز'!$Z$5:$Z$2004,0)))</f>
        <v/>
      </c>
      <c r="O259" s="9">
        <f>IF($K259="","",INDEX('سجل التحفيز'!$C$5:$C$2004,MATCH($K259,'سجل التحفيز'!$Z$5:$Z$2004,0)))</f>
        <v/>
      </c>
      <c r="P259" s="36">
        <f>IF($K259="","",INDEX('سجل التحفيز'!$D$5:$D$2004,MATCH($K259,'سجل التحفيز'!$Z$5:$Z$2004,0)))</f>
        <v/>
      </c>
      <c r="Q259" s="9">
        <f>IF($K259="","",INDEX('سجل التحفيز'!$E$5:$E$2004,MATCH($K259,'سجل التحفيز'!$Z$5:$Z$2004,0)))</f>
        <v/>
      </c>
      <c r="R259" s="9">
        <f>IF($K259="","",INDEX('سجل التحفيز'!$F$5:$F$2004,MATCH($K259,'سجل التحفيز'!$Z$5:$Z$2004,0)))</f>
        <v/>
      </c>
      <c r="S259" s="35">
        <f>IF($K259="","",INDEX('سجل التحفيز'!$G$5:$G$2004,MATCH($K259,'سجل التحفيز'!$Z$5:$Z$2004,0)))</f>
        <v/>
      </c>
    </row>
    <row r="260">
      <c r="K260" s="36">
        <f>IF(223&gt;$B$10,"",223)</f>
        <v/>
      </c>
      <c r="L260" s="37">
        <f>IF($K260="","",INDEX('سجل التحفيز'!$A$5:$A$2004,MATCH($K260,'سجل التحفيز'!$Z$5:$Z$2004,0)))</f>
        <v/>
      </c>
      <c r="M260" s="9">
        <f>IF($K260="","",INDEX('سجل التحفيز'!$B$5:$B$2004,MATCH($K260,'سجل التحفيز'!$Z$5:$Z$2004,0)))</f>
        <v/>
      </c>
      <c r="N260" s="9">
        <f>IF($K260="","",INDEX('سجل التحفيز'!$M$5:$M$2004,MATCH($K260,'سجل التحفيز'!$Z$5:$Z$2004,0)))</f>
        <v/>
      </c>
      <c r="O260" s="9">
        <f>IF($K260="","",INDEX('سجل التحفيز'!$C$5:$C$2004,MATCH($K260,'سجل التحفيز'!$Z$5:$Z$2004,0)))</f>
        <v/>
      </c>
      <c r="P260" s="36">
        <f>IF($K260="","",INDEX('سجل التحفيز'!$D$5:$D$2004,MATCH($K260,'سجل التحفيز'!$Z$5:$Z$2004,0)))</f>
        <v/>
      </c>
      <c r="Q260" s="9">
        <f>IF($K260="","",INDEX('سجل التحفيز'!$E$5:$E$2004,MATCH($K260,'سجل التحفيز'!$Z$5:$Z$2004,0)))</f>
        <v/>
      </c>
      <c r="R260" s="9">
        <f>IF($K260="","",INDEX('سجل التحفيز'!$F$5:$F$2004,MATCH($K260,'سجل التحفيز'!$Z$5:$Z$2004,0)))</f>
        <v/>
      </c>
      <c r="S260" s="35">
        <f>IF($K260="","",INDEX('سجل التحفيز'!$G$5:$G$2004,MATCH($K260,'سجل التحفيز'!$Z$5:$Z$2004,0)))</f>
        <v/>
      </c>
    </row>
    <row r="261">
      <c r="K261" s="36">
        <f>IF(224&gt;$B$10,"",224)</f>
        <v/>
      </c>
      <c r="L261" s="37">
        <f>IF($K261="","",INDEX('سجل التحفيز'!$A$5:$A$2004,MATCH($K261,'سجل التحفيز'!$Z$5:$Z$2004,0)))</f>
        <v/>
      </c>
      <c r="M261" s="9">
        <f>IF($K261="","",INDEX('سجل التحفيز'!$B$5:$B$2004,MATCH($K261,'سجل التحفيز'!$Z$5:$Z$2004,0)))</f>
        <v/>
      </c>
      <c r="N261" s="9">
        <f>IF($K261="","",INDEX('سجل التحفيز'!$M$5:$M$2004,MATCH($K261,'سجل التحفيز'!$Z$5:$Z$2004,0)))</f>
        <v/>
      </c>
      <c r="O261" s="9">
        <f>IF($K261="","",INDEX('سجل التحفيز'!$C$5:$C$2004,MATCH($K261,'سجل التحفيز'!$Z$5:$Z$2004,0)))</f>
        <v/>
      </c>
      <c r="P261" s="36">
        <f>IF($K261="","",INDEX('سجل التحفيز'!$D$5:$D$2004,MATCH($K261,'سجل التحفيز'!$Z$5:$Z$2004,0)))</f>
        <v/>
      </c>
      <c r="Q261" s="9">
        <f>IF($K261="","",INDEX('سجل التحفيز'!$E$5:$E$2004,MATCH($K261,'سجل التحفيز'!$Z$5:$Z$2004,0)))</f>
        <v/>
      </c>
      <c r="R261" s="9">
        <f>IF($K261="","",INDEX('سجل التحفيز'!$F$5:$F$2004,MATCH($K261,'سجل التحفيز'!$Z$5:$Z$2004,0)))</f>
        <v/>
      </c>
      <c r="S261" s="35">
        <f>IF($K261="","",INDEX('سجل التحفيز'!$G$5:$G$2004,MATCH($K261,'سجل التحفيز'!$Z$5:$Z$2004,0)))</f>
        <v/>
      </c>
    </row>
    <row r="262">
      <c r="K262" s="36">
        <f>IF(225&gt;$B$10,"",225)</f>
        <v/>
      </c>
      <c r="L262" s="37">
        <f>IF($K262="","",INDEX('سجل التحفيز'!$A$5:$A$2004,MATCH($K262,'سجل التحفيز'!$Z$5:$Z$2004,0)))</f>
        <v/>
      </c>
      <c r="M262" s="9">
        <f>IF($K262="","",INDEX('سجل التحفيز'!$B$5:$B$2004,MATCH($K262,'سجل التحفيز'!$Z$5:$Z$2004,0)))</f>
        <v/>
      </c>
      <c r="N262" s="9">
        <f>IF($K262="","",INDEX('سجل التحفيز'!$M$5:$M$2004,MATCH($K262,'سجل التحفيز'!$Z$5:$Z$2004,0)))</f>
        <v/>
      </c>
      <c r="O262" s="9">
        <f>IF($K262="","",INDEX('سجل التحفيز'!$C$5:$C$2004,MATCH($K262,'سجل التحفيز'!$Z$5:$Z$2004,0)))</f>
        <v/>
      </c>
      <c r="P262" s="36">
        <f>IF($K262="","",INDEX('سجل التحفيز'!$D$5:$D$2004,MATCH($K262,'سجل التحفيز'!$Z$5:$Z$2004,0)))</f>
        <v/>
      </c>
      <c r="Q262" s="9">
        <f>IF($K262="","",INDEX('سجل التحفيز'!$E$5:$E$2004,MATCH($K262,'سجل التحفيز'!$Z$5:$Z$2004,0)))</f>
        <v/>
      </c>
      <c r="R262" s="9">
        <f>IF($K262="","",INDEX('سجل التحفيز'!$F$5:$F$2004,MATCH($K262,'سجل التحفيز'!$Z$5:$Z$2004,0)))</f>
        <v/>
      </c>
      <c r="S262" s="35">
        <f>IF($K262="","",INDEX('سجل التحفيز'!$G$5:$G$2004,MATCH($K262,'سجل التحفيز'!$Z$5:$Z$2004,0)))</f>
        <v/>
      </c>
    </row>
    <row r="263">
      <c r="K263" s="36">
        <f>IF(226&gt;$B$10,"",226)</f>
        <v/>
      </c>
      <c r="L263" s="37">
        <f>IF($K263="","",INDEX('سجل التحفيز'!$A$5:$A$2004,MATCH($K263,'سجل التحفيز'!$Z$5:$Z$2004,0)))</f>
        <v/>
      </c>
      <c r="M263" s="9">
        <f>IF($K263="","",INDEX('سجل التحفيز'!$B$5:$B$2004,MATCH($K263,'سجل التحفيز'!$Z$5:$Z$2004,0)))</f>
        <v/>
      </c>
      <c r="N263" s="9">
        <f>IF($K263="","",INDEX('سجل التحفيز'!$M$5:$M$2004,MATCH($K263,'سجل التحفيز'!$Z$5:$Z$2004,0)))</f>
        <v/>
      </c>
      <c r="O263" s="9">
        <f>IF($K263="","",INDEX('سجل التحفيز'!$C$5:$C$2004,MATCH($K263,'سجل التحفيز'!$Z$5:$Z$2004,0)))</f>
        <v/>
      </c>
      <c r="P263" s="36">
        <f>IF($K263="","",INDEX('سجل التحفيز'!$D$5:$D$2004,MATCH($K263,'سجل التحفيز'!$Z$5:$Z$2004,0)))</f>
        <v/>
      </c>
      <c r="Q263" s="9">
        <f>IF($K263="","",INDEX('سجل التحفيز'!$E$5:$E$2004,MATCH($K263,'سجل التحفيز'!$Z$5:$Z$2004,0)))</f>
        <v/>
      </c>
      <c r="R263" s="9">
        <f>IF($K263="","",INDEX('سجل التحفيز'!$F$5:$F$2004,MATCH($K263,'سجل التحفيز'!$Z$5:$Z$2004,0)))</f>
        <v/>
      </c>
      <c r="S263" s="35">
        <f>IF($K263="","",INDEX('سجل التحفيز'!$G$5:$G$2004,MATCH($K263,'سجل التحفيز'!$Z$5:$Z$2004,0)))</f>
        <v/>
      </c>
    </row>
    <row r="264">
      <c r="K264" s="36">
        <f>IF(227&gt;$B$10,"",227)</f>
        <v/>
      </c>
      <c r="L264" s="37">
        <f>IF($K264="","",INDEX('سجل التحفيز'!$A$5:$A$2004,MATCH($K264,'سجل التحفيز'!$Z$5:$Z$2004,0)))</f>
        <v/>
      </c>
      <c r="M264" s="9">
        <f>IF($K264="","",INDEX('سجل التحفيز'!$B$5:$B$2004,MATCH($K264,'سجل التحفيز'!$Z$5:$Z$2004,0)))</f>
        <v/>
      </c>
      <c r="N264" s="9">
        <f>IF($K264="","",INDEX('سجل التحفيز'!$M$5:$M$2004,MATCH($K264,'سجل التحفيز'!$Z$5:$Z$2004,0)))</f>
        <v/>
      </c>
      <c r="O264" s="9">
        <f>IF($K264="","",INDEX('سجل التحفيز'!$C$5:$C$2004,MATCH($K264,'سجل التحفيز'!$Z$5:$Z$2004,0)))</f>
        <v/>
      </c>
      <c r="P264" s="36">
        <f>IF($K264="","",INDEX('سجل التحفيز'!$D$5:$D$2004,MATCH($K264,'سجل التحفيز'!$Z$5:$Z$2004,0)))</f>
        <v/>
      </c>
      <c r="Q264" s="9">
        <f>IF($K264="","",INDEX('سجل التحفيز'!$E$5:$E$2004,MATCH($K264,'سجل التحفيز'!$Z$5:$Z$2004,0)))</f>
        <v/>
      </c>
      <c r="R264" s="9">
        <f>IF($K264="","",INDEX('سجل التحفيز'!$F$5:$F$2004,MATCH($K264,'سجل التحفيز'!$Z$5:$Z$2004,0)))</f>
        <v/>
      </c>
      <c r="S264" s="35">
        <f>IF($K264="","",INDEX('سجل التحفيز'!$G$5:$G$2004,MATCH($K264,'سجل التحفيز'!$Z$5:$Z$2004,0)))</f>
        <v/>
      </c>
    </row>
    <row r="265">
      <c r="K265" s="36">
        <f>IF(228&gt;$B$10,"",228)</f>
        <v/>
      </c>
      <c r="L265" s="37">
        <f>IF($K265="","",INDEX('سجل التحفيز'!$A$5:$A$2004,MATCH($K265,'سجل التحفيز'!$Z$5:$Z$2004,0)))</f>
        <v/>
      </c>
      <c r="M265" s="9">
        <f>IF($K265="","",INDEX('سجل التحفيز'!$B$5:$B$2004,MATCH($K265,'سجل التحفيز'!$Z$5:$Z$2004,0)))</f>
        <v/>
      </c>
      <c r="N265" s="9">
        <f>IF($K265="","",INDEX('سجل التحفيز'!$M$5:$M$2004,MATCH($K265,'سجل التحفيز'!$Z$5:$Z$2004,0)))</f>
        <v/>
      </c>
      <c r="O265" s="9">
        <f>IF($K265="","",INDEX('سجل التحفيز'!$C$5:$C$2004,MATCH($K265,'سجل التحفيز'!$Z$5:$Z$2004,0)))</f>
        <v/>
      </c>
      <c r="P265" s="36">
        <f>IF($K265="","",INDEX('سجل التحفيز'!$D$5:$D$2004,MATCH($K265,'سجل التحفيز'!$Z$5:$Z$2004,0)))</f>
        <v/>
      </c>
      <c r="Q265" s="9">
        <f>IF($K265="","",INDEX('سجل التحفيز'!$E$5:$E$2004,MATCH($K265,'سجل التحفيز'!$Z$5:$Z$2004,0)))</f>
        <v/>
      </c>
      <c r="R265" s="9">
        <f>IF($K265="","",INDEX('سجل التحفيز'!$F$5:$F$2004,MATCH($K265,'سجل التحفيز'!$Z$5:$Z$2004,0)))</f>
        <v/>
      </c>
      <c r="S265" s="35">
        <f>IF($K265="","",INDEX('سجل التحفيز'!$G$5:$G$2004,MATCH($K265,'سجل التحفيز'!$Z$5:$Z$2004,0)))</f>
        <v/>
      </c>
    </row>
    <row r="266">
      <c r="K266" s="36">
        <f>IF(229&gt;$B$10,"",229)</f>
        <v/>
      </c>
      <c r="L266" s="37">
        <f>IF($K266="","",INDEX('سجل التحفيز'!$A$5:$A$2004,MATCH($K266,'سجل التحفيز'!$Z$5:$Z$2004,0)))</f>
        <v/>
      </c>
      <c r="M266" s="9">
        <f>IF($K266="","",INDEX('سجل التحفيز'!$B$5:$B$2004,MATCH($K266,'سجل التحفيز'!$Z$5:$Z$2004,0)))</f>
        <v/>
      </c>
      <c r="N266" s="9">
        <f>IF($K266="","",INDEX('سجل التحفيز'!$M$5:$M$2004,MATCH($K266,'سجل التحفيز'!$Z$5:$Z$2004,0)))</f>
        <v/>
      </c>
      <c r="O266" s="9">
        <f>IF($K266="","",INDEX('سجل التحفيز'!$C$5:$C$2004,MATCH($K266,'سجل التحفيز'!$Z$5:$Z$2004,0)))</f>
        <v/>
      </c>
      <c r="P266" s="36">
        <f>IF($K266="","",INDEX('سجل التحفيز'!$D$5:$D$2004,MATCH($K266,'سجل التحفيز'!$Z$5:$Z$2004,0)))</f>
        <v/>
      </c>
      <c r="Q266" s="9">
        <f>IF($K266="","",INDEX('سجل التحفيز'!$E$5:$E$2004,MATCH($K266,'سجل التحفيز'!$Z$5:$Z$2004,0)))</f>
        <v/>
      </c>
      <c r="R266" s="9">
        <f>IF($K266="","",INDEX('سجل التحفيز'!$F$5:$F$2004,MATCH($K266,'سجل التحفيز'!$Z$5:$Z$2004,0)))</f>
        <v/>
      </c>
      <c r="S266" s="35">
        <f>IF($K266="","",INDEX('سجل التحفيز'!$G$5:$G$2004,MATCH($K266,'سجل التحفيز'!$Z$5:$Z$2004,0)))</f>
        <v/>
      </c>
    </row>
    <row r="267">
      <c r="K267" s="36">
        <f>IF(230&gt;$B$10,"",230)</f>
        <v/>
      </c>
      <c r="L267" s="37">
        <f>IF($K267="","",INDEX('سجل التحفيز'!$A$5:$A$2004,MATCH($K267,'سجل التحفيز'!$Z$5:$Z$2004,0)))</f>
        <v/>
      </c>
      <c r="M267" s="9">
        <f>IF($K267="","",INDEX('سجل التحفيز'!$B$5:$B$2004,MATCH($K267,'سجل التحفيز'!$Z$5:$Z$2004,0)))</f>
        <v/>
      </c>
      <c r="N267" s="9">
        <f>IF($K267="","",INDEX('سجل التحفيز'!$M$5:$M$2004,MATCH($K267,'سجل التحفيز'!$Z$5:$Z$2004,0)))</f>
        <v/>
      </c>
      <c r="O267" s="9">
        <f>IF($K267="","",INDEX('سجل التحفيز'!$C$5:$C$2004,MATCH($K267,'سجل التحفيز'!$Z$5:$Z$2004,0)))</f>
        <v/>
      </c>
      <c r="P267" s="36">
        <f>IF($K267="","",INDEX('سجل التحفيز'!$D$5:$D$2004,MATCH($K267,'سجل التحفيز'!$Z$5:$Z$2004,0)))</f>
        <v/>
      </c>
      <c r="Q267" s="9">
        <f>IF($K267="","",INDEX('سجل التحفيز'!$E$5:$E$2004,MATCH($K267,'سجل التحفيز'!$Z$5:$Z$2004,0)))</f>
        <v/>
      </c>
      <c r="R267" s="9">
        <f>IF($K267="","",INDEX('سجل التحفيز'!$F$5:$F$2004,MATCH($K267,'سجل التحفيز'!$Z$5:$Z$2004,0)))</f>
        <v/>
      </c>
      <c r="S267" s="35">
        <f>IF($K267="","",INDEX('سجل التحفيز'!$G$5:$G$2004,MATCH($K267,'سجل التحفيز'!$Z$5:$Z$2004,0)))</f>
        <v/>
      </c>
    </row>
    <row r="268">
      <c r="K268" s="36">
        <f>IF(231&gt;$B$10,"",231)</f>
        <v/>
      </c>
      <c r="L268" s="37">
        <f>IF($K268="","",INDEX('سجل التحفيز'!$A$5:$A$2004,MATCH($K268,'سجل التحفيز'!$Z$5:$Z$2004,0)))</f>
        <v/>
      </c>
      <c r="M268" s="9">
        <f>IF($K268="","",INDEX('سجل التحفيز'!$B$5:$B$2004,MATCH($K268,'سجل التحفيز'!$Z$5:$Z$2004,0)))</f>
        <v/>
      </c>
      <c r="N268" s="9">
        <f>IF($K268="","",INDEX('سجل التحفيز'!$M$5:$M$2004,MATCH($K268,'سجل التحفيز'!$Z$5:$Z$2004,0)))</f>
        <v/>
      </c>
      <c r="O268" s="9">
        <f>IF($K268="","",INDEX('سجل التحفيز'!$C$5:$C$2004,MATCH($K268,'سجل التحفيز'!$Z$5:$Z$2004,0)))</f>
        <v/>
      </c>
      <c r="P268" s="36">
        <f>IF($K268="","",INDEX('سجل التحفيز'!$D$5:$D$2004,MATCH($K268,'سجل التحفيز'!$Z$5:$Z$2004,0)))</f>
        <v/>
      </c>
      <c r="Q268" s="9">
        <f>IF($K268="","",INDEX('سجل التحفيز'!$E$5:$E$2004,MATCH($K268,'سجل التحفيز'!$Z$5:$Z$2004,0)))</f>
        <v/>
      </c>
      <c r="R268" s="9">
        <f>IF($K268="","",INDEX('سجل التحفيز'!$F$5:$F$2004,MATCH($K268,'سجل التحفيز'!$Z$5:$Z$2004,0)))</f>
        <v/>
      </c>
      <c r="S268" s="35">
        <f>IF($K268="","",INDEX('سجل التحفيز'!$G$5:$G$2004,MATCH($K268,'سجل التحفيز'!$Z$5:$Z$2004,0)))</f>
        <v/>
      </c>
    </row>
    <row r="269">
      <c r="K269" s="36">
        <f>IF(232&gt;$B$10,"",232)</f>
        <v/>
      </c>
      <c r="L269" s="37">
        <f>IF($K269="","",INDEX('سجل التحفيز'!$A$5:$A$2004,MATCH($K269,'سجل التحفيز'!$Z$5:$Z$2004,0)))</f>
        <v/>
      </c>
      <c r="M269" s="9">
        <f>IF($K269="","",INDEX('سجل التحفيز'!$B$5:$B$2004,MATCH($K269,'سجل التحفيز'!$Z$5:$Z$2004,0)))</f>
        <v/>
      </c>
      <c r="N269" s="9">
        <f>IF($K269="","",INDEX('سجل التحفيز'!$M$5:$M$2004,MATCH($K269,'سجل التحفيز'!$Z$5:$Z$2004,0)))</f>
        <v/>
      </c>
      <c r="O269" s="9">
        <f>IF($K269="","",INDEX('سجل التحفيز'!$C$5:$C$2004,MATCH($K269,'سجل التحفيز'!$Z$5:$Z$2004,0)))</f>
        <v/>
      </c>
      <c r="P269" s="36">
        <f>IF($K269="","",INDEX('سجل التحفيز'!$D$5:$D$2004,MATCH($K269,'سجل التحفيز'!$Z$5:$Z$2004,0)))</f>
        <v/>
      </c>
      <c r="Q269" s="9">
        <f>IF($K269="","",INDEX('سجل التحفيز'!$E$5:$E$2004,MATCH($K269,'سجل التحفيز'!$Z$5:$Z$2004,0)))</f>
        <v/>
      </c>
      <c r="R269" s="9">
        <f>IF($K269="","",INDEX('سجل التحفيز'!$F$5:$F$2004,MATCH($K269,'سجل التحفيز'!$Z$5:$Z$2004,0)))</f>
        <v/>
      </c>
      <c r="S269" s="35">
        <f>IF($K269="","",INDEX('سجل التحفيز'!$G$5:$G$2004,MATCH($K269,'سجل التحفيز'!$Z$5:$Z$2004,0)))</f>
        <v/>
      </c>
    </row>
    <row r="270">
      <c r="K270" s="36">
        <f>IF(233&gt;$B$10,"",233)</f>
        <v/>
      </c>
      <c r="L270" s="37">
        <f>IF($K270="","",INDEX('سجل التحفيز'!$A$5:$A$2004,MATCH($K270,'سجل التحفيز'!$Z$5:$Z$2004,0)))</f>
        <v/>
      </c>
      <c r="M270" s="9">
        <f>IF($K270="","",INDEX('سجل التحفيز'!$B$5:$B$2004,MATCH($K270,'سجل التحفيز'!$Z$5:$Z$2004,0)))</f>
        <v/>
      </c>
      <c r="N270" s="9">
        <f>IF($K270="","",INDEX('سجل التحفيز'!$M$5:$M$2004,MATCH($K270,'سجل التحفيز'!$Z$5:$Z$2004,0)))</f>
        <v/>
      </c>
      <c r="O270" s="9">
        <f>IF($K270="","",INDEX('سجل التحفيز'!$C$5:$C$2004,MATCH($K270,'سجل التحفيز'!$Z$5:$Z$2004,0)))</f>
        <v/>
      </c>
      <c r="P270" s="36">
        <f>IF($K270="","",INDEX('سجل التحفيز'!$D$5:$D$2004,MATCH($K270,'سجل التحفيز'!$Z$5:$Z$2004,0)))</f>
        <v/>
      </c>
      <c r="Q270" s="9">
        <f>IF($K270="","",INDEX('سجل التحفيز'!$E$5:$E$2004,MATCH($K270,'سجل التحفيز'!$Z$5:$Z$2004,0)))</f>
        <v/>
      </c>
      <c r="R270" s="9">
        <f>IF($K270="","",INDEX('سجل التحفيز'!$F$5:$F$2004,MATCH($K270,'سجل التحفيز'!$Z$5:$Z$2004,0)))</f>
        <v/>
      </c>
      <c r="S270" s="35">
        <f>IF($K270="","",INDEX('سجل التحفيز'!$G$5:$G$2004,MATCH($K270,'سجل التحفيز'!$Z$5:$Z$2004,0)))</f>
        <v/>
      </c>
    </row>
    <row r="271">
      <c r="K271" s="36">
        <f>IF(234&gt;$B$10,"",234)</f>
        <v/>
      </c>
      <c r="L271" s="37">
        <f>IF($K271="","",INDEX('سجل التحفيز'!$A$5:$A$2004,MATCH($K271,'سجل التحفيز'!$Z$5:$Z$2004,0)))</f>
        <v/>
      </c>
      <c r="M271" s="9">
        <f>IF($K271="","",INDEX('سجل التحفيز'!$B$5:$B$2004,MATCH($K271,'سجل التحفيز'!$Z$5:$Z$2004,0)))</f>
        <v/>
      </c>
      <c r="N271" s="9">
        <f>IF($K271="","",INDEX('سجل التحفيز'!$M$5:$M$2004,MATCH($K271,'سجل التحفيز'!$Z$5:$Z$2004,0)))</f>
        <v/>
      </c>
      <c r="O271" s="9">
        <f>IF($K271="","",INDEX('سجل التحفيز'!$C$5:$C$2004,MATCH($K271,'سجل التحفيز'!$Z$5:$Z$2004,0)))</f>
        <v/>
      </c>
      <c r="P271" s="36">
        <f>IF($K271="","",INDEX('سجل التحفيز'!$D$5:$D$2004,MATCH($K271,'سجل التحفيز'!$Z$5:$Z$2004,0)))</f>
        <v/>
      </c>
      <c r="Q271" s="9">
        <f>IF($K271="","",INDEX('سجل التحفيز'!$E$5:$E$2004,MATCH($K271,'سجل التحفيز'!$Z$5:$Z$2004,0)))</f>
        <v/>
      </c>
      <c r="R271" s="9">
        <f>IF($K271="","",INDEX('سجل التحفيز'!$F$5:$F$2004,MATCH($K271,'سجل التحفيز'!$Z$5:$Z$2004,0)))</f>
        <v/>
      </c>
      <c r="S271" s="35">
        <f>IF($K271="","",INDEX('سجل التحفيز'!$G$5:$G$2004,MATCH($K271,'سجل التحفيز'!$Z$5:$Z$2004,0)))</f>
        <v/>
      </c>
    </row>
    <row r="272">
      <c r="K272" s="36">
        <f>IF(235&gt;$B$10,"",235)</f>
        <v/>
      </c>
      <c r="L272" s="37">
        <f>IF($K272="","",INDEX('سجل التحفيز'!$A$5:$A$2004,MATCH($K272,'سجل التحفيز'!$Z$5:$Z$2004,0)))</f>
        <v/>
      </c>
      <c r="M272" s="9">
        <f>IF($K272="","",INDEX('سجل التحفيز'!$B$5:$B$2004,MATCH($K272,'سجل التحفيز'!$Z$5:$Z$2004,0)))</f>
        <v/>
      </c>
      <c r="N272" s="9">
        <f>IF($K272="","",INDEX('سجل التحفيز'!$M$5:$M$2004,MATCH($K272,'سجل التحفيز'!$Z$5:$Z$2004,0)))</f>
        <v/>
      </c>
      <c r="O272" s="9">
        <f>IF($K272="","",INDEX('سجل التحفيز'!$C$5:$C$2004,MATCH($K272,'سجل التحفيز'!$Z$5:$Z$2004,0)))</f>
        <v/>
      </c>
      <c r="P272" s="36">
        <f>IF($K272="","",INDEX('سجل التحفيز'!$D$5:$D$2004,MATCH($K272,'سجل التحفيز'!$Z$5:$Z$2004,0)))</f>
        <v/>
      </c>
      <c r="Q272" s="9">
        <f>IF($K272="","",INDEX('سجل التحفيز'!$E$5:$E$2004,MATCH($K272,'سجل التحفيز'!$Z$5:$Z$2004,0)))</f>
        <v/>
      </c>
      <c r="R272" s="9">
        <f>IF($K272="","",INDEX('سجل التحفيز'!$F$5:$F$2004,MATCH($K272,'سجل التحفيز'!$Z$5:$Z$2004,0)))</f>
        <v/>
      </c>
      <c r="S272" s="35">
        <f>IF($K272="","",INDEX('سجل التحفيز'!$G$5:$G$2004,MATCH($K272,'سجل التحفيز'!$Z$5:$Z$2004,0)))</f>
        <v/>
      </c>
    </row>
    <row r="273">
      <c r="K273" s="36">
        <f>IF(236&gt;$B$10,"",236)</f>
        <v/>
      </c>
      <c r="L273" s="37">
        <f>IF($K273="","",INDEX('سجل التحفيز'!$A$5:$A$2004,MATCH($K273,'سجل التحفيز'!$Z$5:$Z$2004,0)))</f>
        <v/>
      </c>
      <c r="M273" s="9">
        <f>IF($K273="","",INDEX('سجل التحفيز'!$B$5:$B$2004,MATCH($K273,'سجل التحفيز'!$Z$5:$Z$2004,0)))</f>
        <v/>
      </c>
      <c r="N273" s="9">
        <f>IF($K273="","",INDEX('سجل التحفيز'!$M$5:$M$2004,MATCH($K273,'سجل التحفيز'!$Z$5:$Z$2004,0)))</f>
        <v/>
      </c>
      <c r="O273" s="9">
        <f>IF($K273="","",INDEX('سجل التحفيز'!$C$5:$C$2004,MATCH($K273,'سجل التحفيز'!$Z$5:$Z$2004,0)))</f>
        <v/>
      </c>
      <c r="P273" s="36">
        <f>IF($K273="","",INDEX('سجل التحفيز'!$D$5:$D$2004,MATCH($K273,'سجل التحفيز'!$Z$5:$Z$2004,0)))</f>
        <v/>
      </c>
      <c r="Q273" s="9">
        <f>IF($K273="","",INDEX('سجل التحفيز'!$E$5:$E$2004,MATCH($K273,'سجل التحفيز'!$Z$5:$Z$2004,0)))</f>
        <v/>
      </c>
      <c r="R273" s="9">
        <f>IF($K273="","",INDEX('سجل التحفيز'!$F$5:$F$2004,MATCH($K273,'سجل التحفيز'!$Z$5:$Z$2004,0)))</f>
        <v/>
      </c>
      <c r="S273" s="35">
        <f>IF($K273="","",INDEX('سجل التحفيز'!$G$5:$G$2004,MATCH($K273,'سجل التحفيز'!$Z$5:$Z$2004,0)))</f>
        <v/>
      </c>
    </row>
    <row r="274">
      <c r="K274" s="36">
        <f>IF(237&gt;$B$10,"",237)</f>
        <v/>
      </c>
      <c r="L274" s="37">
        <f>IF($K274="","",INDEX('سجل التحفيز'!$A$5:$A$2004,MATCH($K274,'سجل التحفيز'!$Z$5:$Z$2004,0)))</f>
        <v/>
      </c>
      <c r="M274" s="9">
        <f>IF($K274="","",INDEX('سجل التحفيز'!$B$5:$B$2004,MATCH($K274,'سجل التحفيز'!$Z$5:$Z$2004,0)))</f>
        <v/>
      </c>
      <c r="N274" s="9">
        <f>IF($K274="","",INDEX('سجل التحفيز'!$M$5:$M$2004,MATCH($K274,'سجل التحفيز'!$Z$5:$Z$2004,0)))</f>
        <v/>
      </c>
      <c r="O274" s="9">
        <f>IF($K274="","",INDEX('سجل التحفيز'!$C$5:$C$2004,MATCH($K274,'سجل التحفيز'!$Z$5:$Z$2004,0)))</f>
        <v/>
      </c>
      <c r="P274" s="36">
        <f>IF($K274="","",INDEX('سجل التحفيز'!$D$5:$D$2004,MATCH($K274,'سجل التحفيز'!$Z$5:$Z$2004,0)))</f>
        <v/>
      </c>
      <c r="Q274" s="9">
        <f>IF($K274="","",INDEX('سجل التحفيز'!$E$5:$E$2004,MATCH($K274,'سجل التحفيز'!$Z$5:$Z$2004,0)))</f>
        <v/>
      </c>
      <c r="R274" s="9">
        <f>IF($K274="","",INDEX('سجل التحفيز'!$F$5:$F$2004,MATCH($K274,'سجل التحفيز'!$Z$5:$Z$2004,0)))</f>
        <v/>
      </c>
      <c r="S274" s="35">
        <f>IF($K274="","",INDEX('سجل التحفيز'!$G$5:$G$2004,MATCH($K274,'سجل التحفيز'!$Z$5:$Z$2004,0)))</f>
        <v/>
      </c>
    </row>
    <row r="275">
      <c r="K275" s="36">
        <f>IF(238&gt;$B$10,"",238)</f>
        <v/>
      </c>
      <c r="L275" s="37">
        <f>IF($K275="","",INDEX('سجل التحفيز'!$A$5:$A$2004,MATCH($K275,'سجل التحفيز'!$Z$5:$Z$2004,0)))</f>
        <v/>
      </c>
      <c r="M275" s="9">
        <f>IF($K275="","",INDEX('سجل التحفيز'!$B$5:$B$2004,MATCH($K275,'سجل التحفيز'!$Z$5:$Z$2004,0)))</f>
        <v/>
      </c>
      <c r="N275" s="9">
        <f>IF($K275="","",INDEX('سجل التحفيز'!$M$5:$M$2004,MATCH($K275,'سجل التحفيز'!$Z$5:$Z$2004,0)))</f>
        <v/>
      </c>
      <c r="O275" s="9">
        <f>IF($K275="","",INDEX('سجل التحفيز'!$C$5:$C$2004,MATCH($K275,'سجل التحفيز'!$Z$5:$Z$2004,0)))</f>
        <v/>
      </c>
      <c r="P275" s="36">
        <f>IF($K275="","",INDEX('سجل التحفيز'!$D$5:$D$2004,MATCH($K275,'سجل التحفيز'!$Z$5:$Z$2004,0)))</f>
        <v/>
      </c>
      <c r="Q275" s="9">
        <f>IF($K275="","",INDEX('سجل التحفيز'!$E$5:$E$2004,MATCH($K275,'سجل التحفيز'!$Z$5:$Z$2004,0)))</f>
        <v/>
      </c>
      <c r="R275" s="9">
        <f>IF($K275="","",INDEX('سجل التحفيز'!$F$5:$F$2004,MATCH($K275,'سجل التحفيز'!$Z$5:$Z$2004,0)))</f>
        <v/>
      </c>
      <c r="S275" s="35">
        <f>IF($K275="","",INDEX('سجل التحفيز'!$G$5:$G$2004,MATCH($K275,'سجل التحفيز'!$Z$5:$Z$2004,0)))</f>
        <v/>
      </c>
    </row>
    <row r="276">
      <c r="K276" s="36">
        <f>IF(239&gt;$B$10,"",239)</f>
        <v/>
      </c>
      <c r="L276" s="37">
        <f>IF($K276="","",INDEX('سجل التحفيز'!$A$5:$A$2004,MATCH($K276,'سجل التحفيز'!$Z$5:$Z$2004,0)))</f>
        <v/>
      </c>
      <c r="M276" s="9">
        <f>IF($K276="","",INDEX('سجل التحفيز'!$B$5:$B$2004,MATCH($K276,'سجل التحفيز'!$Z$5:$Z$2004,0)))</f>
        <v/>
      </c>
      <c r="N276" s="9">
        <f>IF($K276="","",INDEX('سجل التحفيز'!$M$5:$M$2004,MATCH($K276,'سجل التحفيز'!$Z$5:$Z$2004,0)))</f>
        <v/>
      </c>
      <c r="O276" s="9">
        <f>IF($K276="","",INDEX('سجل التحفيز'!$C$5:$C$2004,MATCH($K276,'سجل التحفيز'!$Z$5:$Z$2004,0)))</f>
        <v/>
      </c>
      <c r="P276" s="36">
        <f>IF($K276="","",INDEX('سجل التحفيز'!$D$5:$D$2004,MATCH($K276,'سجل التحفيز'!$Z$5:$Z$2004,0)))</f>
        <v/>
      </c>
      <c r="Q276" s="9">
        <f>IF($K276="","",INDEX('سجل التحفيز'!$E$5:$E$2004,MATCH($K276,'سجل التحفيز'!$Z$5:$Z$2004,0)))</f>
        <v/>
      </c>
      <c r="R276" s="9">
        <f>IF($K276="","",INDEX('سجل التحفيز'!$F$5:$F$2004,MATCH($K276,'سجل التحفيز'!$Z$5:$Z$2004,0)))</f>
        <v/>
      </c>
      <c r="S276" s="35">
        <f>IF($K276="","",INDEX('سجل التحفيز'!$G$5:$G$2004,MATCH($K276,'سجل التحفيز'!$Z$5:$Z$2004,0)))</f>
        <v/>
      </c>
    </row>
    <row r="277">
      <c r="K277" s="36">
        <f>IF(240&gt;$B$10,"",240)</f>
        <v/>
      </c>
      <c r="L277" s="37">
        <f>IF($K277="","",INDEX('سجل التحفيز'!$A$5:$A$2004,MATCH($K277,'سجل التحفيز'!$Z$5:$Z$2004,0)))</f>
        <v/>
      </c>
      <c r="M277" s="9">
        <f>IF($K277="","",INDEX('سجل التحفيز'!$B$5:$B$2004,MATCH($K277,'سجل التحفيز'!$Z$5:$Z$2004,0)))</f>
        <v/>
      </c>
      <c r="N277" s="9">
        <f>IF($K277="","",INDEX('سجل التحفيز'!$M$5:$M$2004,MATCH($K277,'سجل التحفيز'!$Z$5:$Z$2004,0)))</f>
        <v/>
      </c>
      <c r="O277" s="9">
        <f>IF($K277="","",INDEX('سجل التحفيز'!$C$5:$C$2004,MATCH($K277,'سجل التحفيز'!$Z$5:$Z$2004,0)))</f>
        <v/>
      </c>
      <c r="P277" s="36">
        <f>IF($K277="","",INDEX('سجل التحفيز'!$D$5:$D$2004,MATCH($K277,'سجل التحفيز'!$Z$5:$Z$2004,0)))</f>
        <v/>
      </c>
      <c r="Q277" s="9">
        <f>IF($K277="","",INDEX('سجل التحفيز'!$E$5:$E$2004,MATCH($K277,'سجل التحفيز'!$Z$5:$Z$2004,0)))</f>
        <v/>
      </c>
      <c r="R277" s="9">
        <f>IF($K277="","",INDEX('سجل التحفيز'!$F$5:$F$2004,MATCH($K277,'سجل التحفيز'!$Z$5:$Z$2004,0)))</f>
        <v/>
      </c>
      <c r="S277" s="35">
        <f>IF($K277="","",INDEX('سجل التحفيز'!$G$5:$G$2004,MATCH($K277,'سجل التحفيز'!$Z$5:$Z$2004,0)))</f>
        <v/>
      </c>
    </row>
    <row r="278">
      <c r="K278" s="36">
        <f>IF(241&gt;$B$10,"",241)</f>
        <v/>
      </c>
      <c r="L278" s="37">
        <f>IF($K278="","",INDEX('سجل التحفيز'!$A$5:$A$2004,MATCH($K278,'سجل التحفيز'!$Z$5:$Z$2004,0)))</f>
        <v/>
      </c>
      <c r="M278" s="9">
        <f>IF($K278="","",INDEX('سجل التحفيز'!$B$5:$B$2004,MATCH($K278,'سجل التحفيز'!$Z$5:$Z$2004,0)))</f>
        <v/>
      </c>
      <c r="N278" s="9">
        <f>IF($K278="","",INDEX('سجل التحفيز'!$M$5:$M$2004,MATCH($K278,'سجل التحفيز'!$Z$5:$Z$2004,0)))</f>
        <v/>
      </c>
      <c r="O278" s="9">
        <f>IF($K278="","",INDEX('سجل التحفيز'!$C$5:$C$2004,MATCH($K278,'سجل التحفيز'!$Z$5:$Z$2004,0)))</f>
        <v/>
      </c>
      <c r="P278" s="36">
        <f>IF($K278="","",INDEX('سجل التحفيز'!$D$5:$D$2004,MATCH($K278,'سجل التحفيز'!$Z$5:$Z$2004,0)))</f>
        <v/>
      </c>
      <c r="Q278" s="9">
        <f>IF($K278="","",INDEX('سجل التحفيز'!$E$5:$E$2004,MATCH($K278,'سجل التحفيز'!$Z$5:$Z$2004,0)))</f>
        <v/>
      </c>
      <c r="R278" s="9">
        <f>IF($K278="","",INDEX('سجل التحفيز'!$F$5:$F$2004,MATCH($K278,'سجل التحفيز'!$Z$5:$Z$2004,0)))</f>
        <v/>
      </c>
      <c r="S278" s="35">
        <f>IF($K278="","",INDEX('سجل التحفيز'!$G$5:$G$2004,MATCH($K278,'سجل التحفيز'!$Z$5:$Z$2004,0)))</f>
        <v/>
      </c>
    </row>
    <row r="279">
      <c r="K279" s="36">
        <f>IF(242&gt;$B$10,"",242)</f>
        <v/>
      </c>
      <c r="L279" s="37">
        <f>IF($K279="","",INDEX('سجل التحفيز'!$A$5:$A$2004,MATCH($K279,'سجل التحفيز'!$Z$5:$Z$2004,0)))</f>
        <v/>
      </c>
      <c r="M279" s="9">
        <f>IF($K279="","",INDEX('سجل التحفيز'!$B$5:$B$2004,MATCH($K279,'سجل التحفيز'!$Z$5:$Z$2004,0)))</f>
        <v/>
      </c>
      <c r="N279" s="9">
        <f>IF($K279="","",INDEX('سجل التحفيز'!$M$5:$M$2004,MATCH($K279,'سجل التحفيز'!$Z$5:$Z$2004,0)))</f>
        <v/>
      </c>
      <c r="O279" s="9">
        <f>IF($K279="","",INDEX('سجل التحفيز'!$C$5:$C$2004,MATCH($K279,'سجل التحفيز'!$Z$5:$Z$2004,0)))</f>
        <v/>
      </c>
      <c r="P279" s="36">
        <f>IF($K279="","",INDEX('سجل التحفيز'!$D$5:$D$2004,MATCH($K279,'سجل التحفيز'!$Z$5:$Z$2004,0)))</f>
        <v/>
      </c>
      <c r="Q279" s="9">
        <f>IF($K279="","",INDEX('سجل التحفيز'!$E$5:$E$2004,MATCH($K279,'سجل التحفيز'!$Z$5:$Z$2004,0)))</f>
        <v/>
      </c>
      <c r="R279" s="9">
        <f>IF($K279="","",INDEX('سجل التحفيز'!$F$5:$F$2004,MATCH($K279,'سجل التحفيز'!$Z$5:$Z$2004,0)))</f>
        <v/>
      </c>
      <c r="S279" s="35">
        <f>IF($K279="","",INDEX('سجل التحفيز'!$G$5:$G$2004,MATCH($K279,'سجل التحفيز'!$Z$5:$Z$2004,0)))</f>
        <v/>
      </c>
    </row>
    <row r="280">
      <c r="K280" s="36">
        <f>IF(243&gt;$B$10,"",243)</f>
        <v/>
      </c>
      <c r="L280" s="37">
        <f>IF($K280="","",INDEX('سجل التحفيز'!$A$5:$A$2004,MATCH($K280,'سجل التحفيز'!$Z$5:$Z$2004,0)))</f>
        <v/>
      </c>
      <c r="M280" s="9">
        <f>IF($K280="","",INDEX('سجل التحفيز'!$B$5:$B$2004,MATCH($K280,'سجل التحفيز'!$Z$5:$Z$2004,0)))</f>
        <v/>
      </c>
      <c r="N280" s="9">
        <f>IF($K280="","",INDEX('سجل التحفيز'!$M$5:$M$2004,MATCH($K280,'سجل التحفيز'!$Z$5:$Z$2004,0)))</f>
        <v/>
      </c>
      <c r="O280" s="9">
        <f>IF($K280="","",INDEX('سجل التحفيز'!$C$5:$C$2004,MATCH($K280,'سجل التحفيز'!$Z$5:$Z$2004,0)))</f>
        <v/>
      </c>
      <c r="P280" s="36">
        <f>IF($K280="","",INDEX('سجل التحفيز'!$D$5:$D$2004,MATCH($K280,'سجل التحفيز'!$Z$5:$Z$2004,0)))</f>
        <v/>
      </c>
      <c r="Q280" s="9">
        <f>IF($K280="","",INDEX('سجل التحفيز'!$E$5:$E$2004,MATCH($K280,'سجل التحفيز'!$Z$5:$Z$2004,0)))</f>
        <v/>
      </c>
      <c r="R280" s="9">
        <f>IF($K280="","",INDEX('سجل التحفيز'!$F$5:$F$2004,MATCH($K280,'سجل التحفيز'!$Z$5:$Z$2004,0)))</f>
        <v/>
      </c>
      <c r="S280" s="35">
        <f>IF($K280="","",INDEX('سجل التحفيز'!$G$5:$G$2004,MATCH($K280,'سجل التحفيز'!$Z$5:$Z$2004,0)))</f>
        <v/>
      </c>
    </row>
    <row r="281">
      <c r="K281" s="36">
        <f>IF(244&gt;$B$10,"",244)</f>
        <v/>
      </c>
      <c r="L281" s="37">
        <f>IF($K281="","",INDEX('سجل التحفيز'!$A$5:$A$2004,MATCH($K281,'سجل التحفيز'!$Z$5:$Z$2004,0)))</f>
        <v/>
      </c>
      <c r="M281" s="9">
        <f>IF($K281="","",INDEX('سجل التحفيز'!$B$5:$B$2004,MATCH($K281,'سجل التحفيز'!$Z$5:$Z$2004,0)))</f>
        <v/>
      </c>
      <c r="N281" s="9">
        <f>IF($K281="","",INDEX('سجل التحفيز'!$M$5:$M$2004,MATCH($K281,'سجل التحفيز'!$Z$5:$Z$2004,0)))</f>
        <v/>
      </c>
      <c r="O281" s="9">
        <f>IF($K281="","",INDEX('سجل التحفيز'!$C$5:$C$2004,MATCH($K281,'سجل التحفيز'!$Z$5:$Z$2004,0)))</f>
        <v/>
      </c>
      <c r="P281" s="36">
        <f>IF($K281="","",INDEX('سجل التحفيز'!$D$5:$D$2004,MATCH($K281,'سجل التحفيز'!$Z$5:$Z$2004,0)))</f>
        <v/>
      </c>
      <c r="Q281" s="9">
        <f>IF($K281="","",INDEX('سجل التحفيز'!$E$5:$E$2004,MATCH($K281,'سجل التحفيز'!$Z$5:$Z$2004,0)))</f>
        <v/>
      </c>
      <c r="R281" s="9">
        <f>IF($K281="","",INDEX('سجل التحفيز'!$F$5:$F$2004,MATCH($K281,'سجل التحفيز'!$Z$5:$Z$2004,0)))</f>
        <v/>
      </c>
      <c r="S281" s="35">
        <f>IF($K281="","",INDEX('سجل التحفيز'!$G$5:$G$2004,MATCH($K281,'سجل التحفيز'!$Z$5:$Z$2004,0)))</f>
        <v/>
      </c>
    </row>
    <row r="282">
      <c r="K282" s="36">
        <f>IF(245&gt;$B$10,"",245)</f>
        <v/>
      </c>
      <c r="L282" s="37">
        <f>IF($K282="","",INDEX('سجل التحفيز'!$A$5:$A$2004,MATCH($K282,'سجل التحفيز'!$Z$5:$Z$2004,0)))</f>
        <v/>
      </c>
      <c r="M282" s="9">
        <f>IF($K282="","",INDEX('سجل التحفيز'!$B$5:$B$2004,MATCH($K282,'سجل التحفيز'!$Z$5:$Z$2004,0)))</f>
        <v/>
      </c>
      <c r="N282" s="9">
        <f>IF($K282="","",INDEX('سجل التحفيز'!$M$5:$M$2004,MATCH($K282,'سجل التحفيز'!$Z$5:$Z$2004,0)))</f>
        <v/>
      </c>
      <c r="O282" s="9">
        <f>IF($K282="","",INDEX('سجل التحفيز'!$C$5:$C$2004,MATCH($K282,'سجل التحفيز'!$Z$5:$Z$2004,0)))</f>
        <v/>
      </c>
      <c r="P282" s="36">
        <f>IF($K282="","",INDEX('سجل التحفيز'!$D$5:$D$2004,MATCH($K282,'سجل التحفيز'!$Z$5:$Z$2004,0)))</f>
        <v/>
      </c>
      <c r="Q282" s="9">
        <f>IF($K282="","",INDEX('سجل التحفيز'!$E$5:$E$2004,MATCH($K282,'سجل التحفيز'!$Z$5:$Z$2004,0)))</f>
        <v/>
      </c>
      <c r="R282" s="9">
        <f>IF($K282="","",INDEX('سجل التحفيز'!$F$5:$F$2004,MATCH($K282,'سجل التحفيز'!$Z$5:$Z$2004,0)))</f>
        <v/>
      </c>
      <c r="S282" s="35">
        <f>IF($K282="","",INDEX('سجل التحفيز'!$G$5:$G$2004,MATCH($K282,'سجل التحفيز'!$Z$5:$Z$2004,0)))</f>
        <v/>
      </c>
    </row>
    <row r="283">
      <c r="K283" s="36">
        <f>IF(246&gt;$B$10,"",246)</f>
        <v/>
      </c>
      <c r="L283" s="37">
        <f>IF($K283="","",INDEX('سجل التحفيز'!$A$5:$A$2004,MATCH($K283,'سجل التحفيز'!$Z$5:$Z$2004,0)))</f>
        <v/>
      </c>
      <c r="M283" s="9">
        <f>IF($K283="","",INDEX('سجل التحفيز'!$B$5:$B$2004,MATCH($K283,'سجل التحفيز'!$Z$5:$Z$2004,0)))</f>
        <v/>
      </c>
      <c r="N283" s="9">
        <f>IF($K283="","",INDEX('سجل التحفيز'!$M$5:$M$2004,MATCH($K283,'سجل التحفيز'!$Z$5:$Z$2004,0)))</f>
        <v/>
      </c>
      <c r="O283" s="9">
        <f>IF($K283="","",INDEX('سجل التحفيز'!$C$5:$C$2004,MATCH($K283,'سجل التحفيز'!$Z$5:$Z$2004,0)))</f>
        <v/>
      </c>
      <c r="P283" s="36">
        <f>IF($K283="","",INDEX('سجل التحفيز'!$D$5:$D$2004,MATCH($K283,'سجل التحفيز'!$Z$5:$Z$2004,0)))</f>
        <v/>
      </c>
      <c r="Q283" s="9">
        <f>IF($K283="","",INDEX('سجل التحفيز'!$E$5:$E$2004,MATCH($K283,'سجل التحفيز'!$Z$5:$Z$2004,0)))</f>
        <v/>
      </c>
      <c r="R283" s="9">
        <f>IF($K283="","",INDEX('سجل التحفيز'!$F$5:$F$2004,MATCH($K283,'سجل التحفيز'!$Z$5:$Z$2004,0)))</f>
        <v/>
      </c>
      <c r="S283" s="35">
        <f>IF($K283="","",INDEX('سجل التحفيز'!$G$5:$G$2004,MATCH($K283,'سجل التحفيز'!$Z$5:$Z$2004,0)))</f>
        <v/>
      </c>
    </row>
    <row r="284">
      <c r="K284" s="36">
        <f>IF(247&gt;$B$10,"",247)</f>
        <v/>
      </c>
      <c r="L284" s="37">
        <f>IF($K284="","",INDEX('سجل التحفيز'!$A$5:$A$2004,MATCH($K284,'سجل التحفيز'!$Z$5:$Z$2004,0)))</f>
        <v/>
      </c>
      <c r="M284" s="9">
        <f>IF($K284="","",INDEX('سجل التحفيز'!$B$5:$B$2004,MATCH($K284,'سجل التحفيز'!$Z$5:$Z$2004,0)))</f>
        <v/>
      </c>
      <c r="N284" s="9">
        <f>IF($K284="","",INDEX('سجل التحفيز'!$M$5:$M$2004,MATCH($K284,'سجل التحفيز'!$Z$5:$Z$2004,0)))</f>
        <v/>
      </c>
      <c r="O284" s="9">
        <f>IF($K284="","",INDEX('سجل التحفيز'!$C$5:$C$2004,MATCH($K284,'سجل التحفيز'!$Z$5:$Z$2004,0)))</f>
        <v/>
      </c>
      <c r="P284" s="36">
        <f>IF($K284="","",INDEX('سجل التحفيز'!$D$5:$D$2004,MATCH($K284,'سجل التحفيز'!$Z$5:$Z$2004,0)))</f>
        <v/>
      </c>
      <c r="Q284" s="9">
        <f>IF($K284="","",INDEX('سجل التحفيز'!$E$5:$E$2004,MATCH($K284,'سجل التحفيز'!$Z$5:$Z$2004,0)))</f>
        <v/>
      </c>
      <c r="R284" s="9">
        <f>IF($K284="","",INDEX('سجل التحفيز'!$F$5:$F$2004,MATCH($K284,'سجل التحفيز'!$Z$5:$Z$2004,0)))</f>
        <v/>
      </c>
      <c r="S284" s="35">
        <f>IF($K284="","",INDEX('سجل التحفيز'!$G$5:$G$2004,MATCH($K284,'سجل التحفيز'!$Z$5:$Z$2004,0)))</f>
        <v/>
      </c>
    </row>
    <row r="285">
      <c r="K285" s="36">
        <f>IF(248&gt;$B$10,"",248)</f>
        <v/>
      </c>
      <c r="L285" s="37">
        <f>IF($K285="","",INDEX('سجل التحفيز'!$A$5:$A$2004,MATCH($K285,'سجل التحفيز'!$Z$5:$Z$2004,0)))</f>
        <v/>
      </c>
      <c r="M285" s="9">
        <f>IF($K285="","",INDEX('سجل التحفيز'!$B$5:$B$2004,MATCH($K285,'سجل التحفيز'!$Z$5:$Z$2004,0)))</f>
        <v/>
      </c>
      <c r="N285" s="9">
        <f>IF($K285="","",INDEX('سجل التحفيز'!$M$5:$M$2004,MATCH($K285,'سجل التحفيز'!$Z$5:$Z$2004,0)))</f>
        <v/>
      </c>
      <c r="O285" s="9">
        <f>IF($K285="","",INDEX('سجل التحفيز'!$C$5:$C$2004,MATCH($K285,'سجل التحفيز'!$Z$5:$Z$2004,0)))</f>
        <v/>
      </c>
      <c r="P285" s="36">
        <f>IF($K285="","",INDEX('سجل التحفيز'!$D$5:$D$2004,MATCH($K285,'سجل التحفيز'!$Z$5:$Z$2004,0)))</f>
        <v/>
      </c>
      <c r="Q285" s="9">
        <f>IF($K285="","",INDEX('سجل التحفيز'!$E$5:$E$2004,MATCH($K285,'سجل التحفيز'!$Z$5:$Z$2004,0)))</f>
        <v/>
      </c>
      <c r="R285" s="9">
        <f>IF($K285="","",INDEX('سجل التحفيز'!$F$5:$F$2004,MATCH($K285,'سجل التحفيز'!$Z$5:$Z$2004,0)))</f>
        <v/>
      </c>
      <c r="S285" s="35">
        <f>IF($K285="","",INDEX('سجل التحفيز'!$G$5:$G$2004,MATCH($K285,'سجل التحفيز'!$Z$5:$Z$2004,0)))</f>
        <v/>
      </c>
    </row>
    <row r="286">
      <c r="K286" s="36">
        <f>IF(249&gt;$B$10,"",249)</f>
        <v/>
      </c>
      <c r="L286" s="37">
        <f>IF($K286="","",INDEX('سجل التحفيز'!$A$5:$A$2004,MATCH($K286,'سجل التحفيز'!$Z$5:$Z$2004,0)))</f>
        <v/>
      </c>
      <c r="M286" s="9">
        <f>IF($K286="","",INDEX('سجل التحفيز'!$B$5:$B$2004,MATCH($K286,'سجل التحفيز'!$Z$5:$Z$2004,0)))</f>
        <v/>
      </c>
      <c r="N286" s="9">
        <f>IF($K286="","",INDEX('سجل التحفيز'!$M$5:$M$2004,MATCH($K286,'سجل التحفيز'!$Z$5:$Z$2004,0)))</f>
        <v/>
      </c>
      <c r="O286" s="9">
        <f>IF($K286="","",INDEX('سجل التحفيز'!$C$5:$C$2004,MATCH($K286,'سجل التحفيز'!$Z$5:$Z$2004,0)))</f>
        <v/>
      </c>
      <c r="P286" s="36">
        <f>IF($K286="","",INDEX('سجل التحفيز'!$D$5:$D$2004,MATCH($K286,'سجل التحفيز'!$Z$5:$Z$2004,0)))</f>
        <v/>
      </c>
      <c r="Q286" s="9">
        <f>IF($K286="","",INDEX('سجل التحفيز'!$E$5:$E$2004,MATCH($K286,'سجل التحفيز'!$Z$5:$Z$2004,0)))</f>
        <v/>
      </c>
      <c r="R286" s="9">
        <f>IF($K286="","",INDEX('سجل التحفيز'!$F$5:$F$2004,MATCH($K286,'سجل التحفيز'!$Z$5:$Z$2004,0)))</f>
        <v/>
      </c>
      <c r="S286" s="35">
        <f>IF($K286="","",INDEX('سجل التحفيز'!$G$5:$G$2004,MATCH($K286,'سجل التحفيز'!$Z$5:$Z$2004,0)))</f>
        <v/>
      </c>
    </row>
    <row r="287">
      <c r="K287" s="36">
        <f>IF(250&gt;$B$10,"",250)</f>
        <v/>
      </c>
      <c r="L287" s="37">
        <f>IF($K287="","",INDEX('سجل التحفيز'!$A$5:$A$2004,MATCH($K287,'سجل التحفيز'!$Z$5:$Z$2004,0)))</f>
        <v/>
      </c>
      <c r="M287" s="9">
        <f>IF($K287="","",INDEX('سجل التحفيز'!$B$5:$B$2004,MATCH($K287,'سجل التحفيز'!$Z$5:$Z$2004,0)))</f>
        <v/>
      </c>
      <c r="N287" s="9">
        <f>IF($K287="","",INDEX('سجل التحفيز'!$M$5:$M$2004,MATCH($K287,'سجل التحفيز'!$Z$5:$Z$2004,0)))</f>
        <v/>
      </c>
      <c r="O287" s="9">
        <f>IF($K287="","",INDEX('سجل التحفيز'!$C$5:$C$2004,MATCH($K287,'سجل التحفيز'!$Z$5:$Z$2004,0)))</f>
        <v/>
      </c>
      <c r="P287" s="36">
        <f>IF($K287="","",INDEX('سجل التحفيز'!$D$5:$D$2004,MATCH($K287,'سجل التحفيز'!$Z$5:$Z$2004,0)))</f>
        <v/>
      </c>
      <c r="Q287" s="9">
        <f>IF($K287="","",INDEX('سجل التحفيز'!$E$5:$E$2004,MATCH($K287,'سجل التحفيز'!$Z$5:$Z$2004,0)))</f>
        <v/>
      </c>
      <c r="R287" s="9">
        <f>IF($K287="","",INDEX('سجل التحفيز'!$F$5:$F$2004,MATCH($K287,'سجل التحفيز'!$Z$5:$Z$2004,0)))</f>
        <v/>
      </c>
      <c r="S287" s="35">
        <f>IF($K287="","",INDEX('سجل التحفيز'!$G$5:$G$2004,MATCH($K287,'سجل التحفيز'!$Z$5:$Z$2004,0)))</f>
        <v/>
      </c>
    </row>
    <row r="288">
      <c r="K288" s="36">
        <f>IF(251&gt;$B$10,"",251)</f>
        <v/>
      </c>
      <c r="L288" s="37">
        <f>IF($K288="","",INDEX('سجل التحفيز'!$A$5:$A$2004,MATCH($K288,'سجل التحفيز'!$Z$5:$Z$2004,0)))</f>
        <v/>
      </c>
      <c r="M288" s="9">
        <f>IF($K288="","",INDEX('سجل التحفيز'!$B$5:$B$2004,MATCH($K288,'سجل التحفيز'!$Z$5:$Z$2004,0)))</f>
        <v/>
      </c>
      <c r="N288" s="9">
        <f>IF($K288="","",INDEX('سجل التحفيز'!$M$5:$M$2004,MATCH($K288,'سجل التحفيز'!$Z$5:$Z$2004,0)))</f>
        <v/>
      </c>
      <c r="O288" s="9">
        <f>IF($K288="","",INDEX('سجل التحفيز'!$C$5:$C$2004,MATCH($K288,'سجل التحفيز'!$Z$5:$Z$2004,0)))</f>
        <v/>
      </c>
      <c r="P288" s="36">
        <f>IF($K288="","",INDEX('سجل التحفيز'!$D$5:$D$2004,MATCH($K288,'سجل التحفيز'!$Z$5:$Z$2004,0)))</f>
        <v/>
      </c>
      <c r="Q288" s="9">
        <f>IF($K288="","",INDEX('سجل التحفيز'!$E$5:$E$2004,MATCH($K288,'سجل التحفيز'!$Z$5:$Z$2004,0)))</f>
        <v/>
      </c>
      <c r="R288" s="9">
        <f>IF($K288="","",INDEX('سجل التحفيز'!$F$5:$F$2004,MATCH($K288,'سجل التحفيز'!$Z$5:$Z$2004,0)))</f>
        <v/>
      </c>
      <c r="S288" s="35">
        <f>IF($K288="","",INDEX('سجل التحفيز'!$G$5:$G$2004,MATCH($K288,'سجل التحفيز'!$Z$5:$Z$2004,0)))</f>
        <v/>
      </c>
    </row>
    <row r="289">
      <c r="K289" s="36">
        <f>IF(252&gt;$B$10,"",252)</f>
        <v/>
      </c>
      <c r="L289" s="37">
        <f>IF($K289="","",INDEX('سجل التحفيز'!$A$5:$A$2004,MATCH($K289,'سجل التحفيز'!$Z$5:$Z$2004,0)))</f>
        <v/>
      </c>
      <c r="M289" s="9">
        <f>IF($K289="","",INDEX('سجل التحفيز'!$B$5:$B$2004,MATCH($K289,'سجل التحفيز'!$Z$5:$Z$2004,0)))</f>
        <v/>
      </c>
      <c r="N289" s="9">
        <f>IF($K289="","",INDEX('سجل التحفيز'!$M$5:$M$2004,MATCH($K289,'سجل التحفيز'!$Z$5:$Z$2004,0)))</f>
        <v/>
      </c>
      <c r="O289" s="9">
        <f>IF($K289="","",INDEX('سجل التحفيز'!$C$5:$C$2004,MATCH($K289,'سجل التحفيز'!$Z$5:$Z$2004,0)))</f>
        <v/>
      </c>
      <c r="P289" s="36">
        <f>IF($K289="","",INDEX('سجل التحفيز'!$D$5:$D$2004,MATCH($K289,'سجل التحفيز'!$Z$5:$Z$2004,0)))</f>
        <v/>
      </c>
      <c r="Q289" s="9">
        <f>IF($K289="","",INDEX('سجل التحفيز'!$E$5:$E$2004,MATCH($K289,'سجل التحفيز'!$Z$5:$Z$2004,0)))</f>
        <v/>
      </c>
      <c r="R289" s="9">
        <f>IF($K289="","",INDEX('سجل التحفيز'!$F$5:$F$2004,MATCH($K289,'سجل التحفيز'!$Z$5:$Z$2004,0)))</f>
        <v/>
      </c>
      <c r="S289" s="35">
        <f>IF($K289="","",INDEX('سجل التحفيز'!$G$5:$G$2004,MATCH($K289,'سجل التحفيز'!$Z$5:$Z$2004,0)))</f>
        <v/>
      </c>
    </row>
    <row r="290">
      <c r="K290" s="36">
        <f>IF(253&gt;$B$10,"",253)</f>
        <v/>
      </c>
      <c r="L290" s="37">
        <f>IF($K290="","",INDEX('سجل التحفيز'!$A$5:$A$2004,MATCH($K290,'سجل التحفيز'!$Z$5:$Z$2004,0)))</f>
        <v/>
      </c>
      <c r="M290" s="9">
        <f>IF($K290="","",INDEX('سجل التحفيز'!$B$5:$B$2004,MATCH($K290,'سجل التحفيز'!$Z$5:$Z$2004,0)))</f>
        <v/>
      </c>
      <c r="N290" s="9">
        <f>IF($K290="","",INDEX('سجل التحفيز'!$M$5:$M$2004,MATCH($K290,'سجل التحفيز'!$Z$5:$Z$2004,0)))</f>
        <v/>
      </c>
      <c r="O290" s="9">
        <f>IF($K290="","",INDEX('سجل التحفيز'!$C$5:$C$2004,MATCH($K290,'سجل التحفيز'!$Z$5:$Z$2004,0)))</f>
        <v/>
      </c>
      <c r="P290" s="36">
        <f>IF($K290="","",INDEX('سجل التحفيز'!$D$5:$D$2004,MATCH($K290,'سجل التحفيز'!$Z$5:$Z$2004,0)))</f>
        <v/>
      </c>
      <c r="Q290" s="9">
        <f>IF($K290="","",INDEX('سجل التحفيز'!$E$5:$E$2004,MATCH($K290,'سجل التحفيز'!$Z$5:$Z$2004,0)))</f>
        <v/>
      </c>
      <c r="R290" s="9">
        <f>IF($K290="","",INDEX('سجل التحفيز'!$F$5:$F$2004,MATCH($K290,'سجل التحفيز'!$Z$5:$Z$2004,0)))</f>
        <v/>
      </c>
      <c r="S290" s="35">
        <f>IF($K290="","",INDEX('سجل التحفيز'!$G$5:$G$2004,MATCH($K290,'سجل التحفيز'!$Z$5:$Z$2004,0)))</f>
        <v/>
      </c>
    </row>
    <row r="291">
      <c r="K291" s="36">
        <f>IF(254&gt;$B$10,"",254)</f>
        <v/>
      </c>
      <c r="L291" s="37">
        <f>IF($K291="","",INDEX('سجل التحفيز'!$A$5:$A$2004,MATCH($K291,'سجل التحفيز'!$Z$5:$Z$2004,0)))</f>
        <v/>
      </c>
      <c r="M291" s="9">
        <f>IF($K291="","",INDEX('سجل التحفيز'!$B$5:$B$2004,MATCH($K291,'سجل التحفيز'!$Z$5:$Z$2004,0)))</f>
        <v/>
      </c>
      <c r="N291" s="9">
        <f>IF($K291="","",INDEX('سجل التحفيز'!$M$5:$M$2004,MATCH($K291,'سجل التحفيز'!$Z$5:$Z$2004,0)))</f>
        <v/>
      </c>
      <c r="O291" s="9">
        <f>IF($K291="","",INDEX('سجل التحفيز'!$C$5:$C$2004,MATCH($K291,'سجل التحفيز'!$Z$5:$Z$2004,0)))</f>
        <v/>
      </c>
      <c r="P291" s="36">
        <f>IF($K291="","",INDEX('سجل التحفيز'!$D$5:$D$2004,MATCH($K291,'سجل التحفيز'!$Z$5:$Z$2004,0)))</f>
        <v/>
      </c>
      <c r="Q291" s="9">
        <f>IF($K291="","",INDEX('سجل التحفيز'!$E$5:$E$2004,MATCH($K291,'سجل التحفيز'!$Z$5:$Z$2004,0)))</f>
        <v/>
      </c>
      <c r="R291" s="9">
        <f>IF($K291="","",INDEX('سجل التحفيز'!$F$5:$F$2004,MATCH($K291,'سجل التحفيز'!$Z$5:$Z$2004,0)))</f>
        <v/>
      </c>
      <c r="S291" s="35">
        <f>IF($K291="","",INDEX('سجل التحفيز'!$G$5:$G$2004,MATCH($K291,'سجل التحفيز'!$Z$5:$Z$2004,0)))</f>
        <v/>
      </c>
    </row>
    <row r="292">
      <c r="K292" s="36">
        <f>IF(255&gt;$B$10,"",255)</f>
        <v/>
      </c>
      <c r="L292" s="37">
        <f>IF($K292="","",INDEX('سجل التحفيز'!$A$5:$A$2004,MATCH($K292,'سجل التحفيز'!$Z$5:$Z$2004,0)))</f>
        <v/>
      </c>
      <c r="M292" s="9">
        <f>IF($K292="","",INDEX('سجل التحفيز'!$B$5:$B$2004,MATCH($K292,'سجل التحفيز'!$Z$5:$Z$2004,0)))</f>
        <v/>
      </c>
      <c r="N292" s="9">
        <f>IF($K292="","",INDEX('سجل التحفيز'!$M$5:$M$2004,MATCH($K292,'سجل التحفيز'!$Z$5:$Z$2004,0)))</f>
        <v/>
      </c>
      <c r="O292" s="9">
        <f>IF($K292="","",INDEX('سجل التحفيز'!$C$5:$C$2004,MATCH($K292,'سجل التحفيز'!$Z$5:$Z$2004,0)))</f>
        <v/>
      </c>
      <c r="P292" s="36">
        <f>IF($K292="","",INDEX('سجل التحفيز'!$D$5:$D$2004,MATCH($K292,'سجل التحفيز'!$Z$5:$Z$2004,0)))</f>
        <v/>
      </c>
      <c r="Q292" s="9">
        <f>IF($K292="","",INDEX('سجل التحفيز'!$E$5:$E$2004,MATCH($K292,'سجل التحفيز'!$Z$5:$Z$2004,0)))</f>
        <v/>
      </c>
      <c r="R292" s="9">
        <f>IF($K292="","",INDEX('سجل التحفيز'!$F$5:$F$2004,MATCH($K292,'سجل التحفيز'!$Z$5:$Z$2004,0)))</f>
        <v/>
      </c>
      <c r="S292" s="35">
        <f>IF($K292="","",INDEX('سجل التحفيز'!$G$5:$G$2004,MATCH($K292,'سجل التحفيز'!$Z$5:$Z$2004,0)))</f>
        <v/>
      </c>
    </row>
    <row r="293">
      <c r="K293" s="36">
        <f>IF(256&gt;$B$10,"",256)</f>
        <v/>
      </c>
      <c r="L293" s="37">
        <f>IF($K293="","",INDEX('سجل التحفيز'!$A$5:$A$2004,MATCH($K293,'سجل التحفيز'!$Z$5:$Z$2004,0)))</f>
        <v/>
      </c>
      <c r="M293" s="9">
        <f>IF($K293="","",INDEX('سجل التحفيز'!$B$5:$B$2004,MATCH($K293,'سجل التحفيز'!$Z$5:$Z$2004,0)))</f>
        <v/>
      </c>
      <c r="N293" s="9">
        <f>IF($K293="","",INDEX('سجل التحفيز'!$M$5:$M$2004,MATCH($K293,'سجل التحفيز'!$Z$5:$Z$2004,0)))</f>
        <v/>
      </c>
      <c r="O293" s="9">
        <f>IF($K293="","",INDEX('سجل التحفيز'!$C$5:$C$2004,MATCH($K293,'سجل التحفيز'!$Z$5:$Z$2004,0)))</f>
        <v/>
      </c>
      <c r="P293" s="36">
        <f>IF($K293="","",INDEX('سجل التحفيز'!$D$5:$D$2004,MATCH($K293,'سجل التحفيز'!$Z$5:$Z$2004,0)))</f>
        <v/>
      </c>
      <c r="Q293" s="9">
        <f>IF($K293="","",INDEX('سجل التحفيز'!$E$5:$E$2004,MATCH($K293,'سجل التحفيز'!$Z$5:$Z$2004,0)))</f>
        <v/>
      </c>
      <c r="R293" s="9">
        <f>IF($K293="","",INDEX('سجل التحفيز'!$F$5:$F$2004,MATCH($K293,'سجل التحفيز'!$Z$5:$Z$2004,0)))</f>
        <v/>
      </c>
      <c r="S293" s="35">
        <f>IF($K293="","",INDEX('سجل التحفيز'!$G$5:$G$2004,MATCH($K293,'سجل التحفيز'!$Z$5:$Z$2004,0)))</f>
        <v/>
      </c>
    </row>
    <row r="294">
      <c r="K294" s="36">
        <f>IF(257&gt;$B$10,"",257)</f>
        <v/>
      </c>
      <c r="L294" s="37">
        <f>IF($K294="","",INDEX('سجل التحفيز'!$A$5:$A$2004,MATCH($K294,'سجل التحفيز'!$Z$5:$Z$2004,0)))</f>
        <v/>
      </c>
      <c r="M294" s="9">
        <f>IF($K294="","",INDEX('سجل التحفيز'!$B$5:$B$2004,MATCH($K294,'سجل التحفيز'!$Z$5:$Z$2004,0)))</f>
        <v/>
      </c>
      <c r="N294" s="9">
        <f>IF($K294="","",INDEX('سجل التحفيز'!$M$5:$M$2004,MATCH($K294,'سجل التحفيز'!$Z$5:$Z$2004,0)))</f>
        <v/>
      </c>
      <c r="O294" s="9">
        <f>IF($K294="","",INDEX('سجل التحفيز'!$C$5:$C$2004,MATCH($K294,'سجل التحفيز'!$Z$5:$Z$2004,0)))</f>
        <v/>
      </c>
      <c r="P294" s="36">
        <f>IF($K294="","",INDEX('سجل التحفيز'!$D$5:$D$2004,MATCH($K294,'سجل التحفيز'!$Z$5:$Z$2004,0)))</f>
        <v/>
      </c>
      <c r="Q294" s="9">
        <f>IF($K294="","",INDEX('سجل التحفيز'!$E$5:$E$2004,MATCH($K294,'سجل التحفيز'!$Z$5:$Z$2004,0)))</f>
        <v/>
      </c>
      <c r="R294" s="9">
        <f>IF($K294="","",INDEX('سجل التحفيز'!$F$5:$F$2004,MATCH($K294,'سجل التحفيز'!$Z$5:$Z$2004,0)))</f>
        <v/>
      </c>
      <c r="S294" s="35">
        <f>IF($K294="","",INDEX('سجل التحفيز'!$G$5:$G$2004,MATCH($K294,'سجل التحفيز'!$Z$5:$Z$2004,0)))</f>
        <v/>
      </c>
    </row>
    <row r="295">
      <c r="K295" s="36">
        <f>IF(258&gt;$B$10,"",258)</f>
        <v/>
      </c>
      <c r="L295" s="37">
        <f>IF($K295="","",INDEX('سجل التحفيز'!$A$5:$A$2004,MATCH($K295,'سجل التحفيز'!$Z$5:$Z$2004,0)))</f>
        <v/>
      </c>
      <c r="M295" s="9">
        <f>IF($K295="","",INDEX('سجل التحفيز'!$B$5:$B$2004,MATCH($K295,'سجل التحفيز'!$Z$5:$Z$2004,0)))</f>
        <v/>
      </c>
      <c r="N295" s="9">
        <f>IF($K295="","",INDEX('سجل التحفيز'!$M$5:$M$2004,MATCH($K295,'سجل التحفيز'!$Z$5:$Z$2004,0)))</f>
        <v/>
      </c>
      <c r="O295" s="9">
        <f>IF($K295="","",INDEX('سجل التحفيز'!$C$5:$C$2004,MATCH($K295,'سجل التحفيز'!$Z$5:$Z$2004,0)))</f>
        <v/>
      </c>
      <c r="P295" s="36">
        <f>IF($K295="","",INDEX('سجل التحفيز'!$D$5:$D$2004,MATCH($K295,'سجل التحفيز'!$Z$5:$Z$2004,0)))</f>
        <v/>
      </c>
      <c r="Q295" s="9">
        <f>IF($K295="","",INDEX('سجل التحفيز'!$E$5:$E$2004,MATCH($K295,'سجل التحفيز'!$Z$5:$Z$2004,0)))</f>
        <v/>
      </c>
      <c r="R295" s="9">
        <f>IF($K295="","",INDEX('سجل التحفيز'!$F$5:$F$2004,MATCH($K295,'سجل التحفيز'!$Z$5:$Z$2004,0)))</f>
        <v/>
      </c>
      <c r="S295" s="35">
        <f>IF($K295="","",INDEX('سجل التحفيز'!$G$5:$G$2004,MATCH($K295,'سجل التحفيز'!$Z$5:$Z$2004,0)))</f>
        <v/>
      </c>
    </row>
    <row r="296">
      <c r="K296" s="36">
        <f>IF(259&gt;$B$10,"",259)</f>
        <v/>
      </c>
      <c r="L296" s="37">
        <f>IF($K296="","",INDEX('سجل التحفيز'!$A$5:$A$2004,MATCH($K296,'سجل التحفيز'!$Z$5:$Z$2004,0)))</f>
        <v/>
      </c>
      <c r="M296" s="9">
        <f>IF($K296="","",INDEX('سجل التحفيز'!$B$5:$B$2004,MATCH($K296,'سجل التحفيز'!$Z$5:$Z$2004,0)))</f>
        <v/>
      </c>
      <c r="N296" s="9">
        <f>IF($K296="","",INDEX('سجل التحفيز'!$M$5:$M$2004,MATCH($K296,'سجل التحفيز'!$Z$5:$Z$2004,0)))</f>
        <v/>
      </c>
      <c r="O296" s="9">
        <f>IF($K296="","",INDEX('سجل التحفيز'!$C$5:$C$2004,MATCH($K296,'سجل التحفيز'!$Z$5:$Z$2004,0)))</f>
        <v/>
      </c>
      <c r="P296" s="36">
        <f>IF($K296="","",INDEX('سجل التحفيز'!$D$5:$D$2004,MATCH($K296,'سجل التحفيز'!$Z$5:$Z$2004,0)))</f>
        <v/>
      </c>
      <c r="Q296" s="9">
        <f>IF($K296="","",INDEX('سجل التحفيز'!$E$5:$E$2004,MATCH($K296,'سجل التحفيز'!$Z$5:$Z$2004,0)))</f>
        <v/>
      </c>
      <c r="R296" s="9">
        <f>IF($K296="","",INDEX('سجل التحفيز'!$F$5:$F$2004,MATCH($K296,'سجل التحفيز'!$Z$5:$Z$2004,0)))</f>
        <v/>
      </c>
      <c r="S296" s="35">
        <f>IF($K296="","",INDEX('سجل التحفيز'!$G$5:$G$2004,MATCH($K296,'سجل التحفيز'!$Z$5:$Z$2004,0)))</f>
        <v/>
      </c>
    </row>
    <row r="297">
      <c r="K297" s="36">
        <f>IF(260&gt;$B$10,"",260)</f>
        <v/>
      </c>
      <c r="L297" s="37">
        <f>IF($K297="","",INDEX('سجل التحفيز'!$A$5:$A$2004,MATCH($K297,'سجل التحفيز'!$Z$5:$Z$2004,0)))</f>
        <v/>
      </c>
      <c r="M297" s="9">
        <f>IF($K297="","",INDEX('سجل التحفيز'!$B$5:$B$2004,MATCH($K297,'سجل التحفيز'!$Z$5:$Z$2004,0)))</f>
        <v/>
      </c>
      <c r="N297" s="9">
        <f>IF($K297="","",INDEX('سجل التحفيز'!$M$5:$M$2004,MATCH($K297,'سجل التحفيز'!$Z$5:$Z$2004,0)))</f>
        <v/>
      </c>
      <c r="O297" s="9">
        <f>IF($K297="","",INDEX('سجل التحفيز'!$C$5:$C$2004,MATCH($K297,'سجل التحفيز'!$Z$5:$Z$2004,0)))</f>
        <v/>
      </c>
      <c r="P297" s="36">
        <f>IF($K297="","",INDEX('سجل التحفيز'!$D$5:$D$2004,MATCH($K297,'سجل التحفيز'!$Z$5:$Z$2004,0)))</f>
        <v/>
      </c>
      <c r="Q297" s="9">
        <f>IF($K297="","",INDEX('سجل التحفيز'!$E$5:$E$2004,MATCH($K297,'سجل التحفيز'!$Z$5:$Z$2004,0)))</f>
        <v/>
      </c>
      <c r="R297" s="9">
        <f>IF($K297="","",INDEX('سجل التحفيز'!$F$5:$F$2004,MATCH($K297,'سجل التحفيز'!$Z$5:$Z$2004,0)))</f>
        <v/>
      </c>
      <c r="S297" s="35">
        <f>IF($K297="","",INDEX('سجل التحفيز'!$G$5:$G$2004,MATCH($K297,'سجل التحفيز'!$Z$5:$Z$2004,0)))</f>
        <v/>
      </c>
    </row>
    <row r="298">
      <c r="K298" s="36">
        <f>IF(261&gt;$B$10,"",261)</f>
        <v/>
      </c>
      <c r="L298" s="37">
        <f>IF($K298="","",INDEX('سجل التحفيز'!$A$5:$A$2004,MATCH($K298,'سجل التحفيز'!$Z$5:$Z$2004,0)))</f>
        <v/>
      </c>
      <c r="M298" s="9">
        <f>IF($K298="","",INDEX('سجل التحفيز'!$B$5:$B$2004,MATCH($K298,'سجل التحفيز'!$Z$5:$Z$2004,0)))</f>
        <v/>
      </c>
      <c r="N298" s="9">
        <f>IF($K298="","",INDEX('سجل التحفيز'!$M$5:$M$2004,MATCH($K298,'سجل التحفيز'!$Z$5:$Z$2004,0)))</f>
        <v/>
      </c>
      <c r="O298" s="9">
        <f>IF($K298="","",INDEX('سجل التحفيز'!$C$5:$C$2004,MATCH($K298,'سجل التحفيز'!$Z$5:$Z$2004,0)))</f>
        <v/>
      </c>
      <c r="P298" s="36">
        <f>IF($K298="","",INDEX('سجل التحفيز'!$D$5:$D$2004,MATCH($K298,'سجل التحفيز'!$Z$5:$Z$2004,0)))</f>
        <v/>
      </c>
      <c r="Q298" s="9">
        <f>IF($K298="","",INDEX('سجل التحفيز'!$E$5:$E$2004,MATCH($K298,'سجل التحفيز'!$Z$5:$Z$2004,0)))</f>
        <v/>
      </c>
      <c r="R298" s="9">
        <f>IF($K298="","",INDEX('سجل التحفيز'!$F$5:$F$2004,MATCH($K298,'سجل التحفيز'!$Z$5:$Z$2004,0)))</f>
        <v/>
      </c>
      <c r="S298" s="35">
        <f>IF($K298="","",INDEX('سجل التحفيز'!$G$5:$G$2004,MATCH($K298,'سجل التحفيز'!$Z$5:$Z$2004,0)))</f>
        <v/>
      </c>
    </row>
    <row r="299">
      <c r="K299" s="36">
        <f>IF(262&gt;$B$10,"",262)</f>
        <v/>
      </c>
      <c r="L299" s="37">
        <f>IF($K299="","",INDEX('سجل التحفيز'!$A$5:$A$2004,MATCH($K299,'سجل التحفيز'!$Z$5:$Z$2004,0)))</f>
        <v/>
      </c>
      <c r="M299" s="9">
        <f>IF($K299="","",INDEX('سجل التحفيز'!$B$5:$B$2004,MATCH($K299,'سجل التحفيز'!$Z$5:$Z$2004,0)))</f>
        <v/>
      </c>
      <c r="N299" s="9">
        <f>IF($K299="","",INDEX('سجل التحفيز'!$M$5:$M$2004,MATCH($K299,'سجل التحفيز'!$Z$5:$Z$2004,0)))</f>
        <v/>
      </c>
      <c r="O299" s="9">
        <f>IF($K299="","",INDEX('سجل التحفيز'!$C$5:$C$2004,MATCH($K299,'سجل التحفيز'!$Z$5:$Z$2004,0)))</f>
        <v/>
      </c>
      <c r="P299" s="36">
        <f>IF($K299="","",INDEX('سجل التحفيز'!$D$5:$D$2004,MATCH($K299,'سجل التحفيز'!$Z$5:$Z$2004,0)))</f>
        <v/>
      </c>
      <c r="Q299" s="9">
        <f>IF($K299="","",INDEX('سجل التحفيز'!$E$5:$E$2004,MATCH($K299,'سجل التحفيز'!$Z$5:$Z$2004,0)))</f>
        <v/>
      </c>
      <c r="R299" s="9">
        <f>IF($K299="","",INDEX('سجل التحفيز'!$F$5:$F$2004,MATCH($K299,'سجل التحفيز'!$Z$5:$Z$2004,0)))</f>
        <v/>
      </c>
      <c r="S299" s="35">
        <f>IF($K299="","",INDEX('سجل التحفيز'!$G$5:$G$2004,MATCH($K299,'سجل التحفيز'!$Z$5:$Z$2004,0)))</f>
        <v/>
      </c>
    </row>
    <row r="300">
      <c r="K300" s="36">
        <f>IF(263&gt;$B$10,"",263)</f>
        <v/>
      </c>
      <c r="L300" s="37">
        <f>IF($K300="","",INDEX('سجل التحفيز'!$A$5:$A$2004,MATCH($K300,'سجل التحفيز'!$Z$5:$Z$2004,0)))</f>
        <v/>
      </c>
      <c r="M300" s="9">
        <f>IF($K300="","",INDEX('سجل التحفيز'!$B$5:$B$2004,MATCH($K300,'سجل التحفيز'!$Z$5:$Z$2004,0)))</f>
        <v/>
      </c>
      <c r="N300" s="9">
        <f>IF($K300="","",INDEX('سجل التحفيز'!$M$5:$M$2004,MATCH($K300,'سجل التحفيز'!$Z$5:$Z$2004,0)))</f>
        <v/>
      </c>
      <c r="O300" s="9">
        <f>IF($K300="","",INDEX('سجل التحفيز'!$C$5:$C$2004,MATCH($K300,'سجل التحفيز'!$Z$5:$Z$2004,0)))</f>
        <v/>
      </c>
      <c r="P300" s="36">
        <f>IF($K300="","",INDEX('سجل التحفيز'!$D$5:$D$2004,MATCH($K300,'سجل التحفيز'!$Z$5:$Z$2004,0)))</f>
        <v/>
      </c>
      <c r="Q300" s="9">
        <f>IF($K300="","",INDEX('سجل التحفيز'!$E$5:$E$2004,MATCH($K300,'سجل التحفيز'!$Z$5:$Z$2004,0)))</f>
        <v/>
      </c>
      <c r="R300" s="9">
        <f>IF($K300="","",INDEX('سجل التحفيز'!$F$5:$F$2004,MATCH($K300,'سجل التحفيز'!$Z$5:$Z$2004,0)))</f>
        <v/>
      </c>
      <c r="S300" s="35">
        <f>IF($K300="","",INDEX('سجل التحفيز'!$G$5:$G$2004,MATCH($K300,'سجل التحفيز'!$Z$5:$Z$2004,0)))</f>
        <v/>
      </c>
    </row>
    <row r="301">
      <c r="K301" s="36">
        <f>IF(264&gt;$B$10,"",264)</f>
        <v/>
      </c>
      <c r="L301" s="37">
        <f>IF($K301="","",INDEX('سجل التحفيز'!$A$5:$A$2004,MATCH($K301,'سجل التحفيز'!$Z$5:$Z$2004,0)))</f>
        <v/>
      </c>
      <c r="M301" s="9">
        <f>IF($K301="","",INDEX('سجل التحفيز'!$B$5:$B$2004,MATCH($K301,'سجل التحفيز'!$Z$5:$Z$2004,0)))</f>
        <v/>
      </c>
      <c r="N301" s="9">
        <f>IF($K301="","",INDEX('سجل التحفيز'!$M$5:$M$2004,MATCH($K301,'سجل التحفيز'!$Z$5:$Z$2004,0)))</f>
        <v/>
      </c>
      <c r="O301" s="9">
        <f>IF($K301="","",INDEX('سجل التحفيز'!$C$5:$C$2004,MATCH($K301,'سجل التحفيز'!$Z$5:$Z$2004,0)))</f>
        <v/>
      </c>
      <c r="P301" s="36">
        <f>IF($K301="","",INDEX('سجل التحفيز'!$D$5:$D$2004,MATCH($K301,'سجل التحفيز'!$Z$5:$Z$2004,0)))</f>
        <v/>
      </c>
      <c r="Q301" s="9">
        <f>IF($K301="","",INDEX('سجل التحفيز'!$E$5:$E$2004,MATCH($K301,'سجل التحفيز'!$Z$5:$Z$2004,0)))</f>
        <v/>
      </c>
      <c r="R301" s="9">
        <f>IF($K301="","",INDEX('سجل التحفيز'!$F$5:$F$2004,MATCH($K301,'سجل التحفيز'!$Z$5:$Z$2004,0)))</f>
        <v/>
      </c>
      <c r="S301" s="35">
        <f>IF($K301="","",INDEX('سجل التحفيز'!$G$5:$G$2004,MATCH($K301,'سجل التحفيز'!$Z$5:$Z$2004,0)))</f>
        <v/>
      </c>
    </row>
    <row r="302">
      <c r="K302" s="36">
        <f>IF(265&gt;$B$10,"",265)</f>
        <v/>
      </c>
      <c r="L302" s="37">
        <f>IF($K302="","",INDEX('سجل التحفيز'!$A$5:$A$2004,MATCH($K302,'سجل التحفيز'!$Z$5:$Z$2004,0)))</f>
        <v/>
      </c>
      <c r="M302" s="9">
        <f>IF($K302="","",INDEX('سجل التحفيز'!$B$5:$B$2004,MATCH($K302,'سجل التحفيز'!$Z$5:$Z$2004,0)))</f>
        <v/>
      </c>
      <c r="N302" s="9">
        <f>IF($K302="","",INDEX('سجل التحفيز'!$M$5:$M$2004,MATCH($K302,'سجل التحفيز'!$Z$5:$Z$2004,0)))</f>
        <v/>
      </c>
      <c r="O302" s="9">
        <f>IF($K302="","",INDEX('سجل التحفيز'!$C$5:$C$2004,MATCH($K302,'سجل التحفيز'!$Z$5:$Z$2004,0)))</f>
        <v/>
      </c>
      <c r="P302" s="36">
        <f>IF($K302="","",INDEX('سجل التحفيز'!$D$5:$D$2004,MATCH($K302,'سجل التحفيز'!$Z$5:$Z$2004,0)))</f>
        <v/>
      </c>
      <c r="Q302" s="9">
        <f>IF($K302="","",INDEX('سجل التحفيز'!$E$5:$E$2004,MATCH($K302,'سجل التحفيز'!$Z$5:$Z$2004,0)))</f>
        <v/>
      </c>
      <c r="R302" s="9">
        <f>IF($K302="","",INDEX('سجل التحفيز'!$F$5:$F$2004,MATCH($K302,'سجل التحفيز'!$Z$5:$Z$2004,0)))</f>
        <v/>
      </c>
      <c r="S302" s="35">
        <f>IF($K302="","",INDEX('سجل التحفيز'!$G$5:$G$2004,MATCH($K302,'سجل التحفيز'!$Z$5:$Z$2004,0)))</f>
        <v/>
      </c>
    </row>
    <row r="303">
      <c r="K303" s="36">
        <f>IF(266&gt;$B$10,"",266)</f>
        <v/>
      </c>
      <c r="L303" s="37">
        <f>IF($K303="","",INDEX('سجل التحفيز'!$A$5:$A$2004,MATCH($K303,'سجل التحفيز'!$Z$5:$Z$2004,0)))</f>
        <v/>
      </c>
      <c r="M303" s="9">
        <f>IF($K303="","",INDEX('سجل التحفيز'!$B$5:$B$2004,MATCH($K303,'سجل التحفيز'!$Z$5:$Z$2004,0)))</f>
        <v/>
      </c>
      <c r="N303" s="9">
        <f>IF($K303="","",INDEX('سجل التحفيز'!$M$5:$M$2004,MATCH($K303,'سجل التحفيز'!$Z$5:$Z$2004,0)))</f>
        <v/>
      </c>
      <c r="O303" s="9">
        <f>IF($K303="","",INDEX('سجل التحفيز'!$C$5:$C$2004,MATCH($K303,'سجل التحفيز'!$Z$5:$Z$2004,0)))</f>
        <v/>
      </c>
      <c r="P303" s="36">
        <f>IF($K303="","",INDEX('سجل التحفيز'!$D$5:$D$2004,MATCH($K303,'سجل التحفيز'!$Z$5:$Z$2004,0)))</f>
        <v/>
      </c>
      <c r="Q303" s="9">
        <f>IF($K303="","",INDEX('سجل التحفيز'!$E$5:$E$2004,MATCH($K303,'سجل التحفيز'!$Z$5:$Z$2004,0)))</f>
        <v/>
      </c>
      <c r="R303" s="9">
        <f>IF($K303="","",INDEX('سجل التحفيز'!$F$5:$F$2004,MATCH($K303,'سجل التحفيز'!$Z$5:$Z$2004,0)))</f>
        <v/>
      </c>
      <c r="S303" s="35">
        <f>IF($K303="","",INDEX('سجل التحفيز'!$G$5:$G$2004,MATCH($K303,'سجل التحفيز'!$Z$5:$Z$2004,0)))</f>
        <v/>
      </c>
    </row>
    <row r="304">
      <c r="K304" s="36">
        <f>IF(267&gt;$B$10,"",267)</f>
        <v/>
      </c>
      <c r="L304" s="37">
        <f>IF($K304="","",INDEX('سجل التحفيز'!$A$5:$A$2004,MATCH($K304,'سجل التحفيز'!$Z$5:$Z$2004,0)))</f>
        <v/>
      </c>
      <c r="M304" s="9">
        <f>IF($K304="","",INDEX('سجل التحفيز'!$B$5:$B$2004,MATCH($K304,'سجل التحفيز'!$Z$5:$Z$2004,0)))</f>
        <v/>
      </c>
      <c r="N304" s="9">
        <f>IF($K304="","",INDEX('سجل التحفيز'!$M$5:$M$2004,MATCH($K304,'سجل التحفيز'!$Z$5:$Z$2004,0)))</f>
        <v/>
      </c>
      <c r="O304" s="9">
        <f>IF($K304="","",INDEX('سجل التحفيز'!$C$5:$C$2004,MATCH($K304,'سجل التحفيز'!$Z$5:$Z$2004,0)))</f>
        <v/>
      </c>
      <c r="P304" s="36">
        <f>IF($K304="","",INDEX('سجل التحفيز'!$D$5:$D$2004,MATCH($K304,'سجل التحفيز'!$Z$5:$Z$2004,0)))</f>
        <v/>
      </c>
      <c r="Q304" s="9">
        <f>IF($K304="","",INDEX('سجل التحفيز'!$E$5:$E$2004,MATCH($K304,'سجل التحفيز'!$Z$5:$Z$2004,0)))</f>
        <v/>
      </c>
      <c r="R304" s="9">
        <f>IF($K304="","",INDEX('سجل التحفيز'!$F$5:$F$2004,MATCH($K304,'سجل التحفيز'!$Z$5:$Z$2004,0)))</f>
        <v/>
      </c>
      <c r="S304" s="35">
        <f>IF($K304="","",INDEX('سجل التحفيز'!$G$5:$G$2004,MATCH($K304,'سجل التحفيز'!$Z$5:$Z$2004,0)))</f>
        <v/>
      </c>
    </row>
    <row r="305">
      <c r="K305" s="36">
        <f>IF(268&gt;$B$10,"",268)</f>
        <v/>
      </c>
      <c r="L305" s="37">
        <f>IF($K305="","",INDEX('سجل التحفيز'!$A$5:$A$2004,MATCH($K305,'سجل التحفيز'!$Z$5:$Z$2004,0)))</f>
        <v/>
      </c>
      <c r="M305" s="9">
        <f>IF($K305="","",INDEX('سجل التحفيز'!$B$5:$B$2004,MATCH($K305,'سجل التحفيز'!$Z$5:$Z$2004,0)))</f>
        <v/>
      </c>
      <c r="N305" s="9">
        <f>IF($K305="","",INDEX('سجل التحفيز'!$M$5:$M$2004,MATCH($K305,'سجل التحفيز'!$Z$5:$Z$2004,0)))</f>
        <v/>
      </c>
      <c r="O305" s="9">
        <f>IF($K305="","",INDEX('سجل التحفيز'!$C$5:$C$2004,MATCH($K305,'سجل التحفيز'!$Z$5:$Z$2004,0)))</f>
        <v/>
      </c>
      <c r="P305" s="36">
        <f>IF($K305="","",INDEX('سجل التحفيز'!$D$5:$D$2004,MATCH($K305,'سجل التحفيز'!$Z$5:$Z$2004,0)))</f>
        <v/>
      </c>
      <c r="Q305" s="9">
        <f>IF($K305="","",INDEX('سجل التحفيز'!$E$5:$E$2004,MATCH($K305,'سجل التحفيز'!$Z$5:$Z$2004,0)))</f>
        <v/>
      </c>
      <c r="R305" s="9">
        <f>IF($K305="","",INDEX('سجل التحفيز'!$F$5:$F$2004,MATCH($K305,'سجل التحفيز'!$Z$5:$Z$2004,0)))</f>
        <v/>
      </c>
      <c r="S305" s="35">
        <f>IF($K305="","",INDEX('سجل التحفيز'!$G$5:$G$2004,MATCH($K305,'سجل التحفيز'!$Z$5:$Z$2004,0)))</f>
        <v/>
      </c>
    </row>
    <row r="306">
      <c r="K306" s="36">
        <f>IF(269&gt;$B$10,"",269)</f>
        <v/>
      </c>
      <c r="L306" s="37">
        <f>IF($K306="","",INDEX('سجل التحفيز'!$A$5:$A$2004,MATCH($K306,'سجل التحفيز'!$Z$5:$Z$2004,0)))</f>
        <v/>
      </c>
      <c r="M306" s="9">
        <f>IF($K306="","",INDEX('سجل التحفيز'!$B$5:$B$2004,MATCH($K306,'سجل التحفيز'!$Z$5:$Z$2004,0)))</f>
        <v/>
      </c>
      <c r="N306" s="9">
        <f>IF($K306="","",INDEX('سجل التحفيز'!$M$5:$M$2004,MATCH($K306,'سجل التحفيز'!$Z$5:$Z$2004,0)))</f>
        <v/>
      </c>
      <c r="O306" s="9">
        <f>IF($K306="","",INDEX('سجل التحفيز'!$C$5:$C$2004,MATCH($K306,'سجل التحفيز'!$Z$5:$Z$2004,0)))</f>
        <v/>
      </c>
      <c r="P306" s="36">
        <f>IF($K306="","",INDEX('سجل التحفيز'!$D$5:$D$2004,MATCH($K306,'سجل التحفيز'!$Z$5:$Z$2004,0)))</f>
        <v/>
      </c>
      <c r="Q306" s="9">
        <f>IF($K306="","",INDEX('سجل التحفيز'!$E$5:$E$2004,MATCH($K306,'سجل التحفيز'!$Z$5:$Z$2004,0)))</f>
        <v/>
      </c>
      <c r="R306" s="9">
        <f>IF($K306="","",INDEX('سجل التحفيز'!$F$5:$F$2004,MATCH($K306,'سجل التحفيز'!$Z$5:$Z$2004,0)))</f>
        <v/>
      </c>
      <c r="S306" s="35">
        <f>IF($K306="","",INDEX('سجل التحفيز'!$G$5:$G$2004,MATCH($K306,'سجل التحفيز'!$Z$5:$Z$2004,0)))</f>
        <v/>
      </c>
    </row>
    <row r="307">
      <c r="K307" s="36">
        <f>IF(270&gt;$B$10,"",270)</f>
        <v/>
      </c>
      <c r="L307" s="37">
        <f>IF($K307="","",INDEX('سجل التحفيز'!$A$5:$A$2004,MATCH($K307,'سجل التحفيز'!$Z$5:$Z$2004,0)))</f>
        <v/>
      </c>
      <c r="M307" s="9">
        <f>IF($K307="","",INDEX('سجل التحفيز'!$B$5:$B$2004,MATCH($K307,'سجل التحفيز'!$Z$5:$Z$2004,0)))</f>
        <v/>
      </c>
      <c r="N307" s="9">
        <f>IF($K307="","",INDEX('سجل التحفيز'!$M$5:$M$2004,MATCH($K307,'سجل التحفيز'!$Z$5:$Z$2004,0)))</f>
        <v/>
      </c>
      <c r="O307" s="9">
        <f>IF($K307="","",INDEX('سجل التحفيز'!$C$5:$C$2004,MATCH($K307,'سجل التحفيز'!$Z$5:$Z$2004,0)))</f>
        <v/>
      </c>
      <c r="P307" s="36">
        <f>IF($K307="","",INDEX('سجل التحفيز'!$D$5:$D$2004,MATCH($K307,'سجل التحفيز'!$Z$5:$Z$2004,0)))</f>
        <v/>
      </c>
      <c r="Q307" s="9">
        <f>IF($K307="","",INDEX('سجل التحفيز'!$E$5:$E$2004,MATCH($K307,'سجل التحفيز'!$Z$5:$Z$2004,0)))</f>
        <v/>
      </c>
      <c r="R307" s="9">
        <f>IF($K307="","",INDEX('سجل التحفيز'!$F$5:$F$2004,MATCH($K307,'سجل التحفيز'!$Z$5:$Z$2004,0)))</f>
        <v/>
      </c>
      <c r="S307" s="35">
        <f>IF($K307="","",INDEX('سجل التحفيز'!$G$5:$G$2004,MATCH($K307,'سجل التحفيز'!$Z$5:$Z$2004,0)))</f>
        <v/>
      </c>
    </row>
    <row r="308">
      <c r="K308" s="36">
        <f>IF(271&gt;$B$10,"",271)</f>
        <v/>
      </c>
      <c r="L308" s="37">
        <f>IF($K308="","",INDEX('سجل التحفيز'!$A$5:$A$2004,MATCH($K308,'سجل التحفيز'!$Z$5:$Z$2004,0)))</f>
        <v/>
      </c>
      <c r="M308" s="9">
        <f>IF($K308="","",INDEX('سجل التحفيز'!$B$5:$B$2004,MATCH($K308,'سجل التحفيز'!$Z$5:$Z$2004,0)))</f>
        <v/>
      </c>
      <c r="N308" s="9">
        <f>IF($K308="","",INDEX('سجل التحفيز'!$M$5:$M$2004,MATCH($K308,'سجل التحفيز'!$Z$5:$Z$2004,0)))</f>
        <v/>
      </c>
      <c r="O308" s="9">
        <f>IF($K308="","",INDEX('سجل التحفيز'!$C$5:$C$2004,MATCH($K308,'سجل التحفيز'!$Z$5:$Z$2004,0)))</f>
        <v/>
      </c>
      <c r="P308" s="36">
        <f>IF($K308="","",INDEX('سجل التحفيز'!$D$5:$D$2004,MATCH($K308,'سجل التحفيز'!$Z$5:$Z$2004,0)))</f>
        <v/>
      </c>
      <c r="Q308" s="9">
        <f>IF($K308="","",INDEX('سجل التحفيز'!$E$5:$E$2004,MATCH($K308,'سجل التحفيز'!$Z$5:$Z$2004,0)))</f>
        <v/>
      </c>
      <c r="R308" s="9">
        <f>IF($K308="","",INDEX('سجل التحفيز'!$F$5:$F$2004,MATCH($K308,'سجل التحفيز'!$Z$5:$Z$2004,0)))</f>
        <v/>
      </c>
      <c r="S308" s="35">
        <f>IF($K308="","",INDEX('سجل التحفيز'!$G$5:$G$2004,MATCH($K308,'سجل التحفيز'!$Z$5:$Z$2004,0)))</f>
        <v/>
      </c>
    </row>
    <row r="309">
      <c r="K309" s="36">
        <f>IF(272&gt;$B$10,"",272)</f>
        <v/>
      </c>
      <c r="L309" s="37">
        <f>IF($K309="","",INDEX('سجل التحفيز'!$A$5:$A$2004,MATCH($K309,'سجل التحفيز'!$Z$5:$Z$2004,0)))</f>
        <v/>
      </c>
      <c r="M309" s="9">
        <f>IF($K309="","",INDEX('سجل التحفيز'!$B$5:$B$2004,MATCH($K309,'سجل التحفيز'!$Z$5:$Z$2004,0)))</f>
        <v/>
      </c>
      <c r="N309" s="9">
        <f>IF($K309="","",INDEX('سجل التحفيز'!$M$5:$M$2004,MATCH($K309,'سجل التحفيز'!$Z$5:$Z$2004,0)))</f>
        <v/>
      </c>
      <c r="O309" s="9">
        <f>IF($K309="","",INDEX('سجل التحفيز'!$C$5:$C$2004,MATCH($K309,'سجل التحفيز'!$Z$5:$Z$2004,0)))</f>
        <v/>
      </c>
      <c r="P309" s="36">
        <f>IF($K309="","",INDEX('سجل التحفيز'!$D$5:$D$2004,MATCH($K309,'سجل التحفيز'!$Z$5:$Z$2004,0)))</f>
        <v/>
      </c>
      <c r="Q309" s="9">
        <f>IF($K309="","",INDEX('سجل التحفيز'!$E$5:$E$2004,MATCH($K309,'سجل التحفيز'!$Z$5:$Z$2004,0)))</f>
        <v/>
      </c>
      <c r="R309" s="9">
        <f>IF($K309="","",INDEX('سجل التحفيز'!$F$5:$F$2004,MATCH($K309,'سجل التحفيز'!$Z$5:$Z$2004,0)))</f>
        <v/>
      </c>
      <c r="S309" s="35">
        <f>IF($K309="","",INDEX('سجل التحفيز'!$G$5:$G$2004,MATCH($K309,'سجل التحفيز'!$Z$5:$Z$2004,0)))</f>
        <v/>
      </c>
    </row>
    <row r="310">
      <c r="K310" s="36">
        <f>IF(273&gt;$B$10,"",273)</f>
        <v/>
      </c>
      <c r="L310" s="37">
        <f>IF($K310="","",INDEX('سجل التحفيز'!$A$5:$A$2004,MATCH($K310,'سجل التحفيز'!$Z$5:$Z$2004,0)))</f>
        <v/>
      </c>
      <c r="M310" s="9">
        <f>IF($K310="","",INDEX('سجل التحفيز'!$B$5:$B$2004,MATCH($K310,'سجل التحفيز'!$Z$5:$Z$2004,0)))</f>
        <v/>
      </c>
      <c r="N310" s="9">
        <f>IF($K310="","",INDEX('سجل التحفيز'!$M$5:$M$2004,MATCH($K310,'سجل التحفيز'!$Z$5:$Z$2004,0)))</f>
        <v/>
      </c>
      <c r="O310" s="9">
        <f>IF($K310="","",INDEX('سجل التحفيز'!$C$5:$C$2004,MATCH($K310,'سجل التحفيز'!$Z$5:$Z$2004,0)))</f>
        <v/>
      </c>
      <c r="P310" s="36">
        <f>IF($K310="","",INDEX('سجل التحفيز'!$D$5:$D$2004,MATCH($K310,'سجل التحفيز'!$Z$5:$Z$2004,0)))</f>
        <v/>
      </c>
      <c r="Q310" s="9">
        <f>IF($K310="","",INDEX('سجل التحفيز'!$E$5:$E$2004,MATCH($K310,'سجل التحفيز'!$Z$5:$Z$2004,0)))</f>
        <v/>
      </c>
      <c r="R310" s="9">
        <f>IF($K310="","",INDEX('سجل التحفيز'!$F$5:$F$2004,MATCH($K310,'سجل التحفيز'!$Z$5:$Z$2004,0)))</f>
        <v/>
      </c>
      <c r="S310" s="35">
        <f>IF($K310="","",INDEX('سجل التحفيز'!$G$5:$G$2004,MATCH($K310,'سجل التحفيز'!$Z$5:$Z$2004,0)))</f>
        <v/>
      </c>
    </row>
    <row r="311">
      <c r="K311" s="36">
        <f>IF(274&gt;$B$10,"",274)</f>
        <v/>
      </c>
      <c r="L311" s="37">
        <f>IF($K311="","",INDEX('سجل التحفيز'!$A$5:$A$2004,MATCH($K311,'سجل التحفيز'!$Z$5:$Z$2004,0)))</f>
        <v/>
      </c>
      <c r="M311" s="9">
        <f>IF($K311="","",INDEX('سجل التحفيز'!$B$5:$B$2004,MATCH($K311,'سجل التحفيز'!$Z$5:$Z$2004,0)))</f>
        <v/>
      </c>
      <c r="N311" s="9">
        <f>IF($K311="","",INDEX('سجل التحفيز'!$M$5:$M$2004,MATCH($K311,'سجل التحفيز'!$Z$5:$Z$2004,0)))</f>
        <v/>
      </c>
      <c r="O311" s="9">
        <f>IF($K311="","",INDEX('سجل التحفيز'!$C$5:$C$2004,MATCH($K311,'سجل التحفيز'!$Z$5:$Z$2004,0)))</f>
        <v/>
      </c>
      <c r="P311" s="36">
        <f>IF($K311="","",INDEX('سجل التحفيز'!$D$5:$D$2004,MATCH($K311,'سجل التحفيز'!$Z$5:$Z$2004,0)))</f>
        <v/>
      </c>
      <c r="Q311" s="9">
        <f>IF($K311="","",INDEX('سجل التحفيز'!$E$5:$E$2004,MATCH($K311,'سجل التحفيز'!$Z$5:$Z$2004,0)))</f>
        <v/>
      </c>
      <c r="R311" s="9">
        <f>IF($K311="","",INDEX('سجل التحفيز'!$F$5:$F$2004,MATCH($K311,'سجل التحفيز'!$Z$5:$Z$2004,0)))</f>
        <v/>
      </c>
      <c r="S311" s="35">
        <f>IF($K311="","",INDEX('سجل التحفيز'!$G$5:$G$2004,MATCH($K311,'سجل التحفيز'!$Z$5:$Z$2004,0)))</f>
        <v/>
      </c>
    </row>
    <row r="312">
      <c r="K312" s="36">
        <f>IF(275&gt;$B$10,"",275)</f>
        <v/>
      </c>
      <c r="L312" s="37">
        <f>IF($K312="","",INDEX('سجل التحفيز'!$A$5:$A$2004,MATCH($K312,'سجل التحفيز'!$Z$5:$Z$2004,0)))</f>
        <v/>
      </c>
      <c r="M312" s="9">
        <f>IF($K312="","",INDEX('سجل التحفيز'!$B$5:$B$2004,MATCH($K312,'سجل التحفيز'!$Z$5:$Z$2004,0)))</f>
        <v/>
      </c>
      <c r="N312" s="9">
        <f>IF($K312="","",INDEX('سجل التحفيز'!$M$5:$M$2004,MATCH($K312,'سجل التحفيز'!$Z$5:$Z$2004,0)))</f>
        <v/>
      </c>
      <c r="O312" s="9">
        <f>IF($K312="","",INDEX('سجل التحفيز'!$C$5:$C$2004,MATCH($K312,'سجل التحفيز'!$Z$5:$Z$2004,0)))</f>
        <v/>
      </c>
      <c r="P312" s="36">
        <f>IF($K312="","",INDEX('سجل التحفيز'!$D$5:$D$2004,MATCH($K312,'سجل التحفيز'!$Z$5:$Z$2004,0)))</f>
        <v/>
      </c>
      <c r="Q312" s="9">
        <f>IF($K312="","",INDEX('سجل التحفيز'!$E$5:$E$2004,MATCH($K312,'سجل التحفيز'!$Z$5:$Z$2004,0)))</f>
        <v/>
      </c>
      <c r="R312" s="9">
        <f>IF($K312="","",INDEX('سجل التحفيز'!$F$5:$F$2004,MATCH($K312,'سجل التحفيز'!$Z$5:$Z$2004,0)))</f>
        <v/>
      </c>
      <c r="S312" s="35">
        <f>IF($K312="","",INDEX('سجل التحفيز'!$G$5:$G$2004,MATCH($K312,'سجل التحفيز'!$Z$5:$Z$2004,0)))</f>
        <v/>
      </c>
    </row>
    <row r="313">
      <c r="K313" s="36">
        <f>IF(276&gt;$B$10,"",276)</f>
        <v/>
      </c>
      <c r="L313" s="37">
        <f>IF($K313="","",INDEX('سجل التحفيز'!$A$5:$A$2004,MATCH($K313,'سجل التحفيز'!$Z$5:$Z$2004,0)))</f>
        <v/>
      </c>
      <c r="M313" s="9">
        <f>IF($K313="","",INDEX('سجل التحفيز'!$B$5:$B$2004,MATCH($K313,'سجل التحفيز'!$Z$5:$Z$2004,0)))</f>
        <v/>
      </c>
      <c r="N313" s="9">
        <f>IF($K313="","",INDEX('سجل التحفيز'!$M$5:$M$2004,MATCH($K313,'سجل التحفيز'!$Z$5:$Z$2004,0)))</f>
        <v/>
      </c>
      <c r="O313" s="9">
        <f>IF($K313="","",INDEX('سجل التحفيز'!$C$5:$C$2004,MATCH($K313,'سجل التحفيز'!$Z$5:$Z$2004,0)))</f>
        <v/>
      </c>
      <c r="P313" s="36">
        <f>IF($K313="","",INDEX('سجل التحفيز'!$D$5:$D$2004,MATCH($K313,'سجل التحفيز'!$Z$5:$Z$2004,0)))</f>
        <v/>
      </c>
      <c r="Q313" s="9">
        <f>IF($K313="","",INDEX('سجل التحفيز'!$E$5:$E$2004,MATCH($K313,'سجل التحفيز'!$Z$5:$Z$2004,0)))</f>
        <v/>
      </c>
      <c r="R313" s="9">
        <f>IF($K313="","",INDEX('سجل التحفيز'!$F$5:$F$2004,MATCH($K313,'سجل التحفيز'!$Z$5:$Z$2004,0)))</f>
        <v/>
      </c>
      <c r="S313" s="35">
        <f>IF($K313="","",INDEX('سجل التحفيز'!$G$5:$G$2004,MATCH($K313,'سجل التحفيز'!$Z$5:$Z$2004,0)))</f>
        <v/>
      </c>
    </row>
    <row r="314">
      <c r="K314" s="36">
        <f>IF(277&gt;$B$10,"",277)</f>
        <v/>
      </c>
      <c r="L314" s="37">
        <f>IF($K314="","",INDEX('سجل التحفيز'!$A$5:$A$2004,MATCH($K314,'سجل التحفيز'!$Z$5:$Z$2004,0)))</f>
        <v/>
      </c>
      <c r="M314" s="9">
        <f>IF($K314="","",INDEX('سجل التحفيز'!$B$5:$B$2004,MATCH($K314,'سجل التحفيز'!$Z$5:$Z$2004,0)))</f>
        <v/>
      </c>
      <c r="N314" s="9">
        <f>IF($K314="","",INDEX('سجل التحفيز'!$M$5:$M$2004,MATCH($K314,'سجل التحفيز'!$Z$5:$Z$2004,0)))</f>
        <v/>
      </c>
      <c r="O314" s="9">
        <f>IF($K314="","",INDEX('سجل التحفيز'!$C$5:$C$2004,MATCH($K314,'سجل التحفيز'!$Z$5:$Z$2004,0)))</f>
        <v/>
      </c>
      <c r="P314" s="36">
        <f>IF($K314="","",INDEX('سجل التحفيز'!$D$5:$D$2004,MATCH($K314,'سجل التحفيز'!$Z$5:$Z$2004,0)))</f>
        <v/>
      </c>
      <c r="Q314" s="9">
        <f>IF($K314="","",INDEX('سجل التحفيز'!$E$5:$E$2004,MATCH($K314,'سجل التحفيز'!$Z$5:$Z$2004,0)))</f>
        <v/>
      </c>
      <c r="R314" s="9">
        <f>IF($K314="","",INDEX('سجل التحفيز'!$F$5:$F$2004,MATCH($K314,'سجل التحفيز'!$Z$5:$Z$2004,0)))</f>
        <v/>
      </c>
      <c r="S314" s="35">
        <f>IF($K314="","",INDEX('سجل التحفيز'!$G$5:$G$2004,MATCH($K314,'سجل التحفيز'!$Z$5:$Z$2004,0)))</f>
        <v/>
      </c>
    </row>
    <row r="315">
      <c r="K315" s="36">
        <f>IF(278&gt;$B$10,"",278)</f>
        <v/>
      </c>
      <c r="L315" s="37">
        <f>IF($K315="","",INDEX('سجل التحفيز'!$A$5:$A$2004,MATCH($K315,'سجل التحفيز'!$Z$5:$Z$2004,0)))</f>
        <v/>
      </c>
      <c r="M315" s="9">
        <f>IF($K315="","",INDEX('سجل التحفيز'!$B$5:$B$2004,MATCH($K315,'سجل التحفيز'!$Z$5:$Z$2004,0)))</f>
        <v/>
      </c>
      <c r="N315" s="9">
        <f>IF($K315="","",INDEX('سجل التحفيز'!$M$5:$M$2004,MATCH($K315,'سجل التحفيز'!$Z$5:$Z$2004,0)))</f>
        <v/>
      </c>
      <c r="O315" s="9">
        <f>IF($K315="","",INDEX('سجل التحفيز'!$C$5:$C$2004,MATCH($K315,'سجل التحفيز'!$Z$5:$Z$2004,0)))</f>
        <v/>
      </c>
      <c r="P315" s="36">
        <f>IF($K315="","",INDEX('سجل التحفيز'!$D$5:$D$2004,MATCH($K315,'سجل التحفيز'!$Z$5:$Z$2004,0)))</f>
        <v/>
      </c>
      <c r="Q315" s="9">
        <f>IF($K315="","",INDEX('سجل التحفيز'!$E$5:$E$2004,MATCH($K315,'سجل التحفيز'!$Z$5:$Z$2004,0)))</f>
        <v/>
      </c>
      <c r="R315" s="9">
        <f>IF($K315="","",INDEX('سجل التحفيز'!$F$5:$F$2004,MATCH($K315,'سجل التحفيز'!$Z$5:$Z$2004,0)))</f>
        <v/>
      </c>
      <c r="S315" s="35">
        <f>IF($K315="","",INDEX('سجل التحفيز'!$G$5:$G$2004,MATCH($K315,'سجل التحفيز'!$Z$5:$Z$2004,0)))</f>
        <v/>
      </c>
    </row>
    <row r="316">
      <c r="K316" s="36">
        <f>IF(279&gt;$B$10,"",279)</f>
        <v/>
      </c>
      <c r="L316" s="37">
        <f>IF($K316="","",INDEX('سجل التحفيز'!$A$5:$A$2004,MATCH($K316,'سجل التحفيز'!$Z$5:$Z$2004,0)))</f>
        <v/>
      </c>
      <c r="M316" s="9">
        <f>IF($K316="","",INDEX('سجل التحفيز'!$B$5:$B$2004,MATCH($K316,'سجل التحفيز'!$Z$5:$Z$2004,0)))</f>
        <v/>
      </c>
      <c r="N316" s="9">
        <f>IF($K316="","",INDEX('سجل التحفيز'!$M$5:$M$2004,MATCH($K316,'سجل التحفيز'!$Z$5:$Z$2004,0)))</f>
        <v/>
      </c>
      <c r="O316" s="9">
        <f>IF($K316="","",INDEX('سجل التحفيز'!$C$5:$C$2004,MATCH($K316,'سجل التحفيز'!$Z$5:$Z$2004,0)))</f>
        <v/>
      </c>
      <c r="P316" s="36">
        <f>IF($K316="","",INDEX('سجل التحفيز'!$D$5:$D$2004,MATCH($K316,'سجل التحفيز'!$Z$5:$Z$2004,0)))</f>
        <v/>
      </c>
      <c r="Q316" s="9">
        <f>IF($K316="","",INDEX('سجل التحفيز'!$E$5:$E$2004,MATCH($K316,'سجل التحفيز'!$Z$5:$Z$2004,0)))</f>
        <v/>
      </c>
      <c r="R316" s="9">
        <f>IF($K316="","",INDEX('سجل التحفيز'!$F$5:$F$2004,MATCH($K316,'سجل التحفيز'!$Z$5:$Z$2004,0)))</f>
        <v/>
      </c>
      <c r="S316" s="35">
        <f>IF($K316="","",INDEX('سجل التحفيز'!$G$5:$G$2004,MATCH($K316,'سجل التحفيز'!$Z$5:$Z$2004,0)))</f>
        <v/>
      </c>
    </row>
    <row r="317">
      <c r="K317" s="36">
        <f>IF(280&gt;$B$10,"",280)</f>
        <v/>
      </c>
      <c r="L317" s="37">
        <f>IF($K317="","",INDEX('سجل التحفيز'!$A$5:$A$2004,MATCH($K317,'سجل التحفيز'!$Z$5:$Z$2004,0)))</f>
        <v/>
      </c>
      <c r="M317" s="9">
        <f>IF($K317="","",INDEX('سجل التحفيز'!$B$5:$B$2004,MATCH($K317,'سجل التحفيز'!$Z$5:$Z$2004,0)))</f>
        <v/>
      </c>
      <c r="N317" s="9">
        <f>IF($K317="","",INDEX('سجل التحفيز'!$M$5:$M$2004,MATCH($K317,'سجل التحفيز'!$Z$5:$Z$2004,0)))</f>
        <v/>
      </c>
      <c r="O317" s="9">
        <f>IF($K317="","",INDEX('سجل التحفيز'!$C$5:$C$2004,MATCH($K317,'سجل التحفيز'!$Z$5:$Z$2004,0)))</f>
        <v/>
      </c>
      <c r="P317" s="36">
        <f>IF($K317="","",INDEX('سجل التحفيز'!$D$5:$D$2004,MATCH($K317,'سجل التحفيز'!$Z$5:$Z$2004,0)))</f>
        <v/>
      </c>
      <c r="Q317" s="9">
        <f>IF($K317="","",INDEX('سجل التحفيز'!$E$5:$E$2004,MATCH($K317,'سجل التحفيز'!$Z$5:$Z$2004,0)))</f>
        <v/>
      </c>
      <c r="R317" s="9">
        <f>IF($K317="","",INDEX('سجل التحفيز'!$F$5:$F$2004,MATCH($K317,'سجل التحفيز'!$Z$5:$Z$2004,0)))</f>
        <v/>
      </c>
      <c r="S317" s="35">
        <f>IF($K317="","",INDEX('سجل التحفيز'!$G$5:$G$2004,MATCH($K317,'سجل التحفيز'!$Z$5:$Z$2004,0)))</f>
        <v/>
      </c>
    </row>
    <row r="318">
      <c r="K318" s="36">
        <f>IF(281&gt;$B$10,"",281)</f>
        <v/>
      </c>
      <c r="L318" s="37">
        <f>IF($K318="","",INDEX('سجل التحفيز'!$A$5:$A$2004,MATCH($K318,'سجل التحفيز'!$Z$5:$Z$2004,0)))</f>
        <v/>
      </c>
      <c r="M318" s="9">
        <f>IF($K318="","",INDEX('سجل التحفيز'!$B$5:$B$2004,MATCH($K318,'سجل التحفيز'!$Z$5:$Z$2004,0)))</f>
        <v/>
      </c>
      <c r="N318" s="9">
        <f>IF($K318="","",INDEX('سجل التحفيز'!$M$5:$M$2004,MATCH($K318,'سجل التحفيز'!$Z$5:$Z$2004,0)))</f>
        <v/>
      </c>
      <c r="O318" s="9">
        <f>IF($K318="","",INDEX('سجل التحفيز'!$C$5:$C$2004,MATCH($K318,'سجل التحفيز'!$Z$5:$Z$2004,0)))</f>
        <v/>
      </c>
      <c r="P318" s="36">
        <f>IF($K318="","",INDEX('سجل التحفيز'!$D$5:$D$2004,MATCH($K318,'سجل التحفيز'!$Z$5:$Z$2004,0)))</f>
        <v/>
      </c>
      <c r="Q318" s="9">
        <f>IF($K318="","",INDEX('سجل التحفيز'!$E$5:$E$2004,MATCH($K318,'سجل التحفيز'!$Z$5:$Z$2004,0)))</f>
        <v/>
      </c>
      <c r="R318" s="9">
        <f>IF($K318="","",INDEX('سجل التحفيز'!$F$5:$F$2004,MATCH($K318,'سجل التحفيز'!$Z$5:$Z$2004,0)))</f>
        <v/>
      </c>
      <c r="S318" s="35">
        <f>IF($K318="","",INDEX('سجل التحفيز'!$G$5:$G$2004,MATCH($K318,'سجل التحفيز'!$Z$5:$Z$2004,0)))</f>
        <v/>
      </c>
    </row>
    <row r="319">
      <c r="K319" s="36">
        <f>IF(282&gt;$B$10,"",282)</f>
        <v/>
      </c>
      <c r="L319" s="37">
        <f>IF($K319="","",INDEX('سجل التحفيز'!$A$5:$A$2004,MATCH($K319,'سجل التحفيز'!$Z$5:$Z$2004,0)))</f>
        <v/>
      </c>
      <c r="M319" s="9">
        <f>IF($K319="","",INDEX('سجل التحفيز'!$B$5:$B$2004,MATCH($K319,'سجل التحفيز'!$Z$5:$Z$2004,0)))</f>
        <v/>
      </c>
      <c r="N319" s="9">
        <f>IF($K319="","",INDEX('سجل التحفيز'!$M$5:$M$2004,MATCH($K319,'سجل التحفيز'!$Z$5:$Z$2004,0)))</f>
        <v/>
      </c>
      <c r="O319" s="9">
        <f>IF($K319="","",INDEX('سجل التحفيز'!$C$5:$C$2004,MATCH($K319,'سجل التحفيز'!$Z$5:$Z$2004,0)))</f>
        <v/>
      </c>
      <c r="P319" s="36">
        <f>IF($K319="","",INDEX('سجل التحفيز'!$D$5:$D$2004,MATCH($K319,'سجل التحفيز'!$Z$5:$Z$2004,0)))</f>
        <v/>
      </c>
      <c r="Q319" s="9">
        <f>IF($K319="","",INDEX('سجل التحفيز'!$E$5:$E$2004,MATCH($K319,'سجل التحفيز'!$Z$5:$Z$2004,0)))</f>
        <v/>
      </c>
      <c r="R319" s="9">
        <f>IF($K319="","",INDEX('سجل التحفيز'!$F$5:$F$2004,MATCH($K319,'سجل التحفيز'!$Z$5:$Z$2004,0)))</f>
        <v/>
      </c>
      <c r="S319" s="35">
        <f>IF($K319="","",INDEX('سجل التحفيز'!$G$5:$G$2004,MATCH($K319,'سجل التحفيز'!$Z$5:$Z$2004,0)))</f>
        <v/>
      </c>
    </row>
    <row r="320">
      <c r="K320" s="36">
        <f>IF(283&gt;$B$10,"",283)</f>
        <v/>
      </c>
      <c r="L320" s="37">
        <f>IF($K320="","",INDEX('سجل التحفيز'!$A$5:$A$2004,MATCH($K320,'سجل التحفيز'!$Z$5:$Z$2004,0)))</f>
        <v/>
      </c>
      <c r="M320" s="9">
        <f>IF($K320="","",INDEX('سجل التحفيز'!$B$5:$B$2004,MATCH($K320,'سجل التحفيز'!$Z$5:$Z$2004,0)))</f>
        <v/>
      </c>
      <c r="N320" s="9">
        <f>IF($K320="","",INDEX('سجل التحفيز'!$M$5:$M$2004,MATCH($K320,'سجل التحفيز'!$Z$5:$Z$2004,0)))</f>
        <v/>
      </c>
      <c r="O320" s="9">
        <f>IF($K320="","",INDEX('سجل التحفيز'!$C$5:$C$2004,MATCH($K320,'سجل التحفيز'!$Z$5:$Z$2004,0)))</f>
        <v/>
      </c>
      <c r="P320" s="36">
        <f>IF($K320="","",INDEX('سجل التحفيز'!$D$5:$D$2004,MATCH($K320,'سجل التحفيز'!$Z$5:$Z$2004,0)))</f>
        <v/>
      </c>
      <c r="Q320" s="9">
        <f>IF($K320="","",INDEX('سجل التحفيز'!$E$5:$E$2004,MATCH($K320,'سجل التحفيز'!$Z$5:$Z$2004,0)))</f>
        <v/>
      </c>
      <c r="R320" s="9">
        <f>IF($K320="","",INDEX('سجل التحفيز'!$F$5:$F$2004,MATCH($K320,'سجل التحفيز'!$Z$5:$Z$2004,0)))</f>
        <v/>
      </c>
      <c r="S320" s="35">
        <f>IF($K320="","",INDEX('سجل التحفيز'!$G$5:$G$2004,MATCH($K320,'سجل التحفيز'!$Z$5:$Z$2004,0)))</f>
        <v/>
      </c>
    </row>
    <row r="321">
      <c r="K321" s="36">
        <f>IF(284&gt;$B$10,"",284)</f>
        <v/>
      </c>
      <c r="L321" s="37">
        <f>IF($K321="","",INDEX('سجل التحفيز'!$A$5:$A$2004,MATCH($K321,'سجل التحفيز'!$Z$5:$Z$2004,0)))</f>
        <v/>
      </c>
      <c r="M321" s="9">
        <f>IF($K321="","",INDEX('سجل التحفيز'!$B$5:$B$2004,MATCH($K321,'سجل التحفيز'!$Z$5:$Z$2004,0)))</f>
        <v/>
      </c>
      <c r="N321" s="9">
        <f>IF($K321="","",INDEX('سجل التحفيز'!$M$5:$M$2004,MATCH($K321,'سجل التحفيز'!$Z$5:$Z$2004,0)))</f>
        <v/>
      </c>
      <c r="O321" s="9">
        <f>IF($K321="","",INDEX('سجل التحفيز'!$C$5:$C$2004,MATCH($K321,'سجل التحفيز'!$Z$5:$Z$2004,0)))</f>
        <v/>
      </c>
      <c r="P321" s="36">
        <f>IF($K321="","",INDEX('سجل التحفيز'!$D$5:$D$2004,MATCH($K321,'سجل التحفيز'!$Z$5:$Z$2004,0)))</f>
        <v/>
      </c>
      <c r="Q321" s="9">
        <f>IF($K321="","",INDEX('سجل التحفيز'!$E$5:$E$2004,MATCH($K321,'سجل التحفيز'!$Z$5:$Z$2004,0)))</f>
        <v/>
      </c>
      <c r="R321" s="9">
        <f>IF($K321="","",INDEX('سجل التحفيز'!$F$5:$F$2004,MATCH($K321,'سجل التحفيز'!$Z$5:$Z$2004,0)))</f>
        <v/>
      </c>
      <c r="S321" s="35">
        <f>IF($K321="","",INDEX('سجل التحفيز'!$G$5:$G$2004,MATCH($K321,'سجل التحفيز'!$Z$5:$Z$2004,0)))</f>
        <v/>
      </c>
    </row>
    <row r="322">
      <c r="K322" s="36">
        <f>IF(285&gt;$B$10,"",285)</f>
        <v/>
      </c>
      <c r="L322" s="37">
        <f>IF($K322="","",INDEX('سجل التحفيز'!$A$5:$A$2004,MATCH($K322,'سجل التحفيز'!$Z$5:$Z$2004,0)))</f>
        <v/>
      </c>
      <c r="M322" s="9">
        <f>IF($K322="","",INDEX('سجل التحفيز'!$B$5:$B$2004,MATCH($K322,'سجل التحفيز'!$Z$5:$Z$2004,0)))</f>
        <v/>
      </c>
      <c r="N322" s="9">
        <f>IF($K322="","",INDEX('سجل التحفيز'!$M$5:$M$2004,MATCH($K322,'سجل التحفيز'!$Z$5:$Z$2004,0)))</f>
        <v/>
      </c>
      <c r="O322" s="9">
        <f>IF($K322="","",INDEX('سجل التحفيز'!$C$5:$C$2004,MATCH($K322,'سجل التحفيز'!$Z$5:$Z$2004,0)))</f>
        <v/>
      </c>
      <c r="P322" s="36">
        <f>IF($K322="","",INDEX('سجل التحفيز'!$D$5:$D$2004,MATCH($K322,'سجل التحفيز'!$Z$5:$Z$2004,0)))</f>
        <v/>
      </c>
      <c r="Q322" s="9">
        <f>IF($K322="","",INDEX('سجل التحفيز'!$E$5:$E$2004,MATCH($K322,'سجل التحفيز'!$Z$5:$Z$2004,0)))</f>
        <v/>
      </c>
      <c r="R322" s="9">
        <f>IF($K322="","",INDEX('سجل التحفيز'!$F$5:$F$2004,MATCH($K322,'سجل التحفيز'!$Z$5:$Z$2004,0)))</f>
        <v/>
      </c>
      <c r="S322" s="35">
        <f>IF($K322="","",INDEX('سجل التحفيز'!$G$5:$G$2004,MATCH($K322,'سجل التحفيز'!$Z$5:$Z$2004,0)))</f>
        <v/>
      </c>
    </row>
    <row r="323">
      <c r="K323" s="36">
        <f>IF(286&gt;$B$10,"",286)</f>
        <v/>
      </c>
      <c r="L323" s="37">
        <f>IF($K323="","",INDEX('سجل التحفيز'!$A$5:$A$2004,MATCH($K323,'سجل التحفيز'!$Z$5:$Z$2004,0)))</f>
        <v/>
      </c>
      <c r="M323" s="9">
        <f>IF($K323="","",INDEX('سجل التحفيز'!$B$5:$B$2004,MATCH($K323,'سجل التحفيز'!$Z$5:$Z$2004,0)))</f>
        <v/>
      </c>
      <c r="N323" s="9">
        <f>IF($K323="","",INDEX('سجل التحفيز'!$M$5:$M$2004,MATCH($K323,'سجل التحفيز'!$Z$5:$Z$2004,0)))</f>
        <v/>
      </c>
      <c r="O323" s="9">
        <f>IF($K323="","",INDEX('سجل التحفيز'!$C$5:$C$2004,MATCH($K323,'سجل التحفيز'!$Z$5:$Z$2004,0)))</f>
        <v/>
      </c>
      <c r="P323" s="36">
        <f>IF($K323="","",INDEX('سجل التحفيز'!$D$5:$D$2004,MATCH($K323,'سجل التحفيز'!$Z$5:$Z$2004,0)))</f>
        <v/>
      </c>
      <c r="Q323" s="9">
        <f>IF($K323="","",INDEX('سجل التحفيز'!$E$5:$E$2004,MATCH($K323,'سجل التحفيز'!$Z$5:$Z$2004,0)))</f>
        <v/>
      </c>
      <c r="R323" s="9">
        <f>IF($K323="","",INDEX('سجل التحفيز'!$F$5:$F$2004,MATCH($K323,'سجل التحفيز'!$Z$5:$Z$2004,0)))</f>
        <v/>
      </c>
      <c r="S323" s="35">
        <f>IF($K323="","",INDEX('سجل التحفيز'!$G$5:$G$2004,MATCH($K323,'سجل التحفيز'!$Z$5:$Z$2004,0)))</f>
        <v/>
      </c>
    </row>
    <row r="324">
      <c r="K324" s="36">
        <f>IF(287&gt;$B$10,"",287)</f>
        <v/>
      </c>
      <c r="L324" s="37">
        <f>IF($K324="","",INDEX('سجل التحفيز'!$A$5:$A$2004,MATCH($K324,'سجل التحفيز'!$Z$5:$Z$2004,0)))</f>
        <v/>
      </c>
      <c r="M324" s="9">
        <f>IF($K324="","",INDEX('سجل التحفيز'!$B$5:$B$2004,MATCH($K324,'سجل التحفيز'!$Z$5:$Z$2004,0)))</f>
        <v/>
      </c>
      <c r="N324" s="9">
        <f>IF($K324="","",INDEX('سجل التحفيز'!$M$5:$M$2004,MATCH($K324,'سجل التحفيز'!$Z$5:$Z$2004,0)))</f>
        <v/>
      </c>
      <c r="O324" s="9">
        <f>IF($K324="","",INDEX('سجل التحفيز'!$C$5:$C$2004,MATCH($K324,'سجل التحفيز'!$Z$5:$Z$2004,0)))</f>
        <v/>
      </c>
      <c r="P324" s="36">
        <f>IF($K324="","",INDEX('سجل التحفيز'!$D$5:$D$2004,MATCH($K324,'سجل التحفيز'!$Z$5:$Z$2004,0)))</f>
        <v/>
      </c>
      <c r="Q324" s="9">
        <f>IF($K324="","",INDEX('سجل التحفيز'!$E$5:$E$2004,MATCH($K324,'سجل التحفيز'!$Z$5:$Z$2004,0)))</f>
        <v/>
      </c>
      <c r="R324" s="9">
        <f>IF($K324="","",INDEX('سجل التحفيز'!$F$5:$F$2004,MATCH($K324,'سجل التحفيز'!$Z$5:$Z$2004,0)))</f>
        <v/>
      </c>
      <c r="S324" s="35">
        <f>IF($K324="","",INDEX('سجل التحفيز'!$G$5:$G$2004,MATCH($K324,'سجل التحفيز'!$Z$5:$Z$2004,0)))</f>
        <v/>
      </c>
    </row>
    <row r="325">
      <c r="K325" s="36">
        <f>IF(288&gt;$B$10,"",288)</f>
        <v/>
      </c>
      <c r="L325" s="37">
        <f>IF($K325="","",INDEX('سجل التحفيز'!$A$5:$A$2004,MATCH($K325,'سجل التحفيز'!$Z$5:$Z$2004,0)))</f>
        <v/>
      </c>
      <c r="M325" s="9">
        <f>IF($K325="","",INDEX('سجل التحفيز'!$B$5:$B$2004,MATCH($K325,'سجل التحفيز'!$Z$5:$Z$2004,0)))</f>
        <v/>
      </c>
      <c r="N325" s="9">
        <f>IF($K325="","",INDEX('سجل التحفيز'!$M$5:$M$2004,MATCH($K325,'سجل التحفيز'!$Z$5:$Z$2004,0)))</f>
        <v/>
      </c>
      <c r="O325" s="9">
        <f>IF($K325="","",INDEX('سجل التحفيز'!$C$5:$C$2004,MATCH($K325,'سجل التحفيز'!$Z$5:$Z$2004,0)))</f>
        <v/>
      </c>
      <c r="P325" s="36">
        <f>IF($K325="","",INDEX('سجل التحفيز'!$D$5:$D$2004,MATCH($K325,'سجل التحفيز'!$Z$5:$Z$2004,0)))</f>
        <v/>
      </c>
      <c r="Q325" s="9">
        <f>IF($K325="","",INDEX('سجل التحفيز'!$E$5:$E$2004,MATCH($K325,'سجل التحفيز'!$Z$5:$Z$2004,0)))</f>
        <v/>
      </c>
      <c r="R325" s="9">
        <f>IF($K325="","",INDEX('سجل التحفيز'!$F$5:$F$2004,MATCH($K325,'سجل التحفيز'!$Z$5:$Z$2004,0)))</f>
        <v/>
      </c>
      <c r="S325" s="35">
        <f>IF($K325="","",INDEX('سجل التحفيز'!$G$5:$G$2004,MATCH($K325,'سجل التحفيز'!$Z$5:$Z$2004,0)))</f>
        <v/>
      </c>
    </row>
    <row r="326">
      <c r="K326" s="36">
        <f>IF(289&gt;$B$10,"",289)</f>
        <v/>
      </c>
      <c r="L326" s="37">
        <f>IF($K326="","",INDEX('سجل التحفيز'!$A$5:$A$2004,MATCH($K326,'سجل التحفيز'!$Z$5:$Z$2004,0)))</f>
        <v/>
      </c>
      <c r="M326" s="9">
        <f>IF($K326="","",INDEX('سجل التحفيز'!$B$5:$B$2004,MATCH($K326,'سجل التحفيز'!$Z$5:$Z$2004,0)))</f>
        <v/>
      </c>
      <c r="N326" s="9">
        <f>IF($K326="","",INDEX('سجل التحفيز'!$M$5:$M$2004,MATCH($K326,'سجل التحفيز'!$Z$5:$Z$2004,0)))</f>
        <v/>
      </c>
      <c r="O326" s="9">
        <f>IF($K326="","",INDEX('سجل التحفيز'!$C$5:$C$2004,MATCH($K326,'سجل التحفيز'!$Z$5:$Z$2004,0)))</f>
        <v/>
      </c>
      <c r="P326" s="36">
        <f>IF($K326="","",INDEX('سجل التحفيز'!$D$5:$D$2004,MATCH($K326,'سجل التحفيز'!$Z$5:$Z$2004,0)))</f>
        <v/>
      </c>
      <c r="Q326" s="9">
        <f>IF($K326="","",INDEX('سجل التحفيز'!$E$5:$E$2004,MATCH($K326,'سجل التحفيز'!$Z$5:$Z$2004,0)))</f>
        <v/>
      </c>
      <c r="R326" s="9">
        <f>IF($K326="","",INDEX('سجل التحفيز'!$F$5:$F$2004,MATCH($K326,'سجل التحفيز'!$Z$5:$Z$2004,0)))</f>
        <v/>
      </c>
      <c r="S326" s="35">
        <f>IF($K326="","",INDEX('سجل التحفيز'!$G$5:$G$2004,MATCH($K326,'سجل التحفيز'!$Z$5:$Z$2004,0)))</f>
        <v/>
      </c>
    </row>
    <row r="327">
      <c r="K327" s="36">
        <f>IF(290&gt;$B$10,"",290)</f>
        <v/>
      </c>
      <c r="L327" s="37">
        <f>IF($K327="","",INDEX('سجل التحفيز'!$A$5:$A$2004,MATCH($K327,'سجل التحفيز'!$Z$5:$Z$2004,0)))</f>
        <v/>
      </c>
      <c r="M327" s="9">
        <f>IF($K327="","",INDEX('سجل التحفيز'!$B$5:$B$2004,MATCH($K327,'سجل التحفيز'!$Z$5:$Z$2004,0)))</f>
        <v/>
      </c>
      <c r="N327" s="9">
        <f>IF($K327="","",INDEX('سجل التحفيز'!$M$5:$M$2004,MATCH($K327,'سجل التحفيز'!$Z$5:$Z$2004,0)))</f>
        <v/>
      </c>
      <c r="O327" s="9">
        <f>IF($K327="","",INDEX('سجل التحفيز'!$C$5:$C$2004,MATCH($K327,'سجل التحفيز'!$Z$5:$Z$2004,0)))</f>
        <v/>
      </c>
      <c r="P327" s="36">
        <f>IF($K327="","",INDEX('سجل التحفيز'!$D$5:$D$2004,MATCH($K327,'سجل التحفيز'!$Z$5:$Z$2004,0)))</f>
        <v/>
      </c>
      <c r="Q327" s="9">
        <f>IF($K327="","",INDEX('سجل التحفيز'!$E$5:$E$2004,MATCH($K327,'سجل التحفيز'!$Z$5:$Z$2004,0)))</f>
        <v/>
      </c>
      <c r="R327" s="9">
        <f>IF($K327="","",INDEX('سجل التحفيز'!$F$5:$F$2004,MATCH($K327,'سجل التحفيز'!$Z$5:$Z$2004,0)))</f>
        <v/>
      </c>
      <c r="S327" s="35">
        <f>IF($K327="","",INDEX('سجل التحفيز'!$G$5:$G$2004,MATCH($K327,'سجل التحفيز'!$Z$5:$Z$2004,0)))</f>
        <v/>
      </c>
    </row>
    <row r="328">
      <c r="K328" s="36">
        <f>IF(291&gt;$B$10,"",291)</f>
        <v/>
      </c>
      <c r="L328" s="37">
        <f>IF($K328="","",INDEX('سجل التحفيز'!$A$5:$A$2004,MATCH($K328,'سجل التحفيز'!$Z$5:$Z$2004,0)))</f>
        <v/>
      </c>
      <c r="M328" s="9">
        <f>IF($K328="","",INDEX('سجل التحفيز'!$B$5:$B$2004,MATCH($K328,'سجل التحفيز'!$Z$5:$Z$2004,0)))</f>
        <v/>
      </c>
      <c r="N328" s="9">
        <f>IF($K328="","",INDEX('سجل التحفيز'!$M$5:$M$2004,MATCH($K328,'سجل التحفيز'!$Z$5:$Z$2004,0)))</f>
        <v/>
      </c>
      <c r="O328" s="9">
        <f>IF($K328="","",INDEX('سجل التحفيز'!$C$5:$C$2004,MATCH($K328,'سجل التحفيز'!$Z$5:$Z$2004,0)))</f>
        <v/>
      </c>
      <c r="P328" s="36">
        <f>IF($K328="","",INDEX('سجل التحفيز'!$D$5:$D$2004,MATCH($K328,'سجل التحفيز'!$Z$5:$Z$2004,0)))</f>
        <v/>
      </c>
      <c r="Q328" s="9">
        <f>IF($K328="","",INDEX('سجل التحفيز'!$E$5:$E$2004,MATCH($K328,'سجل التحفيز'!$Z$5:$Z$2004,0)))</f>
        <v/>
      </c>
      <c r="R328" s="9">
        <f>IF($K328="","",INDEX('سجل التحفيز'!$F$5:$F$2004,MATCH($K328,'سجل التحفيز'!$Z$5:$Z$2004,0)))</f>
        <v/>
      </c>
      <c r="S328" s="35">
        <f>IF($K328="","",INDEX('سجل التحفيز'!$G$5:$G$2004,MATCH($K328,'سجل التحفيز'!$Z$5:$Z$2004,0)))</f>
        <v/>
      </c>
    </row>
    <row r="329">
      <c r="K329" s="36">
        <f>IF(292&gt;$B$10,"",292)</f>
        <v/>
      </c>
      <c r="L329" s="37">
        <f>IF($K329="","",INDEX('سجل التحفيز'!$A$5:$A$2004,MATCH($K329,'سجل التحفيز'!$Z$5:$Z$2004,0)))</f>
        <v/>
      </c>
      <c r="M329" s="9">
        <f>IF($K329="","",INDEX('سجل التحفيز'!$B$5:$B$2004,MATCH($K329,'سجل التحفيز'!$Z$5:$Z$2004,0)))</f>
        <v/>
      </c>
      <c r="N329" s="9">
        <f>IF($K329="","",INDEX('سجل التحفيز'!$M$5:$M$2004,MATCH($K329,'سجل التحفيز'!$Z$5:$Z$2004,0)))</f>
        <v/>
      </c>
      <c r="O329" s="9">
        <f>IF($K329="","",INDEX('سجل التحفيز'!$C$5:$C$2004,MATCH($K329,'سجل التحفيز'!$Z$5:$Z$2004,0)))</f>
        <v/>
      </c>
      <c r="P329" s="36">
        <f>IF($K329="","",INDEX('سجل التحفيز'!$D$5:$D$2004,MATCH($K329,'سجل التحفيز'!$Z$5:$Z$2004,0)))</f>
        <v/>
      </c>
      <c r="Q329" s="9">
        <f>IF($K329="","",INDEX('سجل التحفيز'!$E$5:$E$2004,MATCH($K329,'سجل التحفيز'!$Z$5:$Z$2004,0)))</f>
        <v/>
      </c>
      <c r="R329" s="9">
        <f>IF($K329="","",INDEX('سجل التحفيز'!$F$5:$F$2004,MATCH($K329,'سجل التحفيز'!$Z$5:$Z$2004,0)))</f>
        <v/>
      </c>
      <c r="S329" s="35">
        <f>IF($K329="","",INDEX('سجل التحفيز'!$G$5:$G$2004,MATCH($K329,'سجل التحفيز'!$Z$5:$Z$2004,0)))</f>
        <v/>
      </c>
    </row>
    <row r="330">
      <c r="K330" s="36">
        <f>IF(293&gt;$B$10,"",293)</f>
        <v/>
      </c>
      <c r="L330" s="37">
        <f>IF($K330="","",INDEX('سجل التحفيز'!$A$5:$A$2004,MATCH($K330,'سجل التحفيز'!$Z$5:$Z$2004,0)))</f>
        <v/>
      </c>
      <c r="M330" s="9">
        <f>IF($K330="","",INDEX('سجل التحفيز'!$B$5:$B$2004,MATCH($K330,'سجل التحفيز'!$Z$5:$Z$2004,0)))</f>
        <v/>
      </c>
      <c r="N330" s="9">
        <f>IF($K330="","",INDEX('سجل التحفيز'!$M$5:$M$2004,MATCH($K330,'سجل التحفيز'!$Z$5:$Z$2004,0)))</f>
        <v/>
      </c>
      <c r="O330" s="9">
        <f>IF($K330="","",INDEX('سجل التحفيز'!$C$5:$C$2004,MATCH($K330,'سجل التحفيز'!$Z$5:$Z$2004,0)))</f>
        <v/>
      </c>
      <c r="P330" s="36">
        <f>IF($K330="","",INDEX('سجل التحفيز'!$D$5:$D$2004,MATCH($K330,'سجل التحفيز'!$Z$5:$Z$2004,0)))</f>
        <v/>
      </c>
      <c r="Q330" s="9">
        <f>IF($K330="","",INDEX('سجل التحفيز'!$E$5:$E$2004,MATCH($K330,'سجل التحفيز'!$Z$5:$Z$2004,0)))</f>
        <v/>
      </c>
      <c r="R330" s="9">
        <f>IF($K330="","",INDEX('سجل التحفيز'!$F$5:$F$2004,MATCH($K330,'سجل التحفيز'!$Z$5:$Z$2004,0)))</f>
        <v/>
      </c>
      <c r="S330" s="35">
        <f>IF($K330="","",INDEX('سجل التحفيز'!$G$5:$G$2004,MATCH($K330,'سجل التحفيز'!$Z$5:$Z$2004,0)))</f>
        <v/>
      </c>
    </row>
    <row r="331">
      <c r="K331" s="36">
        <f>IF(294&gt;$B$10,"",294)</f>
        <v/>
      </c>
      <c r="L331" s="37">
        <f>IF($K331="","",INDEX('سجل التحفيز'!$A$5:$A$2004,MATCH($K331,'سجل التحفيز'!$Z$5:$Z$2004,0)))</f>
        <v/>
      </c>
      <c r="M331" s="9">
        <f>IF($K331="","",INDEX('سجل التحفيز'!$B$5:$B$2004,MATCH($K331,'سجل التحفيز'!$Z$5:$Z$2004,0)))</f>
        <v/>
      </c>
      <c r="N331" s="9">
        <f>IF($K331="","",INDEX('سجل التحفيز'!$M$5:$M$2004,MATCH($K331,'سجل التحفيز'!$Z$5:$Z$2004,0)))</f>
        <v/>
      </c>
      <c r="O331" s="9">
        <f>IF($K331="","",INDEX('سجل التحفيز'!$C$5:$C$2004,MATCH($K331,'سجل التحفيز'!$Z$5:$Z$2004,0)))</f>
        <v/>
      </c>
      <c r="P331" s="36">
        <f>IF($K331="","",INDEX('سجل التحفيز'!$D$5:$D$2004,MATCH($K331,'سجل التحفيز'!$Z$5:$Z$2004,0)))</f>
        <v/>
      </c>
      <c r="Q331" s="9">
        <f>IF($K331="","",INDEX('سجل التحفيز'!$E$5:$E$2004,MATCH($K331,'سجل التحفيز'!$Z$5:$Z$2004,0)))</f>
        <v/>
      </c>
      <c r="R331" s="9">
        <f>IF($K331="","",INDEX('سجل التحفيز'!$F$5:$F$2004,MATCH($K331,'سجل التحفيز'!$Z$5:$Z$2004,0)))</f>
        <v/>
      </c>
      <c r="S331" s="35">
        <f>IF($K331="","",INDEX('سجل التحفيز'!$G$5:$G$2004,MATCH($K331,'سجل التحفيز'!$Z$5:$Z$2004,0)))</f>
        <v/>
      </c>
    </row>
    <row r="332">
      <c r="K332" s="36">
        <f>IF(295&gt;$B$10,"",295)</f>
        <v/>
      </c>
      <c r="L332" s="37">
        <f>IF($K332="","",INDEX('سجل التحفيز'!$A$5:$A$2004,MATCH($K332,'سجل التحفيز'!$Z$5:$Z$2004,0)))</f>
        <v/>
      </c>
      <c r="M332" s="9">
        <f>IF($K332="","",INDEX('سجل التحفيز'!$B$5:$B$2004,MATCH($K332,'سجل التحفيز'!$Z$5:$Z$2004,0)))</f>
        <v/>
      </c>
      <c r="N332" s="9">
        <f>IF($K332="","",INDEX('سجل التحفيز'!$M$5:$M$2004,MATCH($K332,'سجل التحفيز'!$Z$5:$Z$2004,0)))</f>
        <v/>
      </c>
      <c r="O332" s="9">
        <f>IF($K332="","",INDEX('سجل التحفيز'!$C$5:$C$2004,MATCH($K332,'سجل التحفيز'!$Z$5:$Z$2004,0)))</f>
        <v/>
      </c>
      <c r="P332" s="36">
        <f>IF($K332="","",INDEX('سجل التحفيز'!$D$5:$D$2004,MATCH($K332,'سجل التحفيز'!$Z$5:$Z$2004,0)))</f>
        <v/>
      </c>
      <c r="Q332" s="9">
        <f>IF($K332="","",INDEX('سجل التحفيز'!$E$5:$E$2004,MATCH($K332,'سجل التحفيز'!$Z$5:$Z$2004,0)))</f>
        <v/>
      </c>
      <c r="R332" s="9">
        <f>IF($K332="","",INDEX('سجل التحفيز'!$F$5:$F$2004,MATCH($K332,'سجل التحفيز'!$Z$5:$Z$2004,0)))</f>
        <v/>
      </c>
      <c r="S332" s="35">
        <f>IF($K332="","",INDEX('سجل التحفيز'!$G$5:$G$2004,MATCH($K332,'سجل التحفيز'!$Z$5:$Z$2004,0)))</f>
        <v/>
      </c>
    </row>
    <row r="333">
      <c r="K333" s="36">
        <f>IF(296&gt;$B$10,"",296)</f>
        <v/>
      </c>
      <c r="L333" s="37">
        <f>IF($K333="","",INDEX('سجل التحفيز'!$A$5:$A$2004,MATCH($K333,'سجل التحفيز'!$Z$5:$Z$2004,0)))</f>
        <v/>
      </c>
      <c r="M333" s="9">
        <f>IF($K333="","",INDEX('سجل التحفيز'!$B$5:$B$2004,MATCH($K333,'سجل التحفيز'!$Z$5:$Z$2004,0)))</f>
        <v/>
      </c>
      <c r="N333" s="9">
        <f>IF($K333="","",INDEX('سجل التحفيز'!$M$5:$M$2004,MATCH($K333,'سجل التحفيز'!$Z$5:$Z$2004,0)))</f>
        <v/>
      </c>
      <c r="O333" s="9">
        <f>IF($K333="","",INDEX('سجل التحفيز'!$C$5:$C$2004,MATCH($K333,'سجل التحفيز'!$Z$5:$Z$2004,0)))</f>
        <v/>
      </c>
      <c r="P333" s="36">
        <f>IF($K333="","",INDEX('سجل التحفيز'!$D$5:$D$2004,MATCH($K333,'سجل التحفيز'!$Z$5:$Z$2004,0)))</f>
        <v/>
      </c>
      <c r="Q333" s="9">
        <f>IF($K333="","",INDEX('سجل التحفيز'!$E$5:$E$2004,MATCH($K333,'سجل التحفيز'!$Z$5:$Z$2004,0)))</f>
        <v/>
      </c>
      <c r="R333" s="9">
        <f>IF($K333="","",INDEX('سجل التحفيز'!$F$5:$F$2004,MATCH($K333,'سجل التحفيز'!$Z$5:$Z$2004,0)))</f>
        <v/>
      </c>
      <c r="S333" s="35">
        <f>IF($K333="","",INDEX('سجل التحفيز'!$G$5:$G$2004,MATCH($K333,'سجل التحفيز'!$Z$5:$Z$2004,0)))</f>
        <v/>
      </c>
    </row>
    <row r="334">
      <c r="K334" s="36">
        <f>IF(297&gt;$B$10,"",297)</f>
        <v/>
      </c>
      <c r="L334" s="37">
        <f>IF($K334="","",INDEX('سجل التحفيز'!$A$5:$A$2004,MATCH($K334,'سجل التحفيز'!$Z$5:$Z$2004,0)))</f>
        <v/>
      </c>
      <c r="M334" s="9">
        <f>IF($K334="","",INDEX('سجل التحفيز'!$B$5:$B$2004,MATCH($K334,'سجل التحفيز'!$Z$5:$Z$2004,0)))</f>
        <v/>
      </c>
      <c r="N334" s="9">
        <f>IF($K334="","",INDEX('سجل التحفيز'!$M$5:$M$2004,MATCH($K334,'سجل التحفيز'!$Z$5:$Z$2004,0)))</f>
        <v/>
      </c>
      <c r="O334" s="9">
        <f>IF($K334="","",INDEX('سجل التحفيز'!$C$5:$C$2004,MATCH($K334,'سجل التحفيز'!$Z$5:$Z$2004,0)))</f>
        <v/>
      </c>
      <c r="P334" s="36">
        <f>IF($K334="","",INDEX('سجل التحفيز'!$D$5:$D$2004,MATCH($K334,'سجل التحفيز'!$Z$5:$Z$2004,0)))</f>
        <v/>
      </c>
      <c r="Q334" s="9">
        <f>IF($K334="","",INDEX('سجل التحفيز'!$E$5:$E$2004,MATCH($K334,'سجل التحفيز'!$Z$5:$Z$2004,0)))</f>
        <v/>
      </c>
      <c r="R334" s="9">
        <f>IF($K334="","",INDEX('سجل التحفيز'!$F$5:$F$2004,MATCH($K334,'سجل التحفيز'!$Z$5:$Z$2004,0)))</f>
        <v/>
      </c>
      <c r="S334" s="35">
        <f>IF($K334="","",INDEX('سجل التحفيز'!$G$5:$G$2004,MATCH($K334,'سجل التحفيز'!$Z$5:$Z$2004,0)))</f>
        <v/>
      </c>
    </row>
    <row r="335">
      <c r="K335" s="36">
        <f>IF(298&gt;$B$10,"",298)</f>
        <v/>
      </c>
      <c r="L335" s="37">
        <f>IF($K335="","",INDEX('سجل التحفيز'!$A$5:$A$2004,MATCH($K335,'سجل التحفيز'!$Z$5:$Z$2004,0)))</f>
        <v/>
      </c>
      <c r="M335" s="9">
        <f>IF($K335="","",INDEX('سجل التحفيز'!$B$5:$B$2004,MATCH($K335,'سجل التحفيز'!$Z$5:$Z$2004,0)))</f>
        <v/>
      </c>
      <c r="N335" s="9">
        <f>IF($K335="","",INDEX('سجل التحفيز'!$M$5:$M$2004,MATCH($K335,'سجل التحفيز'!$Z$5:$Z$2004,0)))</f>
        <v/>
      </c>
      <c r="O335" s="9">
        <f>IF($K335="","",INDEX('سجل التحفيز'!$C$5:$C$2004,MATCH($K335,'سجل التحفيز'!$Z$5:$Z$2004,0)))</f>
        <v/>
      </c>
      <c r="P335" s="36">
        <f>IF($K335="","",INDEX('سجل التحفيز'!$D$5:$D$2004,MATCH($K335,'سجل التحفيز'!$Z$5:$Z$2004,0)))</f>
        <v/>
      </c>
      <c r="Q335" s="9">
        <f>IF($K335="","",INDEX('سجل التحفيز'!$E$5:$E$2004,MATCH($K335,'سجل التحفيز'!$Z$5:$Z$2004,0)))</f>
        <v/>
      </c>
      <c r="R335" s="9">
        <f>IF($K335="","",INDEX('سجل التحفيز'!$F$5:$F$2004,MATCH($K335,'سجل التحفيز'!$Z$5:$Z$2004,0)))</f>
        <v/>
      </c>
      <c r="S335" s="35">
        <f>IF($K335="","",INDEX('سجل التحفيز'!$G$5:$G$2004,MATCH($K335,'سجل التحفيز'!$Z$5:$Z$2004,0)))</f>
        <v/>
      </c>
    </row>
    <row r="336">
      <c r="K336" s="36">
        <f>IF(299&gt;$B$10,"",299)</f>
        <v/>
      </c>
      <c r="L336" s="37">
        <f>IF($K336="","",INDEX('سجل التحفيز'!$A$5:$A$2004,MATCH($K336,'سجل التحفيز'!$Z$5:$Z$2004,0)))</f>
        <v/>
      </c>
      <c r="M336" s="9">
        <f>IF($K336="","",INDEX('سجل التحفيز'!$B$5:$B$2004,MATCH($K336,'سجل التحفيز'!$Z$5:$Z$2004,0)))</f>
        <v/>
      </c>
      <c r="N336" s="9">
        <f>IF($K336="","",INDEX('سجل التحفيز'!$M$5:$M$2004,MATCH($K336,'سجل التحفيز'!$Z$5:$Z$2004,0)))</f>
        <v/>
      </c>
      <c r="O336" s="9">
        <f>IF($K336="","",INDEX('سجل التحفيز'!$C$5:$C$2004,MATCH($K336,'سجل التحفيز'!$Z$5:$Z$2004,0)))</f>
        <v/>
      </c>
      <c r="P336" s="36">
        <f>IF($K336="","",INDEX('سجل التحفيز'!$D$5:$D$2004,MATCH($K336,'سجل التحفيز'!$Z$5:$Z$2004,0)))</f>
        <v/>
      </c>
      <c r="Q336" s="9">
        <f>IF($K336="","",INDEX('سجل التحفيز'!$E$5:$E$2004,MATCH($K336,'سجل التحفيز'!$Z$5:$Z$2004,0)))</f>
        <v/>
      </c>
      <c r="R336" s="9">
        <f>IF($K336="","",INDEX('سجل التحفيز'!$F$5:$F$2004,MATCH($K336,'سجل التحفيز'!$Z$5:$Z$2004,0)))</f>
        <v/>
      </c>
      <c r="S336" s="35">
        <f>IF($K336="","",INDEX('سجل التحفيز'!$G$5:$G$2004,MATCH($K336,'سجل التحفيز'!$Z$5:$Z$2004,0)))</f>
        <v/>
      </c>
    </row>
    <row r="337">
      <c r="K337" s="36">
        <f>IF(300&gt;$B$10,"",300)</f>
        <v/>
      </c>
      <c r="L337" s="37">
        <f>IF($K337="","",INDEX('سجل التحفيز'!$A$5:$A$2004,MATCH($K337,'سجل التحفيز'!$Z$5:$Z$2004,0)))</f>
        <v/>
      </c>
      <c r="M337" s="9">
        <f>IF($K337="","",INDEX('سجل التحفيز'!$B$5:$B$2004,MATCH($K337,'سجل التحفيز'!$Z$5:$Z$2004,0)))</f>
        <v/>
      </c>
      <c r="N337" s="9">
        <f>IF($K337="","",INDEX('سجل التحفيز'!$M$5:$M$2004,MATCH($K337,'سجل التحفيز'!$Z$5:$Z$2004,0)))</f>
        <v/>
      </c>
      <c r="O337" s="9">
        <f>IF($K337="","",INDEX('سجل التحفيز'!$C$5:$C$2004,MATCH($K337,'سجل التحفيز'!$Z$5:$Z$2004,0)))</f>
        <v/>
      </c>
      <c r="P337" s="36">
        <f>IF($K337="","",INDEX('سجل التحفيز'!$D$5:$D$2004,MATCH($K337,'سجل التحفيز'!$Z$5:$Z$2004,0)))</f>
        <v/>
      </c>
      <c r="Q337" s="9">
        <f>IF($K337="","",INDEX('سجل التحفيز'!$E$5:$E$2004,MATCH($K337,'سجل التحفيز'!$Z$5:$Z$2004,0)))</f>
        <v/>
      </c>
      <c r="R337" s="9">
        <f>IF($K337="","",INDEX('سجل التحفيز'!$F$5:$F$2004,MATCH($K337,'سجل التحفيز'!$Z$5:$Z$2004,0)))</f>
        <v/>
      </c>
      <c r="S337" s="35">
        <f>IF($K337="","",INDEX('سجل التحفيز'!$G$5:$G$2004,MATCH($K337,'سجل التحفيز'!$Z$5:$Z$2004,0)))</f>
        <v/>
      </c>
    </row>
    <row r="339">
      <c r="K339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38:H187">
    <cfRule type="expression" priority="1" dxfId="3">
      <formula>$B38&lt;&gt;""</formula>
    </cfRule>
    <cfRule type="expression" priority="2" dxfId="1">
      <formula>AND($B38&lt;&gt;"",$G38=1)</formula>
    </cfRule>
  </conditionalFormatting>
  <conditionalFormatting sqref="K38:S337">
    <cfRule type="expression" priority="3" dxfId="3">
      <formula>$K38&lt;&gt;""</formula>
    </cfRule>
    <cfRule type="expression" priority="4" dxfId="4">
      <formula>AND($K38&lt;&gt;"",$P38="ذهبي")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S33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التقرير الشهري — يناير</t>
        </is>
      </c>
    </row>
    <row r="2" ht="30" customHeight="1">
      <c r="A2" s="2" t="inlineStr">
        <is>
          <t>تقرير ثابت لهذا الشهر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شهري</t>
        </is>
      </c>
    </row>
    <row r="6">
      <c r="B6" s="22" t="inlineStr">
        <is>
          <t>الشهر</t>
        </is>
      </c>
      <c r="C6" s="25" t="inlineStr">
        <is>
          <t>يناير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—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التحفيز'!$AA$5:$AA$2004)</f>
        <v/>
      </c>
      <c r="C10" s="28">
        <f>COUNT(الموظفات!$U$5:$U$304)</f>
        <v/>
      </c>
      <c r="D10" s="28">
        <f>COUNTIFS('سجل التحفيز'!$AA$5:$AA$2004,"&gt;0",'سجل التحفيز'!$D$5:$D$2004,"ذهبي")</f>
        <v/>
      </c>
      <c r="E10" s="28">
        <f>COUNTIFS('سجل التحفيز'!$AA$5:$AA$2004,"&gt;0",'سجل التحفيز'!$D$5:$D$2004,"أساسي")</f>
        <v/>
      </c>
      <c r="F10" s="28">
        <f>SUMIFS('سجل التحفيز'!$G$5:$G$2004,'سجل التحفيز'!$AA$5:$AA$2004,"&gt;0")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التحفيز'!$AA$5:$AA$2004,"&gt;0",'سجل التحفيز'!$C$5:$C$2004,B14,'سجل التحفيز'!$D$5:$D$2004,"أساسي")</f>
        <v/>
      </c>
      <c r="D14" s="31">
        <f>COUNTIFS('سجل التحفيز'!$AA$5:$AA$2004,"&gt;0",'سجل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التحفيز'!$AA$5:$AA$2004,"&gt;0",'سجل التحفيز'!$C$5:$C$2004,B14)</f>
        <v/>
      </c>
    </row>
    <row r="15">
      <c r="B15" s="30">
        <f>الإعدادات!A8</f>
        <v/>
      </c>
      <c r="C15" s="31">
        <f>COUNTIFS('سجل التحفيز'!$AA$5:$AA$2004,"&gt;0",'سجل التحفيز'!$C$5:$C$2004,B15,'سجل التحفيز'!$D$5:$D$2004,"أساسي")</f>
        <v/>
      </c>
      <c r="D15" s="31">
        <f>COUNTIFS('سجل التحفيز'!$AA$5:$AA$2004,"&gt;0",'سجل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التحفيز'!$AA$5:$AA$2004,"&gt;0",'سجل التحفيز'!$C$5:$C$2004,B15)</f>
        <v/>
      </c>
    </row>
    <row r="16">
      <c r="B16" s="30">
        <f>الإعدادات!A9</f>
        <v/>
      </c>
      <c r="C16" s="31">
        <f>COUNTIFS('سجل التحفيز'!$AA$5:$AA$2004,"&gt;0",'سجل التحفيز'!$C$5:$C$2004,B16,'سجل التحفيز'!$D$5:$D$2004,"أساسي")</f>
        <v/>
      </c>
      <c r="D16" s="31">
        <f>COUNTIFS('سجل التحفيز'!$AA$5:$AA$2004,"&gt;0",'سجل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التحفيز'!$AA$5:$AA$2004,"&gt;0",'سجل التحفيز'!$C$5:$C$2004,B16)</f>
        <v/>
      </c>
    </row>
    <row r="17">
      <c r="B17" s="30">
        <f>الإعدادات!A10</f>
        <v/>
      </c>
      <c r="C17" s="31">
        <f>COUNTIFS('سجل التحفيز'!$AA$5:$AA$2004,"&gt;0",'سجل التحفيز'!$C$5:$C$2004,B17,'سجل التحفيز'!$D$5:$D$2004,"أساسي")</f>
        <v/>
      </c>
      <c r="D17" s="31">
        <f>COUNTIFS('سجل التحفيز'!$AA$5:$AA$2004,"&gt;0",'سجل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التحفيز'!$AA$5:$AA$2004,"&gt;0",'سجل التحفيز'!$C$5:$C$2004,B17)</f>
        <v/>
      </c>
    </row>
    <row r="18">
      <c r="B18" s="30">
        <f>الإعدادات!A11</f>
        <v/>
      </c>
      <c r="C18" s="31">
        <f>COUNTIFS('سجل التحفيز'!$AA$5:$AA$2004,"&gt;0",'سجل التحفيز'!$C$5:$C$2004,B18,'سجل التحفيز'!$D$5:$D$2004,"أساسي")</f>
        <v/>
      </c>
      <c r="D18" s="31">
        <f>COUNTIFS('سجل التحفيز'!$AA$5:$AA$2004,"&gt;0",'سجل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التحفيز'!$AA$5:$AA$2004,"&gt;0",'سجل التحفيز'!$C$5:$C$2004,B18)</f>
        <v/>
      </c>
    </row>
    <row r="19">
      <c r="B19" s="30">
        <f>الإعدادات!A12</f>
        <v/>
      </c>
      <c r="C19" s="31">
        <f>COUNTIFS('سجل التحفيز'!$AA$5:$AA$2004,"&gt;0",'سجل التحفيز'!$C$5:$C$2004,B19,'سجل التحفيز'!$D$5:$D$2004,"أساسي")</f>
        <v/>
      </c>
      <c r="D19" s="31">
        <f>COUNTIFS('سجل التحفيز'!$AA$5:$AA$2004,"&gt;0",'سجل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التحفيز'!$AA$5:$AA$2004,"&gt;0",'سجل التحفيز'!$C$5:$C$2004,B19)</f>
        <v/>
      </c>
    </row>
    <row r="20">
      <c r="B20" s="30">
        <f>الإعدادات!A13</f>
        <v/>
      </c>
      <c r="C20" s="31">
        <f>COUNTIFS('سجل التحفيز'!$AA$5:$AA$2004,"&gt;0",'سجل التحفيز'!$C$5:$C$2004,B20,'سجل التحفيز'!$D$5:$D$2004,"أساسي")</f>
        <v/>
      </c>
      <c r="D20" s="31">
        <f>COUNTIFS('سجل التحفيز'!$AA$5:$AA$2004,"&gt;0",'سجل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التحفيز'!$AA$5:$AA$2004,"&gt;0",'سجل التحفيز'!$C$5:$C$2004,B20)</f>
        <v/>
      </c>
    </row>
    <row r="21">
      <c r="B21" s="30">
        <f>الإعدادات!A14</f>
        <v/>
      </c>
      <c r="C21" s="31">
        <f>COUNTIFS('سجل التحفيز'!$AA$5:$AA$2004,"&gt;0",'سجل التحفيز'!$C$5:$C$2004,B21,'سجل التحفيز'!$D$5:$D$2004,"أساسي")</f>
        <v/>
      </c>
      <c r="D21" s="31">
        <f>COUNTIFS('سجل التحفيز'!$AA$5:$AA$2004,"&gt;0",'سجل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التحفيز'!$AA$5:$AA$2004,"&gt;0",'سجل التحفيز'!$C$5:$C$2004,B21)</f>
        <v/>
      </c>
    </row>
    <row r="22">
      <c r="B22" s="30">
        <f>الإعدادات!A15</f>
        <v/>
      </c>
      <c r="C22" s="31">
        <f>COUNTIFS('سجل التحفيز'!$AA$5:$AA$2004,"&gt;0",'سجل التحفيز'!$C$5:$C$2004,B22,'سجل التحفيز'!$D$5:$D$2004,"أساسي")</f>
        <v/>
      </c>
      <c r="D22" s="31">
        <f>COUNTIFS('سجل التحفيز'!$AA$5:$AA$2004,"&gt;0",'سجل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التحفيز'!$AA$5:$AA$2004,"&gt;0",'سجل التحفيز'!$C$5:$C$2004,B22)</f>
        <v/>
      </c>
    </row>
    <row r="23">
      <c r="B23" s="30">
        <f>الإعدادات!A16</f>
        <v/>
      </c>
      <c r="C23" s="31">
        <f>COUNTIFS('سجل التحفيز'!$AA$5:$AA$2004,"&gt;0",'سجل التحفيز'!$C$5:$C$2004,B23,'سجل التحفيز'!$D$5:$D$2004,"أساسي")</f>
        <v/>
      </c>
      <c r="D23" s="31">
        <f>COUNTIFS('سجل التحفيز'!$AA$5:$AA$2004,"&gt;0",'سجل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التحفيز'!$AA$5:$AA$2004,"&gt;0",'سجل التحفيز'!$C$5:$C$2004,B23)</f>
        <v/>
      </c>
    </row>
    <row r="24">
      <c r="B24" s="30">
        <f>الإعدادات!A17</f>
        <v/>
      </c>
      <c r="C24" s="31">
        <f>COUNTIFS('سجل التحفيز'!$AA$5:$AA$2004,"&gt;0",'سجل التحفيز'!$C$5:$C$2004,B24,'سجل التحفيز'!$D$5:$D$2004,"أساسي")</f>
        <v/>
      </c>
      <c r="D24" s="31">
        <f>COUNTIFS('سجل التحفيز'!$AA$5:$AA$2004,"&gt;0",'سجل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التحفيز'!$AA$5:$AA$2004,"&gt;0",'سجل التحفيز'!$C$5:$C$2004,B24)</f>
        <v/>
      </c>
    </row>
    <row r="25">
      <c r="B25" s="30">
        <f>الإعدادات!A18</f>
        <v/>
      </c>
      <c r="C25" s="31">
        <f>COUNTIFS('سجل التحفيز'!$AA$5:$AA$2004,"&gt;0",'سجل التحفيز'!$C$5:$C$2004,B25,'سجل التحفيز'!$D$5:$D$2004,"أساسي")</f>
        <v/>
      </c>
      <c r="D25" s="31">
        <f>COUNTIFS('سجل التحفيز'!$AA$5:$AA$2004,"&gt;0",'سجل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التحفيز'!$AA$5:$AA$2004,"&gt;0",'سجل التحفيز'!$C$5:$C$2004,B25)</f>
        <v/>
      </c>
    </row>
    <row r="26">
      <c r="B26" s="30">
        <f>الإعدادات!A19</f>
        <v/>
      </c>
      <c r="C26" s="31">
        <f>COUNTIFS('سجل التحفيز'!$AA$5:$AA$2004,"&gt;0",'سجل التحفيز'!$C$5:$C$2004,B26,'سجل التحفيز'!$D$5:$D$2004,"أساسي")</f>
        <v/>
      </c>
      <c r="D26" s="31">
        <f>COUNTIFS('سجل التحفيز'!$AA$5:$AA$2004,"&gt;0",'سجل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التحفيز'!$AA$5:$AA$2004,"&gt;0",'سجل التحفيز'!$C$5:$C$2004,B26)</f>
        <v/>
      </c>
    </row>
    <row r="27">
      <c r="B27" s="30">
        <f>الإعدادات!A20</f>
        <v/>
      </c>
      <c r="C27" s="31">
        <f>COUNTIFS('سجل التحفيز'!$AA$5:$AA$2004,"&gt;0",'سجل التحفيز'!$C$5:$C$2004,B27,'سجل التحفيز'!$D$5:$D$2004,"أساسي")</f>
        <v/>
      </c>
      <c r="D27" s="31">
        <f>COUNTIFS('سجل التحفيز'!$AA$5:$AA$2004,"&gt;0",'سجل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التحفيز'!$AA$5:$AA$2004,"&gt;0",'سجل التحفيز'!$C$5:$C$2004,B27)</f>
        <v/>
      </c>
    </row>
    <row r="28">
      <c r="B28" s="30">
        <f>الإعدادات!A21</f>
        <v/>
      </c>
      <c r="C28" s="31">
        <f>COUNTIFS('سجل التحفيز'!$AA$5:$AA$2004,"&gt;0",'سجل التحفيز'!$C$5:$C$2004,B28,'سجل التحفيز'!$D$5:$D$2004,"أساسي")</f>
        <v/>
      </c>
      <c r="D28" s="31">
        <f>COUNTIFS('سجل التحفيز'!$AA$5:$AA$2004,"&gt;0",'سجل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التحفيز'!$AA$5:$AA$2004,"&gt;0",'سجل التحفيز'!$C$5:$C$2004,B28)</f>
        <v/>
      </c>
    </row>
    <row r="29">
      <c r="B29" s="30">
        <f>الإعدادات!A22</f>
        <v/>
      </c>
      <c r="C29" s="31">
        <f>COUNTIFS('سجل التحفيز'!$AA$5:$AA$2004,"&gt;0",'سجل التحفيز'!$C$5:$C$2004,B29,'سجل التحفيز'!$D$5:$D$2004,"أساسي")</f>
        <v/>
      </c>
      <c r="D29" s="31">
        <f>COUNTIFS('سجل التحفيز'!$AA$5:$AA$2004,"&gt;0",'سجل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التحفيز'!$AA$5:$AA$2004,"&gt;0",'سجل التحفيز'!$C$5:$C$2004,B29)</f>
        <v/>
      </c>
    </row>
    <row r="30">
      <c r="B30" s="30">
        <f>الإعدادات!A23</f>
        <v/>
      </c>
      <c r="C30" s="31">
        <f>COUNTIFS('سجل التحفيز'!$AA$5:$AA$2004,"&gt;0",'سجل التحفيز'!$C$5:$C$2004,B30,'سجل التحفيز'!$D$5:$D$2004,"أساسي")</f>
        <v/>
      </c>
      <c r="D30" s="31">
        <f>COUNTIFS('سجل التحفيز'!$AA$5:$AA$2004,"&gt;0",'سجل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التحفيز'!$AA$5:$AA$2004,"&gt;0",'سجل التحفيز'!$C$5:$C$2004,B30)</f>
        <v/>
      </c>
    </row>
    <row r="31">
      <c r="B31" s="30">
        <f>الإعدادات!A24</f>
        <v/>
      </c>
      <c r="C31" s="31">
        <f>COUNTIFS('سجل التحفيز'!$AA$5:$AA$2004,"&gt;0",'سجل التحفيز'!$C$5:$C$2004,B31,'سجل التحفيز'!$D$5:$D$2004,"أساسي")</f>
        <v/>
      </c>
      <c r="D31" s="31">
        <f>COUNTIFS('سجل التحفيز'!$AA$5:$AA$2004,"&gt;0",'سجل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التحفيز'!$AA$5:$AA$2004,"&gt;0",'سجل التحفيز'!$C$5:$C$2004,B31)</f>
        <v/>
      </c>
    </row>
    <row r="32">
      <c r="B32" s="30">
        <f>الإعدادات!A25</f>
        <v/>
      </c>
      <c r="C32" s="31">
        <f>COUNTIFS('سجل التحفيز'!$AA$5:$AA$2004,"&gt;0",'سجل التحفيز'!$C$5:$C$2004,B32,'سجل التحفيز'!$D$5:$D$2004,"أساسي")</f>
        <v/>
      </c>
      <c r="D32" s="31">
        <f>COUNTIFS('سجل التحفيز'!$AA$5:$AA$2004,"&gt;0",'سجل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التحفيز'!$AA$5:$AA$2004,"&gt;0",'سجل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الموظفات المُكرَّمات ضمن فترة التقرير</t>
        </is>
      </c>
      <c r="K36" s="29" t="inlineStr">
        <is>
          <t>تفاصيل التكريمات ضمن فترة التقرير</t>
        </is>
      </c>
    </row>
    <row r="37">
      <c r="B37" s="13" t="inlineStr">
        <is>
          <t>اسم الموظفة</t>
        </is>
      </c>
      <c r="C37" s="13" t="inlineStr">
        <is>
          <t>القسم</t>
        </is>
      </c>
      <c r="D37" s="13" t="inlineStr">
        <is>
          <t>عدد التكريمات</t>
        </is>
      </c>
      <c r="E37" s="13" t="inlineStr">
        <is>
          <t>معايير ذهبية</t>
        </is>
      </c>
      <c r="F37" s="13" t="inlineStr">
        <is>
          <t>القيمة (ر.ق)</t>
        </is>
      </c>
      <c r="G37" s="13" t="inlineStr">
        <is>
          <t>الترتيب</t>
        </is>
      </c>
      <c r="H37" s="13" t="inlineStr">
        <is>
          <t>أمري تدللي (السنة)</t>
        </is>
      </c>
      <c r="K37" s="13" t="inlineStr">
        <is>
          <t>م</t>
        </is>
      </c>
      <c r="L37" s="13" t="inlineStr">
        <is>
          <t>التاريخ</t>
        </is>
      </c>
      <c r="M37" s="13" t="inlineStr">
        <is>
          <t>اسم الموظفة</t>
        </is>
      </c>
      <c r="N37" s="13" t="inlineStr">
        <is>
          <t>القسم</t>
        </is>
      </c>
      <c r="O37" s="13" t="inlineStr">
        <is>
          <t>المجال</t>
        </is>
      </c>
      <c r="P37" s="13" t="inlineStr">
        <is>
          <t>المستوى</t>
        </is>
      </c>
      <c r="Q37" s="13" t="inlineStr">
        <is>
          <t>المعيار المحقق</t>
        </is>
      </c>
      <c r="R37" s="13" t="inlineStr">
        <is>
          <t>المكافأة الممنوحة</t>
        </is>
      </c>
      <c r="S37" s="13" t="inlineStr">
        <is>
          <t>القيمة (ر.ق)</t>
        </is>
      </c>
    </row>
    <row r="38">
      <c r="B38" s="34">
        <f>IFERROR(INDEX(الموظفات!$B$5:$B$304,MATCH(1,الموظفات!$U$5:$U$304,0)),"")</f>
        <v/>
      </c>
      <c r="C38" s="34">
        <f>IF(B38="","",INDEX(الموظفات!$D$5:$D$304,MATCH(B38,الموظفات!$B$5:$B$304,0))&amp;"")</f>
        <v/>
      </c>
      <c r="D38" s="35">
        <f>IF(B38="","",COUNTIFS('سجل التحفيز'!$AA$5:$AA$2004,"&gt;0",'سجل التحفيز'!$B$5:$B$2004,B38))</f>
        <v/>
      </c>
      <c r="E38" s="35">
        <f>IF(B38="","",COUNTIFS('سجل التحفيز'!$AA$5:$AA$2004,"&gt;0",'سجل التحفيز'!$B$5:$B$2004,B38,'سجل التحفيز'!$D$5:$D$2004,"ذهبي"))</f>
        <v/>
      </c>
      <c r="F38" s="35">
        <f>IF(B38="","",SUMIFS('سجل التحفيز'!$G$5:$G$2004,'سجل التحفيز'!$AA$5:$AA$2004,"&gt;0",'سجل التحفيز'!$B$5:$B$2004,B38))</f>
        <v/>
      </c>
      <c r="G38" s="35">
        <f>IF(B38="","",COUNTIF($D$38:$D$187,"&gt;"&amp;D38)+1)</f>
        <v/>
      </c>
      <c r="H38" s="35">
        <f>IF(B38="","",INDEX(الموظفات!$L$5:$L$304,MATCH(B38,الموظفات!$B$5:$B$304,0)))</f>
        <v/>
      </c>
      <c r="K38" s="36">
        <f>IF(1&gt;$B$10,"",1)</f>
        <v/>
      </c>
      <c r="L38" s="37">
        <f>IF($K38="","",INDEX('سجل التحفيز'!$A$5:$A$2004,MATCH($K38,'سجل التحفيز'!$AA$5:$AA$2004,0)))</f>
        <v/>
      </c>
      <c r="M38" s="9">
        <f>IF($K38="","",INDEX('سجل التحفيز'!$B$5:$B$2004,MATCH($K38,'سجل التحفيز'!$AA$5:$AA$2004,0)))</f>
        <v/>
      </c>
      <c r="N38" s="9">
        <f>IF($K38="","",INDEX('سجل التحفيز'!$M$5:$M$2004,MATCH($K38,'سجل التحفيز'!$AA$5:$AA$2004,0)))</f>
        <v/>
      </c>
      <c r="O38" s="9">
        <f>IF($K38="","",INDEX('سجل التحفيز'!$C$5:$C$2004,MATCH($K38,'سجل التحفيز'!$AA$5:$AA$2004,0)))</f>
        <v/>
      </c>
      <c r="P38" s="36">
        <f>IF($K38="","",INDEX('سجل التحفيز'!$D$5:$D$2004,MATCH($K38,'سجل التحفيز'!$AA$5:$AA$2004,0)))</f>
        <v/>
      </c>
      <c r="Q38" s="9">
        <f>IF($K38="","",INDEX('سجل التحفيز'!$E$5:$E$2004,MATCH($K38,'سجل التحفيز'!$AA$5:$AA$2004,0)))</f>
        <v/>
      </c>
      <c r="R38" s="9">
        <f>IF($K38="","",INDEX('سجل التحفيز'!$F$5:$F$2004,MATCH($K38,'سجل التحفيز'!$AA$5:$AA$2004,0)))</f>
        <v/>
      </c>
      <c r="S38" s="35">
        <f>IF($K38="","",INDEX('سجل التحفيز'!$G$5:$G$2004,MATCH($K38,'سجل التحفيز'!$AA$5:$AA$2004,0)))</f>
        <v/>
      </c>
    </row>
    <row r="39">
      <c r="B39" s="34">
        <f>IFERROR(INDEX(الموظفات!$B$5:$B$304,MATCH(2,الموظفات!$U$5:$U$304,0)),"")</f>
        <v/>
      </c>
      <c r="C39" s="34">
        <f>IF(B39="","",INDEX(الموظفات!$D$5:$D$304,MATCH(B39,الموظفات!$B$5:$B$304,0))&amp;"")</f>
        <v/>
      </c>
      <c r="D39" s="35">
        <f>IF(B39="","",COUNTIFS('سجل التحفيز'!$AA$5:$AA$2004,"&gt;0",'سجل التحفيز'!$B$5:$B$2004,B39))</f>
        <v/>
      </c>
      <c r="E39" s="35">
        <f>IF(B39="","",COUNTIFS('سجل التحفيز'!$AA$5:$AA$2004,"&gt;0",'سجل التحفيز'!$B$5:$B$2004,B39,'سجل التحفيز'!$D$5:$D$2004,"ذهبي"))</f>
        <v/>
      </c>
      <c r="F39" s="35">
        <f>IF(B39="","",SUMIFS('سجل التحفيز'!$G$5:$G$2004,'سجل التحفيز'!$AA$5:$AA$2004,"&gt;0",'سجل التحفيز'!$B$5:$B$2004,B39))</f>
        <v/>
      </c>
      <c r="G39" s="35">
        <f>IF(B39="","",COUNTIF($D$38:$D$187,"&gt;"&amp;D39)+1)</f>
        <v/>
      </c>
      <c r="H39" s="35">
        <f>IF(B39="","",INDEX(الموظفات!$L$5:$L$304,MATCH(B39,الموظفات!$B$5:$B$304,0)))</f>
        <v/>
      </c>
      <c r="K39" s="36">
        <f>IF(2&gt;$B$10,"",2)</f>
        <v/>
      </c>
      <c r="L39" s="37">
        <f>IF($K39="","",INDEX('سجل التحفيز'!$A$5:$A$2004,MATCH($K39,'سجل التحفيز'!$AA$5:$AA$2004,0)))</f>
        <v/>
      </c>
      <c r="M39" s="9">
        <f>IF($K39="","",INDEX('سجل التحفيز'!$B$5:$B$2004,MATCH($K39,'سجل التحفيز'!$AA$5:$AA$2004,0)))</f>
        <v/>
      </c>
      <c r="N39" s="9">
        <f>IF($K39="","",INDEX('سجل التحفيز'!$M$5:$M$2004,MATCH($K39,'سجل التحفيز'!$AA$5:$AA$2004,0)))</f>
        <v/>
      </c>
      <c r="O39" s="9">
        <f>IF($K39="","",INDEX('سجل التحفيز'!$C$5:$C$2004,MATCH($K39,'سجل التحفيز'!$AA$5:$AA$2004,0)))</f>
        <v/>
      </c>
      <c r="P39" s="36">
        <f>IF($K39="","",INDEX('سجل التحفيز'!$D$5:$D$2004,MATCH($K39,'سجل التحفيز'!$AA$5:$AA$2004,0)))</f>
        <v/>
      </c>
      <c r="Q39" s="9">
        <f>IF($K39="","",INDEX('سجل التحفيز'!$E$5:$E$2004,MATCH($K39,'سجل التحفيز'!$AA$5:$AA$2004,0)))</f>
        <v/>
      </c>
      <c r="R39" s="9">
        <f>IF($K39="","",INDEX('سجل التحفيز'!$F$5:$F$2004,MATCH($K39,'سجل التحفيز'!$AA$5:$AA$2004,0)))</f>
        <v/>
      </c>
      <c r="S39" s="35">
        <f>IF($K39="","",INDEX('سجل التحفيز'!$G$5:$G$2004,MATCH($K39,'سجل التحفيز'!$AA$5:$AA$2004,0)))</f>
        <v/>
      </c>
    </row>
    <row r="40">
      <c r="B40" s="34">
        <f>IFERROR(INDEX(الموظفات!$B$5:$B$304,MATCH(3,الموظفات!$U$5:$U$304,0)),"")</f>
        <v/>
      </c>
      <c r="C40" s="34">
        <f>IF(B40="","",INDEX(الموظفات!$D$5:$D$304,MATCH(B40,الموظفات!$B$5:$B$304,0))&amp;"")</f>
        <v/>
      </c>
      <c r="D40" s="35">
        <f>IF(B40="","",COUNTIFS('سجل التحفيز'!$AA$5:$AA$2004,"&gt;0",'سجل التحفيز'!$B$5:$B$2004,B40))</f>
        <v/>
      </c>
      <c r="E40" s="35">
        <f>IF(B40="","",COUNTIFS('سجل التحفيز'!$AA$5:$AA$2004,"&gt;0",'سجل التحفيز'!$B$5:$B$2004,B40,'سجل التحفيز'!$D$5:$D$2004,"ذهبي"))</f>
        <v/>
      </c>
      <c r="F40" s="35">
        <f>IF(B40="","",SUMIFS('سجل التحفيز'!$G$5:$G$2004,'سجل التحفيز'!$AA$5:$AA$2004,"&gt;0",'سجل التحفيز'!$B$5:$B$2004,B40))</f>
        <v/>
      </c>
      <c r="G40" s="35">
        <f>IF(B40="","",COUNTIF($D$38:$D$187,"&gt;"&amp;D40)+1)</f>
        <v/>
      </c>
      <c r="H40" s="35">
        <f>IF(B40="","",INDEX(الموظفات!$L$5:$L$304,MATCH(B40,الموظفات!$B$5:$B$304,0)))</f>
        <v/>
      </c>
      <c r="K40" s="36">
        <f>IF(3&gt;$B$10,"",3)</f>
        <v/>
      </c>
      <c r="L40" s="37">
        <f>IF($K40="","",INDEX('سجل التحفيز'!$A$5:$A$2004,MATCH($K40,'سجل التحفيز'!$AA$5:$AA$2004,0)))</f>
        <v/>
      </c>
      <c r="M40" s="9">
        <f>IF($K40="","",INDEX('سجل التحفيز'!$B$5:$B$2004,MATCH($K40,'سجل التحفيز'!$AA$5:$AA$2004,0)))</f>
        <v/>
      </c>
      <c r="N40" s="9">
        <f>IF($K40="","",INDEX('سجل التحفيز'!$M$5:$M$2004,MATCH($K40,'سجل التحفيز'!$AA$5:$AA$2004,0)))</f>
        <v/>
      </c>
      <c r="O40" s="9">
        <f>IF($K40="","",INDEX('سجل التحفيز'!$C$5:$C$2004,MATCH($K40,'سجل التحفيز'!$AA$5:$AA$2004,0)))</f>
        <v/>
      </c>
      <c r="P40" s="36">
        <f>IF($K40="","",INDEX('سجل التحفيز'!$D$5:$D$2004,MATCH($K40,'سجل التحفيز'!$AA$5:$AA$2004,0)))</f>
        <v/>
      </c>
      <c r="Q40" s="9">
        <f>IF($K40="","",INDEX('سجل التحفيز'!$E$5:$E$2004,MATCH($K40,'سجل التحفيز'!$AA$5:$AA$2004,0)))</f>
        <v/>
      </c>
      <c r="R40" s="9">
        <f>IF($K40="","",INDEX('سجل التحفيز'!$F$5:$F$2004,MATCH($K40,'سجل التحفيز'!$AA$5:$AA$2004,0)))</f>
        <v/>
      </c>
      <c r="S40" s="35">
        <f>IF($K40="","",INDEX('سجل التحفيز'!$G$5:$G$2004,MATCH($K40,'سجل التحفيز'!$AA$5:$AA$2004,0)))</f>
        <v/>
      </c>
    </row>
    <row r="41">
      <c r="B41" s="34">
        <f>IFERROR(INDEX(الموظفات!$B$5:$B$304,MATCH(4,الموظفات!$U$5:$U$304,0)),"")</f>
        <v/>
      </c>
      <c r="C41" s="34">
        <f>IF(B41="","",INDEX(الموظفات!$D$5:$D$304,MATCH(B41,الموظفات!$B$5:$B$304,0))&amp;"")</f>
        <v/>
      </c>
      <c r="D41" s="35">
        <f>IF(B41="","",COUNTIFS('سجل التحفيز'!$AA$5:$AA$2004,"&gt;0",'سجل التحفيز'!$B$5:$B$2004,B41))</f>
        <v/>
      </c>
      <c r="E41" s="35">
        <f>IF(B41="","",COUNTIFS('سجل التحفيز'!$AA$5:$AA$2004,"&gt;0",'سجل التحفيز'!$B$5:$B$2004,B41,'سجل التحفيز'!$D$5:$D$2004,"ذهبي"))</f>
        <v/>
      </c>
      <c r="F41" s="35">
        <f>IF(B41="","",SUMIFS('سجل التحفيز'!$G$5:$G$2004,'سجل التحفيز'!$AA$5:$AA$2004,"&gt;0",'سجل التحفيز'!$B$5:$B$2004,B41))</f>
        <v/>
      </c>
      <c r="G41" s="35">
        <f>IF(B41="","",COUNTIF($D$38:$D$187,"&gt;"&amp;D41)+1)</f>
        <v/>
      </c>
      <c r="H41" s="35">
        <f>IF(B41="","",INDEX(الموظفات!$L$5:$L$304,MATCH(B41,الموظفات!$B$5:$B$304,0)))</f>
        <v/>
      </c>
      <c r="K41" s="36">
        <f>IF(4&gt;$B$10,"",4)</f>
        <v/>
      </c>
      <c r="L41" s="37">
        <f>IF($K41="","",INDEX('سجل التحفيز'!$A$5:$A$2004,MATCH($K41,'سجل التحفيز'!$AA$5:$AA$2004,0)))</f>
        <v/>
      </c>
      <c r="M41" s="9">
        <f>IF($K41="","",INDEX('سجل التحفيز'!$B$5:$B$2004,MATCH($K41,'سجل التحفيز'!$AA$5:$AA$2004,0)))</f>
        <v/>
      </c>
      <c r="N41" s="9">
        <f>IF($K41="","",INDEX('سجل التحفيز'!$M$5:$M$2004,MATCH($K41,'سجل التحفيز'!$AA$5:$AA$2004,0)))</f>
        <v/>
      </c>
      <c r="O41" s="9">
        <f>IF($K41="","",INDEX('سجل التحفيز'!$C$5:$C$2004,MATCH($K41,'سجل التحفيز'!$AA$5:$AA$2004,0)))</f>
        <v/>
      </c>
      <c r="P41" s="36">
        <f>IF($K41="","",INDEX('سجل التحفيز'!$D$5:$D$2004,MATCH($K41,'سجل التحفيز'!$AA$5:$AA$2004,0)))</f>
        <v/>
      </c>
      <c r="Q41" s="9">
        <f>IF($K41="","",INDEX('سجل التحفيز'!$E$5:$E$2004,MATCH($K41,'سجل التحفيز'!$AA$5:$AA$2004,0)))</f>
        <v/>
      </c>
      <c r="R41" s="9">
        <f>IF($K41="","",INDEX('سجل التحفيز'!$F$5:$F$2004,MATCH($K41,'سجل التحفيز'!$AA$5:$AA$2004,0)))</f>
        <v/>
      </c>
      <c r="S41" s="35">
        <f>IF($K41="","",INDEX('سجل التحفيز'!$G$5:$G$2004,MATCH($K41,'سجل التحفيز'!$AA$5:$AA$2004,0)))</f>
        <v/>
      </c>
    </row>
    <row r="42">
      <c r="B42" s="34">
        <f>IFERROR(INDEX(الموظفات!$B$5:$B$304,MATCH(5,الموظفات!$U$5:$U$304,0)),"")</f>
        <v/>
      </c>
      <c r="C42" s="34">
        <f>IF(B42="","",INDEX(الموظفات!$D$5:$D$304,MATCH(B42,الموظفات!$B$5:$B$304,0))&amp;"")</f>
        <v/>
      </c>
      <c r="D42" s="35">
        <f>IF(B42="","",COUNTIFS('سجل التحفيز'!$AA$5:$AA$2004,"&gt;0",'سجل التحفيز'!$B$5:$B$2004,B42))</f>
        <v/>
      </c>
      <c r="E42" s="35">
        <f>IF(B42="","",COUNTIFS('سجل التحفيز'!$AA$5:$AA$2004,"&gt;0",'سجل التحفيز'!$B$5:$B$2004,B42,'سجل التحفيز'!$D$5:$D$2004,"ذهبي"))</f>
        <v/>
      </c>
      <c r="F42" s="35">
        <f>IF(B42="","",SUMIFS('سجل التحفيز'!$G$5:$G$2004,'سجل التحفيز'!$AA$5:$AA$2004,"&gt;0",'سجل التحفيز'!$B$5:$B$2004,B42))</f>
        <v/>
      </c>
      <c r="G42" s="35">
        <f>IF(B42="","",COUNTIF($D$38:$D$187,"&gt;"&amp;D42)+1)</f>
        <v/>
      </c>
      <c r="H42" s="35">
        <f>IF(B42="","",INDEX(الموظفات!$L$5:$L$304,MATCH(B42,الموظفات!$B$5:$B$304,0)))</f>
        <v/>
      </c>
      <c r="K42" s="36">
        <f>IF(5&gt;$B$10,"",5)</f>
        <v/>
      </c>
      <c r="L42" s="37">
        <f>IF($K42="","",INDEX('سجل التحفيز'!$A$5:$A$2004,MATCH($K42,'سجل التحفيز'!$AA$5:$AA$2004,0)))</f>
        <v/>
      </c>
      <c r="M42" s="9">
        <f>IF($K42="","",INDEX('سجل التحفيز'!$B$5:$B$2004,MATCH($K42,'سجل التحفيز'!$AA$5:$AA$2004,0)))</f>
        <v/>
      </c>
      <c r="N42" s="9">
        <f>IF($K42="","",INDEX('سجل التحفيز'!$M$5:$M$2004,MATCH($K42,'سجل التحفيز'!$AA$5:$AA$2004,0)))</f>
        <v/>
      </c>
      <c r="O42" s="9">
        <f>IF($K42="","",INDEX('سجل التحفيز'!$C$5:$C$2004,MATCH($K42,'سجل التحفيز'!$AA$5:$AA$2004,0)))</f>
        <v/>
      </c>
      <c r="P42" s="36">
        <f>IF($K42="","",INDEX('سجل التحفيز'!$D$5:$D$2004,MATCH($K42,'سجل التحفيز'!$AA$5:$AA$2004,0)))</f>
        <v/>
      </c>
      <c r="Q42" s="9">
        <f>IF($K42="","",INDEX('سجل التحفيز'!$E$5:$E$2004,MATCH($K42,'سجل التحفيز'!$AA$5:$AA$2004,0)))</f>
        <v/>
      </c>
      <c r="R42" s="9">
        <f>IF($K42="","",INDEX('سجل التحفيز'!$F$5:$F$2004,MATCH($K42,'سجل التحفيز'!$AA$5:$AA$2004,0)))</f>
        <v/>
      </c>
      <c r="S42" s="35">
        <f>IF($K42="","",INDEX('سجل التحفيز'!$G$5:$G$2004,MATCH($K42,'سجل التحفيز'!$AA$5:$AA$2004,0)))</f>
        <v/>
      </c>
    </row>
    <row r="43">
      <c r="B43" s="34">
        <f>IFERROR(INDEX(الموظفات!$B$5:$B$304,MATCH(6,الموظفات!$U$5:$U$304,0)),"")</f>
        <v/>
      </c>
      <c r="C43" s="34">
        <f>IF(B43="","",INDEX(الموظفات!$D$5:$D$304,MATCH(B43,الموظفات!$B$5:$B$304,0))&amp;"")</f>
        <v/>
      </c>
      <c r="D43" s="35">
        <f>IF(B43="","",COUNTIFS('سجل التحفيز'!$AA$5:$AA$2004,"&gt;0",'سجل التحفيز'!$B$5:$B$2004,B43))</f>
        <v/>
      </c>
      <c r="E43" s="35">
        <f>IF(B43="","",COUNTIFS('سجل التحفيز'!$AA$5:$AA$2004,"&gt;0",'سجل التحفيز'!$B$5:$B$2004,B43,'سجل التحفيز'!$D$5:$D$2004,"ذهبي"))</f>
        <v/>
      </c>
      <c r="F43" s="35">
        <f>IF(B43="","",SUMIFS('سجل التحفيز'!$G$5:$G$2004,'سجل التحفيز'!$AA$5:$AA$2004,"&gt;0",'سجل التحفيز'!$B$5:$B$2004,B43))</f>
        <v/>
      </c>
      <c r="G43" s="35">
        <f>IF(B43="","",COUNTIF($D$38:$D$187,"&gt;"&amp;D43)+1)</f>
        <v/>
      </c>
      <c r="H43" s="35">
        <f>IF(B43="","",INDEX(الموظفات!$L$5:$L$304,MATCH(B43,الموظفات!$B$5:$B$304,0)))</f>
        <v/>
      </c>
      <c r="K43" s="36">
        <f>IF(6&gt;$B$10,"",6)</f>
        <v/>
      </c>
      <c r="L43" s="37">
        <f>IF($K43="","",INDEX('سجل التحفيز'!$A$5:$A$2004,MATCH($K43,'سجل التحفيز'!$AA$5:$AA$2004,0)))</f>
        <v/>
      </c>
      <c r="M43" s="9">
        <f>IF($K43="","",INDEX('سجل التحفيز'!$B$5:$B$2004,MATCH($K43,'سجل التحفيز'!$AA$5:$AA$2004,0)))</f>
        <v/>
      </c>
      <c r="N43" s="9">
        <f>IF($K43="","",INDEX('سجل التحفيز'!$M$5:$M$2004,MATCH($K43,'سجل التحفيز'!$AA$5:$AA$2004,0)))</f>
        <v/>
      </c>
      <c r="O43" s="9">
        <f>IF($K43="","",INDEX('سجل التحفيز'!$C$5:$C$2004,MATCH($K43,'سجل التحفيز'!$AA$5:$AA$2004,0)))</f>
        <v/>
      </c>
      <c r="P43" s="36">
        <f>IF($K43="","",INDEX('سجل التحفيز'!$D$5:$D$2004,MATCH($K43,'سجل التحفيز'!$AA$5:$AA$2004,0)))</f>
        <v/>
      </c>
      <c r="Q43" s="9">
        <f>IF($K43="","",INDEX('سجل التحفيز'!$E$5:$E$2004,MATCH($K43,'سجل التحفيز'!$AA$5:$AA$2004,0)))</f>
        <v/>
      </c>
      <c r="R43" s="9">
        <f>IF($K43="","",INDEX('سجل التحفيز'!$F$5:$F$2004,MATCH($K43,'سجل التحفيز'!$AA$5:$AA$2004,0)))</f>
        <v/>
      </c>
      <c r="S43" s="35">
        <f>IF($K43="","",INDEX('سجل التحفيز'!$G$5:$G$2004,MATCH($K43,'سجل التحفيز'!$AA$5:$AA$2004,0)))</f>
        <v/>
      </c>
    </row>
    <row r="44">
      <c r="B44" s="34">
        <f>IFERROR(INDEX(الموظفات!$B$5:$B$304,MATCH(7,الموظفات!$U$5:$U$304,0)),"")</f>
        <v/>
      </c>
      <c r="C44" s="34">
        <f>IF(B44="","",INDEX(الموظفات!$D$5:$D$304,MATCH(B44,الموظفات!$B$5:$B$304,0))&amp;"")</f>
        <v/>
      </c>
      <c r="D44" s="35">
        <f>IF(B44="","",COUNTIFS('سجل التحفيز'!$AA$5:$AA$2004,"&gt;0",'سجل التحفيز'!$B$5:$B$2004,B44))</f>
        <v/>
      </c>
      <c r="E44" s="35">
        <f>IF(B44="","",COUNTIFS('سجل التحفيز'!$AA$5:$AA$2004,"&gt;0",'سجل التحفيز'!$B$5:$B$2004,B44,'سجل التحفيز'!$D$5:$D$2004,"ذهبي"))</f>
        <v/>
      </c>
      <c r="F44" s="35">
        <f>IF(B44="","",SUMIFS('سجل التحفيز'!$G$5:$G$2004,'سجل التحفيز'!$AA$5:$AA$2004,"&gt;0",'سجل التحفيز'!$B$5:$B$2004,B44))</f>
        <v/>
      </c>
      <c r="G44" s="35">
        <f>IF(B44="","",COUNTIF($D$38:$D$187,"&gt;"&amp;D44)+1)</f>
        <v/>
      </c>
      <c r="H44" s="35">
        <f>IF(B44="","",INDEX(الموظفات!$L$5:$L$304,MATCH(B44,الموظفات!$B$5:$B$304,0)))</f>
        <v/>
      </c>
      <c r="K44" s="36">
        <f>IF(7&gt;$B$10,"",7)</f>
        <v/>
      </c>
      <c r="L44" s="37">
        <f>IF($K44="","",INDEX('سجل التحفيز'!$A$5:$A$2004,MATCH($K44,'سجل التحفيز'!$AA$5:$AA$2004,0)))</f>
        <v/>
      </c>
      <c r="M44" s="9">
        <f>IF($K44="","",INDEX('سجل التحفيز'!$B$5:$B$2004,MATCH($K44,'سجل التحفيز'!$AA$5:$AA$2004,0)))</f>
        <v/>
      </c>
      <c r="N44" s="9">
        <f>IF($K44="","",INDEX('سجل التحفيز'!$M$5:$M$2004,MATCH($K44,'سجل التحفيز'!$AA$5:$AA$2004,0)))</f>
        <v/>
      </c>
      <c r="O44" s="9">
        <f>IF($K44="","",INDEX('سجل التحفيز'!$C$5:$C$2004,MATCH($K44,'سجل التحفيز'!$AA$5:$AA$2004,0)))</f>
        <v/>
      </c>
      <c r="P44" s="36">
        <f>IF($K44="","",INDEX('سجل التحفيز'!$D$5:$D$2004,MATCH($K44,'سجل التحفيز'!$AA$5:$AA$2004,0)))</f>
        <v/>
      </c>
      <c r="Q44" s="9">
        <f>IF($K44="","",INDEX('سجل التحفيز'!$E$5:$E$2004,MATCH($K44,'سجل التحفيز'!$AA$5:$AA$2004,0)))</f>
        <v/>
      </c>
      <c r="R44" s="9">
        <f>IF($K44="","",INDEX('سجل التحفيز'!$F$5:$F$2004,MATCH($K44,'سجل التحفيز'!$AA$5:$AA$2004,0)))</f>
        <v/>
      </c>
      <c r="S44" s="35">
        <f>IF($K44="","",INDEX('سجل التحفيز'!$G$5:$G$2004,MATCH($K44,'سجل التحفيز'!$AA$5:$AA$2004,0)))</f>
        <v/>
      </c>
    </row>
    <row r="45">
      <c r="B45" s="34">
        <f>IFERROR(INDEX(الموظفات!$B$5:$B$304,MATCH(8,الموظفات!$U$5:$U$304,0)),"")</f>
        <v/>
      </c>
      <c r="C45" s="34">
        <f>IF(B45="","",INDEX(الموظفات!$D$5:$D$304,MATCH(B45,الموظفات!$B$5:$B$304,0))&amp;"")</f>
        <v/>
      </c>
      <c r="D45" s="35">
        <f>IF(B45="","",COUNTIFS('سجل التحفيز'!$AA$5:$AA$2004,"&gt;0",'سجل التحفيز'!$B$5:$B$2004,B45))</f>
        <v/>
      </c>
      <c r="E45" s="35">
        <f>IF(B45="","",COUNTIFS('سجل التحفيز'!$AA$5:$AA$2004,"&gt;0",'سجل التحفيز'!$B$5:$B$2004,B45,'سجل التحفيز'!$D$5:$D$2004,"ذهبي"))</f>
        <v/>
      </c>
      <c r="F45" s="35">
        <f>IF(B45="","",SUMIFS('سجل التحفيز'!$G$5:$G$2004,'سجل التحفيز'!$AA$5:$AA$2004,"&gt;0",'سجل التحفيز'!$B$5:$B$2004,B45))</f>
        <v/>
      </c>
      <c r="G45" s="35">
        <f>IF(B45="","",COUNTIF($D$38:$D$187,"&gt;"&amp;D45)+1)</f>
        <v/>
      </c>
      <c r="H45" s="35">
        <f>IF(B45="","",INDEX(الموظفات!$L$5:$L$304,MATCH(B45,الموظفات!$B$5:$B$304,0)))</f>
        <v/>
      </c>
      <c r="K45" s="36">
        <f>IF(8&gt;$B$10,"",8)</f>
        <v/>
      </c>
      <c r="L45" s="37">
        <f>IF($K45="","",INDEX('سجل التحفيز'!$A$5:$A$2004,MATCH($K45,'سجل التحفيز'!$AA$5:$AA$2004,0)))</f>
        <v/>
      </c>
      <c r="M45" s="9">
        <f>IF($K45="","",INDEX('سجل التحفيز'!$B$5:$B$2004,MATCH($K45,'سجل التحفيز'!$AA$5:$AA$2004,0)))</f>
        <v/>
      </c>
      <c r="N45" s="9">
        <f>IF($K45="","",INDEX('سجل التحفيز'!$M$5:$M$2004,MATCH($K45,'سجل التحفيز'!$AA$5:$AA$2004,0)))</f>
        <v/>
      </c>
      <c r="O45" s="9">
        <f>IF($K45="","",INDEX('سجل التحفيز'!$C$5:$C$2004,MATCH($K45,'سجل التحفيز'!$AA$5:$AA$2004,0)))</f>
        <v/>
      </c>
      <c r="P45" s="36">
        <f>IF($K45="","",INDEX('سجل التحفيز'!$D$5:$D$2004,MATCH($K45,'سجل التحفيز'!$AA$5:$AA$2004,0)))</f>
        <v/>
      </c>
      <c r="Q45" s="9">
        <f>IF($K45="","",INDEX('سجل التحفيز'!$E$5:$E$2004,MATCH($K45,'سجل التحفيز'!$AA$5:$AA$2004,0)))</f>
        <v/>
      </c>
      <c r="R45" s="9">
        <f>IF($K45="","",INDEX('سجل التحفيز'!$F$5:$F$2004,MATCH($K45,'سجل التحفيز'!$AA$5:$AA$2004,0)))</f>
        <v/>
      </c>
      <c r="S45" s="35">
        <f>IF($K45="","",INDEX('سجل التحفيز'!$G$5:$G$2004,MATCH($K45,'سجل التحفيز'!$AA$5:$AA$2004,0)))</f>
        <v/>
      </c>
    </row>
    <row r="46">
      <c r="B46" s="34">
        <f>IFERROR(INDEX(الموظفات!$B$5:$B$304,MATCH(9,الموظفات!$U$5:$U$304,0)),"")</f>
        <v/>
      </c>
      <c r="C46" s="34">
        <f>IF(B46="","",INDEX(الموظفات!$D$5:$D$304,MATCH(B46,الموظفات!$B$5:$B$304,0))&amp;"")</f>
        <v/>
      </c>
      <c r="D46" s="35">
        <f>IF(B46="","",COUNTIFS('سجل التحفيز'!$AA$5:$AA$2004,"&gt;0",'سجل التحفيز'!$B$5:$B$2004,B46))</f>
        <v/>
      </c>
      <c r="E46" s="35">
        <f>IF(B46="","",COUNTIFS('سجل التحفيز'!$AA$5:$AA$2004,"&gt;0",'سجل التحفيز'!$B$5:$B$2004,B46,'سجل التحفيز'!$D$5:$D$2004,"ذهبي"))</f>
        <v/>
      </c>
      <c r="F46" s="35">
        <f>IF(B46="","",SUMIFS('سجل التحفيز'!$G$5:$G$2004,'سجل التحفيز'!$AA$5:$AA$2004,"&gt;0",'سجل التحفيز'!$B$5:$B$2004,B46))</f>
        <v/>
      </c>
      <c r="G46" s="35">
        <f>IF(B46="","",COUNTIF($D$38:$D$187,"&gt;"&amp;D46)+1)</f>
        <v/>
      </c>
      <c r="H46" s="35">
        <f>IF(B46="","",INDEX(الموظفات!$L$5:$L$304,MATCH(B46,الموظفات!$B$5:$B$304,0)))</f>
        <v/>
      </c>
      <c r="K46" s="36">
        <f>IF(9&gt;$B$10,"",9)</f>
        <v/>
      </c>
      <c r="L46" s="37">
        <f>IF($K46="","",INDEX('سجل التحفيز'!$A$5:$A$2004,MATCH($K46,'سجل التحفيز'!$AA$5:$AA$2004,0)))</f>
        <v/>
      </c>
      <c r="M46" s="9">
        <f>IF($K46="","",INDEX('سجل التحفيز'!$B$5:$B$2004,MATCH($K46,'سجل التحفيز'!$AA$5:$AA$2004,0)))</f>
        <v/>
      </c>
      <c r="N46" s="9">
        <f>IF($K46="","",INDEX('سجل التحفيز'!$M$5:$M$2004,MATCH($K46,'سجل التحفيز'!$AA$5:$AA$2004,0)))</f>
        <v/>
      </c>
      <c r="O46" s="9">
        <f>IF($K46="","",INDEX('سجل التحفيز'!$C$5:$C$2004,MATCH($K46,'سجل التحفيز'!$AA$5:$AA$2004,0)))</f>
        <v/>
      </c>
      <c r="P46" s="36">
        <f>IF($K46="","",INDEX('سجل التحفيز'!$D$5:$D$2004,MATCH($K46,'سجل التحفيز'!$AA$5:$AA$2004,0)))</f>
        <v/>
      </c>
      <c r="Q46" s="9">
        <f>IF($K46="","",INDEX('سجل التحفيز'!$E$5:$E$2004,MATCH($K46,'سجل التحفيز'!$AA$5:$AA$2004,0)))</f>
        <v/>
      </c>
      <c r="R46" s="9">
        <f>IF($K46="","",INDEX('سجل التحفيز'!$F$5:$F$2004,MATCH($K46,'سجل التحفيز'!$AA$5:$AA$2004,0)))</f>
        <v/>
      </c>
      <c r="S46" s="35">
        <f>IF($K46="","",INDEX('سجل التحفيز'!$G$5:$G$2004,MATCH($K46,'سجل التحفيز'!$AA$5:$AA$2004,0)))</f>
        <v/>
      </c>
    </row>
    <row r="47">
      <c r="B47" s="34">
        <f>IFERROR(INDEX(الموظفات!$B$5:$B$304,MATCH(10,الموظفات!$U$5:$U$304,0)),"")</f>
        <v/>
      </c>
      <c r="C47" s="34">
        <f>IF(B47="","",INDEX(الموظفات!$D$5:$D$304,MATCH(B47,الموظفات!$B$5:$B$304,0))&amp;"")</f>
        <v/>
      </c>
      <c r="D47" s="35">
        <f>IF(B47="","",COUNTIFS('سجل التحفيز'!$AA$5:$AA$2004,"&gt;0",'سجل التحفيز'!$B$5:$B$2004,B47))</f>
        <v/>
      </c>
      <c r="E47" s="35">
        <f>IF(B47="","",COUNTIFS('سجل التحفيز'!$AA$5:$AA$2004,"&gt;0",'سجل التحفيز'!$B$5:$B$2004,B47,'سجل التحفيز'!$D$5:$D$2004,"ذهبي"))</f>
        <v/>
      </c>
      <c r="F47" s="35">
        <f>IF(B47="","",SUMIFS('سجل التحفيز'!$G$5:$G$2004,'سجل التحفيز'!$AA$5:$AA$2004,"&gt;0",'سجل التحفيز'!$B$5:$B$2004,B47))</f>
        <v/>
      </c>
      <c r="G47" s="35">
        <f>IF(B47="","",COUNTIF($D$38:$D$187,"&gt;"&amp;D47)+1)</f>
        <v/>
      </c>
      <c r="H47" s="35">
        <f>IF(B47="","",INDEX(الموظفات!$L$5:$L$304,MATCH(B47,الموظفات!$B$5:$B$304,0)))</f>
        <v/>
      </c>
      <c r="K47" s="36">
        <f>IF(10&gt;$B$10,"",10)</f>
        <v/>
      </c>
      <c r="L47" s="37">
        <f>IF($K47="","",INDEX('سجل التحفيز'!$A$5:$A$2004,MATCH($K47,'سجل التحفيز'!$AA$5:$AA$2004,0)))</f>
        <v/>
      </c>
      <c r="M47" s="9">
        <f>IF($K47="","",INDEX('سجل التحفيز'!$B$5:$B$2004,MATCH($K47,'سجل التحفيز'!$AA$5:$AA$2004,0)))</f>
        <v/>
      </c>
      <c r="N47" s="9">
        <f>IF($K47="","",INDEX('سجل التحفيز'!$M$5:$M$2004,MATCH($K47,'سجل التحفيز'!$AA$5:$AA$2004,0)))</f>
        <v/>
      </c>
      <c r="O47" s="9">
        <f>IF($K47="","",INDEX('سجل التحفيز'!$C$5:$C$2004,MATCH($K47,'سجل التحفيز'!$AA$5:$AA$2004,0)))</f>
        <v/>
      </c>
      <c r="P47" s="36">
        <f>IF($K47="","",INDEX('سجل التحفيز'!$D$5:$D$2004,MATCH($K47,'سجل التحفيز'!$AA$5:$AA$2004,0)))</f>
        <v/>
      </c>
      <c r="Q47" s="9">
        <f>IF($K47="","",INDEX('سجل التحفيز'!$E$5:$E$2004,MATCH($K47,'سجل التحفيز'!$AA$5:$AA$2004,0)))</f>
        <v/>
      </c>
      <c r="R47" s="9">
        <f>IF($K47="","",INDEX('سجل التحفيز'!$F$5:$F$2004,MATCH($K47,'سجل التحفيز'!$AA$5:$AA$2004,0)))</f>
        <v/>
      </c>
      <c r="S47" s="35">
        <f>IF($K47="","",INDEX('سجل التحفيز'!$G$5:$G$2004,MATCH($K47,'سجل التحفيز'!$AA$5:$AA$2004,0)))</f>
        <v/>
      </c>
    </row>
    <row r="48">
      <c r="B48" s="34">
        <f>IFERROR(INDEX(الموظفات!$B$5:$B$304,MATCH(11,الموظفات!$U$5:$U$304,0)),"")</f>
        <v/>
      </c>
      <c r="C48" s="34">
        <f>IF(B48="","",INDEX(الموظفات!$D$5:$D$304,MATCH(B48,الموظفات!$B$5:$B$304,0))&amp;"")</f>
        <v/>
      </c>
      <c r="D48" s="35">
        <f>IF(B48="","",COUNTIFS('سجل التحفيز'!$AA$5:$AA$2004,"&gt;0",'سجل التحفيز'!$B$5:$B$2004,B48))</f>
        <v/>
      </c>
      <c r="E48" s="35">
        <f>IF(B48="","",COUNTIFS('سجل التحفيز'!$AA$5:$AA$2004,"&gt;0",'سجل التحفيز'!$B$5:$B$2004,B48,'سجل التحفيز'!$D$5:$D$2004,"ذهبي"))</f>
        <v/>
      </c>
      <c r="F48" s="35">
        <f>IF(B48="","",SUMIFS('سجل التحفيز'!$G$5:$G$2004,'سجل التحفيز'!$AA$5:$AA$2004,"&gt;0",'سجل التحفيز'!$B$5:$B$2004,B48))</f>
        <v/>
      </c>
      <c r="G48" s="35">
        <f>IF(B48="","",COUNTIF($D$38:$D$187,"&gt;"&amp;D48)+1)</f>
        <v/>
      </c>
      <c r="H48" s="35">
        <f>IF(B48="","",INDEX(الموظفات!$L$5:$L$304,MATCH(B48,الموظفات!$B$5:$B$304,0)))</f>
        <v/>
      </c>
      <c r="K48" s="36">
        <f>IF(11&gt;$B$10,"",11)</f>
        <v/>
      </c>
      <c r="L48" s="37">
        <f>IF($K48="","",INDEX('سجل التحفيز'!$A$5:$A$2004,MATCH($K48,'سجل التحفيز'!$AA$5:$AA$2004,0)))</f>
        <v/>
      </c>
      <c r="M48" s="9">
        <f>IF($K48="","",INDEX('سجل التحفيز'!$B$5:$B$2004,MATCH($K48,'سجل التحفيز'!$AA$5:$AA$2004,0)))</f>
        <v/>
      </c>
      <c r="N48" s="9">
        <f>IF($K48="","",INDEX('سجل التحفيز'!$M$5:$M$2004,MATCH($K48,'سجل التحفيز'!$AA$5:$AA$2004,0)))</f>
        <v/>
      </c>
      <c r="O48" s="9">
        <f>IF($K48="","",INDEX('سجل التحفيز'!$C$5:$C$2004,MATCH($K48,'سجل التحفيز'!$AA$5:$AA$2004,0)))</f>
        <v/>
      </c>
      <c r="P48" s="36">
        <f>IF($K48="","",INDEX('سجل التحفيز'!$D$5:$D$2004,MATCH($K48,'سجل التحفيز'!$AA$5:$AA$2004,0)))</f>
        <v/>
      </c>
      <c r="Q48" s="9">
        <f>IF($K48="","",INDEX('سجل التحفيز'!$E$5:$E$2004,MATCH($K48,'سجل التحفيز'!$AA$5:$AA$2004,0)))</f>
        <v/>
      </c>
      <c r="R48" s="9">
        <f>IF($K48="","",INDEX('سجل التحفيز'!$F$5:$F$2004,MATCH($K48,'سجل التحفيز'!$AA$5:$AA$2004,0)))</f>
        <v/>
      </c>
      <c r="S48" s="35">
        <f>IF($K48="","",INDEX('سجل التحفيز'!$G$5:$G$2004,MATCH($K48,'سجل التحفيز'!$AA$5:$AA$2004,0)))</f>
        <v/>
      </c>
    </row>
    <row r="49">
      <c r="B49" s="34">
        <f>IFERROR(INDEX(الموظفات!$B$5:$B$304,MATCH(12,الموظفات!$U$5:$U$304,0)),"")</f>
        <v/>
      </c>
      <c r="C49" s="34">
        <f>IF(B49="","",INDEX(الموظفات!$D$5:$D$304,MATCH(B49,الموظفات!$B$5:$B$304,0))&amp;"")</f>
        <v/>
      </c>
      <c r="D49" s="35">
        <f>IF(B49="","",COUNTIFS('سجل التحفيز'!$AA$5:$AA$2004,"&gt;0",'سجل التحفيز'!$B$5:$B$2004,B49))</f>
        <v/>
      </c>
      <c r="E49" s="35">
        <f>IF(B49="","",COUNTIFS('سجل التحفيز'!$AA$5:$AA$2004,"&gt;0",'سجل التحفيز'!$B$5:$B$2004,B49,'سجل التحفيز'!$D$5:$D$2004,"ذهبي"))</f>
        <v/>
      </c>
      <c r="F49" s="35">
        <f>IF(B49="","",SUMIFS('سجل التحفيز'!$G$5:$G$2004,'سجل التحفيز'!$AA$5:$AA$2004,"&gt;0",'سجل التحفيز'!$B$5:$B$2004,B49))</f>
        <v/>
      </c>
      <c r="G49" s="35">
        <f>IF(B49="","",COUNTIF($D$38:$D$187,"&gt;"&amp;D49)+1)</f>
        <v/>
      </c>
      <c r="H49" s="35">
        <f>IF(B49="","",INDEX(الموظفات!$L$5:$L$304,MATCH(B49,الموظفات!$B$5:$B$304,0)))</f>
        <v/>
      </c>
      <c r="K49" s="36">
        <f>IF(12&gt;$B$10,"",12)</f>
        <v/>
      </c>
      <c r="L49" s="37">
        <f>IF($K49="","",INDEX('سجل التحفيز'!$A$5:$A$2004,MATCH($K49,'سجل التحفيز'!$AA$5:$AA$2004,0)))</f>
        <v/>
      </c>
      <c r="M49" s="9">
        <f>IF($K49="","",INDEX('سجل التحفيز'!$B$5:$B$2004,MATCH($K49,'سجل التحفيز'!$AA$5:$AA$2004,0)))</f>
        <v/>
      </c>
      <c r="N49" s="9">
        <f>IF($K49="","",INDEX('سجل التحفيز'!$M$5:$M$2004,MATCH($K49,'سجل التحفيز'!$AA$5:$AA$2004,0)))</f>
        <v/>
      </c>
      <c r="O49" s="9">
        <f>IF($K49="","",INDEX('سجل التحفيز'!$C$5:$C$2004,MATCH($K49,'سجل التحفيز'!$AA$5:$AA$2004,0)))</f>
        <v/>
      </c>
      <c r="P49" s="36">
        <f>IF($K49="","",INDEX('سجل التحفيز'!$D$5:$D$2004,MATCH($K49,'سجل التحفيز'!$AA$5:$AA$2004,0)))</f>
        <v/>
      </c>
      <c r="Q49" s="9">
        <f>IF($K49="","",INDEX('سجل التحفيز'!$E$5:$E$2004,MATCH($K49,'سجل التحفيز'!$AA$5:$AA$2004,0)))</f>
        <v/>
      </c>
      <c r="R49" s="9">
        <f>IF($K49="","",INDEX('سجل التحفيز'!$F$5:$F$2004,MATCH($K49,'سجل التحفيز'!$AA$5:$AA$2004,0)))</f>
        <v/>
      </c>
      <c r="S49" s="35">
        <f>IF($K49="","",INDEX('سجل التحفيز'!$G$5:$G$2004,MATCH($K49,'سجل التحفيز'!$AA$5:$AA$2004,0)))</f>
        <v/>
      </c>
    </row>
    <row r="50">
      <c r="B50" s="34">
        <f>IFERROR(INDEX(الموظفات!$B$5:$B$304,MATCH(13,الموظفات!$U$5:$U$304,0)),"")</f>
        <v/>
      </c>
      <c r="C50" s="34">
        <f>IF(B50="","",INDEX(الموظفات!$D$5:$D$304,MATCH(B50,الموظفات!$B$5:$B$304,0))&amp;"")</f>
        <v/>
      </c>
      <c r="D50" s="35">
        <f>IF(B50="","",COUNTIFS('سجل التحفيز'!$AA$5:$AA$2004,"&gt;0",'سجل التحفيز'!$B$5:$B$2004,B50))</f>
        <v/>
      </c>
      <c r="E50" s="35">
        <f>IF(B50="","",COUNTIFS('سجل التحفيز'!$AA$5:$AA$2004,"&gt;0",'سجل التحفيز'!$B$5:$B$2004,B50,'سجل التحفيز'!$D$5:$D$2004,"ذهبي"))</f>
        <v/>
      </c>
      <c r="F50" s="35">
        <f>IF(B50="","",SUMIFS('سجل التحفيز'!$G$5:$G$2004,'سجل التحفيز'!$AA$5:$AA$2004,"&gt;0",'سجل التحفيز'!$B$5:$B$2004,B50))</f>
        <v/>
      </c>
      <c r="G50" s="35">
        <f>IF(B50="","",COUNTIF($D$38:$D$187,"&gt;"&amp;D50)+1)</f>
        <v/>
      </c>
      <c r="H50" s="35">
        <f>IF(B50="","",INDEX(الموظفات!$L$5:$L$304,MATCH(B50,الموظفات!$B$5:$B$304,0)))</f>
        <v/>
      </c>
      <c r="K50" s="36">
        <f>IF(13&gt;$B$10,"",13)</f>
        <v/>
      </c>
      <c r="L50" s="37">
        <f>IF($K50="","",INDEX('سجل التحفيز'!$A$5:$A$2004,MATCH($K50,'سجل التحفيز'!$AA$5:$AA$2004,0)))</f>
        <v/>
      </c>
      <c r="M50" s="9">
        <f>IF($K50="","",INDEX('سجل التحفيز'!$B$5:$B$2004,MATCH($K50,'سجل التحفيز'!$AA$5:$AA$2004,0)))</f>
        <v/>
      </c>
      <c r="N50" s="9">
        <f>IF($K50="","",INDEX('سجل التحفيز'!$M$5:$M$2004,MATCH($K50,'سجل التحفيز'!$AA$5:$AA$2004,0)))</f>
        <v/>
      </c>
      <c r="O50" s="9">
        <f>IF($K50="","",INDEX('سجل التحفيز'!$C$5:$C$2004,MATCH($K50,'سجل التحفيز'!$AA$5:$AA$2004,0)))</f>
        <v/>
      </c>
      <c r="P50" s="36">
        <f>IF($K50="","",INDEX('سجل التحفيز'!$D$5:$D$2004,MATCH($K50,'سجل التحفيز'!$AA$5:$AA$2004,0)))</f>
        <v/>
      </c>
      <c r="Q50" s="9">
        <f>IF($K50="","",INDEX('سجل التحفيز'!$E$5:$E$2004,MATCH($K50,'سجل التحفيز'!$AA$5:$AA$2004,0)))</f>
        <v/>
      </c>
      <c r="R50" s="9">
        <f>IF($K50="","",INDEX('سجل التحفيز'!$F$5:$F$2004,MATCH($K50,'سجل التحفيز'!$AA$5:$AA$2004,0)))</f>
        <v/>
      </c>
      <c r="S50" s="35">
        <f>IF($K50="","",INDEX('سجل التحفيز'!$G$5:$G$2004,MATCH($K50,'سجل التحفيز'!$AA$5:$AA$2004,0)))</f>
        <v/>
      </c>
    </row>
    <row r="51">
      <c r="B51" s="34">
        <f>IFERROR(INDEX(الموظفات!$B$5:$B$304,MATCH(14,الموظفات!$U$5:$U$304,0)),"")</f>
        <v/>
      </c>
      <c r="C51" s="34">
        <f>IF(B51="","",INDEX(الموظفات!$D$5:$D$304,MATCH(B51,الموظفات!$B$5:$B$304,0))&amp;"")</f>
        <v/>
      </c>
      <c r="D51" s="35">
        <f>IF(B51="","",COUNTIFS('سجل التحفيز'!$AA$5:$AA$2004,"&gt;0",'سجل التحفيز'!$B$5:$B$2004,B51))</f>
        <v/>
      </c>
      <c r="E51" s="35">
        <f>IF(B51="","",COUNTIFS('سجل التحفيز'!$AA$5:$AA$2004,"&gt;0",'سجل التحفيز'!$B$5:$B$2004,B51,'سجل التحفيز'!$D$5:$D$2004,"ذهبي"))</f>
        <v/>
      </c>
      <c r="F51" s="35">
        <f>IF(B51="","",SUMIFS('سجل التحفيز'!$G$5:$G$2004,'سجل التحفيز'!$AA$5:$AA$2004,"&gt;0",'سجل التحفيز'!$B$5:$B$2004,B51))</f>
        <v/>
      </c>
      <c r="G51" s="35">
        <f>IF(B51="","",COUNTIF($D$38:$D$187,"&gt;"&amp;D51)+1)</f>
        <v/>
      </c>
      <c r="H51" s="35">
        <f>IF(B51="","",INDEX(الموظفات!$L$5:$L$304,MATCH(B51,الموظفات!$B$5:$B$304,0)))</f>
        <v/>
      </c>
      <c r="K51" s="36">
        <f>IF(14&gt;$B$10,"",14)</f>
        <v/>
      </c>
      <c r="L51" s="37">
        <f>IF($K51="","",INDEX('سجل التحفيز'!$A$5:$A$2004,MATCH($K51,'سجل التحفيز'!$AA$5:$AA$2004,0)))</f>
        <v/>
      </c>
      <c r="M51" s="9">
        <f>IF($K51="","",INDEX('سجل التحفيز'!$B$5:$B$2004,MATCH($K51,'سجل التحفيز'!$AA$5:$AA$2004,0)))</f>
        <v/>
      </c>
      <c r="N51" s="9">
        <f>IF($K51="","",INDEX('سجل التحفيز'!$M$5:$M$2004,MATCH($K51,'سجل التحفيز'!$AA$5:$AA$2004,0)))</f>
        <v/>
      </c>
      <c r="O51" s="9">
        <f>IF($K51="","",INDEX('سجل التحفيز'!$C$5:$C$2004,MATCH($K51,'سجل التحفيز'!$AA$5:$AA$2004,0)))</f>
        <v/>
      </c>
      <c r="P51" s="36">
        <f>IF($K51="","",INDEX('سجل التحفيز'!$D$5:$D$2004,MATCH($K51,'سجل التحفيز'!$AA$5:$AA$2004,0)))</f>
        <v/>
      </c>
      <c r="Q51" s="9">
        <f>IF($K51="","",INDEX('سجل التحفيز'!$E$5:$E$2004,MATCH($K51,'سجل التحفيز'!$AA$5:$AA$2004,0)))</f>
        <v/>
      </c>
      <c r="R51" s="9">
        <f>IF($K51="","",INDEX('سجل التحفيز'!$F$5:$F$2004,MATCH($K51,'سجل التحفيز'!$AA$5:$AA$2004,0)))</f>
        <v/>
      </c>
      <c r="S51" s="35">
        <f>IF($K51="","",INDEX('سجل التحفيز'!$G$5:$G$2004,MATCH($K51,'سجل التحفيز'!$AA$5:$AA$2004,0)))</f>
        <v/>
      </c>
    </row>
    <row r="52">
      <c r="B52" s="34">
        <f>IFERROR(INDEX(الموظفات!$B$5:$B$304,MATCH(15,الموظفات!$U$5:$U$304,0)),"")</f>
        <v/>
      </c>
      <c r="C52" s="34">
        <f>IF(B52="","",INDEX(الموظفات!$D$5:$D$304,MATCH(B52,الموظفات!$B$5:$B$304,0))&amp;"")</f>
        <v/>
      </c>
      <c r="D52" s="35">
        <f>IF(B52="","",COUNTIFS('سجل التحفيز'!$AA$5:$AA$2004,"&gt;0",'سجل التحفيز'!$B$5:$B$2004,B52))</f>
        <v/>
      </c>
      <c r="E52" s="35">
        <f>IF(B52="","",COUNTIFS('سجل التحفيز'!$AA$5:$AA$2004,"&gt;0",'سجل التحفيز'!$B$5:$B$2004,B52,'سجل التحفيز'!$D$5:$D$2004,"ذهبي"))</f>
        <v/>
      </c>
      <c r="F52" s="35">
        <f>IF(B52="","",SUMIFS('سجل التحفيز'!$G$5:$G$2004,'سجل التحفيز'!$AA$5:$AA$2004,"&gt;0",'سجل التحفيز'!$B$5:$B$2004,B52))</f>
        <v/>
      </c>
      <c r="G52" s="35">
        <f>IF(B52="","",COUNTIF($D$38:$D$187,"&gt;"&amp;D52)+1)</f>
        <v/>
      </c>
      <c r="H52" s="35">
        <f>IF(B52="","",INDEX(الموظفات!$L$5:$L$304,MATCH(B52,الموظفات!$B$5:$B$304,0)))</f>
        <v/>
      </c>
      <c r="K52" s="36">
        <f>IF(15&gt;$B$10,"",15)</f>
        <v/>
      </c>
      <c r="L52" s="37">
        <f>IF($K52="","",INDEX('سجل التحفيز'!$A$5:$A$2004,MATCH($K52,'سجل التحفيز'!$AA$5:$AA$2004,0)))</f>
        <v/>
      </c>
      <c r="M52" s="9">
        <f>IF($K52="","",INDEX('سجل التحفيز'!$B$5:$B$2004,MATCH($K52,'سجل التحفيز'!$AA$5:$AA$2004,0)))</f>
        <v/>
      </c>
      <c r="N52" s="9">
        <f>IF($K52="","",INDEX('سجل التحفيز'!$M$5:$M$2004,MATCH($K52,'سجل التحفيز'!$AA$5:$AA$2004,0)))</f>
        <v/>
      </c>
      <c r="O52" s="9">
        <f>IF($K52="","",INDEX('سجل التحفيز'!$C$5:$C$2004,MATCH($K52,'سجل التحفيز'!$AA$5:$AA$2004,0)))</f>
        <v/>
      </c>
      <c r="P52" s="36">
        <f>IF($K52="","",INDEX('سجل التحفيز'!$D$5:$D$2004,MATCH($K52,'سجل التحفيز'!$AA$5:$AA$2004,0)))</f>
        <v/>
      </c>
      <c r="Q52" s="9">
        <f>IF($K52="","",INDEX('سجل التحفيز'!$E$5:$E$2004,MATCH($K52,'سجل التحفيز'!$AA$5:$AA$2004,0)))</f>
        <v/>
      </c>
      <c r="R52" s="9">
        <f>IF($K52="","",INDEX('سجل التحفيز'!$F$5:$F$2004,MATCH($K52,'سجل التحفيز'!$AA$5:$AA$2004,0)))</f>
        <v/>
      </c>
      <c r="S52" s="35">
        <f>IF($K52="","",INDEX('سجل التحفيز'!$G$5:$G$2004,MATCH($K52,'سجل التحفيز'!$AA$5:$AA$2004,0)))</f>
        <v/>
      </c>
    </row>
    <row r="53">
      <c r="B53" s="34">
        <f>IFERROR(INDEX(الموظفات!$B$5:$B$304,MATCH(16,الموظفات!$U$5:$U$304,0)),"")</f>
        <v/>
      </c>
      <c r="C53" s="34">
        <f>IF(B53="","",INDEX(الموظفات!$D$5:$D$304,MATCH(B53,الموظفات!$B$5:$B$304,0))&amp;"")</f>
        <v/>
      </c>
      <c r="D53" s="35">
        <f>IF(B53="","",COUNTIFS('سجل التحفيز'!$AA$5:$AA$2004,"&gt;0",'سجل التحفيز'!$B$5:$B$2004,B53))</f>
        <v/>
      </c>
      <c r="E53" s="35">
        <f>IF(B53="","",COUNTIFS('سجل التحفيز'!$AA$5:$AA$2004,"&gt;0",'سجل التحفيز'!$B$5:$B$2004,B53,'سجل التحفيز'!$D$5:$D$2004,"ذهبي"))</f>
        <v/>
      </c>
      <c r="F53" s="35">
        <f>IF(B53="","",SUMIFS('سجل التحفيز'!$G$5:$G$2004,'سجل التحفيز'!$AA$5:$AA$2004,"&gt;0",'سجل التحفيز'!$B$5:$B$2004,B53))</f>
        <v/>
      </c>
      <c r="G53" s="35">
        <f>IF(B53="","",COUNTIF($D$38:$D$187,"&gt;"&amp;D53)+1)</f>
        <v/>
      </c>
      <c r="H53" s="35">
        <f>IF(B53="","",INDEX(الموظفات!$L$5:$L$304,MATCH(B53,الموظفات!$B$5:$B$304,0)))</f>
        <v/>
      </c>
      <c r="K53" s="36">
        <f>IF(16&gt;$B$10,"",16)</f>
        <v/>
      </c>
      <c r="L53" s="37">
        <f>IF($K53="","",INDEX('سجل التحفيز'!$A$5:$A$2004,MATCH($K53,'سجل التحفيز'!$AA$5:$AA$2004,0)))</f>
        <v/>
      </c>
      <c r="M53" s="9">
        <f>IF($K53="","",INDEX('سجل التحفيز'!$B$5:$B$2004,MATCH($K53,'سجل التحفيز'!$AA$5:$AA$2004,0)))</f>
        <v/>
      </c>
      <c r="N53" s="9">
        <f>IF($K53="","",INDEX('سجل التحفيز'!$M$5:$M$2004,MATCH($K53,'سجل التحفيز'!$AA$5:$AA$2004,0)))</f>
        <v/>
      </c>
      <c r="O53" s="9">
        <f>IF($K53="","",INDEX('سجل التحفيز'!$C$5:$C$2004,MATCH($K53,'سجل التحفيز'!$AA$5:$AA$2004,0)))</f>
        <v/>
      </c>
      <c r="P53" s="36">
        <f>IF($K53="","",INDEX('سجل التحفيز'!$D$5:$D$2004,MATCH($K53,'سجل التحفيز'!$AA$5:$AA$2004,0)))</f>
        <v/>
      </c>
      <c r="Q53" s="9">
        <f>IF($K53="","",INDEX('سجل التحفيز'!$E$5:$E$2004,MATCH($K53,'سجل التحفيز'!$AA$5:$AA$2004,0)))</f>
        <v/>
      </c>
      <c r="R53" s="9">
        <f>IF($K53="","",INDEX('سجل التحفيز'!$F$5:$F$2004,MATCH($K53,'سجل التحفيز'!$AA$5:$AA$2004,0)))</f>
        <v/>
      </c>
      <c r="S53" s="35">
        <f>IF($K53="","",INDEX('سجل التحفيز'!$G$5:$G$2004,MATCH($K53,'سجل التحفيز'!$AA$5:$AA$2004,0)))</f>
        <v/>
      </c>
    </row>
    <row r="54">
      <c r="B54" s="34">
        <f>IFERROR(INDEX(الموظفات!$B$5:$B$304,MATCH(17,الموظفات!$U$5:$U$304,0)),"")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التحفيز'!$AA$5:$AA$2004,"&gt;0",'سجل التحفيز'!$B$5:$B$2004,B54))</f>
        <v/>
      </c>
      <c r="E54" s="35">
        <f>IF(B54="","",COUNTIFS('سجل التحفيز'!$AA$5:$AA$2004,"&gt;0",'سجل التحفيز'!$B$5:$B$2004,B54,'سجل التحفيز'!$D$5:$D$2004,"ذهبي"))</f>
        <v/>
      </c>
      <c r="F54" s="35">
        <f>IF(B54="","",SUMIFS('سجل التحفيز'!$G$5:$G$2004,'سجل التحفيز'!$AA$5:$AA$2004,"&gt;0",'سجل التحفيز'!$B$5:$B$2004,B54))</f>
        <v/>
      </c>
      <c r="G54" s="35">
        <f>IF(B54="","",COUNTIF($D$38:$D$187,"&gt;"&amp;D54)+1)</f>
        <v/>
      </c>
      <c r="H54" s="35">
        <f>IF(B54="","",INDEX(الموظفات!$L$5:$L$304,MATCH(B54,الموظفات!$B$5:$B$304,0)))</f>
        <v/>
      </c>
      <c r="K54" s="36">
        <f>IF(17&gt;$B$10,"",17)</f>
        <v/>
      </c>
      <c r="L54" s="37">
        <f>IF($K54="","",INDEX('سجل التحفيز'!$A$5:$A$2004,MATCH($K54,'سجل التحفيز'!$AA$5:$AA$2004,0)))</f>
        <v/>
      </c>
      <c r="M54" s="9">
        <f>IF($K54="","",INDEX('سجل التحفيز'!$B$5:$B$2004,MATCH($K54,'سجل التحفيز'!$AA$5:$AA$2004,0)))</f>
        <v/>
      </c>
      <c r="N54" s="9">
        <f>IF($K54="","",INDEX('سجل التحفيز'!$M$5:$M$2004,MATCH($K54,'سجل التحفيز'!$AA$5:$AA$2004,0)))</f>
        <v/>
      </c>
      <c r="O54" s="9">
        <f>IF($K54="","",INDEX('سجل التحفيز'!$C$5:$C$2004,MATCH($K54,'سجل التحفيز'!$AA$5:$AA$2004,0)))</f>
        <v/>
      </c>
      <c r="P54" s="36">
        <f>IF($K54="","",INDEX('سجل التحفيز'!$D$5:$D$2004,MATCH($K54,'سجل التحفيز'!$AA$5:$AA$2004,0)))</f>
        <v/>
      </c>
      <c r="Q54" s="9">
        <f>IF($K54="","",INDEX('سجل التحفيز'!$E$5:$E$2004,MATCH($K54,'سجل التحفيز'!$AA$5:$AA$2004,0)))</f>
        <v/>
      </c>
      <c r="R54" s="9">
        <f>IF($K54="","",INDEX('سجل التحفيز'!$F$5:$F$2004,MATCH($K54,'سجل التحفيز'!$AA$5:$AA$2004,0)))</f>
        <v/>
      </c>
      <c r="S54" s="35">
        <f>IF($K54="","",INDEX('سجل التحفيز'!$G$5:$G$2004,MATCH($K54,'سجل التحفيز'!$AA$5:$AA$2004,0)))</f>
        <v/>
      </c>
    </row>
    <row r="55">
      <c r="B55" s="34">
        <f>IFERROR(INDEX(الموظفات!$B$5:$B$304,MATCH(18,الموظفات!$U$5:$U$304,0)),"")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التحفيز'!$AA$5:$AA$2004,"&gt;0",'سجل التحفيز'!$B$5:$B$2004,B55))</f>
        <v/>
      </c>
      <c r="E55" s="35">
        <f>IF(B55="","",COUNTIFS('سجل التحفيز'!$AA$5:$AA$2004,"&gt;0",'سجل التحفيز'!$B$5:$B$2004,B55,'سجل التحفيز'!$D$5:$D$2004,"ذهبي"))</f>
        <v/>
      </c>
      <c r="F55" s="35">
        <f>IF(B55="","",SUMIFS('سجل التحفيز'!$G$5:$G$2004,'سجل التحفيز'!$AA$5:$AA$2004,"&gt;0",'سجل التحفيز'!$B$5:$B$2004,B55))</f>
        <v/>
      </c>
      <c r="G55" s="35">
        <f>IF(B55="","",COUNTIF($D$38:$D$187,"&gt;"&amp;D55)+1)</f>
        <v/>
      </c>
      <c r="H55" s="35">
        <f>IF(B55="","",INDEX(الموظفات!$L$5:$L$304,MATCH(B55,الموظفات!$B$5:$B$304,0)))</f>
        <v/>
      </c>
      <c r="K55" s="36">
        <f>IF(18&gt;$B$10,"",18)</f>
        <v/>
      </c>
      <c r="L55" s="37">
        <f>IF($K55="","",INDEX('سجل التحفيز'!$A$5:$A$2004,MATCH($K55,'سجل التحفيز'!$AA$5:$AA$2004,0)))</f>
        <v/>
      </c>
      <c r="M55" s="9">
        <f>IF($K55="","",INDEX('سجل التحفيز'!$B$5:$B$2004,MATCH($K55,'سجل التحفيز'!$AA$5:$AA$2004,0)))</f>
        <v/>
      </c>
      <c r="N55" s="9">
        <f>IF($K55="","",INDEX('سجل التحفيز'!$M$5:$M$2004,MATCH($K55,'سجل التحفيز'!$AA$5:$AA$2004,0)))</f>
        <v/>
      </c>
      <c r="O55" s="9">
        <f>IF($K55="","",INDEX('سجل التحفيز'!$C$5:$C$2004,MATCH($K55,'سجل التحفيز'!$AA$5:$AA$2004,0)))</f>
        <v/>
      </c>
      <c r="P55" s="36">
        <f>IF($K55="","",INDEX('سجل التحفيز'!$D$5:$D$2004,MATCH($K55,'سجل التحفيز'!$AA$5:$AA$2004,0)))</f>
        <v/>
      </c>
      <c r="Q55" s="9">
        <f>IF($K55="","",INDEX('سجل التحفيز'!$E$5:$E$2004,MATCH($K55,'سجل التحفيز'!$AA$5:$AA$2004,0)))</f>
        <v/>
      </c>
      <c r="R55" s="9">
        <f>IF($K55="","",INDEX('سجل التحفيز'!$F$5:$F$2004,MATCH($K55,'سجل التحفيز'!$AA$5:$AA$2004,0)))</f>
        <v/>
      </c>
      <c r="S55" s="35">
        <f>IF($K55="","",INDEX('سجل التحفيز'!$G$5:$G$2004,MATCH($K55,'سجل التحفيز'!$AA$5:$AA$2004,0)))</f>
        <v/>
      </c>
    </row>
    <row r="56">
      <c r="B56" s="34">
        <f>IFERROR(INDEX(الموظفات!$B$5:$B$304,MATCH(19,الموظفات!$U$5:$U$304,0)),"")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التحفيز'!$AA$5:$AA$2004,"&gt;0",'سجل التحفيز'!$B$5:$B$2004,B56))</f>
        <v/>
      </c>
      <c r="E56" s="35">
        <f>IF(B56="","",COUNTIFS('سجل التحفيز'!$AA$5:$AA$2004,"&gt;0",'سجل التحفيز'!$B$5:$B$2004,B56,'سجل التحفيز'!$D$5:$D$2004,"ذهبي"))</f>
        <v/>
      </c>
      <c r="F56" s="35">
        <f>IF(B56="","",SUMIFS('سجل التحفيز'!$G$5:$G$2004,'سجل التحفيز'!$AA$5:$AA$2004,"&gt;0",'سجل التحفيز'!$B$5:$B$2004,B56))</f>
        <v/>
      </c>
      <c r="G56" s="35">
        <f>IF(B56="","",COUNTIF($D$38:$D$187,"&gt;"&amp;D56)+1)</f>
        <v/>
      </c>
      <c r="H56" s="35">
        <f>IF(B56="","",INDEX(الموظفات!$L$5:$L$304,MATCH(B56,الموظفات!$B$5:$B$304,0)))</f>
        <v/>
      </c>
      <c r="K56" s="36">
        <f>IF(19&gt;$B$10,"",19)</f>
        <v/>
      </c>
      <c r="L56" s="37">
        <f>IF($K56="","",INDEX('سجل التحفيز'!$A$5:$A$2004,MATCH($K56,'سجل التحفيز'!$AA$5:$AA$2004,0)))</f>
        <v/>
      </c>
      <c r="M56" s="9">
        <f>IF($K56="","",INDEX('سجل التحفيز'!$B$5:$B$2004,MATCH($K56,'سجل التحفيز'!$AA$5:$AA$2004,0)))</f>
        <v/>
      </c>
      <c r="N56" s="9">
        <f>IF($K56="","",INDEX('سجل التحفيز'!$M$5:$M$2004,MATCH($K56,'سجل التحفيز'!$AA$5:$AA$2004,0)))</f>
        <v/>
      </c>
      <c r="O56" s="9">
        <f>IF($K56="","",INDEX('سجل التحفيز'!$C$5:$C$2004,MATCH($K56,'سجل التحفيز'!$AA$5:$AA$2004,0)))</f>
        <v/>
      </c>
      <c r="P56" s="36">
        <f>IF($K56="","",INDEX('سجل التحفيز'!$D$5:$D$2004,MATCH($K56,'سجل التحفيز'!$AA$5:$AA$2004,0)))</f>
        <v/>
      </c>
      <c r="Q56" s="9">
        <f>IF($K56="","",INDEX('سجل التحفيز'!$E$5:$E$2004,MATCH($K56,'سجل التحفيز'!$AA$5:$AA$2004,0)))</f>
        <v/>
      </c>
      <c r="R56" s="9">
        <f>IF($K56="","",INDEX('سجل التحفيز'!$F$5:$F$2004,MATCH($K56,'سجل التحفيز'!$AA$5:$AA$2004,0)))</f>
        <v/>
      </c>
      <c r="S56" s="35">
        <f>IF($K56="","",INDEX('سجل التحفيز'!$G$5:$G$2004,MATCH($K56,'سجل التحفيز'!$AA$5:$AA$2004,0)))</f>
        <v/>
      </c>
    </row>
    <row r="57">
      <c r="B57" s="34">
        <f>IFERROR(INDEX(الموظفات!$B$5:$B$304,MATCH(20,الموظفات!$U$5:$U$304,0)),"")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التحفيز'!$AA$5:$AA$2004,"&gt;0",'سجل التحفيز'!$B$5:$B$2004,B57))</f>
        <v/>
      </c>
      <c r="E57" s="35">
        <f>IF(B57="","",COUNTIFS('سجل التحفيز'!$AA$5:$AA$2004,"&gt;0",'سجل التحفيز'!$B$5:$B$2004,B57,'سجل التحفيز'!$D$5:$D$2004,"ذهبي"))</f>
        <v/>
      </c>
      <c r="F57" s="35">
        <f>IF(B57="","",SUMIFS('سجل التحفيز'!$G$5:$G$2004,'سجل التحفيز'!$AA$5:$AA$2004,"&gt;0",'سجل التحفيز'!$B$5:$B$2004,B57))</f>
        <v/>
      </c>
      <c r="G57" s="35">
        <f>IF(B57="","",COUNTIF($D$38:$D$187,"&gt;"&amp;D57)+1)</f>
        <v/>
      </c>
      <c r="H57" s="35">
        <f>IF(B57="","",INDEX(الموظفات!$L$5:$L$304,MATCH(B57,الموظفات!$B$5:$B$304,0)))</f>
        <v/>
      </c>
      <c r="K57" s="36">
        <f>IF(20&gt;$B$10,"",20)</f>
        <v/>
      </c>
      <c r="L57" s="37">
        <f>IF($K57="","",INDEX('سجل التحفيز'!$A$5:$A$2004,MATCH($K57,'سجل التحفيز'!$AA$5:$AA$2004,0)))</f>
        <v/>
      </c>
      <c r="M57" s="9">
        <f>IF($K57="","",INDEX('سجل التحفيز'!$B$5:$B$2004,MATCH($K57,'سجل التحفيز'!$AA$5:$AA$2004,0)))</f>
        <v/>
      </c>
      <c r="N57" s="9">
        <f>IF($K57="","",INDEX('سجل التحفيز'!$M$5:$M$2004,MATCH($K57,'سجل التحفيز'!$AA$5:$AA$2004,0)))</f>
        <v/>
      </c>
      <c r="O57" s="9">
        <f>IF($K57="","",INDEX('سجل التحفيز'!$C$5:$C$2004,MATCH($K57,'سجل التحفيز'!$AA$5:$AA$2004,0)))</f>
        <v/>
      </c>
      <c r="P57" s="36">
        <f>IF($K57="","",INDEX('سجل التحفيز'!$D$5:$D$2004,MATCH($K57,'سجل التحفيز'!$AA$5:$AA$2004,0)))</f>
        <v/>
      </c>
      <c r="Q57" s="9">
        <f>IF($K57="","",INDEX('سجل التحفيز'!$E$5:$E$2004,MATCH($K57,'سجل التحفيز'!$AA$5:$AA$2004,0)))</f>
        <v/>
      </c>
      <c r="R57" s="9">
        <f>IF($K57="","",INDEX('سجل التحفيز'!$F$5:$F$2004,MATCH($K57,'سجل التحفيز'!$AA$5:$AA$2004,0)))</f>
        <v/>
      </c>
      <c r="S57" s="35">
        <f>IF($K57="","",INDEX('سجل التحفيز'!$G$5:$G$2004,MATCH($K57,'سجل التحفيز'!$AA$5:$AA$2004,0)))</f>
        <v/>
      </c>
    </row>
    <row r="58">
      <c r="B58" s="34">
        <f>IFERROR(INDEX(الموظفات!$B$5:$B$304,MATCH(21,الموظفات!$U$5:$U$304,0)),"")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التحفيز'!$AA$5:$AA$2004,"&gt;0",'سجل التحفيز'!$B$5:$B$2004,B58))</f>
        <v/>
      </c>
      <c r="E58" s="35">
        <f>IF(B58="","",COUNTIFS('سجل التحفيز'!$AA$5:$AA$2004,"&gt;0",'سجل التحفيز'!$B$5:$B$2004,B58,'سجل التحفيز'!$D$5:$D$2004,"ذهبي"))</f>
        <v/>
      </c>
      <c r="F58" s="35">
        <f>IF(B58="","",SUMIFS('سجل التحفيز'!$G$5:$G$2004,'سجل التحفيز'!$AA$5:$AA$2004,"&gt;0",'سجل التحفيز'!$B$5:$B$2004,B58))</f>
        <v/>
      </c>
      <c r="G58" s="35">
        <f>IF(B58="","",COUNTIF($D$38:$D$187,"&gt;"&amp;D58)+1)</f>
        <v/>
      </c>
      <c r="H58" s="35">
        <f>IF(B58="","",INDEX(الموظفات!$L$5:$L$304,MATCH(B58,الموظفات!$B$5:$B$304,0)))</f>
        <v/>
      </c>
      <c r="K58" s="36">
        <f>IF(21&gt;$B$10,"",21)</f>
        <v/>
      </c>
      <c r="L58" s="37">
        <f>IF($K58="","",INDEX('سجل التحفيز'!$A$5:$A$2004,MATCH($K58,'سجل التحفيز'!$AA$5:$AA$2004,0)))</f>
        <v/>
      </c>
      <c r="M58" s="9">
        <f>IF($K58="","",INDEX('سجل التحفيز'!$B$5:$B$2004,MATCH($K58,'سجل التحفيز'!$AA$5:$AA$2004,0)))</f>
        <v/>
      </c>
      <c r="N58" s="9">
        <f>IF($K58="","",INDEX('سجل التحفيز'!$M$5:$M$2004,MATCH($K58,'سجل التحفيز'!$AA$5:$AA$2004,0)))</f>
        <v/>
      </c>
      <c r="O58" s="9">
        <f>IF($K58="","",INDEX('سجل التحفيز'!$C$5:$C$2004,MATCH($K58,'سجل التحفيز'!$AA$5:$AA$2004,0)))</f>
        <v/>
      </c>
      <c r="P58" s="36">
        <f>IF($K58="","",INDEX('سجل التحفيز'!$D$5:$D$2004,MATCH($K58,'سجل التحفيز'!$AA$5:$AA$2004,0)))</f>
        <v/>
      </c>
      <c r="Q58" s="9">
        <f>IF($K58="","",INDEX('سجل التحفيز'!$E$5:$E$2004,MATCH($K58,'سجل التحفيز'!$AA$5:$AA$2004,0)))</f>
        <v/>
      </c>
      <c r="R58" s="9">
        <f>IF($K58="","",INDEX('سجل التحفيز'!$F$5:$F$2004,MATCH($K58,'سجل التحفيز'!$AA$5:$AA$2004,0)))</f>
        <v/>
      </c>
      <c r="S58" s="35">
        <f>IF($K58="","",INDEX('سجل التحفيز'!$G$5:$G$2004,MATCH($K58,'سجل التحفيز'!$AA$5:$AA$2004,0)))</f>
        <v/>
      </c>
    </row>
    <row r="59">
      <c r="B59" s="34">
        <f>IFERROR(INDEX(الموظفات!$B$5:$B$304,MATCH(22,الموظفات!$U$5:$U$304,0)),"")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التحفيز'!$AA$5:$AA$2004,"&gt;0",'سجل التحفيز'!$B$5:$B$2004,B59))</f>
        <v/>
      </c>
      <c r="E59" s="35">
        <f>IF(B59="","",COUNTIFS('سجل التحفيز'!$AA$5:$AA$2004,"&gt;0",'سجل التحفيز'!$B$5:$B$2004,B59,'سجل التحفيز'!$D$5:$D$2004,"ذهبي"))</f>
        <v/>
      </c>
      <c r="F59" s="35">
        <f>IF(B59="","",SUMIFS('سجل التحفيز'!$G$5:$G$2004,'سجل التحفيز'!$AA$5:$AA$2004,"&gt;0",'سجل التحفيز'!$B$5:$B$2004,B59))</f>
        <v/>
      </c>
      <c r="G59" s="35">
        <f>IF(B59="","",COUNTIF($D$38:$D$187,"&gt;"&amp;D59)+1)</f>
        <v/>
      </c>
      <c r="H59" s="35">
        <f>IF(B59="","",INDEX(الموظفات!$L$5:$L$304,MATCH(B59,الموظفات!$B$5:$B$304,0)))</f>
        <v/>
      </c>
      <c r="K59" s="36">
        <f>IF(22&gt;$B$10,"",22)</f>
        <v/>
      </c>
      <c r="L59" s="37">
        <f>IF($K59="","",INDEX('سجل التحفيز'!$A$5:$A$2004,MATCH($K59,'سجل التحفيز'!$AA$5:$AA$2004,0)))</f>
        <v/>
      </c>
      <c r="M59" s="9">
        <f>IF($K59="","",INDEX('سجل التحفيز'!$B$5:$B$2004,MATCH($K59,'سجل التحفيز'!$AA$5:$AA$2004,0)))</f>
        <v/>
      </c>
      <c r="N59" s="9">
        <f>IF($K59="","",INDEX('سجل التحفيز'!$M$5:$M$2004,MATCH($K59,'سجل التحفيز'!$AA$5:$AA$2004,0)))</f>
        <v/>
      </c>
      <c r="O59" s="9">
        <f>IF($K59="","",INDEX('سجل التحفيز'!$C$5:$C$2004,MATCH($K59,'سجل التحفيز'!$AA$5:$AA$2004,0)))</f>
        <v/>
      </c>
      <c r="P59" s="36">
        <f>IF($K59="","",INDEX('سجل التحفيز'!$D$5:$D$2004,MATCH($K59,'سجل التحفيز'!$AA$5:$AA$2004,0)))</f>
        <v/>
      </c>
      <c r="Q59" s="9">
        <f>IF($K59="","",INDEX('سجل التحفيز'!$E$5:$E$2004,MATCH($K59,'سجل التحفيز'!$AA$5:$AA$2004,0)))</f>
        <v/>
      </c>
      <c r="R59" s="9">
        <f>IF($K59="","",INDEX('سجل التحفيز'!$F$5:$F$2004,MATCH($K59,'سجل التحفيز'!$AA$5:$AA$2004,0)))</f>
        <v/>
      </c>
      <c r="S59" s="35">
        <f>IF($K59="","",INDEX('سجل التحفيز'!$G$5:$G$2004,MATCH($K59,'سجل التحفيز'!$AA$5:$AA$2004,0)))</f>
        <v/>
      </c>
    </row>
    <row r="60">
      <c r="B60" s="34">
        <f>IFERROR(INDEX(الموظفات!$B$5:$B$304,MATCH(23,الموظفات!$U$5:$U$304,0)),"")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التحفيز'!$AA$5:$AA$2004,"&gt;0",'سجل التحفيز'!$B$5:$B$2004,B60))</f>
        <v/>
      </c>
      <c r="E60" s="35">
        <f>IF(B60="","",COUNTIFS('سجل التحفيز'!$AA$5:$AA$2004,"&gt;0",'سجل التحفيز'!$B$5:$B$2004,B60,'سجل التحفيز'!$D$5:$D$2004,"ذهبي"))</f>
        <v/>
      </c>
      <c r="F60" s="35">
        <f>IF(B60="","",SUMIFS('سجل التحفيز'!$G$5:$G$2004,'سجل التحفيز'!$AA$5:$AA$2004,"&gt;0",'سجل التحفيز'!$B$5:$B$2004,B60))</f>
        <v/>
      </c>
      <c r="G60" s="35">
        <f>IF(B60="","",COUNTIF($D$38:$D$187,"&gt;"&amp;D60)+1)</f>
        <v/>
      </c>
      <c r="H60" s="35">
        <f>IF(B60="","",INDEX(الموظفات!$L$5:$L$304,MATCH(B60,الموظفات!$B$5:$B$304,0)))</f>
        <v/>
      </c>
      <c r="K60" s="36">
        <f>IF(23&gt;$B$10,"",23)</f>
        <v/>
      </c>
      <c r="L60" s="37">
        <f>IF($K60="","",INDEX('سجل التحفيز'!$A$5:$A$2004,MATCH($K60,'سجل التحفيز'!$AA$5:$AA$2004,0)))</f>
        <v/>
      </c>
      <c r="M60" s="9">
        <f>IF($K60="","",INDEX('سجل التحفيز'!$B$5:$B$2004,MATCH($K60,'سجل التحفيز'!$AA$5:$AA$2004,0)))</f>
        <v/>
      </c>
      <c r="N60" s="9">
        <f>IF($K60="","",INDEX('سجل التحفيز'!$M$5:$M$2004,MATCH($K60,'سجل التحفيز'!$AA$5:$AA$2004,0)))</f>
        <v/>
      </c>
      <c r="O60" s="9">
        <f>IF($K60="","",INDEX('سجل التحفيز'!$C$5:$C$2004,MATCH($K60,'سجل التحفيز'!$AA$5:$AA$2004,0)))</f>
        <v/>
      </c>
      <c r="P60" s="36">
        <f>IF($K60="","",INDEX('سجل التحفيز'!$D$5:$D$2004,MATCH($K60,'سجل التحفيز'!$AA$5:$AA$2004,0)))</f>
        <v/>
      </c>
      <c r="Q60" s="9">
        <f>IF($K60="","",INDEX('سجل التحفيز'!$E$5:$E$2004,MATCH($K60,'سجل التحفيز'!$AA$5:$AA$2004,0)))</f>
        <v/>
      </c>
      <c r="R60" s="9">
        <f>IF($K60="","",INDEX('سجل التحفيز'!$F$5:$F$2004,MATCH($K60,'سجل التحفيز'!$AA$5:$AA$2004,0)))</f>
        <v/>
      </c>
      <c r="S60" s="35">
        <f>IF($K60="","",INDEX('سجل التحفيز'!$G$5:$G$2004,MATCH($K60,'سجل التحفيز'!$AA$5:$AA$2004,0)))</f>
        <v/>
      </c>
    </row>
    <row r="61">
      <c r="B61" s="34">
        <f>IFERROR(INDEX(الموظفات!$B$5:$B$304,MATCH(24,الموظفات!$U$5:$U$304,0)),"")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التحفيز'!$AA$5:$AA$2004,"&gt;0",'سجل التحفيز'!$B$5:$B$2004,B61))</f>
        <v/>
      </c>
      <c r="E61" s="35">
        <f>IF(B61="","",COUNTIFS('سجل التحفيز'!$AA$5:$AA$2004,"&gt;0",'سجل التحفيز'!$B$5:$B$2004,B61,'سجل التحفيز'!$D$5:$D$2004,"ذهبي"))</f>
        <v/>
      </c>
      <c r="F61" s="35">
        <f>IF(B61="","",SUMIFS('سجل التحفيز'!$G$5:$G$2004,'سجل التحفيز'!$AA$5:$AA$2004,"&gt;0",'سجل التحفيز'!$B$5:$B$2004,B61))</f>
        <v/>
      </c>
      <c r="G61" s="35">
        <f>IF(B61="","",COUNTIF($D$38:$D$187,"&gt;"&amp;D61)+1)</f>
        <v/>
      </c>
      <c r="H61" s="35">
        <f>IF(B61="","",INDEX(الموظفات!$L$5:$L$304,MATCH(B61,الموظفات!$B$5:$B$304,0)))</f>
        <v/>
      </c>
      <c r="K61" s="36">
        <f>IF(24&gt;$B$10,"",24)</f>
        <v/>
      </c>
      <c r="L61" s="37">
        <f>IF($K61="","",INDEX('سجل التحفيز'!$A$5:$A$2004,MATCH($K61,'سجل التحفيز'!$AA$5:$AA$2004,0)))</f>
        <v/>
      </c>
      <c r="M61" s="9">
        <f>IF($K61="","",INDEX('سجل التحفيز'!$B$5:$B$2004,MATCH($K61,'سجل التحفيز'!$AA$5:$AA$2004,0)))</f>
        <v/>
      </c>
      <c r="N61" s="9">
        <f>IF($K61="","",INDEX('سجل التحفيز'!$M$5:$M$2004,MATCH($K61,'سجل التحفيز'!$AA$5:$AA$2004,0)))</f>
        <v/>
      </c>
      <c r="O61" s="9">
        <f>IF($K61="","",INDEX('سجل التحفيز'!$C$5:$C$2004,MATCH($K61,'سجل التحفيز'!$AA$5:$AA$2004,0)))</f>
        <v/>
      </c>
      <c r="P61" s="36">
        <f>IF($K61="","",INDEX('سجل التحفيز'!$D$5:$D$2004,MATCH($K61,'سجل التحفيز'!$AA$5:$AA$2004,0)))</f>
        <v/>
      </c>
      <c r="Q61" s="9">
        <f>IF($K61="","",INDEX('سجل التحفيز'!$E$5:$E$2004,MATCH($K61,'سجل التحفيز'!$AA$5:$AA$2004,0)))</f>
        <v/>
      </c>
      <c r="R61" s="9">
        <f>IF($K61="","",INDEX('سجل التحفيز'!$F$5:$F$2004,MATCH($K61,'سجل التحفيز'!$AA$5:$AA$2004,0)))</f>
        <v/>
      </c>
      <c r="S61" s="35">
        <f>IF($K61="","",INDEX('سجل التحفيز'!$G$5:$G$2004,MATCH($K61,'سجل التحفيز'!$AA$5:$AA$2004,0)))</f>
        <v/>
      </c>
    </row>
    <row r="62">
      <c r="B62" s="34">
        <f>IFERROR(INDEX(الموظفات!$B$5:$B$304,MATCH(25,الموظفات!$U$5:$U$304,0)),"")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التحفيز'!$AA$5:$AA$2004,"&gt;0",'سجل التحفيز'!$B$5:$B$2004,B62))</f>
        <v/>
      </c>
      <c r="E62" s="35">
        <f>IF(B62="","",COUNTIFS('سجل التحفيز'!$AA$5:$AA$2004,"&gt;0",'سجل التحفيز'!$B$5:$B$2004,B62,'سجل التحفيز'!$D$5:$D$2004,"ذهبي"))</f>
        <v/>
      </c>
      <c r="F62" s="35">
        <f>IF(B62="","",SUMIFS('سجل التحفيز'!$G$5:$G$2004,'سجل التحفيز'!$AA$5:$AA$2004,"&gt;0",'سجل التحفيز'!$B$5:$B$2004,B62))</f>
        <v/>
      </c>
      <c r="G62" s="35">
        <f>IF(B62="","",COUNTIF($D$38:$D$187,"&gt;"&amp;D62)+1)</f>
        <v/>
      </c>
      <c r="H62" s="35">
        <f>IF(B62="","",INDEX(الموظفات!$L$5:$L$304,MATCH(B62,الموظفات!$B$5:$B$304,0)))</f>
        <v/>
      </c>
      <c r="K62" s="36">
        <f>IF(25&gt;$B$10,"",25)</f>
        <v/>
      </c>
      <c r="L62" s="37">
        <f>IF($K62="","",INDEX('سجل التحفيز'!$A$5:$A$2004,MATCH($K62,'سجل التحفيز'!$AA$5:$AA$2004,0)))</f>
        <v/>
      </c>
      <c r="M62" s="9">
        <f>IF($K62="","",INDEX('سجل التحفيز'!$B$5:$B$2004,MATCH($K62,'سجل التحفيز'!$AA$5:$AA$2004,0)))</f>
        <v/>
      </c>
      <c r="N62" s="9">
        <f>IF($K62="","",INDEX('سجل التحفيز'!$M$5:$M$2004,MATCH($K62,'سجل التحفيز'!$AA$5:$AA$2004,0)))</f>
        <v/>
      </c>
      <c r="O62" s="9">
        <f>IF($K62="","",INDEX('سجل التحفيز'!$C$5:$C$2004,MATCH($K62,'سجل التحفيز'!$AA$5:$AA$2004,0)))</f>
        <v/>
      </c>
      <c r="P62" s="36">
        <f>IF($K62="","",INDEX('سجل التحفيز'!$D$5:$D$2004,MATCH($K62,'سجل التحفيز'!$AA$5:$AA$2004,0)))</f>
        <v/>
      </c>
      <c r="Q62" s="9">
        <f>IF($K62="","",INDEX('سجل التحفيز'!$E$5:$E$2004,MATCH($K62,'سجل التحفيز'!$AA$5:$AA$2004,0)))</f>
        <v/>
      </c>
      <c r="R62" s="9">
        <f>IF($K62="","",INDEX('سجل التحفيز'!$F$5:$F$2004,MATCH($K62,'سجل التحفيز'!$AA$5:$AA$2004,0)))</f>
        <v/>
      </c>
      <c r="S62" s="35">
        <f>IF($K62="","",INDEX('سجل التحفيز'!$G$5:$G$2004,MATCH($K62,'سجل التحفيز'!$AA$5:$AA$2004,0)))</f>
        <v/>
      </c>
    </row>
    <row r="63">
      <c r="B63" s="34">
        <f>IFERROR(INDEX(الموظفات!$B$5:$B$304,MATCH(26,الموظفات!$U$5:$U$304,0)),"")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التحفيز'!$AA$5:$AA$2004,"&gt;0",'سجل التحفيز'!$B$5:$B$2004,B63))</f>
        <v/>
      </c>
      <c r="E63" s="35">
        <f>IF(B63="","",COUNTIFS('سجل التحفيز'!$AA$5:$AA$2004,"&gt;0",'سجل التحفيز'!$B$5:$B$2004,B63,'سجل التحفيز'!$D$5:$D$2004,"ذهبي"))</f>
        <v/>
      </c>
      <c r="F63" s="35">
        <f>IF(B63="","",SUMIFS('سجل التحفيز'!$G$5:$G$2004,'سجل التحفيز'!$AA$5:$AA$2004,"&gt;0",'سجل التحفيز'!$B$5:$B$2004,B63))</f>
        <v/>
      </c>
      <c r="G63" s="35">
        <f>IF(B63="","",COUNTIF($D$38:$D$187,"&gt;"&amp;D63)+1)</f>
        <v/>
      </c>
      <c r="H63" s="35">
        <f>IF(B63="","",INDEX(الموظفات!$L$5:$L$304,MATCH(B63,الموظفات!$B$5:$B$304,0)))</f>
        <v/>
      </c>
      <c r="K63" s="36">
        <f>IF(26&gt;$B$10,"",26)</f>
        <v/>
      </c>
      <c r="L63" s="37">
        <f>IF($K63="","",INDEX('سجل التحفيز'!$A$5:$A$2004,MATCH($K63,'سجل التحفيز'!$AA$5:$AA$2004,0)))</f>
        <v/>
      </c>
      <c r="M63" s="9">
        <f>IF($K63="","",INDEX('سجل التحفيز'!$B$5:$B$2004,MATCH($K63,'سجل التحفيز'!$AA$5:$AA$2004,0)))</f>
        <v/>
      </c>
      <c r="N63" s="9">
        <f>IF($K63="","",INDEX('سجل التحفيز'!$M$5:$M$2004,MATCH($K63,'سجل التحفيز'!$AA$5:$AA$2004,0)))</f>
        <v/>
      </c>
      <c r="O63" s="9">
        <f>IF($K63="","",INDEX('سجل التحفيز'!$C$5:$C$2004,MATCH($K63,'سجل التحفيز'!$AA$5:$AA$2004,0)))</f>
        <v/>
      </c>
      <c r="P63" s="36">
        <f>IF($K63="","",INDEX('سجل التحفيز'!$D$5:$D$2004,MATCH($K63,'سجل التحفيز'!$AA$5:$AA$2004,0)))</f>
        <v/>
      </c>
      <c r="Q63" s="9">
        <f>IF($K63="","",INDEX('سجل التحفيز'!$E$5:$E$2004,MATCH($K63,'سجل التحفيز'!$AA$5:$AA$2004,0)))</f>
        <v/>
      </c>
      <c r="R63" s="9">
        <f>IF($K63="","",INDEX('سجل التحفيز'!$F$5:$F$2004,MATCH($K63,'سجل التحفيز'!$AA$5:$AA$2004,0)))</f>
        <v/>
      </c>
      <c r="S63" s="35">
        <f>IF($K63="","",INDEX('سجل التحفيز'!$G$5:$G$2004,MATCH($K63,'سجل التحفيز'!$AA$5:$AA$2004,0)))</f>
        <v/>
      </c>
    </row>
    <row r="64">
      <c r="B64" s="34">
        <f>IFERROR(INDEX(الموظفات!$B$5:$B$304,MATCH(27,الموظفات!$U$5:$U$304,0)),"")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التحفيز'!$AA$5:$AA$2004,"&gt;0",'سجل التحفيز'!$B$5:$B$2004,B64))</f>
        <v/>
      </c>
      <c r="E64" s="35">
        <f>IF(B64="","",COUNTIFS('سجل التحفيز'!$AA$5:$AA$2004,"&gt;0",'سجل التحفيز'!$B$5:$B$2004,B64,'سجل التحفيز'!$D$5:$D$2004,"ذهبي"))</f>
        <v/>
      </c>
      <c r="F64" s="35">
        <f>IF(B64="","",SUMIFS('سجل التحفيز'!$G$5:$G$2004,'سجل التحفيز'!$AA$5:$AA$2004,"&gt;0",'سجل التحفيز'!$B$5:$B$2004,B64))</f>
        <v/>
      </c>
      <c r="G64" s="35">
        <f>IF(B64="","",COUNTIF($D$38:$D$187,"&gt;"&amp;D64)+1)</f>
        <v/>
      </c>
      <c r="H64" s="35">
        <f>IF(B64="","",INDEX(الموظفات!$L$5:$L$304,MATCH(B64,الموظفات!$B$5:$B$304,0)))</f>
        <v/>
      </c>
      <c r="K64" s="36">
        <f>IF(27&gt;$B$10,"",27)</f>
        <v/>
      </c>
      <c r="L64" s="37">
        <f>IF($K64="","",INDEX('سجل التحفيز'!$A$5:$A$2004,MATCH($K64,'سجل التحفيز'!$AA$5:$AA$2004,0)))</f>
        <v/>
      </c>
      <c r="M64" s="9">
        <f>IF($K64="","",INDEX('سجل التحفيز'!$B$5:$B$2004,MATCH($K64,'سجل التحفيز'!$AA$5:$AA$2004,0)))</f>
        <v/>
      </c>
      <c r="N64" s="9">
        <f>IF($K64="","",INDEX('سجل التحفيز'!$M$5:$M$2004,MATCH($K64,'سجل التحفيز'!$AA$5:$AA$2004,0)))</f>
        <v/>
      </c>
      <c r="O64" s="9">
        <f>IF($K64="","",INDEX('سجل التحفيز'!$C$5:$C$2004,MATCH($K64,'سجل التحفيز'!$AA$5:$AA$2004,0)))</f>
        <v/>
      </c>
      <c r="P64" s="36">
        <f>IF($K64="","",INDEX('سجل التحفيز'!$D$5:$D$2004,MATCH($K64,'سجل التحفيز'!$AA$5:$AA$2004,0)))</f>
        <v/>
      </c>
      <c r="Q64" s="9">
        <f>IF($K64="","",INDEX('سجل التحفيز'!$E$5:$E$2004,MATCH($K64,'سجل التحفيز'!$AA$5:$AA$2004,0)))</f>
        <v/>
      </c>
      <c r="R64" s="9">
        <f>IF($K64="","",INDEX('سجل التحفيز'!$F$5:$F$2004,MATCH($K64,'سجل التحفيز'!$AA$5:$AA$2004,0)))</f>
        <v/>
      </c>
      <c r="S64" s="35">
        <f>IF($K64="","",INDEX('سجل التحفيز'!$G$5:$G$2004,MATCH($K64,'سجل التحفيز'!$AA$5:$AA$2004,0)))</f>
        <v/>
      </c>
    </row>
    <row r="65">
      <c r="B65" s="34">
        <f>IFERROR(INDEX(الموظفات!$B$5:$B$304,MATCH(28,الموظفات!$U$5:$U$304,0)),"")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التحفيز'!$AA$5:$AA$2004,"&gt;0",'سجل التحفيز'!$B$5:$B$2004,B65))</f>
        <v/>
      </c>
      <c r="E65" s="35">
        <f>IF(B65="","",COUNTIFS('سجل التحفيز'!$AA$5:$AA$2004,"&gt;0",'سجل التحفيز'!$B$5:$B$2004,B65,'سجل التحفيز'!$D$5:$D$2004,"ذهبي"))</f>
        <v/>
      </c>
      <c r="F65" s="35">
        <f>IF(B65="","",SUMIFS('سجل التحفيز'!$G$5:$G$2004,'سجل التحفيز'!$AA$5:$AA$2004,"&gt;0",'سجل التحفيز'!$B$5:$B$2004,B65))</f>
        <v/>
      </c>
      <c r="G65" s="35">
        <f>IF(B65="","",COUNTIF($D$38:$D$187,"&gt;"&amp;D65)+1)</f>
        <v/>
      </c>
      <c r="H65" s="35">
        <f>IF(B65="","",INDEX(الموظفات!$L$5:$L$304,MATCH(B65,الموظفات!$B$5:$B$304,0)))</f>
        <v/>
      </c>
      <c r="K65" s="36">
        <f>IF(28&gt;$B$10,"",28)</f>
        <v/>
      </c>
      <c r="L65" s="37">
        <f>IF($K65="","",INDEX('سجل التحفيز'!$A$5:$A$2004,MATCH($K65,'سجل التحفيز'!$AA$5:$AA$2004,0)))</f>
        <v/>
      </c>
      <c r="M65" s="9">
        <f>IF($K65="","",INDEX('سجل التحفيز'!$B$5:$B$2004,MATCH($K65,'سجل التحفيز'!$AA$5:$AA$2004,0)))</f>
        <v/>
      </c>
      <c r="N65" s="9">
        <f>IF($K65="","",INDEX('سجل التحفيز'!$M$5:$M$2004,MATCH($K65,'سجل التحفيز'!$AA$5:$AA$2004,0)))</f>
        <v/>
      </c>
      <c r="O65" s="9">
        <f>IF($K65="","",INDEX('سجل التحفيز'!$C$5:$C$2004,MATCH($K65,'سجل التحفيز'!$AA$5:$AA$2004,0)))</f>
        <v/>
      </c>
      <c r="P65" s="36">
        <f>IF($K65="","",INDEX('سجل التحفيز'!$D$5:$D$2004,MATCH($K65,'سجل التحفيز'!$AA$5:$AA$2004,0)))</f>
        <v/>
      </c>
      <c r="Q65" s="9">
        <f>IF($K65="","",INDEX('سجل التحفيز'!$E$5:$E$2004,MATCH($K65,'سجل التحفيز'!$AA$5:$AA$2004,0)))</f>
        <v/>
      </c>
      <c r="R65" s="9">
        <f>IF($K65="","",INDEX('سجل التحفيز'!$F$5:$F$2004,MATCH($K65,'سجل التحفيز'!$AA$5:$AA$2004,0)))</f>
        <v/>
      </c>
      <c r="S65" s="35">
        <f>IF($K65="","",INDEX('سجل التحفيز'!$G$5:$G$2004,MATCH($K65,'سجل التحفيز'!$AA$5:$AA$2004,0)))</f>
        <v/>
      </c>
    </row>
    <row r="66">
      <c r="B66" s="34">
        <f>IFERROR(INDEX(الموظفات!$B$5:$B$304,MATCH(29,الموظفات!$U$5:$U$304,0)),"")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التحفيز'!$AA$5:$AA$2004,"&gt;0",'سجل التحفيز'!$B$5:$B$2004,B66))</f>
        <v/>
      </c>
      <c r="E66" s="35">
        <f>IF(B66="","",COUNTIFS('سجل التحفيز'!$AA$5:$AA$2004,"&gt;0",'سجل التحفيز'!$B$5:$B$2004,B66,'سجل التحفيز'!$D$5:$D$2004,"ذهبي"))</f>
        <v/>
      </c>
      <c r="F66" s="35">
        <f>IF(B66="","",SUMIFS('سجل التحفيز'!$G$5:$G$2004,'سجل التحفيز'!$AA$5:$AA$2004,"&gt;0",'سجل التحفيز'!$B$5:$B$2004,B66))</f>
        <v/>
      </c>
      <c r="G66" s="35">
        <f>IF(B66="","",COUNTIF($D$38:$D$187,"&gt;"&amp;D66)+1)</f>
        <v/>
      </c>
      <c r="H66" s="35">
        <f>IF(B66="","",INDEX(الموظفات!$L$5:$L$304,MATCH(B66,الموظفات!$B$5:$B$304,0)))</f>
        <v/>
      </c>
      <c r="K66" s="36">
        <f>IF(29&gt;$B$10,"",29)</f>
        <v/>
      </c>
      <c r="L66" s="37">
        <f>IF($K66="","",INDEX('سجل التحفيز'!$A$5:$A$2004,MATCH($K66,'سجل التحفيز'!$AA$5:$AA$2004,0)))</f>
        <v/>
      </c>
      <c r="M66" s="9">
        <f>IF($K66="","",INDEX('سجل التحفيز'!$B$5:$B$2004,MATCH($K66,'سجل التحفيز'!$AA$5:$AA$2004,0)))</f>
        <v/>
      </c>
      <c r="N66" s="9">
        <f>IF($K66="","",INDEX('سجل التحفيز'!$M$5:$M$2004,MATCH($K66,'سجل التحفيز'!$AA$5:$AA$2004,0)))</f>
        <v/>
      </c>
      <c r="O66" s="9">
        <f>IF($K66="","",INDEX('سجل التحفيز'!$C$5:$C$2004,MATCH($K66,'سجل التحفيز'!$AA$5:$AA$2004,0)))</f>
        <v/>
      </c>
      <c r="P66" s="36">
        <f>IF($K66="","",INDEX('سجل التحفيز'!$D$5:$D$2004,MATCH($K66,'سجل التحفيز'!$AA$5:$AA$2004,0)))</f>
        <v/>
      </c>
      <c r="Q66" s="9">
        <f>IF($K66="","",INDEX('سجل التحفيز'!$E$5:$E$2004,MATCH($K66,'سجل التحفيز'!$AA$5:$AA$2004,0)))</f>
        <v/>
      </c>
      <c r="R66" s="9">
        <f>IF($K66="","",INDEX('سجل التحفيز'!$F$5:$F$2004,MATCH($K66,'سجل التحفيز'!$AA$5:$AA$2004,0)))</f>
        <v/>
      </c>
      <c r="S66" s="35">
        <f>IF($K66="","",INDEX('سجل التحفيز'!$G$5:$G$2004,MATCH($K66,'سجل التحفيز'!$AA$5:$AA$2004,0)))</f>
        <v/>
      </c>
    </row>
    <row r="67">
      <c r="B67" s="34">
        <f>IFERROR(INDEX(الموظفات!$B$5:$B$304,MATCH(30,الموظفات!$U$5:$U$304,0)),"")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التحفيز'!$AA$5:$AA$2004,"&gt;0",'سجل التحفيز'!$B$5:$B$2004,B67))</f>
        <v/>
      </c>
      <c r="E67" s="35">
        <f>IF(B67="","",COUNTIFS('سجل التحفيز'!$AA$5:$AA$2004,"&gt;0",'سجل التحفيز'!$B$5:$B$2004,B67,'سجل التحفيز'!$D$5:$D$2004,"ذهبي"))</f>
        <v/>
      </c>
      <c r="F67" s="35">
        <f>IF(B67="","",SUMIFS('سجل التحفيز'!$G$5:$G$2004,'سجل التحفيز'!$AA$5:$AA$2004,"&gt;0",'سجل التحفيز'!$B$5:$B$2004,B67))</f>
        <v/>
      </c>
      <c r="G67" s="35">
        <f>IF(B67="","",COUNTIF($D$38:$D$187,"&gt;"&amp;D67)+1)</f>
        <v/>
      </c>
      <c r="H67" s="35">
        <f>IF(B67="","",INDEX(الموظفات!$L$5:$L$304,MATCH(B67,الموظفات!$B$5:$B$304,0)))</f>
        <v/>
      </c>
      <c r="K67" s="36">
        <f>IF(30&gt;$B$10,"",30)</f>
        <v/>
      </c>
      <c r="L67" s="37">
        <f>IF($K67="","",INDEX('سجل التحفيز'!$A$5:$A$2004,MATCH($K67,'سجل التحفيز'!$AA$5:$AA$2004,0)))</f>
        <v/>
      </c>
      <c r="M67" s="9">
        <f>IF($K67="","",INDEX('سجل التحفيز'!$B$5:$B$2004,MATCH($K67,'سجل التحفيز'!$AA$5:$AA$2004,0)))</f>
        <v/>
      </c>
      <c r="N67" s="9">
        <f>IF($K67="","",INDEX('سجل التحفيز'!$M$5:$M$2004,MATCH($K67,'سجل التحفيز'!$AA$5:$AA$2004,0)))</f>
        <v/>
      </c>
      <c r="O67" s="9">
        <f>IF($K67="","",INDEX('سجل التحفيز'!$C$5:$C$2004,MATCH($K67,'سجل التحفيز'!$AA$5:$AA$2004,0)))</f>
        <v/>
      </c>
      <c r="P67" s="36">
        <f>IF($K67="","",INDEX('سجل التحفيز'!$D$5:$D$2004,MATCH($K67,'سجل التحفيز'!$AA$5:$AA$2004,0)))</f>
        <v/>
      </c>
      <c r="Q67" s="9">
        <f>IF($K67="","",INDEX('سجل التحفيز'!$E$5:$E$2004,MATCH($K67,'سجل التحفيز'!$AA$5:$AA$2004,0)))</f>
        <v/>
      </c>
      <c r="R67" s="9">
        <f>IF($K67="","",INDEX('سجل التحفيز'!$F$5:$F$2004,MATCH($K67,'سجل التحفيز'!$AA$5:$AA$2004,0)))</f>
        <v/>
      </c>
      <c r="S67" s="35">
        <f>IF($K67="","",INDEX('سجل التحفيز'!$G$5:$G$2004,MATCH($K67,'سجل التحفيز'!$AA$5:$AA$2004,0)))</f>
        <v/>
      </c>
    </row>
    <row r="68">
      <c r="B68" s="34">
        <f>IFERROR(INDEX(الموظفات!$B$5:$B$304,MATCH(31,الموظفات!$U$5:$U$304,0)),"")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التحفيز'!$AA$5:$AA$2004,"&gt;0",'سجل التحفيز'!$B$5:$B$2004,B68))</f>
        <v/>
      </c>
      <c r="E68" s="35">
        <f>IF(B68="","",COUNTIFS('سجل التحفيز'!$AA$5:$AA$2004,"&gt;0",'سجل التحفيز'!$B$5:$B$2004,B68,'سجل التحفيز'!$D$5:$D$2004,"ذهبي"))</f>
        <v/>
      </c>
      <c r="F68" s="35">
        <f>IF(B68="","",SUMIFS('سجل التحفيز'!$G$5:$G$2004,'سجل التحفيز'!$AA$5:$AA$2004,"&gt;0",'سجل التحفيز'!$B$5:$B$2004,B68))</f>
        <v/>
      </c>
      <c r="G68" s="35">
        <f>IF(B68="","",COUNTIF($D$38:$D$187,"&gt;"&amp;D68)+1)</f>
        <v/>
      </c>
      <c r="H68" s="35">
        <f>IF(B68="","",INDEX(الموظفات!$L$5:$L$304,MATCH(B68,الموظفات!$B$5:$B$304,0)))</f>
        <v/>
      </c>
      <c r="K68" s="36">
        <f>IF(31&gt;$B$10,"",31)</f>
        <v/>
      </c>
      <c r="L68" s="37">
        <f>IF($K68="","",INDEX('سجل التحفيز'!$A$5:$A$2004,MATCH($K68,'سجل التحفيز'!$AA$5:$AA$2004,0)))</f>
        <v/>
      </c>
      <c r="M68" s="9">
        <f>IF($K68="","",INDEX('سجل التحفيز'!$B$5:$B$2004,MATCH($K68,'سجل التحفيز'!$AA$5:$AA$2004,0)))</f>
        <v/>
      </c>
      <c r="N68" s="9">
        <f>IF($K68="","",INDEX('سجل التحفيز'!$M$5:$M$2004,MATCH($K68,'سجل التحفيز'!$AA$5:$AA$2004,0)))</f>
        <v/>
      </c>
      <c r="O68" s="9">
        <f>IF($K68="","",INDEX('سجل التحفيز'!$C$5:$C$2004,MATCH($K68,'سجل التحفيز'!$AA$5:$AA$2004,0)))</f>
        <v/>
      </c>
      <c r="P68" s="36">
        <f>IF($K68="","",INDEX('سجل التحفيز'!$D$5:$D$2004,MATCH($K68,'سجل التحفيز'!$AA$5:$AA$2004,0)))</f>
        <v/>
      </c>
      <c r="Q68" s="9">
        <f>IF($K68="","",INDEX('سجل التحفيز'!$E$5:$E$2004,MATCH($K68,'سجل التحفيز'!$AA$5:$AA$2004,0)))</f>
        <v/>
      </c>
      <c r="R68" s="9">
        <f>IF($K68="","",INDEX('سجل التحفيز'!$F$5:$F$2004,MATCH($K68,'سجل التحفيز'!$AA$5:$AA$2004,0)))</f>
        <v/>
      </c>
      <c r="S68" s="35">
        <f>IF($K68="","",INDEX('سجل التحفيز'!$G$5:$G$2004,MATCH($K68,'سجل التحفيز'!$AA$5:$AA$2004,0)))</f>
        <v/>
      </c>
    </row>
    <row r="69">
      <c r="B69" s="34">
        <f>IFERROR(INDEX(الموظفات!$B$5:$B$304,MATCH(32,الموظفات!$U$5:$U$304,0)),"")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التحفيز'!$AA$5:$AA$2004,"&gt;0",'سجل التحفيز'!$B$5:$B$2004,B69))</f>
        <v/>
      </c>
      <c r="E69" s="35">
        <f>IF(B69="","",COUNTIFS('سجل التحفيز'!$AA$5:$AA$2004,"&gt;0",'سجل التحفيز'!$B$5:$B$2004,B69,'سجل التحفيز'!$D$5:$D$2004,"ذهبي"))</f>
        <v/>
      </c>
      <c r="F69" s="35">
        <f>IF(B69="","",SUMIFS('سجل التحفيز'!$G$5:$G$2004,'سجل التحفيز'!$AA$5:$AA$2004,"&gt;0",'سجل التحفيز'!$B$5:$B$2004,B69))</f>
        <v/>
      </c>
      <c r="G69" s="35">
        <f>IF(B69="","",COUNTIF($D$38:$D$187,"&gt;"&amp;D69)+1)</f>
        <v/>
      </c>
      <c r="H69" s="35">
        <f>IF(B69="","",INDEX(الموظفات!$L$5:$L$304,MATCH(B69,الموظفات!$B$5:$B$304,0)))</f>
        <v/>
      </c>
      <c r="K69" s="36">
        <f>IF(32&gt;$B$10,"",32)</f>
        <v/>
      </c>
      <c r="L69" s="37">
        <f>IF($K69="","",INDEX('سجل التحفيز'!$A$5:$A$2004,MATCH($K69,'سجل التحفيز'!$AA$5:$AA$2004,0)))</f>
        <v/>
      </c>
      <c r="M69" s="9">
        <f>IF($K69="","",INDEX('سجل التحفيز'!$B$5:$B$2004,MATCH($K69,'سجل التحفيز'!$AA$5:$AA$2004,0)))</f>
        <v/>
      </c>
      <c r="N69" s="9">
        <f>IF($K69="","",INDEX('سجل التحفيز'!$M$5:$M$2004,MATCH($K69,'سجل التحفيز'!$AA$5:$AA$2004,0)))</f>
        <v/>
      </c>
      <c r="O69" s="9">
        <f>IF($K69="","",INDEX('سجل التحفيز'!$C$5:$C$2004,MATCH($K69,'سجل التحفيز'!$AA$5:$AA$2004,0)))</f>
        <v/>
      </c>
      <c r="P69" s="36">
        <f>IF($K69="","",INDEX('سجل التحفيز'!$D$5:$D$2004,MATCH($K69,'سجل التحفيز'!$AA$5:$AA$2004,0)))</f>
        <v/>
      </c>
      <c r="Q69" s="9">
        <f>IF($K69="","",INDEX('سجل التحفيز'!$E$5:$E$2004,MATCH($K69,'سجل التحفيز'!$AA$5:$AA$2004,0)))</f>
        <v/>
      </c>
      <c r="R69" s="9">
        <f>IF($K69="","",INDEX('سجل التحفيز'!$F$5:$F$2004,MATCH($K69,'سجل التحفيز'!$AA$5:$AA$2004,0)))</f>
        <v/>
      </c>
      <c r="S69" s="35">
        <f>IF($K69="","",INDEX('سجل التحفيز'!$G$5:$G$2004,MATCH($K69,'سجل التحفيز'!$AA$5:$AA$2004,0)))</f>
        <v/>
      </c>
    </row>
    <row r="70">
      <c r="B70" s="34">
        <f>IFERROR(INDEX(الموظفات!$B$5:$B$304,MATCH(33,الموظفات!$U$5:$U$304,0)),"")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التحفيز'!$AA$5:$AA$2004,"&gt;0",'سجل التحفيز'!$B$5:$B$2004,B70))</f>
        <v/>
      </c>
      <c r="E70" s="35">
        <f>IF(B70="","",COUNTIFS('سجل التحفيز'!$AA$5:$AA$2004,"&gt;0",'سجل التحفيز'!$B$5:$B$2004,B70,'سجل التحفيز'!$D$5:$D$2004,"ذهبي"))</f>
        <v/>
      </c>
      <c r="F70" s="35">
        <f>IF(B70="","",SUMIFS('سجل التحفيز'!$G$5:$G$2004,'سجل التحفيز'!$AA$5:$AA$2004,"&gt;0",'سجل التحفيز'!$B$5:$B$2004,B70))</f>
        <v/>
      </c>
      <c r="G70" s="35">
        <f>IF(B70="","",COUNTIF($D$38:$D$187,"&gt;"&amp;D70)+1)</f>
        <v/>
      </c>
      <c r="H70" s="35">
        <f>IF(B70="","",INDEX(الموظفات!$L$5:$L$304,MATCH(B70,الموظفات!$B$5:$B$304,0)))</f>
        <v/>
      </c>
      <c r="K70" s="36">
        <f>IF(33&gt;$B$10,"",33)</f>
        <v/>
      </c>
      <c r="L70" s="37">
        <f>IF($K70="","",INDEX('سجل التحفيز'!$A$5:$A$2004,MATCH($K70,'سجل التحفيز'!$AA$5:$AA$2004,0)))</f>
        <v/>
      </c>
      <c r="M70" s="9">
        <f>IF($K70="","",INDEX('سجل التحفيز'!$B$5:$B$2004,MATCH($K70,'سجل التحفيز'!$AA$5:$AA$2004,0)))</f>
        <v/>
      </c>
      <c r="N70" s="9">
        <f>IF($K70="","",INDEX('سجل التحفيز'!$M$5:$M$2004,MATCH($K70,'سجل التحفيز'!$AA$5:$AA$2004,0)))</f>
        <v/>
      </c>
      <c r="O70" s="9">
        <f>IF($K70="","",INDEX('سجل التحفيز'!$C$5:$C$2004,MATCH($K70,'سجل التحفيز'!$AA$5:$AA$2004,0)))</f>
        <v/>
      </c>
      <c r="P70" s="36">
        <f>IF($K70="","",INDEX('سجل التحفيز'!$D$5:$D$2004,MATCH($K70,'سجل التحفيز'!$AA$5:$AA$2004,0)))</f>
        <v/>
      </c>
      <c r="Q70" s="9">
        <f>IF($K70="","",INDEX('سجل التحفيز'!$E$5:$E$2004,MATCH($K70,'سجل التحفيز'!$AA$5:$AA$2004,0)))</f>
        <v/>
      </c>
      <c r="R70" s="9">
        <f>IF($K70="","",INDEX('سجل التحفيز'!$F$5:$F$2004,MATCH($K70,'سجل التحفيز'!$AA$5:$AA$2004,0)))</f>
        <v/>
      </c>
      <c r="S70" s="35">
        <f>IF($K70="","",INDEX('سجل التحفيز'!$G$5:$G$2004,MATCH($K70,'سجل التحفيز'!$AA$5:$AA$2004,0)))</f>
        <v/>
      </c>
    </row>
    <row r="71">
      <c r="B71" s="34">
        <f>IFERROR(INDEX(الموظفات!$B$5:$B$304,MATCH(34,الموظفات!$U$5:$U$304,0)),"")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التحفيز'!$AA$5:$AA$2004,"&gt;0",'سجل التحفيز'!$B$5:$B$2004,B71))</f>
        <v/>
      </c>
      <c r="E71" s="35">
        <f>IF(B71="","",COUNTIFS('سجل التحفيز'!$AA$5:$AA$2004,"&gt;0",'سجل التحفيز'!$B$5:$B$2004,B71,'سجل التحفيز'!$D$5:$D$2004,"ذهبي"))</f>
        <v/>
      </c>
      <c r="F71" s="35">
        <f>IF(B71="","",SUMIFS('سجل التحفيز'!$G$5:$G$2004,'سجل التحفيز'!$AA$5:$AA$2004,"&gt;0",'سجل التحفيز'!$B$5:$B$2004,B71))</f>
        <v/>
      </c>
      <c r="G71" s="35">
        <f>IF(B71="","",COUNTIF($D$38:$D$187,"&gt;"&amp;D71)+1)</f>
        <v/>
      </c>
      <c r="H71" s="35">
        <f>IF(B71="","",INDEX(الموظفات!$L$5:$L$304,MATCH(B71,الموظفات!$B$5:$B$304,0)))</f>
        <v/>
      </c>
      <c r="K71" s="36">
        <f>IF(34&gt;$B$10,"",34)</f>
        <v/>
      </c>
      <c r="L71" s="37">
        <f>IF($K71="","",INDEX('سجل التحفيز'!$A$5:$A$2004,MATCH($K71,'سجل التحفيز'!$AA$5:$AA$2004,0)))</f>
        <v/>
      </c>
      <c r="M71" s="9">
        <f>IF($K71="","",INDEX('سجل التحفيز'!$B$5:$B$2004,MATCH($K71,'سجل التحفيز'!$AA$5:$AA$2004,0)))</f>
        <v/>
      </c>
      <c r="N71" s="9">
        <f>IF($K71="","",INDEX('سجل التحفيز'!$M$5:$M$2004,MATCH($K71,'سجل التحفيز'!$AA$5:$AA$2004,0)))</f>
        <v/>
      </c>
      <c r="O71" s="9">
        <f>IF($K71="","",INDEX('سجل التحفيز'!$C$5:$C$2004,MATCH($K71,'سجل التحفيز'!$AA$5:$AA$2004,0)))</f>
        <v/>
      </c>
      <c r="P71" s="36">
        <f>IF($K71="","",INDEX('سجل التحفيز'!$D$5:$D$2004,MATCH($K71,'سجل التحفيز'!$AA$5:$AA$2004,0)))</f>
        <v/>
      </c>
      <c r="Q71" s="9">
        <f>IF($K71="","",INDEX('سجل التحفيز'!$E$5:$E$2004,MATCH($K71,'سجل التحفيز'!$AA$5:$AA$2004,0)))</f>
        <v/>
      </c>
      <c r="R71" s="9">
        <f>IF($K71="","",INDEX('سجل التحفيز'!$F$5:$F$2004,MATCH($K71,'سجل التحفيز'!$AA$5:$AA$2004,0)))</f>
        <v/>
      </c>
      <c r="S71" s="35">
        <f>IF($K71="","",INDEX('سجل التحفيز'!$G$5:$G$2004,MATCH($K71,'سجل التحفيز'!$AA$5:$AA$2004,0)))</f>
        <v/>
      </c>
    </row>
    <row r="72">
      <c r="B72" s="34">
        <f>IFERROR(INDEX(الموظفات!$B$5:$B$304,MATCH(35,الموظفات!$U$5:$U$304,0)),"")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التحفيز'!$AA$5:$AA$2004,"&gt;0",'سجل التحفيز'!$B$5:$B$2004,B72))</f>
        <v/>
      </c>
      <c r="E72" s="35">
        <f>IF(B72="","",COUNTIFS('سجل التحفيز'!$AA$5:$AA$2004,"&gt;0",'سجل التحفيز'!$B$5:$B$2004,B72,'سجل التحفيز'!$D$5:$D$2004,"ذهبي"))</f>
        <v/>
      </c>
      <c r="F72" s="35">
        <f>IF(B72="","",SUMIFS('سجل التحفيز'!$G$5:$G$2004,'سجل التحفيز'!$AA$5:$AA$2004,"&gt;0",'سجل التحفيز'!$B$5:$B$2004,B72))</f>
        <v/>
      </c>
      <c r="G72" s="35">
        <f>IF(B72="","",COUNTIF($D$38:$D$187,"&gt;"&amp;D72)+1)</f>
        <v/>
      </c>
      <c r="H72" s="35">
        <f>IF(B72="","",INDEX(الموظفات!$L$5:$L$304,MATCH(B72,الموظفات!$B$5:$B$304,0)))</f>
        <v/>
      </c>
      <c r="K72" s="36">
        <f>IF(35&gt;$B$10,"",35)</f>
        <v/>
      </c>
      <c r="L72" s="37">
        <f>IF($K72="","",INDEX('سجل التحفيز'!$A$5:$A$2004,MATCH($K72,'سجل التحفيز'!$AA$5:$AA$2004,0)))</f>
        <v/>
      </c>
      <c r="M72" s="9">
        <f>IF($K72="","",INDEX('سجل التحفيز'!$B$5:$B$2004,MATCH($K72,'سجل التحفيز'!$AA$5:$AA$2004,0)))</f>
        <v/>
      </c>
      <c r="N72" s="9">
        <f>IF($K72="","",INDEX('سجل التحفيز'!$M$5:$M$2004,MATCH($K72,'سجل التحفيز'!$AA$5:$AA$2004,0)))</f>
        <v/>
      </c>
      <c r="O72" s="9">
        <f>IF($K72="","",INDEX('سجل التحفيز'!$C$5:$C$2004,MATCH($K72,'سجل التحفيز'!$AA$5:$AA$2004,0)))</f>
        <v/>
      </c>
      <c r="P72" s="36">
        <f>IF($K72="","",INDEX('سجل التحفيز'!$D$5:$D$2004,MATCH($K72,'سجل التحفيز'!$AA$5:$AA$2004,0)))</f>
        <v/>
      </c>
      <c r="Q72" s="9">
        <f>IF($K72="","",INDEX('سجل التحفيز'!$E$5:$E$2004,MATCH($K72,'سجل التحفيز'!$AA$5:$AA$2004,0)))</f>
        <v/>
      </c>
      <c r="R72" s="9">
        <f>IF($K72="","",INDEX('سجل التحفيز'!$F$5:$F$2004,MATCH($K72,'سجل التحفيز'!$AA$5:$AA$2004,0)))</f>
        <v/>
      </c>
      <c r="S72" s="35">
        <f>IF($K72="","",INDEX('سجل التحفيز'!$G$5:$G$2004,MATCH($K72,'سجل التحفيز'!$AA$5:$AA$2004,0)))</f>
        <v/>
      </c>
    </row>
    <row r="73">
      <c r="B73" s="34">
        <f>IFERROR(INDEX(الموظفات!$B$5:$B$304,MATCH(36,الموظفات!$U$5:$U$304,0)),"")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التحفيز'!$AA$5:$AA$2004,"&gt;0",'سجل التحفيز'!$B$5:$B$2004,B73))</f>
        <v/>
      </c>
      <c r="E73" s="35">
        <f>IF(B73="","",COUNTIFS('سجل التحفيز'!$AA$5:$AA$2004,"&gt;0",'سجل التحفيز'!$B$5:$B$2004,B73,'سجل التحفيز'!$D$5:$D$2004,"ذهبي"))</f>
        <v/>
      </c>
      <c r="F73" s="35">
        <f>IF(B73="","",SUMIFS('سجل التحفيز'!$G$5:$G$2004,'سجل التحفيز'!$AA$5:$AA$2004,"&gt;0",'سجل التحفيز'!$B$5:$B$2004,B73))</f>
        <v/>
      </c>
      <c r="G73" s="35">
        <f>IF(B73="","",COUNTIF($D$38:$D$187,"&gt;"&amp;D73)+1)</f>
        <v/>
      </c>
      <c r="H73" s="35">
        <f>IF(B73="","",INDEX(الموظفات!$L$5:$L$304,MATCH(B73,الموظفات!$B$5:$B$304,0)))</f>
        <v/>
      </c>
      <c r="K73" s="36">
        <f>IF(36&gt;$B$10,"",36)</f>
        <v/>
      </c>
      <c r="L73" s="37">
        <f>IF($K73="","",INDEX('سجل التحفيز'!$A$5:$A$2004,MATCH($K73,'سجل التحفيز'!$AA$5:$AA$2004,0)))</f>
        <v/>
      </c>
      <c r="M73" s="9">
        <f>IF($K73="","",INDEX('سجل التحفيز'!$B$5:$B$2004,MATCH($K73,'سجل التحفيز'!$AA$5:$AA$2004,0)))</f>
        <v/>
      </c>
      <c r="N73" s="9">
        <f>IF($K73="","",INDEX('سجل التحفيز'!$M$5:$M$2004,MATCH($K73,'سجل التحفيز'!$AA$5:$AA$2004,0)))</f>
        <v/>
      </c>
      <c r="O73" s="9">
        <f>IF($K73="","",INDEX('سجل التحفيز'!$C$5:$C$2004,MATCH($K73,'سجل التحفيز'!$AA$5:$AA$2004,0)))</f>
        <v/>
      </c>
      <c r="P73" s="36">
        <f>IF($K73="","",INDEX('سجل التحفيز'!$D$5:$D$2004,MATCH($K73,'سجل التحفيز'!$AA$5:$AA$2004,0)))</f>
        <v/>
      </c>
      <c r="Q73" s="9">
        <f>IF($K73="","",INDEX('سجل التحفيز'!$E$5:$E$2004,MATCH($K73,'سجل التحفيز'!$AA$5:$AA$2004,0)))</f>
        <v/>
      </c>
      <c r="R73" s="9">
        <f>IF($K73="","",INDEX('سجل التحفيز'!$F$5:$F$2004,MATCH($K73,'سجل التحفيز'!$AA$5:$AA$2004,0)))</f>
        <v/>
      </c>
      <c r="S73" s="35">
        <f>IF($K73="","",INDEX('سجل التحفيز'!$G$5:$G$2004,MATCH($K73,'سجل التحفيز'!$AA$5:$AA$2004,0)))</f>
        <v/>
      </c>
    </row>
    <row r="74">
      <c r="B74" s="34">
        <f>IFERROR(INDEX(الموظفات!$B$5:$B$304,MATCH(37,الموظفات!$U$5:$U$304,0)),"")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التحفيز'!$AA$5:$AA$2004,"&gt;0",'سجل التحفيز'!$B$5:$B$2004,B74))</f>
        <v/>
      </c>
      <c r="E74" s="35">
        <f>IF(B74="","",COUNTIFS('سجل التحفيز'!$AA$5:$AA$2004,"&gt;0",'سجل التحفيز'!$B$5:$B$2004,B74,'سجل التحفيز'!$D$5:$D$2004,"ذهبي"))</f>
        <v/>
      </c>
      <c r="F74" s="35">
        <f>IF(B74="","",SUMIFS('سجل التحفيز'!$G$5:$G$2004,'سجل التحفيز'!$AA$5:$AA$2004,"&gt;0",'سجل التحفيز'!$B$5:$B$2004,B74))</f>
        <v/>
      </c>
      <c r="G74" s="35">
        <f>IF(B74="","",COUNTIF($D$38:$D$187,"&gt;"&amp;D74)+1)</f>
        <v/>
      </c>
      <c r="H74" s="35">
        <f>IF(B74="","",INDEX(الموظفات!$L$5:$L$304,MATCH(B74,الموظفات!$B$5:$B$304,0)))</f>
        <v/>
      </c>
      <c r="K74" s="36">
        <f>IF(37&gt;$B$10,"",37)</f>
        <v/>
      </c>
      <c r="L74" s="37">
        <f>IF($K74="","",INDEX('سجل التحفيز'!$A$5:$A$2004,MATCH($K74,'سجل التحفيز'!$AA$5:$AA$2004,0)))</f>
        <v/>
      </c>
      <c r="M74" s="9">
        <f>IF($K74="","",INDEX('سجل التحفيز'!$B$5:$B$2004,MATCH($K74,'سجل التحفيز'!$AA$5:$AA$2004,0)))</f>
        <v/>
      </c>
      <c r="N74" s="9">
        <f>IF($K74="","",INDEX('سجل التحفيز'!$M$5:$M$2004,MATCH($K74,'سجل التحفيز'!$AA$5:$AA$2004,0)))</f>
        <v/>
      </c>
      <c r="O74" s="9">
        <f>IF($K74="","",INDEX('سجل التحفيز'!$C$5:$C$2004,MATCH($K74,'سجل التحفيز'!$AA$5:$AA$2004,0)))</f>
        <v/>
      </c>
      <c r="P74" s="36">
        <f>IF($K74="","",INDEX('سجل التحفيز'!$D$5:$D$2004,MATCH($K74,'سجل التحفيز'!$AA$5:$AA$2004,0)))</f>
        <v/>
      </c>
      <c r="Q74" s="9">
        <f>IF($K74="","",INDEX('سجل التحفيز'!$E$5:$E$2004,MATCH($K74,'سجل التحفيز'!$AA$5:$AA$2004,0)))</f>
        <v/>
      </c>
      <c r="R74" s="9">
        <f>IF($K74="","",INDEX('سجل التحفيز'!$F$5:$F$2004,MATCH($K74,'سجل التحفيز'!$AA$5:$AA$2004,0)))</f>
        <v/>
      </c>
      <c r="S74" s="35">
        <f>IF($K74="","",INDEX('سجل التحفيز'!$G$5:$G$2004,MATCH($K74,'سجل التحفيز'!$AA$5:$AA$2004,0)))</f>
        <v/>
      </c>
    </row>
    <row r="75">
      <c r="B75" s="34">
        <f>IFERROR(INDEX(الموظفات!$B$5:$B$304,MATCH(38,الموظفات!$U$5:$U$304,0)),"")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التحفيز'!$AA$5:$AA$2004,"&gt;0",'سجل التحفيز'!$B$5:$B$2004,B75))</f>
        <v/>
      </c>
      <c r="E75" s="35">
        <f>IF(B75="","",COUNTIFS('سجل التحفيز'!$AA$5:$AA$2004,"&gt;0",'سجل التحفيز'!$B$5:$B$2004,B75,'سجل التحفيز'!$D$5:$D$2004,"ذهبي"))</f>
        <v/>
      </c>
      <c r="F75" s="35">
        <f>IF(B75="","",SUMIFS('سجل التحفيز'!$G$5:$G$2004,'سجل التحفيز'!$AA$5:$AA$2004,"&gt;0",'سجل التحفيز'!$B$5:$B$2004,B75))</f>
        <v/>
      </c>
      <c r="G75" s="35">
        <f>IF(B75="","",COUNTIF($D$38:$D$187,"&gt;"&amp;D75)+1)</f>
        <v/>
      </c>
      <c r="H75" s="35">
        <f>IF(B75="","",INDEX(الموظفات!$L$5:$L$304,MATCH(B75,الموظفات!$B$5:$B$304,0)))</f>
        <v/>
      </c>
      <c r="K75" s="36">
        <f>IF(38&gt;$B$10,"",38)</f>
        <v/>
      </c>
      <c r="L75" s="37">
        <f>IF($K75="","",INDEX('سجل التحفيز'!$A$5:$A$2004,MATCH($K75,'سجل التحفيز'!$AA$5:$AA$2004,0)))</f>
        <v/>
      </c>
      <c r="M75" s="9">
        <f>IF($K75="","",INDEX('سجل التحفيز'!$B$5:$B$2004,MATCH($K75,'سجل التحفيز'!$AA$5:$AA$2004,0)))</f>
        <v/>
      </c>
      <c r="N75" s="9">
        <f>IF($K75="","",INDEX('سجل التحفيز'!$M$5:$M$2004,MATCH($K75,'سجل التحفيز'!$AA$5:$AA$2004,0)))</f>
        <v/>
      </c>
      <c r="O75" s="9">
        <f>IF($K75="","",INDEX('سجل التحفيز'!$C$5:$C$2004,MATCH($K75,'سجل التحفيز'!$AA$5:$AA$2004,0)))</f>
        <v/>
      </c>
      <c r="P75" s="36">
        <f>IF($K75="","",INDEX('سجل التحفيز'!$D$5:$D$2004,MATCH($K75,'سجل التحفيز'!$AA$5:$AA$2004,0)))</f>
        <v/>
      </c>
      <c r="Q75" s="9">
        <f>IF($K75="","",INDEX('سجل التحفيز'!$E$5:$E$2004,MATCH($K75,'سجل التحفيز'!$AA$5:$AA$2004,0)))</f>
        <v/>
      </c>
      <c r="R75" s="9">
        <f>IF($K75="","",INDEX('سجل التحفيز'!$F$5:$F$2004,MATCH($K75,'سجل التحفيز'!$AA$5:$AA$2004,0)))</f>
        <v/>
      </c>
      <c r="S75" s="35">
        <f>IF($K75="","",INDEX('سجل التحفيز'!$G$5:$G$2004,MATCH($K75,'سجل التحفيز'!$AA$5:$AA$2004,0)))</f>
        <v/>
      </c>
    </row>
    <row r="76">
      <c r="B76" s="34">
        <f>IFERROR(INDEX(الموظفات!$B$5:$B$304,MATCH(39,الموظفات!$U$5:$U$304,0)),"")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التحفيز'!$AA$5:$AA$2004,"&gt;0",'سجل التحفيز'!$B$5:$B$2004,B76))</f>
        <v/>
      </c>
      <c r="E76" s="35">
        <f>IF(B76="","",COUNTIFS('سجل التحفيز'!$AA$5:$AA$2004,"&gt;0",'سجل التحفيز'!$B$5:$B$2004,B76,'سجل التحفيز'!$D$5:$D$2004,"ذهبي"))</f>
        <v/>
      </c>
      <c r="F76" s="35">
        <f>IF(B76="","",SUMIFS('سجل التحفيز'!$G$5:$G$2004,'سجل التحفيز'!$AA$5:$AA$2004,"&gt;0",'سجل التحفيز'!$B$5:$B$2004,B76))</f>
        <v/>
      </c>
      <c r="G76" s="35">
        <f>IF(B76="","",COUNTIF($D$38:$D$187,"&gt;"&amp;D76)+1)</f>
        <v/>
      </c>
      <c r="H76" s="35">
        <f>IF(B76="","",INDEX(الموظفات!$L$5:$L$304,MATCH(B76,الموظفات!$B$5:$B$304,0)))</f>
        <v/>
      </c>
      <c r="K76" s="36">
        <f>IF(39&gt;$B$10,"",39)</f>
        <v/>
      </c>
      <c r="L76" s="37">
        <f>IF($K76="","",INDEX('سجل التحفيز'!$A$5:$A$2004,MATCH($K76,'سجل التحفيز'!$AA$5:$AA$2004,0)))</f>
        <v/>
      </c>
      <c r="M76" s="9">
        <f>IF($K76="","",INDEX('سجل التحفيز'!$B$5:$B$2004,MATCH($K76,'سجل التحفيز'!$AA$5:$AA$2004,0)))</f>
        <v/>
      </c>
      <c r="N76" s="9">
        <f>IF($K76="","",INDEX('سجل التحفيز'!$M$5:$M$2004,MATCH($K76,'سجل التحفيز'!$AA$5:$AA$2004,0)))</f>
        <v/>
      </c>
      <c r="O76" s="9">
        <f>IF($K76="","",INDEX('سجل التحفيز'!$C$5:$C$2004,MATCH($K76,'سجل التحفيز'!$AA$5:$AA$2004,0)))</f>
        <v/>
      </c>
      <c r="P76" s="36">
        <f>IF($K76="","",INDEX('سجل التحفيز'!$D$5:$D$2004,MATCH($K76,'سجل التحفيز'!$AA$5:$AA$2004,0)))</f>
        <v/>
      </c>
      <c r="Q76" s="9">
        <f>IF($K76="","",INDEX('سجل التحفيز'!$E$5:$E$2004,MATCH($K76,'سجل التحفيز'!$AA$5:$AA$2004,0)))</f>
        <v/>
      </c>
      <c r="R76" s="9">
        <f>IF($K76="","",INDEX('سجل التحفيز'!$F$5:$F$2004,MATCH($K76,'سجل التحفيز'!$AA$5:$AA$2004,0)))</f>
        <v/>
      </c>
      <c r="S76" s="35">
        <f>IF($K76="","",INDEX('سجل التحفيز'!$G$5:$G$2004,MATCH($K76,'سجل التحفيز'!$AA$5:$AA$2004,0)))</f>
        <v/>
      </c>
    </row>
    <row r="77">
      <c r="B77" s="34">
        <f>IFERROR(INDEX(الموظفات!$B$5:$B$304,MATCH(40,الموظفات!$U$5:$U$304,0)),"")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التحفيز'!$AA$5:$AA$2004,"&gt;0",'سجل التحفيز'!$B$5:$B$2004,B77))</f>
        <v/>
      </c>
      <c r="E77" s="35">
        <f>IF(B77="","",COUNTIFS('سجل التحفيز'!$AA$5:$AA$2004,"&gt;0",'سجل التحفيز'!$B$5:$B$2004,B77,'سجل التحفيز'!$D$5:$D$2004,"ذهبي"))</f>
        <v/>
      </c>
      <c r="F77" s="35">
        <f>IF(B77="","",SUMIFS('سجل التحفيز'!$G$5:$G$2004,'سجل التحفيز'!$AA$5:$AA$2004,"&gt;0",'سجل التحفيز'!$B$5:$B$2004,B77))</f>
        <v/>
      </c>
      <c r="G77" s="35">
        <f>IF(B77="","",COUNTIF($D$38:$D$187,"&gt;"&amp;D77)+1)</f>
        <v/>
      </c>
      <c r="H77" s="35">
        <f>IF(B77="","",INDEX(الموظفات!$L$5:$L$304,MATCH(B77,الموظفات!$B$5:$B$304,0)))</f>
        <v/>
      </c>
      <c r="K77" s="36">
        <f>IF(40&gt;$B$10,"",40)</f>
        <v/>
      </c>
      <c r="L77" s="37">
        <f>IF($K77="","",INDEX('سجل التحفيز'!$A$5:$A$2004,MATCH($K77,'سجل التحفيز'!$AA$5:$AA$2004,0)))</f>
        <v/>
      </c>
      <c r="M77" s="9">
        <f>IF($K77="","",INDEX('سجل التحفيز'!$B$5:$B$2004,MATCH($K77,'سجل التحفيز'!$AA$5:$AA$2004,0)))</f>
        <v/>
      </c>
      <c r="N77" s="9">
        <f>IF($K77="","",INDEX('سجل التحفيز'!$M$5:$M$2004,MATCH($K77,'سجل التحفيز'!$AA$5:$AA$2004,0)))</f>
        <v/>
      </c>
      <c r="O77" s="9">
        <f>IF($K77="","",INDEX('سجل التحفيز'!$C$5:$C$2004,MATCH($K77,'سجل التحفيز'!$AA$5:$AA$2004,0)))</f>
        <v/>
      </c>
      <c r="P77" s="36">
        <f>IF($K77="","",INDEX('سجل التحفيز'!$D$5:$D$2004,MATCH($K77,'سجل التحفيز'!$AA$5:$AA$2004,0)))</f>
        <v/>
      </c>
      <c r="Q77" s="9">
        <f>IF($K77="","",INDEX('سجل التحفيز'!$E$5:$E$2004,MATCH($K77,'سجل التحفيز'!$AA$5:$AA$2004,0)))</f>
        <v/>
      </c>
      <c r="R77" s="9">
        <f>IF($K77="","",INDEX('سجل التحفيز'!$F$5:$F$2004,MATCH($K77,'سجل التحفيز'!$AA$5:$AA$2004,0)))</f>
        <v/>
      </c>
      <c r="S77" s="35">
        <f>IF($K77="","",INDEX('سجل التحفيز'!$G$5:$G$2004,MATCH($K77,'سجل التحفيز'!$AA$5:$AA$2004,0)))</f>
        <v/>
      </c>
    </row>
    <row r="78">
      <c r="B78" s="34">
        <f>IFERROR(INDEX(الموظفات!$B$5:$B$304,MATCH(41,الموظفات!$U$5:$U$304,0)),"")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التحفيز'!$AA$5:$AA$2004,"&gt;0",'سجل التحفيز'!$B$5:$B$2004,B78))</f>
        <v/>
      </c>
      <c r="E78" s="35">
        <f>IF(B78="","",COUNTIFS('سجل التحفيز'!$AA$5:$AA$2004,"&gt;0",'سجل التحفيز'!$B$5:$B$2004,B78,'سجل التحفيز'!$D$5:$D$2004,"ذهبي"))</f>
        <v/>
      </c>
      <c r="F78" s="35">
        <f>IF(B78="","",SUMIFS('سجل التحفيز'!$G$5:$G$2004,'سجل التحفيز'!$AA$5:$AA$2004,"&gt;0",'سجل التحفيز'!$B$5:$B$2004,B78))</f>
        <v/>
      </c>
      <c r="G78" s="35">
        <f>IF(B78="","",COUNTIF($D$38:$D$187,"&gt;"&amp;D78)+1)</f>
        <v/>
      </c>
      <c r="H78" s="35">
        <f>IF(B78="","",INDEX(الموظفات!$L$5:$L$304,MATCH(B78,الموظفات!$B$5:$B$304,0)))</f>
        <v/>
      </c>
      <c r="K78" s="36">
        <f>IF(41&gt;$B$10,"",41)</f>
        <v/>
      </c>
      <c r="L78" s="37">
        <f>IF($K78="","",INDEX('سجل التحفيز'!$A$5:$A$2004,MATCH($K78,'سجل التحفيز'!$AA$5:$AA$2004,0)))</f>
        <v/>
      </c>
      <c r="M78" s="9">
        <f>IF($K78="","",INDEX('سجل التحفيز'!$B$5:$B$2004,MATCH($K78,'سجل التحفيز'!$AA$5:$AA$2004,0)))</f>
        <v/>
      </c>
      <c r="N78" s="9">
        <f>IF($K78="","",INDEX('سجل التحفيز'!$M$5:$M$2004,MATCH($K78,'سجل التحفيز'!$AA$5:$AA$2004,0)))</f>
        <v/>
      </c>
      <c r="O78" s="9">
        <f>IF($K78="","",INDEX('سجل التحفيز'!$C$5:$C$2004,MATCH($K78,'سجل التحفيز'!$AA$5:$AA$2004,0)))</f>
        <v/>
      </c>
      <c r="P78" s="36">
        <f>IF($K78="","",INDEX('سجل التحفيز'!$D$5:$D$2004,MATCH($K78,'سجل التحفيز'!$AA$5:$AA$2004,0)))</f>
        <v/>
      </c>
      <c r="Q78" s="9">
        <f>IF($K78="","",INDEX('سجل التحفيز'!$E$5:$E$2004,MATCH($K78,'سجل التحفيز'!$AA$5:$AA$2004,0)))</f>
        <v/>
      </c>
      <c r="R78" s="9">
        <f>IF($K78="","",INDEX('سجل التحفيز'!$F$5:$F$2004,MATCH($K78,'سجل التحفيز'!$AA$5:$AA$2004,0)))</f>
        <v/>
      </c>
      <c r="S78" s="35">
        <f>IF($K78="","",INDEX('سجل التحفيز'!$G$5:$G$2004,MATCH($K78,'سجل التحفيز'!$AA$5:$AA$2004,0)))</f>
        <v/>
      </c>
    </row>
    <row r="79">
      <c r="B79" s="34">
        <f>IFERROR(INDEX(الموظفات!$B$5:$B$304,MATCH(42,الموظفات!$U$5:$U$304,0)),"")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التحفيز'!$AA$5:$AA$2004,"&gt;0",'سجل التحفيز'!$B$5:$B$2004,B79))</f>
        <v/>
      </c>
      <c r="E79" s="35">
        <f>IF(B79="","",COUNTIFS('سجل التحفيز'!$AA$5:$AA$2004,"&gt;0",'سجل التحفيز'!$B$5:$B$2004,B79,'سجل التحفيز'!$D$5:$D$2004,"ذهبي"))</f>
        <v/>
      </c>
      <c r="F79" s="35">
        <f>IF(B79="","",SUMIFS('سجل التحفيز'!$G$5:$G$2004,'سجل التحفيز'!$AA$5:$AA$2004,"&gt;0",'سجل التحفيز'!$B$5:$B$2004,B79))</f>
        <v/>
      </c>
      <c r="G79" s="35">
        <f>IF(B79="","",COUNTIF($D$38:$D$187,"&gt;"&amp;D79)+1)</f>
        <v/>
      </c>
      <c r="H79" s="35">
        <f>IF(B79="","",INDEX(الموظفات!$L$5:$L$304,MATCH(B79,الموظفات!$B$5:$B$304,0)))</f>
        <v/>
      </c>
      <c r="K79" s="36">
        <f>IF(42&gt;$B$10,"",42)</f>
        <v/>
      </c>
      <c r="L79" s="37">
        <f>IF($K79="","",INDEX('سجل التحفيز'!$A$5:$A$2004,MATCH($K79,'سجل التحفيز'!$AA$5:$AA$2004,0)))</f>
        <v/>
      </c>
      <c r="M79" s="9">
        <f>IF($K79="","",INDEX('سجل التحفيز'!$B$5:$B$2004,MATCH($K79,'سجل التحفيز'!$AA$5:$AA$2004,0)))</f>
        <v/>
      </c>
      <c r="N79" s="9">
        <f>IF($K79="","",INDEX('سجل التحفيز'!$M$5:$M$2004,MATCH($K79,'سجل التحفيز'!$AA$5:$AA$2004,0)))</f>
        <v/>
      </c>
      <c r="O79" s="9">
        <f>IF($K79="","",INDEX('سجل التحفيز'!$C$5:$C$2004,MATCH($K79,'سجل التحفيز'!$AA$5:$AA$2004,0)))</f>
        <v/>
      </c>
      <c r="P79" s="36">
        <f>IF($K79="","",INDEX('سجل التحفيز'!$D$5:$D$2004,MATCH($K79,'سجل التحفيز'!$AA$5:$AA$2004,0)))</f>
        <v/>
      </c>
      <c r="Q79" s="9">
        <f>IF($K79="","",INDEX('سجل التحفيز'!$E$5:$E$2004,MATCH($K79,'سجل التحفيز'!$AA$5:$AA$2004,0)))</f>
        <v/>
      </c>
      <c r="R79" s="9">
        <f>IF($K79="","",INDEX('سجل التحفيز'!$F$5:$F$2004,MATCH($K79,'سجل التحفيز'!$AA$5:$AA$2004,0)))</f>
        <v/>
      </c>
      <c r="S79" s="35">
        <f>IF($K79="","",INDEX('سجل التحفيز'!$G$5:$G$2004,MATCH($K79,'سجل التحفيز'!$AA$5:$AA$2004,0)))</f>
        <v/>
      </c>
    </row>
    <row r="80">
      <c r="B80" s="34">
        <f>IFERROR(INDEX(الموظفات!$B$5:$B$304,MATCH(43,الموظفات!$U$5:$U$304,0)),"")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التحفيز'!$AA$5:$AA$2004,"&gt;0",'سجل التحفيز'!$B$5:$B$2004,B80))</f>
        <v/>
      </c>
      <c r="E80" s="35">
        <f>IF(B80="","",COUNTIFS('سجل التحفيز'!$AA$5:$AA$2004,"&gt;0",'سجل التحفيز'!$B$5:$B$2004,B80,'سجل التحفيز'!$D$5:$D$2004,"ذهبي"))</f>
        <v/>
      </c>
      <c r="F80" s="35">
        <f>IF(B80="","",SUMIFS('سجل التحفيز'!$G$5:$G$2004,'سجل التحفيز'!$AA$5:$AA$2004,"&gt;0",'سجل التحفيز'!$B$5:$B$2004,B80))</f>
        <v/>
      </c>
      <c r="G80" s="35">
        <f>IF(B80="","",COUNTIF($D$38:$D$187,"&gt;"&amp;D80)+1)</f>
        <v/>
      </c>
      <c r="H80" s="35">
        <f>IF(B80="","",INDEX(الموظفات!$L$5:$L$304,MATCH(B80,الموظفات!$B$5:$B$304,0)))</f>
        <v/>
      </c>
      <c r="K80" s="36">
        <f>IF(43&gt;$B$10,"",43)</f>
        <v/>
      </c>
      <c r="L80" s="37">
        <f>IF($K80="","",INDEX('سجل التحفيز'!$A$5:$A$2004,MATCH($K80,'سجل التحفيز'!$AA$5:$AA$2004,0)))</f>
        <v/>
      </c>
      <c r="M80" s="9">
        <f>IF($K80="","",INDEX('سجل التحفيز'!$B$5:$B$2004,MATCH($K80,'سجل التحفيز'!$AA$5:$AA$2004,0)))</f>
        <v/>
      </c>
      <c r="N80" s="9">
        <f>IF($K80="","",INDEX('سجل التحفيز'!$M$5:$M$2004,MATCH($K80,'سجل التحفيز'!$AA$5:$AA$2004,0)))</f>
        <v/>
      </c>
      <c r="O80" s="9">
        <f>IF($K80="","",INDEX('سجل التحفيز'!$C$5:$C$2004,MATCH($K80,'سجل التحفيز'!$AA$5:$AA$2004,0)))</f>
        <v/>
      </c>
      <c r="P80" s="36">
        <f>IF($K80="","",INDEX('سجل التحفيز'!$D$5:$D$2004,MATCH($K80,'سجل التحفيز'!$AA$5:$AA$2004,0)))</f>
        <v/>
      </c>
      <c r="Q80" s="9">
        <f>IF($K80="","",INDEX('سجل التحفيز'!$E$5:$E$2004,MATCH($K80,'سجل التحفيز'!$AA$5:$AA$2004,0)))</f>
        <v/>
      </c>
      <c r="R80" s="9">
        <f>IF($K80="","",INDEX('سجل التحفيز'!$F$5:$F$2004,MATCH($K80,'سجل التحفيز'!$AA$5:$AA$2004,0)))</f>
        <v/>
      </c>
      <c r="S80" s="35">
        <f>IF($K80="","",INDEX('سجل التحفيز'!$G$5:$G$2004,MATCH($K80,'سجل التحفيز'!$AA$5:$AA$2004,0)))</f>
        <v/>
      </c>
    </row>
    <row r="81">
      <c r="B81" s="34">
        <f>IFERROR(INDEX(الموظفات!$B$5:$B$304,MATCH(44,الموظفات!$U$5:$U$304,0)),"")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التحفيز'!$AA$5:$AA$2004,"&gt;0",'سجل التحفيز'!$B$5:$B$2004,B81))</f>
        <v/>
      </c>
      <c r="E81" s="35">
        <f>IF(B81="","",COUNTIFS('سجل التحفيز'!$AA$5:$AA$2004,"&gt;0",'سجل التحفيز'!$B$5:$B$2004,B81,'سجل التحفيز'!$D$5:$D$2004,"ذهبي"))</f>
        <v/>
      </c>
      <c r="F81" s="35">
        <f>IF(B81="","",SUMIFS('سجل التحفيز'!$G$5:$G$2004,'سجل التحفيز'!$AA$5:$AA$2004,"&gt;0",'سجل التحفيز'!$B$5:$B$2004,B81))</f>
        <v/>
      </c>
      <c r="G81" s="35">
        <f>IF(B81="","",COUNTIF($D$38:$D$187,"&gt;"&amp;D81)+1)</f>
        <v/>
      </c>
      <c r="H81" s="35">
        <f>IF(B81="","",INDEX(الموظفات!$L$5:$L$304,MATCH(B81,الموظفات!$B$5:$B$304,0)))</f>
        <v/>
      </c>
      <c r="K81" s="36">
        <f>IF(44&gt;$B$10,"",44)</f>
        <v/>
      </c>
      <c r="L81" s="37">
        <f>IF($K81="","",INDEX('سجل التحفيز'!$A$5:$A$2004,MATCH($K81,'سجل التحفيز'!$AA$5:$AA$2004,0)))</f>
        <v/>
      </c>
      <c r="M81" s="9">
        <f>IF($K81="","",INDEX('سجل التحفيز'!$B$5:$B$2004,MATCH($K81,'سجل التحفيز'!$AA$5:$AA$2004,0)))</f>
        <v/>
      </c>
      <c r="N81" s="9">
        <f>IF($K81="","",INDEX('سجل التحفيز'!$M$5:$M$2004,MATCH($K81,'سجل التحفيز'!$AA$5:$AA$2004,0)))</f>
        <v/>
      </c>
      <c r="O81" s="9">
        <f>IF($K81="","",INDEX('سجل التحفيز'!$C$5:$C$2004,MATCH($K81,'سجل التحفيز'!$AA$5:$AA$2004,0)))</f>
        <v/>
      </c>
      <c r="P81" s="36">
        <f>IF($K81="","",INDEX('سجل التحفيز'!$D$5:$D$2004,MATCH($K81,'سجل التحفيز'!$AA$5:$AA$2004,0)))</f>
        <v/>
      </c>
      <c r="Q81" s="9">
        <f>IF($K81="","",INDEX('سجل التحفيز'!$E$5:$E$2004,MATCH($K81,'سجل التحفيز'!$AA$5:$AA$2004,0)))</f>
        <v/>
      </c>
      <c r="R81" s="9">
        <f>IF($K81="","",INDEX('سجل التحفيز'!$F$5:$F$2004,MATCH($K81,'سجل التحفيز'!$AA$5:$AA$2004,0)))</f>
        <v/>
      </c>
      <c r="S81" s="35">
        <f>IF($K81="","",INDEX('سجل التحفيز'!$G$5:$G$2004,MATCH($K81,'سجل التحفيز'!$AA$5:$AA$2004,0)))</f>
        <v/>
      </c>
    </row>
    <row r="82">
      <c r="B82" s="34">
        <f>IFERROR(INDEX(الموظفات!$B$5:$B$304,MATCH(45,الموظفات!$U$5:$U$304,0)),"")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التحفيز'!$AA$5:$AA$2004,"&gt;0",'سجل التحفيز'!$B$5:$B$2004,B82))</f>
        <v/>
      </c>
      <c r="E82" s="35">
        <f>IF(B82="","",COUNTIFS('سجل التحفيز'!$AA$5:$AA$2004,"&gt;0",'سجل التحفيز'!$B$5:$B$2004,B82,'سجل التحفيز'!$D$5:$D$2004,"ذهبي"))</f>
        <v/>
      </c>
      <c r="F82" s="35">
        <f>IF(B82="","",SUMIFS('سجل التحفيز'!$G$5:$G$2004,'سجل التحفيز'!$AA$5:$AA$2004,"&gt;0",'سجل التحفيز'!$B$5:$B$2004,B82))</f>
        <v/>
      </c>
      <c r="G82" s="35">
        <f>IF(B82="","",COUNTIF($D$38:$D$187,"&gt;"&amp;D82)+1)</f>
        <v/>
      </c>
      <c r="H82" s="35">
        <f>IF(B82="","",INDEX(الموظفات!$L$5:$L$304,MATCH(B82,الموظفات!$B$5:$B$304,0)))</f>
        <v/>
      </c>
      <c r="K82" s="36">
        <f>IF(45&gt;$B$10,"",45)</f>
        <v/>
      </c>
      <c r="L82" s="37">
        <f>IF($K82="","",INDEX('سجل التحفيز'!$A$5:$A$2004,MATCH($K82,'سجل التحفيز'!$AA$5:$AA$2004,0)))</f>
        <v/>
      </c>
      <c r="M82" s="9">
        <f>IF($K82="","",INDEX('سجل التحفيز'!$B$5:$B$2004,MATCH($K82,'سجل التحفيز'!$AA$5:$AA$2004,0)))</f>
        <v/>
      </c>
      <c r="N82" s="9">
        <f>IF($K82="","",INDEX('سجل التحفيز'!$M$5:$M$2004,MATCH($K82,'سجل التحفيز'!$AA$5:$AA$2004,0)))</f>
        <v/>
      </c>
      <c r="O82" s="9">
        <f>IF($K82="","",INDEX('سجل التحفيز'!$C$5:$C$2004,MATCH($K82,'سجل التحفيز'!$AA$5:$AA$2004,0)))</f>
        <v/>
      </c>
      <c r="P82" s="36">
        <f>IF($K82="","",INDEX('سجل التحفيز'!$D$5:$D$2004,MATCH($K82,'سجل التحفيز'!$AA$5:$AA$2004,0)))</f>
        <v/>
      </c>
      <c r="Q82" s="9">
        <f>IF($K82="","",INDEX('سجل التحفيز'!$E$5:$E$2004,MATCH($K82,'سجل التحفيز'!$AA$5:$AA$2004,0)))</f>
        <v/>
      </c>
      <c r="R82" s="9">
        <f>IF($K82="","",INDEX('سجل التحفيز'!$F$5:$F$2004,MATCH($K82,'سجل التحفيز'!$AA$5:$AA$2004,0)))</f>
        <v/>
      </c>
      <c r="S82" s="35">
        <f>IF($K82="","",INDEX('سجل التحفيز'!$G$5:$G$2004,MATCH($K82,'سجل التحفيز'!$AA$5:$AA$2004,0)))</f>
        <v/>
      </c>
    </row>
    <row r="83">
      <c r="B83" s="34">
        <f>IFERROR(INDEX(الموظفات!$B$5:$B$304,MATCH(46,الموظفات!$U$5:$U$304,0)),"")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التحفيز'!$AA$5:$AA$2004,"&gt;0",'سجل التحفيز'!$B$5:$B$2004,B83))</f>
        <v/>
      </c>
      <c r="E83" s="35">
        <f>IF(B83="","",COUNTIFS('سجل التحفيز'!$AA$5:$AA$2004,"&gt;0",'سجل التحفيز'!$B$5:$B$2004,B83,'سجل التحفيز'!$D$5:$D$2004,"ذهبي"))</f>
        <v/>
      </c>
      <c r="F83" s="35">
        <f>IF(B83="","",SUMIFS('سجل التحفيز'!$G$5:$G$2004,'سجل التحفيز'!$AA$5:$AA$2004,"&gt;0",'سجل التحفيز'!$B$5:$B$2004,B83))</f>
        <v/>
      </c>
      <c r="G83" s="35">
        <f>IF(B83="","",COUNTIF($D$38:$D$187,"&gt;"&amp;D83)+1)</f>
        <v/>
      </c>
      <c r="H83" s="35">
        <f>IF(B83="","",INDEX(الموظفات!$L$5:$L$304,MATCH(B83,الموظفات!$B$5:$B$304,0)))</f>
        <v/>
      </c>
      <c r="K83" s="36">
        <f>IF(46&gt;$B$10,"",46)</f>
        <v/>
      </c>
      <c r="L83" s="37">
        <f>IF($K83="","",INDEX('سجل التحفيز'!$A$5:$A$2004,MATCH($K83,'سجل التحفيز'!$AA$5:$AA$2004,0)))</f>
        <v/>
      </c>
      <c r="M83" s="9">
        <f>IF($K83="","",INDEX('سجل التحفيز'!$B$5:$B$2004,MATCH($K83,'سجل التحفيز'!$AA$5:$AA$2004,0)))</f>
        <v/>
      </c>
      <c r="N83" s="9">
        <f>IF($K83="","",INDEX('سجل التحفيز'!$M$5:$M$2004,MATCH($K83,'سجل التحفيز'!$AA$5:$AA$2004,0)))</f>
        <v/>
      </c>
      <c r="O83" s="9">
        <f>IF($K83="","",INDEX('سجل التحفيز'!$C$5:$C$2004,MATCH($K83,'سجل التحفيز'!$AA$5:$AA$2004,0)))</f>
        <v/>
      </c>
      <c r="P83" s="36">
        <f>IF($K83="","",INDEX('سجل التحفيز'!$D$5:$D$2004,MATCH($K83,'سجل التحفيز'!$AA$5:$AA$2004,0)))</f>
        <v/>
      </c>
      <c r="Q83" s="9">
        <f>IF($K83="","",INDEX('سجل التحفيز'!$E$5:$E$2004,MATCH($K83,'سجل التحفيز'!$AA$5:$AA$2004,0)))</f>
        <v/>
      </c>
      <c r="R83" s="9">
        <f>IF($K83="","",INDEX('سجل التحفيز'!$F$5:$F$2004,MATCH($K83,'سجل التحفيز'!$AA$5:$AA$2004,0)))</f>
        <v/>
      </c>
      <c r="S83" s="35">
        <f>IF($K83="","",INDEX('سجل التحفيز'!$G$5:$G$2004,MATCH($K83,'سجل التحفيز'!$AA$5:$AA$2004,0)))</f>
        <v/>
      </c>
    </row>
    <row r="84">
      <c r="B84" s="34">
        <f>IFERROR(INDEX(الموظفات!$B$5:$B$304,MATCH(47,الموظفات!$U$5:$U$304,0)),"")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التحفيز'!$AA$5:$AA$2004,"&gt;0",'سجل التحفيز'!$B$5:$B$2004,B84))</f>
        <v/>
      </c>
      <c r="E84" s="35">
        <f>IF(B84="","",COUNTIFS('سجل التحفيز'!$AA$5:$AA$2004,"&gt;0",'سجل التحفيز'!$B$5:$B$2004,B84,'سجل التحفيز'!$D$5:$D$2004,"ذهبي"))</f>
        <v/>
      </c>
      <c r="F84" s="35">
        <f>IF(B84="","",SUMIFS('سجل التحفيز'!$G$5:$G$2004,'سجل التحفيز'!$AA$5:$AA$2004,"&gt;0",'سجل التحفيز'!$B$5:$B$2004,B84))</f>
        <v/>
      </c>
      <c r="G84" s="35">
        <f>IF(B84="","",COUNTIF($D$38:$D$187,"&gt;"&amp;D84)+1)</f>
        <v/>
      </c>
      <c r="H84" s="35">
        <f>IF(B84="","",INDEX(الموظفات!$L$5:$L$304,MATCH(B84,الموظفات!$B$5:$B$304,0)))</f>
        <v/>
      </c>
      <c r="K84" s="36">
        <f>IF(47&gt;$B$10,"",47)</f>
        <v/>
      </c>
      <c r="L84" s="37">
        <f>IF($K84="","",INDEX('سجل التحفيز'!$A$5:$A$2004,MATCH($K84,'سجل التحفيز'!$AA$5:$AA$2004,0)))</f>
        <v/>
      </c>
      <c r="M84" s="9">
        <f>IF($K84="","",INDEX('سجل التحفيز'!$B$5:$B$2004,MATCH($K84,'سجل التحفيز'!$AA$5:$AA$2004,0)))</f>
        <v/>
      </c>
      <c r="N84" s="9">
        <f>IF($K84="","",INDEX('سجل التحفيز'!$M$5:$M$2004,MATCH($K84,'سجل التحفيز'!$AA$5:$AA$2004,0)))</f>
        <v/>
      </c>
      <c r="O84" s="9">
        <f>IF($K84="","",INDEX('سجل التحفيز'!$C$5:$C$2004,MATCH($K84,'سجل التحفيز'!$AA$5:$AA$2004,0)))</f>
        <v/>
      </c>
      <c r="P84" s="36">
        <f>IF($K84="","",INDEX('سجل التحفيز'!$D$5:$D$2004,MATCH($K84,'سجل التحفيز'!$AA$5:$AA$2004,0)))</f>
        <v/>
      </c>
      <c r="Q84" s="9">
        <f>IF($K84="","",INDEX('سجل التحفيز'!$E$5:$E$2004,MATCH($K84,'سجل التحفيز'!$AA$5:$AA$2004,0)))</f>
        <v/>
      </c>
      <c r="R84" s="9">
        <f>IF($K84="","",INDEX('سجل التحفيز'!$F$5:$F$2004,MATCH($K84,'سجل التحفيز'!$AA$5:$AA$2004,0)))</f>
        <v/>
      </c>
      <c r="S84" s="35">
        <f>IF($K84="","",INDEX('سجل التحفيز'!$G$5:$G$2004,MATCH($K84,'سجل التحفيز'!$AA$5:$AA$2004,0)))</f>
        <v/>
      </c>
    </row>
    <row r="85">
      <c r="B85" s="34">
        <f>IFERROR(INDEX(الموظفات!$B$5:$B$304,MATCH(48,الموظفات!$U$5:$U$304,0)),"")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التحفيز'!$AA$5:$AA$2004,"&gt;0",'سجل التحفيز'!$B$5:$B$2004,B85))</f>
        <v/>
      </c>
      <c r="E85" s="35">
        <f>IF(B85="","",COUNTIFS('سجل التحفيز'!$AA$5:$AA$2004,"&gt;0",'سجل التحفيز'!$B$5:$B$2004,B85,'سجل التحفيز'!$D$5:$D$2004,"ذهبي"))</f>
        <v/>
      </c>
      <c r="F85" s="35">
        <f>IF(B85="","",SUMIFS('سجل التحفيز'!$G$5:$G$2004,'سجل التحفيز'!$AA$5:$AA$2004,"&gt;0",'سجل التحفيز'!$B$5:$B$2004,B85))</f>
        <v/>
      </c>
      <c r="G85" s="35">
        <f>IF(B85="","",COUNTIF($D$38:$D$187,"&gt;"&amp;D85)+1)</f>
        <v/>
      </c>
      <c r="H85" s="35">
        <f>IF(B85="","",INDEX(الموظفات!$L$5:$L$304,MATCH(B85,الموظفات!$B$5:$B$304,0)))</f>
        <v/>
      </c>
      <c r="K85" s="36">
        <f>IF(48&gt;$B$10,"",48)</f>
        <v/>
      </c>
      <c r="L85" s="37">
        <f>IF($K85="","",INDEX('سجل التحفيز'!$A$5:$A$2004,MATCH($K85,'سجل التحفيز'!$AA$5:$AA$2004,0)))</f>
        <v/>
      </c>
      <c r="M85" s="9">
        <f>IF($K85="","",INDEX('سجل التحفيز'!$B$5:$B$2004,MATCH($K85,'سجل التحفيز'!$AA$5:$AA$2004,0)))</f>
        <v/>
      </c>
      <c r="N85" s="9">
        <f>IF($K85="","",INDEX('سجل التحفيز'!$M$5:$M$2004,MATCH($K85,'سجل التحفيز'!$AA$5:$AA$2004,0)))</f>
        <v/>
      </c>
      <c r="O85" s="9">
        <f>IF($K85="","",INDEX('سجل التحفيز'!$C$5:$C$2004,MATCH($K85,'سجل التحفيز'!$AA$5:$AA$2004,0)))</f>
        <v/>
      </c>
      <c r="P85" s="36">
        <f>IF($K85="","",INDEX('سجل التحفيز'!$D$5:$D$2004,MATCH($K85,'سجل التحفيز'!$AA$5:$AA$2004,0)))</f>
        <v/>
      </c>
      <c r="Q85" s="9">
        <f>IF($K85="","",INDEX('سجل التحفيز'!$E$5:$E$2004,MATCH($K85,'سجل التحفيز'!$AA$5:$AA$2004,0)))</f>
        <v/>
      </c>
      <c r="R85" s="9">
        <f>IF($K85="","",INDEX('سجل التحفيز'!$F$5:$F$2004,MATCH($K85,'سجل التحفيز'!$AA$5:$AA$2004,0)))</f>
        <v/>
      </c>
      <c r="S85" s="35">
        <f>IF($K85="","",INDEX('سجل التحفيز'!$G$5:$G$2004,MATCH($K85,'سجل التحفيز'!$AA$5:$AA$2004,0)))</f>
        <v/>
      </c>
    </row>
    <row r="86">
      <c r="B86" s="34">
        <f>IFERROR(INDEX(الموظفات!$B$5:$B$304,MATCH(49,الموظفات!$U$5:$U$304,0)),"")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التحفيز'!$AA$5:$AA$2004,"&gt;0",'سجل التحفيز'!$B$5:$B$2004,B86))</f>
        <v/>
      </c>
      <c r="E86" s="35">
        <f>IF(B86="","",COUNTIFS('سجل التحفيز'!$AA$5:$AA$2004,"&gt;0",'سجل التحفيز'!$B$5:$B$2004,B86,'سجل التحفيز'!$D$5:$D$2004,"ذهبي"))</f>
        <v/>
      </c>
      <c r="F86" s="35">
        <f>IF(B86="","",SUMIFS('سجل التحفيز'!$G$5:$G$2004,'سجل التحفيز'!$AA$5:$AA$2004,"&gt;0",'سجل التحفيز'!$B$5:$B$2004,B86))</f>
        <v/>
      </c>
      <c r="G86" s="35">
        <f>IF(B86="","",COUNTIF($D$38:$D$187,"&gt;"&amp;D86)+1)</f>
        <v/>
      </c>
      <c r="H86" s="35">
        <f>IF(B86="","",INDEX(الموظفات!$L$5:$L$304,MATCH(B86,الموظفات!$B$5:$B$304,0)))</f>
        <v/>
      </c>
      <c r="K86" s="36">
        <f>IF(49&gt;$B$10,"",49)</f>
        <v/>
      </c>
      <c r="L86" s="37">
        <f>IF($K86="","",INDEX('سجل التحفيز'!$A$5:$A$2004,MATCH($K86,'سجل التحفيز'!$AA$5:$AA$2004,0)))</f>
        <v/>
      </c>
      <c r="M86" s="9">
        <f>IF($K86="","",INDEX('سجل التحفيز'!$B$5:$B$2004,MATCH($K86,'سجل التحفيز'!$AA$5:$AA$2004,0)))</f>
        <v/>
      </c>
      <c r="N86" s="9">
        <f>IF($K86="","",INDEX('سجل التحفيز'!$M$5:$M$2004,MATCH($K86,'سجل التحفيز'!$AA$5:$AA$2004,0)))</f>
        <v/>
      </c>
      <c r="O86" s="9">
        <f>IF($K86="","",INDEX('سجل التحفيز'!$C$5:$C$2004,MATCH($K86,'سجل التحفيز'!$AA$5:$AA$2004,0)))</f>
        <v/>
      </c>
      <c r="P86" s="36">
        <f>IF($K86="","",INDEX('سجل التحفيز'!$D$5:$D$2004,MATCH($K86,'سجل التحفيز'!$AA$5:$AA$2004,0)))</f>
        <v/>
      </c>
      <c r="Q86" s="9">
        <f>IF($K86="","",INDEX('سجل التحفيز'!$E$5:$E$2004,MATCH($K86,'سجل التحفيز'!$AA$5:$AA$2004,0)))</f>
        <v/>
      </c>
      <c r="R86" s="9">
        <f>IF($K86="","",INDEX('سجل التحفيز'!$F$5:$F$2004,MATCH($K86,'سجل التحفيز'!$AA$5:$AA$2004,0)))</f>
        <v/>
      </c>
      <c r="S86" s="35">
        <f>IF($K86="","",INDEX('سجل التحفيز'!$G$5:$G$2004,MATCH($K86,'سجل التحفيز'!$AA$5:$AA$2004,0)))</f>
        <v/>
      </c>
    </row>
    <row r="87">
      <c r="B87" s="34">
        <f>IFERROR(INDEX(الموظفات!$B$5:$B$304,MATCH(50,الموظفات!$U$5:$U$304,0)),"")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التحفيز'!$AA$5:$AA$2004,"&gt;0",'سجل التحفيز'!$B$5:$B$2004,B87))</f>
        <v/>
      </c>
      <c r="E87" s="35">
        <f>IF(B87="","",COUNTIFS('سجل التحفيز'!$AA$5:$AA$2004,"&gt;0",'سجل التحفيز'!$B$5:$B$2004,B87,'سجل التحفيز'!$D$5:$D$2004,"ذهبي"))</f>
        <v/>
      </c>
      <c r="F87" s="35">
        <f>IF(B87="","",SUMIFS('سجل التحفيز'!$G$5:$G$2004,'سجل التحفيز'!$AA$5:$AA$2004,"&gt;0",'سجل التحفيز'!$B$5:$B$2004,B87))</f>
        <v/>
      </c>
      <c r="G87" s="35">
        <f>IF(B87="","",COUNTIF($D$38:$D$187,"&gt;"&amp;D87)+1)</f>
        <v/>
      </c>
      <c r="H87" s="35">
        <f>IF(B87="","",INDEX(الموظفات!$L$5:$L$304,MATCH(B87,الموظفات!$B$5:$B$304,0)))</f>
        <v/>
      </c>
      <c r="K87" s="36">
        <f>IF(50&gt;$B$10,"",50)</f>
        <v/>
      </c>
      <c r="L87" s="37">
        <f>IF($K87="","",INDEX('سجل التحفيز'!$A$5:$A$2004,MATCH($K87,'سجل التحفيز'!$AA$5:$AA$2004,0)))</f>
        <v/>
      </c>
      <c r="M87" s="9">
        <f>IF($K87="","",INDEX('سجل التحفيز'!$B$5:$B$2004,MATCH($K87,'سجل التحفيز'!$AA$5:$AA$2004,0)))</f>
        <v/>
      </c>
      <c r="N87" s="9">
        <f>IF($K87="","",INDEX('سجل التحفيز'!$M$5:$M$2004,MATCH($K87,'سجل التحفيز'!$AA$5:$AA$2004,0)))</f>
        <v/>
      </c>
      <c r="O87" s="9">
        <f>IF($K87="","",INDEX('سجل التحفيز'!$C$5:$C$2004,MATCH($K87,'سجل التحفيز'!$AA$5:$AA$2004,0)))</f>
        <v/>
      </c>
      <c r="P87" s="36">
        <f>IF($K87="","",INDEX('سجل التحفيز'!$D$5:$D$2004,MATCH($K87,'سجل التحفيز'!$AA$5:$AA$2004,0)))</f>
        <v/>
      </c>
      <c r="Q87" s="9">
        <f>IF($K87="","",INDEX('سجل التحفيز'!$E$5:$E$2004,MATCH($K87,'سجل التحفيز'!$AA$5:$AA$2004,0)))</f>
        <v/>
      </c>
      <c r="R87" s="9">
        <f>IF($K87="","",INDEX('سجل التحفيز'!$F$5:$F$2004,MATCH($K87,'سجل التحفيز'!$AA$5:$AA$2004,0)))</f>
        <v/>
      </c>
      <c r="S87" s="35">
        <f>IF($K87="","",INDEX('سجل التحفيز'!$G$5:$G$2004,MATCH($K87,'سجل التحفيز'!$AA$5:$AA$2004,0)))</f>
        <v/>
      </c>
    </row>
    <row r="88">
      <c r="B88" s="34">
        <f>IFERROR(INDEX(الموظفات!$B$5:$B$304,MATCH(51,الموظفات!$U$5:$U$304,0)),"")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التحفيز'!$AA$5:$AA$2004,"&gt;0",'سجل التحفيز'!$B$5:$B$2004,B88))</f>
        <v/>
      </c>
      <c r="E88" s="35">
        <f>IF(B88="","",COUNTIFS('سجل التحفيز'!$AA$5:$AA$2004,"&gt;0",'سجل التحفيز'!$B$5:$B$2004,B88,'سجل التحفيز'!$D$5:$D$2004,"ذهبي"))</f>
        <v/>
      </c>
      <c r="F88" s="35">
        <f>IF(B88="","",SUMIFS('سجل التحفيز'!$G$5:$G$2004,'سجل التحفيز'!$AA$5:$AA$2004,"&gt;0",'سجل التحفيز'!$B$5:$B$2004,B88))</f>
        <v/>
      </c>
      <c r="G88" s="35">
        <f>IF(B88="","",COUNTIF($D$38:$D$187,"&gt;"&amp;D88)+1)</f>
        <v/>
      </c>
      <c r="H88" s="35">
        <f>IF(B88="","",INDEX(الموظفات!$L$5:$L$304,MATCH(B88,الموظفات!$B$5:$B$304,0)))</f>
        <v/>
      </c>
      <c r="K88" s="36">
        <f>IF(51&gt;$B$10,"",51)</f>
        <v/>
      </c>
      <c r="L88" s="37">
        <f>IF($K88="","",INDEX('سجل التحفيز'!$A$5:$A$2004,MATCH($K88,'سجل التحفيز'!$AA$5:$AA$2004,0)))</f>
        <v/>
      </c>
      <c r="M88" s="9">
        <f>IF($K88="","",INDEX('سجل التحفيز'!$B$5:$B$2004,MATCH($K88,'سجل التحفيز'!$AA$5:$AA$2004,0)))</f>
        <v/>
      </c>
      <c r="N88" s="9">
        <f>IF($K88="","",INDEX('سجل التحفيز'!$M$5:$M$2004,MATCH($K88,'سجل التحفيز'!$AA$5:$AA$2004,0)))</f>
        <v/>
      </c>
      <c r="O88" s="9">
        <f>IF($K88="","",INDEX('سجل التحفيز'!$C$5:$C$2004,MATCH($K88,'سجل التحفيز'!$AA$5:$AA$2004,0)))</f>
        <v/>
      </c>
      <c r="P88" s="36">
        <f>IF($K88="","",INDEX('سجل التحفيز'!$D$5:$D$2004,MATCH($K88,'سجل التحفيز'!$AA$5:$AA$2004,0)))</f>
        <v/>
      </c>
      <c r="Q88" s="9">
        <f>IF($K88="","",INDEX('سجل التحفيز'!$E$5:$E$2004,MATCH($K88,'سجل التحفيز'!$AA$5:$AA$2004,0)))</f>
        <v/>
      </c>
      <c r="R88" s="9">
        <f>IF($K88="","",INDEX('سجل التحفيز'!$F$5:$F$2004,MATCH($K88,'سجل التحفيز'!$AA$5:$AA$2004,0)))</f>
        <v/>
      </c>
      <c r="S88" s="35">
        <f>IF($K88="","",INDEX('سجل التحفيز'!$G$5:$G$2004,MATCH($K88,'سجل التحفيز'!$AA$5:$AA$2004,0)))</f>
        <v/>
      </c>
    </row>
    <row r="89">
      <c r="B89" s="34">
        <f>IFERROR(INDEX(الموظفات!$B$5:$B$304,MATCH(52,الموظفات!$U$5:$U$304,0)),"")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التحفيز'!$AA$5:$AA$2004,"&gt;0",'سجل التحفيز'!$B$5:$B$2004,B89))</f>
        <v/>
      </c>
      <c r="E89" s="35">
        <f>IF(B89="","",COUNTIFS('سجل التحفيز'!$AA$5:$AA$2004,"&gt;0",'سجل التحفيز'!$B$5:$B$2004,B89,'سجل التحفيز'!$D$5:$D$2004,"ذهبي"))</f>
        <v/>
      </c>
      <c r="F89" s="35">
        <f>IF(B89="","",SUMIFS('سجل التحفيز'!$G$5:$G$2004,'سجل التحفيز'!$AA$5:$AA$2004,"&gt;0",'سجل التحفيز'!$B$5:$B$2004,B89))</f>
        <v/>
      </c>
      <c r="G89" s="35">
        <f>IF(B89="","",COUNTIF($D$38:$D$187,"&gt;"&amp;D89)+1)</f>
        <v/>
      </c>
      <c r="H89" s="35">
        <f>IF(B89="","",INDEX(الموظفات!$L$5:$L$304,MATCH(B89,الموظفات!$B$5:$B$304,0)))</f>
        <v/>
      </c>
      <c r="K89" s="36">
        <f>IF(52&gt;$B$10,"",52)</f>
        <v/>
      </c>
      <c r="L89" s="37">
        <f>IF($K89="","",INDEX('سجل التحفيز'!$A$5:$A$2004,MATCH($K89,'سجل التحفيز'!$AA$5:$AA$2004,0)))</f>
        <v/>
      </c>
      <c r="M89" s="9">
        <f>IF($K89="","",INDEX('سجل التحفيز'!$B$5:$B$2004,MATCH($K89,'سجل التحفيز'!$AA$5:$AA$2004,0)))</f>
        <v/>
      </c>
      <c r="N89" s="9">
        <f>IF($K89="","",INDEX('سجل التحفيز'!$M$5:$M$2004,MATCH($K89,'سجل التحفيز'!$AA$5:$AA$2004,0)))</f>
        <v/>
      </c>
      <c r="O89" s="9">
        <f>IF($K89="","",INDEX('سجل التحفيز'!$C$5:$C$2004,MATCH($K89,'سجل التحفيز'!$AA$5:$AA$2004,0)))</f>
        <v/>
      </c>
      <c r="P89" s="36">
        <f>IF($K89="","",INDEX('سجل التحفيز'!$D$5:$D$2004,MATCH($K89,'سجل التحفيز'!$AA$5:$AA$2004,0)))</f>
        <v/>
      </c>
      <c r="Q89" s="9">
        <f>IF($K89="","",INDEX('سجل التحفيز'!$E$5:$E$2004,MATCH($K89,'سجل التحفيز'!$AA$5:$AA$2004,0)))</f>
        <v/>
      </c>
      <c r="R89" s="9">
        <f>IF($K89="","",INDEX('سجل التحفيز'!$F$5:$F$2004,MATCH($K89,'سجل التحفيز'!$AA$5:$AA$2004,0)))</f>
        <v/>
      </c>
      <c r="S89" s="35">
        <f>IF($K89="","",INDEX('سجل التحفيز'!$G$5:$G$2004,MATCH($K89,'سجل التحفيز'!$AA$5:$AA$2004,0)))</f>
        <v/>
      </c>
    </row>
    <row r="90">
      <c r="B90" s="34">
        <f>IFERROR(INDEX(الموظفات!$B$5:$B$304,MATCH(53,الموظفات!$U$5:$U$304,0)),"")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التحفيز'!$AA$5:$AA$2004,"&gt;0",'سجل التحفيز'!$B$5:$B$2004,B90))</f>
        <v/>
      </c>
      <c r="E90" s="35">
        <f>IF(B90="","",COUNTIFS('سجل التحفيز'!$AA$5:$AA$2004,"&gt;0",'سجل التحفيز'!$B$5:$B$2004,B90,'سجل التحفيز'!$D$5:$D$2004,"ذهبي"))</f>
        <v/>
      </c>
      <c r="F90" s="35">
        <f>IF(B90="","",SUMIFS('سجل التحفيز'!$G$5:$G$2004,'سجل التحفيز'!$AA$5:$AA$2004,"&gt;0",'سجل التحفيز'!$B$5:$B$2004,B90))</f>
        <v/>
      </c>
      <c r="G90" s="35">
        <f>IF(B90="","",COUNTIF($D$38:$D$187,"&gt;"&amp;D90)+1)</f>
        <v/>
      </c>
      <c r="H90" s="35">
        <f>IF(B90="","",INDEX(الموظفات!$L$5:$L$304,MATCH(B90,الموظفات!$B$5:$B$304,0)))</f>
        <v/>
      </c>
      <c r="K90" s="36">
        <f>IF(53&gt;$B$10,"",53)</f>
        <v/>
      </c>
      <c r="L90" s="37">
        <f>IF($K90="","",INDEX('سجل التحفيز'!$A$5:$A$2004,MATCH($K90,'سجل التحفيز'!$AA$5:$AA$2004,0)))</f>
        <v/>
      </c>
      <c r="M90" s="9">
        <f>IF($K90="","",INDEX('سجل التحفيز'!$B$5:$B$2004,MATCH($K90,'سجل التحفيز'!$AA$5:$AA$2004,0)))</f>
        <v/>
      </c>
      <c r="N90" s="9">
        <f>IF($K90="","",INDEX('سجل التحفيز'!$M$5:$M$2004,MATCH($K90,'سجل التحفيز'!$AA$5:$AA$2004,0)))</f>
        <v/>
      </c>
      <c r="O90" s="9">
        <f>IF($K90="","",INDEX('سجل التحفيز'!$C$5:$C$2004,MATCH($K90,'سجل التحفيز'!$AA$5:$AA$2004,0)))</f>
        <v/>
      </c>
      <c r="P90" s="36">
        <f>IF($K90="","",INDEX('سجل التحفيز'!$D$5:$D$2004,MATCH($K90,'سجل التحفيز'!$AA$5:$AA$2004,0)))</f>
        <v/>
      </c>
      <c r="Q90" s="9">
        <f>IF($K90="","",INDEX('سجل التحفيز'!$E$5:$E$2004,MATCH($K90,'سجل التحفيز'!$AA$5:$AA$2004,0)))</f>
        <v/>
      </c>
      <c r="R90" s="9">
        <f>IF($K90="","",INDEX('سجل التحفيز'!$F$5:$F$2004,MATCH($K90,'سجل التحفيز'!$AA$5:$AA$2004,0)))</f>
        <v/>
      </c>
      <c r="S90" s="35">
        <f>IF($K90="","",INDEX('سجل التحفيز'!$G$5:$G$2004,MATCH($K90,'سجل التحفيز'!$AA$5:$AA$2004,0)))</f>
        <v/>
      </c>
    </row>
    <row r="91">
      <c r="B91" s="34">
        <f>IFERROR(INDEX(الموظفات!$B$5:$B$304,MATCH(54,الموظفات!$U$5:$U$304,0)),"")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التحفيز'!$AA$5:$AA$2004,"&gt;0",'سجل التحفيز'!$B$5:$B$2004,B91))</f>
        <v/>
      </c>
      <c r="E91" s="35">
        <f>IF(B91="","",COUNTIFS('سجل التحفيز'!$AA$5:$AA$2004,"&gt;0",'سجل التحفيز'!$B$5:$B$2004,B91,'سجل التحفيز'!$D$5:$D$2004,"ذهبي"))</f>
        <v/>
      </c>
      <c r="F91" s="35">
        <f>IF(B91="","",SUMIFS('سجل التحفيز'!$G$5:$G$2004,'سجل التحفيز'!$AA$5:$AA$2004,"&gt;0",'سجل التحفيز'!$B$5:$B$2004,B91))</f>
        <v/>
      </c>
      <c r="G91" s="35">
        <f>IF(B91="","",COUNTIF($D$38:$D$187,"&gt;"&amp;D91)+1)</f>
        <v/>
      </c>
      <c r="H91" s="35">
        <f>IF(B91="","",INDEX(الموظفات!$L$5:$L$304,MATCH(B91,الموظفات!$B$5:$B$304,0)))</f>
        <v/>
      </c>
      <c r="K91" s="36">
        <f>IF(54&gt;$B$10,"",54)</f>
        <v/>
      </c>
      <c r="L91" s="37">
        <f>IF($K91="","",INDEX('سجل التحفيز'!$A$5:$A$2004,MATCH($K91,'سجل التحفيز'!$AA$5:$AA$2004,0)))</f>
        <v/>
      </c>
      <c r="M91" s="9">
        <f>IF($K91="","",INDEX('سجل التحفيز'!$B$5:$B$2004,MATCH($K91,'سجل التحفيز'!$AA$5:$AA$2004,0)))</f>
        <v/>
      </c>
      <c r="N91" s="9">
        <f>IF($K91="","",INDEX('سجل التحفيز'!$M$5:$M$2004,MATCH($K91,'سجل التحفيز'!$AA$5:$AA$2004,0)))</f>
        <v/>
      </c>
      <c r="O91" s="9">
        <f>IF($K91="","",INDEX('سجل التحفيز'!$C$5:$C$2004,MATCH($K91,'سجل التحفيز'!$AA$5:$AA$2004,0)))</f>
        <v/>
      </c>
      <c r="P91" s="36">
        <f>IF($K91="","",INDEX('سجل التحفيز'!$D$5:$D$2004,MATCH($K91,'سجل التحفيز'!$AA$5:$AA$2004,0)))</f>
        <v/>
      </c>
      <c r="Q91" s="9">
        <f>IF($K91="","",INDEX('سجل التحفيز'!$E$5:$E$2004,MATCH($K91,'سجل التحفيز'!$AA$5:$AA$2004,0)))</f>
        <v/>
      </c>
      <c r="R91" s="9">
        <f>IF($K91="","",INDEX('سجل التحفيز'!$F$5:$F$2004,MATCH($K91,'سجل التحفيز'!$AA$5:$AA$2004,0)))</f>
        <v/>
      </c>
      <c r="S91" s="35">
        <f>IF($K91="","",INDEX('سجل التحفيز'!$G$5:$G$2004,MATCH($K91,'سجل التحفيز'!$AA$5:$AA$2004,0)))</f>
        <v/>
      </c>
    </row>
    <row r="92">
      <c r="B92" s="34">
        <f>IFERROR(INDEX(الموظفات!$B$5:$B$304,MATCH(55,الموظفات!$U$5:$U$304,0)),"")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التحفيز'!$AA$5:$AA$2004,"&gt;0",'سجل التحفيز'!$B$5:$B$2004,B92))</f>
        <v/>
      </c>
      <c r="E92" s="35">
        <f>IF(B92="","",COUNTIFS('سجل التحفيز'!$AA$5:$AA$2004,"&gt;0",'سجل التحفيز'!$B$5:$B$2004,B92,'سجل التحفيز'!$D$5:$D$2004,"ذهبي"))</f>
        <v/>
      </c>
      <c r="F92" s="35">
        <f>IF(B92="","",SUMIFS('سجل التحفيز'!$G$5:$G$2004,'سجل التحفيز'!$AA$5:$AA$2004,"&gt;0",'سجل التحفيز'!$B$5:$B$2004,B92))</f>
        <v/>
      </c>
      <c r="G92" s="35">
        <f>IF(B92="","",COUNTIF($D$38:$D$187,"&gt;"&amp;D92)+1)</f>
        <v/>
      </c>
      <c r="H92" s="35">
        <f>IF(B92="","",INDEX(الموظفات!$L$5:$L$304,MATCH(B92,الموظفات!$B$5:$B$304,0)))</f>
        <v/>
      </c>
      <c r="K92" s="36">
        <f>IF(55&gt;$B$10,"",55)</f>
        <v/>
      </c>
      <c r="L92" s="37">
        <f>IF($K92="","",INDEX('سجل التحفيز'!$A$5:$A$2004,MATCH($K92,'سجل التحفيز'!$AA$5:$AA$2004,0)))</f>
        <v/>
      </c>
      <c r="M92" s="9">
        <f>IF($K92="","",INDEX('سجل التحفيز'!$B$5:$B$2004,MATCH($K92,'سجل التحفيز'!$AA$5:$AA$2004,0)))</f>
        <v/>
      </c>
      <c r="N92" s="9">
        <f>IF($K92="","",INDEX('سجل التحفيز'!$M$5:$M$2004,MATCH($K92,'سجل التحفيز'!$AA$5:$AA$2004,0)))</f>
        <v/>
      </c>
      <c r="O92" s="9">
        <f>IF($K92="","",INDEX('سجل التحفيز'!$C$5:$C$2004,MATCH($K92,'سجل التحفيز'!$AA$5:$AA$2004,0)))</f>
        <v/>
      </c>
      <c r="P92" s="36">
        <f>IF($K92="","",INDEX('سجل التحفيز'!$D$5:$D$2004,MATCH($K92,'سجل التحفيز'!$AA$5:$AA$2004,0)))</f>
        <v/>
      </c>
      <c r="Q92" s="9">
        <f>IF($K92="","",INDEX('سجل التحفيز'!$E$5:$E$2004,MATCH($K92,'سجل التحفيز'!$AA$5:$AA$2004,0)))</f>
        <v/>
      </c>
      <c r="R92" s="9">
        <f>IF($K92="","",INDEX('سجل التحفيز'!$F$5:$F$2004,MATCH($K92,'سجل التحفيز'!$AA$5:$AA$2004,0)))</f>
        <v/>
      </c>
      <c r="S92" s="35">
        <f>IF($K92="","",INDEX('سجل التحفيز'!$G$5:$G$2004,MATCH($K92,'سجل التحفيز'!$AA$5:$AA$2004,0)))</f>
        <v/>
      </c>
    </row>
    <row r="93">
      <c r="B93" s="34">
        <f>IFERROR(INDEX(الموظفات!$B$5:$B$304,MATCH(56,الموظفات!$U$5:$U$304,0)),"")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التحفيز'!$AA$5:$AA$2004,"&gt;0",'سجل التحفيز'!$B$5:$B$2004,B93))</f>
        <v/>
      </c>
      <c r="E93" s="35">
        <f>IF(B93="","",COUNTIFS('سجل التحفيز'!$AA$5:$AA$2004,"&gt;0",'سجل التحفيز'!$B$5:$B$2004,B93,'سجل التحفيز'!$D$5:$D$2004,"ذهبي"))</f>
        <v/>
      </c>
      <c r="F93" s="35">
        <f>IF(B93="","",SUMIFS('سجل التحفيز'!$G$5:$G$2004,'سجل التحفيز'!$AA$5:$AA$2004,"&gt;0",'سجل التحفيز'!$B$5:$B$2004,B93))</f>
        <v/>
      </c>
      <c r="G93" s="35">
        <f>IF(B93="","",COUNTIF($D$38:$D$187,"&gt;"&amp;D93)+1)</f>
        <v/>
      </c>
      <c r="H93" s="35">
        <f>IF(B93="","",INDEX(الموظفات!$L$5:$L$304,MATCH(B93,الموظفات!$B$5:$B$304,0)))</f>
        <v/>
      </c>
      <c r="K93" s="36">
        <f>IF(56&gt;$B$10,"",56)</f>
        <v/>
      </c>
      <c r="L93" s="37">
        <f>IF($K93="","",INDEX('سجل التحفيز'!$A$5:$A$2004,MATCH($K93,'سجل التحفيز'!$AA$5:$AA$2004,0)))</f>
        <v/>
      </c>
      <c r="M93" s="9">
        <f>IF($K93="","",INDEX('سجل التحفيز'!$B$5:$B$2004,MATCH($K93,'سجل التحفيز'!$AA$5:$AA$2004,0)))</f>
        <v/>
      </c>
      <c r="N93" s="9">
        <f>IF($K93="","",INDEX('سجل التحفيز'!$M$5:$M$2004,MATCH($K93,'سجل التحفيز'!$AA$5:$AA$2004,0)))</f>
        <v/>
      </c>
      <c r="O93" s="9">
        <f>IF($K93="","",INDEX('سجل التحفيز'!$C$5:$C$2004,MATCH($K93,'سجل التحفيز'!$AA$5:$AA$2004,0)))</f>
        <v/>
      </c>
      <c r="P93" s="36">
        <f>IF($K93="","",INDEX('سجل التحفيز'!$D$5:$D$2004,MATCH($K93,'سجل التحفيز'!$AA$5:$AA$2004,0)))</f>
        <v/>
      </c>
      <c r="Q93" s="9">
        <f>IF($K93="","",INDEX('سجل التحفيز'!$E$5:$E$2004,MATCH($K93,'سجل التحفيز'!$AA$5:$AA$2004,0)))</f>
        <v/>
      </c>
      <c r="R93" s="9">
        <f>IF($K93="","",INDEX('سجل التحفيز'!$F$5:$F$2004,MATCH($K93,'سجل التحفيز'!$AA$5:$AA$2004,0)))</f>
        <v/>
      </c>
      <c r="S93" s="35">
        <f>IF($K93="","",INDEX('سجل التحفيز'!$G$5:$G$2004,MATCH($K93,'سجل التحفيز'!$AA$5:$AA$2004,0)))</f>
        <v/>
      </c>
    </row>
    <row r="94">
      <c r="B94" s="34">
        <f>IFERROR(INDEX(الموظفات!$B$5:$B$304,MATCH(57,الموظفات!$U$5:$U$304,0)),"")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التحفيز'!$AA$5:$AA$2004,"&gt;0",'سجل التحفيز'!$B$5:$B$2004,B94))</f>
        <v/>
      </c>
      <c r="E94" s="35">
        <f>IF(B94="","",COUNTIFS('سجل التحفيز'!$AA$5:$AA$2004,"&gt;0",'سجل التحفيز'!$B$5:$B$2004,B94,'سجل التحفيز'!$D$5:$D$2004,"ذهبي"))</f>
        <v/>
      </c>
      <c r="F94" s="35">
        <f>IF(B94="","",SUMIFS('سجل التحفيز'!$G$5:$G$2004,'سجل التحفيز'!$AA$5:$AA$2004,"&gt;0",'سجل التحفيز'!$B$5:$B$2004,B94))</f>
        <v/>
      </c>
      <c r="G94" s="35">
        <f>IF(B94="","",COUNTIF($D$38:$D$187,"&gt;"&amp;D94)+1)</f>
        <v/>
      </c>
      <c r="H94" s="35">
        <f>IF(B94="","",INDEX(الموظفات!$L$5:$L$304,MATCH(B94,الموظفات!$B$5:$B$304,0)))</f>
        <v/>
      </c>
      <c r="K94" s="36">
        <f>IF(57&gt;$B$10,"",57)</f>
        <v/>
      </c>
      <c r="L94" s="37">
        <f>IF($K94="","",INDEX('سجل التحفيز'!$A$5:$A$2004,MATCH($K94,'سجل التحفيز'!$AA$5:$AA$2004,0)))</f>
        <v/>
      </c>
      <c r="M94" s="9">
        <f>IF($K94="","",INDEX('سجل التحفيز'!$B$5:$B$2004,MATCH($K94,'سجل التحفيز'!$AA$5:$AA$2004,0)))</f>
        <v/>
      </c>
      <c r="N94" s="9">
        <f>IF($K94="","",INDEX('سجل التحفيز'!$M$5:$M$2004,MATCH($K94,'سجل التحفيز'!$AA$5:$AA$2004,0)))</f>
        <v/>
      </c>
      <c r="O94" s="9">
        <f>IF($K94="","",INDEX('سجل التحفيز'!$C$5:$C$2004,MATCH($K94,'سجل التحفيز'!$AA$5:$AA$2004,0)))</f>
        <v/>
      </c>
      <c r="P94" s="36">
        <f>IF($K94="","",INDEX('سجل التحفيز'!$D$5:$D$2004,MATCH($K94,'سجل التحفيز'!$AA$5:$AA$2004,0)))</f>
        <v/>
      </c>
      <c r="Q94" s="9">
        <f>IF($K94="","",INDEX('سجل التحفيز'!$E$5:$E$2004,MATCH($K94,'سجل التحفيز'!$AA$5:$AA$2004,0)))</f>
        <v/>
      </c>
      <c r="R94" s="9">
        <f>IF($K94="","",INDEX('سجل التحفيز'!$F$5:$F$2004,MATCH($K94,'سجل التحفيز'!$AA$5:$AA$2004,0)))</f>
        <v/>
      </c>
      <c r="S94" s="35">
        <f>IF($K94="","",INDEX('سجل التحفيز'!$G$5:$G$2004,MATCH($K94,'سجل التحفيز'!$AA$5:$AA$2004,0)))</f>
        <v/>
      </c>
    </row>
    <row r="95">
      <c r="B95" s="34">
        <f>IFERROR(INDEX(الموظفات!$B$5:$B$304,MATCH(58,الموظفات!$U$5:$U$304,0)),"")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التحفيز'!$AA$5:$AA$2004,"&gt;0",'سجل التحفيز'!$B$5:$B$2004,B95))</f>
        <v/>
      </c>
      <c r="E95" s="35">
        <f>IF(B95="","",COUNTIFS('سجل التحفيز'!$AA$5:$AA$2004,"&gt;0",'سجل التحفيز'!$B$5:$B$2004,B95,'سجل التحفيز'!$D$5:$D$2004,"ذهبي"))</f>
        <v/>
      </c>
      <c r="F95" s="35">
        <f>IF(B95="","",SUMIFS('سجل التحفيز'!$G$5:$G$2004,'سجل التحفيز'!$AA$5:$AA$2004,"&gt;0",'سجل التحفيز'!$B$5:$B$2004,B95))</f>
        <v/>
      </c>
      <c r="G95" s="35">
        <f>IF(B95="","",COUNTIF($D$38:$D$187,"&gt;"&amp;D95)+1)</f>
        <v/>
      </c>
      <c r="H95" s="35">
        <f>IF(B95="","",INDEX(الموظفات!$L$5:$L$304,MATCH(B95,الموظفات!$B$5:$B$304,0)))</f>
        <v/>
      </c>
      <c r="K95" s="36">
        <f>IF(58&gt;$B$10,"",58)</f>
        <v/>
      </c>
      <c r="L95" s="37">
        <f>IF($K95="","",INDEX('سجل التحفيز'!$A$5:$A$2004,MATCH($K95,'سجل التحفيز'!$AA$5:$AA$2004,0)))</f>
        <v/>
      </c>
      <c r="M95" s="9">
        <f>IF($K95="","",INDEX('سجل التحفيز'!$B$5:$B$2004,MATCH($K95,'سجل التحفيز'!$AA$5:$AA$2004,0)))</f>
        <v/>
      </c>
      <c r="N95" s="9">
        <f>IF($K95="","",INDEX('سجل التحفيز'!$M$5:$M$2004,MATCH($K95,'سجل التحفيز'!$AA$5:$AA$2004,0)))</f>
        <v/>
      </c>
      <c r="O95" s="9">
        <f>IF($K95="","",INDEX('سجل التحفيز'!$C$5:$C$2004,MATCH($K95,'سجل التحفيز'!$AA$5:$AA$2004,0)))</f>
        <v/>
      </c>
      <c r="P95" s="36">
        <f>IF($K95="","",INDEX('سجل التحفيز'!$D$5:$D$2004,MATCH($K95,'سجل التحفيز'!$AA$5:$AA$2004,0)))</f>
        <v/>
      </c>
      <c r="Q95" s="9">
        <f>IF($K95="","",INDEX('سجل التحفيز'!$E$5:$E$2004,MATCH($K95,'سجل التحفيز'!$AA$5:$AA$2004,0)))</f>
        <v/>
      </c>
      <c r="R95" s="9">
        <f>IF($K95="","",INDEX('سجل التحفيز'!$F$5:$F$2004,MATCH($K95,'سجل التحفيز'!$AA$5:$AA$2004,0)))</f>
        <v/>
      </c>
      <c r="S95" s="35">
        <f>IF($K95="","",INDEX('سجل التحفيز'!$G$5:$G$2004,MATCH($K95,'سجل التحفيز'!$AA$5:$AA$2004,0)))</f>
        <v/>
      </c>
    </row>
    <row r="96">
      <c r="B96" s="34">
        <f>IFERROR(INDEX(الموظفات!$B$5:$B$304,MATCH(59,الموظفات!$U$5:$U$304,0)),"")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التحفيز'!$AA$5:$AA$2004,"&gt;0",'سجل التحفيز'!$B$5:$B$2004,B96))</f>
        <v/>
      </c>
      <c r="E96" s="35">
        <f>IF(B96="","",COUNTIFS('سجل التحفيز'!$AA$5:$AA$2004,"&gt;0",'سجل التحفيز'!$B$5:$B$2004,B96,'سجل التحفيز'!$D$5:$D$2004,"ذهبي"))</f>
        <v/>
      </c>
      <c r="F96" s="35">
        <f>IF(B96="","",SUMIFS('سجل التحفيز'!$G$5:$G$2004,'سجل التحفيز'!$AA$5:$AA$2004,"&gt;0",'سجل التحفيز'!$B$5:$B$2004,B96))</f>
        <v/>
      </c>
      <c r="G96" s="35">
        <f>IF(B96="","",COUNTIF($D$38:$D$187,"&gt;"&amp;D96)+1)</f>
        <v/>
      </c>
      <c r="H96" s="35">
        <f>IF(B96="","",INDEX(الموظفات!$L$5:$L$304,MATCH(B96,الموظفات!$B$5:$B$304,0)))</f>
        <v/>
      </c>
      <c r="K96" s="36">
        <f>IF(59&gt;$B$10,"",59)</f>
        <v/>
      </c>
      <c r="L96" s="37">
        <f>IF($K96="","",INDEX('سجل التحفيز'!$A$5:$A$2004,MATCH($K96,'سجل التحفيز'!$AA$5:$AA$2004,0)))</f>
        <v/>
      </c>
      <c r="M96" s="9">
        <f>IF($K96="","",INDEX('سجل التحفيز'!$B$5:$B$2004,MATCH($K96,'سجل التحفيز'!$AA$5:$AA$2004,0)))</f>
        <v/>
      </c>
      <c r="N96" s="9">
        <f>IF($K96="","",INDEX('سجل التحفيز'!$M$5:$M$2004,MATCH($K96,'سجل التحفيز'!$AA$5:$AA$2004,0)))</f>
        <v/>
      </c>
      <c r="O96" s="9">
        <f>IF($K96="","",INDEX('سجل التحفيز'!$C$5:$C$2004,MATCH($K96,'سجل التحفيز'!$AA$5:$AA$2004,0)))</f>
        <v/>
      </c>
      <c r="P96" s="36">
        <f>IF($K96="","",INDEX('سجل التحفيز'!$D$5:$D$2004,MATCH($K96,'سجل التحفيز'!$AA$5:$AA$2004,0)))</f>
        <v/>
      </c>
      <c r="Q96" s="9">
        <f>IF($K96="","",INDEX('سجل التحفيز'!$E$5:$E$2004,MATCH($K96,'سجل التحفيز'!$AA$5:$AA$2004,0)))</f>
        <v/>
      </c>
      <c r="R96" s="9">
        <f>IF($K96="","",INDEX('سجل التحفيز'!$F$5:$F$2004,MATCH($K96,'سجل التحفيز'!$AA$5:$AA$2004,0)))</f>
        <v/>
      </c>
      <c r="S96" s="35">
        <f>IF($K96="","",INDEX('سجل التحفيز'!$G$5:$G$2004,MATCH($K96,'سجل التحفيز'!$AA$5:$AA$2004,0)))</f>
        <v/>
      </c>
    </row>
    <row r="97">
      <c r="B97" s="34">
        <f>IFERROR(INDEX(الموظفات!$B$5:$B$304,MATCH(60,الموظفات!$U$5:$U$304,0)),"")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التحفيز'!$AA$5:$AA$2004,"&gt;0",'سجل التحفيز'!$B$5:$B$2004,B97))</f>
        <v/>
      </c>
      <c r="E97" s="35">
        <f>IF(B97="","",COUNTIFS('سجل التحفيز'!$AA$5:$AA$2004,"&gt;0",'سجل التحفيز'!$B$5:$B$2004,B97,'سجل التحفيز'!$D$5:$D$2004,"ذهبي"))</f>
        <v/>
      </c>
      <c r="F97" s="35">
        <f>IF(B97="","",SUMIFS('سجل التحفيز'!$G$5:$G$2004,'سجل التحفيز'!$AA$5:$AA$2004,"&gt;0",'سجل التحفيز'!$B$5:$B$2004,B97))</f>
        <v/>
      </c>
      <c r="G97" s="35">
        <f>IF(B97="","",COUNTIF($D$38:$D$187,"&gt;"&amp;D97)+1)</f>
        <v/>
      </c>
      <c r="H97" s="35">
        <f>IF(B97="","",INDEX(الموظفات!$L$5:$L$304,MATCH(B97,الموظفات!$B$5:$B$304,0)))</f>
        <v/>
      </c>
      <c r="K97" s="36">
        <f>IF(60&gt;$B$10,"",60)</f>
        <v/>
      </c>
      <c r="L97" s="37">
        <f>IF($K97="","",INDEX('سجل التحفيز'!$A$5:$A$2004,MATCH($K97,'سجل التحفيز'!$AA$5:$AA$2004,0)))</f>
        <v/>
      </c>
      <c r="M97" s="9">
        <f>IF($K97="","",INDEX('سجل التحفيز'!$B$5:$B$2004,MATCH($K97,'سجل التحفيز'!$AA$5:$AA$2004,0)))</f>
        <v/>
      </c>
      <c r="N97" s="9">
        <f>IF($K97="","",INDEX('سجل التحفيز'!$M$5:$M$2004,MATCH($K97,'سجل التحفيز'!$AA$5:$AA$2004,0)))</f>
        <v/>
      </c>
      <c r="O97" s="9">
        <f>IF($K97="","",INDEX('سجل التحفيز'!$C$5:$C$2004,MATCH($K97,'سجل التحفيز'!$AA$5:$AA$2004,0)))</f>
        <v/>
      </c>
      <c r="P97" s="36">
        <f>IF($K97="","",INDEX('سجل التحفيز'!$D$5:$D$2004,MATCH($K97,'سجل التحفيز'!$AA$5:$AA$2004,0)))</f>
        <v/>
      </c>
      <c r="Q97" s="9">
        <f>IF($K97="","",INDEX('سجل التحفيز'!$E$5:$E$2004,MATCH($K97,'سجل التحفيز'!$AA$5:$AA$2004,0)))</f>
        <v/>
      </c>
      <c r="R97" s="9">
        <f>IF($K97="","",INDEX('سجل التحفيز'!$F$5:$F$2004,MATCH($K97,'سجل التحفيز'!$AA$5:$AA$2004,0)))</f>
        <v/>
      </c>
      <c r="S97" s="35">
        <f>IF($K97="","",INDEX('سجل التحفيز'!$G$5:$G$2004,MATCH($K97,'سجل التحفيز'!$AA$5:$AA$2004,0)))</f>
        <v/>
      </c>
    </row>
    <row r="98">
      <c r="B98" s="34">
        <f>IFERROR(INDEX(الموظفات!$B$5:$B$304,MATCH(61,الموظفات!$U$5:$U$304,0)),"")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التحفيز'!$AA$5:$AA$2004,"&gt;0",'سجل التحفيز'!$B$5:$B$2004,B98))</f>
        <v/>
      </c>
      <c r="E98" s="35">
        <f>IF(B98="","",COUNTIFS('سجل التحفيز'!$AA$5:$AA$2004,"&gt;0",'سجل التحفيز'!$B$5:$B$2004,B98,'سجل التحفيز'!$D$5:$D$2004,"ذهبي"))</f>
        <v/>
      </c>
      <c r="F98" s="35">
        <f>IF(B98="","",SUMIFS('سجل التحفيز'!$G$5:$G$2004,'سجل التحفيز'!$AA$5:$AA$2004,"&gt;0",'سجل التحفيز'!$B$5:$B$2004,B98))</f>
        <v/>
      </c>
      <c r="G98" s="35">
        <f>IF(B98="","",COUNTIF($D$38:$D$187,"&gt;"&amp;D98)+1)</f>
        <v/>
      </c>
      <c r="H98" s="35">
        <f>IF(B98="","",INDEX(الموظفات!$L$5:$L$304,MATCH(B98,الموظفات!$B$5:$B$304,0)))</f>
        <v/>
      </c>
      <c r="K98" s="36">
        <f>IF(61&gt;$B$10,"",61)</f>
        <v/>
      </c>
      <c r="L98" s="37">
        <f>IF($K98="","",INDEX('سجل التحفيز'!$A$5:$A$2004,MATCH($K98,'سجل التحفيز'!$AA$5:$AA$2004,0)))</f>
        <v/>
      </c>
      <c r="M98" s="9">
        <f>IF($K98="","",INDEX('سجل التحفيز'!$B$5:$B$2004,MATCH($K98,'سجل التحفيز'!$AA$5:$AA$2004,0)))</f>
        <v/>
      </c>
      <c r="N98" s="9">
        <f>IF($K98="","",INDEX('سجل التحفيز'!$M$5:$M$2004,MATCH($K98,'سجل التحفيز'!$AA$5:$AA$2004,0)))</f>
        <v/>
      </c>
      <c r="O98" s="9">
        <f>IF($K98="","",INDEX('سجل التحفيز'!$C$5:$C$2004,MATCH($K98,'سجل التحفيز'!$AA$5:$AA$2004,0)))</f>
        <v/>
      </c>
      <c r="P98" s="36">
        <f>IF($K98="","",INDEX('سجل التحفيز'!$D$5:$D$2004,MATCH($K98,'سجل التحفيز'!$AA$5:$AA$2004,0)))</f>
        <v/>
      </c>
      <c r="Q98" s="9">
        <f>IF($K98="","",INDEX('سجل التحفيز'!$E$5:$E$2004,MATCH($K98,'سجل التحفيز'!$AA$5:$AA$2004,0)))</f>
        <v/>
      </c>
      <c r="R98" s="9">
        <f>IF($K98="","",INDEX('سجل التحفيز'!$F$5:$F$2004,MATCH($K98,'سجل التحفيز'!$AA$5:$AA$2004,0)))</f>
        <v/>
      </c>
      <c r="S98" s="35">
        <f>IF($K98="","",INDEX('سجل التحفيز'!$G$5:$G$2004,MATCH($K98,'سجل التحفيز'!$AA$5:$AA$2004,0)))</f>
        <v/>
      </c>
    </row>
    <row r="99">
      <c r="B99" s="34">
        <f>IFERROR(INDEX(الموظفات!$B$5:$B$304,MATCH(62,الموظفات!$U$5:$U$304,0)),"")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التحفيز'!$AA$5:$AA$2004,"&gt;0",'سجل التحفيز'!$B$5:$B$2004,B99))</f>
        <v/>
      </c>
      <c r="E99" s="35">
        <f>IF(B99="","",COUNTIFS('سجل التحفيز'!$AA$5:$AA$2004,"&gt;0",'سجل التحفيز'!$B$5:$B$2004,B99,'سجل التحفيز'!$D$5:$D$2004,"ذهبي"))</f>
        <v/>
      </c>
      <c r="F99" s="35">
        <f>IF(B99="","",SUMIFS('سجل التحفيز'!$G$5:$G$2004,'سجل التحفيز'!$AA$5:$AA$2004,"&gt;0",'سجل التحفيز'!$B$5:$B$2004,B99))</f>
        <v/>
      </c>
      <c r="G99" s="35">
        <f>IF(B99="","",COUNTIF($D$38:$D$187,"&gt;"&amp;D99)+1)</f>
        <v/>
      </c>
      <c r="H99" s="35">
        <f>IF(B99="","",INDEX(الموظفات!$L$5:$L$304,MATCH(B99,الموظفات!$B$5:$B$304,0)))</f>
        <v/>
      </c>
      <c r="K99" s="36">
        <f>IF(62&gt;$B$10,"",62)</f>
        <v/>
      </c>
      <c r="L99" s="37">
        <f>IF($K99="","",INDEX('سجل التحفيز'!$A$5:$A$2004,MATCH($K99,'سجل التحفيز'!$AA$5:$AA$2004,0)))</f>
        <v/>
      </c>
      <c r="M99" s="9">
        <f>IF($K99="","",INDEX('سجل التحفيز'!$B$5:$B$2004,MATCH($K99,'سجل التحفيز'!$AA$5:$AA$2004,0)))</f>
        <v/>
      </c>
      <c r="N99" s="9">
        <f>IF($K99="","",INDEX('سجل التحفيز'!$M$5:$M$2004,MATCH($K99,'سجل التحفيز'!$AA$5:$AA$2004,0)))</f>
        <v/>
      </c>
      <c r="O99" s="9">
        <f>IF($K99="","",INDEX('سجل التحفيز'!$C$5:$C$2004,MATCH($K99,'سجل التحفيز'!$AA$5:$AA$2004,0)))</f>
        <v/>
      </c>
      <c r="P99" s="36">
        <f>IF($K99="","",INDEX('سجل التحفيز'!$D$5:$D$2004,MATCH($K99,'سجل التحفيز'!$AA$5:$AA$2004,0)))</f>
        <v/>
      </c>
      <c r="Q99" s="9">
        <f>IF($K99="","",INDEX('سجل التحفيز'!$E$5:$E$2004,MATCH($K99,'سجل التحفيز'!$AA$5:$AA$2004,0)))</f>
        <v/>
      </c>
      <c r="R99" s="9">
        <f>IF($K99="","",INDEX('سجل التحفيز'!$F$5:$F$2004,MATCH($K99,'سجل التحفيز'!$AA$5:$AA$2004,0)))</f>
        <v/>
      </c>
      <c r="S99" s="35">
        <f>IF($K99="","",INDEX('سجل التحفيز'!$G$5:$G$2004,MATCH($K99,'سجل التحفيز'!$AA$5:$AA$2004,0)))</f>
        <v/>
      </c>
    </row>
    <row r="100">
      <c r="B100" s="34">
        <f>IFERROR(INDEX(الموظفات!$B$5:$B$304,MATCH(63,الموظفات!$U$5:$U$304,0)),"")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التحفيز'!$AA$5:$AA$2004,"&gt;0",'سجل التحفيز'!$B$5:$B$2004,B100))</f>
        <v/>
      </c>
      <c r="E100" s="35">
        <f>IF(B100="","",COUNTIFS('سجل التحفيز'!$AA$5:$AA$2004,"&gt;0",'سجل التحفيز'!$B$5:$B$2004,B100,'سجل التحفيز'!$D$5:$D$2004,"ذهبي"))</f>
        <v/>
      </c>
      <c r="F100" s="35">
        <f>IF(B100="","",SUMIFS('سجل التحفيز'!$G$5:$G$2004,'سجل التحفيز'!$AA$5:$AA$2004,"&gt;0",'سجل التحفيز'!$B$5:$B$2004,B100))</f>
        <v/>
      </c>
      <c r="G100" s="35">
        <f>IF(B100="","",COUNTIF($D$38:$D$187,"&gt;"&amp;D100)+1)</f>
        <v/>
      </c>
      <c r="H100" s="35">
        <f>IF(B100="","",INDEX(الموظفات!$L$5:$L$304,MATCH(B100,الموظفات!$B$5:$B$304,0)))</f>
        <v/>
      </c>
      <c r="K100" s="36">
        <f>IF(63&gt;$B$10,"",63)</f>
        <v/>
      </c>
      <c r="L100" s="37">
        <f>IF($K100="","",INDEX('سجل التحفيز'!$A$5:$A$2004,MATCH($K100,'سجل التحفيز'!$AA$5:$AA$2004,0)))</f>
        <v/>
      </c>
      <c r="M100" s="9">
        <f>IF($K100="","",INDEX('سجل التحفيز'!$B$5:$B$2004,MATCH($K100,'سجل التحفيز'!$AA$5:$AA$2004,0)))</f>
        <v/>
      </c>
      <c r="N100" s="9">
        <f>IF($K100="","",INDEX('سجل التحفيز'!$M$5:$M$2004,MATCH($K100,'سجل التحفيز'!$AA$5:$AA$2004,0)))</f>
        <v/>
      </c>
      <c r="O100" s="9">
        <f>IF($K100="","",INDEX('سجل التحفيز'!$C$5:$C$2004,MATCH($K100,'سجل التحفيز'!$AA$5:$AA$2004,0)))</f>
        <v/>
      </c>
      <c r="P100" s="36">
        <f>IF($K100="","",INDEX('سجل التحفيز'!$D$5:$D$2004,MATCH($K100,'سجل التحفيز'!$AA$5:$AA$2004,0)))</f>
        <v/>
      </c>
      <c r="Q100" s="9">
        <f>IF($K100="","",INDEX('سجل التحفيز'!$E$5:$E$2004,MATCH($K100,'سجل التحفيز'!$AA$5:$AA$2004,0)))</f>
        <v/>
      </c>
      <c r="R100" s="9">
        <f>IF($K100="","",INDEX('سجل التحفيز'!$F$5:$F$2004,MATCH($K100,'سجل التحفيز'!$AA$5:$AA$2004,0)))</f>
        <v/>
      </c>
      <c r="S100" s="35">
        <f>IF($K100="","",INDEX('سجل التحفيز'!$G$5:$G$2004,MATCH($K100,'سجل التحفيز'!$AA$5:$AA$2004,0)))</f>
        <v/>
      </c>
    </row>
    <row r="101">
      <c r="B101" s="34">
        <f>IFERROR(INDEX(الموظفات!$B$5:$B$304,MATCH(64,الموظفات!$U$5:$U$304,0)),"")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التحفيز'!$AA$5:$AA$2004,"&gt;0",'سجل التحفيز'!$B$5:$B$2004,B101))</f>
        <v/>
      </c>
      <c r="E101" s="35">
        <f>IF(B101="","",COUNTIFS('سجل التحفيز'!$AA$5:$AA$2004,"&gt;0",'سجل التحفيز'!$B$5:$B$2004,B101,'سجل التحفيز'!$D$5:$D$2004,"ذهبي"))</f>
        <v/>
      </c>
      <c r="F101" s="35">
        <f>IF(B101="","",SUMIFS('سجل التحفيز'!$G$5:$G$2004,'سجل التحفيز'!$AA$5:$AA$2004,"&gt;0",'سجل التحفيز'!$B$5:$B$2004,B101))</f>
        <v/>
      </c>
      <c r="G101" s="35">
        <f>IF(B101="","",COUNTIF($D$38:$D$187,"&gt;"&amp;D101)+1)</f>
        <v/>
      </c>
      <c r="H101" s="35">
        <f>IF(B101="","",INDEX(الموظفات!$L$5:$L$304,MATCH(B101,الموظفات!$B$5:$B$304,0)))</f>
        <v/>
      </c>
      <c r="K101" s="36">
        <f>IF(64&gt;$B$10,"",64)</f>
        <v/>
      </c>
      <c r="L101" s="37">
        <f>IF($K101="","",INDEX('سجل التحفيز'!$A$5:$A$2004,MATCH($K101,'سجل التحفيز'!$AA$5:$AA$2004,0)))</f>
        <v/>
      </c>
      <c r="M101" s="9">
        <f>IF($K101="","",INDEX('سجل التحفيز'!$B$5:$B$2004,MATCH($K101,'سجل التحفيز'!$AA$5:$AA$2004,0)))</f>
        <v/>
      </c>
      <c r="N101" s="9">
        <f>IF($K101="","",INDEX('سجل التحفيز'!$M$5:$M$2004,MATCH($K101,'سجل التحفيز'!$AA$5:$AA$2004,0)))</f>
        <v/>
      </c>
      <c r="O101" s="9">
        <f>IF($K101="","",INDEX('سجل التحفيز'!$C$5:$C$2004,MATCH($K101,'سجل التحفيز'!$AA$5:$AA$2004,0)))</f>
        <v/>
      </c>
      <c r="P101" s="36">
        <f>IF($K101="","",INDEX('سجل التحفيز'!$D$5:$D$2004,MATCH($K101,'سجل التحفيز'!$AA$5:$AA$2004,0)))</f>
        <v/>
      </c>
      <c r="Q101" s="9">
        <f>IF($K101="","",INDEX('سجل التحفيز'!$E$5:$E$2004,MATCH($K101,'سجل التحفيز'!$AA$5:$AA$2004,0)))</f>
        <v/>
      </c>
      <c r="R101" s="9">
        <f>IF($K101="","",INDEX('سجل التحفيز'!$F$5:$F$2004,MATCH($K101,'سجل التحفيز'!$AA$5:$AA$2004,0)))</f>
        <v/>
      </c>
      <c r="S101" s="35">
        <f>IF($K101="","",INDEX('سجل التحفيز'!$G$5:$G$2004,MATCH($K101,'سجل التحفيز'!$AA$5:$AA$2004,0)))</f>
        <v/>
      </c>
    </row>
    <row r="102">
      <c r="B102" s="34">
        <f>IFERROR(INDEX(الموظفات!$B$5:$B$304,MATCH(65,الموظفات!$U$5:$U$304,0)),"")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التحفيز'!$AA$5:$AA$2004,"&gt;0",'سجل التحفيز'!$B$5:$B$2004,B102))</f>
        <v/>
      </c>
      <c r="E102" s="35">
        <f>IF(B102="","",COUNTIFS('سجل التحفيز'!$AA$5:$AA$2004,"&gt;0",'سجل التحفيز'!$B$5:$B$2004,B102,'سجل التحفيز'!$D$5:$D$2004,"ذهبي"))</f>
        <v/>
      </c>
      <c r="F102" s="35">
        <f>IF(B102="","",SUMIFS('سجل التحفيز'!$G$5:$G$2004,'سجل التحفيز'!$AA$5:$AA$2004,"&gt;0",'سجل التحفيز'!$B$5:$B$2004,B102))</f>
        <v/>
      </c>
      <c r="G102" s="35">
        <f>IF(B102="","",COUNTIF($D$38:$D$187,"&gt;"&amp;D102)+1)</f>
        <v/>
      </c>
      <c r="H102" s="35">
        <f>IF(B102="","",INDEX(الموظفات!$L$5:$L$304,MATCH(B102,الموظفات!$B$5:$B$304,0)))</f>
        <v/>
      </c>
      <c r="K102" s="36">
        <f>IF(65&gt;$B$10,"",65)</f>
        <v/>
      </c>
      <c r="L102" s="37">
        <f>IF($K102="","",INDEX('سجل التحفيز'!$A$5:$A$2004,MATCH($K102,'سجل التحفيز'!$AA$5:$AA$2004,0)))</f>
        <v/>
      </c>
      <c r="M102" s="9">
        <f>IF($K102="","",INDEX('سجل التحفيز'!$B$5:$B$2004,MATCH($K102,'سجل التحفيز'!$AA$5:$AA$2004,0)))</f>
        <v/>
      </c>
      <c r="N102" s="9">
        <f>IF($K102="","",INDEX('سجل التحفيز'!$M$5:$M$2004,MATCH($K102,'سجل التحفيز'!$AA$5:$AA$2004,0)))</f>
        <v/>
      </c>
      <c r="O102" s="9">
        <f>IF($K102="","",INDEX('سجل التحفيز'!$C$5:$C$2004,MATCH($K102,'سجل التحفيز'!$AA$5:$AA$2004,0)))</f>
        <v/>
      </c>
      <c r="P102" s="36">
        <f>IF($K102="","",INDEX('سجل التحفيز'!$D$5:$D$2004,MATCH($K102,'سجل التحفيز'!$AA$5:$AA$2004,0)))</f>
        <v/>
      </c>
      <c r="Q102" s="9">
        <f>IF($K102="","",INDEX('سجل التحفيز'!$E$5:$E$2004,MATCH($K102,'سجل التحفيز'!$AA$5:$AA$2004,0)))</f>
        <v/>
      </c>
      <c r="R102" s="9">
        <f>IF($K102="","",INDEX('سجل التحفيز'!$F$5:$F$2004,MATCH($K102,'سجل التحفيز'!$AA$5:$AA$2004,0)))</f>
        <v/>
      </c>
      <c r="S102" s="35">
        <f>IF($K102="","",INDEX('سجل التحفيز'!$G$5:$G$2004,MATCH($K102,'سجل التحفيز'!$AA$5:$AA$2004,0)))</f>
        <v/>
      </c>
    </row>
    <row r="103">
      <c r="B103" s="34">
        <f>IFERROR(INDEX(الموظفات!$B$5:$B$304,MATCH(66,الموظفات!$U$5:$U$304,0)),"")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التحفيز'!$AA$5:$AA$2004,"&gt;0",'سجل التحفيز'!$B$5:$B$2004,B103))</f>
        <v/>
      </c>
      <c r="E103" s="35">
        <f>IF(B103="","",COUNTIFS('سجل التحفيز'!$AA$5:$AA$2004,"&gt;0",'سجل التحفيز'!$B$5:$B$2004,B103,'سجل التحفيز'!$D$5:$D$2004,"ذهبي"))</f>
        <v/>
      </c>
      <c r="F103" s="35">
        <f>IF(B103="","",SUMIFS('سجل التحفيز'!$G$5:$G$2004,'سجل التحفيز'!$AA$5:$AA$2004,"&gt;0",'سجل التحفيز'!$B$5:$B$2004,B103))</f>
        <v/>
      </c>
      <c r="G103" s="35">
        <f>IF(B103="","",COUNTIF($D$38:$D$187,"&gt;"&amp;D103)+1)</f>
        <v/>
      </c>
      <c r="H103" s="35">
        <f>IF(B103="","",INDEX(الموظفات!$L$5:$L$304,MATCH(B103,الموظفات!$B$5:$B$304,0)))</f>
        <v/>
      </c>
      <c r="K103" s="36">
        <f>IF(66&gt;$B$10,"",66)</f>
        <v/>
      </c>
      <c r="L103" s="37">
        <f>IF($K103="","",INDEX('سجل التحفيز'!$A$5:$A$2004,MATCH($K103,'سجل التحفيز'!$AA$5:$AA$2004,0)))</f>
        <v/>
      </c>
      <c r="M103" s="9">
        <f>IF($K103="","",INDEX('سجل التحفيز'!$B$5:$B$2004,MATCH($K103,'سجل التحفيز'!$AA$5:$AA$2004,0)))</f>
        <v/>
      </c>
      <c r="N103" s="9">
        <f>IF($K103="","",INDEX('سجل التحفيز'!$M$5:$M$2004,MATCH($K103,'سجل التحفيز'!$AA$5:$AA$2004,0)))</f>
        <v/>
      </c>
      <c r="O103" s="9">
        <f>IF($K103="","",INDEX('سجل التحفيز'!$C$5:$C$2004,MATCH($K103,'سجل التحفيز'!$AA$5:$AA$2004,0)))</f>
        <v/>
      </c>
      <c r="P103" s="36">
        <f>IF($K103="","",INDEX('سجل التحفيز'!$D$5:$D$2004,MATCH($K103,'سجل التحفيز'!$AA$5:$AA$2004,0)))</f>
        <v/>
      </c>
      <c r="Q103" s="9">
        <f>IF($K103="","",INDEX('سجل التحفيز'!$E$5:$E$2004,MATCH($K103,'سجل التحفيز'!$AA$5:$AA$2004,0)))</f>
        <v/>
      </c>
      <c r="R103" s="9">
        <f>IF($K103="","",INDEX('سجل التحفيز'!$F$5:$F$2004,MATCH($K103,'سجل التحفيز'!$AA$5:$AA$2004,0)))</f>
        <v/>
      </c>
      <c r="S103" s="35">
        <f>IF($K103="","",INDEX('سجل التحفيز'!$G$5:$G$2004,MATCH($K103,'سجل التحفيز'!$AA$5:$AA$2004,0)))</f>
        <v/>
      </c>
    </row>
    <row r="104">
      <c r="B104" s="34">
        <f>IFERROR(INDEX(الموظفات!$B$5:$B$304,MATCH(67,الموظفات!$U$5:$U$304,0)),"")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التحفيز'!$AA$5:$AA$2004,"&gt;0",'سجل التحفيز'!$B$5:$B$2004,B104))</f>
        <v/>
      </c>
      <c r="E104" s="35">
        <f>IF(B104="","",COUNTIFS('سجل التحفيز'!$AA$5:$AA$2004,"&gt;0",'سجل التحفيز'!$B$5:$B$2004,B104,'سجل التحفيز'!$D$5:$D$2004,"ذهبي"))</f>
        <v/>
      </c>
      <c r="F104" s="35">
        <f>IF(B104="","",SUMIFS('سجل التحفيز'!$G$5:$G$2004,'سجل التحفيز'!$AA$5:$AA$2004,"&gt;0",'سجل التحفيز'!$B$5:$B$2004,B104))</f>
        <v/>
      </c>
      <c r="G104" s="35">
        <f>IF(B104="","",COUNTIF($D$38:$D$187,"&gt;"&amp;D104)+1)</f>
        <v/>
      </c>
      <c r="H104" s="35">
        <f>IF(B104="","",INDEX(الموظفات!$L$5:$L$304,MATCH(B104,الموظفات!$B$5:$B$304,0)))</f>
        <v/>
      </c>
      <c r="K104" s="36">
        <f>IF(67&gt;$B$10,"",67)</f>
        <v/>
      </c>
      <c r="L104" s="37">
        <f>IF($K104="","",INDEX('سجل التحفيز'!$A$5:$A$2004,MATCH($K104,'سجل التحفيز'!$AA$5:$AA$2004,0)))</f>
        <v/>
      </c>
      <c r="M104" s="9">
        <f>IF($K104="","",INDEX('سجل التحفيز'!$B$5:$B$2004,MATCH($K104,'سجل التحفيز'!$AA$5:$AA$2004,0)))</f>
        <v/>
      </c>
      <c r="N104" s="9">
        <f>IF($K104="","",INDEX('سجل التحفيز'!$M$5:$M$2004,MATCH($K104,'سجل التحفيز'!$AA$5:$AA$2004,0)))</f>
        <v/>
      </c>
      <c r="O104" s="9">
        <f>IF($K104="","",INDEX('سجل التحفيز'!$C$5:$C$2004,MATCH($K104,'سجل التحفيز'!$AA$5:$AA$2004,0)))</f>
        <v/>
      </c>
      <c r="P104" s="36">
        <f>IF($K104="","",INDEX('سجل التحفيز'!$D$5:$D$2004,MATCH($K104,'سجل التحفيز'!$AA$5:$AA$2004,0)))</f>
        <v/>
      </c>
      <c r="Q104" s="9">
        <f>IF($K104="","",INDEX('سجل التحفيز'!$E$5:$E$2004,MATCH($K104,'سجل التحفيز'!$AA$5:$AA$2004,0)))</f>
        <v/>
      </c>
      <c r="R104" s="9">
        <f>IF($K104="","",INDEX('سجل التحفيز'!$F$5:$F$2004,MATCH($K104,'سجل التحفيز'!$AA$5:$AA$2004,0)))</f>
        <v/>
      </c>
      <c r="S104" s="35">
        <f>IF($K104="","",INDEX('سجل التحفيز'!$G$5:$G$2004,MATCH($K104,'سجل التحفيز'!$AA$5:$AA$2004,0)))</f>
        <v/>
      </c>
    </row>
    <row r="105">
      <c r="B105" s="34">
        <f>IFERROR(INDEX(الموظفات!$B$5:$B$304,MATCH(68,الموظفات!$U$5:$U$304,0)),"")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التحفيز'!$AA$5:$AA$2004,"&gt;0",'سجل التحفيز'!$B$5:$B$2004,B105))</f>
        <v/>
      </c>
      <c r="E105" s="35">
        <f>IF(B105="","",COUNTIFS('سجل التحفيز'!$AA$5:$AA$2004,"&gt;0",'سجل التحفيز'!$B$5:$B$2004,B105,'سجل التحفيز'!$D$5:$D$2004,"ذهبي"))</f>
        <v/>
      </c>
      <c r="F105" s="35">
        <f>IF(B105="","",SUMIFS('سجل التحفيز'!$G$5:$G$2004,'سجل التحفيز'!$AA$5:$AA$2004,"&gt;0",'سجل التحفيز'!$B$5:$B$2004,B105))</f>
        <v/>
      </c>
      <c r="G105" s="35">
        <f>IF(B105="","",COUNTIF($D$38:$D$187,"&gt;"&amp;D105)+1)</f>
        <v/>
      </c>
      <c r="H105" s="35">
        <f>IF(B105="","",INDEX(الموظفات!$L$5:$L$304,MATCH(B105,الموظفات!$B$5:$B$304,0)))</f>
        <v/>
      </c>
      <c r="K105" s="36">
        <f>IF(68&gt;$B$10,"",68)</f>
        <v/>
      </c>
      <c r="L105" s="37">
        <f>IF($K105="","",INDEX('سجل التحفيز'!$A$5:$A$2004,MATCH($K105,'سجل التحفيز'!$AA$5:$AA$2004,0)))</f>
        <v/>
      </c>
      <c r="M105" s="9">
        <f>IF($K105="","",INDEX('سجل التحفيز'!$B$5:$B$2004,MATCH($K105,'سجل التحفيز'!$AA$5:$AA$2004,0)))</f>
        <v/>
      </c>
      <c r="N105" s="9">
        <f>IF($K105="","",INDEX('سجل التحفيز'!$M$5:$M$2004,MATCH($K105,'سجل التحفيز'!$AA$5:$AA$2004,0)))</f>
        <v/>
      </c>
      <c r="O105" s="9">
        <f>IF($K105="","",INDEX('سجل التحفيز'!$C$5:$C$2004,MATCH($K105,'سجل التحفيز'!$AA$5:$AA$2004,0)))</f>
        <v/>
      </c>
      <c r="P105" s="36">
        <f>IF($K105="","",INDEX('سجل التحفيز'!$D$5:$D$2004,MATCH($K105,'سجل التحفيز'!$AA$5:$AA$2004,0)))</f>
        <v/>
      </c>
      <c r="Q105" s="9">
        <f>IF($K105="","",INDEX('سجل التحفيز'!$E$5:$E$2004,MATCH($K105,'سجل التحفيز'!$AA$5:$AA$2004,0)))</f>
        <v/>
      </c>
      <c r="R105" s="9">
        <f>IF($K105="","",INDEX('سجل التحفيز'!$F$5:$F$2004,MATCH($K105,'سجل التحفيز'!$AA$5:$AA$2004,0)))</f>
        <v/>
      </c>
      <c r="S105" s="35">
        <f>IF($K105="","",INDEX('سجل التحفيز'!$G$5:$G$2004,MATCH($K105,'سجل التحفيز'!$AA$5:$AA$2004,0)))</f>
        <v/>
      </c>
    </row>
    <row r="106">
      <c r="B106" s="34">
        <f>IFERROR(INDEX(الموظفات!$B$5:$B$304,MATCH(69,الموظفات!$U$5:$U$304,0)),"")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التحفيز'!$AA$5:$AA$2004,"&gt;0",'سجل التحفيز'!$B$5:$B$2004,B106))</f>
        <v/>
      </c>
      <c r="E106" s="35">
        <f>IF(B106="","",COUNTIFS('سجل التحفيز'!$AA$5:$AA$2004,"&gt;0",'سجل التحفيز'!$B$5:$B$2004,B106,'سجل التحفيز'!$D$5:$D$2004,"ذهبي"))</f>
        <v/>
      </c>
      <c r="F106" s="35">
        <f>IF(B106="","",SUMIFS('سجل التحفيز'!$G$5:$G$2004,'سجل التحفيز'!$AA$5:$AA$2004,"&gt;0",'سجل التحفيز'!$B$5:$B$2004,B106))</f>
        <v/>
      </c>
      <c r="G106" s="35">
        <f>IF(B106="","",COUNTIF($D$38:$D$187,"&gt;"&amp;D106)+1)</f>
        <v/>
      </c>
      <c r="H106" s="35">
        <f>IF(B106="","",INDEX(الموظفات!$L$5:$L$304,MATCH(B106,الموظفات!$B$5:$B$304,0)))</f>
        <v/>
      </c>
      <c r="K106" s="36">
        <f>IF(69&gt;$B$10,"",69)</f>
        <v/>
      </c>
      <c r="L106" s="37">
        <f>IF($K106="","",INDEX('سجل التحفيز'!$A$5:$A$2004,MATCH($K106,'سجل التحفيز'!$AA$5:$AA$2004,0)))</f>
        <v/>
      </c>
      <c r="M106" s="9">
        <f>IF($K106="","",INDEX('سجل التحفيز'!$B$5:$B$2004,MATCH($K106,'سجل التحفيز'!$AA$5:$AA$2004,0)))</f>
        <v/>
      </c>
      <c r="N106" s="9">
        <f>IF($K106="","",INDEX('سجل التحفيز'!$M$5:$M$2004,MATCH($K106,'سجل التحفيز'!$AA$5:$AA$2004,0)))</f>
        <v/>
      </c>
      <c r="O106" s="9">
        <f>IF($K106="","",INDEX('سجل التحفيز'!$C$5:$C$2004,MATCH($K106,'سجل التحفيز'!$AA$5:$AA$2004,0)))</f>
        <v/>
      </c>
      <c r="P106" s="36">
        <f>IF($K106="","",INDEX('سجل التحفيز'!$D$5:$D$2004,MATCH($K106,'سجل التحفيز'!$AA$5:$AA$2004,0)))</f>
        <v/>
      </c>
      <c r="Q106" s="9">
        <f>IF($K106="","",INDEX('سجل التحفيز'!$E$5:$E$2004,MATCH($K106,'سجل التحفيز'!$AA$5:$AA$2004,0)))</f>
        <v/>
      </c>
      <c r="R106" s="9">
        <f>IF($K106="","",INDEX('سجل التحفيز'!$F$5:$F$2004,MATCH($K106,'سجل التحفيز'!$AA$5:$AA$2004,0)))</f>
        <v/>
      </c>
      <c r="S106" s="35">
        <f>IF($K106="","",INDEX('سجل التحفيز'!$G$5:$G$2004,MATCH($K106,'سجل التحفيز'!$AA$5:$AA$2004,0)))</f>
        <v/>
      </c>
    </row>
    <row r="107">
      <c r="B107" s="34">
        <f>IFERROR(INDEX(الموظفات!$B$5:$B$304,MATCH(70,الموظفات!$U$5:$U$304,0)),"")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التحفيز'!$AA$5:$AA$2004,"&gt;0",'سجل التحفيز'!$B$5:$B$2004,B107))</f>
        <v/>
      </c>
      <c r="E107" s="35">
        <f>IF(B107="","",COUNTIFS('سجل التحفيز'!$AA$5:$AA$2004,"&gt;0",'سجل التحفيز'!$B$5:$B$2004,B107,'سجل التحفيز'!$D$5:$D$2004,"ذهبي"))</f>
        <v/>
      </c>
      <c r="F107" s="35">
        <f>IF(B107="","",SUMIFS('سجل التحفيز'!$G$5:$G$2004,'سجل التحفيز'!$AA$5:$AA$2004,"&gt;0",'سجل التحفيز'!$B$5:$B$2004,B107))</f>
        <v/>
      </c>
      <c r="G107" s="35">
        <f>IF(B107="","",COUNTIF($D$38:$D$187,"&gt;"&amp;D107)+1)</f>
        <v/>
      </c>
      <c r="H107" s="35">
        <f>IF(B107="","",INDEX(الموظفات!$L$5:$L$304,MATCH(B107,الموظفات!$B$5:$B$304,0)))</f>
        <v/>
      </c>
      <c r="K107" s="36">
        <f>IF(70&gt;$B$10,"",70)</f>
        <v/>
      </c>
      <c r="L107" s="37">
        <f>IF($K107="","",INDEX('سجل التحفيز'!$A$5:$A$2004,MATCH($K107,'سجل التحفيز'!$AA$5:$AA$2004,0)))</f>
        <v/>
      </c>
      <c r="M107" s="9">
        <f>IF($K107="","",INDEX('سجل التحفيز'!$B$5:$B$2004,MATCH($K107,'سجل التحفيز'!$AA$5:$AA$2004,0)))</f>
        <v/>
      </c>
      <c r="N107" s="9">
        <f>IF($K107="","",INDEX('سجل التحفيز'!$M$5:$M$2004,MATCH($K107,'سجل التحفيز'!$AA$5:$AA$2004,0)))</f>
        <v/>
      </c>
      <c r="O107" s="9">
        <f>IF($K107="","",INDEX('سجل التحفيز'!$C$5:$C$2004,MATCH($K107,'سجل التحفيز'!$AA$5:$AA$2004,0)))</f>
        <v/>
      </c>
      <c r="P107" s="36">
        <f>IF($K107="","",INDEX('سجل التحفيز'!$D$5:$D$2004,MATCH($K107,'سجل التحفيز'!$AA$5:$AA$2004,0)))</f>
        <v/>
      </c>
      <c r="Q107" s="9">
        <f>IF($K107="","",INDEX('سجل التحفيز'!$E$5:$E$2004,MATCH($K107,'سجل التحفيز'!$AA$5:$AA$2004,0)))</f>
        <v/>
      </c>
      <c r="R107" s="9">
        <f>IF($K107="","",INDEX('سجل التحفيز'!$F$5:$F$2004,MATCH($K107,'سجل التحفيز'!$AA$5:$AA$2004,0)))</f>
        <v/>
      </c>
      <c r="S107" s="35">
        <f>IF($K107="","",INDEX('سجل التحفيز'!$G$5:$G$2004,MATCH($K107,'سجل التحفيز'!$AA$5:$AA$2004,0)))</f>
        <v/>
      </c>
    </row>
    <row r="108">
      <c r="B108" s="34">
        <f>IFERROR(INDEX(الموظفات!$B$5:$B$304,MATCH(71,الموظفات!$U$5:$U$304,0)),"")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التحفيز'!$AA$5:$AA$2004,"&gt;0",'سجل التحفيز'!$B$5:$B$2004,B108))</f>
        <v/>
      </c>
      <c r="E108" s="35">
        <f>IF(B108="","",COUNTIFS('سجل التحفيز'!$AA$5:$AA$2004,"&gt;0",'سجل التحفيز'!$B$5:$B$2004,B108,'سجل التحفيز'!$D$5:$D$2004,"ذهبي"))</f>
        <v/>
      </c>
      <c r="F108" s="35">
        <f>IF(B108="","",SUMIFS('سجل التحفيز'!$G$5:$G$2004,'سجل التحفيز'!$AA$5:$AA$2004,"&gt;0",'سجل التحفيز'!$B$5:$B$2004,B108))</f>
        <v/>
      </c>
      <c r="G108" s="35">
        <f>IF(B108="","",COUNTIF($D$38:$D$187,"&gt;"&amp;D108)+1)</f>
        <v/>
      </c>
      <c r="H108" s="35">
        <f>IF(B108="","",INDEX(الموظفات!$L$5:$L$304,MATCH(B108,الموظفات!$B$5:$B$304,0)))</f>
        <v/>
      </c>
      <c r="K108" s="36">
        <f>IF(71&gt;$B$10,"",71)</f>
        <v/>
      </c>
      <c r="L108" s="37">
        <f>IF($K108="","",INDEX('سجل التحفيز'!$A$5:$A$2004,MATCH($K108,'سجل التحفيز'!$AA$5:$AA$2004,0)))</f>
        <v/>
      </c>
      <c r="M108" s="9">
        <f>IF($K108="","",INDEX('سجل التحفيز'!$B$5:$B$2004,MATCH($K108,'سجل التحفيز'!$AA$5:$AA$2004,0)))</f>
        <v/>
      </c>
      <c r="N108" s="9">
        <f>IF($K108="","",INDEX('سجل التحفيز'!$M$5:$M$2004,MATCH($K108,'سجل التحفيز'!$AA$5:$AA$2004,0)))</f>
        <v/>
      </c>
      <c r="O108" s="9">
        <f>IF($K108="","",INDEX('سجل التحفيز'!$C$5:$C$2004,MATCH($K108,'سجل التحفيز'!$AA$5:$AA$2004,0)))</f>
        <v/>
      </c>
      <c r="P108" s="36">
        <f>IF($K108="","",INDEX('سجل التحفيز'!$D$5:$D$2004,MATCH($K108,'سجل التحفيز'!$AA$5:$AA$2004,0)))</f>
        <v/>
      </c>
      <c r="Q108" s="9">
        <f>IF($K108="","",INDEX('سجل التحفيز'!$E$5:$E$2004,MATCH($K108,'سجل التحفيز'!$AA$5:$AA$2004,0)))</f>
        <v/>
      </c>
      <c r="R108" s="9">
        <f>IF($K108="","",INDEX('سجل التحفيز'!$F$5:$F$2004,MATCH($K108,'سجل التحفيز'!$AA$5:$AA$2004,0)))</f>
        <v/>
      </c>
      <c r="S108" s="35">
        <f>IF($K108="","",INDEX('سجل التحفيز'!$G$5:$G$2004,MATCH($K108,'سجل التحفيز'!$AA$5:$AA$2004,0)))</f>
        <v/>
      </c>
    </row>
    <row r="109">
      <c r="B109" s="34">
        <f>IFERROR(INDEX(الموظفات!$B$5:$B$304,MATCH(72,الموظفات!$U$5:$U$304,0)),"")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التحفيز'!$AA$5:$AA$2004,"&gt;0",'سجل التحفيز'!$B$5:$B$2004,B109))</f>
        <v/>
      </c>
      <c r="E109" s="35">
        <f>IF(B109="","",COUNTIFS('سجل التحفيز'!$AA$5:$AA$2004,"&gt;0",'سجل التحفيز'!$B$5:$B$2004,B109,'سجل التحفيز'!$D$5:$D$2004,"ذهبي"))</f>
        <v/>
      </c>
      <c r="F109" s="35">
        <f>IF(B109="","",SUMIFS('سجل التحفيز'!$G$5:$G$2004,'سجل التحفيز'!$AA$5:$AA$2004,"&gt;0",'سجل التحفيز'!$B$5:$B$2004,B109))</f>
        <v/>
      </c>
      <c r="G109" s="35">
        <f>IF(B109="","",COUNTIF($D$38:$D$187,"&gt;"&amp;D109)+1)</f>
        <v/>
      </c>
      <c r="H109" s="35">
        <f>IF(B109="","",INDEX(الموظفات!$L$5:$L$304,MATCH(B109,الموظفات!$B$5:$B$304,0)))</f>
        <v/>
      </c>
      <c r="K109" s="36">
        <f>IF(72&gt;$B$10,"",72)</f>
        <v/>
      </c>
      <c r="L109" s="37">
        <f>IF($K109="","",INDEX('سجل التحفيز'!$A$5:$A$2004,MATCH($K109,'سجل التحفيز'!$AA$5:$AA$2004,0)))</f>
        <v/>
      </c>
      <c r="M109" s="9">
        <f>IF($K109="","",INDEX('سجل التحفيز'!$B$5:$B$2004,MATCH($K109,'سجل التحفيز'!$AA$5:$AA$2004,0)))</f>
        <v/>
      </c>
      <c r="N109" s="9">
        <f>IF($K109="","",INDEX('سجل التحفيز'!$M$5:$M$2004,MATCH($K109,'سجل التحفيز'!$AA$5:$AA$2004,0)))</f>
        <v/>
      </c>
      <c r="O109" s="9">
        <f>IF($K109="","",INDEX('سجل التحفيز'!$C$5:$C$2004,MATCH($K109,'سجل التحفيز'!$AA$5:$AA$2004,0)))</f>
        <v/>
      </c>
      <c r="P109" s="36">
        <f>IF($K109="","",INDEX('سجل التحفيز'!$D$5:$D$2004,MATCH($K109,'سجل التحفيز'!$AA$5:$AA$2004,0)))</f>
        <v/>
      </c>
      <c r="Q109" s="9">
        <f>IF($K109="","",INDEX('سجل التحفيز'!$E$5:$E$2004,MATCH($K109,'سجل التحفيز'!$AA$5:$AA$2004,0)))</f>
        <v/>
      </c>
      <c r="R109" s="9">
        <f>IF($K109="","",INDEX('سجل التحفيز'!$F$5:$F$2004,MATCH($K109,'سجل التحفيز'!$AA$5:$AA$2004,0)))</f>
        <v/>
      </c>
      <c r="S109" s="35">
        <f>IF($K109="","",INDEX('سجل التحفيز'!$G$5:$G$2004,MATCH($K109,'سجل التحفيز'!$AA$5:$AA$2004,0)))</f>
        <v/>
      </c>
    </row>
    <row r="110">
      <c r="B110" s="34">
        <f>IFERROR(INDEX(الموظفات!$B$5:$B$304,MATCH(73,الموظفات!$U$5:$U$304,0)),"")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التحفيز'!$AA$5:$AA$2004,"&gt;0",'سجل التحفيز'!$B$5:$B$2004,B110))</f>
        <v/>
      </c>
      <c r="E110" s="35">
        <f>IF(B110="","",COUNTIFS('سجل التحفيز'!$AA$5:$AA$2004,"&gt;0",'سجل التحفيز'!$B$5:$B$2004,B110,'سجل التحفيز'!$D$5:$D$2004,"ذهبي"))</f>
        <v/>
      </c>
      <c r="F110" s="35">
        <f>IF(B110="","",SUMIFS('سجل التحفيز'!$G$5:$G$2004,'سجل التحفيز'!$AA$5:$AA$2004,"&gt;0",'سجل التحفيز'!$B$5:$B$2004,B110))</f>
        <v/>
      </c>
      <c r="G110" s="35">
        <f>IF(B110="","",COUNTIF($D$38:$D$187,"&gt;"&amp;D110)+1)</f>
        <v/>
      </c>
      <c r="H110" s="35">
        <f>IF(B110="","",INDEX(الموظفات!$L$5:$L$304,MATCH(B110,الموظفات!$B$5:$B$304,0)))</f>
        <v/>
      </c>
      <c r="K110" s="36">
        <f>IF(73&gt;$B$10,"",73)</f>
        <v/>
      </c>
      <c r="L110" s="37">
        <f>IF($K110="","",INDEX('سجل التحفيز'!$A$5:$A$2004,MATCH($K110,'سجل التحفيز'!$AA$5:$AA$2004,0)))</f>
        <v/>
      </c>
      <c r="M110" s="9">
        <f>IF($K110="","",INDEX('سجل التحفيز'!$B$5:$B$2004,MATCH($K110,'سجل التحفيز'!$AA$5:$AA$2004,0)))</f>
        <v/>
      </c>
      <c r="N110" s="9">
        <f>IF($K110="","",INDEX('سجل التحفيز'!$M$5:$M$2004,MATCH($K110,'سجل التحفيز'!$AA$5:$AA$2004,0)))</f>
        <v/>
      </c>
      <c r="O110" s="9">
        <f>IF($K110="","",INDEX('سجل التحفيز'!$C$5:$C$2004,MATCH($K110,'سجل التحفيز'!$AA$5:$AA$2004,0)))</f>
        <v/>
      </c>
      <c r="P110" s="36">
        <f>IF($K110="","",INDEX('سجل التحفيز'!$D$5:$D$2004,MATCH($K110,'سجل التحفيز'!$AA$5:$AA$2004,0)))</f>
        <v/>
      </c>
      <c r="Q110" s="9">
        <f>IF($K110="","",INDEX('سجل التحفيز'!$E$5:$E$2004,MATCH($K110,'سجل التحفيز'!$AA$5:$AA$2004,0)))</f>
        <v/>
      </c>
      <c r="R110" s="9">
        <f>IF($K110="","",INDEX('سجل التحفيز'!$F$5:$F$2004,MATCH($K110,'سجل التحفيز'!$AA$5:$AA$2004,0)))</f>
        <v/>
      </c>
      <c r="S110" s="35">
        <f>IF($K110="","",INDEX('سجل التحفيز'!$G$5:$G$2004,MATCH($K110,'سجل التحفيز'!$AA$5:$AA$2004,0)))</f>
        <v/>
      </c>
    </row>
    <row r="111">
      <c r="B111" s="34">
        <f>IFERROR(INDEX(الموظفات!$B$5:$B$304,MATCH(74,الموظفات!$U$5:$U$304,0)),"")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التحفيز'!$AA$5:$AA$2004,"&gt;0",'سجل التحفيز'!$B$5:$B$2004,B111))</f>
        <v/>
      </c>
      <c r="E111" s="35">
        <f>IF(B111="","",COUNTIFS('سجل التحفيز'!$AA$5:$AA$2004,"&gt;0",'سجل التحفيز'!$B$5:$B$2004,B111,'سجل التحفيز'!$D$5:$D$2004,"ذهبي"))</f>
        <v/>
      </c>
      <c r="F111" s="35">
        <f>IF(B111="","",SUMIFS('سجل التحفيز'!$G$5:$G$2004,'سجل التحفيز'!$AA$5:$AA$2004,"&gt;0",'سجل التحفيز'!$B$5:$B$2004,B111))</f>
        <v/>
      </c>
      <c r="G111" s="35">
        <f>IF(B111="","",COUNTIF($D$38:$D$187,"&gt;"&amp;D111)+1)</f>
        <v/>
      </c>
      <c r="H111" s="35">
        <f>IF(B111="","",INDEX(الموظفات!$L$5:$L$304,MATCH(B111,الموظفات!$B$5:$B$304,0)))</f>
        <v/>
      </c>
      <c r="K111" s="36">
        <f>IF(74&gt;$B$10,"",74)</f>
        <v/>
      </c>
      <c r="L111" s="37">
        <f>IF($K111="","",INDEX('سجل التحفيز'!$A$5:$A$2004,MATCH($K111,'سجل التحفيز'!$AA$5:$AA$2004,0)))</f>
        <v/>
      </c>
      <c r="M111" s="9">
        <f>IF($K111="","",INDEX('سجل التحفيز'!$B$5:$B$2004,MATCH($K111,'سجل التحفيز'!$AA$5:$AA$2004,0)))</f>
        <v/>
      </c>
      <c r="N111" s="9">
        <f>IF($K111="","",INDEX('سجل التحفيز'!$M$5:$M$2004,MATCH($K111,'سجل التحفيز'!$AA$5:$AA$2004,0)))</f>
        <v/>
      </c>
      <c r="O111" s="9">
        <f>IF($K111="","",INDEX('سجل التحفيز'!$C$5:$C$2004,MATCH($K111,'سجل التحفيز'!$AA$5:$AA$2004,0)))</f>
        <v/>
      </c>
      <c r="P111" s="36">
        <f>IF($K111="","",INDEX('سجل التحفيز'!$D$5:$D$2004,MATCH($K111,'سجل التحفيز'!$AA$5:$AA$2004,0)))</f>
        <v/>
      </c>
      <c r="Q111" s="9">
        <f>IF($K111="","",INDEX('سجل التحفيز'!$E$5:$E$2004,MATCH($K111,'سجل التحفيز'!$AA$5:$AA$2004,0)))</f>
        <v/>
      </c>
      <c r="R111" s="9">
        <f>IF($K111="","",INDEX('سجل التحفيز'!$F$5:$F$2004,MATCH($K111,'سجل التحفيز'!$AA$5:$AA$2004,0)))</f>
        <v/>
      </c>
      <c r="S111" s="35">
        <f>IF($K111="","",INDEX('سجل التحفيز'!$G$5:$G$2004,MATCH($K111,'سجل التحفيز'!$AA$5:$AA$2004,0)))</f>
        <v/>
      </c>
    </row>
    <row r="112">
      <c r="B112" s="34">
        <f>IFERROR(INDEX(الموظفات!$B$5:$B$304,MATCH(75,الموظفات!$U$5:$U$304,0)),"")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التحفيز'!$AA$5:$AA$2004,"&gt;0",'سجل التحفيز'!$B$5:$B$2004,B112))</f>
        <v/>
      </c>
      <c r="E112" s="35">
        <f>IF(B112="","",COUNTIFS('سجل التحفيز'!$AA$5:$AA$2004,"&gt;0",'سجل التحفيز'!$B$5:$B$2004,B112,'سجل التحفيز'!$D$5:$D$2004,"ذهبي"))</f>
        <v/>
      </c>
      <c r="F112" s="35">
        <f>IF(B112="","",SUMIFS('سجل التحفيز'!$G$5:$G$2004,'سجل التحفيز'!$AA$5:$AA$2004,"&gt;0",'سجل التحفيز'!$B$5:$B$2004,B112))</f>
        <v/>
      </c>
      <c r="G112" s="35">
        <f>IF(B112="","",COUNTIF($D$38:$D$187,"&gt;"&amp;D112)+1)</f>
        <v/>
      </c>
      <c r="H112" s="35">
        <f>IF(B112="","",INDEX(الموظفات!$L$5:$L$304,MATCH(B112,الموظفات!$B$5:$B$304,0)))</f>
        <v/>
      </c>
      <c r="K112" s="36">
        <f>IF(75&gt;$B$10,"",75)</f>
        <v/>
      </c>
      <c r="L112" s="37">
        <f>IF($K112="","",INDEX('سجل التحفيز'!$A$5:$A$2004,MATCH($K112,'سجل التحفيز'!$AA$5:$AA$2004,0)))</f>
        <v/>
      </c>
      <c r="M112" s="9">
        <f>IF($K112="","",INDEX('سجل التحفيز'!$B$5:$B$2004,MATCH($K112,'سجل التحفيز'!$AA$5:$AA$2004,0)))</f>
        <v/>
      </c>
      <c r="N112" s="9">
        <f>IF($K112="","",INDEX('سجل التحفيز'!$M$5:$M$2004,MATCH($K112,'سجل التحفيز'!$AA$5:$AA$2004,0)))</f>
        <v/>
      </c>
      <c r="O112" s="9">
        <f>IF($K112="","",INDEX('سجل التحفيز'!$C$5:$C$2004,MATCH($K112,'سجل التحفيز'!$AA$5:$AA$2004,0)))</f>
        <v/>
      </c>
      <c r="P112" s="36">
        <f>IF($K112="","",INDEX('سجل التحفيز'!$D$5:$D$2004,MATCH($K112,'سجل التحفيز'!$AA$5:$AA$2004,0)))</f>
        <v/>
      </c>
      <c r="Q112" s="9">
        <f>IF($K112="","",INDEX('سجل التحفيز'!$E$5:$E$2004,MATCH($K112,'سجل التحفيز'!$AA$5:$AA$2004,0)))</f>
        <v/>
      </c>
      <c r="R112" s="9">
        <f>IF($K112="","",INDEX('سجل التحفيز'!$F$5:$F$2004,MATCH($K112,'سجل التحفيز'!$AA$5:$AA$2004,0)))</f>
        <v/>
      </c>
      <c r="S112" s="35">
        <f>IF($K112="","",INDEX('سجل التحفيز'!$G$5:$G$2004,MATCH($K112,'سجل التحفيز'!$AA$5:$AA$2004,0)))</f>
        <v/>
      </c>
    </row>
    <row r="113">
      <c r="B113" s="34">
        <f>IFERROR(INDEX(الموظفات!$B$5:$B$304,MATCH(76,الموظفات!$U$5:$U$304,0)),"")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التحفيز'!$AA$5:$AA$2004,"&gt;0",'سجل التحفيز'!$B$5:$B$2004,B113))</f>
        <v/>
      </c>
      <c r="E113" s="35">
        <f>IF(B113="","",COUNTIFS('سجل التحفيز'!$AA$5:$AA$2004,"&gt;0",'سجل التحفيز'!$B$5:$B$2004,B113,'سجل التحفيز'!$D$5:$D$2004,"ذهبي"))</f>
        <v/>
      </c>
      <c r="F113" s="35">
        <f>IF(B113="","",SUMIFS('سجل التحفيز'!$G$5:$G$2004,'سجل التحفيز'!$AA$5:$AA$2004,"&gt;0",'سجل التحفيز'!$B$5:$B$2004,B113))</f>
        <v/>
      </c>
      <c r="G113" s="35">
        <f>IF(B113="","",COUNTIF($D$38:$D$187,"&gt;"&amp;D113)+1)</f>
        <v/>
      </c>
      <c r="H113" s="35">
        <f>IF(B113="","",INDEX(الموظفات!$L$5:$L$304,MATCH(B113,الموظفات!$B$5:$B$304,0)))</f>
        <v/>
      </c>
      <c r="K113" s="36">
        <f>IF(76&gt;$B$10,"",76)</f>
        <v/>
      </c>
      <c r="L113" s="37">
        <f>IF($K113="","",INDEX('سجل التحفيز'!$A$5:$A$2004,MATCH($K113,'سجل التحفيز'!$AA$5:$AA$2004,0)))</f>
        <v/>
      </c>
      <c r="M113" s="9">
        <f>IF($K113="","",INDEX('سجل التحفيز'!$B$5:$B$2004,MATCH($K113,'سجل التحفيز'!$AA$5:$AA$2004,0)))</f>
        <v/>
      </c>
      <c r="N113" s="9">
        <f>IF($K113="","",INDEX('سجل التحفيز'!$M$5:$M$2004,MATCH($K113,'سجل التحفيز'!$AA$5:$AA$2004,0)))</f>
        <v/>
      </c>
      <c r="O113" s="9">
        <f>IF($K113="","",INDEX('سجل التحفيز'!$C$5:$C$2004,MATCH($K113,'سجل التحفيز'!$AA$5:$AA$2004,0)))</f>
        <v/>
      </c>
      <c r="P113" s="36">
        <f>IF($K113="","",INDEX('سجل التحفيز'!$D$5:$D$2004,MATCH($K113,'سجل التحفيز'!$AA$5:$AA$2004,0)))</f>
        <v/>
      </c>
      <c r="Q113" s="9">
        <f>IF($K113="","",INDEX('سجل التحفيز'!$E$5:$E$2004,MATCH($K113,'سجل التحفيز'!$AA$5:$AA$2004,0)))</f>
        <v/>
      </c>
      <c r="R113" s="9">
        <f>IF($K113="","",INDEX('سجل التحفيز'!$F$5:$F$2004,MATCH($K113,'سجل التحفيز'!$AA$5:$AA$2004,0)))</f>
        <v/>
      </c>
      <c r="S113" s="35">
        <f>IF($K113="","",INDEX('سجل التحفيز'!$G$5:$G$2004,MATCH($K113,'سجل التحفيز'!$AA$5:$AA$2004,0)))</f>
        <v/>
      </c>
    </row>
    <row r="114">
      <c r="B114" s="34">
        <f>IFERROR(INDEX(الموظفات!$B$5:$B$304,MATCH(77,الموظفات!$U$5:$U$304,0)),"")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التحفيز'!$AA$5:$AA$2004,"&gt;0",'سجل التحفيز'!$B$5:$B$2004,B114))</f>
        <v/>
      </c>
      <c r="E114" s="35">
        <f>IF(B114="","",COUNTIFS('سجل التحفيز'!$AA$5:$AA$2004,"&gt;0",'سجل التحفيز'!$B$5:$B$2004,B114,'سجل التحفيز'!$D$5:$D$2004,"ذهبي"))</f>
        <v/>
      </c>
      <c r="F114" s="35">
        <f>IF(B114="","",SUMIFS('سجل التحفيز'!$G$5:$G$2004,'سجل التحفيز'!$AA$5:$AA$2004,"&gt;0",'سجل التحفيز'!$B$5:$B$2004,B114))</f>
        <v/>
      </c>
      <c r="G114" s="35">
        <f>IF(B114="","",COUNTIF($D$38:$D$187,"&gt;"&amp;D114)+1)</f>
        <v/>
      </c>
      <c r="H114" s="35">
        <f>IF(B114="","",INDEX(الموظفات!$L$5:$L$304,MATCH(B114,الموظفات!$B$5:$B$304,0)))</f>
        <v/>
      </c>
      <c r="K114" s="36">
        <f>IF(77&gt;$B$10,"",77)</f>
        <v/>
      </c>
      <c r="L114" s="37">
        <f>IF($K114="","",INDEX('سجل التحفيز'!$A$5:$A$2004,MATCH($K114,'سجل التحفيز'!$AA$5:$AA$2004,0)))</f>
        <v/>
      </c>
      <c r="M114" s="9">
        <f>IF($K114="","",INDEX('سجل التحفيز'!$B$5:$B$2004,MATCH($K114,'سجل التحفيز'!$AA$5:$AA$2004,0)))</f>
        <v/>
      </c>
      <c r="N114" s="9">
        <f>IF($K114="","",INDEX('سجل التحفيز'!$M$5:$M$2004,MATCH($K114,'سجل التحفيز'!$AA$5:$AA$2004,0)))</f>
        <v/>
      </c>
      <c r="O114" s="9">
        <f>IF($K114="","",INDEX('سجل التحفيز'!$C$5:$C$2004,MATCH($K114,'سجل التحفيز'!$AA$5:$AA$2004,0)))</f>
        <v/>
      </c>
      <c r="P114" s="36">
        <f>IF($K114="","",INDEX('سجل التحفيز'!$D$5:$D$2004,MATCH($K114,'سجل التحفيز'!$AA$5:$AA$2004,0)))</f>
        <v/>
      </c>
      <c r="Q114" s="9">
        <f>IF($K114="","",INDEX('سجل التحفيز'!$E$5:$E$2004,MATCH($K114,'سجل التحفيز'!$AA$5:$AA$2004,0)))</f>
        <v/>
      </c>
      <c r="R114" s="9">
        <f>IF($K114="","",INDEX('سجل التحفيز'!$F$5:$F$2004,MATCH($K114,'سجل التحفيز'!$AA$5:$AA$2004,0)))</f>
        <v/>
      </c>
      <c r="S114" s="35">
        <f>IF($K114="","",INDEX('سجل التحفيز'!$G$5:$G$2004,MATCH($K114,'سجل التحفيز'!$AA$5:$AA$2004,0)))</f>
        <v/>
      </c>
    </row>
    <row r="115">
      <c r="B115" s="34">
        <f>IFERROR(INDEX(الموظفات!$B$5:$B$304,MATCH(78,الموظفات!$U$5:$U$304,0)),"")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التحفيز'!$AA$5:$AA$2004,"&gt;0",'سجل التحفيز'!$B$5:$B$2004,B115))</f>
        <v/>
      </c>
      <c r="E115" s="35">
        <f>IF(B115="","",COUNTIFS('سجل التحفيز'!$AA$5:$AA$2004,"&gt;0",'سجل التحفيز'!$B$5:$B$2004,B115,'سجل التحفيز'!$D$5:$D$2004,"ذهبي"))</f>
        <v/>
      </c>
      <c r="F115" s="35">
        <f>IF(B115="","",SUMIFS('سجل التحفيز'!$G$5:$G$2004,'سجل التحفيز'!$AA$5:$AA$2004,"&gt;0",'سجل التحفيز'!$B$5:$B$2004,B115))</f>
        <v/>
      </c>
      <c r="G115" s="35">
        <f>IF(B115="","",COUNTIF($D$38:$D$187,"&gt;"&amp;D115)+1)</f>
        <v/>
      </c>
      <c r="H115" s="35">
        <f>IF(B115="","",INDEX(الموظفات!$L$5:$L$304,MATCH(B115,الموظفات!$B$5:$B$304,0)))</f>
        <v/>
      </c>
      <c r="K115" s="36">
        <f>IF(78&gt;$B$10,"",78)</f>
        <v/>
      </c>
      <c r="L115" s="37">
        <f>IF($K115="","",INDEX('سجل التحفيز'!$A$5:$A$2004,MATCH($K115,'سجل التحفيز'!$AA$5:$AA$2004,0)))</f>
        <v/>
      </c>
      <c r="M115" s="9">
        <f>IF($K115="","",INDEX('سجل التحفيز'!$B$5:$B$2004,MATCH($K115,'سجل التحفيز'!$AA$5:$AA$2004,0)))</f>
        <v/>
      </c>
      <c r="N115" s="9">
        <f>IF($K115="","",INDEX('سجل التحفيز'!$M$5:$M$2004,MATCH($K115,'سجل التحفيز'!$AA$5:$AA$2004,0)))</f>
        <v/>
      </c>
      <c r="O115" s="9">
        <f>IF($K115="","",INDEX('سجل التحفيز'!$C$5:$C$2004,MATCH($K115,'سجل التحفيز'!$AA$5:$AA$2004,0)))</f>
        <v/>
      </c>
      <c r="P115" s="36">
        <f>IF($K115="","",INDEX('سجل التحفيز'!$D$5:$D$2004,MATCH($K115,'سجل التحفيز'!$AA$5:$AA$2004,0)))</f>
        <v/>
      </c>
      <c r="Q115" s="9">
        <f>IF($K115="","",INDEX('سجل التحفيز'!$E$5:$E$2004,MATCH($K115,'سجل التحفيز'!$AA$5:$AA$2004,0)))</f>
        <v/>
      </c>
      <c r="R115" s="9">
        <f>IF($K115="","",INDEX('سجل التحفيز'!$F$5:$F$2004,MATCH($K115,'سجل التحفيز'!$AA$5:$AA$2004,0)))</f>
        <v/>
      </c>
      <c r="S115" s="35">
        <f>IF($K115="","",INDEX('سجل التحفيز'!$G$5:$G$2004,MATCH($K115,'سجل التحفيز'!$AA$5:$AA$2004,0)))</f>
        <v/>
      </c>
    </row>
    <row r="116">
      <c r="B116" s="34">
        <f>IFERROR(INDEX(الموظفات!$B$5:$B$304,MATCH(79,الموظفات!$U$5:$U$304,0)),"")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التحفيز'!$AA$5:$AA$2004,"&gt;0",'سجل التحفيز'!$B$5:$B$2004,B116))</f>
        <v/>
      </c>
      <c r="E116" s="35">
        <f>IF(B116="","",COUNTIFS('سجل التحفيز'!$AA$5:$AA$2004,"&gt;0",'سجل التحفيز'!$B$5:$B$2004,B116,'سجل التحفيز'!$D$5:$D$2004,"ذهبي"))</f>
        <v/>
      </c>
      <c r="F116" s="35">
        <f>IF(B116="","",SUMIFS('سجل التحفيز'!$G$5:$G$2004,'سجل التحفيز'!$AA$5:$AA$2004,"&gt;0",'سجل التحفيز'!$B$5:$B$2004,B116))</f>
        <v/>
      </c>
      <c r="G116" s="35">
        <f>IF(B116="","",COUNTIF($D$38:$D$187,"&gt;"&amp;D116)+1)</f>
        <v/>
      </c>
      <c r="H116" s="35">
        <f>IF(B116="","",INDEX(الموظفات!$L$5:$L$304,MATCH(B116,الموظفات!$B$5:$B$304,0)))</f>
        <v/>
      </c>
      <c r="K116" s="36">
        <f>IF(79&gt;$B$10,"",79)</f>
        <v/>
      </c>
      <c r="L116" s="37">
        <f>IF($K116="","",INDEX('سجل التحفيز'!$A$5:$A$2004,MATCH($K116,'سجل التحفيز'!$AA$5:$AA$2004,0)))</f>
        <v/>
      </c>
      <c r="M116" s="9">
        <f>IF($K116="","",INDEX('سجل التحفيز'!$B$5:$B$2004,MATCH($K116,'سجل التحفيز'!$AA$5:$AA$2004,0)))</f>
        <v/>
      </c>
      <c r="N116" s="9">
        <f>IF($K116="","",INDEX('سجل التحفيز'!$M$5:$M$2004,MATCH($K116,'سجل التحفيز'!$AA$5:$AA$2004,0)))</f>
        <v/>
      </c>
      <c r="O116" s="9">
        <f>IF($K116="","",INDEX('سجل التحفيز'!$C$5:$C$2004,MATCH($K116,'سجل التحفيز'!$AA$5:$AA$2004,0)))</f>
        <v/>
      </c>
      <c r="P116" s="36">
        <f>IF($K116="","",INDEX('سجل التحفيز'!$D$5:$D$2004,MATCH($K116,'سجل التحفيز'!$AA$5:$AA$2004,0)))</f>
        <v/>
      </c>
      <c r="Q116" s="9">
        <f>IF($K116="","",INDEX('سجل التحفيز'!$E$5:$E$2004,MATCH($K116,'سجل التحفيز'!$AA$5:$AA$2004,0)))</f>
        <v/>
      </c>
      <c r="R116" s="9">
        <f>IF($K116="","",INDEX('سجل التحفيز'!$F$5:$F$2004,MATCH($K116,'سجل التحفيز'!$AA$5:$AA$2004,0)))</f>
        <v/>
      </c>
      <c r="S116" s="35">
        <f>IF($K116="","",INDEX('سجل التحفيز'!$G$5:$G$2004,MATCH($K116,'سجل التحفيز'!$AA$5:$AA$2004,0)))</f>
        <v/>
      </c>
    </row>
    <row r="117">
      <c r="B117" s="34">
        <f>IFERROR(INDEX(الموظفات!$B$5:$B$304,MATCH(80,الموظفات!$U$5:$U$304,0)),"")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التحفيز'!$AA$5:$AA$2004,"&gt;0",'سجل التحفيز'!$B$5:$B$2004,B117))</f>
        <v/>
      </c>
      <c r="E117" s="35">
        <f>IF(B117="","",COUNTIFS('سجل التحفيز'!$AA$5:$AA$2004,"&gt;0",'سجل التحفيز'!$B$5:$B$2004,B117,'سجل التحفيز'!$D$5:$D$2004,"ذهبي"))</f>
        <v/>
      </c>
      <c r="F117" s="35">
        <f>IF(B117="","",SUMIFS('سجل التحفيز'!$G$5:$G$2004,'سجل التحفيز'!$AA$5:$AA$2004,"&gt;0",'سجل التحفيز'!$B$5:$B$2004,B117))</f>
        <v/>
      </c>
      <c r="G117" s="35">
        <f>IF(B117="","",COUNTIF($D$38:$D$187,"&gt;"&amp;D117)+1)</f>
        <v/>
      </c>
      <c r="H117" s="35">
        <f>IF(B117="","",INDEX(الموظفات!$L$5:$L$304,MATCH(B117,الموظفات!$B$5:$B$304,0)))</f>
        <v/>
      </c>
      <c r="K117" s="36">
        <f>IF(80&gt;$B$10,"",80)</f>
        <v/>
      </c>
      <c r="L117" s="37">
        <f>IF($K117="","",INDEX('سجل التحفيز'!$A$5:$A$2004,MATCH($K117,'سجل التحفيز'!$AA$5:$AA$2004,0)))</f>
        <v/>
      </c>
      <c r="M117" s="9">
        <f>IF($K117="","",INDEX('سجل التحفيز'!$B$5:$B$2004,MATCH($K117,'سجل التحفيز'!$AA$5:$AA$2004,0)))</f>
        <v/>
      </c>
      <c r="N117" s="9">
        <f>IF($K117="","",INDEX('سجل التحفيز'!$M$5:$M$2004,MATCH($K117,'سجل التحفيز'!$AA$5:$AA$2004,0)))</f>
        <v/>
      </c>
      <c r="O117" s="9">
        <f>IF($K117="","",INDEX('سجل التحفيز'!$C$5:$C$2004,MATCH($K117,'سجل التحفيز'!$AA$5:$AA$2004,0)))</f>
        <v/>
      </c>
      <c r="P117" s="36">
        <f>IF($K117="","",INDEX('سجل التحفيز'!$D$5:$D$2004,MATCH($K117,'سجل التحفيز'!$AA$5:$AA$2004,0)))</f>
        <v/>
      </c>
      <c r="Q117" s="9">
        <f>IF($K117="","",INDEX('سجل التحفيز'!$E$5:$E$2004,MATCH($K117,'سجل التحفيز'!$AA$5:$AA$2004,0)))</f>
        <v/>
      </c>
      <c r="R117" s="9">
        <f>IF($K117="","",INDEX('سجل التحفيز'!$F$5:$F$2004,MATCH($K117,'سجل التحفيز'!$AA$5:$AA$2004,0)))</f>
        <v/>
      </c>
      <c r="S117" s="35">
        <f>IF($K117="","",INDEX('سجل التحفيز'!$G$5:$G$2004,MATCH($K117,'سجل التحفيز'!$AA$5:$AA$2004,0)))</f>
        <v/>
      </c>
    </row>
    <row r="118">
      <c r="B118" s="34">
        <f>IFERROR(INDEX(الموظفات!$B$5:$B$304,MATCH(81,الموظفات!$U$5:$U$304,0)),"")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التحفيز'!$AA$5:$AA$2004,"&gt;0",'سجل التحفيز'!$B$5:$B$2004,B118))</f>
        <v/>
      </c>
      <c r="E118" s="35">
        <f>IF(B118="","",COUNTIFS('سجل التحفيز'!$AA$5:$AA$2004,"&gt;0",'سجل التحفيز'!$B$5:$B$2004,B118,'سجل التحفيز'!$D$5:$D$2004,"ذهبي"))</f>
        <v/>
      </c>
      <c r="F118" s="35">
        <f>IF(B118="","",SUMIFS('سجل التحفيز'!$G$5:$G$2004,'سجل التحفيز'!$AA$5:$AA$2004,"&gt;0",'سجل التحفيز'!$B$5:$B$2004,B118))</f>
        <v/>
      </c>
      <c r="G118" s="35">
        <f>IF(B118="","",COUNTIF($D$38:$D$187,"&gt;"&amp;D118)+1)</f>
        <v/>
      </c>
      <c r="H118" s="35">
        <f>IF(B118="","",INDEX(الموظفات!$L$5:$L$304,MATCH(B118,الموظفات!$B$5:$B$304,0)))</f>
        <v/>
      </c>
      <c r="K118" s="36">
        <f>IF(81&gt;$B$10,"",81)</f>
        <v/>
      </c>
      <c r="L118" s="37">
        <f>IF($K118="","",INDEX('سجل التحفيز'!$A$5:$A$2004,MATCH($K118,'سجل التحفيز'!$AA$5:$AA$2004,0)))</f>
        <v/>
      </c>
      <c r="M118" s="9">
        <f>IF($K118="","",INDEX('سجل التحفيز'!$B$5:$B$2004,MATCH($K118,'سجل التحفيز'!$AA$5:$AA$2004,0)))</f>
        <v/>
      </c>
      <c r="N118" s="9">
        <f>IF($K118="","",INDEX('سجل التحفيز'!$M$5:$M$2004,MATCH($K118,'سجل التحفيز'!$AA$5:$AA$2004,0)))</f>
        <v/>
      </c>
      <c r="O118" s="9">
        <f>IF($K118="","",INDEX('سجل التحفيز'!$C$5:$C$2004,MATCH($K118,'سجل التحفيز'!$AA$5:$AA$2004,0)))</f>
        <v/>
      </c>
      <c r="P118" s="36">
        <f>IF($K118="","",INDEX('سجل التحفيز'!$D$5:$D$2004,MATCH($K118,'سجل التحفيز'!$AA$5:$AA$2004,0)))</f>
        <v/>
      </c>
      <c r="Q118" s="9">
        <f>IF($K118="","",INDEX('سجل التحفيز'!$E$5:$E$2004,MATCH($K118,'سجل التحفيز'!$AA$5:$AA$2004,0)))</f>
        <v/>
      </c>
      <c r="R118" s="9">
        <f>IF($K118="","",INDEX('سجل التحفيز'!$F$5:$F$2004,MATCH($K118,'سجل التحفيز'!$AA$5:$AA$2004,0)))</f>
        <v/>
      </c>
      <c r="S118" s="35">
        <f>IF($K118="","",INDEX('سجل التحفيز'!$G$5:$G$2004,MATCH($K118,'سجل التحفيز'!$AA$5:$AA$2004,0)))</f>
        <v/>
      </c>
    </row>
    <row r="119">
      <c r="B119" s="34">
        <f>IFERROR(INDEX(الموظفات!$B$5:$B$304,MATCH(82,الموظفات!$U$5:$U$304,0)),"")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التحفيز'!$AA$5:$AA$2004,"&gt;0",'سجل التحفيز'!$B$5:$B$2004,B119))</f>
        <v/>
      </c>
      <c r="E119" s="35">
        <f>IF(B119="","",COUNTIFS('سجل التحفيز'!$AA$5:$AA$2004,"&gt;0",'سجل التحفيز'!$B$5:$B$2004,B119,'سجل التحفيز'!$D$5:$D$2004,"ذهبي"))</f>
        <v/>
      </c>
      <c r="F119" s="35">
        <f>IF(B119="","",SUMIFS('سجل التحفيز'!$G$5:$G$2004,'سجل التحفيز'!$AA$5:$AA$2004,"&gt;0",'سجل التحفيز'!$B$5:$B$2004,B119))</f>
        <v/>
      </c>
      <c r="G119" s="35">
        <f>IF(B119="","",COUNTIF($D$38:$D$187,"&gt;"&amp;D119)+1)</f>
        <v/>
      </c>
      <c r="H119" s="35">
        <f>IF(B119="","",INDEX(الموظفات!$L$5:$L$304,MATCH(B119,الموظفات!$B$5:$B$304,0)))</f>
        <v/>
      </c>
      <c r="K119" s="36">
        <f>IF(82&gt;$B$10,"",82)</f>
        <v/>
      </c>
      <c r="L119" s="37">
        <f>IF($K119="","",INDEX('سجل التحفيز'!$A$5:$A$2004,MATCH($K119,'سجل التحفيز'!$AA$5:$AA$2004,0)))</f>
        <v/>
      </c>
      <c r="M119" s="9">
        <f>IF($K119="","",INDEX('سجل التحفيز'!$B$5:$B$2004,MATCH($K119,'سجل التحفيز'!$AA$5:$AA$2004,0)))</f>
        <v/>
      </c>
      <c r="N119" s="9">
        <f>IF($K119="","",INDEX('سجل التحفيز'!$M$5:$M$2004,MATCH($K119,'سجل التحفيز'!$AA$5:$AA$2004,0)))</f>
        <v/>
      </c>
      <c r="O119" s="9">
        <f>IF($K119="","",INDEX('سجل التحفيز'!$C$5:$C$2004,MATCH($K119,'سجل التحفيز'!$AA$5:$AA$2004,0)))</f>
        <v/>
      </c>
      <c r="P119" s="36">
        <f>IF($K119="","",INDEX('سجل التحفيز'!$D$5:$D$2004,MATCH($K119,'سجل التحفيز'!$AA$5:$AA$2004,0)))</f>
        <v/>
      </c>
      <c r="Q119" s="9">
        <f>IF($K119="","",INDEX('سجل التحفيز'!$E$5:$E$2004,MATCH($K119,'سجل التحفيز'!$AA$5:$AA$2004,0)))</f>
        <v/>
      </c>
      <c r="R119" s="9">
        <f>IF($K119="","",INDEX('سجل التحفيز'!$F$5:$F$2004,MATCH($K119,'سجل التحفيز'!$AA$5:$AA$2004,0)))</f>
        <v/>
      </c>
      <c r="S119" s="35">
        <f>IF($K119="","",INDEX('سجل التحفيز'!$G$5:$G$2004,MATCH($K119,'سجل التحفيز'!$AA$5:$AA$2004,0)))</f>
        <v/>
      </c>
    </row>
    <row r="120">
      <c r="B120" s="34">
        <f>IFERROR(INDEX(الموظفات!$B$5:$B$304,MATCH(83,الموظفات!$U$5:$U$304,0)),"")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التحفيز'!$AA$5:$AA$2004,"&gt;0",'سجل التحفيز'!$B$5:$B$2004,B120))</f>
        <v/>
      </c>
      <c r="E120" s="35">
        <f>IF(B120="","",COUNTIFS('سجل التحفيز'!$AA$5:$AA$2004,"&gt;0",'سجل التحفيز'!$B$5:$B$2004,B120,'سجل التحفيز'!$D$5:$D$2004,"ذهبي"))</f>
        <v/>
      </c>
      <c r="F120" s="35">
        <f>IF(B120="","",SUMIFS('سجل التحفيز'!$G$5:$G$2004,'سجل التحفيز'!$AA$5:$AA$2004,"&gt;0",'سجل التحفيز'!$B$5:$B$2004,B120))</f>
        <v/>
      </c>
      <c r="G120" s="35">
        <f>IF(B120="","",COUNTIF($D$38:$D$187,"&gt;"&amp;D120)+1)</f>
        <v/>
      </c>
      <c r="H120" s="35">
        <f>IF(B120="","",INDEX(الموظفات!$L$5:$L$304,MATCH(B120,الموظفات!$B$5:$B$304,0)))</f>
        <v/>
      </c>
      <c r="K120" s="36">
        <f>IF(83&gt;$B$10,"",83)</f>
        <v/>
      </c>
      <c r="L120" s="37">
        <f>IF($K120="","",INDEX('سجل التحفيز'!$A$5:$A$2004,MATCH($K120,'سجل التحفيز'!$AA$5:$AA$2004,0)))</f>
        <v/>
      </c>
      <c r="M120" s="9">
        <f>IF($K120="","",INDEX('سجل التحفيز'!$B$5:$B$2004,MATCH($K120,'سجل التحفيز'!$AA$5:$AA$2004,0)))</f>
        <v/>
      </c>
      <c r="N120" s="9">
        <f>IF($K120="","",INDEX('سجل التحفيز'!$M$5:$M$2004,MATCH($K120,'سجل التحفيز'!$AA$5:$AA$2004,0)))</f>
        <v/>
      </c>
      <c r="O120" s="9">
        <f>IF($K120="","",INDEX('سجل التحفيز'!$C$5:$C$2004,MATCH($K120,'سجل التحفيز'!$AA$5:$AA$2004,0)))</f>
        <v/>
      </c>
      <c r="P120" s="36">
        <f>IF($K120="","",INDEX('سجل التحفيز'!$D$5:$D$2004,MATCH($K120,'سجل التحفيز'!$AA$5:$AA$2004,0)))</f>
        <v/>
      </c>
      <c r="Q120" s="9">
        <f>IF($K120="","",INDEX('سجل التحفيز'!$E$5:$E$2004,MATCH($K120,'سجل التحفيز'!$AA$5:$AA$2004,0)))</f>
        <v/>
      </c>
      <c r="R120" s="9">
        <f>IF($K120="","",INDEX('سجل التحفيز'!$F$5:$F$2004,MATCH($K120,'سجل التحفيز'!$AA$5:$AA$2004,0)))</f>
        <v/>
      </c>
      <c r="S120" s="35">
        <f>IF($K120="","",INDEX('سجل التحفيز'!$G$5:$G$2004,MATCH($K120,'سجل التحفيز'!$AA$5:$AA$2004,0)))</f>
        <v/>
      </c>
    </row>
    <row r="121">
      <c r="B121" s="34">
        <f>IFERROR(INDEX(الموظفات!$B$5:$B$304,MATCH(84,الموظفات!$U$5:$U$304,0)),"")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التحفيز'!$AA$5:$AA$2004,"&gt;0",'سجل التحفيز'!$B$5:$B$2004,B121))</f>
        <v/>
      </c>
      <c r="E121" s="35">
        <f>IF(B121="","",COUNTIFS('سجل التحفيز'!$AA$5:$AA$2004,"&gt;0",'سجل التحفيز'!$B$5:$B$2004,B121,'سجل التحفيز'!$D$5:$D$2004,"ذهبي"))</f>
        <v/>
      </c>
      <c r="F121" s="35">
        <f>IF(B121="","",SUMIFS('سجل التحفيز'!$G$5:$G$2004,'سجل التحفيز'!$AA$5:$AA$2004,"&gt;0",'سجل التحفيز'!$B$5:$B$2004,B121))</f>
        <v/>
      </c>
      <c r="G121" s="35">
        <f>IF(B121="","",COUNTIF($D$38:$D$187,"&gt;"&amp;D121)+1)</f>
        <v/>
      </c>
      <c r="H121" s="35">
        <f>IF(B121="","",INDEX(الموظفات!$L$5:$L$304,MATCH(B121,الموظفات!$B$5:$B$304,0)))</f>
        <v/>
      </c>
      <c r="K121" s="36">
        <f>IF(84&gt;$B$10,"",84)</f>
        <v/>
      </c>
      <c r="L121" s="37">
        <f>IF($K121="","",INDEX('سجل التحفيز'!$A$5:$A$2004,MATCH($K121,'سجل التحفيز'!$AA$5:$AA$2004,0)))</f>
        <v/>
      </c>
      <c r="M121" s="9">
        <f>IF($K121="","",INDEX('سجل التحفيز'!$B$5:$B$2004,MATCH($K121,'سجل التحفيز'!$AA$5:$AA$2004,0)))</f>
        <v/>
      </c>
      <c r="N121" s="9">
        <f>IF($K121="","",INDEX('سجل التحفيز'!$M$5:$M$2004,MATCH($K121,'سجل التحفيز'!$AA$5:$AA$2004,0)))</f>
        <v/>
      </c>
      <c r="O121" s="9">
        <f>IF($K121="","",INDEX('سجل التحفيز'!$C$5:$C$2004,MATCH($K121,'سجل التحفيز'!$AA$5:$AA$2004,0)))</f>
        <v/>
      </c>
      <c r="P121" s="36">
        <f>IF($K121="","",INDEX('سجل التحفيز'!$D$5:$D$2004,MATCH($K121,'سجل التحفيز'!$AA$5:$AA$2004,0)))</f>
        <v/>
      </c>
      <c r="Q121" s="9">
        <f>IF($K121="","",INDEX('سجل التحفيز'!$E$5:$E$2004,MATCH($K121,'سجل التحفيز'!$AA$5:$AA$2004,0)))</f>
        <v/>
      </c>
      <c r="R121" s="9">
        <f>IF($K121="","",INDEX('سجل التحفيز'!$F$5:$F$2004,MATCH($K121,'سجل التحفيز'!$AA$5:$AA$2004,0)))</f>
        <v/>
      </c>
      <c r="S121" s="35">
        <f>IF($K121="","",INDEX('سجل التحفيز'!$G$5:$G$2004,MATCH($K121,'سجل التحفيز'!$AA$5:$AA$2004,0)))</f>
        <v/>
      </c>
    </row>
    <row r="122">
      <c r="B122" s="34">
        <f>IFERROR(INDEX(الموظفات!$B$5:$B$304,MATCH(85,الموظفات!$U$5:$U$304,0)),"")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التحفيز'!$AA$5:$AA$2004,"&gt;0",'سجل التحفيز'!$B$5:$B$2004,B122))</f>
        <v/>
      </c>
      <c r="E122" s="35">
        <f>IF(B122="","",COUNTIFS('سجل التحفيز'!$AA$5:$AA$2004,"&gt;0",'سجل التحفيز'!$B$5:$B$2004,B122,'سجل التحفيز'!$D$5:$D$2004,"ذهبي"))</f>
        <v/>
      </c>
      <c r="F122" s="35">
        <f>IF(B122="","",SUMIFS('سجل التحفيز'!$G$5:$G$2004,'سجل التحفيز'!$AA$5:$AA$2004,"&gt;0",'سجل التحفيز'!$B$5:$B$2004,B122))</f>
        <v/>
      </c>
      <c r="G122" s="35">
        <f>IF(B122="","",COUNTIF($D$38:$D$187,"&gt;"&amp;D122)+1)</f>
        <v/>
      </c>
      <c r="H122" s="35">
        <f>IF(B122="","",INDEX(الموظفات!$L$5:$L$304,MATCH(B122,الموظفات!$B$5:$B$304,0)))</f>
        <v/>
      </c>
      <c r="K122" s="36">
        <f>IF(85&gt;$B$10,"",85)</f>
        <v/>
      </c>
      <c r="L122" s="37">
        <f>IF($K122="","",INDEX('سجل التحفيز'!$A$5:$A$2004,MATCH($K122,'سجل التحفيز'!$AA$5:$AA$2004,0)))</f>
        <v/>
      </c>
      <c r="M122" s="9">
        <f>IF($K122="","",INDEX('سجل التحفيز'!$B$5:$B$2004,MATCH($K122,'سجل التحفيز'!$AA$5:$AA$2004,0)))</f>
        <v/>
      </c>
      <c r="N122" s="9">
        <f>IF($K122="","",INDEX('سجل التحفيز'!$M$5:$M$2004,MATCH($K122,'سجل التحفيز'!$AA$5:$AA$2004,0)))</f>
        <v/>
      </c>
      <c r="O122" s="9">
        <f>IF($K122="","",INDEX('سجل التحفيز'!$C$5:$C$2004,MATCH($K122,'سجل التحفيز'!$AA$5:$AA$2004,0)))</f>
        <v/>
      </c>
      <c r="P122" s="36">
        <f>IF($K122="","",INDEX('سجل التحفيز'!$D$5:$D$2004,MATCH($K122,'سجل التحفيز'!$AA$5:$AA$2004,0)))</f>
        <v/>
      </c>
      <c r="Q122" s="9">
        <f>IF($K122="","",INDEX('سجل التحفيز'!$E$5:$E$2004,MATCH($K122,'سجل التحفيز'!$AA$5:$AA$2004,0)))</f>
        <v/>
      </c>
      <c r="R122" s="9">
        <f>IF($K122="","",INDEX('سجل التحفيز'!$F$5:$F$2004,MATCH($K122,'سجل التحفيز'!$AA$5:$AA$2004,0)))</f>
        <v/>
      </c>
      <c r="S122" s="35">
        <f>IF($K122="","",INDEX('سجل التحفيز'!$G$5:$G$2004,MATCH($K122,'سجل التحفيز'!$AA$5:$AA$2004,0)))</f>
        <v/>
      </c>
    </row>
    <row r="123">
      <c r="B123" s="34">
        <f>IFERROR(INDEX(الموظفات!$B$5:$B$304,MATCH(86,الموظفات!$U$5:$U$304,0)),"")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التحفيز'!$AA$5:$AA$2004,"&gt;0",'سجل التحفيز'!$B$5:$B$2004,B123))</f>
        <v/>
      </c>
      <c r="E123" s="35">
        <f>IF(B123="","",COUNTIFS('سجل التحفيز'!$AA$5:$AA$2004,"&gt;0",'سجل التحفيز'!$B$5:$B$2004,B123,'سجل التحفيز'!$D$5:$D$2004,"ذهبي"))</f>
        <v/>
      </c>
      <c r="F123" s="35">
        <f>IF(B123="","",SUMIFS('سجل التحفيز'!$G$5:$G$2004,'سجل التحفيز'!$AA$5:$AA$2004,"&gt;0",'سجل التحفيز'!$B$5:$B$2004,B123))</f>
        <v/>
      </c>
      <c r="G123" s="35">
        <f>IF(B123="","",COUNTIF($D$38:$D$187,"&gt;"&amp;D123)+1)</f>
        <v/>
      </c>
      <c r="H123" s="35">
        <f>IF(B123="","",INDEX(الموظفات!$L$5:$L$304,MATCH(B123,الموظفات!$B$5:$B$304,0)))</f>
        <v/>
      </c>
      <c r="K123" s="36">
        <f>IF(86&gt;$B$10,"",86)</f>
        <v/>
      </c>
      <c r="L123" s="37">
        <f>IF($K123="","",INDEX('سجل التحفيز'!$A$5:$A$2004,MATCH($K123,'سجل التحفيز'!$AA$5:$AA$2004,0)))</f>
        <v/>
      </c>
      <c r="M123" s="9">
        <f>IF($K123="","",INDEX('سجل التحفيز'!$B$5:$B$2004,MATCH($K123,'سجل التحفيز'!$AA$5:$AA$2004,0)))</f>
        <v/>
      </c>
      <c r="N123" s="9">
        <f>IF($K123="","",INDEX('سجل التحفيز'!$M$5:$M$2004,MATCH($K123,'سجل التحفيز'!$AA$5:$AA$2004,0)))</f>
        <v/>
      </c>
      <c r="O123" s="9">
        <f>IF($K123="","",INDEX('سجل التحفيز'!$C$5:$C$2004,MATCH($K123,'سجل التحفيز'!$AA$5:$AA$2004,0)))</f>
        <v/>
      </c>
      <c r="P123" s="36">
        <f>IF($K123="","",INDEX('سجل التحفيز'!$D$5:$D$2004,MATCH($K123,'سجل التحفيز'!$AA$5:$AA$2004,0)))</f>
        <v/>
      </c>
      <c r="Q123" s="9">
        <f>IF($K123="","",INDEX('سجل التحفيز'!$E$5:$E$2004,MATCH($K123,'سجل التحفيز'!$AA$5:$AA$2004,0)))</f>
        <v/>
      </c>
      <c r="R123" s="9">
        <f>IF($K123="","",INDEX('سجل التحفيز'!$F$5:$F$2004,MATCH($K123,'سجل التحفيز'!$AA$5:$AA$2004,0)))</f>
        <v/>
      </c>
      <c r="S123" s="35">
        <f>IF($K123="","",INDEX('سجل التحفيز'!$G$5:$G$2004,MATCH($K123,'سجل التحفيز'!$AA$5:$AA$2004,0)))</f>
        <v/>
      </c>
    </row>
    <row r="124">
      <c r="B124" s="34">
        <f>IFERROR(INDEX(الموظفات!$B$5:$B$304,MATCH(87,الموظفات!$U$5:$U$304,0)),"")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التحفيز'!$AA$5:$AA$2004,"&gt;0",'سجل التحفيز'!$B$5:$B$2004,B124))</f>
        <v/>
      </c>
      <c r="E124" s="35">
        <f>IF(B124="","",COUNTIFS('سجل التحفيز'!$AA$5:$AA$2004,"&gt;0",'سجل التحفيز'!$B$5:$B$2004,B124,'سجل التحفيز'!$D$5:$D$2004,"ذهبي"))</f>
        <v/>
      </c>
      <c r="F124" s="35">
        <f>IF(B124="","",SUMIFS('سجل التحفيز'!$G$5:$G$2004,'سجل التحفيز'!$AA$5:$AA$2004,"&gt;0",'سجل التحفيز'!$B$5:$B$2004,B124))</f>
        <v/>
      </c>
      <c r="G124" s="35">
        <f>IF(B124="","",COUNTIF($D$38:$D$187,"&gt;"&amp;D124)+1)</f>
        <v/>
      </c>
      <c r="H124" s="35">
        <f>IF(B124="","",INDEX(الموظفات!$L$5:$L$304,MATCH(B124,الموظفات!$B$5:$B$304,0)))</f>
        <v/>
      </c>
      <c r="K124" s="36">
        <f>IF(87&gt;$B$10,"",87)</f>
        <v/>
      </c>
      <c r="L124" s="37">
        <f>IF($K124="","",INDEX('سجل التحفيز'!$A$5:$A$2004,MATCH($K124,'سجل التحفيز'!$AA$5:$AA$2004,0)))</f>
        <v/>
      </c>
      <c r="M124" s="9">
        <f>IF($K124="","",INDEX('سجل التحفيز'!$B$5:$B$2004,MATCH($K124,'سجل التحفيز'!$AA$5:$AA$2004,0)))</f>
        <v/>
      </c>
      <c r="N124" s="9">
        <f>IF($K124="","",INDEX('سجل التحفيز'!$M$5:$M$2004,MATCH($K124,'سجل التحفيز'!$AA$5:$AA$2004,0)))</f>
        <v/>
      </c>
      <c r="O124" s="9">
        <f>IF($K124="","",INDEX('سجل التحفيز'!$C$5:$C$2004,MATCH($K124,'سجل التحفيز'!$AA$5:$AA$2004,0)))</f>
        <v/>
      </c>
      <c r="P124" s="36">
        <f>IF($K124="","",INDEX('سجل التحفيز'!$D$5:$D$2004,MATCH($K124,'سجل التحفيز'!$AA$5:$AA$2004,0)))</f>
        <v/>
      </c>
      <c r="Q124" s="9">
        <f>IF($K124="","",INDEX('سجل التحفيز'!$E$5:$E$2004,MATCH($K124,'سجل التحفيز'!$AA$5:$AA$2004,0)))</f>
        <v/>
      </c>
      <c r="R124" s="9">
        <f>IF($K124="","",INDEX('سجل التحفيز'!$F$5:$F$2004,MATCH($K124,'سجل التحفيز'!$AA$5:$AA$2004,0)))</f>
        <v/>
      </c>
      <c r="S124" s="35">
        <f>IF($K124="","",INDEX('سجل التحفيز'!$G$5:$G$2004,MATCH($K124,'سجل التحفيز'!$AA$5:$AA$2004,0)))</f>
        <v/>
      </c>
    </row>
    <row r="125">
      <c r="B125" s="34">
        <f>IFERROR(INDEX(الموظفات!$B$5:$B$304,MATCH(88,الموظفات!$U$5:$U$304,0)),"")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التحفيز'!$AA$5:$AA$2004,"&gt;0",'سجل التحفيز'!$B$5:$B$2004,B125))</f>
        <v/>
      </c>
      <c r="E125" s="35">
        <f>IF(B125="","",COUNTIFS('سجل التحفيز'!$AA$5:$AA$2004,"&gt;0",'سجل التحفيز'!$B$5:$B$2004,B125,'سجل التحفيز'!$D$5:$D$2004,"ذهبي"))</f>
        <v/>
      </c>
      <c r="F125" s="35">
        <f>IF(B125="","",SUMIFS('سجل التحفيز'!$G$5:$G$2004,'سجل التحفيز'!$AA$5:$AA$2004,"&gt;0",'سجل التحفيز'!$B$5:$B$2004,B125))</f>
        <v/>
      </c>
      <c r="G125" s="35">
        <f>IF(B125="","",COUNTIF($D$38:$D$187,"&gt;"&amp;D125)+1)</f>
        <v/>
      </c>
      <c r="H125" s="35">
        <f>IF(B125="","",INDEX(الموظفات!$L$5:$L$304,MATCH(B125,الموظفات!$B$5:$B$304,0)))</f>
        <v/>
      </c>
      <c r="K125" s="36">
        <f>IF(88&gt;$B$10,"",88)</f>
        <v/>
      </c>
      <c r="L125" s="37">
        <f>IF($K125="","",INDEX('سجل التحفيز'!$A$5:$A$2004,MATCH($K125,'سجل التحفيز'!$AA$5:$AA$2004,0)))</f>
        <v/>
      </c>
      <c r="M125" s="9">
        <f>IF($K125="","",INDEX('سجل التحفيز'!$B$5:$B$2004,MATCH($K125,'سجل التحفيز'!$AA$5:$AA$2004,0)))</f>
        <v/>
      </c>
      <c r="N125" s="9">
        <f>IF($K125="","",INDEX('سجل التحفيز'!$M$5:$M$2004,MATCH($K125,'سجل التحفيز'!$AA$5:$AA$2004,0)))</f>
        <v/>
      </c>
      <c r="O125" s="9">
        <f>IF($K125="","",INDEX('سجل التحفيز'!$C$5:$C$2004,MATCH($K125,'سجل التحفيز'!$AA$5:$AA$2004,0)))</f>
        <v/>
      </c>
      <c r="P125" s="36">
        <f>IF($K125="","",INDEX('سجل التحفيز'!$D$5:$D$2004,MATCH($K125,'سجل التحفيز'!$AA$5:$AA$2004,0)))</f>
        <v/>
      </c>
      <c r="Q125" s="9">
        <f>IF($K125="","",INDEX('سجل التحفيز'!$E$5:$E$2004,MATCH($K125,'سجل التحفيز'!$AA$5:$AA$2004,0)))</f>
        <v/>
      </c>
      <c r="R125" s="9">
        <f>IF($K125="","",INDEX('سجل التحفيز'!$F$5:$F$2004,MATCH($K125,'سجل التحفيز'!$AA$5:$AA$2004,0)))</f>
        <v/>
      </c>
      <c r="S125" s="35">
        <f>IF($K125="","",INDEX('سجل التحفيز'!$G$5:$G$2004,MATCH($K125,'سجل التحفيز'!$AA$5:$AA$2004,0)))</f>
        <v/>
      </c>
    </row>
    <row r="126">
      <c r="B126" s="34">
        <f>IFERROR(INDEX(الموظفات!$B$5:$B$304,MATCH(89,الموظفات!$U$5:$U$304,0)),"")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التحفيز'!$AA$5:$AA$2004,"&gt;0",'سجل التحفيز'!$B$5:$B$2004,B126))</f>
        <v/>
      </c>
      <c r="E126" s="35">
        <f>IF(B126="","",COUNTIFS('سجل التحفيز'!$AA$5:$AA$2004,"&gt;0",'سجل التحفيز'!$B$5:$B$2004,B126,'سجل التحفيز'!$D$5:$D$2004,"ذهبي"))</f>
        <v/>
      </c>
      <c r="F126" s="35">
        <f>IF(B126="","",SUMIFS('سجل التحفيز'!$G$5:$G$2004,'سجل التحفيز'!$AA$5:$AA$2004,"&gt;0",'سجل التحفيز'!$B$5:$B$2004,B126))</f>
        <v/>
      </c>
      <c r="G126" s="35">
        <f>IF(B126="","",COUNTIF($D$38:$D$187,"&gt;"&amp;D126)+1)</f>
        <v/>
      </c>
      <c r="H126" s="35">
        <f>IF(B126="","",INDEX(الموظفات!$L$5:$L$304,MATCH(B126,الموظفات!$B$5:$B$304,0)))</f>
        <v/>
      </c>
      <c r="K126" s="36">
        <f>IF(89&gt;$B$10,"",89)</f>
        <v/>
      </c>
      <c r="L126" s="37">
        <f>IF($K126="","",INDEX('سجل التحفيز'!$A$5:$A$2004,MATCH($K126,'سجل التحفيز'!$AA$5:$AA$2004,0)))</f>
        <v/>
      </c>
      <c r="M126" s="9">
        <f>IF($K126="","",INDEX('سجل التحفيز'!$B$5:$B$2004,MATCH($K126,'سجل التحفيز'!$AA$5:$AA$2004,0)))</f>
        <v/>
      </c>
      <c r="N126" s="9">
        <f>IF($K126="","",INDEX('سجل التحفيز'!$M$5:$M$2004,MATCH($K126,'سجل التحفيز'!$AA$5:$AA$2004,0)))</f>
        <v/>
      </c>
      <c r="O126" s="9">
        <f>IF($K126="","",INDEX('سجل التحفيز'!$C$5:$C$2004,MATCH($K126,'سجل التحفيز'!$AA$5:$AA$2004,0)))</f>
        <v/>
      </c>
      <c r="P126" s="36">
        <f>IF($K126="","",INDEX('سجل التحفيز'!$D$5:$D$2004,MATCH($K126,'سجل التحفيز'!$AA$5:$AA$2004,0)))</f>
        <v/>
      </c>
      <c r="Q126" s="9">
        <f>IF($K126="","",INDEX('سجل التحفيز'!$E$5:$E$2004,MATCH($K126,'سجل التحفيز'!$AA$5:$AA$2004,0)))</f>
        <v/>
      </c>
      <c r="R126" s="9">
        <f>IF($K126="","",INDEX('سجل التحفيز'!$F$5:$F$2004,MATCH($K126,'سجل التحفيز'!$AA$5:$AA$2004,0)))</f>
        <v/>
      </c>
      <c r="S126" s="35">
        <f>IF($K126="","",INDEX('سجل التحفيز'!$G$5:$G$2004,MATCH($K126,'سجل التحفيز'!$AA$5:$AA$2004,0)))</f>
        <v/>
      </c>
    </row>
    <row r="127">
      <c r="B127" s="34">
        <f>IFERROR(INDEX(الموظفات!$B$5:$B$304,MATCH(90,الموظفات!$U$5:$U$304,0)),"")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التحفيز'!$AA$5:$AA$2004,"&gt;0",'سجل التحفيز'!$B$5:$B$2004,B127))</f>
        <v/>
      </c>
      <c r="E127" s="35">
        <f>IF(B127="","",COUNTIFS('سجل التحفيز'!$AA$5:$AA$2004,"&gt;0",'سجل التحفيز'!$B$5:$B$2004,B127,'سجل التحفيز'!$D$5:$D$2004,"ذهبي"))</f>
        <v/>
      </c>
      <c r="F127" s="35">
        <f>IF(B127="","",SUMIFS('سجل التحفيز'!$G$5:$G$2004,'سجل التحفيز'!$AA$5:$AA$2004,"&gt;0",'سجل التحفيز'!$B$5:$B$2004,B127))</f>
        <v/>
      </c>
      <c r="G127" s="35">
        <f>IF(B127="","",COUNTIF($D$38:$D$187,"&gt;"&amp;D127)+1)</f>
        <v/>
      </c>
      <c r="H127" s="35">
        <f>IF(B127="","",INDEX(الموظفات!$L$5:$L$304,MATCH(B127,الموظفات!$B$5:$B$304,0)))</f>
        <v/>
      </c>
      <c r="K127" s="36">
        <f>IF(90&gt;$B$10,"",90)</f>
        <v/>
      </c>
      <c r="L127" s="37">
        <f>IF($K127="","",INDEX('سجل التحفيز'!$A$5:$A$2004,MATCH($K127,'سجل التحفيز'!$AA$5:$AA$2004,0)))</f>
        <v/>
      </c>
      <c r="M127" s="9">
        <f>IF($K127="","",INDEX('سجل التحفيز'!$B$5:$B$2004,MATCH($K127,'سجل التحفيز'!$AA$5:$AA$2004,0)))</f>
        <v/>
      </c>
      <c r="N127" s="9">
        <f>IF($K127="","",INDEX('سجل التحفيز'!$M$5:$M$2004,MATCH($K127,'سجل التحفيز'!$AA$5:$AA$2004,0)))</f>
        <v/>
      </c>
      <c r="O127" s="9">
        <f>IF($K127="","",INDEX('سجل التحفيز'!$C$5:$C$2004,MATCH($K127,'سجل التحفيز'!$AA$5:$AA$2004,0)))</f>
        <v/>
      </c>
      <c r="P127" s="36">
        <f>IF($K127="","",INDEX('سجل التحفيز'!$D$5:$D$2004,MATCH($K127,'سجل التحفيز'!$AA$5:$AA$2004,0)))</f>
        <v/>
      </c>
      <c r="Q127" s="9">
        <f>IF($K127="","",INDEX('سجل التحفيز'!$E$5:$E$2004,MATCH($K127,'سجل التحفيز'!$AA$5:$AA$2004,0)))</f>
        <v/>
      </c>
      <c r="R127" s="9">
        <f>IF($K127="","",INDEX('سجل التحفيز'!$F$5:$F$2004,MATCH($K127,'سجل التحفيز'!$AA$5:$AA$2004,0)))</f>
        <v/>
      </c>
      <c r="S127" s="35">
        <f>IF($K127="","",INDEX('سجل التحفيز'!$G$5:$G$2004,MATCH($K127,'سجل التحفيز'!$AA$5:$AA$2004,0)))</f>
        <v/>
      </c>
    </row>
    <row r="128">
      <c r="B128" s="34">
        <f>IFERROR(INDEX(الموظفات!$B$5:$B$304,MATCH(91,الموظفات!$U$5:$U$304,0)),"")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التحفيز'!$AA$5:$AA$2004,"&gt;0",'سجل التحفيز'!$B$5:$B$2004,B128))</f>
        <v/>
      </c>
      <c r="E128" s="35">
        <f>IF(B128="","",COUNTIFS('سجل التحفيز'!$AA$5:$AA$2004,"&gt;0",'سجل التحفيز'!$B$5:$B$2004,B128,'سجل التحفيز'!$D$5:$D$2004,"ذهبي"))</f>
        <v/>
      </c>
      <c r="F128" s="35">
        <f>IF(B128="","",SUMIFS('سجل التحفيز'!$G$5:$G$2004,'سجل التحفيز'!$AA$5:$AA$2004,"&gt;0",'سجل التحفيز'!$B$5:$B$2004,B128))</f>
        <v/>
      </c>
      <c r="G128" s="35">
        <f>IF(B128="","",COUNTIF($D$38:$D$187,"&gt;"&amp;D128)+1)</f>
        <v/>
      </c>
      <c r="H128" s="35">
        <f>IF(B128="","",INDEX(الموظفات!$L$5:$L$304,MATCH(B128,الموظفات!$B$5:$B$304,0)))</f>
        <v/>
      </c>
      <c r="K128" s="36">
        <f>IF(91&gt;$B$10,"",91)</f>
        <v/>
      </c>
      <c r="L128" s="37">
        <f>IF($K128="","",INDEX('سجل التحفيز'!$A$5:$A$2004,MATCH($K128,'سجل التحفيز'!$AA$5:$AA$2004,0)))</f>
        <v/>
      </c>
      <c r="M128" s="9">
        <f>IF($K128="","",INDEX('سجل التحفيز'!$B$5:$B$2004,MATCH($K128,'سجل التحفيز'!$AA$5:$AA$2004,0)))</f>
        <v/>
      </c>
      <c r="N128" s="9">
        <f>IF($K128="","",INDEX('سجل التحفيز'!$M$5:$M$2004,MATCH($K128,'سجل التحفيز'!$AA$5:$AA$2004,0)))</f>
        <v/>
      </c>
      <c r="O128" s="9">
        <f>IF($K128="","",INDEX('سجل التحفيز'!$C$5:$C$2004,MATCH($K128,'سجل التحفيز'!$AA$5:$AA$2004,0)))</f>
        <v/>
      </c>
      <c r="P128" s="36">
        <f>IF($K128="","",INDEX('سجل التحفيز'!$D$5:$D$2004,MATCH($K128,'سجل التحفيز'!$AA$5:$AA$2004,0)))</f>
        <v/>
      </c>
      <c r="Q128" s="9">
        <f>IF($K128="","",INDEX('سجل التحفيز'!$E$5:$E$2004,MATCH($K128,'سجل التحفيز'!$AA$5:$AA$2004,0)))</f>
        <v/>
      </c>
      <c r="R128" s="9">
        <f>IF($K128="","",INDEX('سجل التحفيز'!$F$5:$F$2004,MATCH($K128,'سجل التحفيز'!$AA$5:$AA$2004,0)))</f>
        <v/>
      </c>
      <c r="S128" s="35">
        <f>IF($K128="","",INDEX('سجل التحفيز'!$G$5:$G$2004,MATCH($K128,'سجل التحفيز'!$AA$5:$AA$2004,0)))</f>
        <v/>
      </c>
    </row>
    <row r="129">
      <c r="B129" s="34">
        <f>IFERROR(INDEX(الموظفات!$B$5:$B$304,MATCH(92,الموظفات!$U$5:$U$304,0)),"")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التحفيز'!$AA$5:$AA$2004,"&gt;0",'سجل التحفيز'!$B$5:$B$2004,B129))</f>
        <v/>
      </c>
      <c r="E129" s="35">
        <f>IF(B129="","",COUNTIFS('سجل التحفيز'!$AA$5:$AA$2004,"&gt;0",'سجل التحفيز'!$B$5:$B$2004,B129,'سجل التحفيز'!$D$5:$D$2004,"ذهبي"))</f>
        <v/>
      </c>
      <c r="F129" s="35">
        <f>IF(B129="","",SUMIFS('سجل التحفيز'!$G$5:$G$2004,'سجل التحفيز'!$AA$5:$AA$2004,"&gt;0",'سجل التحفيز'!$B$5:$B$2004,B129))</f>
        <v/>
      </c>
      <c r="G129" s="35">
        <f>IF(B129="","",COUNTIF($D$38:$D$187,"&gt;"&amp;D129)+1)</f>
        <v/>
      </c>
      <c r="H129" s="35">
        <f>IF(B129="","",INDEX(الموظفات!$L$5:$L$304,MATCH(B129,الموظفات!$B$5:$B$304,0)))</f>
        <v/>
      </c>
      <c r="K129" s="36">
        <f>IF(92&gt;$B$10,"",92)</f>
        <v/>
      </c>
      <c r="L129" s="37">
        <f>IF($K129="","",INDEX('سجل التحفيز'!$A$5:$A$2004,MATCH($K129,'سجل التحفيز'!$AA$5:$AA$2004,0)))</f>
        <v/>
      </c>
      <c r="M129" s="9">
        <f>IF($K129="","",INDEX('سجل التحفيز'!$B$5:$B$2004,MATCH($K129,'سجل التحفيز'!$AA$5:$AA$2004,0)))</f>
        <v/>
      </c>
      <c r="N129" s="9">
        <f>IF($K129="","",INDEX('سجل التحفيز'!$M$5:$M$2004,MATCH($K129,'سجل التحفيز'!$AA$5:$AA$2004,0)))</f>
        <v/>
      </c>
      <c r="O129" s="9">
        <f>IF($K129="","",INDEX('سجل التحفيز'!$C$5:$C$2004,MATCH($K129,'سجل التحفيز'!$AA$5:$AA$2004,0)))</f>
        <v/>
      </c>
      <c r="P129" s="36">
        <f>IF($K129="","",INDEX('سجل التحفيز'!$D$5:$D$2004,MATCH($K129,'سجل التحفيز'!$AA$5:$AA$2004,0)))</f>
        <v/>
      </c>
      <c r="Q129" s="9">
        <f>IF($K129="","",INDEX('سجل التحفيز'!$E$5:$E$2004,MATCH($K129,'سجل التحفيز'!$AA$5:$AA$2004,0)))</f>
        <v/>
      </c>
      <c r="R129" s="9">
        <f>IF($K129="","",INDEX('سجل التحفيز'!$F$5:$F$2004,MATCH($K129,'سجل التحفيز'!$AA$5:$AA$2004,0)))</f>
        <v/>
      </c>
      <c r="S129" s="35">
        <f>IF($K129="","",INDEX('سجل التحفيز'!$G$5:$G$2004,MATCH($K129,'سجل التحفيز'!$AA$5:$AA$2004,0)))</f>
        <v/>
      </c>
    </row>
    <row r="130">
      <c r="B130" s="34">
        <f>IFERROR(INDEX(الموظفات!$B$5:$B$304,MATCH(93,الموظفات!$U$5:$U$304,0)),"")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التحفيز'!$AA$5:$AA$2004,"&gt;0",'سجل التحفيز'!$B$5:$B$2004,B130))</f>
        <v/>
      </c>
      <c r="E130" s="35">
        <f>IF(B130="","",COUNTIFS('سجل التحفيز'!$AA$5:$AA$2004,"&gt;0",'سجل التحفيز'!$B$5:$B$2004,B130,'سجل التحفيز'!$D$5:$D$2004,"ذهبي"))</f>
        <v/>
      </c>
      <c r="F130" s="35">
        <f>IF(B130="","",SUMIFS('سجل التحفيز'!$G$5:$G$2004,'سجل التحفيز'!$AA$5:$AA$2004,"&gt;0",'سجل التحفيز'!$B$5:$B$2004,B130))</f>
        <v/>
      </c>
      <c r="G130" s="35">
        <f>IF(B130="","",COUNTIF($D$38:$D$187,"&gt;"&amp;D130)+1)</f>
        <v/>
      </c>
      <c r="H130" s="35">
        <f>IF(B130="","",INDEX(الموظفات!$L$5:$L$304,MATCH(B130,الموظفات!$B$5:$B$304,0)))</f>
        <v/>
      </c>
      <c r="K130" s="36">
        <f>IF(93&gt;$B$10,"",93)</f>
        <v/>
      </c>
      <c r="L130" s="37">
        <f>IF($K130="","",INDEX('سجل التحفيز'!$A$5:$A$2004,MATCH($K130,'سجل التحفيز'!$AA$5:$AA$2004,0)))</f>
        <v/>
      </c>
      <c r="M130" s="9">
        <f>IF($K130="","",INDEX('سجل التحفيز'!$B$5:$B$2004,MATCH($K130,'سجل التحفيز'!$AA$5:$AA$2004,0)))</f>
        <v/>
      </c>
      <c r="N130" s="9">
        <f>IF($K130="","",INDEX('سجل التحفيز'!$M$5:$M$2004,MATCH($K130,'سجل التحفيز'!$AA$5:$AA$2004,0)))</f>
        <v/>
      </c>
      <c r="O130" s="9">
        <f>IF($K130="","",INDEX('سجل التحفيز'!$C$5:$C$2004,MATCH($K130,'سجل التحفيز'!$AA$5:$AA$2004,0)))</f>
        <v/>
      </c>
      <c r="P130" s="36">
        <f>IF($K130="","",INDEX('سجل التحفيز'!$D$5:$D$2004,MATCH($K130,'سجل التحفيز'!$AA$5:$AA$2004,0)))</f>
        <v/>
      </c>
      <c r="Q130" s="9">
        <f>IF($K130="","",INDEX('سجل التحفيز'!$E$5:$E$2004,MATCH($K130,'سجل التحفيز'!$AA$5:$AA$2004,0)))</f>
        <v/>
      </c>
      <c r="R130" s="9">
        <f>IF($K130="","",INDEX('سجل التحفيز'!$F$5:$F$2004,MATCH($K130,'سجل التحفيز'!$AA$5:$AA$2004,0)))</f>
        <v/>
      </c>
      <c r="S130" s="35">
        <f>IF($K130="","",INDEX('سجل التحفيز'!$G$5:$G$2004,MATCH($K130,'سجل التحفيز'!$AA$5:$AA$2004,0)))</f>
        <v/>
      </c>
    </row>
    <row r="131">
      <c r="B131" s="34">
        <f>IFERROR(INDEX(الموظفات!$B$5:$B$304,MATCH(94,الموظفات!$U$5:$U$304,0)),"")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التحفيز'!$AA$5:$AA$2004,"&gt;0",'سجل التحفيز'!$B$5:$B$2004,B131))</f>
        <v/>
      </c>
      <c r="E131" s="35">
        <f>IF(B131="","",COUNTIFS('سجل التحفيز'!$AA$5:$AA$2004,"&gt;0",'سجل التحفيز'!$B$5:$B$2004,B131,'سجل التحفيز'!$D$5:$D$2004,"ذهبي"))</f>
        <v/>
      </c>
      <c r="F131" s="35">
        <f>IF(B131="","",SUMIFS('سجل التحفيز'!$G$5:$G$2004,'سجل التحفيز'!$AA$5:$AA$2004,"&gt;0",'سجل التحفيز'!$B$5:$B$2004,B131))</f>
        <v/>
      </c>
      <c r="G131" s="35">
        <f>IF(B131="","",COUNTIF($D$38:$D$187,"&gt;"&amp;D131)+1)</f>
        <v/>
      </c>
      <c r="H131" s="35">
        <f>IF(B131="","",INDEX(الموظفات!$L$5:$L$304,MATCH(B131,الموظفات!$B$5:$B$304,0)))</f>
        <v/>
      </c>
      <c r="K131" s="36">
        <f>IF(94&gt;$B$10,"",94)</f>
        <v/>
      </c>
      <c r="L131" s="37">
        <f>IF($K131="","",INDEX('سجل التحفيز'!$A$5:$A$2004,MATCH($K131,'سجل التحفيز'!$AA$5:$AA$2004,0)))</f>
        <v/>
      </c>
      <c r="M131" s="9">
        <f>IF($K131="","",INDEX('سجل التحفيز'!$B$5:$B$2004,MATCH($K131,'سجل التحفيز'!$AA$5:$AA$2004,0)))</f>
        <v/>
      </c>
      <c r="N131" s="9">
        <f>IF($K131="","",INDEX('سجل التحفيز'!$M$5:$M$2004,MATCH($K131,'سجل التحفيز'!$AA$5:$AA$2004,0)))</f>
        <v/>
      </c>
      <c r="O131" s="9">
        <f>IF($K131="","",INDEX('سجل التحفيز'!$C$5:$C$2004,MATCH($K131,'سجل التحفيز'!$AA$5:$AA$2004,0)))</f>
        <v/>
      </c>
      <c r="P131" s="36">
        <f>IF($K131="","",INDEX('سجل التحفيز'!$D$5:$D$2004,MATCH($K131,'سجل التحفيز'!$AA$5:$AA$2004,0)))</f>
        <v/>
      </c>
      <c r="Q131" s="9">
        <f>IF($K131="","",INDEX('سجل التحفيز'!$E$5:$E$2004,MATCH($K131,'سجل التحفيز'!$AA$5:$AA$2004,0)))</f>
        <v/>
      </c>
      <c r="R131" s="9">
        <f>IF($K131="","",INDEX('سجل التحفيز'!$F$5:$F$2004,MATCH($K131,'سجل التحفيز'!$AA$5:$AA$2004,0)))</f>
        <v/>
      </c>
      <c r="S131" s="35">
        <f>IF($K131="","",INDEX('سجل التحفيز'!$G$5:$G$2004,MATCH($K131,'سجل التحفيز'!$AA$5:$AA$2004,0)))</f>
        <v/>
      </c>
    </row>
    <row r="132">
      <c r="B132" s="34">
        <f>IFERROR(INDEX(الموظفات!$B$5:$B$304,MATCH(95,الموظفات!$U$5:$U$304,0)),"")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التحفيز'!$AA$5:$AA$2004,"&gt;0",'سجل التحفيز'!$B$5:$B$2004,B132))</f>
        <v/>
      </c>
      <c r="E132" s="35">
        <f>IF(B132="","",COUNTIFS('سجل التحفيز'!$AA$5:$AA$2004,"&gt;0",'سجل التحفيز'!$B$5:$B$2004,B132,'سجل التحفيز'!$D$5:$D$2004,"ذهبي"))</f>
        <v/>
      </c>
      <c r="F132" s="35">
        <f>IF(B132="","",SUMIFS('سجل التحفيز'!$G$5:$G$2004,'سجل التحفيز'!$AA$5:$AA$2004,"&gt;0",'سجل التحفيز'!$B$5:$B$2004,B132))</f>
        <v/>
      </c>
      <c r="G132" s="35">
        <f>IF(B132="","",COUNTIF($D$38:$D$187,"&gt;"&amp;D132)+1)</f>
        <v/>
      </c>
      <c r="H132" s="35">
        <f>IF(B132="","",INDEX(الموظفات!$L$5:$L$304,MATCH(B132,الموظفات!$B$5:$B$304,0)))</f>
        <v/>
      </c>
      <c r="K132" s="36">
        <f>IF(95&gt;$B$10,"",95)</f>
        <v/>
      </c>
      <c r="L132" s="37">
        <f>IF($K132="","",INDEX('سجل التحفيز'!$A$5:$A$2004,MATCH($K132,'سجل التحفيز'!$AA$5:$AA$2004,0)))</f>
        <v/>
      </c>
      <c r="M132" s="9">
        <f>IF($K132="","",INDEX('سجل التحفيز'!$B$5:$B$2004,MATCH($K132,'سجل التحفيز'!$AA$5:$AA$2004,0)))</f>
        <v/>
      </c>
      <c r="N132" s="9">
        <f>IF($K132="","",INDEX('سجل التحفيز'!$M$5:$M$2004,MATCH($K132,'سجل التحفيز'!$AA$5:$AA$2004,0)))</f>
        <v/>
      </c>
      <c r="O132" s="9">
        <f>IF($K132="","",INDEX('سجل التحفيز'!$C$5:$C$2004,MATCH($K132,'سجل التحفيز'!$AA$5:$AA$2004,0)))</f>
        <v/>
      </c>
      <c r="P132" s="36">
        <f>IF($K132="","",INDEX('سجل التحفيز'!$D$5:$D$2004,MATCH($K132,'سجل التحفيز'!$AA$5:$AA$2004,0)))</f>
        <v/>
      </c>
      <c r="Q132" s="9">
        <f>IF($K132="","",INDEX('سجل التحفيز'!$E$5:$E$2004,MATCH($K132,'سجل التحفيز'!$AA$5:$AA$2004,0)))</f>
        <v/>
      </c>
      <c r="R132" s="9">
        <f>IF($K132="","",INDEX('سجل التحفيز'!$F$5:$F$2004,MATCH($K132,'سجل التحفيز'!$AA$5:$AA$2004,0)))</f>
        <v/>
      </c>
      <c r="S132" s="35">
        <f>IF($K132="","",INDEX('سجل التحفيز'!$G$5:$G$2004,MATCH($K132,'سجل التحفيز'!$AA$5:$AA$2004,0)))</f>
        <v/>
      </c>
    </row>
    <row r="133">
      <c r="B133" s="34">
        <f>IFERROR(INDEX(الموظفات!$B$5:$B$304,MATCH(96,الموظفات!$U$5:$U$304,0)),"")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التحفيز'!$AA$5:$AA$2004,"&gt;0",'سجل التحفيز'!$B$5:$B$2004,B133))</f>
        <v/>
      </c>
      <c r="E133" s="35">
        <f>IF(B133="","",COUNTIFS('سجل التحفيز'!$AA$5:$AA$2004,"&gt;0",'سجل التحفيز'!$B$5:$B$2004,B133,'سجل التحفيز'!$D$5:$D$2004,"ذهبي"))</f>
        <v/>
      </c>
      <c r="F133" s="35">
        <f>IF(B133="","",SUMIFS('سجل التحفيز'!$G$5:$G$2004,'سجل التحفيز'!$AA$5:$AA$2004,"&gt;0",'سجل التحفيز'!$B$5:$B$2004,B133))</f>
        <v/>
      </c>
      <c r="G133" s="35">
        <f>IF(B133="","",COUNTIF($D$38:$D$187,"&gt;"&amp;D133)+1)</f>
        <v/>
      </c>
      <c r="H133" s="35">
        <f>IF(B133="","",INDEX(الموظفات!$L$5:$L$304,MATCH(B133,الموظفات!$B$5:$B$304,0)))</f>
        <v/>
      </c>
      <c r="K133" s="36">
        <f>IF(96&gt;$B$10,"",96)</f>
        <v/>
      </c>
      <c r="L133" s="37">
        <f>IF($K133="","",INDEX('سجل التحفيز'!$A$5:$A$2004,MATCH($K133,'سجل التحفيز'!$AA$5:$AA$2004,0)))</f>
        <v/>
      </c>
      <c r="M133" s="9">
        <f>IF($K133="","",INDEX('سجل التحفيز'!$B$5:$B$2004,MATCH($K133,'سجل التحفيز'!$AA$5:$AA$2004,0)))</f>
        <v/>
      </c>
      <c r="N133" s="9">
        <f>IF($K133="","",INDEX('سجل التحفيز'!$M$5:$M$2004,MATCH($K133,'سجل التحفيز'!$AA$5:$AA$2004,0)))</f>
        <v/>
      </c>
      <c r="O133" s="9">
        <f>IF($K133="","",INDEX('سجل التحفيز'!$C$5:$C$2004,MATCH($K133,'سجل التحفيز'!$AA$5:$AA$2004,0)))</f>
        <v/>
      </c>
      <c r="P133" s="36">
        <f>IF($K133="","",INDEX('سجل التحفيز'!$D$5:$D$2004,MATCH($K133,'سجل التحفيز'!$AA$5:$AA$2004,0)))</f>
        <v/>
      </c>
      <c r="Q133" s="9">
        <f>IF($K133="","",INDEX('سجل التحفيز'!$E$5:$E$2004,MATCH($K133,'سجل التحفيز'!$AA$5:$AA$2004,0)))</f>
        <v/>
      </c>
      <c r="R133" s="9">
        <f>IF($K133="","",INDEX('سجل التحفيز'!$F$5:$F$2004,MATCH($K133,'سجل التحفيز'!$AA$5:$AA$2004,0)))</f>
        <v/>
      </c>
      <c r="S133" s="35">
        <f>IF($K133="","",INDEX('سجل التحفيز'!$G$5:$G$2004,MATCH($K133,'سجل التحفيز'!$AA$5:$AA$2004,0)))</f>
        <v/>
      </c>
    </row>
    <row r="134">
      <c r="B134" s="34">
        <f>IFERROR(INDEX(الموظفات!$B$5:$B$304,MATCH(97,الموظفات!$U$5:$U$304,0)),"")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التحفيز'!$AA$5:$AA$2004,"&gt;0",'سجل التحفيز'!$B$5:$B$2004,B134))</f>
        <v/>
      </c>
      <c r="E134" s="35">
        <f>IF(B134="","",COUNTIFS('سجل التحفيز'!$AA$5:$AA$2004,"&gt;0",'سجل التحفيز'!$B$5:$B$2004,B134,'سجل التحفيز'!$D$5:$D$2004,"ذهبي"))</f>
        <v/>
      </c>
      <c r="F134" s="35">
        <f>IF(B134="","",SUMIFS('سجل التحفيز'!$G$5:$G$2004,'سجل التحفيز'!$AA$5:$AA$2004,"&gt;0",'سجل التحفيز'!$B$5:$B$2004,B134))</f>
        <v/>
      </c>
      <c r="G134" s="35">
        <f>IF(B134="","",COUNTIF($D$38:$D$187,"&gt;"&amp;D134)+1)</f>
        <v/>
      </c>
      <c r="H134" s="35">
        <f>IF(B134="","",INDEX(الموظفات!$L$5:$L$304,MATCH(B134,الموظفات!$B$5:$B$304,0)))</f>
        <v/>
      </c>
      <c r="K134" s="36">
        <f>IF(97&gt;$B$10,"",97)</f>
        <v/>
      </c>
      <c r="L134" s="37">
        <f>IF($K134="","",INDEX('سجل التحفيز'!$A$5:$A$2004,MATCH($K134,'سجل التحفيز'!$AA$5:$AA$2004,0)))</f>
        <v/>
      </c>
      <c r="M134" s="9">
        <f>IF($K134="","",INDEX('سجل التحفيز'!$B$5:$B$2004,MATCH($K134,'سجل التحفيز'!$AA$5:$AA$2004,0)))</f>
        <v/>
      </c>
      <c r="N134" s="9">
        <f>IF($K134="","",INDEX('سجل التحفيز'!$M$5:$M$2004,MATCH($K134,'سجل التحفيز'!$AA$5:$AA$2004,0)))</f>
        <v/>
      </c>
      <c r="O134" s="9">
        <f>IF($K134="","",INDEX('سجل التحفيز'!$C$5:$C$2004,MATCH($K134,'سجل التحفيز'!$AA$5:$AA$2004,0)))</f>
        <v/>
      </c>
      <c r="P134" s="36">
        <f>IF($K134="","",INDEX('سجل التحفيز'!$D$5:$D$2004,MATCH($K134,'سجل التحفيز'!$AA$5:$AA$2004,0)))</f>
        <v/>
      </c>
      <c r="Q134" s="9">
        <f>IF($K134="","",INDEX('سجل التحفيز'!$E$5:$E$2004,MATCH($K134,'سجل التحفيز'!$AA$5:$AA$2004,0)))</f>
        <v/>
      </c>
      <c r="R134" s="9">
        <f>IF($K134="","",INDEX('سجل التحفيز'!$F$5:$F$2004,MATCH($K134,'سجل التحفيز'!$AA$5:$AA$2004,0)))</f>
        <v/>
      </c>
      <c r="S134" s="35">
        <f>IF($K134="","",INDEX('سجل التحفيز'!$G$5:$G$2004,MATCH($K134,'سجل التحفيز'!$AA$5:$AA$2004,0)))</f>
        <v/>
      </c>
    </row>
    <row r="135">
      <c r="B135" s="34">
        <f>IFERROR(INDEX(الموظفات!$B$5:$B$304,MATCH(98,الموظفات!$U$5:$U$304,0)),"")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التحفيز'!$AA$5:$AA$2004,"&gt;0",'سجل التحفيز'!$B$5:$B$2004,B135))</f>
        <v/>
      </c>
      <c r="E135" s="35">
        <f>IF(B135="","",COUNTIFS('سجل التحفيز'!$AA$5:$AA$2004,"&gt;0",'سجل التحفيز'!$B$5:$B$2004,B135,'سجل التحفيز'!$D$5:$D$2004,"ذهبي"))</f>
        <v/>
      </c>
      <c r="F135" s="35">
        <f>IF(B135="","",SUMIFS('سجل التحفيز'!$G$5:$G$2004,'سجل التحفيز'!$AA$5:$AA$2004,"&gt;0",'سجل التحفيز'!$B$5:$B$2004,B135))</f>
        <v/>
      </c>
      <c r="G135" s="35">
        <f>IF(B135="","",COUNTIF($D$38:$D$187,"&gt;"&amp;D135)+1)</f>
        <v/>
      </c>
      <c r="H135" s="35">
        <f>IF(B135="","",INDEX(الموظفات!$L$5:$L$304,MATCH(B135,الموظفات!$B$5:$B$304,0)))</f>
        <v/>
      </c>
      <c r="K135" s="36">
        <f>IF(98&gt;$B$10,"",98)</f>
        <v/>
      </c>
      <c r="L135" s="37">
        <f>IF($K135="","",INDEX('سجل التحفيز'!$A$5:$A$2004,MATCH($K135,'سجل التحفيز'!$AA$5:$AA$2004,0)))</f>
        <v/>
      </c>
      <c r="M135" s="9">
        <f>IF($K135="","",INDEX('سجل التحفيز'!$B$5:$B$2004,MATCH($K135,'سجل التحفيز'!$AA$5:$AA$2004,0)))</f>
        <v/>
      </c>
      <c r="N135" s="9">
        <f>IF($K135="","",INDEX('سجل التحفيز'!$M$5:$M$2004,MATCH($K135,'سجل التحفيز'!$AA$5:$AA$2004,0)))</f>
        <v/>
      </c>
      <c r="O135" s="9">
        <f>IF($K135="","",INDEX('سجل التحفيز'!$C$5:$C$2004,MATCH($K135,'سجل التحفيز'!$AA$5:$AA$2004,0)))</f>
        <v/>
      </c>
      <c r="P135" s="36">
        <f>IF($K135="","",INDEX('سجل التحفيز'!$D$5:$D$2004,MATCH($K135,'سجل التحفيز'!$AA$5:$AA$2004,0)))</f>
        <v/>
      </c>
      <c r="Q135" s="9">
        <f>IF($K135="","",INDEX('سجل التحفيز'!$E$5:$E$2004,MATCH($K135,'سجل التحفيز'!$AA$5:$AA$2004,0)))</f>
        <v/>
      </c>
      <c r="R135" s="9">
        <f>IF($K135="","",INDEX('سجل التحفيز'!$F$5:$F$2004,MATCH($K135,'سجل التحفيز'!$AA$5:$AA$2004,0)))</f>
        <v/>
      </c>
      <c r="S135" s="35">
        <f>IF($K135="","",INDEX('سجل التحفيز'!$G$5:$G$2004,MATCH($K135,'سجل التحفيز'!$AA$5:$AA$2004,0)))</f>
        <v/>
      </c>
    </row>
    <row r="136">
      <c r="B136" s="34">
        <f>IFERROR(INDEX(الموظفات!$B$5:$B$304,MATCH(99,الموظفات!$U$5:$U$304,0)),"")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التحفيز'!$AA$5:$AA$2004,"&gt;0",'سجل التحفيز'!$B$5:$B$2004,B136))</f>
        <v/>
      </c>
      <c r="E136" s="35">
        <f>IF(B136="","",COUNTIFS('سجل التحفيز'!$AA$5:$AA$2004,"&gt;0",'سجل التحفيز'!$B$5:$B$2004,B136,'سجل التحفيز'!$D$5:$D$2004,"ذهبي"))</f>
        <v/>
      </c>
      <c r="F136" s="35">
        <f>IF(B136="","",SUMIFS('سجل التحفيز'!$G$5:$G$2004,'سجل التحفيز'!$AA$5:$AA$2004,"&gt;0",'سجل التحفيز'!$B$5:$B$2004,B136))</f>
        <v/>
      </c>
      <c r="G136" s="35">
        <f>IF(B136="","",COUNTIF($D$38:$D$187,"&gt;"&amp;D136)+1)</f>
        <v/>
      </c>
      <c r="H136" s="35">
        <f>IF(B136="","",INDEX(الموظفات!$L$5:$L$304,MATCH(B136,الموظفات!$B$5:$B$304,0)))</f>
        <v/>
      </c>
      <c r="K136" s="36">
        <f>IF(99&gt;$B$10,"",99)</f>
        <v/>
      </c>
      <c r="L136" s="37">
        <f>IF($K136="","",INDEX('سجل التحفيز'!$A$5:$A$2004,MATCH($K136,'سجل التحفيز'!$AA$5:$AA$2004,0)))</f>
        <v/>
      </c>
      <c r="M136" s="9">
        <f>IF($K136="","",INDEX('سجل التحفيز'!$B$5:$B$2004,MATCH($K136,'سجل التحفيز'!$AA$5:$AA$2004,0)))</f>
        <v/>
      </c>
      <c r="N136" s="9">
        <f>IF($K136="","",INDEX('سجل التحفيز'!$M$5:$M$2004,MATCH($K136,'سجل التحفيز'!$AA$5:$AA$2004,0)))</f>
        <v/>
      </c>
      <c r="O136" s="9">
        <f>IF($K136="","",INDEX('سجل التحفيز'!$C$5:$C$2004,MATCH($K136,'سجل التحفيز'!$AA$5:$AA$2004,0)))</f>
        <v/>
      </c>
      <c r="P136" s="36">
        <f>IF($K136="","",INDEX('سجل التحفيز'!$D$5:$D$2004,MATCH($K136,'سجل التحفيز'!$AA$5:$AA$2004,0)))</f>
        <v/>
      </c>
      <c r="Q136" s="9">
        <f>IF($K136="","",INDEX('سجل التحفيز'!$E$5:$E$2004,MATCH($K136,'سجل التحفيز'!$AA$5:$AA$2004,0)))</f>
        <v/>
      </c>
      <c r="R136" s="9">
        <f>IF($K136="","",INDEX('سجل التحفيز'!$F$5:$F$2004,MATCH($K136,'سجل التحفيز'!$AA$5:$AA$2004,0)))</f>
        <v/>
      </c>
      <c r="S136" s="35">
        <f>IF($K136="","",INDEX('سجل التحفيز'!$G$5:$G$2004,MATCH($K136,'سجل التحفيز'!$AA$5:$AA$2004,0)))</f>
        <v/>
      </c>
    </row>
    <row r="137">
      <c r="B137" s="34">
        <f>IFERROR(INDEX(الموظفات!$B$5:$B$304,MATCH(100,الموظفات!$U$5:$U$304,0)),"")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التحفيز'!$AA$5:$AA$2004,"&gt;0",'سجل التحفيز'!$B$5:$B$2004,B137))</f>
        <v/>
      </c>
      <c r="E137" s="35">
        <f>IF(B137="","",COUNTIFS('سجل التحفيز'!$AA$5:$AA$2004,"&gt;0",'سجل التحفيز'!$B$5:$B$2004,B137,'سجل التحفيز'!$D$5:$D$2004,"ذهبي"))</f>
        <v/>
      </c>
      <c r="F137" s="35">
        <f>IF(B137="","",SUMIFS('سجل التحفيز'!$G$5:$G$2004,'سجل التحفيز'!$AA$5:$AA$2004,"&gt;0",'سجل التحفيز'!$B$5:$B$2004,B137))</f>
        <v/>
      </c>
      <c r="G137" s="35">
        <f>IF(B137="","",COUNTIF($D$38:$D$187,"&gt;"&amp;D137)+1)</f>
        <v/>
      </c>
      <c r="H137" s="35">
        <f>IF(B137="","",INDEX(الموظفات!$L$5:$L$304,MATCH(B137,الموظفات!$B$5:$B$304,0)))</f>
        <v/>
      </c>
      <c r="K137" s="36">
        <f>IF(100&gt;$B$10,"",100)</f>
        <v/>
      </c>
      <c r="L137" s="37">
        <f>IF($K137="","",INDEX('سجل التحفيز'!$A$5:$A$2004,MATCH($K137,'سجل التحفيز'!$AA$5:$AA$2004,0)))</f>
        <v/>
      </c>
      <c r="M137" s="9">
        <f>IF($K137="","",INDEX('سجل التحفيز'!$B$5:$B$2004,MATCH($K137,'سجل التحفيز'!$AA$5:$AA$2004,0)))</f>
        <v/>
      </c>
      <c r="N137" s="9">
        <f>IF($K137="","",INDEX('سجل التحفيز'!$M$5:$M$2004,MATCH($K137,'سجل التحفيز'!$AA$5:$AA$2004,0)))</f>
        <v/>
      </c>
      <c r="O137" s="9">
        <f>IF($K137="","",INDEX('سجل التحفيز'!$C$5:$C$2004,MATCH($K137,'سجل التحفيز'!$AA$5:$AA$2004,0)))</f>
        <v/>
      </c>
      <c r="P137" s="36">
        <f>IF($K137="","",INDEX('سجل التحفيز'!$D$5:$D$2004,MATCH($K137,'سجل التحفيز'!$AA$5:$AA$2004,0)))</f>
        <v/>
      </c>
      <c r="Q137" s="9">
        <f>IF($K137="","",INDEX('سجل التحفيز'!$E$5:$E$2004,MATCH($K137,'سجل التحفيز'!$AA$5:$AA$2004,0)))</f>
        <v/>
      </c>
      <c r="R137" s="9">
        <f>IF($K137="","",INDEX('سجل التحفيز'!$F$5:$F$2004,MATCH($K137,'سجل التحفيز'!$AA$5:$AA$2004,0)))</f>
        <v/>
      </c>
      <c r="S137" s="35">
        <f>IF($K137="","",INDEX('سجل التحفيز'!$G$5:$G$2004,MATCH($K137,'سجل التحفيز'!$AA$5:$AA$2004,0)))</f>
        <v/>
      </c>
    </row>
    <row r="138">
      <c r="B138" s="34">
        <f>IFERROR(INDEX(الموظفات!$B$5:$B$304,MATCH(101,الموظفات!$U$5:$U$304,0)),"")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التحفيز'!$AA$5:$AA$2004,"&gt;0",'سجل التحفيز'!$B$5:$B$2004,B138))</f>
        <v/>
      </c>
      <c r="E138" s="35">
        <f>IF(B138="","",COUNTIFS('سجل التحفيز'!$AA$5:$AA$2004,"&gt;0",'سجل التحفيز'!$B$5:$B$2004,B138,'سجل التحفيز'!$D$5:$D$2004,"ذهبي"))</f>
        <v/>
      </c>
      <c r="F138" s="35">
        <f>IF(B138="","",SUMIFS('سجل التحفيز'!$G$5:$G$2004,'سجل التحفيز'!$AA$5:$AA$2004,"&gt;0",'سجل التحفيز'!$B$5:$B$2004,B138))</f>
        <v/>
      </c>
      <c r="G138" s="35">
        <f>IF(B138="","",COUNTIF($D$38:$D$187,"&gt;"&amp;D138)+1)</f>
        <v/>
      </c>
      <c r="H138" s="35">
        <f>IF(B138="","",INDEX(الموظفات!$L$5:$L$304,MATCH(B138,الموظفات!$B$5:$B$304,0)))</f>
        <v/>
      </c>
      <c r="K138" s="36">
        <f>IF(101&gt;$B$10,"",101)</f>
        <v/>
      </c>
      <c r="L138" s="37">
        <f>IF($K138="","",INDEX('سجل التحفيز'!$A$5:$A$2004,MATCH($K138,'سجل التحفيز'!$AA$5:$AA$2004,0)))</f>
        <v/>
      </c>
      <c r="M138" s="9">
        <f>IF($K138="","",INDEX('سجل التحفيز'!$B$5:$B$2004,MATCH($K138,'سجل التحفيز'!$AA$5:$AA$2004,0)))</f>
        <v/>
      </c>
      <c r="N138" s="9">
        <f>IF($K138="","",INDEX('سجل التحفيز'!$M$5:$M$2004,MATCH($K138,'سجل التحفيز'!$AA$5:$AA$2004,0)))</f>
        <v/>
      </c>
      <c r="O138" s="9">
        <f>IF($K138="","",INDEX('سجل التحفيز'!$C$5:$C$2004,MATCH($K138,'سجل التحفيز'!$AA$5:$AA$2004,0)))</f>
        <v/>
      </c>
      <c r="P138" s="36">
        <f>IF($K138="","",INDEX('سجل التحفيز'!$D$5:$D$2004,MATCH($K138,'سجل التحفيز'!$AA$5:$AA$2004,0)))</f>
        <v/>
      </c>
      <c r="Q138" s="9">
        <f>IF($K138="","",INDEX('سجل التحفيز'!$E$5:$E$2004,MATCH($K138,'سجل التحفيز'!$AA$5:$AA$2004,0)))</f>
        <v/>
      </c>
      <c r="R138" s="9">
        <f>IF($K138="","",INDEX('سجل التحفيز'!$F$5:$F$2004,MATCH($K138,'سجل التحفيز'!$AA$5:$AA$2004,0)))</f>
        <v/>
      </c>
      <c r="S138" s="35">
        <f>IF($K138="","",INDEX('سجل التحفيز'!$G$5:$G$2004,MATCH($K138,'سجل التحفيز'!$AA$5:$AA$2004,0)))</f>
        <v/>
      </c>
    </row>
    <row r="139">
      <c r="B139" s="34">
        <f>IFERROR(INDEX(الموظفات!$B$5:$B$304,MATCH(102,الموظفات!$U$5:$U$304,0)),"")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التحفيز'!$AA$5:$AA$2004,"&gt;0",'سجل التحفيز'!$B$5:$B$2004,B139))</f>
        <v/>
      </c>
      <c r="E139" s="35">
        <f>IF(B139="","",COUNTIFS('سجل التحفيز'!$AA$5:$AA$2004,"&gt;0",'سجل التحفيز'!$B$5:$B$2004,B139,'سجل التحفيز'!$D$5:$D$2004,"ذهبي"))</f>
        <v/>
      </c>
      <c r="F139" s="35">
        <f>IF(B139="","",SUMIFS('سجل التحفيز'!$G$5:$G$2004,'سجل التحفيز'!$AA$5:$AA$2004,"&gt;0",'سجل التحفيز'!$B$5:$B$2004,B139))</f>
        <v/>
      </c>
      <c r="G139" s="35">
        <f>IF(B139="","",COUNTIF($D$38:$D$187,"&gt;"&amp;D139)+1)</f>
        <v/>
      </c>
      <c r="H139" s="35">
        <f>IF(B139="","",INDEX(الموظفات!$L$5:$L$304,MATCH(B139,الموظفات!$B$5:$B$304,0)))</f>
        <v/>
      </c>
      <c r="K139" s="36">
        <f>IF(102&gt;$B$10,"",102)</f>
        <v/>
      </c>
      <c r="L139" s="37">
        <f>IF($K139="","",INDEX('سجل التحفيز'!$A$5:$A$2004,MATCH($K139,'سجل التحفيز'!$AA$5:$AA$2004,0)))</f>
        <v/>
      </c>
      <c r="M139" s="9">
        <f>IF($K139="","",INDEX('سجل التحفيز'!$B$5:$B$2004,MATCH($K139,'سجل التحفيز'!$AA$5:$AA$2004,0)))</f>
        <v/>
      </c>
      <c r="N139" s="9">
        <f>IF($K139="","",INDEX('سجل التحفيز'!$M$5:$M$2004,MATCH($K139,'سجل التحفيز'!$AA$5:$AA$2004,0)))</f>
        <v/>
      </c>
      <c r="O139" s="9">
        <f>IF($K139="","",INDEX('سجل التحفيز'!$C$5:$C$2004,MATCH($K139,'سجل التحفيز'!$AA$5:$AA$2004,0)))</f>
        <v/>
      </c>
      <c r="P139" s="36">
        <f>IF($K139="","",INDEX('سجل التحفيز'!$D$5:$D$2004,MATCH($K139,'سجل التحفيز'!$AA$5:$AA$2004,0)))</f>
        <v/>
      </c>
      <c r="Q139" s="9">
        <f>IF($K139="","",INDEX('سجل التحفيز'!$E$5:$E$2004,MATCH($K139,'سجل التحفيز'!$AA$5:$AA$2004,0)))</f>
        <v/>
      </c>
      <c r="R139" s="9">
        <f>IF($K139="","",INDEX('سجل التحفيز'!$F$5:$F$2004,MATCH($K139,'سجل التحفيز'!$AA$5:$AA$2004,0)))</f>
        <v/>
      </c>
      <c r="S139" s="35">
        <f>IF($K139="","",INDEX('سجل التحفيز'!$G$5:$G$2004,MATCH($K139,'سجل التحفيز'!$AA$5:$AA$2004,0)))</f>
        <v/>
      </c>
    </row>
    <row r="140">
      <c r="B140" s="34">
        <f>IFERROR(INDEX(الموظفات!$B$5:$B$304,MATCH(103,الموظفات!$U$5:$U$304,0)),"")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التحفيز'!$AA$5:$AA$2004,"&gt;0",'سجل التحفيز'!$B$5:$B$2004,B140))</f>
        <v/>
      </c>
      <c r="E140" s="35">
        <f>IF(B140="","",COUNTIFS('سجل التحفيز'!$AA$5:$AA$2004,"&gt;0",'سجل التحفيز'!$B$5:$B$2004,B140,'سجل التحفيز'!$D$5:$D$2004,"ذهبي"))</f>
        <v/>
      </c>
      <c r="F140" s="35">
        <f>IF(B140="","",SUMIFS('سجل التحفيز'!$G$5:$G$2004,'سجل التحفيز'!$AA$5:$AA$2004,"&gt;0",'سجل التحفيز'!$B$5:$B$2004,B140))</f>
        <v/>
      </c>
      <c r="G140" s="35">
        <f>IF(B140="","",COUNTIF($D$38:$D$187,"&gt;"&amp;D140)+1)</f>
        <v/>
      </c>
      <c r="H140" s="35">
        <f>IF(B140="","",INDEX(الموظفات!$L$5:$L$304,MATCH(B140,الموظفات!$B$5:$B$304,0)))</f>
        <v/>
      </c>
      <c r="K140" s="36">
        <f>IF(103&gt;$B$10,"",103)</f>
        <v/>
      </c>
      <c r="L140" s="37">
        <f>IF($K140="","",INDEX('سجل التحفيز'!$A$5:$A$2004,MATCH($K140,'سجل التحفيز'!$AA$5:$AA$2004,0)))</f>
        <v/>
      </c>
      <c r="M140" s="9">
        <f>IF($K140="","",INDEX('سجل التحفيز'!$B$5:$B$2004,MATCH($K140,'سجل التحفيز'!$AA$5:$AA$2004,0)))</f>
        <v/>
      </c>
      <c r="N140" s="9">
        <f>IF($K140="","",INDEX('سجل التحفيز'!$M$5:$M$2004,MATCH($K140,'سجل التحفيز'!$AA$5:$AA$2004,0)))</f>
        <v/>
      </c>
      <c r="O140" s="9">
        <f>IF($K140="","",INDEX('سجل التحفيز'!$C$5:$C$2004,MATCH($K140,'سجل التحفيز'!$AA$5:$AA$2004,0)))</f>
        <v/>
      </c>
      <c r="P140" s="36">
        <f>IF($K140="","",INDEX('سجل التحفيز'!$D$5:$D$2004,MATCH($K140,'سجل التحفيز'!$AA$5:$AA$2004,0)))</f>
        <v/>
      </c>
      <c r="Q140" s="9">
        <f>IF($K140="","",INDEX('سجل التحفيز'!$E$5:$E$2004,MATCH($K140,'سجل التحفيز'!$AA$5:$AA$2004,0)))</f>
        <v/>
      </c>
      <c r="R140" s="9">
        <f>IF($K140="","",INDEX('سجل التحفيز'!$F$5:$F$2004,MATCH($K140,'سجل التحفيز'!$AA$5:$AA$2004,0)))</f>
        <v/>
      </c>
      <c r="S140" s="35">
        <f>IF($K140="","",INDEX('سجل التحفيز'!$G$5:$G$2004,MATCH($K140,'سجل التحفيز'!$AA$5:$AA$2004,0)))</f>
        <v/>
      </c>
    </row>
    <row r="141">
      <c r="B141" s="34">
        <f>IFERROR(INDEX(الموظفات!$B$5:$B$304,MATCH(104,الموظفات!$U$5:$U$304,0)),"")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التحفيز'!$AA$5:$AA$2004,"&gt;0",'سجل التحفيز'!$B$5:$B$2004,B141))</f>
        <v/>
      </c>
      <c r="E141" s="35">
        <f>IF(B141="","",COUNTIFS('سجل التحفيز'!$AA$5:$AA$2004,"&gt;0",'سجل التحفيز'!$B$5:$B$2004,B141,'سجل التحفيز'!$D$5:$D$2004,"ذهبي"))</f>
        <v/>
      </c>
      <c r="F141" s="35">
        <f>IF(B141="","",SUMIFS('سجل التحفيز'!$G$5:$G$2004,'سجل التحفيز'!$AA$5:$AA$2004,"&gt;0",'سجل التحفيز'!$B$5:$B$2004,B141))</f>
        <v/>
      </c>
      <c r="G141" s="35">
        <f>IF(B141="","",COUNTIF($D$38:$D$187,"&gt;"&amp;D141)+1)</f>
        <v/>
      </c>
      <c r="H141" s="35">
        <f>IF(B141="","",INDEX(الموظفات!$L$5:$L$304,MATCH(B141,الموظفات!$B$5:$B$304,0)))</f>
        <v/>
      </c>
      <c r="K141" s="36">
        <f>IF(104&gt;$B$10,"",104)</f>
        <v/>
      </c>
      <c r="L141" s="37">
        <f>IF($K141="","",INDEX('سجل التحفيز'!$A$5:$A$2004,MATCH($K141,'سجل التحفيز'!$AA$5:$AA$2004,0)))</f>
        <v/>
      </c>
      <c r="M141" s="9">
        <f>IF($K141="","",INDEX('سجل التحفيز'!$B$5:$B$2004,MATCH($K141,'سجل التحفيز'!$AA$5:$AA$2004,0)))</f>
        <v/>
      </c>
      <c r="N141" s="9">
        <f>IF($K141="","",INDEX('سجل التحفيز'!$M$5:$M$2004,MATCH($K141,'سجل التحفيز'!$AA$5:$AA$2004,0)))</f>
        <v/>
      </c>
      <c r="O141" s="9">
        <f>IF($K141="","",INDEX('سجل التحفيز'!$C$5:$C$2004,MATCH($K141,'سجل التحفيز'!$AA$5:$AA$2004,0)))</f>
        <v/>
      </c>
      <c r="P141" s="36">
        <f>IF($K141="","",INDEX('سجل التحفيز'!$D$5:$D$2004,MATCH($K141,'سجل التحفيز'!$AA$5:$AA$2004,0)))</f>
        <v/>
      </c>
      <c r="Q141" s="9">
        <f>IF($K141="","",INDEX('سجل التحفيز'!$E$5:$E$2004,MATCH($K141,'سجل التحفيز'!$AA$5:$AA$2004,0)))</f>
        <v/>
      </c>
      <c r="R141" s="9">
        <f>IF($K141="","",INDEX('سجل التحفيز'!$F$5:$F$2004,MATCH($K141,'سجل التحفيز'!$AA$5:$AA$2004,0)))</f>
        <v/>
      </c>
      <c r="S141" s="35">
        <f>IF($K141="","",INDEX('سجل التحفيز'!$G$5:$G$2004,MATCH($K141,'سجل التحفيز'!$AA$5:$AA$2004,0)))</f>
        <v/>
      </c>
    </row>
    <row r="142">
      <c r="B142" s="34">
        <f>IFERROR(INDEX(الموظفات!$B$5:$B$304,MATCH(105,الموظفات!$U$5:$U$304,0)),"")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التحفيز'!$AA$5:$AA$2004,"&gt;0",'سجل التحفيز'!$B$5:$B$2004,B142))</f>
        <v/>
      </c>
      <c r="E142" s="35">
        <f>IF(B142="","",COUNTIFS('سجل التحفيز'!$AA$5:$AA$2004,"&gt;0",'سجل التحفيز'!$B$5:$B$2004,B142,'سجل التحفيز'!$D$5:$D$2004,"ذهبي"))</f>
        <v/>
      </c>
      <c r="F142" s="35">
        <f>IF(B142="","",SUMIFS('سجل التحفيز'!$G$5:$G$2004,'سجل التحفيز'!$AA$5:$AA$2004,"&gt;0",'سجل التحفيز'!$B$5:$B$2004,B142))</f>
        <v/>
      </c>
      <c r="G142" s="35">
        <f>IF(B142="","",COUNTIF($D$38:$D$187,"&gt;"&amp;D142)+1)</f>
        <v/>
      </c>
      <c r="H142" s="35">
        <f>IF(B142="","",INDEX(الموظفات!$L$5:$L$304,MATCH(B142,الموظفات!$B$5:$B$304,0)))</f>
        <v/>
      </c>
      <c r="K142" s="36">
        <f>IF(105&gt;$B$10,"",105)</f>
        <v/>
      </c>
      <c r="L142" s="37">
        <f>IF($K142="","",INDEX('سجل التحفيز'!$A$5:$A$2004,MATCH($K142,'سجل التحفيز'!$AA$5:$AA$2004,0)))</f>
        <v/>
      </c>
      <c r="M142" s="9">
        <f>IF($K142="","",INDEX('سجل التحفيز'!$B$5:$B$2004,MATCH($K142,'سجل التحفيز'!$AA$5:$AA$2004,0)))</f>
        <v/>
      </c>
      <c r="N142" s="9">
        <f>IF($K142="","",INDEX('سجل التحفيز'!$M$5:$M$2004,MATCH($K142,'سجل التحفيز'!$AA$5:$AA$2004,0)))</f>
        <v/>
      </c>
      <c r="O142" s="9">
        <f>IF($K142="","",INDEX('سجل التحفيز'!$C$5:$C$2004,MATCH($K142,'سجل التحفيز'!$AA$5:$AA$2004,0)))</f>
        <v/>
      </c>
      <c r="P142" s="36">
        <f>IF($K142="","",INDEX('سجل التحفيز'!$D$5:$D$2004,MATCH($K142,'سجل التحفيز'!$AA$5:$AA$2004,0)))</f>
        <v/>
      </c>
      <c r="Q142" s="9">
        <f>IF($K142="","",INDEX('سجل التحفيز'!$E$5:$E$2004,MATCH($K142,'سجل التحفيز'!$AA$5:$AA$2004,0)))</f>
        <v/>
      </c>
      <c r="R142" s="9">
        <f>IF($K142="","",INDEX('سجل التحفيز'!$F$5:$F$2004,MATCH($K142,'سجل التحفيز'!$AA$5:$AA$2004,0)))</f>
        <v/>
      </c>
      <c r="S142" s="35">
        <f>IF($K142="","",INDEX('سجل التحفيز'!$G$5:$G$2004,MATCH($K142,'سجل التحفيز'!$AA$5:$AA$2004,0)))</f>
        <v/>
      </c>
    </row>
    <row r="143">
      <c r="B143" s="34">
        <f>IFERROR(INDEX(الموظفات!$B$5:$B$304,MATCH(106,الموظفات!$U$5:$U$304,0)),"")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التحفيز'!$AA$5:$AA$2004,"&gt;0",'سجل التحفيز'!$B$5:$B$2004,B143))</f>
        <v/>
      </c>
      <c r="E143" s="35">
        <f>IF(B143="","",COUNTIFS('سجل التحفيز'!$AA$5:$AA$2004,"&gt;0",'سجل التحفيز'!$B$5:$B$2004,B143,'سجل التحفيز'!$D$5:$D$2004,"ذهبي"))</f>
        <v/>
      </c>
      <c r="F143" s="35">
        <f>IF(B143="","",SUMIFS('سجل التحفيز'!$G$5:$G$2004,'سجل التحفيز'!$AA$5:$AA$2004,"&gt;0",'سجل التحفيز'!$B$5:$B$2004,B143))</f>
        <v/>
      </c>
      <c r="G143" s="35">
        <f>IF(B143="","",COUNTIF($D$38:$D$187,"&gt;"&amp;D143)+1)</f>
        <v/>
      </c>
      <c r="H143" s="35">
        <f>IF(B143="","",INDEX(الموظفات!$L$5:$L$304,MATCH(B143,الموظفات!$B$5:$B$304,0)))</f>
        <v/>
      </c>
      <c r="K143" s="36">
        <f>IF(106&gt;$B$10,"",106)</f>
        <v/>
      </c>
      <c r="L143" s="37">
        <f>IF($K143="","",INDEX('سجل التحفيز'!$A$5:$A$2004,MATCH($K143,'سجل التحفيز'!$AA$5:$AA$2004,0)))</f>
        <v/>
      </c>
      <c r="M143" s="9">
        <f>IF($K143="","",INDEX('سجل التحفيز'!$B$5:$B$2004,MATCH($K143,'سجل التحفيز'!$AA$5:$AA$2004,0)))</f>
        <v/>
      </c>
      <c r="N143" s="9">
        <f>IF($K143="","",INDEX('سجل التحفيز'!$M$5:$M$2004,MATCH($K143,'سجل التحفيز'!$AA$5:$AA$2004,0)))</f>
        <v/>
      </c>
      <c r="O143" s="9">
        <f>IF($K143="","",INDEX('سجل التحفيز'!$C$5:$C$2004,MATCH($K143,'سجل التحفيز'!$AA$5:$AA$2004,0)))</f>
        <v/>
      </c>
      <c r="P143" s="36">
        <f>IF($K143="","",INDEX('سجل التحفيز'!$D$5:$D$2004,MATCH($K143,'سجل التحفيز'!$AA$5:$AA$2004,0)))</f>
        <v/>
      </c>
      <c r="Q143" s="9">
        <f>IF($K143="","",INDEX('سجل التحفيز'!$E$5:$E$2004,MATCH($K143,'سجل التحفيز'!$AA$5:$AA$2004,0)))</f>
        <v/>
      </c>
      <c r="R143" s="9">
        <f>IF($K143="","",INDEX('سجل التحفيز'!$F$5:$F$2004,MATCH($K143,'سجل التحفيز'!$AA$5:$AA$2004,0)))</f>
        <v/>
      </c>
      <c r="S143" s="35">
        <f>IF($K143="","",INDEX('سجل التحفيز'!$G$5:$G$2004,MATCH($K143,'سجل التحفيز'!$AA$5:$AA$2004,0)))</f>
        <v/>
      </c>
    </row>
    <row r="144">
      <c r="B144" s="34">
        <f>IFERROR(INDEX(الموظفات!$B$5:$B$304,MATCH(107,الموظفات!$U$5:$U$304,0)),"")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التحفيز'!$AA$5:$AA$2004,"&gt;0",'سجل التحفيز'!$B$5:$B$2004,B144))</f>
        <v/>
      </c>
      <c r="E144" s="35">
        <f>IF(B144="","",COUNTIFS('سجل التحفيز'!$AA$5:$AA$2004,"&gt;0",'سجل التحفيز'!$B$5:$B$2004,B144,'سجل التحفيز'!$D$5:$D$2004,"ذهبي"))</f>
        <v/>
      </c>
      <c r="F144" s="35">
        <f>IF(B144="","",SUMIFS('سجل التحفيز'!$G$5:$G$2004,'سجل التحفيز'!$AA$5:$AA$2004,"&gt;0",'سجل التحفيز'!$B$5:$B$2004,B144))</f>
        <v/>
      </c>
      <c r="G144" s="35">
        <f>IF(B144="","",COUNTIF($D$38:$D$187,"&gt;"&amp;D144)+1)</f>
        <v/>
      </c>
      <c r="H144" s="35">
        <f>IF(B144="","",INDEX(الموظفات!$L$5:$L$304,MATCH(B144,الموظفات!$B$5:$B$304,0)))</f>
        <v/>
      </c>
      <c r="K144" s="36">
        <f>IF(107&gt;$B$10,"",107)</f>
        <v/>
      </c>
      <c r="L144" s="37">
        <f>IF($K144="","",INDEX('سجل التحفيز'!$A$5:$A$2004,MATCH($K144,'سجل التحفيز'!$AA$5:$AA$2004,0)))</f>
        <v/>
      </c>
      <c r="M144" s="9">
        <f>IF($K144="","",INDEX('سجل التحفيز'!$B$5:$B$2004,MATCH($K144,'سجل التحفيز'!$AA$5:$AA$2004,0)))</f>
        <v/>
      </c>
      <c r="N144" s="9">
        <f>IF($K144="","",INDEX('سجل التحفيز'!$M$5:$M$2004,MATCH($K144,'سجل التحفيز'!$AA$5:$AA$2004,0)))</f>
        <v/>
      </c>
      <c r="O144" s="9">
        <f>IF($K144="","",INDEX('سجل التحفيز'!$C$5:$C$2004,MATCH($K144,'سجل التحفيز'!$AA$5:$AA$2004,0)))</f>
        <v/>
      </c>
      <c r="P144" s="36">
        <f>IF($K144="","",INDEX('سجل التحفيز'!$D$5:$D$2004,MATCH($K144,'سجل التحفيز'!$AA$5:$AA$2004,0)))</f>
        <v/>
      </c>
      <c r="Q144" s="9">
        <f>IF($K144="","",INDEX('سجل التحفيز'!$E$5:$E$2004,MATCH($K144,'سجل التحفيز'!$AA$5:$AA$2004,0)))</f>
        <v/>
      </c>
      <c r="R144" s="9">
        <f>IF($K144="","",INDEX('سجل التحفيز'!$F$5:$F$2004,MATCH($K144,'سجل التحفيز'!$AA$5:$AA$2004,0)))</f>
        <v/>
      </c>
      <c r="S144" s="35">
        <f>IF($K144="","",INDEX('سجل التحفيز'!$G$5:$G$2004,MATCH($K144,'سجل التحفيز'!$AA$5:$AA$2004,0)))</f>
        <v/>
      </c>
    </row>
    <row r="145">
      <c r="B145" s="34">
        <f>IFERROR(INDEX(الموظفات!$B$5:$B$304,MATCH(108,الموظفات!$U$5:$U$304,0)),"")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التحفيز'!$AA$5:$AA$2004,"&gt;0",'سجل التحفيز'!$B$5:$B$2004,B145))</f>
        <v/>
      </c>
      <c r="E145" s="35">
        <f>IF(B145="","",COUNTIFS('سجل التحفيز'!$AA$5:$AA$2004,"&gt;0",'سجل التحفيز'!$B$5:$B$2004,B145,'سجل التحفيز'!$D$5:$D$2004,"ذهبي"))</f>
        <v/>
      </c>
      <c r="F145" s="35">
        <f>IF(B145="","",SUMIFS('سجل التحفيز'!$G$5:$G$2004,'سجل التحفيز'!$AA$5:$AA$2004,"&gt;0",'سجل التحفيز'!$B$5:$B$2004,B145))</f>
        <v/>
      </c>
      <c r="G145" s="35">
        <f>IF(B145="","",COUNTIF($D$38:$D$187,"&gt;"&amp;D145)+1)</f>
        <v/>
      </c>
      <c r="H145" s="35">
        <f>IF(B145="","",INDEX(الموظفات!$L$5:$L$304,MATCH(B145,الموظفات!$B$5:$B$304,0)))</f>
        <v/>
      </c>
      <c r="K145" s="36">
        <f>IF(108&gt;$B$10,"",108)</f>
        <v/>
      </c>
      <c r="L145" s="37">
        <f>IF($K145="","",INDEX('سجل التحفيز'!$A$5:$A$2004,MATCH($K145,'سجل التحفيز'!$AA$5:$AA$2004,0)))</f>
        <v/>
      </c>
      <c r="M145" s="9">
        <f>IF($K145="","",INDEX('سجل التحفيز'!$B$5:$B$2004,MATCH($K145,'سجل التحفيز'!$AA$5:$AA$2004,0)))</f>
        <v/>
      </c>
      <c r="N145" s="9">
        <f>IF($K145="","",INDEX('سجل التحفيز'!$M$5:$M$2004,MATCH($K145,'سجل التحفيز'!$AA$5:$AA$2004,0)))</f>
        <v/>
      </c>
      <c r="O145" s="9">
        <f>IF($K145="","",INDEX('سجل التحفيز'!$C$5:$C$2004,MATCH($K145,'سجل التحفيز'!$AA$5:$AA$2004,0)))</f>
        <v/>
      </c>
      <c r="P145" s="36">
        <f>IF($K145="","",INDEX('سجل التحفيز'!$D$5:$D$2004,MATCH($K145,'سجل التحفيز'!$AA$5:$AA$2004,0)))</f>
        <v/>
      </c>
      <c r="Q145" s="9">
        <f>IF($K145="","",INDEX('سجل التحفيز'!$E$5:$E$2004,MATCH($K145,'سجل التحفيز'!$AA$5:$AA$2004,0)))</f>
        <v/>
      </c>
      <c r="R145" s="9">
        <f>IF($K145="","",INDEX('سجل التحفيز'!$F$5:$F$2004,MATCH($K145,'سجل التحفيز'!$AA$5:$AA$2004,0)))</f>
        <v/>
      </c>
      <c r="S145" s="35">
        <f>IF($K145="","",INDEX('سجل التحفيز'!$G$5:$G$2004,MATCH($K145,'سجل التحفيز'!$AA$5:$AA$2004,0)))</f>
        <v/>
      </c>
    </row>
    <row r="146">
      <c r="B146" s="34">
        <f>IFERROR(INDEX(الموظفات!$B$5:$B$304,MATCH(109,الموظفات!$U$5:$U$304,0)),"")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التحفيز'!$AA$5:$AA$2004,"&gt;0",'سجل التحفيز'!$B$5:$B$2004,B146))</f>
        <v/>
      </c>
      <c r="E146" s="35">
        <f>IF(B146="","",COUNTIFS('سجل التحفيز'!$AA$5:$AA$2004,"&gt;0",'سجل التحفيز'!$B$5:$B$2004,B146,'سجل التحفيز'!$D$5:$D$2004,"ذهبي"))</f>
        <v/>
      </c>
      <c r="F146" s="35">
        <f>IF(B146="","",SUMIFS('سجل التحفيز'!$G$5:$G$2004,'سجل التحفيز'!$AA$5:$AA$2004,"&gt;0",'سجل التحفيز'!$B$5:$B$2004,B146))</f>
        <v/>
      </c>
      <c r="G146" s="35">
        <f>IF(B146="","",COUNTIF($D$38:$D$187,"&gt;"&amp;D146)+1)</f>
        <v/>
      </c>
      <c r="H146" s="35">
        <f>IF(B146="","",INDEX(الموظفات!$L$5:$L$304,MATCH(B146,الموظفات!$B$5:$B$304,0)))</f>
        <v/>
      </c>
      <c r="K146" s="36">
        <f>IF(109&gt;$B$10,"",109)</f>
        <v/>
      </c>
      <c r="L146" s="37">
        <f>IF($K146="","",INDEX('سجل التحفيز'!$A$5:$A$2004,MATCH($K146,'سجل التحفيز'!$AA$5:$AA$2004,0)))</f>
        <v/>
      </c>
      <c r="M146" s="9">
        <f>IF($K146="","",INDEX('سجل التحفيز'!$B$5:$B$2004,MATCH($K146,'سجل التحفيز'!$AA$5:$AA$2004,0)))</f>
        <v/>
      </c>
      <c r="N146" s="9">
        <f>IF($K146="","",INDEX('سجل التحفيز'!$M$5:$M$2004,MATCH($K146,'سجل التحفيز'!$AA$5:$AA$2004,0)))</f>
        <v/>
      </c>
      <c r="O146" s="9">
        <f>IF($K146="","",INDEX('سجل التحفيز'!$C$5:$C$2004,MATCH($K146,'سجل التحفيز'!$AA$5:$AA$2004,0)))</f>
        <v/>
      </c>
      <c r="P146" s="36">
        <f>IF($K146="","",INDEX('سجل التحفيز'!$D$5:$D$2004,MATCH($K146,'سجل التحفيز'!$AA$5:$AA$2004,0)))</f>
        <v/>
      </c>
      <c r="Q146" s="9">
        <f>IF($K146="","",INDEX('سجل التحفيز'!$E$5:$E$2004,MATCH($K146,'سجل التحفيز'!$AA$5:$AA$2004,0)))</f>
        <v/>
      </c>
      <c r="R146" s="9">
        <f>IF($K146="","",INDEX('سجل التحفيز'!$F$5:$F$2004,MATCH($K146,'سجل التحفيز'!$AA$5:$AA$2004,0)))</f>
        <v/>
      </c>
      <c r="S146" s="35">
        <f>IF($K146="","",INDEX('سجل التحفيز'!$G$5:$G$2004,MATCH($K146,'سجل التحفيز'!$AA$5:$AA$2004,0)))</f>
        <v/>
      </c>
    </row>
    <row r="147">
      <c r="B147" s="34">
        <f>IFERROR(INDEX(الموظفات!$B$5:$B$304,MATCH(110,الموظفات!$U$5:$U$304,0)),"")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التحفيز'!$AA$5:$AA$2004,"&gt;0",'سجل التحفيز'!$B$5:$B$2004,B147))</f>
        <v/>
      </c>
      <c r="E147" s="35">
        <f>IF(B147="","",COUNTIFS('سجل التحفيز'!$AA$5:$AA$2004,"&gt;0",'سجل التحفيز'!$B$5:$B$2004,B147,'سجل التحفيز'!$D$5:$D$2004,"ذهبي"))</f>
        <v/>
      </c>
      <c r="F147" s="35">
        <f>IF(B147="","",SUMIFS('سجل التحفيز'!$G$5:$G$2004,'سجل التحفيز'!$AA$5:$AA$2004,"&gt;0",'سجل التحفيز'!$B$5:$B$2004,B147))</f>
        <v/>
      </c>
      <c r="G147" s="35">
        <f>IF(B147="","",COUNTIF($D$38:$D$187,"&gt;"&amp;D147)+1)</f>
        <v/>
      </c>
      <c r="H147" s="35">
        <f>IF(B147="","",INDEX(الموظفات!$L$5:$L$304,MATCH(B147,الموظفات!$B$5:$B$304,0)))</f>
        <v/>
      </c>
      <c r="K147" s="36">
        <f>IF(110&gt;$B$10,"",110)</f>
        <v/>
      </c>
      <c r="L147" s="37">
        <f>IF($K147="","",INDEX('سجل التحفيز'!$A$5:$A$2004,MATCH($K147,'سجل التحفيز'!$AA$5:$AA$2004,0)))</f>
        <v/>
      </c>
      <c r="M147" s="9">
        <f>IF($K147="","",INDEX('سجل التحفيز'!$B$5:$B$2004,MATCH($K147,'سجل التحفيز'!$AA$5:$AA$2004,0)))</f>
        <v/>
      </c>
      <c r="N147" s="9">
        <f>IF($K147="","",INDEX('سجل التحفيز'!$M$5:$M$2004,MATCH($K147,'سجل التحفيز'!$AA$5:$AA$2004,0)))</f>
        <v/>
      </c>
      <c r="O147" s="9">
        <f>IF($K147="","",INDEX('سجل التحفيز'!$C$5:$C$2004,MATCH($K147,'سجل التحفيز'!$AA$5:$AA$2004,0)))</f>
        <v/>
      </c>
      <c r="P147" s="36">
        <f>IF($K147="","",INDEX('سجل التحفيز'!$D$5:$D$2004,MATCH($K147,'سجل التحفيز'!$AA$5:$AA$2004,0)))</f>
        <v/>
      </c>
      <c r="Q147" s="9">
        <f>IF($K147="","",INDEX('سجل التحفيز'!$E$5:$E$2004,MATCH($K147,'سجل التحفيز'!$AA$5:$AA$2004,0)))</f>
        <v/>
      </c>
      <c r="R147" s="9">
        <f>IF($K147="","",INDEX('سجل التحفيز'!$F$5:$F$2004,MATCH($K147,'سجل التحفيز'!$AA$5:$AA$2004,0)))</f>
        <v/>
      </c>
      <c r="S147" s="35">
        <f>IF($K147="","",INDEX('سجل التحفيز'!$G$5:$G$2004,MATCH($K147,'سجل التحفيز'!$AA$5:$AA$2004,0)))</f>
        <v/>
      </c>
    </row>
    <row r="148">
      <c r="B148" s="34">
        <f>IFERROR(INDEX(الموظفات!$B$5:$B$304,MATCH(111,الموظفات!$U$5:$U$304,0)),"")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التحفيز'!$AA$5:$AA$2004,"&gt;0",'سجل التحفيز'!$B$5:$B$2004,B148))</f>
        <v/>
      </c>
      <c r="E148" s="35">
        <f>IF(B148="","",COUNTIFS('سجل التحفيز'!$AA$5:$AA$2004,"&gt;0",'سجل التحفيز'!$B$5:$B$2004,B148,'سجل التحفيز'!$D$5:$D$2004,"ذهبي"))</f>
        <v/>
      </c>
      <c r="F148" s="35">
        <f>IF(B148="","",SUMIFS('سجل التحفيز'!$G$5:$G$2004,'سجل التحفيز'!$AA$5:$AA$2004,"&gt;0",'سجل التحفيز'!$B$5:$B$2004,B148))</f>
        <v/>
      </c>
      <c r="G148" s="35">
        <f>IF(B148="","",COUNTIF($D$38:$D$187,"&gt;"&amp;D148)+1)</f>
        <v/>
      </c>
      <c r="H148" s="35">
        <f>IF(B148="","",INDEX(الموظفات!$L$5:$L$304,MATCH(B148,الموظفات!$B$5:$B$304,0)))</f>
        <v/>
      </c>
      <c r="K148" s="36">
        <f>IF(111&gt;$B$10,"",111)</f>
        <v/>
      </c>
      <c r="L148" s="37">
        <f>IF($K148="","",INDEX('سجل التحفيز'!$A$5:$A$2004,MATCH($K148,'سجل التحفيز'!$AA$5:$AA$2004,0)))</f>
        <v/>
      </c>
      <c r="M148" s="9">
        <f>IF($K148="","",INDEX('سجل التحفيز'!$B$5:$B$2004,MATCH($K148,'سجل التحفيز'!$AA$5:$AA$2004,0)))</f>
        <v/>
      </c>
      <c r="N148" s="9">
        <f>IF($K148="","",INDEX('سجل التحفيز'!$M$5:$M$2004,MATCH($K148,'سجل التحفيز'!$AA$5:$AA$2004,0)))</f>
        <v/>
      </c>
      <c r="O148" s="9">
        <f>IF($K148="","",INDEX('سجل التحفيز'!$C$5:$C$2004,MATCH($K148,'سجل التحفيز'!$AA$5:$AA$2004,0)))</f>
        <v/>
      </c>
      <c r="P148" s="36">
        <f>IF($K148="","",INDEX('سجل التحفيز'!$D$5:$D$2004,MATCH($K148,'سجل التحفيز'!$AA$5:$AA$2004,0)))</f>
        <v/>
      </c>
      <c r="Q148" s="9">
        <f>IF($K148="","",INDEX('سجل التحفيز'!$E$5:$E$2004,MATCH($K148,'سجل التحفيز'!$AA$5:$AA$2004,0)))</f>
        <v/>
      </c>
      <c r="R148" s="9">
        <f>IF($K148="","",INDEX('سجل التحفيز'!$F$5:$F$2004,MATCH($K148,'سجل التحفيز'!$AA$5:$AA$2004,0)))</f>
        <v/>
      </c>
      <c r="S148" s="35">
        <f>IF($K148="","",INDEX('سجل التحفيز'!$G$5:$G$2004,MATCH($K148,'سجل التحفيز'!$AA$5:$AA$2004,0)))</f>
        <v/>
      </c>
    </row>
    <row r="149">
      <c r="B149" s="34">
        <f>IFERROR(INDEX(الموظفات!$B$5:$B$304,MATCH(112,الموظفات!$U$5:$U$304,0)),"")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التحفيز'!$AA$5:$AA$2004,"&gt;0",'سجل التحفيز'!$B$5:$B$2004,B149))</f>
        <v/>
      </c>
      <c r="E149" s="35">
        <f>IF(B149="","",COUNTIFS('سجل التحفيز'!$AA$5:$AA$2004,"&gt;0",'سجل التحفيز'!$B$5:$B$2004,B149,'سجل التحفيز'!$D$5:$D$2004,"ذهبي"))</f>
        <v/>
      </c>
      <c r="F149" s="35">
        <f>IF(B149="","",SUMIFS('سجل التحفيز'!$G$5:$G$2004,'سجل التحفيز'!$AA$5:$AA$2004,"&gt;0",'سجل التحفيز'!$B$5:$B$2004,B149))</f>
        <v/>
      </c>
      <c r="G149" s="35">
        <f>IF(B149="","",COUNTIF($D$38:$D$187,"&gt;"&amp;D149)+1)</f>
        <v/>
      </c>
      <c r="H149" s="35">
        <f>IF(B149="","",INDEX(الموظفات!$L$5:$L$304,MATCH(B149,الموظفات!$B$5:$B$304,0)))</f>
        <v/>
      </c>
      <c r="K149" s="36">
        <f>IF(112&gt;$B$10,"",112)</f>
        <v/>
      </c>
      <c r="L149" s="37">
        <f>IF($K149="","",INDEX('سجل التحفيز'!$A$5:$A$2004,MATCH($K149,'سجل التحفيز'!$AA$5:$AA$2004,0)))</f>
        <v/>
      </c>
      <c r="M149" s="9">
        <f>IF($K149="","",INDEX('سجل التحفيز'!$B$5:$B$2004,MATCH($K149,'سجل التحفيز'!$AA$5:$AA$2004,0)))</f>
        <v/>
      </c>
      <c r="N149" s="9">
        <f>IF($K149="","",INDEX('سجل التحفيز'!$M$5:$M$2004,MATCH($K149,'سجل التحفيز'!$AA$5:$AA$2004,0)))</f>
        <v/>
      </c>
      <c r="O149" s="9">
        <f>IF($K149="","",INDEX('سجل التحفيز'!$C$5:$C$2004,MATCH($K149,'سجل التحفيز'!$AA$5:$AA$2004,0)))</f>
        <v/>
      </c>
      <c r="P149" s="36">
        <f>IF($K149="","",INDEX('سجل التحفيز'!$D$5:$D$2004,MATCH($K149,'سجل التحفيز'!$AA$5:$AA$2004,0)))</f>
        <v/>
      </c>
      <c r="Q149" s="9">
        <f>IF($K149="","",INDEX('سجل التحفيز'!$E$5:$E$2004,MATCH($K149,'سجل التحفيز'!$AA$5:$AA$2004,0)))</f>
        <v/>
      </c>
      <c r="R149" s="9">
        <f>IF($K149="","",INDEX('سجل التحفيز'!$F$5:$F$2004,MATCH($K149,'سجل التحفيز'!$AA$5:$AA$2004,0)))</f>
        <v/>
      </c>
      <c r="S149" s="35">
        <f>IF($K149="","",INDEX('سجل التحفيز'!$G$5:$G$2004,MATCH($K149,'سجل التحفيز'!$AA$5:$AA$2004,0)))</f>
        <v/>
      </c>
    </row>
    <row r="150">
      <c r="B150" s="34">
        <f>IFERROR(INDEX(الموظفات!$B$5:$B$304,MATCH(113,الموظفات!$U$5:$U$304,0)),"")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التحفيز'!$AA$5:$AA$2004,"&gt;0",'سجل التحفيز'!$B$5:$B$2004,B150))</f>
        <v/>
      </c>
      <c r="E150" s="35">
        <f>IF(B150="","",COUNTIFS('سجل التحفيز'!$AA$5:$AA$2004,"&gt;0",'سجل التحفيز'!$B$5:$B$2004,B150,'سجل التحفيز'!$D$5:$D$2004,"ذهبي"))</f>
        <v/>
      </c>
      <c r="F150" s="35">
        <f>IF(B150="","",SUMIFS('سجل التحفيز'!$G$5:$G$2004,'سجل التحفيز'!$AA$5:$AA$2004,"&gt;0",'سجل التحفيز'!$B$5:$B$2004,B150))</f>
        <v/>
      </c>
      <c r="G150" s="35">
        <f>IF(B150="","",COUNTIF($D$38:$D$187,"&gt;"&amp;D150)+1)</f>
        <v/>
      </c>
      <c r="H150" s="35">
        <f>IF(B150="","",INDEX(الموظفات!$L$5:$L$304,MATCH(B150,الموظفات!$B$5:$B$304,0)))</f>
        <v/>
      </c>
      <c r="K150" s="36">
        <f>IF(113&gt;$B$10,"",113)</f>
        <v/>
      </c>
      <c r="L150" s="37">
        <f>IF($K150="","",INDEX('سجل التحفيز'!$A$5:$A$2004,MATCH($K150,'سجل التحفيز'!$AA$5:$AA$2004,0)))</f>
        <v/>
      </c>
      <c r="M150" s="9">
        <f>IF($K150="","",INDEX('سجل التحفيز'!$B$5:$B$2004,MATCH($K150,'سجل التحفيز'!$AA$5:$AA$2004,0)))</f>
        <v/>
      </c>
      <c r="N150" s="9">
        <f>IF($K150="","",INDEX('سجل التحفيز'!$M$5:$M$2004,MATCH($K150,'سجل التحفيز'!$AA$5:$AA$2004,0)))</f>
        <v/>
      </c>
      <c r="O150" s="9">
        <f>IF($K150="","",INDEX('سجل التحفيز'!$C$5:$C$2004,MATCH($K150,'سجل التحفيز'!$AA$5:$AA$2004,0)))</f>
        <v/>
      </c>
      <c r="P150" s="36">
        <f>IF($K150="","",INDEX('سجل التحفيز'!$D$5:$D$2004,MATCH($K150,'سجل التحفيز'!$AA$5:$AA$2004,0)))</f>
        <v/>
      </c>
      <c r="Q150" s="9">
        <f>IF($K150="","",INDEX('سجل التحفيز'!$E$5:$E$2004,MATCH($K150,'سجل التحفيز'!$AA$5:$AA$2004,0)))</f>
        <v/>
      </c>
      <c r="R150" s="9">
        <f>IF($K150="","",INDEX('سجل التحفيز'!$F$5:$F$2004,MATCH($K150,'سجل التحفيز'!$AA$5:$AA$2004,0)))</f>
        <v/>
      </c>
      <c r="S150" s="35">
        <f>IF($K150="","",INDEX('سجل التحفيز'!$G$5:$G$2004,MATCH($K150,'سجل التحفيز'!$AA$5:$AA$2004,0)))</f>
        <v/>
      </c>
    </row>
    <row r="151">
      <c r="B151" s="34">
        <f>IFERROR(INDEX(الموظفات!$B$5:$B$304,MATCH(114,الموظفات!$U$5:$U$304,0)),"")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التحفيز'!$AA$5:$AA$2004,"&gt;0",'سجل التحفيز'!$B$5:$B$2004,B151))</f>
        <v/>
      </c>
      <c r="E151" s="35">
        <f>IF(B151="","",COUNTIFS('سجل التحفيز'!$AA$5:$AA$2004,"&gt;0",'سجل التحفيز'!$B$5:$B$2004,B151,'سجل التحفيز'!$D$5:$D$2004,"ذهبي"))</f>
        <v/>
      </c>
      <c r="F151" s="35">
        <f>IF(B151="","",SUMIFS('سجل التحفيز'!$G$5:$G$2004,'سجل التحفيز'!$AA$5:$AA$2004,"&gt;0",'سجل التحفيز'!$B$5:$B$2004,B151))</f>
        <v/>
      </c>
      <c r="G151" s="35">
        <f>IF(B151="","",COUNTIF($D$38:$D$187,"&gt;"&amp;D151)+1)</f>
        <v/>
      </c>
      <c r="H151" s="35">
        <f>IF(B151="","",INDEX(الموظفات!$L$5:$L$304,MATCH(B151,الموظفات!$B$5:$B$304,0)))</f>
        <v/>
      </c>
      <c r="K151" s="36">
        <f>IF(114&gt;$B$10,"",114)</f>
        <v/>
      </c>
      <c r="L151" s="37">
        <f>IF($K151="","",INDEX('سجل التحفيز'!$A$5:$A$2004,MATCH($K151,'سجل التحفيز'!$AA$5:$AA$2004,0)))</f>
        <v/>
      </c>
      <c r="M151" s="9">
        <f>IF($K151="","",INDEX('سجل التحفيز'!$B$5:$B$2004,MATCH($K151,'سجل التحفيز'!$AA$5:$AA$2004,0)))</f>
        <v/>
      </c>
      <c r="N151" s="9">
        <f>IF($K151="","",INDEX('سجل التحفيز'!$M$5:$M$2004,MATCH($K151,'سجل التحفيز'!$AA$5:$AA$2004,0)))</f>
        <v/>
      </c>
      <c r="O151" s="9">
        <f>IF($K151="","",INDEX('سجل التحفيز'!$C$5:$C$2004,MATCH($K151,'سجل التحفيز'!$AA$5:$AA$2004,0)))</f>
        <v/>
      </c>
      <c r="P151" s="36">
        <f>IF($K151="","",INDEX('سجل التحفيز'!$D$5:$D$2004,MATCH($K151,'سجل التحفيز'!$AA$5:$AA$2004,0)))</f>
        <v/>
      </c>
      <c r="Q151" s="9">
        <f>IF($K151="","",INDEX('سجل التحفيز'!$E$5:$E$2004,MATCH($K151,'سجل التحفيز'!$AA$5:$AA$2004,0)))</f>
        <v/>
      </c>
      <c r="R151" s="9">
        <f>IF($K151="","",INDEX('سجل التحفيز'!$F$5:$F$2004,MATCH($K151,'سجل التحفيز'!$AA$5:$AA$2004,0)))</f>
        <v/>
      </c>
      <c r="S151" s="35">
        <f>IF($K151="","",INDEX('سجل التحفيز'!$G$5:$G$2004,MATCH($K151,'سجل التحفيز'!$AA$5:$AA$2004,0)))</f>
        <v/>
      </c>
    </row>
    <row r="152">
      <c r="B152" s="34">
        <f>IFERROR(INDEX(الموظفات!$B$5:$B$304,MATCH(115,الموظفات!$U$5:$U$304,0)),"")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التحفيز'!$AA$5:$AA$2004,"&gt;0",'سجل التحفيز'!$B$5:$B$2004,B152))</f>
        <v/>
      </c>
      <c r="E152" s="35">
        <f>IF(B152="","",COUNTIFS('سجل التحفيز'!$AA$5:$AA$2004,"&gt;0",'سجل التحفيز'!$B$5:$B$2004,B152,'سجل التحفيز'!$D$5:$D$2004,"ذهبي"))</f>
        <v/>
      </c>
      <c r="F152" s="35">
        <f>IF(B152="","",SUMIFS('سجل التحفيز'!$G$5:$G$2004,'سجل التحفيز'!$AA$5:$AA$2004,"&gt;0",'سجل التحفيز'!$B$5:$B$2004,B152))</f>
        <v/>
      </c>
      <c r="G152" s="35">
        <f>IF(B152="","",COUNTIF($D$38:$D$187,"&gt;"&amp;D152)+1)</f>
        <v/>
      </c>
      <c r="H152" s="35">
        <f>IF(B152="","",INDEX(الموظفات!$L$5:$L$304,MATCH(B152,الموظفات!$B$5:$B$304,0)))</f>
        <v/>
      </c>
      <c r="K152" s="36">
        <f>IF(115&gt;$B$10,"",115)</f>
        <v/>
      </c>
      <c r="L152" s="37">
        <f>IF($K152="","",INDEX('سجل التحفيز'!$A$5:$A$2004,MATCH($K152,'سجل التحفيز'!$AA$5:$AA$2004,0)))</f>
        <v/>
      </c>
      <c r="M152" s="9">
        <f>IF($K152="","",INDEX('سجل التحفيز'!$B$5:$B$2004,MATCH($K152,'سجل التحفيز'!$AA$5:$AA$2004,0)))</f>
        <v/>
      </c>
      <c r="N152" s="9">
        <f>IF($K152="","",INDEX('سجل التحفيز'!$M$5:$M$2004,MATCH($K152,'سجل التحفيز'!$AA$5:$AA$2004,0)))</f>
        <v/>
      </c>
      <c r="O152" s="9">
        <f>IF($K152="","",INDEX('سجل التحفيز'!$C$5:$C$2004,MATCH($K152,'سجل التحفيز'!$AA$5:$AA$2004,0)))</f>
        <v/>
      </c>
      <c r="P152" s="36">
        <f>IF($K152="","",INDEX('سجل التحفيز'!$D$5:$D$2004,MATCH($K152,'سجل التحفيز'!$AA$5:$AA$2004,0)))</f>
        <v/>
      </c>
      <c r="Q152" s="9">
        <f>IF($K152="","",INDEX('سجل التحفيز'!$E$5:$E$2004,MATCH($K152,'سجل التحفيز'!$AA$5:$AA$2004,0)))</f>
        <v/>
      </c>
      <c r="R152" s="9">
        <f>IF($K152="","",INDEX('سجل التحفيز'!$F$5:$F$2004,MATCH($K152,'سجل التحفيز'!$AA$5:$AA$2004,0)))</f>
        <v/>
      </c>
      <c r="S152" s="35">
        <f>IF($K152="","",INDEX('سجل التحفيز'!$G$5:$G$2004,MATCH($K152,'سجل التحفيز'!$AA$5:$AA$2004,0)))</f>
        <v/>
      </c>
    </row>
    <row r="153">
      <c r="B153" s="34">
        <f>IFERROR(INDEX(الموظفات!$B$5:$B$304,MATCH(116,الموظفات!$U$5:$U$304,0)),"")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التحفيز'!$AA$5:$AA$2004,"&gt;0",'سجل التحفيز'!$B$5:$B$2004,B153))</f>
        <v/>
      </c>
      <c r="E153" s="35">
        <f>IF(B153="","",COUNTIFS('سجل التحفيز'!$AA$5:$AA$2004,"&gt;0",'سجل التحفيز'!$B$5:$B$2004,B153,'سجل التحفيز'!$D$5:$D$2004,"ذهبي"))</f>
        <v/>
      </c>
      <c r="F153" s="35">
        <f>IF(B153="","",SUMIFS('سجل التحفيز'!$G$5:$G$2004,'سجل التحفيز'!$AA$5:$AA$2004,"&gt;0",'سجل التحفيز'!$B$5:$B$2004,B153))</f>
        <v/>
      </c>
      <c r="G153" s="35">
        <f>IF(B153="","",COUNTIF($D$38:$D$187,"&gt;"&amp;D153)+1)</f>
        <v/>
      </c>
      <c r="H153" s="35">
        <f>IF(B153="","",INDEX(الموظفات!$L$5:$L$304,MATCH(B153,الموظفات!$B$5:$B$304,0)))</f>
        <v/>
      </c>
      <c r="K153" s="36">
        <f>IF(116&gt;$B$10,"",116)</f>
        <v/>
      </c>
      <c r="L153" s="37">
        <f>IF($K153="","",INDEX('سجل التحفيز'!$A$5:$A$2004,MATCH($K153,'سجل التحفيز'!$AA$5:$AA$2004,0)))</f>
        <v/>
      </c>
      <c r="M153" s="9">
        <f>IF($K153="","",INDEX('سجل التحفيز'!$B$5:$B$2004,MATCH($K153,'سجل التحفيز'!$AA$5:$AA$2004,0)))</f>
        <v/>
      </c>
      <c r="N153" s="9">
        <f>IF($K153="","",INDEX('سجل التحفيز'!$M$5:$M$2004,MATCH($K153,'سجل التحفيز'!$AA$5:$AA$2004,0)))</f>
        <v/>
      </c>
      <c r="O153" s="9">
        <f>IF($K153="","",INDEX('سجل التحفيز'!$C$5:$C$2004,MATCH($K153,'سجل التحفيز'!$AA$5:$AA$2004,0)))</f>
        <v/>
      </c>
      <c r="P153" s="36">
        <f>IF($K153="","",INDEX('سجل التحفيز'!$D$5:$D$2004,MATCH($K153,'سجل التحفيز'!$AA$5:$AA$2004,0)))</f>
        <v/>
      </c>
      <c r="Q153" s="9">
        <f>IF($K153="","",INDEX('سجل التحفيز'!$E$5:$E$2004,MATCH($K153,'سجل التحفيز'!$AA$5:$AA$2004,0)))</f>
        <v/>
      </c>
      <c r="R153" s="9">
        <f>IF($K153="","",INDEX('سجل التحفيز'!$F$5:$F$2004,MATCH($K153,'سجل التحفيز'!$AA$5:$AA$2004,0)))</f>
        <v/>
      </c>
      <c r="S153" s="35">
        <f>IF($K153="","",INDEX('سجل التحفيز'!$G$5:$G$2004,MATCH($K153,'سجل التحفيز'!$AA$5:$AA$2004,0)))</f>
        <v/>
      </c>
    </row>
    <row r="154">
      <c r="B154" s="34">
        <f>IFERROR(INDEX(الموظفات!$B$5:$B$304,MATCH(117,الموظفات!$U$5:$U$304,0)),"")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التحفيز'!$AA$5:$AA$2004,"&gt;0",'سجل التحفيز'!$B$5:$B$2004,B154))</f>
        <v/>
      </c>
      <c r="E154" s="35">
        <f>IF(B154="","",COUNTIFS('سجل التحفيز'!$AA$5:$AA$2004,"&gt;0",'سجل التحفيز'!$B$5:$B$2004,B154,'سجل التحفيز'!$D$5:$D$2004,"ذهبي"))</f>
        <v/>
      </c>
      <c r="F154" s="35">
        <f>IF(B154="","",SUMIFS('سجل التحفيز'!$G$5:$G$2004,'سجل التحفيز'!$AA$5:$AA$2004,"&gt;0",'سجل التحفيز'!$B$5:$B$2004,B154))</f>
        <v/>
      </c>
      <c r="G154" s="35">
        <f>IF(B154="","",COUNTIF($D$38:$D$187,"&gt;"&amp;D154)+1)</f>
        <v/>
      </c>
      <c r="H154" s="35">
        <f>IF(B154="","",INDEX(الموظفات!$L$5:$L$304,MATCH(B154,الموظفات!$B$5:$B$304,0)))</f>
        <v/>
      </c>
      <c r="K154" s="36">
        <f>IF(117&gt;$B$10,"",117)</f>
        <v/>
      </c>
      <c r="L154" s="37">
        <f>IF($K154="","",INDEX('سجل التحفيز'!$A$5:$A$2004,MATCH($K154,'سجل التحفيز'!$AA$5:$AA$2004,0)))</f>
        <v/>
      </c>
      <c r="M154" s="9">
        <f>IF($K154="","",INDEX('سجل التحفيز'!$B$5:$B$2004,MATCH($K154,'سجل التحفيز'!$AA$5:$AA$2004,0)))</f>
        <v/>
      </c>
      <c r="N154" s="9">
        <f>IF($K154="","",INDEX('سجل التحفيز'!$M$5:$M$2004,MATCH($K154,'سجل التحفيز'!$AA$5:$AA$2004,0)))</f>
        <v/>
      </c>
      <c r="O154" s="9">
        <f>IF($K154="","",INDEX('سجل التحفيز'!$C$5:$C$2004,MATCH($K154,'سجل التحفيز'!$AA$5:$AA$2004,0)))</f>
        <v/>
      </c>
      <c r="P154" s="36">
        <f>IF($K154="","",INDEX('سجل التحفيز'!$D$5:$D$2004,MATCH($K154,'سجل التحفيز'!$AA$5:$AA$2004,0)))</f>
        <v/>
      </c>
      <c r="Q154" s="9">
        <f>IF($K154="","",INDEX('سجل التحفيز'!$E$5:$E$2004,MATCH($K154,'سجل التحفيز'!$AA$5:$AA$2004,0)))</f>
        <v/>
      </c>
      <c r="R154" s="9">
        <f>IF($K154="","",INDEX('سجل التحفيز'!$F$5:$F$2004,MATCH($K154,'سجل التحفيز'!$AA$5:$AA$2004,0)))</f>
        <v/>
      </c>
      <c r="S154" s="35">
        <f>IF($K154="","",INDEX('سجل التحفيز'!$G$5:$G$2004,MATCH($K154,'سجل التحفيز'!$AA$5:$AA$2004,0)))</f>
        <v/>
      </c>
    </row>
    <row r="155">
      <c r="B155" s="34">
        <f>IFERROR(INDEX(الموظفات!$B$5:$B$304,MATCH(118,الموظفات!$U$5:$U$304,0)),"")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التحفيز'!$AA$5:$AA$2004,"&gt;0",'سجل التحفيز'!$B$5:$B$2004,B155))</f>
        <v/>
      </c>
      <c r="E155" s="35">
        <f>IF(B155="","",COUNTIFS('سجل التحفيز'!$AA$5:$AA$2004,"&gt;0",'سجل التحفيز'!$B$5:$B$2004,B155,'سجل التحفيز'!$D$5:$D$2004,"ذهبي"))</f>
        <v/>
      </c>
      <c r="F155" s="35">
        <f>IF(B155="","",SUMIFS('سجل التحفيز'!$G$5:$G$2004,'سجل التحفيز'!$AA$5:$AA$2004,"&gt;0",'سجل التحفيز'!$B$5:$B$2004,B155))</f>
        <v/>
      </c>
      <c r="G155" s="35">
        <f>IF(B155="","",COUNTIF($D$38:$D$187,"&gt;"&amp;D155)+1)</f>
        <v/>
      </c>
      <c r="H155" s="35">
        <f>IF(B155="","",INDEX(الموظفات!$L$5:$L$304,MATCH(B155,الموظفات!$B$5:$B$304,0)))</f>
        <v/>
      </c>
      <c r="K155" s="36">
        <f>IF(118&gt;$B$10,"",118)</f>
        <v/>
      </c>
      <c r="L155" s="37">
        <f>IF($K155="","",INDEX('سجل التحفيز'!$A$5:$A$2004,MATCH($K155,'سجل التحفيز'!$AA$5:$AA$2004,0)))</f>
        <v/>
      </c>
      <c r="M155" s="9">
        <f>IF($K155="","",INDEX('سجل التحفيز'!$B$5:$B$2004,MATCH($K155,'سجل التحفيز'!$AA$5:$AA$2004,0)))</f>
        <v/>
      </c>
      <c r="N155" s="9">
        <f>IF($K155="","",INDEX('سجل التحفيز'!$M$5:$M$2004,MATCH($K155,'سجل التحفيز'!$AA$5:$AA$2004,0)))</f>
        <v/>
      </c>
      <c r="O155" s="9">
        <f>IF($K155="","",INDEX('سجل التحفيز'!$C$5:$C$2004,MATCH($K155,'سجل التحفيز'!$AA$5:$AA$2004,0)))</f>
        <v/>
      </c>
      <c r="P155" s="36">
        <f>IF($K155="","",INDEX('سجل التحفيز'!$D$5:$D$2004,MATCH($K155,'سجل التحفيز'!$AA$5:$AA$2004,0)))</f>
        <v/>
      </c>
      <c r="Q155" s="9">
        <f>IF($K155="","",INDEX('سجل التحفيز'!$E$5:$E$2004,MATCH($K155,'سجل التحفيز'!$AA$5:$AA$2004,0)))</f>
        <v/>
      </c>
      <c r="R155" s="9">
        <f>IF($K155="","",INDEX('سجل التحفيز'!$F$5:$F$2004,MATCH($K155,'سجل التحفيز'!$AA$5:$AA$2004,0)))</f>
        <v/>
      </c>
      <c r="S155" s="35">
        <f>IF($K155="","",INDEX('سجل التحفيز'!$G$5:$G$2004,MATCH($K155,'سجل التحفيز'!$AA$5:$AA$2004,0)))</f>
        <v/>
      </c>
    </row>
    <row r="156">
      <c r="B156" s="34">
        <f>IFERROR(INDEX(الموظفات!$B$5:$B$304,MATCH(119,الموظفات!$U$5:$U$304,0)),"")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التحفيز'!$AA$5:$AA$2004,"&gt;0",'سجل التحفيز'!$B$5:$B$2004,B156))</f>
        <v/>
      </c>
      <c r="E156" s="35">
        <f>IF(B156="","",COUNTIFS('سجل التحفيز'!$AA$5:$AA$2004,"&gt;0",'سجل التحفيز'!$B$5:$B$2004,B156,'سجل التحفيز'!$D$5:$D$2004,"ذهبي"))</f>
        <v/>
      </c>
      <c r="F156" s="35">
        <f>IF(B156="","",SUMIFS('سجل التحفيز'!$G$5:$G$2004,'سجل التحفيز'!$AA$5:$AA$2004,"&gt;0",'سجل التحفيز'!$B$5:$B$2004,B156))</f>
        <v/>
      </c>
      <c r="G156" s="35">
        <f>IF(B156="","",COUNTIF($D$38:$D$187,"&gt;"&amp;D156)+1)</f>
        <v/>
      </c>
      <c r="H156" s="35">
        <f>IF(B156="","",INDEX(الموظفات!$L$5:$L$304,MATCH(B156,الموظفات!$B$5:$B$304,0)))</f>
        <v/>
      </c>
      <c r="K156" s="36">
        <f>IF(119&gt;$B$10,"",119)</f>
        <v/>
      </c>
      <c r="L156" s="37">
        <f>IF($K156="","",INDEX('سجل التحفيز'!$A$5:$A$2004,MATCH($K156,'سجل التحفيز'!$AA$5:$AA$2004,0)))</f>
        <v/>
      </c>
      <c r="M156" s="9">
        <f>IF($K156="","",INDEX('سجل التحفيز'!$B$5:$B$2004,MATCH($K156,'سجل التحفيز'!$AA$5:$AA$2004,0)))</f>
        <v/>
      </c>
      <c r="N156" s="9">
        <f>IF($K156="","",INDEX('سجل التحفيز'!$M$5:$M$2004,MATCH($K156,'سجل التحفيز'!$AA$5:$AA$2004,0)))</f>
        <v/>
      </c>
      <c r="O156" s="9">
        <f>IF($K156="","",INDEX('سجل التحفيز'!$C$5:$C$2004,MATCH($K156,'سجل التحفيز'!$AA$5:$AA$2004,0)))</f>
        <v/>
      </c>
      <c r="P156" s="36">
        <f>IF($K156="","",INDEX('سجل التحفيز'!$D$5:$D$2004,MATCH($K156,'سجل التحفيز'!$AA$5:$AA$2004,0)))</f>
        <v/>
      </c>
      <c r="Q156" s="9">
        <f>IF($K156="","",INDEX('سجل التحفيز'!$E$5:$E$2004,MATCH($K156,'سجل التحفيز'!$AA$5:$AA$2004,0)))</f>
        <v/>
      </c>
      <c r="R156" s="9">
        <f>IF($K156="","",INDEX('سجل التحفيز'!$F$5:$F$2004,MATCH($K156,'سجل التحفيز'!$AA$5:$AA$2004,0)))</f>
        <v/>
      </c>
      <c r="S156" s="35">
        <f>IF($K156="","",INDEX('سجل التحفيز'!$G$5:$G$2004,MATCH($K156,'سجل التحفيز'!$AA$5:$AA$2004,0)))</f>
        <v/>
      </c>
    </row>
    <row r="157">
      <c r="B157" s="34">
        <f>IFERROR(INDEX(الموظفات!$B$5:$B$304,MATCH(120,الموظفات!$U$5:$U$304,0)),"")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التحفيز'!$AA$5:$AA$2004,"&gt;0",'سجل التحفيز'!$B$5:$B$2004,B157))</f>
        <v/>
      </c>
      <c r="E157" s="35">
        <f>IF(B157="","",COUNTIFS('سجل التحفيز'!$AA$5:$AA$2004,"&gt;0",'سجل التحفيز'!$B$5:$B$2004,B157,'سجل التحفيز'!$D$5:$D$2004,"ذهبي"))</f>
        <v/>
      </c>
      <c r="F157" s="35">
        <f>IF(B157="","",SUMIFS('سجل التحفيز'!$G$5:$G$2004,'سجل التحفيز'!$AA$5:$AA$2004,"&gt;0",'سجل التحفيز'!$B$5:$B$2004,B157))</f>
        <v/>
      </c>
      <c r="G157" s="35">
        <f>IF(B157="","",COUNTIF($D$38:$D$187,"&gt;"&amp;D157)+1)</f>
        <v/>
      </c>
      <c r="H157" s="35">
        <f>IF(B157="","",INDEX(الموظفات!$L$5:$L$304,MATCH(B157,الموظفات!$B$5:$B$304,0)))</f>
        <v/>
      </c>
      <c r="K157" s="36">
        <f>IF(120&gt;$B$10,"",120)</f>
        <v/>
      </c>
      <c r="L157" s="37">
        <f>IF($K157="","",INDEX('سجل التحفيز'!$A$5:$A$2004,MATCH($K157,'سجل التحفيز'!$AA$5:$AA$2004,0)))</f>
        <v/>
      </c>
      <c r="M157" s="9">
        <f>IF($K157="","",INDEX('سجل التحفيز'!$B$5:$B$2004,MATCH($K157,'سجل التحفيز'!$AA$5:$AA$2004,0)))</f>
        <v/>
      </c>
      <c r="N157" s="9">
        <f>IF($K157="","",INDEX('سجل التحفيز'!$M$5:$M$2004,MATCH($K157,'سجل التحفيز'!$AA$5:$AA$2004,0)))</f>
        <v/>
      </c>
      <c r="O157" s="9">
        <f>IF($K157="","",INDEX('سجل التحفيز'!$C$5:$C$2004,MATCH($K157,'سجل التحفيز'!$AA$5:$AA$2004,0)))</f>
        <v/>
      </c>
      <c r="P157" s="36">
        <f>IF($K157="","",INDEX('سجل التحفيز'!$D$5:$D$2004,MATCH($K157,'سجل التحفيز'!$AA$5:$AA$2004,0)))</f>
        <v/>
      </c>
      <c r="Q157" s="9">
        <f>IF($K157="","",INDEX('سجل التحفيز'!$E$5:$E$2004,MATCH($K157,'سجل التحفيز'!$AA$5:$AA$2004,0)))</f>
        <v/>
      </c>
      <c r="R157" s="9">
        <f>IF($K157="","",INDEX('سجل التحفيز'!$F$5:$F$2004,MATCH($K157,'سجل التحفيز'!$AA$5:$AA$2004,0)))</f>
        <v/>
      </c>
      <c r="S157" s="35">
        <f>IF($K157="","",INDEX('سجل التحفيز'!$G$5:$G$2004,MATCH($K157,'سجل التحفيز'!$AA$5:$AA$2004,0)))</f>
        <v/>
      </c>
    </row>
    <row r="158">
      <c r="B158" s="34">
        <f>IFERROR(INDEX(الموظفات!$B$5:$B$304,MATCH(121,الموظفات!$U$5:$U$304,0)),"")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التحفيز'!$AA$5:$AA$2004,"&gt;0",'سجل التحفيز'!$B$5:$B$2004,B158))</f>
        <v/>
      </c>
      <c r="E158" s="35">
        <f>IF(B158="","",COUNTIFS('سجل التحفيز'!$AA$5:$AA$2004,"&gt;0",'سجل التحفيز'!$B$5:$B$2004,B158,'سجل التحفيز'!$D$5:$D$2004,"ذهبي"))</f>
        <v/>
      </c>
      <c r="F158" s="35">
        <f>IF(B158="","",SUMIFS('سجل التحفيز'!$G$5:$G$2004,'سجل التحفيز'!$AA$5:$AA$2004,"&gt;0",'سجل التحفيز'!$B$5:$B$2004,B158))</f>
        <v/>
      </c>
      <c r="G158" s="35">
        <f>IF(B158="","",COUNTIF($D$38:$D$187,"&gt;"&amp;D158)+1)</f>
        <v/>
      </c>
      <c r="H158" s="35">
        <f>IF(B158="","",INDEX(الموظفات!$L$5:$L$304,MATCH(B158,الموظفات!$B$5:$B$304,0)))</f>
        <v/>
      </c>
      <c r="K158" s="36">
        <f>IF(121&gt;$B$10,"",121)</f>
        <v/>
      </c>
      <c r="L158" s="37">
        <f>IF($K158="","",INDEX('سجل التحفيز'!$A$5:$A$2004,MATCH($K158,'سجل التحفيز'!$AA$5:$AA$2004,0)))</f>
        <v/>
      </c>
      <c r="M158" s="9">
        <f>IF($K158="","",INDEX('سجل التحفيز'!$B$5:$B$2004,MATCH($K158,'سجل التحفيز'!$AA$5:$AA$2004,0)))</f>
        <v/>
      </c>
      <c r="N158" s="9">
        <f>IF($K158="","",INDEX('سجل التحفيز'!$M$5:$M$2004,MATCH($K158,'سجل التحفيز'!$AA$5:$AA$2004,0)))</f>
        <v/>
      </c>
      <c r="O158" s="9">
        <f>IF($K158="","",INDEX('سجل التحفيز'!$C$5:$C$2004,MATCH($K158,'سجل التحفيز'!$AA$5:$AA$2004,0)))</f>
        <v/>
      </c>
      <c r="P158" s="36">
        <f>IF($K158="","",INDEX('سجل التحفيز'!$D$5:$D$2004,MATCH($K158,'سجل التحفيز'!$AA$5:$AA$2004,0)))</f>
        <v/>
      </c>
      <c r="Q158" s="9">
        <f>IF($K158="","",INDEX('سجل التحفيز'!$E$5:$E$2004,MATCH($K158,'سجل التحفيز'!$AA$5:$AA$2004,0)))</f>
        <v/>
      </c>
      <c r="R158" s="9">
        <f>IF($K158="","",INDEX('سجل التحفيز'!$F$5:$F$2004,MATCH($K158,'سجل التحفيز'!$AA$5:$AA$2004,0)))</f>
        <v/>
      </c>
      <c r="S158" s="35">
        <f>IF($K158="","",INDEX('سجل التحفيز'!$G$5:$G$2004,MATCH($K158,'سجل التحفيز'!$AA$5:$AA$2004,0)))</f>
        <v/>
      </c>
    </row>
    <row r="159">
      <c r="B159" s="34">
        <f>IFERROR(INDEX(الموظفات!$B$5:$B$304,MATCH(122,الموظفات!$U$5:$U$304,0)),"")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التحفيز'!$AA$5:$AA$2004,"&gt;0",'سجل التحفيز'!$B$5:$B$2004,B159))</f>
        <v/>
      </c>
      <c r="E159" s="35">
        <f>IF(B159="","",COUNTIFS('سجل التحفيز'!$AA$5:$AA$2004,"&gt;0",'سجل التحفيز'!$B$5:$B$2004,B159,'سجل التحفيز'!$D$5:$D$2004,"ذهبي"))</f>
        <v/>
      </c>
      <c r="F159" s="35">
        <f>IF(B159="","",SUMIFS('سجل التحفيز'!$G$5:$G$2004,'سجل التحفيز'!$AA$5:$AA$2004,"&gt;0",'سجل التحفيز'!$B$5:$B$2004,B159))</f>
        <v/>
      </c>
      <c r="G159" s="35">
        <f>IF(B159="","",COUNTIF($D$38:$D$187,"&gt;"&amp;D159)+1)</f>
        <v/>
      </c>
      <c r="H159" s="35">
        <f>IF(B159="","",INDEX(الموظفات!$L$5:$L$304,MATCH(B159,الموظفات!$B$5:$B$304,0)))</f>
        <v/>
      </c>
      <c r="K159" s="36">
        <f>IF(122&gt;$B$10,"",122)</f>
        <v/>
      </c>
      <c r="L159" s="37">
        <f>IF($K159="","",INDEX('سجل التحفيز'!$A$5:$A$2004,MATCH($K159,'سجل التحفيز'!$AA$5:$AA$2004,0)))</f>
        <v/>
      </c>
      <c r="M159" s="9">
        <f>IF($K159="","",INDEX('سجل التحفيز'!$B$5:$B$2004,MATCH($K159,'سجل التحفيز'!$AA$5:$AA$2004,0)))</f>
        <v/>
      </c>
      <c r="N159" s="9">
        <f>IF($K159="","",INDEX('سجل التحفيز'!$M$5:$M$2004,MATCH($K159,'سجل التحفيز'!$AA$5:$AA$2004,0)))</f>
        <v/>
      </c>
      <c r="O159" s="9">
        <f>IF($K159="","",INDEX('سجل التحفيز'!$C$5:$C$2004,MATCH($K159,'سجل التحفيز'!$AA$5:$AA$2004,0)))</f>
        <v/>
      </c>
      <c r="P159" s="36">
        <f>IF($K159="","",INDEX('سجل التحفيز'!$D$5:$D$2004,MATCH($K159,'سجل التحفيز'!$AA$5:$AA$2004,0)))</f>
        <v/>
      </c>
      <c r="Q159" s="9">
        <f>IF($K159="","",INDEX('سجل التحفيز'!$E$5:$E$2004,MATCH($K159,'سجل التحفيز'!$AA$5:$AA$2004,0)))</f>
        <v/>
      </c>
      <c r="R159" s="9">
        <f>IF($K159="","",INDEX('سجل التحفيز'!$F$5:$F$2004,MATCH($K159,'سجل التحفيز'!$AA$5:$AA$2004,0)))</f>
        <v/>
      </c>
      <c r="S159" s="35">
        <f>IF($K159="","",INDEX('سجل التحفيز'!$G$5:$G$2004,MATCH($K159,'سجل التحفيز'!$AA$5:$AA$2004,0)))</f>
        <v/>
      </c>
    </row>
    <row r="160">
      <c r="B160" s="34">
        <f>IFERROR(INDEX(الموظفات!$B$5:$B$304,MATCH(123,الموظفات!$U$5:$U$304,0)),"")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التحفيز'!$AA$5:$AA$2004,"&gt;0",'سجل التحفيز'!$B$5:$B$2004,B160))</f>
        <v/>
      </c>
      <c r="E160" s="35">
        <f>IF(B160="","",COUNTIFS('سجل التحفيز'!$AA$5:$AA$2004,"&gt;0",'سجل التحفيز'!$B$5:$B$2004,B160,'سجل التحفيز'!$D$5:$D$2004,"ذهبي"))</f>
        <v/>
      </c>
      <c r="F160" s="35">
        <f>IF(B160="","",SUMIFS('سجل التحفيز'!$G$5:$G$2004,'سجل التحفيز'!$AA$5:$AA$2004,"&gt;0",'سجل التحفيز'!$B$5:$B$2004,B160))</f>
        <v/>
      </c>
      <c r="G160" s="35">
        <f>IF(B160="","",COUNTIF($D$38:$D$187,"&gt;"&amp;D160)+1)</f>
        <v/>
      </c>
      <c r="H160" s="35">
        <f>IF(B160="","",INDEX(الموظفات!$L$5:$L$304,MATCH(B160,الموظفات!$B$5:$B$304,0)))</f>
        <v/>
      </c>
      <c r="K160" s="36">
        <f>IF(123&gt;$B$10,"",123)</f>
        <v/>
      </c>
      <c r="L160" s="37">
        <f>IF($K160="","",INDEX('سجل التحفيز'!$A$5:$A$2004,MATCH($K160,'سجل التحفيز'!$AA$5:$AA$2004,0)))</f>
        <v/>
      </c>
      <c r="M160" s="9">
        <f>IF($K160="","",INDEX('سجل التحفيز'!$B$5:$B$2004,MATCH($K160,'سجل التحفيز'!$AA$5:$AA$2004,0)))</f>
        <v/>
      </c>
      <c r="N160" s="9">
        <f>IF($K160="","",INDEX('سجل التحفيز'!$M$5:$M$2004,MATCH($K160,'سجل التحفيز'!$AA$5:$AA$2004,0)))</f>
        <v/>
      </c>
      <c r="O160" s="9">
        <f>IF($K160="","",INDEX('سجل التحفيز'!$C$5:$C$2004,MATCH($K160,'سجل التحفيز'!$AA$5:$AA$2004,0)))</f>
        <v/>
      </c>
      <c r="P160" s="36">
        <f>IF($K160="","",INDEX('سجل التحفيز'!$D$5:$D$2004,MATCH($K160,'سجل التحفيز'!$AA$5:$AA$2004,0)))</f>
        <v/>
      </c>
      <c r="Q160" s="9">
        <f>IF($K160="","",INDEX('سجل التحفيز'!$E$5:$E$2004,MATCH($K160,'سجل التحفيز'!$AA$5:$AA$2004,0)))</f>
        <v/>
      </c>
      <c r="R160" s="9">
        <f>IF($K160="","",INDEX('سجل التحفيز'!$F$5:$F$2004,MATCH($K160,'سجل التحفيز'!$AA$5:$AA$2004,0)))</f>
        <v/>
      </c>
      <c r="S160" s="35">
        <f>IF($K160="","",INDEX('سجل التحفيز'!$G$5:$G$2004,MATCH($K160,'سجل التحفيز'!$AA$5:$AA$2004,0)))</f>
        <v/>
      </c>
    </row>
    <row r="161">
      <c r="B161" s="34">
        <f>IFERROR(INDEX(الموظفات!$B$5:$B$304,MATCH(124,الموظفات!$U$5:$U$304,0)),"")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التحفيز'!$AA$5:$AA$2004,"&gt;0",'سجل التحفيز'!$B$5:$B$2004,B161))</f>
        <v/>
      </c>
      <c r="E161" s="35">
        <f>IF(B161="","",COUNTIFS('سجل التحفيز'!$AA$5:$AA$2004,"&gt;0",'سجل التحفيز'!$B$5:$B$2004,B161,'سجل التحفيز'!$D$5:$D$2004,"ذهبي"))</f>
        <v/>
      </c>
      <c r="F161" s="35">
        <f>IF(B161="","",SUMIFS('سجل التحفيز'!$G$5:$G$2004,'سجل التحفيز'!$AA$5:$AA$2004,"&gt;0",'سجل التحفيز'!$B$5:$B$2004,B161))</f>
        <v/>
      </c>
      <c r="G161" s="35">
        <f>IF(B161="","",COUNTIF($D$38:$D$187,"&gt;"&amp;D161)+1)</f>
        <v/>
      </c>
      <c r="H161" s="35">
        <f>IF(B161="","",INDEX(الموظفات!$L$5:$L$304,MATCH(B161,الموظفات!$B$5:$B$304,0)))</f>
        <v/>
      </c>
      <c r="K161" s="36">
        <f>IF(124&gt;$B$10,"",124)</f>
        <v/>
      </c>
      <c r="L161" s="37">
        <f>IF($K161="","",INDEX('سجل التحفيز'!$A$5:$A$2004,MATCH($K161,'سجل التحفيز'!$AA$5:$AA$2004,0)))</f>
        <v/>
      </c>
      <c r="M161" s="9">
        <f>IF($K161="","",INDEX('سجل التحفيز'!$B$5:$B$2004,MATCH($K161,'سجل التحفيز'!$AA$5:$AA$2004,0)))</f>
        <v/>
      </c>
      <c r="N161" s="9">
        <f>IF($K161="","",INDEX('سجل التحفيز'!$M$5:$M$2004,MATCH($K161,'سجل التحفيز'!$AA$5:$AA$2004,0)))</f>
        <v/>
      </c>
      <c r="O161" s="9">
        <f>IF($K161="","",INDEX('سجل التحفيز'!$C$5:$C$2004,MATCH($K161,'سجل التحفيز'!$AA$5:$AA$2004,0)))</f>
        <v/>
      </c>
      <c r="P161" s="36">
        <f>IF($K161="","",INDEX('سجل التحفيز'!$D$5:$D$2004,MATCH($K161,'سجل التحفيز'!$AA$5:$AA$2004,0)))</f>
        <v/>
      </c>
      <c r="Q161" s="9">
        <f>IF($K161="","",INDEX('سجل التحفيز'!$E$5:$E$2004,MATCH($K161,'سجل التحفيز'!$AA$5:$AA$2004,0)))</f>
        <v/>
      </c>
      <c r="R161" s="9">
        <f>IF($K161="","",INDEX('سجل التحفيز'!$F$5:$F$2004,MATCH($K161,'سجل التحفيز'!$AA$5:$AA$2004,0)))</f>
        <v/>
      </c>
      <c r="S161" s="35">
        <f>IF($K161="","",INDEX('سجل التحفيز'!$G$5:$G$2004,MATCH($K161,'سجل التحفيز'!$AA$5:$AA$2004,0)))</f>
        <v/>
      </c>
    </row>
    <row r="162">
      <c r="B162" s="34">
        <f>IFERROR(INDEX(الموظفات!$B$5:$B$304,MATCH(125,الموظفات!$U$5:$U$304,0)),"")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التحفيز'!$AA$5:$AA$2004,"&gt;0",'سجل التحفيز'!$B$5:$B$2004,B162))</f>
        <v/>
      </c>
      <c r="E162" s="35">
        <f>IF(B162="","",COUNTIFS('سجل التحفيز'!$AA$5:$AA$2004,"&gt;0",'سجل التحفيز'!$B$5:$B$2004,B162,'سجل التحفيز'!$D$5:$D$2004,"ذهبي"))</f>
        <v/>
      </c>
      <c r="F162" s="35">
        <f>IF(B162="","",SUMIFS('سجل التحفيز'!$G$5:$G$2004,'سجل التحفيز'!$AA$5:$AA$2004,"&gt;0",'سجل التحفيز'!$B$5:$B$2004,B162))</f>
        <v/>
      </c>
      <c r="G162" s="35">
        <f>IF(B162="","",COUNTIF($D$38:$D$187,"&gt;"&amp;D162)+1)</f>
        <v/>
      </c>
      <c r="H162" s="35">
        <f>IF(B162="","",INDEX(الموظفات!$L$5:$L$304,MATCH(B162,الموظفات!$B$5:$B$304,0)))</f>
        <v/>
      </c>
      <c r="K162" s="36">
        <f>IF(125&gt;$B$10,"",125)</f>
        <v/>
      </c>
      <c r="L162" s="37">
        <f>IF($K162="","",INDEX('سجل التحفيز'!$A$5:$A$2004,MATCH($K162,'سجل التحفيز'!$AA$5:$AA$2004,0)))</f>
        <v/>
      </c>
      <c r="M162" s="9">
        <f>IF($K162="","",INDEX('سجل التحفيز'!$B$5:$B$2004,MATCH($K162,'سجل التحفيز'!$AA$5:$AA$2004,0)))</f>
        <v/>
      </c>
      <c r="N162" s="9">
        <f>IF($K162="","",INDEX('سجل التحفيز'!$M$5:$M$2004,MATCH($K162,'سجل التحفيز'!$AA$5:$AA$2004,0)))</f>
        <v/>
      </c>
      <c r="O162" s="9">
        <f>IF($K162="","",INDEX('سجل التحفيز'!$C$5:$C$2004,MATCH($K162,'سجل التحفيز'!$AA$5:$AA$2004,0)))</f>
        <v/>
      </c>
      <c r="P162" s="36">
        <f>IF($K162="","",INDEX('سجل التحفيز'!$D$5:$D$2004,MATCH($K162,'سجل التحفيز'!$AA$5:$AA$2004,0)))</f>
        <v/>
      </c>
      <c r="Q162" s="9">
        <f>IF($K162="","",INDEX('سجل التحفيز'!$E$5:$E$2004,MATCH($K162,'سجل التحفيز'!$AA$5:$AA$2004,0)))</f>
        <v/>
      </c>
      <c r="R162" s="9">
        <f>IF($K162="","",INDEX('سجل التحفيز'!$F$5:$F$2004,MATCH($K162,'سجل التحفيز'!$AA$5:$AA$2004,0)))</f>
        <v/>
      </c>
      <c r="S162" s="35">
        <f>IF($K162="","",INDEX('سجل التحفيز'!$G$5:$G$2004,MATCH($K162,'سجل التحفيز'!$AA$5:$AA$2004,0)))</f>
        <v/>
      </c>
    </row>
    <row r="163">
      <c r="B163" s="34">
        <f>IFERROR(INDEX(الموظفات!$B$5:$B$304,MATCH(126,الموظفات!$U$5:$U$304,0)),"")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التحفيز'!$AA$5:$AA$2004,"&gt;0",'سجل التحفيز'!$B$5:$B$2004,B163))</f>
        <v/>
      </c>
      <c r="E163" s="35">
        <f>IF(B163="","",COUNTIFS('سجل التحفيز'!$AA$5:$AA$2004,"&gt;0",'سجل التحفيز'!$B$5:$B$2004,B163,'سجل التحفيز'!$D$5:$D$2004,"ذهبي"))</f>
        <v/>
      </c>
      <c r="F163" s="35">
        <f>IF(B163="","",SUMIFS('سجل التحفيز'!$G$5:$G$2004,'سجل التحفيز'!$AA$5:$AA$2004,"&gt;0",'سجل التحفيز'!$B$5:$B$2004,B163))</f>
        <v/>
      </c>
      <c r="G163" s="35">
        <f>IF(B163="","",COUNTIF($D$38:$D$187,"&gt;"&amp;D163)+1)</f>
        <v/>
      </c>
      <c r="H163" s="35">
        <f>IF(B163="","",INDEX(الموظفات!$L$5:$L$304,MATCH(B163,الموظفات!$B$5:$B$304,0)))</f>
        <v/>
      </c>
      <c r="K163" s="36">
        <f>IF(126&gt;$B$10,"",126)</f>
        <v/>
      </c>
      <c r="L163" s="37">
        <f>IF($K163="","",INDEX('سجل التحفيز'!$A$5:$A$2004,MATCH($K163,'سجل التحفيز'!$AA$5:$AA$2004,0)))</f>
        <v/>
      </c>
      <c r="M163" s="9">
        <f>IF($K163="","",INDEX('سجل التحفيز'!$B$5:$B$2004,MATCH($K163,'سجل التحفيز'!$AA$5:$AA$2004,0)))</f>
        <v/>
      </c>
      <c r="N163" s="9">
        <f>IF($K163="","",INDEX('سجل التحفيز'!$M$5:$M$2004,MATCH($K163,'سجل التحفيز'!$AA$5:$AA$2004,0)))</f>
        <v/>
      </c>
      <c r="O163" s="9">
        <f>IF($K163="","",INDEX('سجل التحفيز'!$C$5:$C$2004,MATCH($K163,'سجل التحفيز'!$AA$5:$AA$2004,0)))</f>
        <v/>
      </c>
      <c r="P163" s="36">
        <f>IF($K163="","",INDEX('سجل التحفيز'!$D$5:$D$2004,MATCH($K163,'سجل التحفيز'!$AA$5:$AA$2004,0)))</f>
        <v/>
      </c>
      <c r="Q163" s="9">
        <f>IF($K163="","",INDEX('سجل التحفيز'!$E$5:$E$2004,MATCH($K163,'سجل التحفيز'!$AA$5:$AA$2004,0)))</f>
        <v/>
      </c>
      <c r="R163" s="9">
        <f>IF($K163="","",INDEX('سجل التحفيز'!$F$5:$F$2004,MATCH($K163,'سجل التحفيز'!$AA$5:$AA$2004,0)))</f>
        <v/>
      </c>
      <c r="S163" s="35">
        <f>IF($K163="","",INDEX('سجل التحفيز'!$G$5:$G$2004,MATCH($K163,'سجل التحفيز'!$AA$5:$AA$2004,0)))</f>
        <v/>
      </c>
    </row>
    <row r="164">
      <c r="B164" s="34">
        <f>IFERROR(INDEX(الموظفات!$B$5:$B$304,MATCH(127,الموظفات!$U$5:$U$304,0)),"")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التحفيز'!$AA$5:$AA$2004,"&gt;0",'سجل التحفيز'!$B$5:$B$2004,B164))</f>
        <v/>
      </c>
      <c r="E164" s="35">
        <f>IF(B164="","",COUNTIFS('سجل التحفيز'!$AA$5:$AA$2004,"&gt;0",'سجل التحفيز'!$B$5:$B$2004,B164,'سجل التحفيز'!$D$5:$D$2004,"ذهبي"))</f>
        <v/>
      </c>
      <c r="F164" s="35">
        <f>IF(B164="","",SUMIFS('سجل التحفيز'!$G$5:$G$2004,'سجل التحفيز'!$AA$5:$AA$2004,"&gt;0",'سجل التحفيز'!$B$5:$B$2004,B164))</f>
        <v/>
      </c>
      <c r="G164" s="35">
        <f>IF(B164="","",COUNTIF($D$38:$D$187,"&gt;"&amp;D164)+1)</f>
        <v/>
      </c>
      <c r="H164" s="35">
        <f>IF(B164="","",INDEX(الموظفات!$L$5:$L$304,MATCH(B164,الموظفات!$B$5:$B$304,0)))</f>
        <v/>
      </c>
      <c r="K164" s="36">
        <f>IF(127&gt;$B$10,"",127)</f>
        <v/>
      </c>
      <c r="L164" s="37">
        <f>IF($K164="","",INDEX('سجل التحفيز'!$A$5:$A$2004,MATCH($K164,'سجل التحفيز'!$AA$5:$AA$2004,0)))</f>
        <v/>
      </c>
      <c r="M164" s="9">
        <f>IF($K164="","",INDEX('سجل التحفيز'!$B$5:$B$2004,MATCH($K164,'سجل التحفيز'!$AA$5:$AA$2004,0)))</f>
        <v/>
      </c>
      <c r="N164" s="9">
        <f>IF($K164="","",INDEX('سجل التحفيز'!$M$5:$M$2004,MATCH($K164,'سجل التحفيز'!$AA$5:$AA$2004,0)))</f>
        <v/>
      </c>
      <c r="O164" s="9">
        <f>IF($K164="","",INDEX('سجل التحفيز'!$C$5:$C$2004,MATCH($K164,'سجل التحفيز'!$AA$5:$AA$2004,0)))</f>
        <v/>
      </c>
      <c r="P164" s="36">
        <f>IF($K164="","",INDEX('سجل التحفيز'!$D$5:$D$2004,MATCH($K164,'سجل التحفيز'!$AA$5:$AA$2004,0)))</f>
        <v/>
      </c>
      <c r="Q164" s="9">
        <f>IF($K164="","",INDEX('سجل التحفيز'!$E$5:$E$2004,MATCH($K164,'سجل التحفيز'!$AA$5:$AA$2004,0)))</f>
        <v/>
      </c>
      <c r="R164" s="9">
        <f>IF($K164="","",INDEX('سجل التحفيز'!$F$5:$F$2004,MATCH($K164,'سجل التحفيز'!$AA$5:$AA$2004,0)))</f>
        <v/>
      </c>
      <c r="S164" s="35">
        <f>IF($K164="","",INDEX('سجل التحفيز'!$G$5:$G$2004,MATCH($K164,'سجل التحفيز'!$AA$5:$AA$2004,0)))</f>
        <v/>
      </c>
    </row>
    <row r="165">
      <c r="B165" s="34">
        <f>IFERROR(INDEX(الموظفات!$B$5:$B$304,MATCH(128,الموظفات!$U$5:$U$304,0)),"")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التحفيز'!$AA$5:$AA$2004,"&gt;0",'سجل التحفيز'!$B$5:$B$2004,B165))</f>
        <v/>
      </c>
      <c r="E165" s="35">
        <f>IF(B165="","",COUNTIFS('سجل التحفيز'!$AA$5:$AA$2004,"&gt;0",'سجل التحفيز'!$B$5:$B$2004,B165,'سجل التحفيز'!$D$5:$D$2004,"ذهبي"))</f>
        <v/>
      </c>
      <c r="F165" s="35">
        <f>IF(B165="","",SUMIFS('سجل التحفيز'!$G$5:$G$2004,'سجل التحفيز'!$AA$5:$AA$2004,"&gt;0",'سجل التحفيز'!$B$5:$B$2004,B165))</f>
        <v/>
      </c>
      <c r="G165" s="35">
        <f>IF(B165="","",COUNTIF($D$38:$D$187,"&gt;"&amp;D165)+1)</f>
        <v/>
      </c>
      <c r="H165" s="35">
        <f>IF(B165="","",INDEX(الموظفات!$L$5:$L$304,MATCH(B165,الموظفات!$B$5:$B$304,0)))</f>
        <v/>
      </c>
      <c r="K165" s="36">
        <f>IF(128&gt;$B$10,"",128)</f>
        <v/>
      </c>
      <c r="L165" s="37">
        <f>IF($K165="","",INDEX('سجل التحفيز'!$A$5:$A$2004,MATCH($K165,'سجل التحفيز'!$AA$5:$AA$2004,0)))</f>
        <v/>
      </c>
      <c r="M165" s="9">
        <f>IF($K165="","",INDEX('سجل التحفيز'!$B$5:$B$2004,MATCH($K165,'سجل التحفيز'!$AA$5:$AA$2004,0)))</f>
        <v/>
      </c>
      <c r="N165" s="9">
        <f>IF($K165="","",INDEX('سجل التحفيز'!$M$5:$M$2004,MATCH($K165,'سجل التحفيز'!$AA$5:$AA$2004,0)))</f>
        <v/>
      </c>
      <c r="O165" s="9">
        <f>IF($K165="","",INDEX('سجل التحفيز'!$C$5:$C$2004,MATCH($K165,'سجل التحفيز'!$AA$5:$AA$2004,0)))</f>
        <v/>
      </c>
      <c r="P165" s="36">
        <f>IF($K165="","",INDEX('سجل التحفيز'!$D$5:$D$2004,MATCH($K165,'سجل التحفيز'!$AA$5:$AA$2004,0)))</f>
        <v/>
      </c>
      <c r="Q165" s="9">
        <f>IF($K165="","",INDEX('سجل التحفيز'!$E$5:$E$2004,MATCH($K165,'سجل التحفيز'!$AA$5:$AA$2004,0)))</f>
        <v/>
      </c>
      <c r="R165" s="9">
        <f>IF($K165="","",INDEX('سجل التحفيز'!$F$5:$F$2004,MATCH($K165,'سجل التحفيز'!$AA$5:$AA$2004,0)))</f>
        <v/>
      </c>
      <c r="S165" s="35">
        <f>IF($K165="","",INDEX('سجل التحفيز'!$G$5:$G$2004,MATCH($K165,'سجل التحفيز'!$AA$5:$AA$2004,0)))</f>
        <v/>
      </c>
    </row>
    <row r="166">
      <c r="B166" s="34">
        <f>IFERROR(INDEX(الموظفات!$B$5:$B$304,MATCH(129,الموظفات!$U$5:$U$304,0)),"")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التحفيز'!$AA$5:$AA$2004,"&gt;0",'سجل التحفيز'!$B$5:$B$2004,B166))</f>
        <v/>
      </c>
      <c r="E166" s="35">
        <f>IF(B166="","",COUNTIFS('سجل التحفيز'!$AA$5:$AA$2004,"&gt;0",'سجل التحفيز'!$B$5:$B$2004,B166,'سجل التحفيز'!$D$5:$D$2004,"ذهبي"))</f>
        <v/>
      </c>
      <c r="F166" s="35">
        <f>IF(B166="","",SUMIFS('سجل التحفيز'!$G$5:$G$2004,'سجل التحفيز'!$AA$5:$AA$2004,"&gt;0",'سجل التحفيز'!$B$5:$B$2004,B166))</f>
        <v/>
      </c>
      <c r="G166" s="35">
        <f>IF(B166="","",COUNTIF($D$38:$D$187,"&gt;"&amp;D166)+1)</f>
        <v/>
      </c>
      <c r="H166" s="35">
        <f>IF(B166="","",INDEX(الموظفات!$L$5:$L$304,MATCH(B166,الموظفات!$B$5:$B$304,0)))</f>
        <v/>
      </c>
      <c r="K166" s="36">
        <f>IF(129&gt;$B$10,"",129)</f>
        <v/>
      </c>
      <c r="L166" s="37">
        <f>IF($K166="","",INDEX('سجل التحفيز'!$A$5:$A$2004,MATCH($K166,'سجل التحفيز'!$AA$5:$AA$2004,0)))</f>
        <v/>
      </c>
      <c r="M166" s="9">
        <f>IF($K166="","",INDEX('سجل التحفيز'!$B$5:$B$2004,MATCH($K166,'سجل التحفيز'!$AA$5:$AA$2004,0)))</f>
        <v/>
      </c>
      <c r="N166" s="9">
        <f>IF($K166="","",INDEX('سجل التحفيز'!$M$5:$M$2004,MATCH($K166,'سجل التحفيز'!$AA$5:$AA$2004,0)))</f>
        <v/>
      </c>
      <c r="O166" s="9">
        <f>IF($K166="","",INDEX('سجل التحفيز'!$C$5:$C$2004,MATCH($K166,'سجل التحفيز'!$AA$5:$AA$2004,0)))</f>
        <v/>
      </c>
      <c r="P166" s="36">
        <f>IF($K166="","",INDEX('سجل التحفيز'!$D$5:$D$2004,MATCH($K166,'سجل التحفيز'!$AA$5:$AA$2004,0)))</f>
        <v/>
      </c>
      <c r="Q166" s="9">
        <f>IF($K166="","",INDEX('سجل التحفيز'!$E$5:$E$2004,MATCH($K166,'سجل التحفيز'!$AA$5:$AA$2004,0)))</f>
        <v/>
      </c>
      <c r="R166" s="9">
        <f>IF($K166="","",INDEX('سجل التحفيز'!$F$5:$F$2004,MATCH($K166,'سجل التحفيز'!$AA$5:$AA$2004,0)))</f>
        <v/>
      </c>
      <c r="S166" s="35">
        <f>IF($K166="","",INDEX('سجل التحفيز'!$G$5:$G$2004,MATCH($K166,'سجل التحفيز'!$AA$5:$AA$2004,0)))</f>
        <v/>
      </c>
    </row>
    <row r="167">
      <c r="B167" s="34">
        <f>IFERROR(INDEX(الموظفات!$B$5:$B$304,MATCH(130,الموظفات!$U$5:$U$304,0)),"")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التحفيز'!$AA$5:$AA$2004,"&gt;0",'سجل التحفيز'!$B$5:$B$2004,B167))</f>
        <v/>
      </c>
      <c r="E167" s="35">
        <f>IF(B167="","",COUNTIFS('سجل التحفيز'!$AA$5:$AA$2004,"&gt;0",'سجل التحفيز'!$B$5:$B$2004,B167,'سجل التحفيز'!$D$5:$D$2004,"ذهبي"))</f>
        <v/>
      </c>
      <c r="F167" s="35">
        <f>IF(B167="","",SUMIFS('سجل التحفيز'!$G$5:$G$2004,'سجل التحفيز'!$AA$5:$AA$2004,"&gt;0",'سجل التحفيز'!$B$5:$B$2004,B167))</f>
        <v/>
      </c>
      <c r="G167" s="35">
        <f>IF(B167="","",COUNTIF($D$38:$D$187,"&gt;"&amp;D167)+1)</f>
        <v/>
      </c>
      <c r="H167" s="35">
        <f>IF(B167="","",INDEX(الموظفات!$L$5:$L$304,MATCH(B167,الموظفات!$B$5:$B$304,0)))</f>
        <v/>
      </c>
      <c r="K167" s="36">
        <f>IF(130&gt;$B$10,"",130)</f>
        <v/>
      </c>
      <c r="L167" s="37">
        <f>IF($K167="","",INDEX('سجل التحفيز'!$A$5:$A$2004,MATCH($K167,'سجل التحفيز'!$AA$5:$AA$2004,0)))</f>
        <v/>
      </c>
      <c r="M167" s="9">
        <f>IF($K167="","",INDEX('سجل التحفيز'!$B$5:$B$2004,MATCH($K167,'سجل التحفيز'!$AA$5:$AA$2004,0)))</f>
        <v/>
      </c>
      <c r="N167" s="9">
        <f>IF($K167="","",INDEX('سجل التحفيز'!$M$5:$M$2004,MATCH($K167,'سجل التحفيز'!$AA$5:$AA$2004,0)))</f>
        <v/>
      </c>
      <c r="O167" s="9">
        <f>IF($K167="","",INDEX('سجل التحفيز'!$C$5:$C$2004,MATCH($K167,'سجل التحفيز'!$AA$5:$AA$2004,0)))</f>
        <v/>
      </c>
      <c r="P167" s="36">
        <f>IF($K167="","",INDEX('سجل التحفيز'!$D$5:$D$2004,MATCH($K167,'سجل التحفيز'!$AA$5:$AA$2004,0)))</f>
        <v/>
      </c>
      <c r="Q167" s="9">
        <f>IF($K167="","",INDEX('سجل التحفيز'!$E$5:$E$2004,MATCH($K167,'سجل التحفيز'!$AA$5:$AA$2004,0)))</f>
        <v/>
      </c>
      <c r="R167" s="9">
        <f>IF($K167="","",INDEX('سجل التحفيز'!$F$5:$F$2004,MATCH($K167,'سجل التحفيز'!$AA$5:$AA$2004,0)))</f>
        <v/>
      </c>
      <c r="S167" s="35">
        <f>IF($K167="","",INDEX('سجل التحفيز'!$G$5:$G$2004,MATCH($K167,'سجل التحفيز'!$AA$5:$AA$2004,0)))</f>
        <v/>
      </c>
    </row>
    <row r="168">
      <c r="B168" s="34">
        <f>IFERROR(INDEX(الموظفات!$B$5:$B$304,MATCH(131,الموظفات!$U$5:$U$304,0)),"")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التحفيز'!$AA$5:$AA$2004,"&gt;0",'سجل التحفيز'!$B$5:$B$2004,B168))</f>
        <v/>
      </c>
      <c r="E168" s="35">
        <f>IF(B168="","",COUNTIFS('سجل التحفيز'!$AA$5:$AA$2004,"&gt;0",'سجل التحفيز'!$B$5:$B$2004,B168,'سجل التحفيز'!$D$5:$D$2004,"ذهبي"))</f>
        <v/>
      </c>
      <c r="F168" s="35">
        <f>IF(B168="","",SUMIFS('سجل التحفيز'!$G$5:$G$2004,'سجل التحفيز'!$AA$5:$AA$2004,"&gt;0",'سجل التحفيز'!$B$5:$B$2004,B168))</f>
        <v/>
      </c>
      <c r="G168" s="35">
        <f>IF(B168="","",COUNTIF($D$38:$D$187,"&gt;"&amp;D168)+1)</f>
        <v/>
      </c>
      <c r="H168" s="35">
        <f>IF(B168="","",INDEX(الموظفات!$L$5:$L$304,MATCH(B168,الموظفات!$B$5:$B$304,0)))</f>
        <v/>
      </c>
      <c r="K168" s="36">
        <f>IF(131&gt;$B$10,"",131)</f>
        <v/>
      </c>
      <c r="L168" s="37">
        <f>IF($K168="","",INDEX('سجل التحفيز'!$A$5:$A$2004,MATCH($K168,'سجل التحفيز'!$AA$5:$AA$2004,0)))</f>
        <v/>
      </c>
      <c r="M168" s="9">
        <f>IF($K168="","",INDEX('سجل التحفيز'!$B$5:$B$2004,MATCH($K168,'سجل التحفيز'!$AA$5:$AA$2004,0)))</f>
        <v/>
      </c>
      <c r="N168" s="9">
        <f>IF($K168="","",INDEX('سجل التحفيز'!$M$5:$M$2004,MATCH($K168,'سجل التحفيز'!$AA$5:$AA$2004,0)))</f>
        <v/>
      </c>
      <c r="O168" s="9">
        <f>IF($K168="","",INDEX('سجل التحفيز'!$C$5:$C$2004,MATCH($K168,'سجل التحفيز'!$AA$5:$AA$2004,0)))</f>
        <v/>
      </c>
      <c r="P168" s="36">
        <f>IF($K168="","",INDEX('سجل التحفيز'!$D$5:$D$2004,MATCH($K168,'سجل التحفيز'!$AA$5:$AA$2004,0)))</f>
        <v/>
      </c>
      <c r="Q168" s="9">
        <f>IF($K168="","",INDEX('سجل التحفيز'!$E$5:$E$2004,MATCH($K168,'سجل التحفيز'!$AA$5:$AA$2004,0)))</f>
        <v/>
      </c>
      <c r="R168" s="9">
        <f>IF($K168="","",INDEX('سجل التحفيز'!$F$5:$F$2004,MATCH($K168,'سجل التحفيز'!$AA$5:$AA$2004,0)))</f>
        <v/>
      </c>
      <c r="S168" s="35">
        <f>IF($K168="","",INDEX('سجل التحفيز'!$G$5:$G$2004,MATCH($K168,'سجل التحفيز'!$AA$5:$AA$2004,0)))</f>
        <v/>
      </c>
    </row>
    <row r="169">
      <c r="B169" s="34">
        <f>IFERROR(INDEX(الموظفات!$B$5:$B$304,MATCH(132,الموظفات!$U$5:$U$304,0)),"")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التحفيز'!$AA$5:$AA$2004,"&gt;0",'سجل التحفيز'!$B$5:$B$2004,B169))</f>
        <v/>
      </c>
      <c r="E169" s="35">
        <f>IF(B169="","",COUNTIFS('سجل التحفيز'!$AA$5:$AA$2004,"&gt;0",'سجل التحفيز'!$B$5:$B$2004,B169,'سجل التحفيز'!$D$5:$D$2004,"ذهبي"))</f>
        <v/>
      </c>
      <c r="F169" s="35">
        <f>IF(B169="","",SUMIFS('سجل التحفيز'!$G$5:$G$2004,'سجل التحفيز'!$AA$5:$AA$2004,"&gt;0",'سجل التحفيز'!$B$5:$B$2004,B169))</f>
        <v/>
      </c>
      <c r="G169" s="35">
        <f>IF(B169="","",COUNTIF($D$38:$D$187,"&gt;"&amp;D169)+1)</f>
        <v/>
      </c>
      <c r="H169" s="35">
        <f>IF(B169="","",INDEX(الموظفات!$L$5:$L$304,MATCH(B169,الموظفات!$B$5:$B$304,0)))</f>
        <v/>
      </c>
      <c r="K169" s="36">
        <f>IF(132&gt;$B$10,"",132)</f>
        <v/>
      </c>
      <c r="L169" s="37">
        <f>IF($K169="","",INDEX('سجل التحفيز'!$A$5:$A$2004,MATCH($K169,'سجل التحفيز'!$AA$5:$AA$2004,0)))</f>
        <v/>
      </c>
      <c r="M169" s="9">
        <f>IF($K169="","",INDEX('سجل التحفيز'!$B$5:$B$2004,MATCH($K169,'سجل التحفيز'!$AA$5:$AA$2004,0)))</f>
        <v/>
      </c>
      <c r="N169" s="9">
        <f>IF($K169="","",INDEX('سجل التحفيز'!$M$5:$M$2004,MATCH($K169,'سجل التحفيز'!$AA$5:$AA$2004,0)))</f>
        <v/>
      </c>
      <c r="O169" s="9">
        <f>IF($K169="","",INDEX('سجل التحفيز'!$C$5:$C$2004,MATCH($K169,'سجل التحفيز'!$AA$5:$AA$2004,0)))</f>
        <v/>
      </c>
      <c r="P169" s="36">
        <f>IF($K169="","",INDEX('سجل التحفيز'!$D$5:$D$2004,MATCH($K169,'سجل التحفيز'!$AA$5:$AA$2004,0)))</f>
        <v/>
      </c>
      <c r="Q169" s="9">
        <f>IF($K169="","",INDEX('سجل التحفيز'!$E$5:$E$2004,MATCH($K169,'سجل التحفيز'!$AA$5:$AA$2004,0)))</f>
        <v/>
      </c>
      <c r="R169" s="9">
        <f>IF($K169="","",INDEX('سجل التحفيز'!$F$5:$F$2004,MATCH($K169,'سجل التحفيز'!$AA$5:$AA$2004,0)))</f>
        <v/>
      </c>
      <c r="S169" s="35">
        <f>IF($K169="","",INDEX('سجل التحفيز'!$G$5:$G$2004,MATCH($K169,'سجل التحفيز'!$AA$5:$AA$2004,0)))</f>
        <v/>
      </c>
    </row>
    <row r="170">
      <c r="B170" s="34">
        <f>IFERROR(INDEX(الموظفات!$B$5:$B$304,MATCH(133,الموظفات!$U$5:$U$304,0)),"")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التحفيز'!$AA$5:$AA$2004,"&gt;0",'سجل التحفيز'!$B$5:$B$2004,B170))</f>
        <v/>
      </c>
      <c r="E170" s="35">
        <f>IF(B170="","",COUNTIFS('سجل التحفيز'!$AA$5:$AA$2004,"&gt;0",'سجل التحفيز'!$B$5:$B$2004,B170,'سجل التحفيز'!$D$5:$D$2004,"ذهبي"))</f>
        <v/>
      </c>
      <c r="F170" s="35">
        <f>IF(B170="","",SUMIFS('سجل التحفيز'!$G$5:$G$2004,'سجل التحفيز'!$AA$5:$AA$2004,"&gt;0",'سجل التحفيز'!$B$5:$B$2004,B170))</f>
        <v/>
      </c>
      <c r="G170" s="35">
        <f>IF(B170="","",COUNTIF($D$38:$D$187,"&gt;"&amp;D170)+1)</f>
        <v/>
      </c>
      <c r="H170" s="35">
        <f>IF(B170="","",INDEX(الموظفات!$L$5:$L$304,MATCH(B170,الموظفات!$B$5:$B$304,0)))</f>
        <v/>
      </c>
      <c r="K170" s="36">
        <f>IF(133&gt;$B$10,"",133)</f>
        <v/>
      </c>
      <c r="L170" s="37">
        <f>IF($K170="","",INDEX('سجل التحفيز'!$A$5:$A$2004,MATCH($K170,'سجل التحفيز'!$AA$5:$AA$2004,0)))</f>
        <v/>
      </c>
      <c r="M170" s="9">
        <f>IF($K170="","",INDEX('سجل التحفيز'!$B$5:$B$2004,MATCH($K170,'سجل التحفيز'!$AA$5:$AA$2004,0)))</f>
        <v/>
      </c>
      <c r="N170" s="9">
        <f>IF($K170="","",INDEX('سجل التحفيز'!$M$5:$M$2004,MATCH($K170,'سجل التحفيز'!$AA$5:$AA$2004,0)))</f>
        <v/>
      </c>
      <c r="O170" s="9">
        <f>IF($K170="","",INDEX('سجل التحفيز'!$C$5:$C$2004,MATCH($K170,'سجل التحفيز'!$AA$5:$AA$2004,0)))</f>
        <v/>
      </c>
      <c r="P170" s="36">
        <f>IF($K170="","",INDEX('سجل التحفيز'!$D$5:$D$2004,MATCH($K170,'سجل التحفيز'!$AA$5:$AA$2004,0)))</f>
        <v/>
      </c>
      <c r="Q170" s="9">
        <f>IF($K170="","",INDEX('سجل التحفيز'!$E$5:$E$2004,MATCH($K170,'سجل التحفيز'!$AA$5:$AA$2004,0)))</f>
        <v/>
      </c>
      <c r="R170" s="9">
        <f>IF($K170="","",INDEX('سجل التحفيز'!$F$5:$F$2004,MATCH($K170,'سجل التحفيز'!$AA$5:$AA$2004,0)))</f>
        <v/>
      </c>
      <c r="S170" s="35">
        <f>IF($K170="","",INDEX('سجل التحفيز'!$G$5:$G$2004,MATCH($K170,'سجل التحفيز'!$AA$5:$AA$2004,0)))</f>
        <v/>
      </c>
    </row>
    <row r="171">
      <c r="B171" s="34">
        <f>IFERROR(INDEX(الموظفات!$B$5:$B$304,MATCH(134,الموظفات!$U$5:$U$304,0)),"")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التحفيز'!$AA$5:$AA$2004,"&gt;0",'سجل التحفيز'!$B$5:$B$2004,B171))</f>
        <v/>
      </c>
      <c r="E171" s="35">
        <f>IF(B171="","",COUNTIFS('سجل التحفيز'!$AA$5:$AA$2004,"&gt;0",'سجل التحفيز'!$B$5:$B$2004,B171,'سجل التحفيز'!$D$5:$D$2004,"ذهبي"))</f>
        <v/>
      </c>
      <c r="F171" s="35">
        <f>IF(B171="","",SUMIFS('سجل التحفيز'!$G$5:$G$2004,'سجل التحفيز'!$AA$5:$AA$2004,"&gt;0",'سجل التحفيز'!$B$5:$B$2004,B171))</f>
        <v/>
      </c>
      <c r="G171" s="35">
        <f>IF(B171="","",COUNTIF($D$38:$D$187,"&gt;"&amp;D171)+1)</f>
        <v/>
      </c>
      <c r="H171" s="35">
        <f>IF(B171="","",INDEX(الموظفات!$L$5:$L$304,MATCH(B171,الموظفات!$B$5:$B$304,0)))</f>
        <v/>
      </c>
      <c r="K171" s="36">
        <f>IF(134&gt;$B$10,"",134)</f>
        <v/>
      </c>
      <c r="L171" s="37">
        <f>IF($K171="","",INDEX('سجل التحفيز'!$A$5:$A$2004,MATCH($K171,'سجل التحفيز'!$AA$5:$AA$2004,0)))</f>
        <v/>
      </c>
      <c r="M171" s="9">
        <f>IF($K171="","",INDEX('سجل التحفيز'!$B$5:$B$2004,MATCH($K171,'سجل التحفيز'!$AA$5:$AA$2004,0)))</f>
        <v/>
      </c>
      <c r="N171" s="9">
        <f>IF($K171="","",INDEX('سجل التحفيز'!$M$5:$M$2004,MATCH($K171,'سجل التحفيز'!$AA$5:$AA$2004,0)))</f>
        <v/>
      </c>
      <c r="O171" s="9">
        <f>IF($K171="","",INDEX('سجل التحفيز'!$C$5:$C$2004,MATCH($K171,'سجل التحفيز'!$AA$5:$AA$2004,0)))</f>
        <v/>
      </c>
      <c r="P171" s="36">
        <f>IF($K171="","",INDEX('سجل التحفيز'!$D$5:$D$2004,MATCH($K171,'سجل التحفيز'!$AA$5:$AA$2004,0)))</f>
        <v/>
      </c>
      <c r="Q171" s="9">
        <f>IF($K171="","",INDEX('سجل التحفيز'!$E$5:$E$2004,MATCH($K171,'سجل التحفيز'!$AA$5:$AA$2004,0)))</f>
        <v/>
      </c>
      <c r="R171" s="9">
        <f>IF($K171="","",INDEX('سجل التحفيز'!$F$5:$F$2004,MATCH($K171,'سجل التحفيز'!$AA$5:$AA$2004,0)))</f>
        <v/>
      </c>
      <c r="S171" s="35">
        <f>IF($K171="","",INDEX('سجل التحفيز'!$G$5:$G$2004,MATCH($K171,'سجل التحفيز'!$AA$5:$AA$2004,0)))</f>
        <v/>
      </c>
    </row>
    <row r="172">
      <c r="B172" s="34">
        <f>IFERROR(INDEX(الموظفات!$B$5:$B$304,MATCH(135,الموظفات!$U$5:$U$304,0)),"")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التحفيز'!$AA$5:$AA$2004,"&gt;0",'سجل التحفيز'!$B$5:$B$2004,B172))</f>
        <v/>
      </c>
      <c r="E172" s="35">
        <f>IF(B172="","",COUNTIFS('سجل التحفيز'!$AA$5:$AA$2004,"&gt;0",'سجل التحفيز'!$B$5:$B$2004,B172,'سجل التحفيز'!$D$5:$D$2004,"ذهبي"))</f>
        <v/>
      </c>
      <c r="F172" s="35">
        <f>IF(B172="","",SUMIFS('سجل التحفيز'!$G$5:$G$2004,'سجل التحفيز'!$AA$5:$AA$2004,"&gt;0",'سجل التحفيز'!$B$5:$B$2004,B172))</f>
        <v/>
      </c>
      <c r="G172" s="35">
        <f>IF(B172="","",COUNTIF($D$38:$D$187,"&gt;"&amp;D172)+1)</f>
        <v/>
      </c>
      <c r="H172" s="35">
        <f>IF(B172="","",INDEX(الموظفات!$L$5:$L$304,MATCH(B172,الموظفات!$B$5:$B$304,0)))</f>
        <v/>
      </c>
      <c r="K172" s="36">
        <f>IF(135&gt;$B$10,"",135)</f>
        <v/>
      </c>
      <c r="L172" s="37">
        <f>IF($K172="","",INDEX('سجل التحفيز'!$A$5:$A$2004,MATCH($K172,'سجل التحفيز'!$AA$5:$AA$2004,0)))</f>
        <v/>
      </c>
      <c r="M172" s="9">
        <f>IF($K172="","",INDEX('سجل التحفيز'!$B$5:$B$2004,MATCH($K172,'سجل التحفيز'!$AA$5:$AA$2004,0)))</f>
        <v/>
      </c>
      <c r="N172" s="9">
        <f>IF($K172="","",INDEX('سجل التحفيز'!$M$5:$M$2004,MATCH($K172,'سجل التحفيز'!$AA$5:$AA$2004,0)))</f>
        <v/>
      </c>
      <c r="O172" s="9">
        <f>IF($K172="","",INDEX('سجل التحفيز'!$C$5:$C$2004,MATCH($K172,'سجل التحفيز'!$AA$5:$AA$2004,0)))</f>
        <v/>
      </c>
      <c r="P172" s="36">
        <f>IF($K172="","",INDEX('سجل التحفيز'!$D$5:$D$2004,MATCH($K172,'سجل التحفيز'!$AA$5:$AA$2004,0)))</f>
        <v/>
      </c>
      <c r="Q172" s="9">
        <f>IF($K172="","",INDEX('سجل التحفيز'!$E$5:$E$2004,MATCH($K172,'سجل التحفيز'!$AA$5:$AA$2004,0)))</f>
        <v/>
      </c>
      <c r="R172" s="9">
        <f>IF($K172="","",INDEX('سجل التحفيز'!$F$5:$F$2004,MATCH($K172,'سجل التحفيز'!$AA$5:$AA$2004,0)))</f>
        <v/>
      </c>
      <c r="S172" s="35">
        <f>IF($K172="","",INDEX('سجل التحفيز'!$G$5:$G$2004,MATCH($K172,'سجل التحفيز'!$AA$5:$AA$2004,0)))</f>
        <v/>
      </c>
    </row>
    <row r="173">
      <c r="B173" s="34">
        <f>IFERROR(INDEX(الموظفات!$B$5:$B$304,MATCH(136,الموظفات!$U$5:$U$304,0)),"")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التحفيز'!$AA$5:$AA$2004,"&gt;0",'سجل التحفيز'!$B$5:$B$2004,B173))</f>
        <v/>
      </c>
      <c r="E173" s="35">
        <f>IF(B173="","",COUNTIFS('سجل التحفيز'!$AA$5:$AA$2004,"&gt;0",'سجل التحفيز'!$B$5:$B$2004,B173,'سجل التحفيز'!$D$5:$D$2004,"ذهبي"))</f>
        <v/>
      </c>
      <c r="F173" s="35">
        <f>IF(B173="","",SUMIFS('سجل التحفيز'!$G$5:$G$2004,'سجل التحفيز'!$AA$5:$AA$2004,"&gt;0",'سجل التحفيز'!$B$5:$B$2004,B173))</f>
        <v/>
      </c>
      <c r="G173" s="35">
        <f>IF(B173="","",COUNTIF($D$38:$D$187,"&gt;"&amp;D173)+1)</f>
        <v/>
      </c>
      <c r="H173" s="35">
        <f>IF(B173="","",INDEX(الموظفات!$L$5:$L$304,MATCH(B173,الموظفات!$B$5:$B$304,0)))</f>
        <v/>
      </c>
      <c r="K173" s="36">
        <f>IF(136&gt;$B$10,"",136)</f>
        <v/>
      </c>
      <c r="L173" s="37">
        <f>IF($K173="","",INDEX('سجل التحفيز'!$A$5:$A$2004,MATCH($K173,'سجل التحفيز'!$AA$5:$AA$2004,0)))</f>
        <v/>
      </c>
      <c r="M173" s="9">
        <f>IF($K173="","",INDEX('سجل التحفيز'!$B$5:$B$2004,MATCH($K173,'سجل التحفيز'!$AA$5:$AA$2004,0)))</f>
        <v/>
      </c>
      <c r="N173" s="9">
        <f>IF($K173="","",INDEX('سجل التحفيز'!$M$5:$M$2004,MATCH($K173,'سجل التحفيز'!$AA$5:$AA$2004,0)))</f>
        <v/>
      </c>
      <c r="O173" s="9">
        <f>IF($K173="","",INDEX('سجل التحفيز'!$C$5:$C$2004,MATCH($K173,'سجل التحفيز'!$AA$5:$AA$2004,0)))</f>
        <v/>
      </c>
      <c r="P173" s="36">
        <f>IF($K173="","",INDEX('سجل التحفيز'!$D$5:$D$2004,MATCH($K173,'سجل التحفيز'!$AA$5:$AA$2004,0)))</f>
        <v/>
      </c>
      <c r="Q173" s="9">
        <f>IF($K173="","",INDEX('سجل التحفيز'!$E$5:$E$2004,MATCH($K173,'سجل التحفيز'!$AA$5:$AA$2004,0)))</f>
        <v/>
      </c>
      <c r="R173" s="9">
        <f>IF($K173="","",INDEX('سجل التحفيز'!$F$5:$F$2004,MATCH($K173,'سجل التحفيز'!$AA$5:$AA$2004,0)))</f>
        <v/>
      </c>
      <c r="S173" s="35">
        <f>IF($K173="","",INDEX('سجل التحفيز'!$G$5:$G$2004,MATCH($K173,'سجل التحفيز'!$AA$5:$AA$2004,0)))</f>
        <v/>
      </c>
    </row>
    <row r="174">
      <c r="B174" s="34">
        <f>IFERROR(INDEX(الموظفات!$B$5:$B$304,MATCH(137,الموظفات!$U$5:$U$304,0)),"")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التحفيز'!$AA$5:$AA$2004,"&gt;0",'سجل التحفيز'!$B$5:$B$2004,B174))</f>
        <v/>
      </c>
      <c r="E174" s="35">
        <f>IF(B174="","",COUNTIFS('سجل التحفيز'!$AA$5:$AA$2004,"&gt;0",'سجل التحفيز'!$B$5:$B$2004,B174,'سجل التحفيز'!$D$5:$D$2004,"ذهبي"))</f>
        <v/>
      </c>
      <c r="F174" s="35">
        <f>IF(B174="","",SUMIFS('سجل التحفيز'!$G$5:$G$2004,'سجل التحفيز'!$AA$5:$AA$2004,"&gt;0",'سجل التحفيز'!$B$5:$B$2004,B174))</f>
        <v/>
      </c>
      <c r="G174" s="35">
        <f>IF(B174="","",COUNTIF($D$38:$D$187,"&gt;"&amp;D174)+1)</f>
        <v/>
      </c>
      <c r="H174" s="35">
        <f>IF(B174="","",INDEX(الموظفات!$L$5:$L$304,MATCH(B174,الموظفات!$B$5:$B$304,0)))</f>
        <v/>
      </c>
      <c r="K174" s="36">
        <f>IF(137&gt;$B$10,"",137)</f>
        <v/>
      </c>
      <c r="L174" s="37">
        <f>IF($K174="","",INDEX('سجل التحفيز'!$A$5:$A$2004,MATCH($K174,'سجل التحفيز'!$AA$5:$AA$2004,0)))</f>
        <v/>
      </c>
      <c r="M174" s="9">
        <f>IF($K174="","",INDEX('سجل التحفيز'!$B$5:$B$2004,MATCH($K174,'سجل التحفيز'!$AA$5:$AA$2004,0)))</f>
        <v/>
      </c>
      <c r="N174" s="9">
        <f>IF($K174="","",INDEX('سجل التحفيز'!$M$5:$M$2004,MATCH($K174,'سجل التحفيز'!$AA$5:$AA$2004,0)))</f>
        <v/>
      </c>
      <c r="O174" s="9">
        <f>IF($K174="","",INDEX('سجل التحفيز'!$C$5:$C$2004,MATCH($K174,'سجل التحفيز'!$AA$5:$AA$2004,0)))</f>
        <v/>
      </c>
      <c r="P174" s="36">
        <f>IF($K174="","",INDEX('سجل التحفيز'!$D$5:$D$2004,MATCH($K174,'سجل التحفيز'!$AA$5:$AA$2004,0)))</f>
        <v/>
      </c>
      <c r="Q174" s="9">
        <f>IF($K174="","",INDEX('سجل التحفيز'!$E$5:$E$2004,MATCH($K174,'سجل التحفيز'!$AA$5:$AA$2004,0)))</f>
        <v/>
      </c>
      <c r="R174" s="9">
        <f>IF($K174="","",INDEX('سجل التحفيز'!$F$5:$F$2004,MATCH($K174,'سجل التحفيز'!$AA$5:$AA$2004,0)))</f>
        <v/>
      </c>
      <c r="S174" s="35">
        <f>IF($K174="","",INDEX('سجل التحفيز'!$G$5:$G$2004,MATCH($K174,'سجل التحفيز'!$AA$5:$AA$2004,0)))</f>
        <v/>
      </c>
    </row>
    <row r="175">
      <c r="B175" s="34">
        <f>IFERROR(INDEX(الموظفات!$B$5:$B$304,MATCH(138,الموظفات!$U$5:$U$304,0)),"")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التحفيز'!$AA$5:$AA$2004,"&gt;0",'سجل التحفيز'!$B$5:$B$2004,B175))</f>
        <v/>
      </c>
      <c r="E175" s="35">
        <f>IF(B175="","",COUNTIFS('سجل التحفيز'!$AA$5:$AA$2004,"&gt;0",'سجل التحفيز'!$B$5:$B$2004,B175,'سجل التحفيز'!$D$5:$D$2004,"ذهبي"))</f>
        <v/>
      </c>
      <c r="F175" s="35">
        <f>IF(B175="","",SUMIFS('سجل التحفيز'!$G$5:$G$2004,'سجل التحفيز'!$AA$5:$AA$2004,"&gt;0",'سجل التحفيز'!$B$5:$B$2004,B175))</f>
        <v/>
      </c>
      <c r="G175" s="35">
        <f>IF(B175="","",COUNTIF($D$38:$D$187,"&gt;"&amp;D175)+1)</f>
        <v/>
      </c>
      <c r="H175" s="35">
        <f>IF(B175="","",INDEX(الموظفات!$L$5:$L$304,MATCH(B175,الموظفات!$B$5:$B$304,0)))</f>
        <v/>
      </c>
      <c r="K175" s="36">
        <f>IF(138&gt;$B$10,"",138)</f>
        <v/>
      </c>
      <c r="L175" s="37">
        <f>IF($K175="","",INDEX('سجل التحفيز'!$A$5:$A$2004,MATCH($K175,'سجل التحفيز'!$AA$5:$AA$2004,0)))</f>
        <v/>
      </c>
      <c r="M175" s="9">
        <f>IF($K175="","",INDEX('سجل التحفيز'!$B$5:$B$2004,MATCH($K175,'سجل التحفيز'!$AA$5:$AA$2004,0)))</f>
        <v/>
      </c>
      <c r="N175" s="9">
        <f>IF($K175="","",INDEX('سجل التحفيز'!$M$5:$M$2004,MATCH($K175,'سجل التحفيز'!$AA$5:$AA$2004,0)))</f>
        <v/>
      </c>
      <c r="O175" s="9">
        <f>IF($K175="","",INDEX('سجل التحفيز'!$C$5:$C$2004,MATCH($K175,'سجل التحفيز'!$AA$5:$AA$2004,0)))</f>
        <v/>
      </c>
      <c r="P175" s="36">
        <f>IF($K175="","",INDEX('سجل التحفيز'!$D$5:$D$2004,MATCH($K175,'سجل التحفيز'!$AA$5:$AA$2004,0)))</f>
        <v/>
      </c>
      <c r="Q175" s="9">
        <f>IF($K175="","",INDEX('سجل التحفيز'!$E$5:$E$2004,MATCH($K175,'سجل التحفيز'!$AA$5:$AA$2004,0)))</f>
        <v/>
      </c>
      <c r="R175" s="9">
        <f>IF($K175="","",INDEX('سجل التحفيز'!$F$5:$F$2004,MATCH($K175,'سجل التحفيز'!$AA$5:$AA$2004,0)))</f>
        <v/>
      </c>
      <c r="S175" s="35">
        <f>IF($K175="","",INDEX('سجل التحفيز'!$G$5:$G$2004,MATCH($K175,'سجل التحفيز'!$AA$5:$AA$2004,0)))</f>
        <v/>
      </c>
    </row>
    <row r="176">
      <c r="B176" s="34">
        <f>IFERROR(INDEX(الموظفات!$B$5:$B$304,MATCH(139,الموظفات!$U$5:$U$304,0)),"")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التحفيز'!$AA$5:$AA$2004,"&gt;0",'سجل التحفيز'!$B$5:$B$2004,B176))</f>
        <v/>
      </c>
      <c r="E176" s="35">
        <f>IF(B176="","",COUNTIFS('سجل التحفيز'!$AA$5:$AA$2004,"&gt;0",'سجل التحفيز'!$B$5:$B$2004,B176,'سجل التحفيز'!$D$5:$D$2004,"ذهبي"))</f>
        <v/>
      </c>
      <c r="F176" s="35">
        <f>IF(B176="","",SUMIFS('سجل التحفيز'!$G$5:$G$2004,'سجل التحفيز'!$AA$5:$AA$2004,"&gt;0",'سجل التحفيز'!$B$5:$B$2004,B176))</f>
        <v/>
      </c>
      <c r="G176" s="35">
        <f>IF(B176="","",COUNTIF($D$38:$D$187,"&gt;"&amp;D176)+1)</f>
        <v/>
      </c>
      <c r="H176" s="35">
        <f>IF(B176="","",INDEX(الموظفات!$L$5:$L$304,MATCH(B176,الموظفات!$B$5:$B$304,0)))</f>
        <v/>
      </c>
      <c r="K176" s="36">
        <f>IF(139&gt;$B$10,"",139)</f>
        <v/>
      </c>
      <c r="L176" s="37">
        <f>IF($K176="","",INDEX('سجل التحفيز'!$A$5:$A$2004,MATCH($K176,'سجل التحفيز'!$AA$5:$AA$2004,0)))</f>
        <v/>
      </c>
      <c r="M176" s="9">
        <f>IF($K176="","",INDEX('سجل التحفيز'!$B$5:$B$2004,MATCH($K176,'سجل التحفيز'!$AA$5:$AA$2004,0)))</f>
        <v/>
      </c>
      <c r="N176" s="9">
        <f>IF($K176="","",INDEX('سجل التحفيز'!$M$5:$M$2004,MATCH($K176,'سجل التحفيز'!$AA$5:$AA$2004,0)))</f>
        <v/>
      </c>
      <c r="O176" s="9">
        <f>IF($K176="","",INDEX('سجل التحفيز'!$C$5:$C$2004,MATCH($K176,'سجل التحفيز'!$AA$5:$AA$2004,0)))</f>
        <v/>
      </c>
      <c r="P176" s="36">
        <f>IF($K176="","",INDEX('سجل التحفيز'!$D$5:$D$2004,MATCH($K176,'سجل التحفيز'!$AA$5:$AA$2004,0)))</f>
        <v/>
      </c>
      <c r="Q176" s="9">
        <f>IF($K176="","",INDEX('سجل التحفيز'!$E$5:$E$2004,MATCH($K176,'سجل التحفيز'!$AA$5:$AA$2004,0)))</f>
        <v/>
      </c>
      <c r="R176" s="9">
        <f>IF($K176="","",INDEX('سجل التحفيز'!$F$5:$F$2004,MATCH($K176,'سجل التحفيز'!$AA$5:$AA$2004,0)))</f>
        <v/>
      </c>
      <c r="S176" s="35">
        <f>IF($K176="","",INDEX('سجل التحفيز'!$G$5:$G$2004,MATCH($K176,'سجل التحفيز'!$AA$5:$AA$2004,0)))</f>
        <v/>
      </c>
    </row>
    <row r="177">
      <c r="B177" s="34">
        <f>IFERROR(INDEX(الموظفات!$B$5:$B$304,MATCH(140,الموظفات!$U$5:$U$304,0)),"")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التحفيز'!$AA$5:$AA$2004,"&gt;0",'سجل التحفيز'!$B$5:$B$2004,B177))</f>
        <v/>
      </c>
      <c r="E177" s="35">
        <f>IF(B177="","",COUNTIFS('سجل التحفيز'!$AA$5:$AA$2004,"&gt;0",'سجل التحفيز'!$B$5:$B$2004,B177,'سجل التحفيز'!$D$5:$D$2004,"ذهبي"))</f>
        <v/>
      </c>
      <c r="F177" s="35">
        <f>IF(B177="","",SUMIFS('سجل التحفيز'!$G$5:$G$2004,'سجل التحفيز'!$AA$5:$AA$2004,"&gt;0",'سجل التحفيز'!$B$5:$B$2004,B177))</f>
        <v/>
      </c>
      <c r="G177" s="35">
        <f>IF(B177="","",COUNTIF($D$38:$D$187,"&gt;"&amp;D177)+1)</f>
        <v/>
      </c>
      <c r="H177" s="35">
        <f>IF(B177="","",INDEX(الموظفات!$L$5:$L$304,MATCH(B177,الموظفات!$B$5:$B$304,0)))</f>
        <v/>
      </c>
      <c r="K177" s="36">
        <f>IF(140&gt;$B$10,"",140)</f>
        <v/>
      </c>
      <c r="L177" s="37">
        <f>IF($K177="","",INDEX('سجل التحفيز'!$A$5:$A$2004,MATCH($K177,'سجل التحفيز'!$AA$5:$AA$2004,0)))</f>
        <v/>
      </c>
      <c r="M177" s="9">
        <f>IF($K177="","",INDEX('سجل التحفيز'!$B$5:$B$2004,MATCH($K177,'سجل التحفيز'!$AA$5:$AA$2004,0)))</f>
        <v/>
      </c>
      <c r="N177" s="9">
        <f>IF($K177="","",INDEX('سجل التحفيز'!$M$5:$M$2004,MATCH($K177,'سجل التحفيز'!$AA$5:$AA$2004,0)))</f>
        <v/>
      </c>
      <c r="O177" s="9">
        <f>IF($K177="","",INDEX('سجل التحفيز'!$C$5:$C$2004,MATCH($K177,'سجل التحفيز'!$AA$5:$AA$2004,0)))</f>
        <v/>
      </c>
      <c r="P177" s="36">
        <f>IF($K177="","",INDEX('سجل التحفيز'!$D$5:$D$2004,MATCH($K177,'سجل التحفيز'!$AA$5:$AA$2004,0)))</f>
        <v/>
      </c>
      <c r="Q177" s="9">
        <f>IF($K177="","",INDEX('سجل التحفيز'!$E$5:$E$2004,MATCH($K177,'سجل التحفيز'!$AA$5:$AA$2004,0)))</f>
        <v/>
      </c>
      <c r="R177" s="9">
        <f>IF($K177="","",INDEX('سجل التحفيز'!$F$5:$F$2004,MATCH($K177,'سجل التحفيز'!$AA$5:$AA$2004,0)))</f>
        <v/>
      </c>
      <c r="S177" s="35">
        <f>IF($K177="","",INDEX('سجل التحفيز'!$G$5:$G$2004,MATCH($K177,'سجل التحفيز'!$AA$5:$AA$2004,0)))</f>
        <v/>
      </c>
    </row>
    <row r="178">
      <c r="B178" s="34">
        <f>IFERROR(INDEX(الموظفات!$B$5:$B$304,MATCH(141,الموظفات!$U$5:$U$304,0)),"")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التحفيز'!$AA$5:$AA$2004,"&gt;0",'سجل التحفيز'!$B$5:$B$2004,B178))</f>
        <v/>
      </c>
      <c r="E178" s="35">
        <f>IF(B178="","",COUNTIFS('سجل التحفيز'!$AA$5:$AA$2004,"&gt;0",'سجل التحفيز'!$B$5:$B$2004,B178,'سجل التحفيز'!$D$5:$D$2004,"ذهبي"))</f>
        <v/>
      </c>
      <c r="F178" s="35">
        <f>IF(B178="","",SUMIFS('سجل التحفيز'!$G$5:$G$2004,'سجل التحفيز'!$AA$5:$AA$2004,"&gt;0",'سجل التحفيز'!$B$5:$B$2004,B178))</f>
        <v/>
      </c>
      <c r="G178" s="35">
        <f>IF(B178="","",COUNTIF($D$38:$D$187,"&gt;"&amp;D178)+1)</f>
        <v/>
      </c>
      <c r="H178" s="35">
        <f>IF(B178="","",INDEX(الموظفات!$L$5:$L$304,MATCH(B178,الموظفات!$B$5:$B$304,0)))</f>
        <v/>
      </c>
      <c r="K178" s="36">
        <f>IF(141&gt;$B$10,"",141)</f>
        <v/>
      </c>
      <c r="L178" s="37">
        <f>IF($K178="","",INDEX('سجل التحفيز'!$A$5:$A$2004,MATCH($K178,'سجل التحفيز'!$AA$5:$AA$2004,0)))</f>
        <v/>
      </c>
      <c r="M178" s="9">
        <f>IF($K178="","",INDEX('سجل التحفيز'!$B$5:$B$2004,MATCH($K178,'سجل التحفيز'!$AA$5:$AA$2004,0)))</f>
        <v/>
      </c>
      <c r="N178" s="9">
        <f>IF($K178="","",INDEX('سجل التحفيز'!$M$5:$M$2004,MATCH($K178,'سجل التحفيز'!$AA$5:$AA$2004,0)))</f>
        <v/>
      </c>
      <c r="O178" s="9">
        <f>IF($K178="","",INDEX('سجل التحفيز'!$C$5:$C$2004,MATCH($K178,'سجل التحفيز'!$AA$5:$AA$2004,0)))</f>
        <v/>
      </c>
      <c r="P178" s="36">
        <f>IF($K178="","",INDEX('سجل التحفيز'!$D$5:$D$2004,MATCH($K178,'سجل التحفيز'!$AA$5:$AA$2004,0)))</f>
        <v/>
      </c>
      <c r="Q178" s="9">
        <f>IF($K178="","",INDEX('سجل التحفيز'!$E$5:$E$2004,MATCH($K178,'سجل التحفيز'!$AA$5:$AA$2004,0)))</f>
        <v/>
      </c>
      <c r="R178" s="9">
        <f>IF($K178="","",INDEX('سجل التحفيز'!$F$5:$F$2004,MATCH($K178,'سجل التحفيز'!$AA$5:$AA$2004,0)))</f>
        <v/>
      </c>
      <c r="S178" s="35">
        <f>IF($K178="","",INDEX('سجل التحفيز'!$G$5:$G$2004,MATCH($K178,'سجل التحفيز'!$AA$5:$AA$2004,0)))</f>
        <v/>
      </c>
    </row>
    <row r="179">
      <c r="B179" s="34">
        <f>IFERROR(INDEX(الموظفات!$B$5:$B$304,MATCH(142,الموظفات!$U$5:$U$304,0)),"")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التحفيز'!$AA$5:$AA$2004,"&gt;0",'سجل التحفيز'!$B$5:$B$2004,B179))</f>
        <v/>
      </c>
      <c r="E179" s="35">
        <f>IF(B179="","",COUNTIFS('سجل التحفيز'!$AA$5:$AA$2004,"&gt;0",'سجل التحفيز'!$B$5:$B$2004,B179,'سجل التحفيز'!$D$5:$D$2004,"ذهبي"))</f>
        <v/>
      </c>
      <c r="F179" s="35">
        <f>IF(B179="","",SUMIFS('سجل التحفيز'!$G$5:$G$2004,'سجل التحفيز'!$AA$5:$AA$2004,"&gt;0",'سجل التحفيز'!$B$5:$B$2004,B179))</f>
        <v/>
      </c>
      <c r="G179" s="35">
        <f>IF(B179="","",COUNTIF($D$38:$D$187,"&gt;"&amp;D179)+1)</f>
        <v/>
      </c>
      <c r="H179" s="35">
        <f>IF(B179="","",INDEX(الموظفات!$L$5:$L$304,MATCH(B179,الموظفات!$B$5:$B$304,0)))</f>
        <v/>
      </c>
      <c r="K179" s="36">
        <f>IF(142&gt;$B$10,"",142)</f>
        <v/>
      </c>
      <c r="L179" s="37">
        <f>IF($K179="","",INDEX('سجل التحفيز'!$A$5:$A$2004,MATCH($K179,'سجل التحفيز'!$AA$5:$AA$2004,0)))</f>
        <v/>
      </c>
      <c r="M179" s="9">
        <f>IF($K179="","",INDEX('سجل التحفيز'!$B$5:$B$2004,MATCH($K179,'سجل التحفيز'!$AA$5:$AA$2004,0)))</f>
        <v/>
      </c>
      <c r="N179" s="9">
        <f>IF($K179="","",INDEX('سجل التحفيز'!$M$5:$M$2004,MATCH($K179,'سجل التحفيز'!$AA$5:$AA$2004,0)))</f>
        <v/>
      </c>
      <c r="O179" s="9">
        <f>IF($K179="","",INDEX('سجل التحفيز'!$C$5:$C$2004,MATCH($K179,'سجل التحفيز'!$AA$5:$AA$2004,0)))</f>
        <v/>
      </c>
      <c r="P179" s="36">
        <f>IF($K179="","",INDEX('سجل التحفيز'!$D$5:$D$2004,MATCH($K179,'سجل التحفيز'!$AA$5:$AA$2004,0)))</f>
        <v/>
      </c>
      <c r="Q179" s="9">
        <f>IF($K179="","",INDEX('سجل التحفيز'!$E$5:$E$2004,MATCH($K179,'سجل التحفيز'!$AA$5:$AA$2004,0)))</f>
        <v/>
      </c>
      <c r="R179" s="9">
        <f>IF($K179="","",INDEX('سجل التحفيز'!$F$5:$F$2004,MATCH($K179,'سجل التحفيز'!$AA$5:$AA$2004,0)))</f>
        <v/>
      </c>
      <c r="S179" s="35">
        <f>IF($K179="","",INDEX('سجل التحفيز'!$G$5:$G$2004,MATCH($K179,'سجل التحفيز'!$AA$5:$AA$2004,0)))</f>
        <v/>
      </c>
    </row>
    <row r="180">
      <c r="B180" s="34">
        <f>IFERROR(INDEX(الموظفات!$B$5:$B$304,MATCH(143,الموظفات!$U$5:$U$304,0)),"")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التحفيز'!$AA$5:$AA$2004,"&gt;0",'سجل التحفيز'!$B$5:$B$2004,B180))</f>
        <v/>
      </c>
      <c r="E180" s="35">
        <f>IF(B180="","",COUNTIFS('سجل التحفيز'!$AA$5:$AA$2004,"&gt;0",'سجل التحفيز'!$B$5:$B$2004,B180,'سجل التحفيز'!$D$5:$D$2004,"ذهبي"))</f>
        <v/>
      </c>
      <c r="F180" s="35">
        <f>IF(B180="","",SUMIFS('سجل التحفيز'!$G$5:$G$2004,'سجل التحفيز'!$AA$5:$AA$2004,"&gt;0",'سجل التحفيز'!$B$5:$B$2004,B180))</f>
        <v/>
      </c>
      <c r="G180" s="35">
        <f>IF(B180="","",COUNTIF($D$38:$D$187,"&gt;"&amp;D180)+1)</f>
        <v/>
      </c>
      <c r="H180" s="35">
        <f>IF(B180="","",INDEX(الموظفات!$L$5:$L$304,MATCH(B180,الموظفات!$B$5:$B$304,0)))</f>
        <v/>
      </c>
      <c r="K180" s="36">
        <f>IF(143&gt;$B$10,"",143)</f>
        <v/>
      </c>
      <c r="L180" s="37">
        <f>IF($K180="","",INDEX('سجل التحفيز'!$A$5:$A$2004,MATCH($K180,'سجل التحفيز'!$AA$5:$AA$2004,0)))</f>
        <v/>
      </c>
      <c r="M180" s="9">
        <f>IF($K180="","",INDEX('سجل التحفيز'!$B$5:$B$2004,MATCH($K180,'سجل التحفيز'!$AA$5:$AA$2004,0)))</f>
        <v/>
      </c>
      <c r="N180" s="9">
        <f>IF($K180="","",INDEX('سجل التحفيز'!$M$5:$M$2004,MATCH($K180,'سجل التحفيز'!$AA$5:$AA$2004,0)))</f>
        <v/>
      </c>
      <c r="O180" s="9">
        <f>IF($K180="","",INDEX('سجل التحفيز'!$C$5:$C$2004,MATCH($K180,'سجل التحفيز'!$AA$5:$AA$2004,0)))</f>
        <v/>
      </c>
      <c r="P180" s="36">
        <f>IF($K180="","",INDEX('سجل التحفيز'!$D$5:$D$2004,MATCH($K180,'سجل التحفيز'!$AA$5:$AA$2004,0)))</f>
        <v/>
      </c>
      <c r="Q180" s="9">
        <f>IF($K180="","",INDEX('سجل التحفيز'!$E$5:$E$2004,MATCH($K180,'سجل التحفيز'!$AA$5:$AA$2004,0)))</f>
        <v/>
      </c>
      <c r="R180" s="9">
        <f>IF($K180="","",INDEX('سجل التحفيز'!$F$5:$F$2004,MATCH($K180,'سجل التحفيز'!$AA$5:$AA$2004,0)))</f>
        <v/>
      </c>
      <c r="S180" s="35">
        <f>IF($K180="","",INDEX('سجل التحفيز'!$G$5:$G$2004,MATCH($K180,'سجل التحفيز'!$AA$5:$AA$2004,0)))</f>
        <v/>
      </c>
    </row>
    <row r="181">
      <c r="B181" s="34">
        <f>IFERROR(INDEX(الموظفات!$B$5:$B$304,MATCH(144,الموظفات!$U$5:$U$304,0)),"")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التحفيز'!$AA$5:$AA$2004,"&gt;0",'سجل التحفيز'!$B$5:$B$2004,B181))</f>
        <v/>
      </c>
      <c r="E181" s="35">
        <f>IF(B181="","",COUNTIFS('سجل التحفيز'!$AA$5:$AA$2004,"&gt;0",'سجل التحفيز'!$B$5:$B$2004,B181,'سجل التحفيز'!$D$5:$D$2004,"ذهبي"))</f>
        <v/>
      </c>
      <c r="F181" s="35">
        <f>IF(B181="","",SUMIFS('سجل التحفيز'!$G$5:$G$2004,'سجل التحفيز'!$AA$5:$AA$2004,"&gt;0",'سجل التحفيز'!$B$5:$B$2004,B181))</f>
        <v/>
      </c>
      <c r="G181" s="35">
        <f>IF(B181="","",COUNTIF($D$38:$D$187,"&gt;"&amp;D181)+1)</f>
        <v/>
      </c>
      <c r="H181" s="35">
        <f>IF(B181="","",INDEX(الموظفات!$L$5:$L$304,MATCH(B181,الموظفات!$B$5:$B$304,0)))</f>
        <v/>
      </c>
      <c r="K181" s="36">
        <f>IF(144&gt;$B$10,"",144)</f>
        <v/>
      </c>
      <c r="L181" s="37">
        <f>IF($K181="","",INDEX('سجل التحفيز'!$A$5:$A$2004,MATCH($K181,'سجل التحفيز'!$AA$5:$AA$2004,0)))</f>
        <v/>
      </c>
      <c r="M181" s="9">
        <f>IF($K181="","",INDEX('سجل التحفيز'!$B$5:$B$2004,MATCH($K181,'سجل التحفيز'!$AA$5:$AA$2004,0)))</f>
        <v/>
      </c>
      <c r="N181" s="9">
        <f>IF($K181="","",INDEX('سجل التحفيز'!$M$5:$M$2004,MATCH($K181,'سجل التحفيز'!$AA$5:$AA$2004,0)))</f>
        <v/>
      </c>
      <c r="O181" s="9">
        <f>IF($K181="","",INDEX('سجل التحفيز'!$C$5:$C$2004,MATCH($K181,'سجل التحفيز'!$AA$5:$AA$2004,0)))</f>
        <v/>
      </c>
      <c r="P181" s="36">
        <f>IF($K181="","",INDEX('سجل التحفيز'!$D$5:$D$2004,MATCH($K181,'سجل التحفيز'!$AA$5:$AA$2004,0)))</f>
        <v/>
      </c>
      <c r="Q181" s="9">
        <f>IF($K181="","",INDEX('سجل التحفيز'!$E$5:$E$2004,MATCH($K181,'سجل التحفيز'!$AA$5:$AA$2004,0)))</f>
        <v/>
      </c>
      <c r="R181" s="9">
        <f>IF($K181="","",INDEX('سجل التحفيز'!$F$5:$F$2004,MATCH($K181,'سجل التحفيز'!$AA$5:$AA$2004,0)))</f>
        <v/>
      </c>
      <c r="S181" s="35">
        <f>IF($K181="","",INDEX('سجل التحفيز'!$G$5:$G$2004,MATCH($K181,'سجل التحفيز'!$AA$5:$AA$2004,0)))</f>
        <v/>
      </c>
    </row>
    <row r="182">
      <c r="B182" s="34">
        <f>IFERROR(INDEX(الموظفات!$B$5:$B$304,MATCH(145,الموظفات!$U$5:$U$304,0)),"")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التحفيز'!$AA$5:$AA$2004,"&gt;0",'سجل التحفيز'!$B$5:$B$2004,B182))</f>
        <v/>
      </c>
      <c r="E182" s="35">
        <f>IF(B182="","",COUNTIFS('سجل التحفيز'!$AA$5:$AA$2004,"&gt;0",'سجل التحفيز'!$B$5:$B$2004,B182,'سجل التحفيز'!$D$5:$D$2004,"ذهبي"))</f>
        <v/>
      </c>
      <c r="F182" s="35">
        <f>IF(B182="","",SUMIFS('سجل التحفيز'!$G$5:$G$2004,'سجل التحفيز'!$AA$5:$AA$2004,"&gt;0",'سجل التحفيز'!$B$5:$B$2004,B182))</f>
        <v/>
      </c>
      <c r="G182" s="35">
        <f>IF(B182="","",COUNTIF($D$38:$D$187,"&gt;"&amp;D182)+1)</f>
        <v/>
      </c>
      <c r="H182" s="35">
        <f>IF(B182="","",INDEX(الموظفات!$L$5:$L$304,MATCH(B182,الموظفات!$B$5:$B$304,0)))</f>
        <v/>
      </c>
      <c r="K182" s="36">
        <f>IF(145&gt;$B$10,"",145)</f>
        <v/>
      </c>
      <c r="L182" s="37">
        <f>IF($K182="","",INDEX('سجل التحفيز'!$A$5:$A$2004,MATCH($K182,'سجل التحفيز'!$AA$5:$AA$2004,0)))</f>
        <v/>
      </c>
      <c r="M182" s="9">
        <f>IF($K182="","",INDEX('سجل التحفيز'!$B$5:$B$2004,MATCH($K182,'سجل التحفيز'!$AA$5:$AA$2004,0)))</f>
        <v/>
      </c>
      <c r="N182" s="9">
        <f>IF($K182="","",INDEX('سجل التحفيز'!$M$5:$M$2004,MATCH($K182,'سجل التحفيز'!$AA$5:$AA$2004,0)))</f>
        <v/>
      </c>
      <c r="O182" s="9">
        <f>IF($K182="","",INDEX('سجل التحفيز'!$C$5:$C$2004,MATCH($K182,'سجل التحفيز'!$AA$5:$AA$2004,0)))</f>
        <v/>
      </c>
      <c r="P182" s="36">
        <f>IF($K182="","",INDEX('سجل التحفيز'!$D$5:$D$2004,MATCH($K182,'سجل التحفيز'!$AA$5:$AA$2004,0)))</f>
        <v/>
      </c>
      <c r="Q182" s="9">
        <f>IF($K182="","",INDEX('سجل التحفيز'!$E$5:$E$2004,MATCH($K182,'سجل التحفيز'!$AA$5:$AA$2004,0)))</f>
        <v/>
      </c>
      <c r="R182" s="9">
        <f>IF($K182="","",INDEX('سجل التحفيز'!$F$5:$F$2004,MATCH($K182,'سجل التحفيز'!$AA$5:$AA$2004,0)))</f>
        <v/>
      </c>
      <c r="S182" s="35">
        <f>IF($K182="","",INDEX('سجل التحفيز'!$G$5:$G$2004,MATCH($K182,'سجل التحفيز'!$AA$5:$AA$2004,0)))</f>
        <v/>
      </c>
    </row>
    <row r="183">
      <c r="B183" s="34">
        <f>IFERROR(INDEX(الموظفات!$B$5:$B$304,MATCH(146,الموظفات!$U$5:$U$304,0)),"")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التحفيز'!$AA$5:$AA$2004,"&gt;0",'سجل التحفيز'!$B$5:$B$2004,B183))</f>
        <v/>
      </c>
      <c r="E183" s="35">
        <f>IF(B183="","",COUNTIFS('سجل التحفيز'!$AA$5:$AA$2004,"&gt;0",'سجل التحفيز'!$B$5:$B$2004,B183,'سجل التحفيز'!$D$5:$D$2004,"ذهبي"))</f>
        <v/>
      </c>
      <c r="F183" s="35">
        <f>IF(B183="","",SUMIFS('سجل التحفيز'!$G$5:$G$2004,'سجل التحفيز'!$AA$5:$AA$2004,"&gt;0",'سجل التحفيز'!$B$5:$B$2004,B183))</f>
        <v/>
      </c>
      <c r="G183" s="35">
        <f>IF(B183="","",COUNTIF($D$38:$D$187,"&gt;"&amp;D183)+1)</f>
        <v/>
      </c>
      <c r="H183" s="35">
        <f>IF(B183="","",INDEX(الموظفات!$L$5:$L$304,MATCH(B183,الموظفات!$B$5:$B$304,0)))</f>
        <v/>
      </c>
      <c r="K183" s="36">
        <f>IF(146&gt;$B$10,"",146)</f>
        <v/>
      </c>
      <c r="L183" s="37">
        <f>IF($K183="","",INDEX('سجل التحفيز'!$A$5:$A$2004,MATCH($K183,'سجل التحفيز'!$AA$5:$AA$2004,0)))</f>
        <v/>
      </c>
      <c r="M183" s="9">
        <f>IF($K183="","",INDEX('سجل التحفيز'!$B$5:$B$2004,MATCH($K183,'سجل التحفيز'!$AA$5:$AA$2004,0)))</f>
        <v/>
      </c>
      <c r="N183" s="9">
        <f>IF($K183="","",INDEX('سجل التحفيز'!$M$5:$M$2004,MATCH($K183,'سجل التحفيز'!$AA$5:$AA$2004,0)))</f>
        <v/>
      </c>
      <c r="O183" s="9">
        <f>IF($K183="","",INDEX('سجل التحفيز'!$C$5:$C$2004,MATCH($K183,'سجل التحفيز'!$AA$5:$AA$2004,0)))</f>
        <v/>
      </c>
      <c r="P183" s="36">
        <f>IF($K183="","",INDEX('سجل التحفيز'!$D$5:$D$2004,MATCH($K183,'سجل التحفيز'!$AA$5:$AA$2004,0)))</f>
        <v/>
      </c>
      <c r="Q183" s="9">
        <f>IF($K183="","",INDEX('سجل التحفيز'!$E$5:$E$2004,MATCH($K183,'سجل التحفيز'!$AA$5:$AA$2004,0)))</f>
        <v/>
      </c>
      <c r="R183" s="9">
        <f>IF($K183="","",INDEX('سجل التحفيز'!$F$5:$F$2004,MATCH($K183,'سجل التحفيز'!$AA$5:$AA$2004,0)))</f>
        <v/>
      </c>
      <c r="S183" s="35">
        <f>IF($K183="","",INDEX('سجل التحفيز'!$G$5:$G$2004,MATCH($K183,'سجل التحفيز'!$AA$5:$AA$2004,0)))</f>
        <v/>
      </c>
    </row>
    <row r="184">
      <c r="B184" s="34">
        <f>IFERROR(INDEX(الموظفات!$B$5:$B$304,MATCH(147,الموظفات!$U$5:$U$304,0)),"")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التحفيز'!$AA$5:$AA$2004,"&gt;0",'سجل التحفيز'!$B$5:$B$2004,B184))</f>
        <v/>
      </c>
      <c r="E184" s="35">
        <f>IF(B184="","",COUNTIFS('سجل التحفيز'!$AA$5:$AA$2004,"&gt;0",'سجل التحفيز'!$B$5:$B$2004,B184,'سجل التحفيز'!$D$5:$D$2004,"ذهبي"))</f>
        <v/>
      </c>
      <c r="F184" s="35">
        <f>IF(B184="","",SUMIFS('سجل التحفيز'!$G$5:$G$2004,'سجل التحفيز'!$AA$5:$AA$2004,"&gt;0",'سجل التحفيز'!$B$5:$B$2004,B184))</f>
        <v/>
      </c>
      <c r="G184" s="35">
        <f>IF(B184="","",COUNTIF($D$38:$D$187,"&gt;"&amp;D184)+1)</f>
        <v/>
      </c>
      <c r="H184" s="35">
        <f>IF(B184="","",INDEX(الموظفات!$L$5:$L$304,MATCH(B184,الموظفات!$B$5:$B$304,0)))</f>
        <v/>
      </c>
      <c r="K184" s="36">
        <f>IF(147&gt;$B$10,"",147)</f>
        <v/>
      </c>
      <c r="L184" s="37">
        <f>IF($K184="","",INDEX('سجل التحفيز'!$A$5:$A$2004,MATCH($K184,'سجل التحفيز'!$AA$5:$AA$2004,0)))</f>
        <v/>
      </c>
      <c r="M184" s="9">
        <f>IF($K184="","",INDEX('سجل التحفيز'!$B$5:$B$2004,MATCH($K184,'سجل التحفيز'!$AA$5:$AA$2004,0)))</f>
        <v/>
      </c>
      <c r="N184" s="9">
        <f>IF($K184="","",INDEX('سجل التحفيز'!$M$5:$M$2004,MATCH($K184,'سجل التحفيز'!$AA$5:$AA$2004,0)))</f>
        <v/>
      </c>
      <c r="O184" s="9">
        <f>IF($K184="","",INDEX('سجل التحفيز'!$C$5:$C$2004,MATCH($K184,'سجل التحفيز'!$AA$5:$AA$2004,0)))</f>
        <v/>
      </c>
      <c r="P184" s="36">
        <f>IF($K184="","",INDEX('سجل التحفيز'!$D$5:$D$2004,MATCH($K184,'سجل التحفيز'!$AA$5:$AA$2004,0)))</f>
        <v/>
      </c>
      <c r="Q184" s="9">
        <f>IF($K184="","",INDEX('سجل التحفيز'!$E$5:$E$2004,MATCH($K184,'سجل التحفيز'!$AA$5:$AA$2004,0)))</f>
        <v/>
      </c>
      <c r="R184" s="9">
        <f>IF($K184="","",INDEX('سجل التحفيز'!$F$5:$F$2004,MATCH($K184,'سجل التحفيز'!$AA$5:$AA$2004,0)))</f>
        <v/>
      </c>
      <c r="S184" s="35">
        <f>IF($K184="","",INDEX('سجل التحفيز'!$G$5:$G$2004,MATCH($K184,'سجل التحفيز'!$AA$5:$AA$2004,0)))</f>
        <v/>
      </c>
    </row>
    <row r="185">
      <c r="B185" s="34">
        <f>IFERROR(INDEX(الموظفات!$B$5:$B$304,MATCH(148,الموظفات!$U$5:$U$304,0)),"")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التحفيز'!$AA$5:$AA$2004,"&gt;0",'سجل التحفيز'!$B$5:$B$2004,B185))</f>
        <v/>
      </c>
      <c r="E185" s="35">
        <f>IF(B185="","",COUNTIFS('سجل التحفيز'!$AA$5:$AA$2004,"&gt;0",'سجل التحفيز'!$B$5:$B$2004,B185,'سجل التحفيز'!$D$5:$D$2004,"ذهبي"))</f>
        <v/>
      </c>
      <c r="F185" s="35">
        <f>IF(B185="","",SUMIFS('سجل التحفيز'!$G$5:$G$2004,'سجل التحفيز'!$AA$5:$AA$2004,"&gt;0",'سجل التحفيز'!$B$5:$B$2004,B185))</f>
        <v/>
      </c>
      <c r="G185" s="35">
        <f>IF(B185="","",COUNTIF($D$38:$D$187,"&gt;"&amp;D185)+1)</f>
        <v/>
      </c>
      <c r="H185" s="35">
        <f>IF(B185="","",INDEX(الموظفات!$L$5:$L$304,MATCH(B185,الموظفات!$B$5:$B$304,0)))</f>
        <v/>
      </c>
      <c r="K185" s="36">
        <f>IF(148&gt;$B$10,"",148)</f>
        <v/>
      </c>
      <c r="L185" s="37">
        <f>IF($K185="","",INDEX('سجل التحفيز'!$A$5:$A$2004,MATCH($K185,'سجل التحفيز'!$AA$5:$AA$2004,0)))</f>
        <v/>
      </c>
      <c r="M185" s="9">
        <f>IF($K185="","",INDEX('سجل التحفيز'!$B$5:$B$2004,MATCH($K185,'سجل التحفيز'!$AA$5:$AA$2004,0)))</f>
        <v/>
      </c>
      <c r="N185" s="9">
        <f>IF($K185="","",INDEX('سجل التحفيز'!$M$5:$M$2004,MATCH($K185,'سجل التحفيز'!$AA$5:$AA$2004,0)))</f>
        <v/>
      </c>
      <c r="O185" s="9">
        <f>IF($K185="","",INDEX('سجل التحفيز'!$C$5:$C$2004,MATCH($K185,'سجل التحفيز'!$AA$5:$AA$2004,0)))</f>
        <v/>
      </c>
      <c r="P185" s="36">
        <f>IF($K185="","",INDEX('سجل التحفيز'!$D$5:$D$2004,MATCH($K185,'سجل التحفيز'!$AA$5:$AA$2004,0)))</f>
        <v/>
      </c>
      <c r="Q185" s="9">
        <f>IF($K185="","",INDEX('سجل التحفيز'!$E$5:$E$2004,MATCH($K185,'سجل التحفيز'!$AA$5:$AA$2004,0)))</f>
        <v/>
      </c>
      <c r="R185" s="9">
        <f>IF($K185="","",INDEX('سجل التحفيز'!$F$5:$F$2004,MATCH($K185,'سجل التحفيز'!$AA$5:$AA$2004,0)))</f>
        <v/>
      </c>
      <c r="S185" s="35">
        <f>IF($K185="","",INDEX('سجل التحفيز'!$G$5:$G$2004,MATCH($K185,'سجل التحفيز'!$AA$5:$AA$2004,0)))</f>
        <v/>
      </c>
    </row>
    <row r="186">
      <c r="B186" s="34">
        <f>IFERROR(INDEX(الموظفات!$B$5:$B$304,MATCH(149,الموظفات!$U$5:$U$304,0)),"")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التحفيز'!$AA$5:$AA$2004,"&gt;0",'سجل التحفيز'!$B$5:$B$2004,B186))</f>
        <v/>
      </c>
      <c r="E186" s="35">
        <f>IF(B186="","",COUNTIFS('سجل التحفيز'!$AA$5:$AA$2004,"&gt;0",'سجل التحفيز'!$B$5:$B$2004,B186,'سجل التحفيز'!$D$5:$D$2004,"ذهبي"))</f>
        <v/>
      </c>
      <c r="F186" s="35">
        <f>IF(B186="","",SUMIFS('سجل التحفيز'!$G$5:$G$2004,'سجل التحفيز'!$AA$5:$AA$2004,"&gt;0",'سجل التحفيز'!$B$5:$B$2004,B186))</f>
        <v/>
      </c>
      <c r="G186" s="35">
        <f>IF(B186="","",COUNTIF($D$38:$D$187,"&gt;"&amp;D186)+1)</f>
        <v/>
      </c>
      <c r="H186" s="35">
        <f>IF(B186="","",INDEX(الموظفات!$L$5:$L$304,MATCH(B186,الموظفات!$B$5:$B$304,0)))</f>
        <v/>
      </c>
      <c r="K186" s="36">
        <f>IF(149&gt;$B$10,"",149)</f>
        <v/>
      </c>
      <c r="L186" s="37">
        <f>IF($K186="","",INDEX('سجل التحفيز'!$A$5:$A$2004,MATCH($K186,'سجل التحفيز'!$AA$5:$AA$2004,0)))</f>
        <v/>
      </c>
      <c r="M186" s="9">
        <f>IF($K186="","",INDEX('سجل التحفيز'!$B$5:$B$2004,MATCH($K186,'سجل التحفيز'!$AA$5:$AA$2004,0)))</f>
        <v/>
      </c>
      <c r="N186" s="9">
        <f>IF($K186="","",INDEX('سجل التحفيز'!$M$5:$M$2004,MATCH($K186,'سجل التحفيز'!$AA$5:$AA$2004,0)))</f>
        <v/>
      </c>
      <c r="O186" s="9">
        <f>IF($K186="","",INDEX('سجل التحفيز'!$C$5:$C$2004,MATCH($K186,'سجل التحفيز'!$AA$5:$AA$2004,0)))</f>
        <v/>
      </c>
      <c r="P186" s="36">
        <f>IF($K186="","",INDEX('سجل التحفيز'!$D$5:$D$2004,MATCH($K186,'سجل التحفيز'!$AA$5:$AA$2004,0)))</f>
        <v/>
      </c>
      <c r="Q186" s="9">
        <f>IF($K186="","",INDEX('سجل التحفيز'!$E$5:$E$2004,MATCH($K186,'سجل التحفيز'!$AA$5:$AA$2004,0)))</f>
        <v/>
      </c>
      <c r="R186" s="9">
        <f>IF($K186="","",INDEX('سجل التحفيز'!$F$5:$F$2004,MATCH($K186,'سجل التحفيز'!$AA$5:$AA$2004,0)))</f>
        <v/>
      </c>
      <c r="S186" s="35">
        <f>IF($K186="","",INDEX('سجل التحفيز'!$G$5:$G$2004,MATCH($K186,'سجل التحفيز'!$AA$5:$AA$2004,0)))</f>
        <v/>
      </c>
    </row>
    <row r="187">
      <c r="B187" s="34">
        <f>IFERROR(INDEX(الموظفات!$B$5:$B$304,MATCH(150,الموظفات!$U$5:$U$304,0)),"")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التحفيز'!$AA$5:$AA$2004,"&gt;0",'سجل التحفيز'!$B$5:$B$2004,B187))</f>
        <v/>
      </c>
      <c r="E187" s="35">
        <f>IF(B187="","",COUNTIFS('سجل التحفيز'!$AA$5:$AA$2004,"&gt;0",'سجل التحفيز'!$B$5:$B$2004,B187,'سجل التحفيز'!$D$5:$D$2004,"ذهبي"))</f>
        <v/>
      </c>
      <c r="F187" s="35">
        <f>IF(B187="","",SUMIFS('سجل التحفيز'!$G$5:$G$2004,'سجل التحفيز'!$AA$5:$AA$2004,"&gt;0",'سجل التحفيز'!$B$5:$B$2004,B187))</f>
        <v/>
      </c>
      <c r="G187" s="35">
        <f>IF(B187="","",COUNTIF($D$38:$D$187,"&gt;"&amp;D187)+1)</f>
        <v/>
      </c>
      <c r="H187" s="35">
        <f>IF(B187="","",INDEX(الموظفات!$L$5:$L$304,MATCH(B187,الموظفات!$B$5:$B$304,0)))</f>
        <v/>
      </c>
      <c r="K187" s="36">
        <f>IF(150&gt;$B$10,"",150)</f>
        <v/>
      </c>
      <c r="L187" s="37">
        <f>IF($K187="","",INDEX('سجل التحفيز'!$A$5:$A$2004,MATCH($K187,'سجل التحفيز'!$AA$5:$AA$2004,0)))</f>
        <v/>
      </c>
      <c r="M187" s="9">
        <f>IF($K187="","",INDEX('سجل التحفيز'!$B$5:$B$2004,MATCH($K187,'سجل التحفيز'!$AA$5:$AA$2004,0)))</f>
        <v/>
      </c>
      <c r="N187" s="9">
        <f>IF($K187="","",INDEX('سجل التحفيز'!$M$5:$M$2004,MATCH($K187,'سجل التحفيز'!$AA$5:$AA$2004,0)))</f>
        <v/>
      </c>
      <c r="O187" s="9">
        <f>IF($K187="","",INDEX('سجل التحفيز'!$C$5:$C$2004,MATCH($K187,'سجل التحفيز'!$AA$5:$AA$2004,0)))</f>
        <v/>
      </c>
      <c r="P187" s="36">
        <f>IF($K187="","",INDEX('سجل التحفيز'!$D$5:$D$2004,MATCH($K187,'سجل التحفيز'!$AA$5:$AA$2004,0)))</f>
        <v/>
      </c>
      <c r="Q187" s="9">
        <f>IF($K187="","",INDEX('سجل التحفيز'!$E$5:$E$2004,MATCH($K187,'سجل التحفيز'!$AA$5:$AA$2004,0)))</f>
        <v/>
      </c>
      <c r="R187" s="9">
        <f>IF($K187="","",INDEX('سجل التحفيز'!$F$5:$F$2004,MATCH($K187,'سجل التحفيز'!$AA$5:$AA$2004,0)))</f>
        <v/>
      </c>
      <c r="S187" s="35">
        <f>IF($K187="","",INDEX('سجل التحفيز'!$G$5:$G$2004,MATCH($K187,'سجل التحفيز'!$AA$5:$AA$2004,0)))</f>
        <v/>
      </c>
    </row>
    <row r="188">
      <c r="K188" s="36">
        <f>IF(151&gt;$B$10,"",151)</f>
        <v/>
      </c>
      <c r="L188" s="37">
        <f>IF($K188="","",INDEX('سجل التحفيز'!$A$5:$A$2004,MATCH($K188,'سجل التحفيز'!$AA$5:$AA$2004,0)))</f>
        <v/>
      </c>
      <c r="M188" s="9">
        <f>IF($K188="","",INDEX('سجل التحفيز'!$B$5:$B$2004,MATCH($K188,'سجل التحفيز'!$AA$5:$AA$2004,0)))</f>
        <v/>
      </c>
      <c r="N188" s="9">
        <f>IF($K188="","",INDEX('سجل التحفيز'!$M$5:$M$2004,MATCH($K188,'سجل التحفيز'!$AA$5:$AA$2004,0)))</f>
        <v/>
      </c>
      <c r="O188" s="9">
        <f>IF($K188="","",INDEX('سجل التحفيز'!$C$5:$C$2004,MATCH($K188,'سجل التحفيز'!$AA$5:$AA$2004,0)))</f>
        <v/>
      </c>
      <c r="P188" s="36">
        <f>IF($K188="","",INDEX('سجل التحفيز'!$D$5:$D$2004,MATCH($K188,'سجل التحفيز'!$AA$5:$AA$2004,0)))</f>
        <v/>
      </c>
      <c r="Q188" s="9">
        <f>IF($K188="","",INDEX('سجل التحفيز'!$E$5:$E$2004,MATCH($K188,'سجل التحفيز'!$AA$5:$AA$2004,0)))</f>
        <v/>
      </c>
      <c r="R188" s="9">
        <f>IF($K188="","",INDEX('سجل التحفيز'!$F$5:$F$2004,MATCH($K188,'سجل التحفيز'!$AA$5:$AA$2004,0)))</f>
        <v/>
      </c>
      <c r="S188" s="35">
        <f>IF($K188="","",INDEX('سجل التحفيز'!$G$5:$G$2004,MATCH($K188,'سجل التحفيز'!$AA$5:$AA$2004,0)))</f>
        <v/>
      </c>
    </row>
    <row r="189">
      <c r="K189" s="36">
        <f>IF(152&gt;$B$10,"",152)</f>
        <v/>
      </c>
      <c r="L189" s="37">
        <f>IF($K189="","",INDEX('سجل التحفيز'!$A$5:$A$2004,MATCH($K189,'سجل التحفيز'!$AA$5:$AA$2004,0)))</f>
        <v/>
      </c>
      <c r="M189" s="9">
        <f>IF($K189="","",INDEX('سجل التحفيز'!$B$5:$B$2004,MATCH($K189,'سجل التحفيز'!$AA$5:$AA$2004,0)))</f>
        <v/>
      </c>
      <c r="N189" s="9">
        <f>IF($K189="","",INDEX('سجل التحفيز'!$M$5:$M$2004,MATCH($K189,'سجل التحفيز'!$AA$5:$AA$2004,0)))</f>
        <v/>
      </c>
      <c r="O189" s="9">
        <f>IF($K189="","",INDEX('سجل التحفيز'!$C$5:$C$2004,MATCH($K189,'سجل التحفيز'!$AA$5:$AA$2004,0)))</f>
        <v/>
      </c>
      <c r="P189" s="36">
        <f>IF($K189="","",INDEX('سجل التحفيز'!$D$5:$D$2004,MATCH($K189,'سجل التحفيز'!$AA$5:$AA$2004,0)))</f>
        <v/>
      </c>
      <c r="Q189" s="9">
        <f>IF($K189="","",INDEX('سجل التحفيز'!$E$5:$E$2004,MATCH($K189,'سجل التحفيز'!$AA$5:$AA$2004,0)))</f>
        <v/>
      </c>
      <c r="R189" s="9">
        <f>IF($K189="","",INDEX('سجل التحفيز'!$F$5:$F$2004,MATCH($K189,'سجل التحفيز'!$AA$5:$AA$2004,0)))</f>
        <v/>
      </c>
      <c r="S189" s="35">
        <f>IF($K189="","",INDEX('سجل التحفيز'!$G$5:$G$2004,MATCH($K189,'سجل التحفيز'!$AA$5:$AA$2004,0)))</f>
        <v/>
      </c>
    </row>
    <row r="190">
      <c r="K190" s="36">
        <f>IF(153&gt;$B$10,"",153)</f>
        <v/>
      </c>
      <c r="L190" s="37">
        <f>IF($K190="","",INDEX('سجل التحفيز'!$A$5:$A$2004,MATCH($K190,'سجل التحفيز'!$AA$5:$AA$2004,0)))</f>
        <v/>
      </c>
      <c r="M190" s="9">
        <f>IF($K190="","",INDEX('سجل التحفيز'!$B$5:$B$2004,MATCH($K190,'سجل التحفيز'!$AA$5:$AA$2004,0)))</f>
        <v/>
      </c>
      <c r="N190" s="9">
        <f>IF($K190="","",INDEX('سجل التحفيز'!$M$5:$M$2004,MATCH($K190,'سجل التحفيز'!$AA$5:$AA$2004,0)))</f>
        <v/>
      </c>
      <c r="O190" s="9">
        <f>IF($K190="","",INDEX('سجل التحفيز'!$C$5:$C$2004,MATCH($K190,'سجل التحفيز'!$AA$5:$AA$2004,0)))</f>
        <v/>
      </c>
      <c r="P190" s="36">
        <f>IF($K190="","",INDEX('سجل التحفيز'!$D$5:$D$2004,MATCH($K190,'سجل التحفيز'!$AA$5:$AA$2004,0)))</f>
        <v/>
      </c>
      <c r="Q190" s="9">
        <f>IF($K190="","",INDEX('سجل التحفيز'!$E$5:$E$2004,MATCH($K190,'سجل التحفيز'!$AA$5:$AA$2004,0)))</f>
        <v/>
      </c>
      <c r="R190" s="9">
        <f>IF($K190="","",INDEX('سجل التحفيز'!$F$5:$F$2004,MATCH($K190,'سجل التحفيز'!$AA$5:$AA$2004,0)))</f>
        <v/>
      </c>
      <c r="S190" s="35">
        <f>IF($K190="","",INDEX('سجل التحفيز'!$G$5:$G$2004,MATCH($K190,'سجل التحفيز'!$AA$5:$AA$2004,0)))</f>
        <v/>
      </c>
    </row>
    <row r="191">
      <c r="K191" s="36">
        <f>IF(154&gt;$B$10,"",154)</f>
        <v/>
      </c>
      <c r="L191" s="37">
        <f>IF($K191="","",INDEX('سجل التحفيز'!$A$5:$A$2004,MATCH($K191,'سجل التحفيز'!$AA$5:$AA$2004,0)))</f>
        <v/>
      </c>
      <c r="M191" s="9">
        <f>IF($K191="","",INDEX('سجل التحفيز'!$B$5:$B$2004,MATCH($K191,'سجل التحفيز'!$AA$5:$AA$2004,0)))</f>
        <v/>
      </c>
      <c r="N191" s="9">
        <f>IF($K191="","",INDEX('سجل التحفيز'!$M$5:$M$2004,MATCH($K191,'سجل التحفيز'!$AA$5:$AA$2004,0)))</f>
        <v/>
      </c>
      <c r="O191" s="9">
        <f>IF($K191="","",INDEX('سجل التحفيز'!$C$5:$C$2004,MATCH($K191,'سجل التحفيز'!$AA$5:$AA$2004,0)))</f>
        <v/>
      </c>
      <c r="P191" s="36">
        <f>IF($K191="","",INDEX('سجل التحفيز'!$D$5:$D$2004,MATCH($K191,'سجل التحفيز'!$AA$5:$AA$2004,0)))</f>
        <v/>
      </c>
      <c r="Q191" s="9">
        <f>IF($K191="","",INDEX('سجل التحفيز'!$E$5:$E$2004,MATCH($K191,'سجل التحفيز'!$AA$5:$AA$2004,0)))</f>
        <v/>
      </c>
      <c r="R191" s="9">
        <f>IF($K191="","",INDEX('سجل التحفيز'!$F$5:$F$2004,MATCH($K191,'سجل التحفيز'!$AA$5:$AA$2004,0)))</f>
        <v/>
      </c>
      <c r="S191" s="35">
        <f>IF($K191="","",INDEX('سجل التحفيز'!$G$5:$G$2004,MATCH($K191,'سجل التحفيز'!$AA$5:$AA$2004,0)))</f>
        <v/>
      </c>
    </row>
    <row r="192">
      <c r="K192" s="36">
        <f>IF(155&gt;$B$10,"",155)</f>
        <v/>
      </c>
      <c r="L192" s="37">
        <f>IF($K192="","",INDEX('سجل التحفيز'!$A$5:$A$2004,MATCH($K192,'سجل التحفيز'!$AA$5:$AA$2004,0)))</f>
        <v/>
      </c>
      <c r="M192" s="9">
        <f>IF($K192="","",INDEX('سجل التحفيز'!$B$5:$B$2004,MATCH($K192,'سجل التحفيز'!$AA$5:$AA$2004,0)))</f>
        <v/>
      </c>
      <c r="N192" s="9">
        <f>IF($K192="","",INDEX('سجل التحفيز'!$M$5:$M$2004,MATCH($K192,'سجل التحفيز'!$AA$5:$AA$2004,0)))</f>
        <v/>
      </c>
      <c r="O192" s="9">
        <f>IF($K192="","",INDEX('سجل التحفيز'!$C$5:$C$2004,MATCH($K192,'سجل التحفيز'!$AA$5:$AA$2004,0)))</f>
        <v/>
      </c>
      <c r="P192" s="36">
        <f>IF($K192="","",INDEX('سجل التحفيز'!$D$5:$D$2004,MATCH($K192,'سجل التحفيز'!$AA$5:$AA$2004,0)))</f>
        <v/>
      </c>
      <c r="Q192" s="9">
        <f>IF($K192="","",INDEX('سجل التحفيز'!$E$5:$E$2004,MATCH($K192,'سجل التحفيز'!$AA$5:$AA$2004,0)))</f>
        <v/>
      </c>
      <c r="R192" s="9">
        <f>IF($K192="","",INDEX('سجل التحفيز'!$F$5:$F$2004,MATCH($K192,'سجل التحفيز'!$AA$5:$AA$2004,0)))</f>
        <v/>
      </c>
      <c r="S192" s="35">
        <f>IF($K192="","",INDEX('سجل التحفيز'!$G$5:$G$2004,MATCH($K192,'سجل التحفيز'!$AA$5:$AA$2004,0)))</f>
        <v/>
      </c>
    </row>
    <row r="193">
      <c r="K193" s="36">
        <f>IF(156&gt;$B$10,"",156)</f>
        <v/>
      </c>
      <c r="L193" s="37">
        <f>IF($K193="","",INDEX('سجل التحفيز'!$A$5:$A$2004,MATCH($K193,'سجل التحفيز'!$AA$5:$AA$2004,0)))</f>
        <v/>
      </c>
      <c r="M193" s="9">
        <f>IF($K193="","",INDEX('سجل التحفيز'!$B$5:$B$2004,MATCH($K193,'سجل التحفيز'!$AA$5:$AA$2004,0)))</f>
        <v/>
      </c>
      <c r="N193" s="9">
        <f>IF($K193="","",INDEX('سجل التحفيز'!$M$5:$M$2004,MATCH($K193,'سجل التحفيز'!$AA$5:$AA$2004,0)))</f>
        <v/>
      </c>
      <c r="O193" s="9">
        <f>IF($K193="","",INDEX('سجل التحفيز'!$C$5:$C$2004,MATCH($K193,'سجل التحفيز'!$AA$5:$AA$2004,0)))</f>
        <v/>
      </c>
      <c r="P193" s="36">
        <f>IF($K193="","",INDEX('سجل التحفيز'!$D$5:$D$2004,MATCH($K193,'سجل التحفيز'!$AA$5:$AA$2004,0)))</f>
        <v/>
      </c>
      <c r="Q193" s="9">
        <f>IF($K193="","",INDEX('سجل التحفيز'!$E$5:$E$2004,MATCH($K193,'سجل التحفيز'!$AA$5:$AA$2004,0)))</f>
        <v/>
      </c>
      <c r="R193" s="9">
        <f>IF($K193="","",INDEX('سجل التحفيز'!$F$5:$F$2004,MATCH($K193,'سجل التحفيز'!$AA$5:$AA$2004,0)))</f>
        <v/>
      </c>
      <c r="S193" s="35">
        <f>IF($K193="","",INDEX('سجل التحفيز'!$G$5:$G$2004,MATCH($K193,'سجل التحفيز'!$AA$5:$AA$2004,0)))</f>
        <v/>
      </c>
    </row>
    <row r="194">
      <c r="K194" s="36">
        <f>IF(157&gt;$B$10,"",157)</f>
        <v/>
      </c>
      <c r="L194" s="37">
        <f>IF($K194="","",INDEX('سجل التحفيز'!$A$5:$A$2004,MATCH($K194,'سجل التحفيز'!$AA$5:$AA$2004,0)))</f>
        <v/>
      </c>
      <c r="M194" s="9">
        <f>IF($K194="","",INDEX('سجل التحفيز'!$B$5:$B$2004,MATCH($K194,'سجل التحفيز'!$AA$5:$AA$2004,0)))</f>
        <v/>
      </c>
      <c r="N194" s="9">
        <f>IF($K194="","",INDEX('سجل التحفيز'!$M$5:$M$2004,MATCH($K194,'سجل التحفيز'!$AA$5:$AA$2004,0)))</f>
        <v/>
      </c>
      <c r="O194" s="9">
        <f>IF($K194="","",INDEX('سجل التحفيز'!$C$5:$C$2004,MATCH($K194,'سجل التحفيز'!$AA$5:$AA$2004,0)))</f>
        <v/>
      </c>
      <c r="P194" s="36">
        <f>IF($K194="","",INDEX('سجل التحفيز'!$D$5:$D$2004,MATCH($K194,'سجل التحفيز'!$AA$5:$AA$2004,0)))</f>
        <v/>
      </c>
      <c r="Q194" s="9">
        <f>IF($K194="","",INDEX('سجل التحفيز'!$E$5:$E$2004,MATCH($K194,'سجل التحفيز'!$AA$5:$AA$2004,0)))</f>
        <v/>
      </c>
      <c r="R194" s="9">
        <f>IF($K194="","",INDEX('سجل التحفيز'!$F$5:$F$2004,MATCH($K194,'سجل التحفيز'!$AA$5:$AA$2004,0)))</f>
        <v/>
      </c>
      <c r="S194" s="35">
        <f>IF($K194="","",INDEX('سجل التحفيز'!$G$5:$G$2004,MATCH($K194,'سجل التحفيز'!$AA$5:$AA$2004,0)))</f>
        <v/>
      </c>
    </row>
    <row r="195">
      <c r="K195" s="36">
        <f>IF(158&gt;$B$10,"",158)</f>
        <v/>
      </c>
      <c r="L195" s="37">
        <f>IF($K195="","",INDEX('سجل التحفيز'!$A$5:$A$2004,MATCH($K195,'سجل التحفيز'!$AA$5:$AA$2004,0)))</f>
        <v/>
      </c>
      <c r="M195" s="9">
        <f>IF($K195="","",INDEX('سجل التحفيز'!$B$5:$B$2004,MATCH($K195,'سجل التحفيز'!$AA$5:$AA$2004,0)))</f>
        <v/>
      </c>
      <c r="N195" s="9">
        <f>IF($K195="","",INDEX('سجل التحفيز'!$M$5:$M$2004,MATCH($K195,'سجل التحفيز'!$AA$5:$AA$2004,0)))</f>
        <v/>
      </c>
      <c r="O195" s="9">
        <f>IF($K195="","",INDEX('سجل التحفيز'!$C$5:$C$2004,MATCH($K195,'سجل التحفيز'!$AA$5:$AA$2004,0)))</f>
        <v/>
      </c>
      <c r="P195" s="36">
        <f>IF($K195="","",INDEX('سجل التحفيز'!$D$5:$D$2004,MATCH($K195,'سجل التحفيز'!$AA$5:$AA$2004,0)))</f>
        <v/>
      </c>
      <c r="Q195" s="9">
        <f>IF($K195="","",INDEX('سجل التحفيز'!$E$5:$E$2004,MATCH($K195,'سجل التحفيز'!$AA$5:$AA$2004,0)))</f>
        <v/>
      </c>
      <c r="R195" s="9">
        <f>IF($K195="","",INDEX('سجل التحفيز'!$F$5:$F$2004,MATCH($K195,'سجل التحفيز'!$AA$5:$AA$2004,0)))</f>
        <v/>
      </c>
      <c r="S195" s="35">
        <f>IF($K195="","",INDEX('سجل التحفيز'!$G$5:$G$2004,MATCH($K195,'سجل التحفيز'!$AA$5:$AA$2004,0)))</f>
        <v/>
      </c>
    </row>
    <row r="196">
      <c r="K196" s="36">
        <f>IF(159&gt;$B$10,"",159)</f>
        <v/>
      </c>
      <c r="L196" s="37">
        <f>IF($K196="","",INDEX('سجل التحفيز'!$A$5:$A$2004,MATCH($K196,'سجل التحفيز'!$AA$5:$AA$2004,0)))</f>
        <v/>
      </c>
      <c r="M196" s="9">
        <f>IF($K196="","",INDEX('سجل التحفيز'!$B$5:$B$2004,MATCH($K196,'سجل التحفيز'!$AA$5:$AA$2004,0)))</f>
        <v/>
      </c>
      <c r="N196" s="9">
        <f>IF($K196="","",INDEX('سجل التحفيز'!$M$5:$M$2004,MATCH($K196,'سجل التحفيز'!$AA$5:$AA$2004,0)))</f>
        <v/>
      </c>
      <c r="O196" s="9">
        <f>IF($K196="","",INDEX('سجل التحفيز'!$C$5:$C$2004,MATCH($K196,'سجل التحفيز'!$AA$5:$AA$2004,0)))</f>
        <v/>
      </c>
      <c r="P196" s="36">
        <f>IF($K196="","",INDEX('سجل التحفيز'!$D$5:$D$2004,MATCH($K196,'سجل التحفيز'!$AA$5:$AA$2004,0)))</f>
        <v/>
      </c>
      <c r="Q196" s="9">
        <f>IF($K196="","",INDEX('سجل التحفيز'!$E$5:$E$2004,MATCH($K196,'سجل التحفيز'!$AA$5:$AA$2004,0)))</f>
        <v/>
      </c>
      <c r="R196" s="9">
        <f>IF($K196="","",INDEX('سجل التحفيز'!$F$5:$F$2004,MATCH($K196,'سجل التحفيز'!$AA$5:$AA$2004,0)))</f>
        <v/>
      </c>
      <c r="S196" s="35">
        <f>IF($K196="","",INDEX('سجل التحفيز'!$G$5:$G$2004,MATCH($K196,'سجل التحفيز'!$AA$5:$AA$2004,0)))</f>
        <v/>
      </c>
    </row>
    <row r="197">
      <c r="K197" s="36">
        <f>IF(160&gt;$B$10,"",160)</f>
        <v/>
      </c>
      <c r="L197" s="37">
        <f>IF($K197="","",INDEX('سجل التحفيز'!$A$5:$A$2004,MATCH($K197,'سجل التحفيز'!$AA$5:$AA$2004,0)))</f>
        <v/>
      </c>
      <c r="M197" s="9">
        <f>IF($K197="","",INDEX('سجل التحفيز'!$B$5:$B$2004,MATCH($K197,'سجل التحفيز'!$AA$5:$AA$2004,0)))</f>
        <v/>
      </c>
      <c r="N197" s="9">
        <f>IF($K197="","",INDEX('سجل التحفيز'!$M$5:$M$2004,MATCH($K197,'سجل التحفيز'!$AA$5:$AA$2004,0)))</f>
        <v/>
      </c>
      <c r="O197" s="9">
        <f>IF($K197="","",INDEX('سجل التحفيز'!$C$5:$C$2004,MATCH($K197,'سجل التحفيز'!$AA$5:$AA$2004,0)))</f>
        <v/>
      </c>
      <c r="P197" s="36">
        <f>IF($K197="","",INDEX('سجل التحفيز'!$D$5:$D$2004,MATCH($K197,'سجل التحفيز'!$AA$5:$AA$2004,0)))</f>
        <v/>
      </c>
      <c r="Q197" s="9">
        <f>IF($K197="","",INDEX('سجل التحفيز'!$E$5:$E$2004,MATCH($K197,'سجل التحفيز'!$AA$5:$AA$2004,0)))</f>
        <v/>
      </c>
      <c r="R197" s="9">
        <f>IF($K197="","",INDEX('سجل التحفيز'!$F$5:$F$2004,MATCH($K197,'سجل التحفيز'!$AA$5:$AA$2004,0)))</f>
        <v/>
      </c>
      <c r="S197" s="35">
        <f>IF($K197="","",INDEX('سجل التحفيز'!$G$5:$G$2004,MATCH($K197,'سجل التحفيز'!$AA$5:$AA$2004,0)))</f>
        <v/>
      </c>
    </row>
    <row r="198">
      <c r="K198" s="36">
        <f>IF(161&gt;$B$10,"",161)</f>
        <v/>
      </c>
      <c r="L198" s="37">
        <f>IF($K198="","",INDEX('سجل التحفيز'!$A$5:$A$2004,MATCH($K198,'سجل التحفيز'!$AA$5:$AA$2004,0)))</f>
        <v/>
      </c>
      <c r="M198" s="9">
        <f>IF($K198="","",INDEX('سجل التحفيز'!$B$5:$B$2004,MATCH($K198,'سجل التحفيز'!$AA$5:$AA$2004,0)))</f>
        <v/>
      </c>
      <c r="N198" s="9">
        <f>IF($K198="","",INDEX('سجل التحفيز'!$M$5:$M$2004,MATCH($K198,'سجل التحفيز'!$AA$5:$AA$2004,0)))</f>
        <v/>
      </c>
      <c r="O198" s="9">
        <f>IF($K198="","",INDEX('سجل التحفيز'!$C$5:$C$2004,MATCH($K198,'سجل التحفيز'!$AA$5:$AA$2004,0)))</f>
        <v/>
      </c>
      <c r="P198" s="36">
        <f>IF($K198="","",INDEX('سجل التحفيز'!$D$5:$D$2004,MATCH($K198,'سجل التحفيز'!$AA$5:$AA$2004,0)))</f>
        <v/>
      </c>
      <c r="Q198" s="9">
        <f>IF($K198="","",INDEX('سجل التحفيز'!$E$5:$E$2004,MATCH($K198,'سجل التحفيز'!$AA$5:$AA$2004,0)))</f>
        <v/>
      </c>
      <c r="R198" s="9">
        <f>IF($K198="","",INDEX('سجل التحفيز'!$F$5:$F$2004,MATCH($K198,'سجل التحفيز'!$AA$5:$AA$2004,0)))</f>
        <v/>
      </c>
      <c r="S198" s="35">
        <f>IF($K198="","",INDEX('سجل التحفيز'!$G$5:$G$2004,MATCH($K198,'سجل التحفيز'!$AA$5:$AA$2004,0)))</f>
        <v/>
      </c>
    </row>
    <row r="199">
      <c r="K199" s="36">
        <f>IF(162&gt;$B$10,"",162)</f>
        <v/>
      </c>
      <c r="L199" s="37">
        <f>IF($K199="","",INDEX('سجل التحفيز'!$A$5:$A$2004,MATCH($K199,'سجل التحفيز'!$AA$5:$AA$2004,0)))</f>
        <v/>
      </c>
      <c r="M199" s="9">
        <f>IF($K199="","",INDEX('سجل التحفيز'!$B$5:$B$2004,MATCH($K199,'سجل التحفيز'!$AA$5:$AA$2004,0)))</f>
        <v/>
      </c>
      <c r="N199" s="9">
        <f>IF($K199="","",INDEX('سجل التحفيز'!$M$5:$M$2004,MATCH($K199,'سجل التحفيز'!$AA$5:$AA$2004,0)))</f>
        <v/>
      </c>
      <c r="O199" s="9">
        <f>IF($K199="","",INDEX('سجل التحفيز'!$C$5:$C$2004,MATCH($K199,'سجل التحفيز'!$AA$5:$AA$2004,0)))</f>
        <v/>
      </c>
      <c r="P199" s="36">
        <f>IF($K199="","",INDEX('سجل التحفيز'!$D$5:$D$2004,MATCH($K199,'سجل التحفيز'!$AA$5:$AA$2004,0)))</f>
        <v/>
      </c>
      <c r="Q199" s="9">
        <f>IF($K199="","",INDEX('سجل التحفيز'!$E$5:$E$2004,MATCH($K199,'سجل التحفيز'!$AA$5:$AA$2004,0)))</f>
        <v/>
      </c>
      <c r="R199" s="9">
        <f>IF($K199="","",INDEX('سجل التحفيز'!$F$5:$F$2004,MATCH($K199,'سجل التحفيز'!$AA$5:$AA$2004,0)))</f>
        <v/>
      </c>
      <c r="S199" s="35">
        <f>IF($K199="","",INDEX('سجل التحفيز'!$G$5:$G$2004,MATCH($K199,'سجل التحفيز'!$AA$5:$AA$2004,0)))</f>
        <v/>
      </c>
    </row>
    <row r="200">
      <c r="K200" s="36">
        <f>IF(163&gt;$B$10,"",163)</f>
        <v/>
      </c>
      <c r="L200" s="37">
        <f>IF($K200="","",INDEX('سجل التحفيز'!$A$5:$A$2004,MATCH($K200,'سجل التحفيز'!$AA$5:$AA$2004,0)))</f>
        <v/>
      </c>
      <c r="M200" s="9">
        <f>IF($K200="","",INDEX('سجل التحفيز'!$B$5:$B$2004,MATCH($K200,'سجل التحفيز'!$AA$5:$AA$2004,0)))</f>
        <v/>
      </c>
      <c r="N200" s="9">
        <f>IF($K200="","",INDEX('سجل التحفيز'!$M$5:$M$2004,MATCH($K200,'سجل التحفيز'!$AA$5:$AA$2004,0)))</f>
        <v/>
      </c>
      <c r="O200" s="9">
        <f>IF($K200="","",INDEX('سجل التحفيز'!$C$5:$C$2004,MATCH($K200,'سجل التحفيز'!$AA$5:$AA$2004,0)))</f>
        <v/>
      </c>
      <c r="P200" s="36">
        <f>IF($K200="","",INDEX('سجل التحفيز'!$D$5:$D$2004,MATCH($K200,'سجل التحفيز'!$AA$5:$AA$2004,0)))</f>
        <v/>
      </c>
      <c r="Q200" s="9">
        <f>IF($K200="","",INDEX('سجل التحفيز'!$E$5:$E$2004,MATCH($K200,'سجل التحفيز'!$AA$5:$AA$2004,0)))</f>
        <v/>
      </c>
      <c r="R200" s="9">
        <f>IF($K200="","",INDEX('سجل التحفيز'!$F$5:$F$2004,MATCH($K200,'سجل التحفيز'!$AA$5:$AA$2004,0)))</f>
        <v/>
      </c>
      <c r="S200" s="35">
        <f>IF($K200="","",INDEX('سجل التحفيز'!$G$5:$G$2004,MATCH($K200,'سجل التحفيز'!$AA$5:$AA$2004,0)))</f>
        <v/>
      </c>
    </row>
    <row r="201">
      <c r="K201" s="36">
        <f>IF(164&gt;$B$10,"",164)</f>
        <v/>
      </c>
      <c r="L201" s="37">
        <f>IF($K201="","",INDEX('سجل التحفيز'!$A$5:$A$2004,MATCH($K201,'سجل التحفيز'!$AA$5:$AA$2004,0)))</f>
        <v/>
      </c>
      <c r="M201" s="9">
        <f>IF($K201="","",INDEX('سجل التحفيز'!$B$5:$B$2004,MATCH($K201,'سجل التحفيز'!$AA$5:$AA$2004,0)))</f>
        <v/>
      </c>
      <c r="N201" s="9">
        <f>IF($K201="","",INDEX('سجل التحفيز'!$M$5:$M$2004,MATCH($K201,'سجل التحفيز'!$AA$5:$AA$2004,0)))</f>
        <v/>
      </c>
      <c r="O201" s="9">
        <f>IF($K201="","",INDEX('سجل التحفيز'!$C$5:$C$2004,MATCH($K201,'سجل التحفيز'!$AA$5:$AA$2004,0)))</f>
        <v/>
      </c>
      <c r="P201" s="36">
        <f>IF($K201="","",INDEX('سجل التحفيز'!$D$5:$D$2004,MATCH($K201,'سجل التحفيز'!$AA$5:$AA$2004,0)))</f>
        <v/>
      </c>
      <c r="Q201" s="9">
        <f>IF($K201="","",INDEX('سجل التحفيز'!$E$5:$E$2004,MATCH($K201,'سجل التحفيز'!$AA$5:$AA$2004,0)))</f>
        <v/>
      </c>
      <c r="R201" s="9">
        <f>IF($K201="","",INDEX('سجل التحفيز'!$F$5:$F$2004,MATCH($K201,'سجل التحفيز'!$AA$5:$AA$2004,0)))</f>
        <v/>
      </c>
      <c r="S201" s="35">
        <f>IF($K201="","",INDEX('سجل التحفيز'!$G$5:$G$2004,MATCH($K201,'سجل التحفيز'!$AA$5:$AA$2004,0)))</f>
        <v/>
      </c>
    </row>
    <row r="202">
      <c r="K202" s="36">
        <f>IF(165&gt;$B$10,"",165)</f>
        <v/>
      </c>
      <c r="L202" s="37">
        <f>IF($K202="","",INDEX('سجل التحفيز'!$A$5:$A$2004,MATCH($K202,'سجل التحفيز'!$AA$5:$AA$2004,0)))</f>
        <v/>
      </c>
      <c r="M202" s="9">
        <f>IF($K202="","",INDEX('سجل التحفيز'!$B$5:$B$2004,MATCH($K202,'سجل التحفيز'!$AA$5:$AA$2004,0)))</f>
        <v/>
      </c>
      <c r="N202" s="9">
        <f>IF($K202="","",INDEX('سجل التحفيز'!$M$5:$M$2004,MATCH($K202,'سجل التحفيز'!$AA$5:$AA$2004,0)))</f>
        <v/>
      </c>
      <c r="O202" s="9">
        <f>IF($K202="","",INDEX('سجل التحفيز'!$C$5:$C$2004,MATCH($K202,'سجل التحفيز'!$AA$5:$AA$2004,0)))</f>
        <v/>
      </c>
      <c r="P202" s="36">
        <f>IF($K202="","",INDEX('سجل التحفيز'!$D$5:$D$2004,MATCH($K202,'سجل التحفيز'!$AA$5:$AA$2004,0)))</f>
        <v/>
      </c>
      <c r="Q202" s="9">
        <f>IF($K202="","",INDEX('سجل التحفيز'!$E$5:$E$2004,MATCH($K202,'سجل التحفيز'!$AA$5:$AA$2004,0)))</f>
        <v/>
      </c>
      <c r="R202" s="9">
        <f>IF($K202="","",INDEX('سجل التحفيز'!$F$5:$F$2004,MATCH($K202,'سجل التحفيز'!$AA$5:$AA$2004,0)))</f>
        <v/>
      </c>
      <c r="S202" s="35">
        <f>IF($K202="","",INDEX('سجل التحفيز'!$G$5:$G$2004,MATCH($K202,'سجل التحفيز'!$AA$5:$AA$2004,0)))</f>
        <v/>
      </c>
    </row>
    <row r="203">
      <c r="K203" s="36">
        <f>IF(166&gt;$B$10,"",166)</f>
        <v/>
      </c>
      <c r="L203" s="37">
        <f>IF($K203="","",INDEX('سجل التحفيز'!$A$5:$A$2004,MATCH($K203,'سجل التحفيز'!$AA$5:$AA$2004,0)))</f>
        <v/>
      </c>
      <c r="M203" s="9">
        <f>IF($K203="","",INDEX('سجل التحفيز'!$B$5:$B$2004,MATCH($K203,'سجل التحفيز'!$AA$5:$AA$2004,0)))</f>
        <v/>
      </c>
      <c r="N203" s="9">
        <f>IF($K203="","",INDEX('سجل التحفيز'!$M$5:$M$2004,MATCH($K203,'سجل التحفيز'!$AA$5:$AA$2004,0)))</f>
        <v/>
      </c>
      <c r="O203" s="9">
        <f>IF($K203="","",INDEX('سجل التحفيز'!$C$5:$C$2004,MATCH($K203,'سجل التحفيز'!$AA$5:$AA$2004,0)))</f>
        <v/>
      </c>
      <c r="P203" s="36">
        <f>IF($K203="","",INDEX('سجل التحفيز'!$D$5:$D$2004,MATCH($K203,'سجل التحفيز'!$AA$5:$AA$2004,0)))</f>
        <v/>
      </c>
      <c r="Q203" s="9">
        <f>IF($K203="","",INDEX('سجل التحفيز'!$E$5:$E$2004,MATCH($K203,'سجل التحفيز'!$AA$5:$AA$2004,0)))</f>
        <v/>
      </c>
      <c r="R203" s="9">
        <f>IF($K203="","",INDEX('سجل التحفيز'!$F$5:$F$2004,MATCH($K203,'سجل التحفيز'!$AA$5:$AA$2004,0)))</f>
        <v/>
      </c>
      <c r="S203" s="35">
        <f>IF($K203="","",INDEX('سجل التحفيز'!$G$5:$G$2004,MATCH($K203,'سجل التحفيز'!$AA$5:$AA$2004,0)))</f>
        <v/>
      </c>
    </row>
    <row r="204">
      <c r="K204" s="36">
        <f>IF(167&gt;$B$10,"",167)</f>
        <v/>
      </c>
      <c r="L204" s="37">
        <f>IF($K204="","",INDEX('سجل التحفيز'!$A$5:$A$2004,MATCH($K204,'سجل التحفيز'!$AA$5:$AA$2004,0)))</f>
        <v/>
      </c>
      <c r="M204" s="9">
        <f>IF($K204="","",INDEX('سجل التحفيز'!$B$5:$B$2004,MATCH($K204,'سجل التحفيز'!$AA$5:$AA$2004,0)))</f>
        <v/>
      </c>
      <c r="N204" s="9">
        <f>IF($K204="","",INDEX('سجل التحفيز'!$M$5:$M$2004,MATCH($K204,'سجل التحفيز'!$AA$5:$AA$2004,0)))</f>
        <v/>
      </c>
      <c r="O204" s="9">
        <f>IF($K204="","",INDEX('سجل التحفيز'!$C$5:$C$2004,MATCH($K204,'سجل التحفيز'!$AA$5:$AA$2004,0)))</f>
        <v/>
      </c>
      <c r="P204" s="36">
        <f>IF($K204="","",INDEX('سجل التحفيز'!$D$5:$D$2004,MATCH($K204,'سجل التحفيز'!$AA$5:$AA$2004,0)))</f>
        <v/>
      </c>
      <c r="Q204" s="9">
        <f>IF($K204="","",INDEX('سجل التحفيز'!$E$5:$E$2004,MATCH($K204,'سجل التحفيز'!$AA$5:$AA$2004,0)))</f>
        <v/>
      </c>
      <c r="R204" s="9">
        <f>IF($K204="","",INDEX('سجل التحفيز'!$F$5:$F$2004,MATCH($K204,'سجل التحفيز'!$AA$5:$AA$2004,0)))</f>
        <v/>
      </c>
      <c r="S204" s="35">
        <f>IF($K204="","",INDEX('سجل التحفيز'!$G$5:$G$2004,MATCH($K204,'سجل التحفيز'!$AA$5:$AA$2004,0)))</f>
        <v/>
      </c>
    </row>
    <row r="205">
      <c r="K205" s="36">
        <f>IF(168&gt;$B$10,"",168)</f>
        <v/>
      </c>
      <c r="L205" s="37">
        <f>IF($K205="","",INDEX('سجل التحفيز'!$A$5:$A$2004,MATCH($K205,'سجل التحفيز'!$AA$5:$AA$2004,0)))</f>
        <v/>
      </c>
      <c r="M205" s="9">
        <f>IF($K205="","",INDEX('سجل التحفيز'!$B$5:$B$2004,MATCH($K205,'سجل التحفيز'!$AA$5:$AA$2004,0)))</f>
        <v/>
      </c>
      <c r="N205" s="9">
        <f>IF($K205="","",INDEX('سجل التحفيز'!$M$5:$M$2004,MATCH($K205,'سجل التحفيز'!$AA$5:$AA$2004,0)))</f>
        <v/>
      </c>
      <c r="O205" s="9">
        <f>IF($K205="","",INDEX('سجل التحفيز'!$C$5:$C$2004,MATCH($K205,'سجل التحفيز'!$AA$5:$AA$2004,0)))</f>
        <v/>
      </c>
      <c r="P205" s="36">
        <f>IF($K205="","",INDEX('سجل التحفيز'!$D$5:$D$2004,MATCH($K205,'سجل التحفيز'!$AA$5:$AA$2004,0)))</f>
        <v/>
      </c>
      <c r="Q205" s="9">
        <f>IF($K205="","",INDEX('سجل التحفيز'!$E$5:$E$2004,MATCH($K205,'سجل التحفيز'!$AA$5:$AA$2004,0)))</f>
        <v/>
      </c>
      <c r="R205" s="9">
        <f>IF($K205="","",INDEX('سجل التحفيز'!$F$5:$F$2004,MATCH($K205,'سجل التحفيز'!$AA$5:$AA$2004,0)))</f>
        <v/>
      </c>
      <c r="S205" s="35">
        <f>IF($K205="","",INDEX('سجل التحفيز'!$G$5:$G$2004,MATCH($K205,'سجل التحفيز'!$AA$5:$AA$2004,0)))</f>
        <v/>
      </c>
    </row>
    <row r="206">
      <c r="K206" s="36">
        <f>IF(169&gt;$B$10,"",169)</f>
        <v/>
      </c>
      <c r="L206" s="37">
        <f>IF($K206="","",INDEX('سجل التحفيز'!$A$5:$A$2004,MATCH($K206,'سجل التحفيز'!$AA$5:$AA$2004,0)))</f>
        <v/>
      </c>
      <c r="M206" s="9">
        <f>IF($K206="","",INDEX('سجل التحفيز'!$B$5:$B$2004,MATCH($K206,'سجل التحفيز'!$AA$5:$AA$2004,0)))</f>
        <v/>
      </c>
      <c r="N206" s="9">
        <f>IF($K206="","",INDEX('سجل التحفيز'!$M$5:$M$2004,MATCH($K206,'سجل التحفيز'!$AA$5:$AA$2004,0)))</f>
        <v/>
      </c>
      <c r="O206" s="9">
        <f>IF($K206="","",INDEX('سجل التحفيز'!$C$5:$C$2004,MATCH($K206,'سجل التحفيز'!$AA$5:$AA$2004,0)))</f>
        <v/>
      </c>
      <c r="P206" s="36">
        <f>IF($K206="","",INDEX('سجل التحفيز'!$D$5:$D$2004,MATCH($K206,'سجل التحفيز'!$AA$5:$AA$2004,0)))</f>
        <v/>
      </c>
      <c r="Q206" s="9">
        <f>IF($K206="","",INDEX('سجل التحفيز'!$E$5:$E$2004,MATCH($K206,'سجل التحفيز'!$AA$5:$AA$2004,0)))</f>
        <v/>
      </c>
      <c r="R206" s="9">
        <f>IF($K206="","",INDEX('سجل التحفيز'!$F$5:$F$2004,MATCH($K206,'سجل التحفيز'!$AA$5:$AA$2004,0)))</f>
        <v/>
      </c>
      <c r="S206" s="35">
        <f>IF($K206="","",INDEX('سجل التحفيز'!$G$5:$G$2004,MATCH($K206,'سجل التحفيز'!$AA$5:$AA$2004,0)))</f>
        <v/>
      </c>
    </row>
    <row r="207">
      <c r="K207" s="36">
        <f>IF(170&gt;$B$10,"",170)</f>
        <v/>
      </c>
      <c r="L207" s="37">
        <f>IF($K207="","",INDEX('سجل التحفيز'!$A$5:$A$2004,MATCH($K207,'سجل التحفيز'!$AA$5:$AA$2004,0)))</f>
        <v/>
      </c>
      <c r="M207" s="9">
        <f>IF($K207="","",INDEX('سجل التحفيز'!$B$5:$B$2004,MATCH($K207,'سجل التحفيز'!$AA$5:$AA$2004,0)))</f>
        <v/>
      </c>
      <c r="N207" s="9">
        <f>IF($K207="","",INDEX('سجل التحفيز'!$M$5:$M$2004,MATCH($K207,'سجل التحفيز'!$AA$5:$AA$2004,0)))</f>
        <v/>
      </c>
      <c r="O207" s="9">
        <f>IF($K207="","",INDEX('سجل التحفيز'!$C$5:$C$2004,MATCH($K207,'سجل التحفيز'!$AA$5:$AA$2004,0)))</f>
        <v/>
      </c>
      <c r="P207" s="36">
        <f>IF($K207="","",INDEX('سجل التحفيز'!$D$5:$D$2004,MATCH($K207,'سجل التحفيز'!$AA$5:$AA$2004,0)))</f>
        <v/>
      </c>
      <c r="Q207" s="9">
        <f>IF($K207="","",INDEX('سجل التحفيز'!$E$5:$E$2004,MATCH($K207,'سجل التحفيز'!$AA$5:$AA$2004,0)))</f>
        <v/>
      </c>
      <c r="R207" s="9">
        <f>IF($K207="","",INDEX('سجل التحفيز'!$F$5:$F$2004,MATCH($K207,'سجل التحفيز'!$AA$5:$AA$2004,0)))</f>
        <v/>
      </c>
      <c r="S207" s="35">
        <f>IF($K207="","",INDEX('سجل التحفيز'!$G$5:$G$2004,MATCH($K207,'سجل التحفيز'!$AA$5:$AA$2004,0)))</f>
        <v/>
      </c>
    </row>
    <row r="208">
      <c r="K208" s="36">
        <f>IF(171&gt;$B$10,"",171)</f>
        <v/>
      </c>
      <c r="L208" s="37">
        <f>IF($K208="","",INDEX('سجل التحفيز'!$A$5:$A$2004,MATCH($K208,'سجل التحفيز'!$AA$5:$AA$2004,0)))</f>
        <v/>
      </c>
      <c r="M208" s="9">
        <f>IF($K208="","",INDEX('سجل التحفيز'!$B$5:$B$2004,MATCH($K208,'سجل التحفيز'!$AA$5:$AA$2004,0)))</f>
        <v/>
      </c>
      <c r="N208" s="9">
        <f>IF($K208="","",INDEX('سجل التحفيز'!$M$5:$M$2004,MATCH($K208,'سجل التحفيز'!$AA$5:$AA$2004,0)))</f>
        <v/>
      </c>
      <c r="O208" s="9">
        <f>IF($K208="","",INDEX('سجل التحفيز'!$C$5:$C$2004,MATCH($K208,'سجل التحفيز'!$AA$5:$AA$2004,0)))</f>
        <v/>
      </c>
      <c r="P208" s="36">
        <f>IF($K208="","",INDEX('سجل التحفيز'!$D$5:$D$2004,MATCH($K208,'سجل التحفيز'!$AA$5:$AA$2004,0)))</f>
        <v/>
      </c>
      <c r="Q208" s="9">
        <f>IF($K208="","",INDEX('سجل التحفيز'!$E$5:$E$2004,MATCH($K208,'سجل التحفيز'!$AA$5:$AA$2004,0)))</f>
        <v/>
      </c>
      <c r="R208" s="9">
        <f>IF($K208="","",INDEX('سجل التحفيز'!$F$5:$F$2004,MATCH($K208,'سجل التحفيز'!$AA$5:$AA$2004,0)))</f>
        <v/>
      </c>
      <c r="S208" s="35">
        <f>IF($K208="","",INDEX('سجل التحفيز'!$G$5:$G$2004,MATCH($K208,'سجل التحفيز'!$AA$5:$AA$2004,0)))</f>
        <v/>
      </c>
    </row>
    <row r="209">
      <c r="K209" s="36">
        <f>IF(172&gt;$B$10,"",172)</f>
        <v/>
      </c>
      <c r="L209" s="37">
        <f>IF($K209="","",INDEX('سجل التحفيز'!$A$5:$A$2004,MATCH($K209,'سجل التحفيز'!$AA$5:$AA$2004,0)))</f>
        <v/>
      </c>
      <c r="M209" s="9">
        <f>IF($K209="","",INDEX('سجل التحفيز'!$B$5:$B$2004,MATCH($K209,'سجل التحفيز'!$AA$5:$AA$2004,0)))</f>
        <v/>
      </c>
      <c r="N209" s="9">
        <f>IF($K209="","",INDEX('سجل التحفيز'!$M$5:$M$2004,MATCH($K209,'سجل التحفيز'!$AA$5:$AA$2004,0)))</f>
        <v/>
      </c>
      <c r="O209" s="9">
        <f>IF($K209="","",INDEX('سجل التحفيز'!$C$5:$C$2004,MATCH($K209,'سجل التحفيز'!$AA$5:$AA$2004,0)))</f>
        <v/>
      </c>
      <c r="P209" s="36">
        <f>IF($K209="","",INDEX('سجل التحفيز'!$D$5:$D$2004,MATCH($K209,'سجل التحفيز'!$AA$5:$AA$2004,0)))</f>
        <v/>
      </c>
      <c r="Q209" s="9">
        <f>IF($K209="","",INDEX('سجل التحفيز'!$E$5:$E$2004,MATCH($K209,'سجل التحفيز'!$AA$5:$AA$2004,0)))</f>
        <v/>
      </c>
      <c r="R209" s="9">
        <f>IF($K209="","",INDEX('سجل التحفيز'!$F$5:$F$2004,MATCH($K209,'سجل التحفيز'!$AA$5:$AA$2004,0)))</f>
        <v/>
      </c>
      <c r="S209" s="35">
        <f>IF($K209="","",INDEX('سجل التحفيز'!$G$5:$G$2004,MATCH($K209,'سجل التحفيز'!$AA$5:$AA$2004,0)))</f>
        <v/>
      </c>
    </row>
    <row r="210">
      <c r="K210" s="36">
        <f>IF(173&gt;$B$10,"",173)</f>
        <v/>
      </c>
      <c r="L210" s="37">
        <f>IF($K210="","",INDEX('سجل التحفيز'!$A$5:$A$2004,MATCH($K210,'سجل التحفيز'!$AA$5:$AA$2004,0)))</f>
        <v/>
      </c>
      <c r="M210" s="9">
        <f>IF($K210="","",INDEX('سجل التحفيز'!$B$5:$B$2004,MATCH($K210,'سجل التحفيز'!$AA$5:$AA$2004,0)))</f>
        <v/>
      </c>
      <c r="N210" s="9">
        <f>IF($K210="","",INDEX('سجل التحفيز'!$M$5:$M$2004,MATCH($K210,'سجل التحفيز'!$AA$5:$AA$2004,0)))</f>
        <v/>
      </c>
      <c r="O210" s="9">
        <f>IF($K210="","",INDEX('سجل التحفيز'!$C$5:$C$2004,MATCH($K210,'سجل التحفيز'!$AA$5:$AA$2004,0)))</f>
        <v/>
      </c>
      <c r="P210" s="36">
        <f>IF($K210="","",INDEX('سجل التحفيز'!$D$5:$D$2004,MATCH($K210,'سجل التحفيز'!$AA$5:$AA$2004,0)))</f>
        <v/>
      </c>
      <c r="Q210" s="9">
        <f>IF($K210="","",INDEX('سجل التحفيز'!$E$5:$E$2004,MATCH($K210,'سجل التحفيز'!$AA$5:$AA$2004,0)))</f>
        <v/>
      </c>
      <c r="R210" s="9">
        <f>IF($K210="","",INDEX('سجل التحفيز'!$F$5:$F$2004,MATCH($K210,'سجل التحفيز'!$AA$5:$AA$2004,0)))</f>
        <v/>
      </c>
      <c r="S210" s="35">
        <f>IF($K210="","",INDEX('سجل التحفيز'!$G$5:$G$2004,MATCH($K210,'سجل التحفيز'!$AA$5:$AA$2004,0)))</f>
        <v/>
      </c>
    </row>
    <row r="211">
      <c r="K211" s="36">
        <f>IF(174&gt;$B$10,"",174)</f>
        <v/>
      </c>
      <c r="L211" s="37">
        <f>IF($K211="","",INDEX('سجل التحفيز'!$A$5:$A$2004,MATCH($K211,'سجل التحفيز'!$AA$5:$AA$2004,0)))</f>
        <v/>
      </c>
      <c r="M211" s="9">
        <f>IF($K211="","",INDEX('سجل التحفيز'!$B$5:$B$2004,MATCH($K211,'سجل التحفيز'!$AA$5:$AA$2004,0)))</f>
        <v/>
      </c>
      <c r="N211" s="9">
        <f>IF($K211="","",INDEX('سجل التحفيز'!$M$5:$M$2004,MATCH($K211,'سجل التحفيز'!$AA$5:$AA$2004,0)))</f>
        <v/>
      </c>
      <c r="O211" s="9">
        <f>IF($K211="","",INDEX('سجل التحفيز'!$C$5:$C$2004,MATCH($K211,'سجل التحفيز'!$AA$5:$AA$2004,0)))</f>
        <v/>
      </c>
      <c r="P211" s="36">
        <f>IF($K211="","",INDEX('سجل التحفيز'!$D$5:$D$2004,MATCH($K211,'سجل التحفيز'!$AA$5:$AA$2004,0)))</f>
        <v/>
      </c>
      <c r="Q211" s="9">
        <f>IF($K211="","",INDEX('سجل التحفيز'!$E$5:$E$2004,MATCH($K211,'سجل التحفيز'!$AA$5:$AA$2004,0)))</f>
        <v/>
      </c>
      <c r="R211" s="9">
        <f>IF($K211="","",INDEX('سجل التحفيز'!$F$5:$F$2004,MATCH($K211,'سجل التحفيز'!$AA$5:$AA$2004,0)))</f>
        <v/>
      </c>
      <c r="S211" s="35">
        <f>IF($K211="","",INDEX('سجل التحفيز'!$G$5:$G$2004,MATCH($K211,'سجل التحفيز'!$AA$5:$AA$2004,0)))</f>
        <v/>
      </c>
    </row>
    <row r="212">
      <c r="K212" s="36">
        <f>IF(175&gt;$B$10,"",175)</f>
        <v/>
      </c>
      <c r="L212" s="37">
        <f>IF($K212="","",INDEX('سجل التحفيز'!$A$5:$A$2004,MATCH($K212,'سجل التحفيز'!$AA$5:$AA$2004,0)))</f>
        <v/>
      </c>
      <c r="M212" s="9">
        <f>IF($K212="","",INDEX('سجل التحفيز'!$B$5:$B$2004,MATCH($K212,'سجل التحفيز'!$AA$5:$AA$2004,0)))</f>
        <v/>
      </c>
      <c r="N212" s="9">
        <f>IF($K212="","",INDEX('سجل التحفيز'!$M$5:$M$2004,MATCH($K212,'سجل التحفيز'!$AA$5:$AA$2004,0)))</f>
        <v/>
      </c>
      <c r="O212" s="9">
        <f>IF($K212="","",INDEX('سجل التحفيز'!$C$5:$C$2004,MATCH($K212,'سجل التحفيز'!$AA$5:$AA$2004,0)))</f>
        <v/>
      </c>
      <c r="P212" s="36">
        <f>IF($K212="","",INDEX('سجل التحفيز'!$D$5:$D$2004,MATCH($K212,'سجل التحفيز'!$AA$5:$AA$2004,0)))</f>
        <v/>
      </c>
      <c r="Q212" s="9">
        <f>IF($K212="","",INDEX('سجل التحفيز'!$E$5:$E$2004,MATCH($K212,'سجل التحفيز'!$AA$5:$AA$2004,0)))</f>
        <v/>
      </c>
      <c r="R212" s="9">
        <f>IF($K212="","",INDEX('سجل التحفيز'!$F$5:$F$2004,MATCH($K212,'سجل التحفيز'!$AA$5:$AA$2004,0)))</f>
        <v/>
      </c>
      <c r="S212" s="35">
        <f>IF($K212="","",INDEX('سجل التحفيز'!$G$5:$G$2004,MATCH($K212,'سجل التحفيز'!$AA$5:$AA$2004,0)))</f>
        <v/>
      </c>
    </row>
    <row r="213">
      <c r="K213" s="36">
        <f>IF(176&gt;$B$10,"",176)</f>
        <v/>
      </c>
      <c r="L213" s="37">
        <f>IF($K213="","",INDEX('سجل التحفيز'!$A$5:$A$2004,MATCH($K213,'سجل التحفيز'!$AA$5:$AA$2004,0)))</f>
        <v/>
      </c>
      <c r="M213" s="9">
        <f>IF($K213="","",INDEX('سجل التحفيز'!$B$5:$B$2004,MATCH($K213,'سجل التحفيز'!$AA$5:$AA$2004,0)))</f>
        <v/>
      </c>
      <c r="N213" s="9">
        <f>IF($K213="","",INDEX('سجل التحفيز'!$M$5:$M$2004,MATCH($K213,'سجل التحفيز'!$AA$5:$AA$2004,0)))</f>
        <v/>
      </c>
      <c r="O213" s="9">
        <f>IF($K213="","",INDEX('سجل التحفيز'!$C$5:$C$2004,MATCH($K213,'سجل التحفيز'!$AA$5:$AA$2004,0)))</f>
        <v/>
      </c>
      <c r="P213" s="36">
        <f>IF($K213="","",INDEX('سجل التحفيز'!$D$5:$D$2004,MATCH($K213,'سجل التحفيز'!$AA$5:$AA$2004,0)))</f>
        <v/>
      </c>
      <c r="Q213" s="9">
        <f>IF($K213="","",INDEX('سجل التحفيز'!$E$5:$E$2004,MATCH($K213,'سجل التحفيز'!$AA$5:$AA$2004,0)))</f>
        <v/>
      </c>
      <c r="R213" s="9">
        <f>IF($K213="","",INDEX('سجل التحفيز'!$F$5:$F$2004,MATCH($K213,'سجل التحفيز'!$AA$5:$AA$2004,0)))</f>
        <v/>
      </c>
      <c r="S213" s="35">
        <f>IF($K213="","",INDEX('سجل التحفيز'!$G$5:$G$2004,MATCH($K213,'سجل التحفيز'!$AA$5:$AA$2004,0)))</f>
        <v/>
      </c>
    </row>
    <row r="214">
      <c r="K214" s="36">
        <f>IF(177&gt;$B$10,"",177)</f>
        <v/>
      </c>
      <c r="L214" s="37">
        <f>IF($K214="","",INDEX('سجل التحفيز'!$A$5:$A$2004,MATCH($K214,'سجل التحفيز'!$AA$5:$AA$2004,0)))</f>
        <v/>
      </c>
      <c r="M214" s="9">
        <f>IF($K214="","",INDEX('سجل التحفيز'!$B$5:$B$2004,MATCH($K214,'سجل التحفيز'!$AA$5:$AA$2004,0)))</f>
        <v/>
      </c>
      <c r="N214" s="9">
        <f>IF($K214="","",INDEX('سجل التحفيز'!$M$5:$M$2004,MATCH($K214,'سجل التحفيز'!$AA$5:$AA$2004,0)))</f>
        <v/>
      </c>
      <c r="O214" s="9">
        <f>IF($K214="","",INDEX('سجل التحفيز'!$C$5:$C$2004,MATCH($K214,'سجل التحفيز'!$AA$5:$AA$2004,0)))</f>
        <v/>
      </c>
      <c r="P214" s="36">
        <f>IF($K214="","",INDEX('سجل التحفيز'!$D$5:$D$2004,MATCH($K214,'سجل التحفيز'!$AA$5:$AA$2004,0)))</f>
        <v/>
      </c>
      <c r="Q214" s="9">
        <f>IF($K214="","",INDEX('سجل التحفيز'!$E$5:$E$2004,MATCH($K214,'سجل التحفيز'!$AA$5:$AA$2004,0)))</f>
        <v/>
      </c>
      <c r="R214" s="9">
        <f>IF($K214="","",INDEX('سجل التحفيز'!$F$5:$F$2004,MATCH($K214,'سجل التحفيز'!$AA$5:$AA$2004,0)))</f>
        <v/>
      </c>
      <c r="S214" s="35">
        <f>IF($K214="","",INDEX('سجل التحفيز'!$G$5:$G$2004,MATCH($K214,'سجل التحفيز'!$AA$5:$AA$2004,0)))</f>
        <v/>
      </c>
    </row>
    <row r="215">
      <c r="K215" s="36">
        <f>IF(178&gt;$B$10,"",178)</f>
        <v/>
      </c>
      <c r="L215" s="37">
        <f>IF($K215="","",INDEX('سجل التحفيز'!$A$5:$A$2004,MATCH($K215,'سجل التحفيز'!$AA$5:$AA$2004,0)))</f>
        <v/>
      </c>
      <c r="M215" s="9">
        <f>IF($K215="","",INDEX('سجل التحفيز'!$B$5:$B$2004,MATCH($K215,'سجل التحفيز'!$AA$5:$AA$2004,0)))</f>
        <v/>
      </c>
      <c r="N215" s="9">
        <f>IF($K215="","",INDEX('سجل التحفيز'!$M$5:$M$2004,MATCH($K215,'سجل التحفيز'!$AA$5:$AA$2004,0)))</f>
        <v/>
      </c>
      <c r="O215" s="9">
        <f>IF($K215="","",INDEX('سجل التحفيز'!$C$5:$C$2004,MATCH($K215,'سجل التحفيز'!$AA$5:$AA$2004,0)))</f>
        <v/>
      </c>
      <c r="P215" s="36">
        <f>IF($K215="","",INDEX('سجل التحفيز'!$D$5:$D$2004,MATCH($K215,'سجل التحفيز'!$AA$5:$AA$2004,0)))</f>
        <v/>
      </c>
      <c r="Q215" s="9">
        <f>IF($K215="","",INDEX('سجل التحفيز'!$E$5:$E$2004,MATCH($K215,'سجل التحفيز'!$AA$5:$AA$2004,0)))</f>
        <v/>
      </c>
      <c r="R215" s="9">
        <f>IF($K215="","",INDEX('سجل التحفيز'!$F$5:$F$2004,MATCH($K215,'سجل التحفيز'!$AA$5:$AA$2004,0)))</f>
        <v/>
      </c>
      <c r="S215" s="35">
        <f>IF($K215="","",INDEX('سجل التحفيز'!$G$5:$G$2004,MATCH($K215,'سجل التحفيز'!$AA$5:$AA$2004,0)))</f>
        <v/>
      </c>
    </row>
    <row r="216">
      <c r="K216" s="36">
        <f>IF(179&gt;$B$10,"",179)</f>
        <v/>
      </c>
      <c r="L216" s="37">
        <f>IF($K216="","",INDEX('سجل التحفيز'!$A$5:$A$2004,MATCH($K216,'سجل التحفيز'!$AA$5:$AA$2004,0)))</f>
        <v/>
      </c>
      <c r="M216" s="9">
        <f>IF($K216="","",INDEX('سجل التحفيز'!$B$5:$B$2004,MATCH($K216,'سجل التحفيز'!$AA$5:$AA$2004,0)))</f>
        <v/>
      </c>
      <c r="N216" s="9">
        <f>IF($K216="","",INDEX('سجل التحفيز'!$M$5:$M$2004,MATCH($K216,'سجل التحفيز'!$AA$5:$AA$2004,0)))</f>
        <v/>
      </c>
      <c r="O216" s="9">
        <f>IF($K216="","",INDEX('سجل التحفيز'!$C$5:$C$2004,MATCH($K216,'سجل التحفيز'!$AA$5:$AA$2004,0)))</f>
        <v/>
      </c>
      <c r="P216" s="36">
        <f>IF($K216="","",INDEX('سجل التحفيز'!$D$5:$D$2004,MATCH($K216,'سجل التحفيز'!$AA$5:$AA$2004,0)))</f>
        <v/>
      </c>
      <c r="Q216" s="9">
        <f>IF($K216="","",INDEX('سجل التحفيز'!$E$5:$E$2004,MATCH($K216,'سجل التحفيز'!$AA$5:$AA$2004,0)))</f>
        <v/>
      </c>
      <c r="R216" s="9">
        <f>IF($K216="","",INDEX('سجل التحفيز'!$F$5:$F$2004,MATCH($K216,'سجل التحفيز'!$AA$5:$AA$2004,0)))</f>
        <v/>
      </c>
      <c r="S216" s="35">
        <f>IF($K216="","",INDEX('سجل التحفيز'!$G$5:$G$2004,MATCH($K216,'سجل التحفيز'!$AA$5:$AA$2004,0)))</f>
        <v/>
      </c>
    </row>
    <row r="217">
      <c r="K217" s="36">
        <f>IF(180&gt;$B$10,"",180)</f>
        <v/>
      </c>
      <c r="L217" s="37">
        <f>IF($K217="","",INDEX('سجل التحفيز'!$A$5:$A$2004,MATCH($K217,'سجل التحفيز'!$AA$5:$AA$2004,0)))</f>
        <v/>
      </c>
      <c r="M217" s="9">
        <f>IF($K217="","",INDEX('سجل التحفيز'!$B$5:$B$2004,MATCH($K217,'سجل التحفيز'!$AA$5:$AA$2004,0)))</f>
        <v/>
      </c>
      <c r="N217" s="9">
        <f>IF($K217="","",INDEX('سجل التحفيز'!$M$5:$M$2004,MATCH($K217,'سجل التحفيز'!$AA$5:$AA$2004,0)))</f>
        <v/>
      </c>
      <c r="O217" s="9">
        <f>IF($K217="","",INDEX('سجل التحفيز'!$C$5:$C$2004,MATCH($K217,'سجل التحفيز'!$AA$5:$AA$2004,0)))</f>
        <v/>
      </c>
      <c r="P217" s="36">
        <f>IF($K217="","",INDEX('سجل التحفيز'!$D$5:$D$2004,MATCH($K217,'سجل التحفيز'!$AA$5:$AA$2004,0)))</f>
        <v/>
      </c>
      <c r="Q217" s="9">
        <f>IF($K217="","",INDEX('سجل التحفيز'!$E$5:$E$2004,MATCH($K217,'سجل التحفيز'!$AA$5:$AA$2004,0)))</f>
        <v/>
      </c>
      <c r="R217" s="9">
        <f>IF($K217="","",INDEX('سجل التحفيز'!$F$5:$F$2004,MATCH($K217,'سجل التحفيز'!$AA$5:$AA$2004,0)))</f>
        <v/>
      </c>
      <c r="S217" s="35">
        <f>IF($K217="","",INDEX('سجل التحفيز'!$G$5:$G$2004,MATCH($K217,'سجل التحفيز'!$AA$5:$AA$2004,0)))</f>
        <v/>
      </c>
    </row>
    <row r="218">
      <c r="K218" s="36">
        <f>IF(181&gt;$B$10,"",181)</f>
        <v/>
      </c>
      <c r="L218" s="37">
        <f>IF($K218="","",INDEX('سجل التحفيز'!$A$5:$A$2004,MATCH($K218,'سجل التحفيز'!$AA$5:$AA$2004,0)))</f>
        <v/>
      </c>
      <c r="M218" s="9">
        <f>IF($K218="","",INDEX('سجل التحفيز'!$B$5:$B$2004,MATCH($K218,'سجل التحفيز'!$AA$5:$AA$2004,0)))</f>
        <v/>
      </c>
      <c r="N218" s="9">
        <f>IF($K218="","",INDEX('سجل التحفيز'!$M$5:$M$2004,MATCH($K218,'سجل التحفيز'!$AA$5:$AA$2004,0)))</f>
        <v/>
      </c>
      <c r="O218" s="9">
        <f>IF($K218="","",INDEX('سجل التحفيز'!$C$5:$C$2004,MATCH($K218,'سجل التحفيز'!$AA$5:$AA$2004,0)))</f>
        <v/>
      </c>
      <c r="P218" s="36">
        <f>IF($K218="","",INDEX('سجل التحفيز'!$D$5:$D$2004,MATCH($K218,'سجل التحفيز'!$AA$5:$AA$2004,0)))</f>
        <v/>
      </c>
      <c r="Q218" s="9">
        <f>IF($K218="","",INDEX('سجل التحفيز'!$E$5:$E$2004,MATCH($K218,'سجل التحفيز'!$AA$5:$AA$2004,0)))</f>
        <v/>
      </c>
      <c r="R218" s="9">
        <f>IF($K218="","",INDEX('سجل التحفيز'!$F$5:$F$2004,MATCH($K218,'سجل التحفيز'!$AA$5:$AA$2004,0)))</f>
        <v/>
      </c>
      <c r="S218" s="35">
        <f>IF($K218="","",INDEX('سجل التحفيز'!$G$5:$G$2004,MATCH($K218,'سجل التحفيز'!$AA$5:$AA$2004,0)))</f>
        <v/>
      </c>
    </row>
    <row r="219">
      <c r="K219" s="36">
        <f>IF(182&gt;$B$10,"",182)</f>
        <v/>
      </c>
      <c r="L219" s="37">
        <f>IF($K219="","",INDEX('سجل التحفيز'!$A$5:$A$2004,MATCH($K219,'سجل التحفيز'!$AA$5:$AA$2004,0)))</f>
        <v/>
      </c>
      <c r="M219" s="9">
        <f>IF($K219="","",INDEX('سجل التحفيز'!$B$5:$B$2004,MATCH($K219,'سجل التحفيز'!$AA$5:$AA$2004,0)))</f>
        <v/>
      </c>
      <c r="N219" s="9">
        <f>IF($K219="","",INDEX('سجل التحفيز'!$M$5:$M$2004,MATCH($K219,'سجل التحفيز'!$AA$5:$AA$2004,0)))</f>
        <v/>
      </c>
      <c r="O219" s="9">
        <f>IF($K219="","",INDEX('سجل التحفيز'!$C$5:$C$2004,MATCH($K219,'سجل التحفيز'!$AA$5:$AA$2004,0)))</f>
        <v/>
      </c>
      <c r="P219" s="36">
        <f>IF($K219="","",INDEX('سجل التحفيز'!$D$5:$D$2004,MATCH($K219,'سجل التحفيز'!$AA$5:$AA$2004,0)))</f>
        <v/>
      </c>
      <c r="Q219" s="9">
        <f>IF($K219="","",INDEX('سجل التحفيز'!$E$5:$E$2004,MATCH($K219,'سجل التحفيز'!$AA$5:$AA$2004,0)))</f>
        <v/>
      </c>
      <c r="R219" s="9">
        <f>IF($K219="","",INDEX('سجل التحفيز'!$F$5:$F$2004,MATCH($K219,'سجل التحفيز'!$AA$5:$AA$2004,0)))</f>
        <v/>
      </c>
      <c r="S219" s="35">
        <f>IF($K219="","",INDEX('سجل التحفيز'!$G$5:$G$2004,MATCH($K219,'سجل التحفيز'!$AA$5:$AA$2004,0)))</f>
        <v/>
      </c>
    </row>
    <row r="220">
      <c r="K220" s="36">
        <f>IF(183&gt;$B$10,"",183)</f>
        <v/>
      </c>
      <c r="L220" s="37">
        <f>IF($K220="","",INDEX('سجل التحفيز'!$A$5:$A$2004,MATCH($K220,'سجل التحفيز'!$AA$5:$AA$2004,0)))</f>
        <v/>
      </c>
      <c r="M220" s="9">
        <f>IF($K220="","",INDEX('سجل التحفيز'!$B$5:$B$2004,MATCH($K220,'سجل التحفيز'!$AA$5:$AA$2004,0)))</f>
        <v/>
      </c>
      <c r="N220" s="9">
        <f>IF($K220="","",INDEX('سجل التحفيز'!$M$5:$M$2004,MATCH($K220,'سجل التحفيز'!$AA$5:$AA$2004,0)))</f>
        <v/>
      </c>
      <c r="O220" s="9">
        <f>IF($K220="","",INDEX('سجل التحفيز'!$C$5:$C$2004,MATCH($K220,'سجل التحفيز'!$AA$5:$AA$2004,0)))</f>
        <v/>
      </c>
      <c r="P220" s="36">
        <f>IF($K220="","",INDEX('سجل التحفيز'!$D$5:$D$2004,MATCH($K220,'سجل التحفيز'!$AA$5:$AA$2004,0)))</f>
        <v/>
      </c>
      <c r="Q220" s="9">
        <f>IF($K220="","",INDEX('سجل التحفيز'!$E$5:$E$2004,MATCH($K220,'سجل التحفيز'!$AA$5:$AA$2004,0)))</f>
        <v/>
      </c>
      <c r="R220" s="9">
        <f>IF($K220="","",INDEX('سجل التحفيز'!$F$5:$F$2004,MATCH($K220,'سجل التحفيز'!$AA$5:$AA$2004,0)))</f>
        <v/>
      </c>
      <c r="S220" s="35">
        <f>IF($K220="","",INDEX('سجل التحفيز'!$G$5:$G$2004,MATCH($K220,'سجل التحفيز'!$AA$5:$AA$2004,0)))</f>
        <v/>
      </c>
    </row>
    <row r="221">
      <c r="K221" s="36">
        <f>IF(184&gt;$B$10,"",184)</f>
        <v/>
      </c>
      <c r="L221" s="37">
        <f>IF($K221="","",INDEX('سجل التحفيز'!$A$5:$A$2004,MATCH($K221,'سجل التحفيز'!$AA$5:$AA$2004,0)))</f>
        <v/>
      </c>
      <c r="M221" s="9">
        <f>IF($K221="","",INDEX('سجل التحفيز'!$B$5:$B$2004,MATCH($K221,'سجل التحفيز'!$AA$5:$AA$2004,0)))</f>
        <v/>
      </c>
      <c r="N221" s="9">
        <f>IF($K221="","",INDEX('سجل التحفيز'!$M$5:$M$2004,MATCH($K221,'سجل التحفيز'!$AA$5:$AA$2004,0)))</f>
        <v/>
      </c>
      <c r="O221" s="9">
        <f>IF($K221="","",INDEX('سجل التحفيز'!$C$5:$C$2004,MATCH($K221,'سجل التحفيز'!$AA$5:$AA$2004,0)))</f>
        <v/>
      </c>
      <c r="P221" s="36">
        <f>IF($K221="","",INDEX('سجل التحفيز'!$D$5:$D$2004,MATCH($K221,'سجل التحفيز'!$AA$5:$AA$2004,0)))</f>
        <v/>
      </c>
      <c r="Q221" s="9">
        <f>IF($K221="","",INDEX('سجل التحفيز'!$E$5:$E$2004,MATCH($K221,'سجل التحفيز'!$AA$5:$AA$2004,0)))</f>
        <v/>
      </c>
      <c r="R221" s="9">
        <f>IF($K221="","",INDEX('سجل التحفيز'!$F$5:$F$2004,MATCH($K221,'سجل التحفيز'!$AA$5:$AA$2004,0)))</f>
        <v/>
      </c>
      <c r="S221" s="35">
        <f>IF($K221="","",INDEX('سجل التحفيز'!$G$5:$G$2004,MATCH($K221,'سجل التحفيز'!$AA$5:$AA$2004,0)))</f>
        <v/>
      </c>
    </row>
    <row r="222">
      <c r="K222" s="36">
        <f>IF(185&gt;$B$10,"",185)</f>
        <v/>
      </c>
      <c r="L222" s="37">
        <f>IF($K222="","",INDEX('سجل التحفيز'!$A$5:$A$2004,MATCH($K222,'سجل التحفيز'!$AA$5:$AA$2004,0)))</f>
        <v/>
      </c>
      <c r="M222" s="9">
        <f>IF($K222="","",INDEX('سجل التحفيز'!$B$5:$B$2004,MATCH($K222,'سجل التحفيز'!$AA$5:$AA$2004,0)))</f>
        <v/>
      </c>
      <c r="N222" s="9">
        <f>IF($K222="","",INDEX('سجل التحفيز'!$M$5:$M$2004,MATCH($K222,'سجل التحفيز'!$AA$5:$AA$2004,0)))</f>
        <v/>
      </c>
      <c r="O222" s="9">
        <f>IF($K222="","",INDEX('سجل التحفيز'!$C$5:$C$2004,MATCH($K222,'سجل التحفيز'!$AA$5:$AA$2004,0)))</f>
        <v/>
      </c>
      <c r="P222" s="36">
        <f>IF($K222="","",INDEX('سجل التحفيز'!$D$5:$D$2004,MATCH($K222,'سجل التحفيز'!$AA$5:$AA$2004,0)))</f>
        <v/>
      </c>
      <c r="Q222" s="9">
        <f>IF($K222="","",INDEX('سجل التحفيز'!$E$5:$E$2004,MATCH($K222,'سجل التحفيز'!$AA$5:$AA$2004,0)))</f>
        <v/>
      </c>
      <c r="R222" s="9">
        <f>IF($K222="","",INDEX('سجل التحفيز'!$F$5:$F$2004,MATCH($K222,'سجل التحفيز'!$AA$5:$AA$2004,0)))</f>
        <v/>
      </c>
      <c r="S222" s="35">
        <f>IF($K222="","",INDEX('سجل التحفيز'!$G$5:$G$2004,MATCH($K222,'سجل التحفيز'!$AA$5:$AA$2004,0)))</f>
        <v/>
      </c>
    </row>
    <row r="223">
      <c r="K223" s="36">
        <f>IF(186&gt;$B$10,"",186)</f>
        <v/>
      </c>
      <c r="L223" s="37">
        <f>IF($K223="","",INDEX('سجل التحفيز'!$A$5:$A$2004,MATCH($K223,'سجل التحفيز'!$AA$5:$AA$2004,0)))</f>
        <v/>
      </c>
      <c r="M223" s="9">
        <f>IF($K223="","",INDEX('سجل التحفيز'!$B$5:$B$2004,MATCH($K223,'سجل التحفيز'!$AA$5:$AA$2004,0)))</f>
        <v/>
      </c>
      <c r="N223" s="9">
        <f>IF($K223="","",INDEX('سجل التحفيز'!$M$5:$M$2004,MATCH($K223,'سجل التحفيز'!$AA$5:$AA$2004,0)))</f>
        <v/>
      </c>
      <c r="O223" s="9">
        <f>IF($K223="","",INDEX('سجل التحفيز'!$C$5:$C$2004,MATCH($K223,'سجل التحفيز'!$AA$5:$AA$2004,0)))</f>
        <v/>
      </c>
      <c r="P223" s="36">
        <f>IF($K223="","",INDEX('سجل التحفيز'!$D$5:$D$2004,MATCH($K223,'سجل التحفيز'!$AA$5:$AA$2004,0)))</f>
        <v/>
      </c>
      <c r="Q223" s="9">
        <f>IF($K223="","",INDEX('سجل التحفيز'!$E$5:$E$2004,MATCH($K223,'سجل التحفيز'!$AA$5:$AA$2004,0)))</f>
        <v/>
      </c>
      <c r="R223" s="9">
        <f>IF($K223="","",INDEX('سجل التحفيز'!$F$5:$F$2004,MATCH($K223,'سجل التحفيز'!$AA$5:$AA$2004,0)))</f>
        <v/>
      </c>
      <c r="S223" s="35">
        <f>IF($K223="","",INDEX('سجل التحفيز'!$G$5:$G$2004,MATCH($K223,'سجل التحفيز'!$AA$5:$AA$2004,0)))</f>
        <v/>
      </c>
    </row>
    <row r="224">
      <c r="K224" s="36">
        <f>IF(187&gt;$B$10,"",187)</f>
        <v/>
      </c>
      <c r="L224" s="37">
        <f>IF($K224="","",INDEX('سجل التحفيز'!$A$5:$A$2004,MATCH($K224,'سجل التحفيز'!$AA$5:$AA$2004,0)))</f>
        <v/>
      </c>
      <c r="M224" s="9">
        <f>IF($K224="","",INDEX('سجل التحفيز'!$B$5:$B$2004,MATCH($K224,'سجل التحفيز'!$AA$5:$AA$2004,0)))</f>
        <v/>
      </c>
      <c r="N224" s="9">
        <f>IF($K224="","",INDEX('سجل التحفيز'!$M$5:$M$2004,MATCH($K224,'سجل التحفيز'!$AA$5:$AA$2004,0)))</f>
        <v/>
      </c>
      <c r="O224" s="9">
        <f>IF($K224="","",INDEX('سجل التحفيز'!$C$5:$C$2004,MATCH($K224,'سجل التحفيز'!$AA$5:$AA$2004,0)))</f>
        <v/>
      </c>
      <c r="P224" s="36">
        <f>IF($K224="","",INDEX('سجل التحفيز'!$D$5:$D$2004,MATCH($K224,'سجل التحفيز'!$AA$5:$AA$2004,0)))</f>
        <v/>
      </c>
      <c r="Q224" s="9">
        <f>IF($K224="","",INDEX('سجل التحفيز'!$E$5:$E$2004,MATCH($K224,'سجل التحفيز'!$AA$5:$AA$2004,0)))</f>
        <v/>
      </c>
      <c r="R224" s="9">
        <f>IF($K224="","",INDEX('سجل التحفيز'!$F$5:$F$2004,MATCH($K224,'سجل التحفيز'!$AA$5:$AA$2004,0)))</f>
        <v/>
      </c>
      <c r="S224" s="35">
        <f>IF($K224="","",INDEX('سجل التحفيز'!$G$5:$G$2004,MATCH($K224,'سجل التحفيز'!$AA$5:$AA$2004,0)))</f>
        <v/>
      </c>
    </row>
    <row r="225">
      <c r="K225" s="36">
        <f>IF(188&gt;$B$10,"",188)</f>
        <v/>
      </c>
      <c r="L225" s="37">
        <f>IF($K225="","",INDEX('سجل التحفيز'!$A$5:$A$2004,MATCH($K225,'سجل التحفيز'!$AA$5:$AA$2004,0)))</f>
        <v/>
      </c>
      <c r="M225" s="9">
        <f>IF($K225="","",INDEX('سجل التحفيز'!$B$5:$B$2004,MATCH($K225,'سجل التحفيز'!$AA$5:$AA$2004,0)))</f>
        <v/>
      </c>
      <c r="N225" s="9">
        <f>IF($K225="","",INDEX('سجل التحفيز'!$M$5:$M$2004,MATCH($K225,'سجل التحفيز'!$AA$5:$AA$2004,0)))</f>
        <v/>
      </c>
      <c r="O225" s="9">
        <f>IF($K225="","",INDEX('سجل التحفيز'!$C$5:$C$2004,MATCH($K225,'سجل التحفيز'!$AA$5:$AA$2004,0)))</f>
        <v/>
      </c>
      <c r="P225" s="36">
        <f>IF($K225="","",INDEX('سجل التحفيز'!$D$5:$D$2004,MATCH($K225,'سجل التحفيز'!$AA$5:$AA$2004,0)))</f>
        <v/>
      </c>
      <c r="Q225" s="9">
        <f>IF($K225="","",INDEX('سجل التحفيز'!$E$5:$E$2004,MATCH($K225,'سجل التحفيز'!$AA$5:$AA$2004,0)))</f>
        <v/>
      </c>
      <c r="R225" s="9">
        <f>IF($K225="","",INDEX('سجل التحفيز'!$F$5:$F$2004,MATCH($K225,'سجل التحفيز'!$AA$5:$AA$2004,0)))</f>
        <v/>
      </c>
      <c r="S225" s="35">
        <f>IF($K225="","",INDEX('سجل التحفيز'!$G$5:$G$2004,MATCH($K225,'سجل التحفيز'!$AA$5:$AA$2004,0)))</f>
        <v/>
      </c>
    </row>
    <row r="226">
      <c r="K226" s="36">
        <f>IF(189&gt;$B$10,"",189)</f>
        <v/>
      </c>
      <c r="L226" s="37">
        <f>IF($K226="","",INDEX('سجل التحفيز'!$A$5:$A$2004,MATCH($K226,'سجل التحفيز'!$AA$5:$AA$2004,0)))</f>
        <v/>
      </c>
      <c r="M226" s="9">
        <f>IF($K226="","",INDEX('سجل التحفيز'!$B$5:$B$2004,MATCH($K226,'سجل التحفيز'!$AA$5:$AA$2004,0)))</f>
        <v/>
      </c>
      <c r="N226" s="9">
        <f>IF($K226="","",INDEX('سجل التحفيز'!$M$5:$M$2004,MATCH($K226,'سجل التحفيز'!$AA$5:$AA$2004,0)))</f>
        <v/>
      </c>
      <c r="O226" s="9">
        <f>IF($K226="","",INDEX('سجل التحفيز'!$C$5:$C$2004,MATCH($K226,'سجل التحفيز'!$AA$5:$AA$2004,0)))</f>
        <v/>
      </c>
      <c r="P226" s="36">
        <f>IF($K226="","",INDEX('سجل التحفيز'!$D$5:$D$2004,MATCH($K226,'سجل التحفيز'!$AA$5:$AA$2004,0)))</f>
        <v/>
      </c>
      <c r="Q226" s="9">
        <f>IF($K226="","",INDEX('سجل التحفيز'!$E$5:$E$2004,MATCH($K226,'سجل التحفيز'!$AA$5:$AA$2004,0)))</f>
        <v/>
      </c>
      <c r="R226" s="9">
        <f>IF($K226="","",INDEX('سجل التحفيز'!$F$5:$F$2004,MATCH($K226,'سجل التحفيز'!$AA$5:$AA$2004,0)))</f>
        <v/>
      </c>
      <c r="S226" s="35">
        <f>IF($K226="","",INDEX('سجل التحفيز'!$G$5:$G$2004,MATCH($K226,'سجل التحفيز'!$AA$5:$AA$2004,0)))</f>
        <v/>
      </c>
    </row>
    <row r="227">
      <c r="K227" s="36">
        <f>IF(190&gt;$B$10,"",190)</f>
        <v/>
      </c>
      <c r="L227" s="37">
        <f>IF($K227="","",INDEX('سجل التحفيز'!$A$5:$A$2004,MATCH($K227,'سجل التحفيز'!$AA$5:$AA$2004,0)))</f>
        <v/>
      </c>
      <c r="M227" s="9">
        <f>IF($K227="","",INDEX('سجل التحفيز'!$B$5:$B$2004,MATCH($K227,'سجل التحفيز'!$AA$5:$AA$2004,0)))</f>
        <v/>
      </c>
      <c r="N227" s="9">
        <f>IF($K227="","",INDEX('سجل التحفيز'!$M$5:$M$2004,MATCH($K227,'سجل التحفيز'!$AA$5:$AA$2004,0)))</f>
        <v/>
      </c>
      <c r="O227" s="9">
        <f>IF($K227="","",INDEX('سجل التحفيز'!$C$5:$C$2004,MATCH($K227,'سجل التحفيز'!$AA$5:$AA$2004,0)))</f>
        <v/>
      </c>
      <c r="P227" s="36">
        <f>IF($K227="","",INDEX('سجل التحفيز'!$D$5:$D$2004,MATCH($K227,'سجل التحفيز'!$AA$5:$AA$2004,0)))</f>
        <v/>
      </c>
      <c r="Q227" s="9">
        <f>IF($K227="","",INDEX('سجل التحفيز'!$E$5:$E$2004,MATCH($K227,'سجل التحفيز'!$AA$5:$AA$2004,0)))</f>
        <v/>
      </c>
      <c r="R227" s="9">
        <f>IF($K227="","",INDEX('سجل التحفيز'!$F$5:$F$2004,MATCH($K227,'سجل التحفيز'!$AA$5:$AA$2004,0)))</f>
        <v/>
      </c>
      <c r="S227" s="35">
        <f>IF($K227="","",INDEX('سجل التحفيز'!$G$5:$G$2004,MATCH($K227,'سجل التحفيز'!$AA$5:$AA$2004,0)))</f>
        <v/>
      </c>
    </row>
    <row r="228">
      <c r="K228" s="36">
        <f>IF(191&gt;$B$10,"",191)</f>
        <v/>
      </c>
      <c r="L228" s="37">
        <f>IF($K228="","",INDEX('سجل التحفيز'!$A$5:$A$2004,MATCH($K228,'سجل التحفيز'!$AA$5:$AA$2004,0)))</f>
        <v/>
      </c>
      <c r="M228" s="9">
        <f>IF($K228="","",INDEX('سجل التحفيز'!$B$5:$B$2004,MATCH($K228,'سجل التحفيز'!$AA$5:$AA$2004,0)))</f>
        <v/>
      </c>
      <c r="N228" s="9">
        <f>IF($K228="","",INDEX('سجل التحفيز'!$M$5:$M$2004,MATCH($K228,'سجل التحفيز'!$AA$5:$AA$2004,0)))</f>
        <v/>
      </c>
      <c r="O228" s="9">
        <f>IF($K228="","",INDEX('سجل التحفيز'!$C$5:$C$2004,MATCH($K228,'سجل التحفيز'!$AA$5:$AA$2004,0)))</f>
        <v/>
      </c>
      <c r="P228" s="36">
        <f>IF($K228="","",INDEX('سجل التحفيز'!$D$5:$D$2004,MATCH($K228,'سجل التحفيز'!$AA$5:$AA$2004,0)))</f>
        <v/>
      </c>
      <c r="Q228" s="9">
        <f>IF($K228="","",INDEX('سجل التحفيز'!$E$5:$E$2004,MATCH($K228,'سجل التحفيز'!$AA$5:$AA$2004,0)))</f>
        <v/>
      </c>
      <c r="R228" s="9">
        <f>IF($K228="","",INDEX('سجل التحفيز'!$F$5:$F$2004,MATCH($K228,'سجل التحفيز'!$AA$5:$AA$2004,0)))</f>
        <v/>
      </c>
      <c r="S228" s="35">
        <f>IF($K228="","",INDEX('سجل التحفيز'!$G$5:$G$2004,MATCH($K228,'سجل التحفيز'!$AA$5:$AA$2004,0)))</f>
        <v/>
      </c>
    </row>
    <row r="229">
      <c r="K229" s="36">
        <f>IF(192&gt;$B$10,"",192)</f>
        <v/>
      </c>
      <c r="L229" s="37">
        <f>IF($K229="","",INDEX('سجل التحفيز'!$A$5:$A$2004,MATCH($K229,'سجل التحفيز'!$AA$5:$AA$2004,0)))</f>
        <v/>
      </c>
      <c r="M229" s="9">
        <f>IF($K229="","",INDEX('سجل التحفيز'!$B$5:$B$2004,MATCH($K229,'سجل التحفيز'!$AA$5:$AA$2004,0)))</f>
        <v/>
      </c>
      <c r="N229" s="9">
        <f>IF($K229="","",INDEX('سجل التحفيز'!$M$5:$M$2004,MATCH($K229,'سجل التحفيز'!$AA$5:$AA$2004,0)))</f>
        <v/>
      </c>
      <c r="O229" s="9">
        <f>IF($K229="","",INDEX('سجل التحفيز'!$C$5:$C$2004,MATCH($K229,'سجل التحفيز'!$AA$5:$AA$2004,0)))</f>
        <v/>
      </c>
      <c r="P229" s="36">
        <f>IF($K229="","",INDEX('سجل التحفيز'!$D$5:$D$2004,MATCH($K229,'سجل التحفيز'!$AA$5:$AA$2004,0)))</f>
        <v/>
      </c>
      <c r="Q229" s="9">
        <f>IF($K229="","",INDEX('سجل التحفيز'!$E$5:$E$2004,MATCH($K229,'سجل التحفيز'!$AA$5:$AA$2004,0)))</f>
        <v/>
      </c>
      <c r="R229" s="9">
        <f>IF($K229="","",INDEX('سجل التحفيز'!$F$5:$F$2004,MATCH($K229,'سجل التحفيز'!$AA$5:$AA$2004,0)))</f>
        <v/>
      </c>
      <c r="S229" s="35">
        <f>IF($K229="","",INDEX('سجل التحفيز'!$G$5:$G$2004,MATCH($K229,'سجل التحفيز'!$AA$5:$AA$2004,0)))</f>
        <v/>
      </c>
    </row>
    <row r="230">
      <c r="K230" s="36">
        <f>IF(193&gt;$B$10,"",193)</f>
        <v/>
      </c>
      <c r="L230" s="37">
        <f>IF($K230="","",INDEX('سجل التحفيز'!$A$5:$A$2004,MATCH($K230,'سجل التحفيز'!$AA$5:$AA$2004,0)))</f>
        <v/>
      </c>
      <c r="M230" s="9">
        <f>IF($K230="","",INDEX('سجل التحفيز'!$B$5:$B$2004,MATCH($K230,'سجل التحفيز'!$AA$5:$AA$2004,0)))</f>
        <v/>
      </c>
      <c r="N230" s="9">
        <f>IF($K230="","",INDEX('سجل التحفيز'!$M$5:$M$2004,MATCH($K230,'سجل التحفيز'!$AA$5:$AA$2004,0)))</f>
        <v/>
      </c>
      <c r="O230" s="9">
        <f>IF($K230="","",INDEX('سجل التحفيز'!$C$5:$C$2004,MATCH($K230,'سجل التحفيز'!$AA$5:$AA$2004,0)))</f>
        <v/>
      </c>
      <c r="P230" s="36">
        <f>IF($K230="","",INDEX('سجل التحفيز'!$D$5:$D$2004,MATCH($K230,'سجل التحفيز'!$AA$5:$AA$2004,0)))</f>
        <v/>
      </c>
      <c r="Q230" s="9">
        <f>IF($K230="","",INDEX('سجل التحفيز'!$E$5:$E$2004,MATCH($K230,'سجل التحفيز'!$AA$5:$AA$2004,0)))</f>
        <v/>
      </c>
      <c r="R230" s="9">
        <f>IF($K230="","",INDEX('سجل التحفيز'!$F$5:$F$2004,MATCH($K230,'سجل التحفيز'!$AA$5:$AA$2004,0)))</f>
        <v/>
      </c>
      <c r="S230" s="35">
        <f>IF($K230="","",INDEX('سجل التحفيز'!$G$5:$G$2004,MATCH($K230,'سجل التحفيز'!$AA$5:$AA$2004,0)))</f>
        <v/>
      </c>
    </row>
    <row r="231">
      <c r="K231" s="36">
        <f>IF(194&gt;$B$10,"",194)</f>
        <v/>
      </c>
      <c r="L231" s="37">
        <f>IF($K231="","",INDEX('سجل التحفيز'!$A$5:$A$2004,MATCH($K231,'سجل التحفيز'!$AA$5:$AA$2004,0)))</f>
        <v/>
      </c>
      <c r="M231" s="9">
        <f>IF($K231="","",INDEX('سجل التحفيز'!$B$5:$B$2004,MATCH($K231,'سجل التحفيز'!$AA$5:$AA$2004,0)))</f>
        <v/>
      </c>
      <c r="N231" s="9">
        <f>IF($K231="","",INDEX('سجل التحفيز'!$M$5:$M$2004,MATCH($K231,'سجل التحفيز'!$AA$5:$AA$2004,0)))</f>
        <v/>
      </c>
      <c r="O231" s="9">
        <f>IF($K231="","",INDEX('سجل التحفيز'!$C$5:$C$2004,MATCH($K231,'سجل التحفيز'!$AA$5:$AA$2004,0)))</f>
        <v/>
      </c>
      <c r="P231" s="36">
        <f>IF($K231="","",INDEX('سجل التحفيز'!$D$5:$D$2004,MATCH($K231,'سجل التحفيز'!$AA$5:$AA$2004,0)))</f>
        <v/>
      </c>
      <c r="Q231" s="9">
        <f>IF($K231="","",INDEX('سجل التحفيز'!$E$5:$E$2004,MATCH($K231,'سجل التحفيز'!$AA$5:$AA$2004,0)))</f>
        <v/>
      </c>
      <c r="R231" s="9">
        <f>IF($K231="","",INDEX('سجل التحفيز'!$F$5:$F$2004,MATCH($K231,'سجل التحفيز'!$AA$5:$AA$2004,0)))</f>
        <v/>
      </c>
      <c r="S231" s="35">
        <f>IF($K231="","",INDEX('سجل التحفيز'!$G$5:$G$2004,MATCH($K231,'سجل التحفيز'!$AA$5:$AA$2004,0)))</f>
        <v/>
      </c>
    </row>
    <row r="232">
      <c r="K232" s="36">
        <f>IF(195&gt;$B$10,"",195)</f>
        <v/>
      </c>
      <c r="L232" s="37">
        <f>IF($K232="","",INDEX('سجل التحفيز'!$A$5:$A$2004,MATCH($K232,'سجل التحفيز'!$AA$5:$AA$2004,0)))</f>
        <v/>
      </c>
      <c r="M232" s="9">
        <f>IF($K232="","",INDEX('سجل التحفيز'!$B$5:$B$2004,MATCH($K232,'سجل التحفيز'!$AA$5:$AA$2004,0)))</f>
        <v/>
      </c>
      <c r="N232" s="9">
        <f>IF($K232="","",INDEX('سجل التحفيز'!$M$5:$M$2004,MATCH($K232,'سجل التحفيز'!$AA$5:$AA$2004,0)))</f>
        <v/>
      </c>
      <c r="O232" s="9">
        <f>IF($K232="","",INDEX('سجل التحفيز'!$C$5:$C$2004,MATCH($K232,'سجل التحفيز'!$AA$5:$AA$2004,0)))</f>
        <v/>
      </c>
      <c r="P232" s="36">
        <f>IF($K232="","",INDEX('سجل التحفيز'!$D$5:$D$2004,MATCH($K232,'سجل التحفيز'!$AA$5:$AA$2004,0)))</f>
        <v/>
      </c>
      <c r="Q232" s="9">
        <f>IF($K232="","",INDEX('سجل التحفيز'!$E$5:$E$2004,MATCH($K232,'سجل التحفيز'!$AA$5:$AA$2004,0)))</f>
        <v/>
      </c>
      <c r="R232" s="9">
        <f>IF($K232="","",INDEX('سجل التحفيز'!$F$5:$F$2004,MATCH($K232,'سجل التحفيز'!$AA$5:$AA$2004,0)))</f>
        <v/>
      </c>
      <c r="S232" s="35">
        <f>IF($K232="","",INDEX('سجل التحفيز'!$G$5:$G$2004,MATCH($K232,'سجل التحفيز'!$AA$5:$AA$2004,0)))</f>
        <v/>
      </c>
    </row>
    <row r="233">
      <c r="K233" s="36">
        <f>IF(196&gt;$B$10,"",196)</f>
        <v/>
      </c>
      <c r="L233" s="37">
        <f>IF($K233="","",INDEX('سجل التحفيز'!$A$5:$A$2004,MATCH($K233,'سجل التحفيز'!$AA$5:$AA$2004,0)))</f>
        <v/>
      </c>
      <c r="M233" s="9">
        <f>IF($K233="","",INDEX('سجل التحفيز'!$B$5:$B$2004,MATCH($K233,'سجل التحفيز'!$AA$5:$AA$2004,0)))</f>
        <v/>
      </c>
      <c r="N233" s="9">
        <f>IF($K233="","",INDEX('سجل التحفيز'!$M$5:$M$2004,MATCH($K233,'سجل التحفيز'!$AA$5:$AA$2004,0)))</f>
        <v/>
      </c>
      <c r="O233" s="9">
        <f>IF($K233="","",INDEX('سجل التحفيز'!$C$5:$C$2004,MATCH($K233,'سجل التحفيز'!$AA$5:$AA$2004,0)))</f>
        <v/>
      </c>
      <c r="P233" s="36">
        <f>IF($K233="","",INDEX('سجل التحفيز'!$D$5:$D$2004,MATCH($K233,'سجل التحفيز'!$AA$5:$AA$2004,0)))</f>
        <v/>
      </c>
      <c r="Q233" s="9">
        <f>IF($K233="","",INDEX('سجل التحفيز'!$E$5:$E$2004,MATCH($K233,'سجل التحفيز'!$AA$5:$AA$2004,0)))</f>
        <v/>
      </c>
      <c r="R233" s="9">
        <f>IF($K233="","",INDEX('سجل التحفيز'!$F$5:$F$2004,MATCH($K233,'سجل التحفيز'!$AA$5:$AA$2004,0)))</f>
        <v/>
      </c>
      <c r="S233" s="35">
        <f>IF($K233="","",INDEX('سجل التحفيز'!$G$5:$G$2004,MATCH($K233,'سجل التحفيز'!$AA$5:$AA$2004,0)))</f>
        <v/>
      </c>
    </row>
    <row r="234">
      <c r="K234" s="36">
        <f>IF(197&gt;$B$10,"",197)</f>
        <v/>
      </c>
      <c r="L234" s="37">
        <f>IF($K234="","",INDEX('سجل التحفيز'!$A$5:$A$2004,MATCH($K234,'سجل التحفيز'!$AA$5:$AA$2004,0)))</f>
        <v/>
      </c>
      <c r="M234" s="9">
        <f>IF($K234="","",INDEX('سجل التحفيز'!$B$5:$B$2004,MATCH($K234,'سجل التحفيز'!$AA$5:$AA$2004,0)))</f>
        <v/>
      </c>
      <c r="N234" s="9">
        <f>IF($K234="","",INDEX('سجل التحفيز'!$M$5:$M$2004,MATCH($K234,'سجل التحفيز'!$AA$5:$AA$2004,0)))</f>
        <v/>
      </c>
      <c r="O234" s="9">
        <f>IF($K234="","",INDEX('سجل التحفيز'!$C$5:$C$2004,MATCH($K234,'سجل التحفيز'!$AA$5:$AA$2004,0)))</f>
        <v/>
      </c>
      <c r="P234" s="36">
        <f>IF($K234="","",INDEX('سجل التحفيز'!$D$5:$D$2004,MATCH($K234,'سجل التحفيز'!$AA$5:$AA$2004,0)))</f>
        <v/>
      </c>
      <c r="Q234" s="9">
        <f>IF($K234="","",INDEX('سجل التحفيز'!$E$5:$E$2004,MATCH($K234,'سجل التحفيز'!$AA$5:$AA$2004,0)))</f>
        <v/>
      </c>
      <c r="R234" s="9">
        <f>IF($K234="","",INDEX('سجل التحفيز'!$F$5:$F$2004,MATCH($K234,'سجل التحفيز'!$AA$5:$AA$2004,0)))</f>
        <v/>
      </c>
      <c r="S234" s="35">
        <f>IF($K234="","",INDEX('سجل التحفيز'!$G$5:$G$2004,MATCH($K234,'سجل التحفيز'!$AA$5:$AA$2004,0)))</f>
        <v/>
      </c>
    </row>
    <row r="235">
      <c r="K235" s="36">
        <f>IF(198&gt;$B$10,"",198)</f>
        <v/>
      </c>
      <c r="L235" s="37">
        <f>IF($K235="","",INDEX('سجل التحفيز'!$A$5:$A$2004,MATCH($K235,'سجل التحفيز'!$AA$5:$AA$2004,0)))</f>
        <v/>
      </c>
      <c r="M235" s="9">
        <f>IF($K235="","",INDEX('سجل التحفيز'!$B$5:$B$2004,MATCH($K235,'سجل التحفيز'!$AA$5:$AA$2004,0)))</f>
        <v/>
      </c>
      <c r="N235" s="9">
        <f>IF($K235="","",INDEX('سجل التحفيز'!$M$5:$M$2004,MATCH($K235,'سجل التحفيز'!$AA$5:$AA$2004,0)))</f>
        <v/>
      </c>
      <c r="O235" s="9">
        <f>IF($K235="","",INDEX('سجل التحفيز'!$C$5:$C$2004,MATCH($K235,'سجل التحفيز'!$AA$5:$AA$2004,0)))</f>
        <v/>
      </c>
      <c r="P235" s="36">
        <f>IF($K235="","",INDEX('سجل التحفيز'!$D$5:$D$2004,MATCH($K235,'سجل التحفيز'!$AA$5:$AA$2004,0)))</f>
        <v/>
      </c>
      <c r="Q235" s="9">
        <f>IF($K235="","",INDEX('سجل التحفيز'!$E$5:$E$2004,MATCH($K235,'سجل التحفيز'!$AA$5:$AA$2004,0)))</f>
        <v/>
      </c>
      <c r="R235" s="9">
        <f>IF($K235="","",INDEX('سجل التحفيز'!$F$5:$F$2004,MATCH($K235,'سجل التحفيز'!$AA$5:$AA$2004,0)))</f>
        <v/>
      </c>
      <c r="S235" s="35">
        <f>IF($K235="","",INDEX('سجل التحفيز'!$G$5:$G$2004,MATCH($K235,'سجل التحفيز'!$AA$5:$AA$2004,0)))</f>
        <v/>
      </c>
    </row>
    <row r="236">
      <c r="K236" s="36">
        <f>IF(199&gt;$B$10,"",199)</f>
        <v/>
      </c>
      <c r="L236" s="37">
        <f>IF($K236="","",INDEX('سجل التحفيز'!$A$5:$A$2004,MATCH($K236,'سجل التحفيز'!$AA$5:$AA$2004,0)))</f>
        <v/>
      </c>
      <c r="M236" s="9">
        <f>IF($K236="","",INDEX('سجل التحفيز'!$B$5:$B$2004,MATCH($K236,'سجل التحفيز'!$AA$5:$AA$2004,0)))</f>
        <v/>
      </c>
      <c r="N236" s="9">
        <f>IF($K236="","",INDEX('سجل التحفيز'!$M$5:$M$2004,MATCH($K236,'سجل التحفيز'!$AA$5:$AA$2004,0)))</f>
        <v/>
      </c>
      <c r="O236" s="9">
        <f>IF($K236="","",INDEX('سجل التحفيز'!$C$5:$C$2004,MATCH($K236,'سجل التحفيز'!$AA$5:$AA$2004,0)))</f>
        <v/>
      </c>
      <c r="P236" s="36">
        <f>IF($K236="","",INDEX('سجل التحفيز'!$D$5:$D$2004,MATCH($K236,'سجل التحفيز'!$AA$5:$AA$2004,0)))</f>
        <v/>
      </c>
      <c r="Q236" s="9">
        <f>IF($K236="","",INDEX('سجل التحفيز'!$E$5:$E$2004,MATCH($K236,'سجل التحفيز'!$AA$5:$AA$2004,0)))</f>
        <v/>
      </c>
      <c r="R236" s="9">
        <f>IF($K236="","",INDEX('سجل التحفيز'!$F$5:$F$2004,MATCH($K236,'سجل التحفيز'!$AA$5:$AA$2004,0)))</f>
        <v/>
      </c>
      <c r="S236" s="35">
        <f>IF($K236="","",INDEX('سجل التحفيز'!$G$5:$G$2004,MATCH($K236,'سجل التحفيز'!$AA$5:$AA$2004,0)))</f>
        <v/>
      </c>
    </row>
    <row r="237">
      <c r="K237" s="36">
        <f>IF(200&gt;$B$10,"",200)</f>
        <v/>
      </c>
      <c r="L237" s="37">
        <f>IF($K237="","",INDEX('سجل التحفيز'!$A$5:$A$2004,MATCH($K237,'سجل التحفيز'!$AA$5:$AA$2004,0)))</f>
        <v/>
      </c>
      <c r="M237" s="9">
        <f>IF($K237="","",INDEX('سجل التحفيز'!$B$5:$B$2004,MATCH($K237,'سجل التحفيز'!$AA$5:$AA$2004,0)))</f>
        <v/>
      </c>
      <c r="N237" s="9">
        <f>IF($K237="","",INDEX('سجل التحفيز'!$M$5:$M$2004,MATCH($K237,'سجل التحفيز'!$AA$5:$AA$2004,0)))</f>
        <v/>
      </c>
      <c r="O237" s="9">
        <f>IF($K237="","",INDEX('سجل التحفيز'!$C$5:$C$2004,MATCH($K237,'سجل التحفيز'!$AA$5:$AA$2004,0)))</f>
        <v/>
      </c>
      <c r="P237" s="36">
        <f>IF($K237="","",INDEX('سجل التحفيز'!$D$5:$D$2004,MATCH($K237,'سجل التحفيز'!$AA$5:$AA$2004,0)))</f>
        <v/>
      </c>
      <c r="Q237" s="9">
        <f>IF($K237="","",INDEX('سجل التحفيز'!$E$5:$E$2004,MATCH($K237,'سجل التحفيز'!$AA$5:$AA$2004,0)))</f>
        <v/>
      </c>
      <c r="R237" s="9">
        <f>IF($K237="","",INDEX('سجل التحفيز'!$F$5:$F$2004,MATCH($K237,'سجل التحفيز'!$AA$5:$AA$2004,0)))</f>
        <v/>
      </c>
      <c r="S237" s="35">
        <f>IF($K237="","",INDEX('سجل التحفيز'!$G$5:$G$2004,MATCH($K237,'سجل التحفيز'!$AA$5:$AA$2004,0)))</f>
        <v/>
      </c>
    </row>
    <row r="238">
      <c r="K238" s="36">
        <f>IF(201&gt;$B$10,"",201)</f>
        <v/>
      </c>
      <c r="L238" s="37">
        <f>IF($K238="","",INDEX('سجل التحفيز'!$A$5:$A$2004,MATCH($K238,'سجل التحفيز'!$AA$5:$AA$2004,0)))</f>
        <v/>
      </c>
      <c r="M238" s="9">
        <f>IF($K238="","",INDEX('سجل التحفيز'!$B$5:$B$2004,MATCH($K238,'سجل التحفيز'!$AA$5:$AA$2004,0)))</f>
        <v/>
      </c>
      <c r="N238" s="9">
        <f>IF($K238="","",INDEX('سجل التحفيز'!$M$5:$M$2004,MATCH($K238,'سجل التحفيز'!$AA$5:$AA$2004,0)))</f>
        <v/>
      </c>
      <c r="O238" s="9">
        <f>IF($K238="","",INDEX('سجل التحفيز'!$C$5:$C$2004,MATCH($K238,'سجل التحفيز'!$AA$5:$AA$2004,0)))</f>
        <v/>
      </c>
      <c r="P238" s="36">
        <f>IF($K238="","",INDEX('سجل التحفيز'!$D$5:$D$2004,MATCH($K238,'سجل التحفيز'!$AA$5:$AA$2004,0)))</f>
        <v/>
      </c>
      <c r="Q238" s="9">
        <f>IF($K238="","",INDEX('سجل التحفيز'!$E$5:$E$2004,MATCH($K238,'سجل التحفيز'!$AA$5:$AA$2004,0)))</f>
        <v/>
      </c>
      <c r="R238" s="9">
        <f>IF($K238="","",INDEX('سجل التحفيز'!$F$5:$F$2004,MATCH($K238,'سجل التحفيز'!$AA$5:$AA$2004,0)))</f>
        <v/>
      </c>
      <c r="S238" s="35">
        <f>IF($K238="","",INDEX('سجل التحفيز'!$G$5:$G$2004,MATCH($K238,'سجل التحفيز'!$AA$5:$AA$2004,0)))</f>
        <v/>
      </c>
    </row>
    <row r="239">
      <c r="K239" s="36">
        <f>IF(202&gt;$B$10,"",202)</f>
        <v/>
      </c>
      <c r="L239" s="37">
        <f>IF($K239="","",INDEX('سجل التحفيز'!$A$5:$A$2004,MATCH($K239,'سجل التحفيز'!$AA$5:$AA$2004,0)))</f>
        <v/>
      </c>
      <c r="M239" s="9">
        <f>IF($K239="","",INDEX('سجل التحفيز'!$B$5:$B$2004,MATCH($K239,'سجل التحفيز'!$AA$5:$AA$2004,0)))</f>
        <v/>
      </c>
      <c r="N239" s="9">
        <f>IF($K239="","",INDEX('سجل التحفيز'!$M$5:$M$2004,MATCH($K239,'سجل التحفيز'!$AA$5:$AA$2004,0)))</f>
        <v/>
      </c>
      <c r="O239" s="9">
        <f>IF($K239="","",INDEX('سجل التحفيز'!$C$5:$C$2004,MATCH($K239,'سجل التحفيز'!$AA$5:$AA$2004,0)))</f>
        <v/>
      </c>
      <c r="P239" s="36">
        <f>IF($K239="","",INDEX('سجل التحفيز'!$D$5:$D$2004,MATCH($K239,'سجل التحفيز'!$AA$5:$AA$2004,0)))</f>
        <v/>
      </c>
      <c r="Q239" s="9">
        <f>IF($K239="","",INDEX('سجل التحفيز'!$E$5:$E$2004,MATCH($K239,'سجل التحفيز'!$AA$5:$AA$2004,0)))</f>
        <v/>
      </c>
      <c r="R239" s="9">
        <f>IF($K239="","",INDEX('سجل التحفيز'!$F$5:$F$2004,MATCH($K239,'سجل التحفيز'!$AA$5:$AA$2004,0)))</f>
        <v/>
      </c>
      <c r="S239" s="35">
        <f>IF($K239="","",INDEX('سجل التحفيز'!$G$5:$G$2004,MATCH($K239,'سجل التحفيز'!$AA$5:$AA$2004,0)))</f>
        <v/>
      </c>
    </row>
    <row r="240">
      <c r="K240" s="36">
        <f>IF(203&gt;$B$10,"",203)</f>
        <v/>
      </c>
      <c r="L240" s="37">
        <f>IF($K240="","",INDEX('سجل التحفيز'!$A$5:$A$2004,MATCH($K240,'سجل التحفيز'!$AA$5:$AA$2004,0)))</f>
        <v/>
      </c>
      <c r="M240" s="9">
        <f>IF($K240="","",INDEX('سجل التحفيز'!$B$5:$B$2004,MATCH($K240,'سجل التحفيز'!$AA$5:$AA$2004,0)))</f>
        <v/>
      </c>
      <c r="N240" s="9">
        <f>IF($K240="","",INDEX('سجل التحفيز'!$M$5:$M$2004,MATCH($K240,'سجل التحفيز'!$AA$5:$AA$2004,0)))</f>
        <v/>
      </c>
      <c r="O240" s="9">
        <f>IF($K240="","",INDEX('سجل التحفيز'!$C$5:$C$2004,MATCH($K240,'سجل التحفيز'!$AA$5:$AA$2004,0)))</f>
        <v/>
      </c>
      <c r="P240" s="36">
        <f>IF($K240="","",INDEX('سجل التحفيز'!$D$5:$D$2004,MATCH($K240,'سجل التحفيز'!$AA$5:$AA$2004,0)))</f>
        <v/>
      </c>
      <c r="Q240" s="9">
        <f>IF($K240="","",INDEX('سجل التحفيز'!$E$5:$E$2004,MATCH($K240,'سجل التحفيز'!$AA$5:$AA$2004,0)))</f>
        <v/>
      </c>
      <c r="R240" s="9">
        <f>IF($K240="","",INDEX('سجل التحفيز'!$F$5:$F$2004,MATCH($K240,'سجل التحفيز'!$AA$5:$AA$2004,0)))</f>
        <v/>
      </c>
      <c r="S240" s="35">
        <f>IF($K240="","",INDEX('سجل التحفيز'!$G$5:$G$2004,MATCH($K240,'سجل التحفيز'!$AA$5:$AA$2004,0)))</f>
        <v/>
      </c>
    </row>
    <row r="241">
      <c r="K241" s="36">
        <f>IF(204&gt;$B$10,"",204)</f>
        <v/>
      </c>
      <c r="L241" s="37">
        <f>IF($K241="","",INDEX('سجل التحفيز'!$A$5:$A$2004,MATCH($K241,'سجل التحفيز'!$AA$5:$AA$2004,0)))</f>
        <v/>
      </c>
      <c r="M241" s="9">
        <f>IF($K241="","",INDEX('سجل التحفيز'!$B$5:$B$2004,MATCH($K241,'سجل التحفيز'!$AA$5:$AA$2004,0)))</f>
        <v/>
      </c>
      <c r="N241" s="9">
        <f>IF($K241="","",INDEX('سجل التحفيز'!$M$5:$M$2004,MATCH($K241,'سجل التحفيز'!$AA$5:$AA$2004,0)))</f>
        <v/>
      </c>
      <c r="O241" s="9">
        <f>IF($K241="","",INDEX('سجل التحفيز'!$C$5:$C$2004,MATCH($K241,'سجل التحفيز'!$AA$5:$AA$2004,0)))</f>
        <v/>
      </c>
      <c r="P241" s="36">
        <f>IF($K241="","",INDEX('سجل التحفيز'!$D$5:$D$2004,MATCH($K241,'سجل التحفيز'!$AA$5:$AA$2004,0)))</f>
        <v/>
      </c>
      <c r="Q241" s="9">
        <f>IF($K241="","",INDEX('سجل التحفيز'!$E$5:$E$2004,MATCH($K241,'سجل التحفيز'!$AA$5:$AA$2004,0)))</f>
        <v/>
      </c>
      <c r="R241" s="9">
        <f>IF($K241="","",INDEX('سجل التحفيز'!$F$5:$F$2004,MATCH($K241,'سجل التحفيز'!$AA$5:$AA$2004,0)))</f>
        <v/>
      </c>
      <c r="S241" s="35">
        <f>IF($K241="","",INDEX('سجل التحفيز'!$G$5:$G$2004,MATCH($K241,'سجل التحفيز'!$AA$5:$AA$2004,0)))</f>
        <v/>
      </c>
    </row>
    <row r="242">
      <c r="K242" s="36">
        <f>IF(205&gt;$B$10,"",205)</f>
        <v/>
      </c>
      <c r="L242" s="37">
        <f>IF($K242="","",INDEX('سجل التحفيز'!$A$5:$A$2004,MATCH($K242,'سجل التحفيز'!$AA$5:$AA$2004,0)))</f>
        <v/>
      </c>
      <c r="M242" s="9">
        <f>IF($K242="","",INDEX('سجل التحفيز'!$B$5:$B$2004,MATCH($K242,'سجل التحفيز'!$AA$5:$AA$2004,0)))</f>
        <v/>
      </c>
      <c r="N242" s="9">
        <f>IF($K242="","",INDEX('سجل التحفيز'!$M$5:$M$2004,MATCH($K242,'سجل التحفيز'!$AA$5:$AA$2004,0)))</f>
        <v/>
      </c>
      <c r="O242" s="9">
        <f>IF($K242="","",INDEX('سجل التحفيز'!$C$5:$C$2004,MATCH($K242,'سجل التحفيز'!$AA$5:$AA$2004,0)))</f>
        <v/>
      </c>
      <c r="P242" s="36">
        <f>IF($K242="","",INDEX('سجل التحفيز'!$D$5:$D$2004,MATCH($K242,'سجل التحفيز'!$AA$5:$AA$2004,0)))</f>
        <v/>
      </c>
      <c r="Q242" s="9">
        <f>IF($K242="","",INDEX('سجل التحفيز'!$E$5:$E$2004,MATCH($K242,'سجل التحفيز'!$AA$5:$AA$2004,0)))</f>
        <v/>
      </c>
      <c r="R242" s="9">
        <f>IF($K242="","",INDEX('سجل التحفيز'!$F$5:$F$2004,MATCH($K242,'سجل التحفيز'!$AA$5:$AA$2004,0)))</f>
        <v/>
      </c>
      <c r="S242" s="35">
        <f>IF($K242="","",INDEX('سجل التحفيز'!$G$5:$G$2004,MATCH($K242,'سجل التحفيز'!$AA$5:$AA$2004,0)))</f>
        <v/>
      </c>
    </row>
    <row r="243">
      <c r="K243" s="36">
        <f>IF(206&gt;$B$10,"",206)</f>
        <v/>
      </c>
      <c r="L243" s="37">
        <f>IF($K243="","",INDEX('سجل التحفيز'!$A$5:$A$2004,MATCH($K243,'سجل التحفيز'!$AA$5:$AA$2004,0)))</f>
        <v/>
      </c>
      <c r="M243" s="9">
        <f>IF($K243="","",INDEX('سجل التحفيز'!$B$5:$B$2004,MATCH($K243,'سجل التحفيز'!$AA$5:$AA$2004,0)))</f>
        <v/>
      </c>
      <c r="N243" s="9">
        <f>IF($K243="","",INDEX('سجل التحفيز'!$M$5:$M$2004,MATCH($K243,'سجل التحفيز'!$AA$5:$AA$2004,0)))</f>
        <v/>
      </c>
      <c r="O243" s="9">
        <f>IF($K243="","",INDEX('سجل التحفيز'!$C$5:$C$2004,MATCH($K243,'سجل التحفيز'!$AA$5:$AA$2004,0)))</f>
        <v/>
      </c>
      <c r="P243" s="36">
        <f>IF($K243="","",INDEX('سجل التحفيز'!$D$5:$D$2004,MATCH($K243,'سجل التحفيز'!$AA$5:$AA$2004,0)))</f>
        <v/>
      </c>
      <c r="Q243" s="9">
        <f>IF($K243="","",INDEX('سجل التحفيز'!$E$5:$E$2004,MATCH($K243,'سجل التحفيز'!$AA$5:$AA$2004,0)))</f>
        <v/>
      </c>
      <c r="R243" s="9">
        <f>IF($K243="","",INDEX('سجل التحفيز'!$F$5:$F$2004,MATCH($K243,'سجل التحفيز'!$AA$5:$AA$2004,0)))</f>
        <v/>
      </c>
      <c r="S243" s="35">
        <f>IF($K243="","",INDEX('سجل التحفيز'!$G$5:$G$2004,MATCH($K243,'سجل التحفيز'!$AA$5:$AA$2004,0)))</f>
        <v/>
      </c>
    </row>
    <row r="244">
      <c r="K244" s="36">
        <f>IF(207&gt;$B$10,"",207)</f>
        <v/>
      </c>
      <c r="L244" s="37">
        <f>IF($K244="","",INDEX('سجل التحفيز'!$A$5:$A$2004,MATCH($K244,'سجل التحفيز'!$AA$5:$AA$2004,0)))</f>
        <v/>
      </c>
      <c r="M244" s="9">
        <f>IF($K244="","",INDEX('سجل التحفيز'!$B$5:$B$2004,MATCH($K244,'سجل التحفيز'!$AA$5:$AA$2004,0)))</f>
        <v/>
      </c>
      <c r="N244" s="9">
        <f>IF($K244="","",INDEX('سجل التحفيز'!$M$5:$M$2004,MATCH($K244,'سجل التحفيز'!$AA$5:$AA$2004,0)))</f>
        <v/>
      </c>
      <c r="O244" s="9">
        <f>IF($K244="","",INDEX('سجل التحفيز'!$C$5:$C$2004,MATCH($K244,'سجل التحفيز'!$AA$5:$AA$2004,0)))</f>
        <v/>
      </c>
      <c r="P244" s="36">
        <f>IF($K244="","",INDEX('سجل التحفيز'!$D$5:$D$2004,MATCH($K244,'سجل التحفيز'!$AA$5:$AA$2004,0)))</f>
        <v/>
      </c>
      <c r="Q244" s="9">
        <f>IF($K244="","",INDEX('سجل التحفيز'!$E$5:$E$2004,MATCH($K244,'سجل التحفيز'!$AA$5:$AA$2004,0)))</f>
        <v/>
      </c>
      <c r="R244" s="9">
        <f>IF($K244="","",INDEX('سجل التحفيز'!$F$5:$F$2004,MATCH($K244,'سجل التحفيز'!$AA$5:$AA$2004,0)))</f>
        <v/>
      </c>
      <c r="S244" s="35">
        <f>IF($K244="","",INDEX('سجل التحفيز'!$G$5:$G$2004,MATCH($K244,'سجل التحفيز'!$AA$5:$AA$2004,0)))</f>
        <v/>
      </c>
    </row>
    <row r="245">
      <c r="K245" s="36">
        <f>IF(208&gt;$B$10,"",208)</f>
        <v/>
      </c>
      <c r="L245" s="37">
        <f>IF($K245="","",INDEX('سجل التحفيز'!$A$5:$A$2004,MATCH($K245,'سجل التحفيز'!$AA$5:$AA$2004,0)))</f>
        <v/>
      </c>
      <c r="M245" s="9">
        <f>IF($K245="","",INDEX('سجل التحفيز'!$B$5:$B$2004,MATCH($K245,'سجل التحفيز'!$AA$5:$AA$2004,0)))</f>
        <v/>
      </c>
      <c r="N245" s="9">
        <f>IF($K245="","",INDEX('سجل التحفيز'!$M$5:$M$2004,MATCH($K245,'سجل التحفيز'!$AA$5:$AA$2004,0)))</f>
        <v/>
      </c>
      <c r="O245" s="9">
        <f>IF($K245="","",INDEX('سجل التحفيز'!$C$5:$C$2004,MATCH($K245,'سجل التحفيز'!$AA$5:$AA$2004,0)))</f>
        <v/>
      </c>
      <c r="P245" s="36">
        <f>IF($K245="","",INDEX('سجل التحفيز'!$D$5:$D$2004,MATCH($K245,'سجل التحفيز'!$AA$5:$AA$2004,0)))</f>
        <v/>
      </c>
      <c r="Q245" s="9">
        <f>IF($K245="","",INDEX('سجل التحفيز'!$E$5:$E$2004,MATCH($K245,'سجل التحفيز'!$AA$5:$AA$2004,0)))</f>
        <v/>
      </c>
      <c r="R245" s="9">
        <f>IF($K245="","",INDEX('سجل التحفيز'!$F$5:$F$2004,MATCH($K245,'سجل التحفيز'!$AA$5:$AA$2004,0)))</f>
        <v/>
      </c>
      <c r="S245" s="35">
        <f>IF($K245="","",INDEX('سجل التحفيز'!$G$5:$G$2004,MATCH($K245,'سجل التحفيز'!$AA$5:$AA$2004,0)))</f>
        <v/>
      </c>
    </row>
    <row r="246">
      <c r="K246" s="36">
        <f>IF(209&gt;$B$10,"",209)</f>
        <v/>
      </c>
      <c r="L246" s="37">
        <f>IF($K246="","",INDEX('سجل التحفيز'!$A$5:$A$2004,MATCH($K246,'سجل التحفيز'!$AA$5:$AA$2004,0)))</f>
        <v/>
      </c>
      <c r="M246" s="9">
        <f>IF($K246="","",INDEX('سجل التحفيز'!$B$5:$B$2004,MATCH($K246,'سجل التحفيز'!$AA$5:$AA$2004,0)))</f>
        <v/>
      </c>
      <c r="N246" s="9">
        <f>IF($K246="","",INDEX('سجل التحفيز'!$M$5:$M$2004,MATCH($K246,'سجل التحفيز'!$AA$5:$AA$2004,0)))</f>
        <v/>
      </c>
      <c r="O246" s="9">
        <f>IF($K246="","",INDEX('سجل التحفيز'!$C$5:$C$2004,MATCH($K246,'سجل التحفيز'!$AA$5:$AA$2004,0)))</f>
        <v/>
      </c>
      <c r="P246" s="36">
        <f>IF($K246="","",INDEX('سجل التحفيز'!$D$5:$D$2004,MATCH($K246,'سجل التحفيز'!$AA$5:$AA$2004,0)))</f>
        <v/>
      </c>
      <c r="Q246" s="9">
        <f>IF($K246="","",INDEX('سجل التحفيز'!$E$5:$E$2004,MATCH($K246,'سجل التحفيز'!$AA$5:$AA$2004,0)))</f>
        <v/>
      </c>
      <c r="R246" s="9">
        <f>IF($K246="","",INDEX('سجل التحفيز'!$F$5:$F$2004,MATCH($K246,'سجل التحفيز'!$AA$5:$AA$2004,0)))</f>
        <v/>
      </c>
      <c r="S246" s="35">
        <f>IF($K246="","",INDEX('سجل التحفيز'!$G$5:$G$2004,MATCH($K246,'سجل التحفيز'!$AA$5:$AA$2004,0)))</f>
        <v/>
      </c>
    </row>
    <row r="247">
      <c r="K247" s="36">
        <f>IF(210&gt;$B$10,"",210)</f>
        <v/>
      </c>
      <c r="L247" s="37">
        <f>IF($K247="","",INDEX('سجل التحفيز'!$A$5:$A$2004,MATCH($K247,'سجل التحفيز'!$AA$5:$AA$2004,0)))</f>
        <v/>
      </c>
      <c r="M247" s="9">
        <f>IF($K247="","",INDEX('سجل التحفيز'!$B$5:$B$2004,MATCH($K247,'سجل التحفيز'!$AA$5:$AA$2004,0)))</f>
        <v/>
      </c>
      <c r="N247" s="9">
        <f>IF($K247="","",INDEX('سجل التحفيز'!$M$5:$M$2004,MATCH($K247,'سجل التحفيز'!$AA$5:$AA$2004,0)))</f>
        <v/>
      </c>
      <c r="O247" s="9">
        <f>IF($K247="","",INDEX('سجل التحفيز'!$C$5:$C$2004,MATCH($K247,'سجل التحفيز'!$AA$5:$AA$2004,0)))</f>
        <v/>
      </c>
      <c r="P247" s="36">
        <f>IF($K247="","",INDEX('سجل التحفيز'!$D$5:$D$2004,MATCH($K247,'سجل التحفيز'!$AA$5:$AA$2004,0)))</f>
        <v/>
      </c>
      <c r="Q247" s="9">
        <f>IF($K247="","",INDEX('سجل التحفيز'!$E$5:$E$2004,MATCH($K247,'سجل التحفيز'!$AA$5:$AA$2004,0)))</f>
        <v/>
      </c>
      <c r="R247" s="9">
        <f>IF($K247="","",INDEX('سجل التحفيز'!$F$5:$F$2004,MATCH($K247,'سجل التحفيز'!$AA$5:$AA$2004,0)))</f>
        <v/>
      </c>
      <c r="S247" s="35">
        <f>IF($K247="","",INDEX('سجل التحفيز'!$G$5:$G$2004,MATCH($K247,'سجل التحفيز'!$AA$5:$AA$2004,0)))</f>
        <v/>
      </c>
    </row>
    <row r="248">
      <c r="K248" s="36">
        <f>IF(211&gt;$B$10,"",211)</f>
        <v/>
      </c>
      <c r="L248" s="37">
        <f>IF($K248="","",INDEX('سجل التحفيز'!$A$5:$A$2004,MATCH($K248,'سجل التحفيز'!$AA$5:$AA$2004,0)))</f>
        <v/>
      </c>
      <c r="M248" s="9">
        <f>IF($K248="","",INDEX('سجل التحفيز'!$B$5:$B$2004,MATCH($K248,'سجل التحفيز'!$AA$5:$AA$2004,0)))</f>
        <v/>
      </c>
      <c r="N248" s="9">
        <f>IF($K248="","",INDEX('سجل التحفيز'!$M$5:$M$2004,MATCH($K248,'سجل التحفيز'!$AA$5:$AA$2004,0)))</f>
        <v/>
      </c>
      <c r="O248" s="9">
        <f>IF($K248="","",INDEX('سجل التحفيز'!$C$5:$C$2004,MATCH($K248,'سجل التحفيز'!$AA$5:$AA$2004,0)))</f>
        <v/>
      </c>
      <c r="P248" s="36">
        <f>IF($K248="","",INDEX('سجل التحفيز'!$D$5:$D$2004,MATCH($K248,'سجل التحفيز'!$AA$5:$AA$2004,0)))</f>
        <v/>
      </c>
      <c r="Q248" s="9">
        <f>IF($K248="","",INDEX('سجل التحفيز'!$E$5:$E$2004,MATCH($K248,'سجل التحفيز'!$AA$5:$AA$2004,0)))</f>
        <v/>
      </c>
      <c r="R248" s="9">
        <f>IF($K248="","",INDEX('سجل التحفيز'!$F$5:$F$2004,MATCH($K248,'سجل التحفيز'!$AA$5:$AA$2004,0)))</f>
        <v/>
      </c>
      <c r="S248" s="35">
        <f>IF($K248="","",INDEX('سجل التحفيز'!$G$5:$G$2004,MATCH($K248,'سجل التحفيز'!$AA$5:$AA$2004,0)))</f>
        <v/>
      </c>
    </row>
    <row r="249">
      <c r="K249" s="36">
        <f>IF(212&gt;$B$10,"",212)</f>
        <v/>
      </c>
      <c r="L249" s="37">
        <f>IF($K249="","",INDEX('سجل التحفيز'!$A$5:$A$2004,MATCH($K249,'سجل التحفيز'!$AA$5:$AA$2004,0)))</f>
        <v/>
      </c>
      <c r="M249" s="9">
        <f>IF($K249="","",INDEX('سجل التحفيز'!$B$5:$B$2004,MATCH($K249,'سجل التحفيز'!$AA$5:$AA$2004,0)))</f>
        <v/>
      </c>
      <c r="N249" s="9">
        <f>IF($K249="","",INDEX('سجل التحفيز'!$M$5:$M$2004,MATCH($K249,'سجل التحفيز'!$AA$5:$AA$2004,0)))</f>
        <v/>
      </c>
      <c r="O249" s="9">
        <f>IF($K249="","",INDEX('سجل التحفيز'!$C$5:$C$2004,MATCH($K249,'سجل التحفيز'!$AA$5:$AA$2004,0)))</f>
        <v/>
      </c>
      <c r="P249" s="36">
        <f>IF($K249="","",INDEX('سجل التحفيز'!$D$5:$D$2004,MATCH($K249,'سجل التحفيز'!$AA$5:$AA$2004,0)))</f>
        <v/>
      </c>
      <c r="Q249" s="9">
        <f>IF($K249="","",INDEX('سجل التحفيز'!$E$5:$E$2004,MATCH($K249,'سجل التحفيز'!$AA$5:$AA$2004,0)))</f>
        <v/>
      </c>
      <c r="R249" s="9">
        <f>IF($K249="","",INDEX('سجل التحفيز'!$F$5:$F$2004,MATCH($K249,'سجل التحفيز'!$AA$5:$AA$2004,0)))</f>
        <v/>
      </c>
      <c r="S249" s="35">
        <f>IF($K249="","",INDEX('سجل التحفيز'!$G$5:$G$2004,MATCH($K249,'سجل التحفيز'!$AA$5:$AA$2004,0)))</f>
        <v/>
      </c>
    </row>
    <row r="250">
      <c r="K250" s="36">
        <f>IF(213&gt;$B$10,"",213)</f>
        <v/>
      </c>
      <c r="L250" s="37">
        <f>IF($K250="","",INDEX('سجل التحفيز'!$A$5:$A$2004,MATCH($K250,'سجل التحفيز'!$AA$5:$AA$2004,0)))</f>
        <v/>
      </c>
      <c r="M250" s="9">
        <f>IF($K250="","",INDEX('سجل التحفيز'!$B$5:$B$2004,MATCH($K250,'سجل التحفيز'!$AA$5:$AA$2004,0)))</f>
        <v/>
      </c>
      <c r="N250" s="9">
        <f>IF($K250="","",INDEX('سجل التحفيز'!$M$5:$M$2004,MATCH($K250,'سجل التحفيز'!$AA$5:$AA$2004,0)))</f>
        <v/>
      </c>
      <c r="O250" s="9">
        <f>IF($K250="","",INDEX('سجل التحفيز'!$C$5:$C$2004,MATCH($K250,'سجل التحفيز'!$AA$5:$AA$2004,0)))</f>
        <v/>
      </c>
      <c r="P250" s="36">
        <f>IF($K250="","",INDEX('سجل التحفيز'!$D$5:$D$2004,MATCH($K250,'سجل التحفيز'!$AA$5:$AA$2004,0)))</f>
        <v/>
      </c>
      <c r="Q250" s="9">
        <f>IF($K250="","",INDEX('سجل التحفيز'!$E$5:$E$2004,MATCH($K250,'سجل التحفيز'!$AA$5:$AA$2004,0)))</f>
        <v/>
      </c>
      <c r="R250" s="9">
        <f>IF($K250="","",INDEX('سجل التحفيز'!$F$5:$F$2004,MATCH($K250,'سجل التحفيز'!$AA$5:$AA$2004,0)))</f>
        <v/>
      </c>
      <c r="S250" s="35">
        <f>IF($K250="","",INDEX('سجل التحفيز'!$G$5:$G$2004,MATCH($K250,'سجل التحفيز'!$AA$5:$AA$2004,0)))</f>
        <v/>
      </c>
    </row>
    <row r="251">
      <c r="K251" s="36">
        <f>IF(214&gt;$B$10,"",214)</f>
        <v/>
      </c>
      <c r="L251" s="37">
        <f>IF($K251="","",INDEX('سجل التحفيز'!$A$5:$A$2004,MATCH($K251,'سجل التحفيز'!$AA$5:$AA$2004,0)))</f>
        <v/>
      </c>
      <c r="M251" s="9">
        <f>IF($K251="","",INDEX('سجل التحفيز'!$B$5:$B$2004,MATCH($K251,'سجل التحفيز'!$AA$5:$AA$2004,0)))</f>
        <v/>
      </c>
      <c r="N251" s="9">
        <f>IF($K251="","",INDEX('سجل التحفيز'!$M$5:$M$2004,MATCH($K251,'سجل التحفيز'!$AA$5:$AA$2004,0)))</f>
        <v/>
      </c>
      <c r="O251" s="9">
        <f>IF($K251="","",INDEX('سجل التحفيز'!$C$5:$C$2004,MATCH($K251,'سجل التحفيز'!$AA$5:$AA$2004,0)))</f>
        <v/>
      </c>
      <c r="P251" s="36">
        <f>IF($K251="","",INDEX('سجل التحفيز'!$D$5:$D$2004,MATCH($K251,'سجل التحفيز'!$AA$5:$AA$2004,0)))</f>
        <v/>
      </c>
      <c r="Q251" s="9">
        <f>IF($K251="","",INDEX('سجل التحفيز'!$E$5:$E$2004,MATCH($K251,'سجل التحفيز'!$AA$5:$AA$2004,0)))</f>
        <v/>
      </c>
      <c r="R251" s="9">
        <f>IF($K251="","",INDEX('سجل التحفيز'!$F$5:$F$2004,MATCH($K251,'سجل التحفيز'!$AA$5:$AA$2004,0)))</f>
        <v/>
      </c>
      <c r="S251" s="35">
        <f>IF($K251="","",INDEX('سجل التحفيز'!$G$5:$G$2004,MATCH($K251,'سجل التحفيز'!$AA$5:$AA$2004,0)))</f>
        <v/>
      </c>
    </row>
    <row r="252">
      <c r="K252" s="36">
        <f>IF(215&gt;$B$10,"",215)</f>
        <v/>
      </c>
      <c r="L252" s="37">
        <f>IF($K252="","",INDEX('سجل التحفيز'!$A$5:$A$2004,MATCH($K252,'سجل التحفيز'!$AA$5:$AA$2004,0)))</f>
        <v/>
      </c>
      <c r="M252" s="9">
        <f>IF($K252="","",INDEX('سجل التحفيز'!$B$5:$B$2004,MATCH($K252,'سجل التحفيز'!$AA$5:$AA$2004,0)))</f>
        <v/>
      </c>
      <c r="N252" s="9">
        <f>IF($K252="","",INDEX('سجل التحفيز'!$M$5:$M$2004,MATCH($K252,'سجل التحفيز'!$AA$5:$AA$2004,0)))</f>
        <v/>
      </c>
      <c r="O252" s="9">
        <f>IF($K252="","",INDEX('سجل التحفيز'!$C$5:$C$2004,MATCH($K252,'سجل التحفيز'!$AA$5:$AA$2004,0)))</f>
        <v/>
      </c>
      <c r="P252" s="36">
        <f>IF($K252="","",INDEX('سجل التحفيز'!$D$5:$D$2004,MATCH($K252,'سجل التحفيز'!$AA$5:$AA$2004,0)))</f>
        <v/>
      </c>
      <c r="Q252" s="9">
        <f>IF($K252="","",INDEX('سجل التحفيز'!$E$5:$E$2004,MATCH($K252,'سجل التحفيز'!$AA$5:$AA$2004,0)))</f>
        <v/>
      </c>
      <c r="R252" s="9">
        <f>IF($K252="","",INDEX('سجل التحفيز'!$F$5:$F$2004,MATCH($K252,'سجل التحفيز'!$AA$5:$AA$2004,0)))</f>
        <v/>
      </c>
      <c r="S252" s="35">
        <f>IF($K252="","",INDEX('سجل التحفيز'!$G$5:$G$2004,MATCH($K252,'سجل التحفيز'!$AA$5:$AA$2004,0)))</f>
        <v/>
      </c>
    </row>
    <row r="253">
      <c r="K253" s="36">
        <f>IF(216&gt;$B$10,"",216)</f>
        <v/>
      </c>
      <c r="L253" s="37">
        <f>IF($K253="","",INDEX('سجل التحفيز'!$A$5:$A$2004,MATCH($K253,'سجل التحفيز'!$AA$5:$AA$2004,0)))</f>
        <v/>
      </c>
      <c r="M253" s="9">
        <f>IF($K253="","",INDEX('سجل التحفيز'!$B$5:$B$2004,MATCH($K253,'سجل التحفيز'!$AA$5:$AA$2004,0)))</f>
        <v/>
      </c>
      <c r="N253" s="9">
        <f>IF($K253="","",INDEX('سجل التحفيز'!$M$5:$M$2004,MATCH($K253,'سجل التحفيز'!$AA$5:$AA$2004,0)))</f>
        <v/>
      </c>
      <c r="O253" s="9">
        <f>IF($K253="","",INDEX('سجل التحفيز'!$C$5:$C$2004,MATCH($K253,'سجل التحفيز'!$AA$5:$AA$2004,0)))</f>
        <v/>
      </c>
      <c r="P253" s="36">
        <f>IF($K253="","",INDEX('سجل التحفيز'!$D$5:$D$2004,MATCH($K253,'سجل التحفيز'!$AA$5:$AA$2004,0)))</f>
        <v/>
      </c>
      <c r="Q253" s="9">
        <f>IF($K253="","",INDEX('سجل التحفيز'!$E$5:$E$2004,MATCH($K253,'سجل التحفيز'!$AA$5:$AA$2004,0)))</f>
        <v/>
      </c>
      <c r="R253" s="9">
        <f>IF($K253="","",INDEX('سجل التحفيز'!$F$5:$F$2004,MATCH($K253,'سجل التحفيز'!$AA$5:$AA$2004,0)))</f>
        <v/>
      </c>
      <c r="S253" s="35">
        <f>IF($K253="","",INDEX('سجل التحفيز'!$G$5:$G$2004,MATCH($K253,'سجل التحفيز'!$AA$5:$AA$2004,0)))</f>
        <v/>
      </c>
    </row>
    <row r="254">
      <c r="K254" s="36">
        <f>IF(217&gt;$B$10,"",217)</f>
        <v/>
      </c>
      <c r="L254" s="37">
        <f>IF($K254="","",INDEX('سجل التحفيز'!$A$5:$A$2004,MATCH($K254,'سجل التحفيز'!$AA$5:$AA$2004,0)))</f>
        <v/>
      </c>
      <c r="M254" s="9">
        <f>IF($K254="","",INDEX('سجل التحفيز'!$B$5:$B$2004,MATCH($K254,'سجل التحفيز'!$AA$5:$AA$2004,0)))</f>
        <v/>
      </c>
      <c r="N254" s="9">
        <f>IF($K254="","",INDEX('سجل التحفيز'!$M$5:$M$2004,MATCH($K254,'سجل التحفيز'!$AA$5:$AA$2004,0)))</f>
        <v/>
      </c>
      <c r="O254" s="9">
        <f>IF($K254="","",INDEX('سجل التحفيز'!$C$5:$C$2004,MATCH($K254,'سجل التحفيز'!$AA$5:$AA$2004,0)))</f>
        <v/>
      </c>
      <c r="P254" s="36">
        <f>IF($K254="","",INDEX('سجل التحفيز'!$D$5:$D$2004,MATCH($K254,'سجل التحفيز'!$AA$5:$AA$2004,0)))</f>
        <v/>
      </c>
      <c r="Q254" s="9">
        <f>IF($K254="","",INDEX('سجل التحفيز'!$E$5:$E$2004,MATCH($K254,'سجل التحفيز'!$AA$5:$AA$2004,0)))</f>
        <v/>
      </c>
      <c r="R254" s="9">
        <f>IF($K254="","",INDEX('سجل التحفيز'!$F$5:$F$2004,MATCH($K254,'سجل التحفيز'!$AA$5:$AA$2004,0)))</f>
        <v/>
      </c>
      <c r="S254" s="35">
        <f>IF($K254="","",INDEX('سجل التحفيز'!$G$5:$G$2004,MATCH($K254,'سجل التحفيز'!$AA$5:$AA$2004,0)))</f>
        <v/>
      </c>
    </row>
    <row r="255">
      <c r="K255" s="36">
        <f>IF(218&gt;$B$10,"",218)</f>
        <v/>
      </c>
      <c r="L255" s="37">
        <f>IF($K255="","",INDEX('سجل التحفيز'!$A$5:$A$2004,MATCH($K255,'سجل التحفيز'!$AA$5:$AA$2004,0)))</f>
        <v/>
      </c>
      <c r="M255" s="9">
        <f>IF($K255="","",INDEX('سجل التحفيز'!$B$5:$B$2004,MATCH($K255,'سجل التحفيز'!$AA$5:$AA$2004,0)))</f>
        <v/>
      </c>
      <c r="N255" s="9">
        <f>IF($K255="","",INDEX('سجل التحفيز'!$M$5:$M$2004,MATCH($K255,'سجل التحفيز'!$AA$5:$AA$2004,0)))</f>
        <v/>
      </c>
      <c r="O255" s="9">
        <f>IF($K255="","",INDEX('سجل التحفيز'!$C$5:$C$2004,MATCH($K255,'سجل التحفيز'!$AA$5:$AA$2004,0)))</f>
        <v/>
      </c>
      <c r="P255" s="36">
        <f>IF($K255="","",INDEX('سجل التحفيز'!$D$5:$D$2004,MATCH($K255,'سجل التحفيز'!$AA$5:$AA$2004,0)))</f>
        <v/>
      </c>
      <c r="Q255" s="9">
        <f>IF($K255="","",INDEX('سجل التحفيز'!$E$5:$E$2004,MATCH($K255,'سجل التحفيز'!$AA$5:$AA$2004,0)))</f>
        <v/>
      </c>
      <c r="R255" s="9">
        <f>IF($K255="","",INDEX('سجل التحفيز'!$F$5:$F$2004,MATCH($K255,'سجل التحفيز'!$AA$5:$AA$2004,0)))</f>
        <v/>
      </c>
      <c r="S255" s="35">
        <f>IF($K255="","",INDEX('سجل التحفيز'!$G$5:$G$2004,MATCH($K255,'سجل التحفيز'!$AA$5:$AA$2004,0)))</f>
        <v/>
      </c>
    </row>
    <row r="256">
      <c r="K256" s="36">
        <f>IF(219&gt;$B$10,"",219)</f>
        <v/>
      </c>
      <c r="L256" s="37">
        <f>IF($K256="","",INDEX('سجل التحفيز'!$A$5:$A$2004,MATCH($K256,'سجل التحفيز'!$AA$5:$AA$2004,0)))</f>
        <v/>
      </c>
      <c r="M256" s="9">
        <f>IF($K256="","",INDEX('سجل التحفيز'!$B$5:$B$2004,MATCH($K256,'سجل التحفيز'!$AA$5:$AA$2004,0)))</f>
        <v/>
      </c>
      <c r="N256" s="9">
        <f>IF($K256="","",INDEX('سجل التحفيز'!$M$5:$M$2004,MATCH($K256,'سجل التحفيز'!$AA$5:$AA$2004,0)))</f>
        <v/>
      </c>
      <c r="O256" s="9">
        <f>IF($K256="","",INDEX('سجل التحفيز'!$C$5:$C$2004,MATCH($K256,'سجل التحفيز'!$AA$5:$AA$2004,0)))</f>
        <v/>
      </c>
      <c r="P256" s="36">
        <f>IF($K256="","",INDEX('سجل التحفيز'!$D$5:$D$2004,MATCH($K256,'سجل التحفيز'!$AA$5:$AA$2004,0)))</f>
        <v/>
      </c>
      <c r="Q256" s="9">
        <f>IF($K256="","",INDEX('سجل التحفيز'!$E$5:$E$2004,MATCH($K256,'سجل التحفيز'!$AA$5:$AA$2004,0)))</f>
        <v/>
      </c>
      <c r="R256" s="9">
        <f>IF($K256="","",INDEX('سجل التحفيز'!$F$5:$F$2004,MATCH($K256,'سجل التحفيز'!$AA$5:$AA$2004,0)))</f>
        <v/>
      </c>
      <c r="S256" s="35">
        <f>IF($K256="","",INDEX('سجل التحفيز'!$G$5:$G$2004,MATCH($K256,'سجل التحفيز'!$AA$5:$AA$2004,0)))</f>
        <v/>
      </c>
    </row>
    <row r="257">
      <c r="K257" s="36">
        <f>IF(220&gt;$B$10,"",220)</f>
        <v/>
      </c>
      <c r="L257" s="37">
        <f>IF($K257="","",INDEX('سجل التحفيز'!$A$5:$A$2004,MATCH($K257,'سجل التحفيز'!$AA$5:$AA$2004,0)))</f>
        <v/>
      </c>
      <c r="M257" s="9">
        <f>IF($K257="","",INDEX('سجل التحفيز'!$B$5:$B$2004,MATCH($K257,'سجل التحفيز'!$AA$5:$AA$2004,0)))</f>
        <v/>
      </c>
      <c r="N257" s="9">
        <f>IF($K257="","",INDEX('سجل التحفيز'!$M$5:$M$2004,MATCH($K257,'سجل التحفيز'!$AA$5:$AA$2004,0)))</f>
        <v/>
      </c>
      <c r="O257" s="9">
        <f>IF($K257="","",INDEX('سجل التحفيز'!$C$5:$C$2004,MATCH($K257,'سجل التحفيز'!$AA$5:$AA$2004,0)))</f>
        <v/>
      </c>
      <c r="P257" s="36">
        <f>IF($K257="","",INDEX('سجل التحفيز'!$D$5:$D$2004,MATCH($K257,'سجل التحفيز'!$AA$5:$AA$2004,0)))</f>
        <v/>
      </c>
      <c r="Q257" s="9">
        <f>IF($K257="","",INDEX('سجل التحفيز'!$E$5:$E$2004,MATCH($K257,'سجل التحفيز'!$AA$5:$AA$2004,0)))</f>
        <v/>
      </c>
      <c r="R257" s="9">
        <f>IF($K257="","",INDEX('سجل التحفيز'!$F$5:$F$2004,MATCH($K257,'سجل التحفيز'!$AA$5:$AA$2004,0)))</f>
        <v/>
      </c>
      <c r="S257" s="35">
        <f>IF($K257="","",INDEX('سجل التحفيز'!$G$5:$G$2004,MATCH($K257,'سجل التحفيز'!$AA$5:$AA$2004,0)))</f>
        <v/>
      </c>
    </row>
    <row r="258">
      <c r="K258" s="36">
        <f>IF(221&gt;$B$10,"",221)</f>
        <v/>
      </c>
      <c r="L258" s="37">
        <f>IF($K258="","",INDEX('سجل التحفيز'!$A$5:$A$2004,MATCH($K258,'سجل التحفيز'!$AA$5:$AA$2004,0)))</f>
        <v/>
      </c>
      <c r="M258" s="9">
        <f>IF($K258="","",INDEX('سجل التحفيز'!$B$5:$B$2004,MATCH($K258,'سجل التحفيز'!$AA$5:$AA$2004,0)))</f>
        <v/>
      </c>
      <c r="N258" s="9">
        <f>IF($K258="","",INDEX('سجل التحفيز'!$M$5:$M$2004,MATCH($K258,'سجل التحفيز'!$AA$5:$AA$2004,0)))</f>
        <v/>
      </c>
      <c r="O258" s="9">
        <f>IF($K258="","",INDEX('سجل التحفيز'!$C$5:$C$2004,MATCH($K258,'سجل التحفيز'!$AA$5:$AA$2004,0)))</f>
        <v/>
      </c>
      <c r="P258" s="36">
        <f>IF($K258="","",INDEX('سجل التحفيز'!$D$5:$D$2004,MATCH($K258,'سجل التحفيز'!$AA$5:$AA$2004,0)))</f>
        <v/>
      </c>
      <c r="Q258" s="9">
        <f>IF($K258="","",INDEX('سجل التحفيز'!$E$5:$E$2004,MATCH($K258,'سجل التحفيز'!$AA$5:$AA$2004,0)))</f>
        <v/>
      </c>
      <c r="R258" s="9">
        <f>IF($K258="","",INDEX('سجل التحفيز'!$F$5:$F$2004,MATCH($K258,'سجل التحفيز'!$AA$5:$AA$2004,0)))</f>
        <v/>
      </c>
      <c r="S258" s="35">
        <f>IF($K258="","",INDEX('سجل التحفيز'!$G$5:$G$2004,MATCH($K258,'سجل التحفيز'!$AA$5:$AA$2004,0)))</f>
        <v/>
      </c>
    </row>
    <row r="259">
      <c r="K259" s="36">
        <f>IF(222&gt;$B$10,"",222)</f>
        <v/>
      </c>
      <c r="L259" s="37">
        <f>IF($K259="","",INDEX('سجل التحفيز'!$A$5:$A$2004,MATCH($K259,'سجل التحفيز'!$AA$5:$AA$2004,0)))</f>
        <v/>
      </c>
      <c r="M259" s="9">
        <f>IF($K259="","",INDEX('سجل التحفيز'!$B$5:$B$2004,MATCH($K259,'سجل التحفيز'!$AA$5:$AA$2004,0)))</f>
        <v/>
      </c>
      <c r="N259" s="9">
        <f>IF($K259="","",INDEX('سجل التحفيز'!$M$5:$M$2004,MATCH($K259,'سجل التحفيز'!$AA$5:$AA$2004,0)))</f>
        <v/>
      </c>
      <c r="O259" s="9">
        <f>IF($K259="","",INDEX('سجل التحفيز'!$C$5:$C$2004,MATCH($K259,'سجل التحفيز'!$AA$5:$AA$2004,0)))</f>
        <v/>
      </c>
      <c r="P259" s="36">
        <f>IF($K259="","",INDEX('سجل التحفيز'!$D$5:$D$2004,MATCH($K259,'سجل التحفيز'!$AA$5:$AA$2004,0)))</f>
        <v/>
      </c>
      <c r="Q259" s="9">
        <f>IF($K259="","",INDEX('سجل التحفيز'!$E$5:$E$2004,MATCH($K259,'سجل التحفيز'!$AA$5:$AA$2004,0)))</f>
        <v/>
      </c>
      <c r="R259" s="9">
        <f>IF($K259="","",INDEX('سجل التحفيز'!$F$5:$F$2004,MATCH($K259,'سجل التحفيز'!$AA$5:$AA$2004,0)))</f>
        <v/>
      </c>
      <c r="S259" s="35">
        <f>IF($K259="","",INDEX('سجل التحفيز'!$G$5:$G$2004,MATCH($K259,'سجل التحفيز'!$AA$5:$AA$2004,0)))</f>
        <v/>
      </c>
    </row>
    <row r="260">
      <c r="K260" s="36">
        <f>IF(223&gt;$B$10,"",223)</f>
        <v/>
      </c>
      <c r="L260" s="37">
        <f>IF($K260="","",INDEX('سجل التحفيز'!$A$5:$A$2004,MATCH($K260,'سجل التحفيز'!$AA$5:$AA$2004,0)))</f>
        <v/>
      </c>
      <c r="M260" s="9">
        <f>IF($K260="","",INDEX('سجل التحفيز'!$B$5:$B$2004,MATCH($K260,'سجل التحفيز'!$AA$5:$AA$2004,0)))</f>
        <v/>
      </c>
      <c r="N260" s="9">
        <f>IF($K260="","",INDEX('سجل التحفيز'!$M$5:$M$2004,MATCH($K260,'سجل التحفيز'!$AA$5:$AA$2004,0)))</f>
        <v/>
      </c>
      <c r="O260" s="9">
        <f>IF($K260="","",INDEX('سجل التحفيز'!$C$5:$C$2004,MATCH($K260,'سجل التحفيز'!$AA$5:$AA$2004,0)))</f>
        <v/>
      </c>
      <c r="P260" s="36">
        <f>IF($K260="","",INDEX('سجل التحفيز'!$D$5:$D$2004,MATCH($K260,'سجل التحفيز'!$AA$5:$AA$2004,0)))</f>
        <v/>
      </c>
      <c r="Q260" s="9">
        <f>IF($K260="","",INDEX('سجل التحفيز'!$E$5:$E$2004,MATCH($K260,'سجل التحفيز'!$AA$5:$AA$2004,0)))</f>
        <v/>
      </c>
      <c r="R260" s="9">
        <f>IF($K260="","",INDEX('سجل التحفيز'!$F$5:$F$2004,MATCH($K260,'سجل التحفيز'!$AA$5:$AA$2004,0)))</f>
        <v/>
      </c>
      <c r="S260" s="35">
        <f>IF($K260="","",INDEX('سجل التحفيز'!$G$5:$G$2004,MATCH($K260,'سجل التحفيز'!$AA$5:$AA$2004,0)))</f>
        <v/>
      </c>
    </row>
    <row r="261">
      <c r="K261" s="36">
        <f>IF(224&gt;$B$10,"",224)</f>
        <v/>
      </c>
      <c r="L261" s="37">
        <f>IF($K261="","",INDEX('سجل التحفيز'!$A$5:$A$2004,MATCH($K261,'سجل التحفيز'!$AA$5:$AA$2004,0)))</f>
        <v/>
      </c>
      <c r="M261" s="9">
        <f>IF($K261="","",INDEX('سجل التحفيز'!$B$5:$B$2004,MATCH($K261,'سجل التحفيز'!$AA$5:$AA$2004,0)))</f>
        <v/>
      </c>
      <c r="N261" s="9">
        <f>IF($K261="","",INDEX('سجل التحفيز'!$M$5:$M$2004,MATCH($K261,'سجل التحفيز'!$AA$5:$AA$2004,0)))</f>
        <v/>
      </c>
      <c r="O261" s="9">
        <f>IF($K261="","",INDEX('سجل التحفيز'!$C$5:$C$2004,MATCH($K261,'سجل التحفيز'!$AA$5:$AA$2004,0)))</f>
        <v/>
      </c>
      <c r="P261" s="36">
        <f>IF($K261="","",INDEX('سجل التحفيز'!$D$5:$D$2004,MATCH($K261,'سجل التحفيز'!$AA$5:$AA$2004,0)))</f>
        <v/>
      </c>
      <c r="Q261" s="9">
        <f>IF($K261="","",INDEX('سجل التحفيز'!$E$5:$E$2004,MATCH($K261,'سجل التحفيز'!$AA$5:$AA$2004,0)))</f>
        <v/>
      </c>
      <c r="R261" s="9">
        <f>IF($K261="","",INDEX('سجل التحفيز'!$F$5:$F$2004,MATCH($K261,'سجل التحفيز'!$AA$5:$AA$2004,0)))</f>
        <v/>
      </c>
      <c r="S261" s="35">
        <f>IF($K261="","",INDEX('سجل التحفيز'!$G$5:$G$2004,MATCH($K261,'سجل التحفيز'!$AA$5:$AA$2004,0)))</f>
        <v/>
      </c>
    </row>
    <row r="262">
      <c r="K262" s="36">
        <f>IF(225&gt;$B$10,"",225)</f>
        <v/>
      </c>
      <c r="L262" s="37">
        <f>IF($K262="","",INDEX('سجل التحفيز'!$A$5:$A$2004,MATCH($K262,'سجل التحفيز'!$AA$5:$AA$2004,0)))</f>
        <v/>
      </c>
      <c r="M262" s="9">
        <f>IF($K262="","",INDEX('سجل التحفيز'!$B$5:$B$2004,MATCH($K262,'سجل التحفيز'!$AA$5:$AA$2004,0)))</f>
        <v/>
      </c>
      <c r="N262" s="9">
        <f>IF($K262="","",INDEX('سجل التحفيز'!$M$5:$M$2004,MATCH($K262,'سجل التحفيز'!$AA$5:$AA$2004,0)))</f>
        <v/>
      </c>
      <c r="O262" s="9">
        <f>IF($K262="","",INDEX('سجل التحفيز'!$C$5:$C$2004,MATCH($K262,'سجل التحفيز'!$AA$5:$AA$2004,0)))</f>
        <v/>
      </c>
      <c r="P262" s="36">
        <f>IF($K262="","",INDEX('سجل التحفيز'!$D$5:$D$2004,MATCH($K262,'سجل التحفيز'!$AA$5:$AA$2004,0)))</f>
        <v/>
      </c>
      <c r="Q262" s="9">
        <f>IF($K262="","",INDEX('سجل التحفيز'!$E$5:$E$2004,MATCH($K262,'سجل التحفيز'!$AA$5:$AA$2004,0)))</f>
        <v/>
      </c>
      <c r="R262" s="9">
        <f>IF($K262="","",INDEX('سجل التحفيز'!$F$5:$F$2004,MATCH($K262,'سجل التحفيز'!$AA$5:$AA$2004,0)))</f>
        <v/>
      </c>
      <c r="S262" s="35">
        <f>IF($K262="","",INDEX('سجل التحفيز'!$G$5:$G$2004,MATCH($K262,'سجل التحفيز'!$AA$5:$AA$2004,0)))</f>
        <v/>
      </c>
    </row>
    <row r="263">
      <c r="K263" s="36">
        <f>IF(226&gt;$B$10,"",226)</f>
        <v/>
      </c>
      <c r="L263" s="37">
        <f>IF($K263="","",INDEX('سجل التحفيز'!$A$5:$A$2004,MATCH($K263,'سجل التحفيز'!$AA$5:$AA$2004,0)))</f>
        <v/>
      </c>
      <c r="M263" s="9">
        <f>IF($K263="","",INDEX('سجل التحفيز'!$B$5:$B$2004,MATCH($K263,'سجل التحفيز'!$AA$5:$AA$2004,0)))</f>
        <v/>
      </c>
      <c r="N263" s="9">
        <f>IF($K263="","",INDEX('سجل التحفيز'!$M$5:$M$2004,MATCH($K263,'سجل التحفيز'!$AA$5:$AA$2004,0)))</f>
        <v/>
      </c>
      <c r="O263" s="9">
        <f>IF($K263="","",INDEX('سجل التحفيز'!$C$5:$C$2004,MATCH($K263,'سجل التحفيز'!$AA$5:$AA$2004,0)))</f>
        <v/>
      </c>
      <c r="P263" s="36">
        <f>IF($K263="","",INDEX('سجل التحفيز'!$D$5:$D$2004,MATCH($K263,'سجل التحفيز'!$AA$5:$AA$2004,0)))</f>
        <v/>
      </c>
      <c r="Q263" s="9">
        <f>IF($K263="","",INDEX('سجل التحفيز'!$E$5:$E$2004,MATCH($K263,'سجل التحفيز'!$AA$5:$AA$2004,0)))</f>
        <v/>
      </c>
      <c r="R263" s="9">
        <f>IF($K263="","",INDEX('سجل التحفيز'!$F$5:$F$2004,MATCH($K263,'سجل التحفيز'!$AA$5:$AA$2004,0)))</f>
        <v/>
      </c>
      <c r="S263" s="35">
        <f>IF($K263="","",INDEX('سجل التحفيز'!$G$5:$G$2004,MATCH($K263,'سجل التحفيز'!$AA$5:$AA$2004,0)))</f>
        <v/>
      </c>
    </row>
    <row r="264">
      <c r="K264" s="36">
        <f>IF(227&gt;$B$10,"",227)</f>
        <v/>
      </c>
      <c r="L264" s="37">
        <f>IF($K264="","",INDEX('سجل التحفيز'!$A$5:$A$2004,MATCH($K264,'سجل التحفيز'!$AA$5:$AA$2004,0)))</f>
        <v/>
      </c>
      <c r="M264" s="9">
        <f>IF($K264="","",INDEX('سجل التحفيز'!$B$5:$B$2004,MATCH($K264,'سجل التحفيز'!$AA$5:$AA$2004,0)))</f>
        <v/>
      </c>
      <c r="N264" s="9">
        <f>IF($K264="","",INDEX('سجل التحفيز'!$M$5:$M$2004,MATCH($K264,'سجل التحفيز'!$AA$5:$AA$2004,0)))</f>
        <v/>
      </c>
      <c r="O264" s="9">
        <f>IF($K264="","",INDEX('سجل التحفيز'!$C$5:$C$2004,MATCH($K264,'سجل التحفيز'!$AA$5:$AA$2004,0)))</f>
        <v/>
      </c>
      <c r="P264" s="36">
        <f>IF($K264="","",INDEX('سجل التحفيز'!$D$5:$D$2004,MATCH($K264,'سجل التحفيز'!$AA$5:$AA$2004,0)))</f>
        <v/>
      </c>
      <c r="Q264" s="9">
        <f>IF($K264="","",INDEX('سجل التحفيز'!$E$5:$E$2004,MATCH($K264,'سجل التحفيز'!$AA$5:$AA$2004,0)))</f>
        <v/>
      </c>
      <c r="R264" s="9">
        <f>IF($K264="","",INDEX('سجل التحفيز'!$F$5:$F$2004,MATCH($K264,'سجل التحفيز'!$AA$5:$AA$2004,0)))</f>
        <v/>
      </c>
      <c r="S264" s="35">
        <f>IF($K264="","",INDEX('سجل التحفيز'!$G$5:$G$2004,MATCH($K264,'سجل التحفيز'!$AA$5:$AA$2004,0)))</f>
        <v/>
      </c>
    </row>
    <row r="265">
      <c r="K265" s="36">
        <f>IF(228&gt;$B$10,"",228)</f>
        <v/>
      </c>
      <c r="L265" s="37">
        <f>IF($K265="","",INDEX('سجل التحفيز'!$A$5:$A$2004,MATCH($K265,'سجل التحفيز'!$AA$5:$AA$2004,0)))</f>
        <v/>
      </c>
      <c r="M265" s="9">
        <f>IF($K265="","",INDEX('سجل التحفيز'!$B$5:$B$2004,MATCH($K265,'سجل التحفيز'!$AA$5:$AA$2004,0)))</f>
        <v/>
      </c>
      <c r="N265" s="9">
        <f>IF($K265="","",INDEX('سجل التحفيز'!$M$5:$M$2004,MATCH($K265,'سجل التحفيز'!$AA$5:$AA$2004,0)))</f>
        <v/>
      </c>
      <c r="O265" s="9">
        <f>IF($K265="","",INDEX('سجل التحفيز'!$C$5:$C$2004,MATCH($K265,'سجل التحفيز'!$AA$5:$AA$2004,0)))</f>
        <v/>
      </c>
      <c r="P265" s="36">
        <f>IF($K265="","",INDEX('سجل التحفيز'!$D$5:$D$2004,MATCH($K265,'سجل التحفيز'!$AA$5:$AA$2004,0)))</f>
        <v/>
      </c>
      <c r="Q265" s="9">
        <f>IF($K265="","",INDEX('سجل التحفيز'!$E$5:$E$2004,MATCH($K265,'سجل التحفيز'!$AA$5:$AA$2004,0)))</f>
        <v/>
      </c>
      <c r="R265" s="9">
        <f>IF($K265="","",INDEX('سجل التحفيز'!$F$5:$F$2004,MATCH($K265,'سجل التحفيز'!$AA$5:$AA$2004,0)))</f>
        <v/>
      </c>
      <c r="S265" s="35">
        <f>IF($K265="","",INDEX('سجل التحفيز'!$G$5:$G$2004,MATCH($K265,'سجل التحفيز'!$AA$5:$AA$2004,0)))</f>
        <v/>
      </c>
    </row>
    <row r="266">
      <c r="K266" s="36">
        <f>IF(229&gt;$B$10,"",229)</f>
        <v/>
      </c>
      <c r="L266" s="37">
        <f>IF($K266="","",INDEX('سجل التحفيز'!$A$5:$A$2004,MATCH($K266,'سجل التحفيز'!$AA$5:$AA$2004,0)))</f>
        <v/>
      </c>
      <c r="M266" s="9">
        <f>IF($K266="","",INDEX('سجل التحفيز'!$B$5:$B$2004,MATCH($K266,'سجل التحفيز'!$AA$5:$AA$2004,0)))</f>
        <v/>
      </c>
      <c r="N266" s="9">
        <f>IF($K266="","",INDEX('سجل التحفيز'!$M$5:$M$2004,MATCH($K266,'سجل التحفيز'!$AA$5:$AA$2004,0)))</f>
        <v/>
      </c>
      <c r="O266" s="9">
        <f>IF($K266="","",INDEX('سجل التحفيز'!$C$5:$C$2004,MATCH($K266,'سجل التحفيز'!$AA$5:$AA$2004,0)))</f>
        <v/>
      </c>
      <c r="P266" s="36">
        <f>IF($K266="","",INDEX('سجل التحفيز'!$D$5:$D$2004,MATCH($K266,'سجل التحفيز'!$AA$5:$AA$2004,0)))</f>
        <v/>
      </c>
      <c r="Q266" s="9">
        <f>IF($K266="","",INDEX('سجل التحفيز'!$E$5:$E$2004,MATCH($K266,'سجل التحفيز'!$AA$5:$AA$2004,0)))</f>
        <v/>
      </c>
      <c r="R266" s="9">
        <f>IF($K266="","",INDEX('سجل التحفيز'!$F$5:$F$2004,MATCH($K266,'سجل التحفيز'!$AA$5:$AA$2004,0)))</f>
        <v/>
      </c>
      <c r="S266" s="35">
        <f>IF($K266="","",INDEX('سجل التحفيز'!$G$5:$G$2004,MATCH($K266,'سجل التحفيز'!$AA$5:$AA$2004,0)))</f>
        <v/>
      </c>
    </row>
    <row r="267">
      <c r="K267" s="36">
        <f>IF(230&gt;$B$10,"",230)</f>
        <v/>
      </c>
      <c r="L267" s="37">
        <f>IF($K267="","",INDEX('سجل التحفيز'!$A$5:$A$2004,MATCH($K267,'سجل التحفيز'!$AA$5:$AA$2004,0)))</f>
        <v/>
      </c>
      <c r="M267" s="9">
        <f>IF($K267="","",INDEX('سجل التحفيز'!$B$5:$B$2004,MATCH($K267,'سجل التحفيز'!$AA$5:$AA$2004,0)))</f>
        <v/>
      </c>
      <c r="N267" s="9">
        <f>IF($K267="","",INDEX('سجل التحفيز'!$M$5:$M$2004,MATCH($K267,'سجل التحفيز'!$AA$5:$AA$2004,0)))</f>
        <v/>
      </c>
      <c r="O267" s="9">
        <f>IF($K267="","",INDEX('سجل التحفيز'!$C$5:$C$2004,MATCH($K267,'سجل التحفيز'!$AA$5:$AA$2004,0)))</f>
        <v/>
      </c>
      <c r="P267" s="36">
        <f>IF($K267="","",INDEX('سجل التحفيز'!$D$5:$D$2004,MATCH($K267,'سجل التحفيز'!$AA$5:$AA$2004,0)))</f>
        <v/>
      </c>
      <c r="Q267" s="9">
        <f>IF($K267="","",INDEX('سجل التحفيز'!$E$5:$E$2004,MATCH($K267,'سجل التحفيز'!$AA$5:$AA$2004,0)))</f>
        <v/>
      </c>
      <c r="R267" s="9">
        <f>IF($K267="","",INDEX('سجل التحفيز'!$F$5:$F$2004,MATCH($K267,'سجل التحفيز'!$AA$5:$AA$2004,0)))</f>
        <v/>
      </c>
      <c r="S267" s="35">
        <f>IF($K267="","",INDEX('سجل التحفيز'!$G$5:$G$2004,MATCH($K267,'سجل التحفيز'!$AA$5:$AA$2004,0)))</f>
        <v/>
      </c>
    </row>
    <row r="268">
      <c r="K268" s="36">
        <f>IF(231&gt;$B$10,"",231)</f>
        <v/>
      </c>
      <c r="L268" s="37">
        <f>IF($K268="","",INDEX('سجل التحفيز'!$A$5:$A$2004,MATCH($K268,'سجل التحفيز'!$AA$5:$AA$2004,0)))</f>
        <v/>
      </c>
      <c r="M268" s="9">
        <f>IF($K268="","",INDEX('سجل التحفيز'!$B$5:$B$2004,MATCH($K268,'سجل التحفيز'!$AA$5:$AA$2004,0)))</f>
        <v/>
      </c>
      <c r="N268" s="9">
        <f>IF($K268="","",INDEX('سجل التحفيز'!$M$5:$M$2004,MATCH($K268,'سجل التحفيز'!$AA$5:$AA$2004,0)))</f>
        <v/>
      </c>
      <c r="O268" s="9">
        <f>IF($K268="","",INDEX('سجل التحفيز'!$C$5:$C$2004,MATCH($K268,'سجل التحفيز'!$AA$5:$AA$2004,0)))</f>
        <v/>
      </c>
      <c r="P268" s="36">
        <f>IF($K268="","",INDEX('سجل التحفيز'!$D$5:$D$2004,MATCH($K268,'سجل التحفيز'!$AA$5:$AA$2004,0)))</f>
        <v/>
      </c>
      <c r="Q268" s="9">
        <f>IF($K268="","",INDEX('سجل التحفيز'!$E$5:$E$2004,MATCH($K268,'سجل التحفيز'!$AA$5:$AA$2004,0)))</f>
        <v/>
      </c>
      <c r="R268" s="9">
        <f>IF($K268="","",INDEX('سجل التحفيز'!$F$5:$F$2004,MATCH($K268,'سجل التحفيز'!$AA$5:$AA$2004,0)))</f>
        <v/>
      </c>
      <c r="S268" s="35">
        <f>IF($K268="","",INDEX('سجل التحفيز'!$G$5:$G$2004,MATCH($K268,'سجل التحفيز'!$AA$5:$AA$2004,0)))</f>
        <v/>
      </c>
    </row>
    <row r="269">
      <c r="K269" s="36">
        <f>IF(232&gt;$B$10,"",232)</f>
        <v/>
      </c>
      <c r="L269" s="37">
        <f>IF($K269="","",INDEX('سجل التحفيز'!$A$5:$A$2004,MATCH($K269,'سجل التحفيز'!$AA$5:$AA$2004,0)))</f>
        <v/>
      </c>
      <c r="M269" s="9">
        <f>IF($K269="","",INDEX('سجل التحفيز'!$B$5:$B$2004,MATCH($K269,'سجل التحفيز'!$AA$5:$AA$2004,0)))</f>
        <v/>
      </c>
      <c r="N269" s="9">
        <f>IF($K269="","",INDEX('سجل التحفيز'!$M$5:$M$2004,MATCH($K269,'سجل التحفيز'!$AA$5:$AA$2004,0)))</f>
        <v/>
      </c>
      <c r="O269" s="9">
        <f>IF($K269="","",INDEX('سجل التحفيز'!$C$5:$C$2004,MATCH($K269,'سجل التحفيز'!$AA$5:$AA$2004,0)))</f>
        <v/>
      </c>
      <c r="P269" s="36">
        <f>IF($K269="","",INDEX('سجل التحفيز'!$D$5:$D$2004,MATCH($K269,'سجل التحفيز'!$AA$5:$AA$2004,0)))</f>
        <v/>
      </c>
      <c r="Q269" s="9">
        <f>IF($K269="","",INDEX('سجل التحفيز'!$E$5:$E$2004,MATCH($K269,'سجل التحفيز'!$AA$5:$AA$2004,0)))</f>
        <v/>
      </c>
      <c r="R269" s="9">
        <f>IF($K269="","",INDEX('سجل التحفيز'!$F$5:$F$2004,MATCH($K269,'سجل التحفيز'!$AA$5:$AA$2004,0)))</f>
        <v/>
      </c>
      <c r="S269" s="35">
        <f>IF($K269="","",INDEX('سجل التحفيز'!$G$5:$G$2004,MATCH($K269,'سجل التحفيز'!$AA$5:$AA$2004,0)))</f>
        <v/>
      </c>
    </row>
    <row r="270">
      <c r="K270" s="36">
        <f>IF(233&gt;$B$10,"",233)</f>
        <v/>
      </c>
      <c r="L270" s="37">
        <f>IF($K270="","",INDEX('سجل التحفيز'!$A$5:$A$2004,MATCH($K270,'سجل التحفيز'!$AA$5:$AA$2004,0)))</f>
        <v/>
      </c>
      <c r="M270" s="9">
        <f>IF($K270="","",INDEX('سجل التحفيز'!$B$5:$B$2004,MATCH($K270,'سجل التحفيز'!$AA$5:$AA$2004,0)))</f>
        <v/>
      </c>
      <c r="N270" s="9">
        <f>IF($K270="","",INDEX('سجل التحفيز'!$M$5:$M$2004,MATCH($K270,'سجل التحفيز'!$AA$5:$AA$2004,0)))</f>
        <v/>
      </c>
      <c r="O270" s="9">
        <f>IF($K270="","",INDEX('سجل التحفيز'!$C$5:$C$2004,MATCH($K270,'سجل التحفيز'!$AA$5:$AA$2004,0)))</f>
        <v/>
      </c>
      <c r="P270" s="36">
        <f>IF($K270="","",INDEX('سجل التحفيز'!$D$5:$D$2004,MATCH($K270,'سجل التحفيز'!$AA$5:$AA$2004,0)))</f>
        <v/>
      </c>
      <c r="Q270" s="9">
        <f>IF($K270="","",INDEX('سجل التحفيز'!$E$5:$E$2004,MATCH($K270,'سجل التحفيز'!$AA$5:$AA$2004,0)))</f>
        <v/>
      </c>
      <c r="R270" s="9">
        <f>IF($K270="","",INDEX('سجل التحفيز'!$F$5:$F$2004,MATCH($K270,'سجل التحفيز'!$AA$5:$AA$2004,0)))</f>
        <v/>
      </c>
      <c r="S270" s="35">
        <f>IF($K270="","",INDEX('سجل التحفيز'!$G$5:$G$2004,MATCH($K270,'سجل التحفيز'!$AA$5:$AA$2004,0)))</f>
        <v/>
      </c>
    </row>
    <row r="271">
      <c r="K271" s="36">
        <f>IF(234&gt;$B$10,"",234)</f>
        <v/>
      </c>
      <c r="L271" s="37">
        <f>IF($K271="","",INDEX('سجل التحفيز'!$A$5:$A$2004,MATCH($K271,'سجل التحفيز'!$AA$5:$AA$2004,0)))</f>
        <v/>
      </c>
      <c r="M271" s="9">
        <f>IF($K271="","",INDEX('سجل التحفيز'!$B$5:$B$2004,MATCH($K271,'سجل التحفيز'!$AA$5:$AA$2004,0)))</f>
        <v/>
      </c>
      <c r="N271" s="9">
        <f>IF($K271="","",INDEX('سجل التحفيز'!$M$5:$M$2004,MATCH($K271,'سجل التحفيز'!$AA$5:$AA$2004,0)))</f>
        <v/>
      </c>
      <c r="O271" s="9">
        <f>IF($K271="","",INDEX('سجل التحفيز'!$C$5:$C$2004,MATCH($K271,'سجل التحفيز'!$AA$5:$AA$2004,0)))</f>
        <v/>
      </c>
      <c r="P271" s="36">
        <f>IF($K271="","",INDEX('سجل التحفيز'!$D$5:$D$2004,MATCH($K271,'سجل التحفيز'!$AA$5:$AA$2004,0)))</f>
        <v/>
      </c>
      <c r="Q271" s="9">
        <f>IF($K271="","",INDEX('سجل التحفيز'!$E$5:$E$2004,MATCH($K271,'سجل التحفيز'!$AA$5:$AA$2004,0)))</f>
        <v/>
      </c>
      <c r="R271" s="9">
        <f>IF($K271="","",INDEX('سجل التحفيز'!$F$5:$F$2004,MATCH($K271,'سجل التحفيز'!$AA$5:$AA$2004,0)))</f>
        <v/>
      </c>
      <c r="S271" s="35">
        <f>IF($K271="","",INDEX('سجل التحفيز'!$G$5:$G$2004,MATCH($K271,'سجل التحفيز'!$AA$5:$AA$2004,0)))</f>
        <v/>
      </c>
    </row>
    <row r="272">
      <c r="K272" s="36">
        <f>IF(235&gt;$B$10,"",235)</f>
        <v/>
      </c>
      <c r="L272" s="37">
        <f>IF($K272="","",INDEX('سجل التحفيز'!$A$5:$A$2004,MATCH($K272,'سجل التحفيز'!$AA$5:$AA$2004,0)))</f>
        <v/>
      </c>
      <c r="M272" s="9">
        <f>IF($K272="","",INDEX('سجل التحفيز'!$B$5:$B$2004,MATCH($K272,'سجل التحفيز'!$AA$5:$AA$2004,0)))</f>
        <v/>
      </c>
      <c r="N272" s="9">
        <f>IF($K272="","",INDEX('سجل التحفيز'!$M$5:$M$2004,MATCH($K272,'سجل التحفيز'!$AA$5:$AA$2004,0)))</f>
        <v/>
      </c>
      <c r="O272" s="9">
        <f>IF($K272="","",INDEX('سجل التحفيز'!$C$5:$C$2004,MATCH($K272,'سجل التحفيز'!$AA$5:$AA$2004,0)))</f>
        <v/>
      </c>
      <c r="P272" s="36">
        <f>IF($K272="","",INDEX('سجل التحفيز'!$D$5:$D$2004,MATCH($K272,'سجل التحفيز'!$AA$5:$AA$2004,0)))</f>
        <v/>
      </c>
      <c r="Q272" s="9">
        <f>IF($K272="","",INDEX('سجل التحفيز'!$E$5:$E$2004,MATCH($K272,'سجل التحفيز'!$AA$5:$AA$2004,0)))</f>
        <v/>
      </c>
      <c r="R272" s="9">
        <f>IF($K272="","",INDEX('سجل التحفيز'!$F$5:$F$2004,MATCH($K272,'سجل التحفيز'!$AA$5:$AA$2004,0)))</f>
        <v/>
      </c>
      <c r="S272" s="35">
        <f>IF($K272="","",INDEX('سجل التحفيز'!$G$5:$G$2004,MATCH($K272,'سجل التحفيز'!$AA$5:$AA$2004,0)))</f>
        <v/>
      </c>
    </row>
    <row r="273">
      <c r="K273" s="36">
        <f>IF(236&gt;$B$10,"",236)</f>
        <v/>
      </c>
      <c r="L273" s="37">
        <f>IF($K273="","",INDEX('سجل التحفيز'!$A$5:$A$2004,MATCH($K273,'سجل التحفيز'!$AA$5:$AA$2004,0)))</f>
        <v/>
      </c>
      <c r="M273" s="9">
        <f>IF($K273="","",INDEX('سجل التحفيز'!$B$5:$B$2004,MATCH($K273,'سجل التحفيز'!$AA$5:$AA$2004,0)))</f>
        <v/>
      </c>
      <c r="N273" s="9">
        <f>IF($K273="","",INDEX('سجل التحفيز'!$M$5:$M$2004,MATCH($K273,'سجل التحفيز'!$AA$5:$AA$2004,0)))</f>
        <v/>
      </c>
      <c r="O273" s="9">
        <f>IF($K273="","",INDEX('سجل التحفيز'!$C$5:$C$2004,MATCH($K273,'سجل التحفيز'!$AA$5:$AA$2004,0)))</f>
        <v/>
      </c>
      <c r="P273" s="36">
        <f>IF($K273="","",INDEX('سجل التحفيز'!$D$5:$D$2004,MATCH($K273,'سجل التحفيز'!$AA$5:$AA$2004,0)))</f>
        <v/>
      </c>
      <c r="Q273" s="9">
        <f>IF($K273="","",INDEX('سجل التحفيز'!$E$5:$E$2004,MATCH($K273,'سجل التحفيز'!$AA$5:$AA$2004,0)))</f>
        <v/>
      </c>
      <c r="R273" s="9">
        <f>IF($K273="","",INDEX('سجل التحفيز'!$F$5:$F$2004,MATCH($K273,'سجل التحفيز'!$AA$5:$AA$2004,0)))</f>
        <v/>
      </c>
      <c r="S273" s="35">
        <f>IF($K273="","",INDEX('سجل التحفيز'!$G$5:$G$2004,MATCH($K273,'سجل التحفيز'!$AA$5:$AA$2004,0)))</f>
        <v/>
      </c>
    </row>
    <row r="274">
      <c r="K274" s="36">
        <f>IF(237&gt;$B$10,"",237)</f>
        <v/>
      </c>
      <c r="L274" s="37">
        <f>IF($K274="","",INDEX('سجل التحفيز'!$A$5:$A$2004,MATCH($K274,'سجل التحفيز'!$AA$5:$AA$2004,0)))</f>
        <v/>
      </c>
      <c r="M274" s="9">
        <f>IF($K274="","",INDEX('سجل التحفيز'!$B$5:$B$2004,MATCH($K274,'سجل التحفيز'!$AA$5:$AA$2004,0)))</f>
        <v/>
      </c>
      <c r="N274" s="9">
        <f>IF($K274="","",INDEX('سجل التحفيز'!$M$5:$M$2004,MATCH($K274,'سجل التحفيز'!$AA$5:$AA$2004,0)))</f>
        <v/>
      </c>
      <c r="O274" s="9">
        <f>IF($K274="","",INDEX('سجل التحفيز'!$C$5:$C$2004,MATCH($K274,'سجل التحفيز'!$AA$5:$AA$2004,0)))</f>
        <v/>
      </c>
      <c r="P274" s="36">
        <f>IF($K274="","",INDEX('سجل التحفيز'!$D$5:$D$2004,MATCH($K274,'سجل التحفيز'!$AA$5:$AA$2004,0)))</f>
        <v/>
      </c>
      <c r="Q274" s="9">
        <f>IF($K274="","",INDEX('سجل التحفيز'!$E$5:$E$2004,MATCH($K274,'سجل التحفيز'!$AA$5:$AA$2004,0)))</f>
        <v/>
      </c>
      <c r="R274" s="9">
        <f>IF($K274="","",INDEX('سجل التحفيز'!$F$5:$F$2004,MATCH($K274,'سجل التحفيز'!$AA$5:$AA$2004,0)))</f>
        <v/>
      </c>
      <c r="S274" s="35">
        <f>IF($K274="","",INDEX('سجل التحفيز'!$G$5:$G$2004,MATCH($K274,'سجل التحفيز'!$AA$5:$AA$2004,0)))</f>
        <v/>
      </c>
    </row>
    <row r="275">
      <c r="K275" s="36">
        <f>IF(238&gt;$B$10,"",238)</f>
        <v/>
      </c>
      <c r="L275" s="37">
        <f>IF($K275="","",INDEX('سجل التحفيز'!$A$5:$A$2004,MATCH($K275,'سجل التحفيز'!$AA$5:$AA$2004,0)))</f>
        <v/>
      </c>
      <c r="M275" s="9">
        <f>IF($K275="","",INDEX('سجل التحفيز'!$B$5:$B$2004,MATCH($K275,'سجل التحفيز'!$AA$5:$AA$2004,0)))</f>
        <v/>
      </c>
      <c r="N275" s="9">
        <f>IF($K275="","",INDEX('سجل التحفيز'!$M$5:$M$2004,MATCH($K275,'سجل التحفيز'!$AA$5:$AA$2004,0)))</f>
        <v/>
      </c>
      <c r="O275" s="9">
        <f>IF($K275="","",INDEX('سجل التحفيز'!$C$5:$C$2004,MATCH($K275,'سجل التحفيز'!$AA$5:$AA$2004,0)))</f>
        <v/>
      </c>
      <c r="P275" s="36">
        <f>IF($K275="","",INDEX('سجل التحفيز'!$D$5:$D$2004,MATCH($K275,'سجل التحفيز'!$AA$5:$AA$2004,0)))</f>
        <v/>
      </c>
      <c r="Q275" s="9">
        <f>IF($K275="","",INDEX('سجل التحفيز'!$E$5:$E$2004,MATCH($K275,'سجل التحفيز'!$AA$5:$AA$2004,0)))</f>
        <v/>
      </c>
      <c r="R275" s="9">
        <f>IF($K275="","",INDEX('سجل التحفيز'!$F$5:$F$2004,MATCH($K275,'سجل التحفيز'!$AA$5:$AA$2004,0)))</f>
        <v/>
      </c>
      <c r="S275" s="35">
        <f>IF($K275="","",INDEX('سجل التحفيز'!$G$5:$G$2004,MATCH($K275,'سجل التحفيز'!$AA$5:$AA$2004,0)))</f>
        <v/>
      </c>
    </row>
    <row r="276">
      <c r="K276" s="36">
        <f>IF(239&gt;$B$10,"",239)</f>
        <v/>
      </c>
      <c r="L276" s="37">
        <f>IF($K276="","",INDEX('سجل التحفيز'!$A$5:$A$2004,MATCH($K276,'سجل التحفيز'!$AA$5:$AA$2004,0)))</f>
        <v/>
      </c>
      <c r="M276" s="9">
        <f>IF($K276="","",INDEX('سجل التحفيز'!$B$5:$B$2004,MATCH($K276,'سجل التحفيز'!$AA$5:$AA$2004,0)))</f>
        <v/>
      </c>
      <c r="N276" s="9">
        <f>IF($K276="","",INDEX('سجل التحفيز'!$M$5:$M$2004,MATCH($K276,'سجل التحفيز'!$AA$5:$AA$2004,0)))</f>
        <v/>
      </c>
      <c r="O276" s="9">
        <f>IF($K276="","",INDEX('سجل التحفيز'!$C$5:$C$2004,MATCH($K276,'سجل التحفيز'!$AA$5:$AA$2004,0)))</f>
        <v/>
      </c>
      <c r="P276" s="36">
        <f>IF($K276="","",INDEX('سجل التحفيز'!$D$5:$D$2004,MATCH($K276,'سجل التحفيز'!$AA$5:$AA$2004,0)))</f>
        <v/>
      </c>
      <c r="Q276" s="9">
        <f>IF($K276="","",INDEX('سجل التحفيز'!$E$5:$E$2004,MATCH($K276,'سجل التحفيز'!$AA$5:$AA$2004,0)))</f>
        <v/>
      </c>
      <c r="R276" s="9">
        <f>IF($K276="","",INDEX('سجل التحفيز'!$F$5:$F$2004,MATCH($K276,'سجل التحفيز'!$AA$5:$AA$2004,0)))</f>
        <v/>
      </c>
      <c r="S276" s="35">
        <f>IF($K276="","",INDEX('سجل التحفيز'!$G$5:$G$2004,MATCH($K276,'سجل التحفيز'!$AA$5:$AA$2004,0)))</f>
        <v/>
      </c>
    </row>
    <row r="277">
      <c r="K277" s="36">
        <f>IF(240&gt;$B$10,"",240)</f>
        <v/>
      </c>
      <c r="L277" s="37">
        <f>IF($K277="","",INDEX('سجل التحفيز'!$A$5:$A$2004,MATCH($K277,'سجل التحفيز'!$AA$5:$AA$2004,0)))</f>
        <v/>
      </c>
      <c r="M277" s="9">
        <f>IF($K277="","",INDEX('سجل التحفيز'!$B$5:$B$2004,MATCH($K277,'سجل التحفيز'!$AA$5:$AA$2004,0)))</f>
        <v/>
      </c>
      <c r="N277" s="9">
        <f>IF($K277="","",INDEX('سجل التحفيز'!$M$5:$M$2004,MATCH($K277,'سجل التحفيز'!$AA$5:$AA$2004,0)))</f>
        <v/>
      </c>
      <c r="O277" s="9">
        <f>IF($K277="","",INDEX('سجل التحفيز'!$C$5:$C$2004,MATCH($K277,'سجل التحفيز'!$AA$5:$AA$2004,0)))</f>
        <v/>
      </c>
      <c r="P277" s="36">
        <f>IF($K277="","",INDEX('سجل التحفيز'!$D$5:$D$2004,MATCH($K277,'سجل التحفيز'!$AA$5:$AA$2004,0)))</f>
        <v/>
      </c>
      <c r="Q277" s="9">
        <f>IF($K277="","",INDEX('سجل التحفيز'!$E$5:$E$2004,MATCH($K277,'سجل التحفيز'!$AA$5:$AA$2004,0)))</f>
        <v/>
      </c>
      <c r="R277" s="9">
        <f>IF($K277="","",INDEX('سجل التحفيز'!$F$5:$F$2004,MATCH($K277,'سجل التحفيز'!$AA$5:$AA$2004,0)))</f>
        <v/>
      </c>
      <c r="S277" s="35">
        <f>IF($K277="","",INDEX('سجل التحفيز'!$G$5:$G$2004,MATCH($K277,'سجل التحفيز'!$AA$5:$AA$2004,0)))</f>
        <v/>
      </c>
    </row>
    <row r="278">
      <c r="K278" s="36">
        <f>IF(241&gt;$B$10,"",241)</f>
        <v/>
      </c>
      <c r="L278" s="37">
        <f>IF($K278="","",INDEX('سجل التحفيز'!$A$5:$A$2004,MATCH($K278,'سجل التحفيز'!$AA$5:$AA$2004,0)))</f>
        <v/>
      </c>
      <c r="M278" s="9">
        <f>IF($K278="","",INDEX('سجل التحفيز'!$B$5:$B$2004,MATCH($K278,'سجل التحفيز'!$AA$5:$AA$2004,0)))</f>
        <v/>
      </c>
      <c r="N278" s="9">
        <f>IF($K278="","",INDEX('سجل التحفيز'!$M$5:$M$2004,MATCH($K278,'سجل التحفيز'!$AA$5:$AA$2004,0)))</f>
        <v/>
      </c>
      <c r="O278" s="9">
        <f>IF($K278="","",INDEX('سجل التحفيز'!$C$5:$C$2004,MATCH($K278,'سجل التحفيز'!$AA$5:$AA$2004,0)))</f>
        <v/>
      </c>
      <c r="P278" s="36">
        <f>IF($K278="","",INDEX('سجل التحفيز'!$D$5:$D$2004,MATCH($K278,'سجل التحفيز'!$AA$5:$AA$2004,0)))</f>
        <v/>
      </c>
      <c r="Q278" s="9">
        <f>IF($K278="","",INDEX('سجل التحفيز'!$E$5:$E$2004,MATCH($K278,'سجل التحفيز'!$AA$5:$AA$2004,0)))</f>
        <v/>
      </c>
      <c r="R278" s="9">
        <f>IF($K278="","",INDEX('سجل التحفيز'!$F$5:$F$2004,MATCH($K278,'سجل التحفيز'!$AA$5:$AA$2004,0)))</f>
        <v/>
      </c>
      <c r="S278" s="35">
        <f>IF($K278="","",INDEX('سجل التحفيز'!$G$5:$G$2004,MATCH($K278,'سجل التحفيز'!$AA$5:$AA$2004,0)))</f>
        <v/>
      </c>
    </row>
    <row r="279">
      <c r="K279" s="36">
        <f>IF(242&gt;$B$10,"",242)</f>
        <v/>
      </c>
      <c r="L279" s="37">
        <f>IF($K279="","",INDEX('سجل التحفيز'!$A$5:$A$2004,MATCH($K279,'سجل التحفيز'!$AA$5:$AA$2004,0)))</f>
        <v/>
      </c>
      <c r="M279" s="9">
        <f>IF($K279="","",INDEX('سجل التحفيز'!$B$5:$B$2004,MATCH($K279,'سجل التحفيز'!$AA$5:$AA$2004,0)))</f>
        <v/>
      </c>
      <c r="N279" s="9">
        <f>IF($K279="","",INDEX('سجل التحفيز'!$M$5:$M$2004,MATCH($K279,'سجل التحفيز'!$AA$5:$AA$2004,0)))</f>
        <v/>
      </c>
      <c r="O279" s="9">
        <f>IF($K279="","",INDEX('سجل التحفيز'!$C$5:$C$2004,MATCH($K279,'سجل التحفيز'!$AA$5:$AA$2004,0)))</f>
        <v/>
      </c>
      <c r="P279" s="36">
        <f>IF($K279="","",INDEX('سجل التحفيز'!$D$5:$D$2004,MATCH($K279,'سجل التحفيز'!$AA$5:$AA$2004,0)))</f>
        <v/>
      </c>
      <c r="Q279" s="9">
        <f>IF($K279="","",INDEX('سجل التحفيز'!$E$5:$E$2004,MATCH($K279,'سجل التحفيز'!$AA$5:$AA$2004,0)))</f>
        <v/>
      </c>
      <c r="R279" s="9">
        <f>IF($K279="","",INDEX('سجل التحفيز'!$F$5:$F$2004,MATCH($K279,'سجل التحفيز'!$AA$5:$AA$2004,0)))</f>
        <v/>
      </c>
      <c r="S279" s="35">
        <f>IF($K279="","",INDEX('سجل التحفيز'!$G$5:$G$2004,MATCH($K279,'سجل التحفيز'!$AA$5:$AA$2004,0)))</f>
        <v/>
      </c>
    </row>
    <row r="280">
      <c r="K280" s="36">
        <f>IF(243&gt;$B$10,"",243)</f>
        <v/>
      </c>
      <c r="L280" s="37">
        <f>IF($K280="","",INDEX('سجل التحفيز'!$A$5:$A$2004,MATCH($K280,'سجل التحفيز'!$AA$5:$AA$2004,0)))</f>
        <v/>
      </c>
      <c r="M280" s="9">
        <f>IF($K280="","",INDEX('سجل التحفيز'!$B$5:$B$2004,MATCH($K280,'سجل التحفيز'!$AA$5:$AA$2004,0)))</f>
        <v/>
      </c>
      <c r="N280" s="9">
        <f>IF($K280="","",INDEX('سجل التحفيز'!$M$5:$M$2004,MATCH($K280,'سجل التحفيز'!$AA$5:$AA$2004,0)))</f>
        <v/>
      </c>
      <c r="O280" s="9">
        <f>IF($K280="","",INDEX('سجل التحفيز'!$C$5:$C$2004,MATCH($K280,'سجل التحفيز'!$AA$5:$AA$2004,0)))</f>
        <v/>
      </c>
      <c r="P280" s="36">
        <f>IF($K280="","",INDEX('سجل التحفيز'!$D$5:$D$2004,MATCH($K280,'سجل التحفيز'!$AA$5:$AA$2004,0)))</f>
        <v/>
      </c>
      <c r="Q280" s="9">
        <f>IF($K280="","",INDEX('سجل التحفيز'!$E$5:$E$2004,MATCH($K280,'سجل التحفيز'!$AA$5:$AA$2004,0)))</f>
        <v/>
      </c>
      <c r="R280" s="9">
        <f>IF($K280="","",INDEX('سجل التحفيز'!$F$5:$F$2004,MATCH($K280,'سجل التحفيز'!$AA$5:$AA$2004,0)))</f>
        <v/>
      </c>
      <c r="S280" s="35">
        <f>IF($K280="","",INDEX('سجل التحفيز'!$G$5:$G$2004,MATCH($K280,'سجل التحفيز'!$AA$5:$AA$2004,0)))</f>
        <v/>
      </c>
    </row>
    <row r="281">
      <c r="K281" s="36">
        <f>IF(244&gt;$B$10,"",244)</f>
        <v/>
      </c>
      <c r="L281" s="37">
        <f>IF($K281="","",INDEX('سجل التحفيز'!$A$5:$A$2004,MATCH($K281,'سجل التحفيز'!$AA$5:$AA$2004,0)))</f>
        <v/>
      </c>
      <c r="M281" s="9">
        <f>IF($K281="","",INDEX('سجل التحفيز'!$B$5:$B$2004,MATCH($K281,'سجل التحفيز'!$AA$5:$AA$2004,0)))</f>
        <v/>
      </c>
      <c r="N281" s="9">
        <f>IF($K281="","",INDEX('سجل التحفيز'!$M$5:$M$2004,MATCH($K281,'سجل التحفيز'!$AA$5:$AA$2004,0)))</f>
        <v/>
      </c>
      <c r="O281" s="9">
        <f>IF($K281="","",INDEX('سجل التحفيز'!$C$5:$C$2004,MATCH($K281,'سجل التحفيز'!$AA$5:$AA$2004,0)))</f>
        <v/>
      </c>
      <c r="P281" s="36">
        <f>IF($K281="","",INDEX('سجل التحفيز'!$D$5:$D$2004,MATCH($K281,'سجل التحفيز'!$AA$5:$AA$2004,0)))</f>
        <v/>
      </c>
      <c r="Q281" s="9">
        <f>IF($K281="","",INDEX('سجل التحفيز'!$E$5:$E$2004,MATCH($K281,'سجل التحفيز'!$AA$5:$AA$2004,0)))</f>
        <v/>
      </c>
      <c r="R281" s="9">
        <f>IF($K281="","",INDEX('سجل التحفيز'!$F$5:$F$2004,MATCH($K281,'سجل التحفيز'!$AA$5:$AA$2004,0)))</f>
        <v/>
      </c>
      <c r="S281" s="35">
        <f>IF($K281="","",INDEX('سجل التحفيز'!$G$5:$G$2004,MATCH($K281,'سجل التحفيز'!$AA$5:$AA$2004,0)))</f>
        <v/>
      </c>
    </row>
    <row r="282">
      <c r="K282" s="36">
        <f>IF(245&gt;$B$10,"",245)</f>
        <v/>
      </c>
      <c r="L282" s="37">
        <f>IF($K282="","",INDEX('سجل التحفيز'!$A$5:$A$2004,MATCH($K282,'سجل التحفيز'!$AA$5:$AA$2004,0)))</f>
        <v/>
      </c>
      <c r="M282" s="9">
        <f>IF($K282="","",INDEX('سجل التحفيز'!$B$5:$B$2004,MATCH($K282,'سجل التحفيز'!$AA$5:$AA$2004,0)))</f>
        <v/>
      </c>
      <c r="N282" s="9">
        <f>IF($K282="","",INDEX('سجل التحفيز'!$M$5:$M$2004,MATCH($K282,'سجل التحفيز'!$AA$5:$AA$2004,0)))</f>
        <v/>
      </c>
      <c r="O282" s="9">
        <f>IF($K282="","",INDEX('سجل التحفيز'!$C$5:$C$2004,MATCH($K282,'سجل التحفيز'!$AA$5:$AA$2004,0)))</f>
        <v/>
      </c>
      <c r="P282" s="36">
        <f>IF($K282="","",INDEX('سجل التحفيز'!$D$5:$D$2004,MATCH($K282,'سجل التحفيز'!$AA$5:$AA$2004,0)))</f>
        <v/>
      </c>
      <c r="Q282" s="9">
        <f>IF($K282="","",INDEX('سجل التحفيز'!$E$5:$E$2004,MATCH($K282,'سجل التحفيز'!$AA$5:$AA$2004,0)))</f>
        <v/>
      </c>
      <c r="R282" s="9">
        <f>IF($K282="","",INDEX('سجل التحفيز'!$F$5:$F$2004,MATCH($K282,'سجل التحفيز'!$AA$5:$AA$2004,0)))</f>
        <v/>
      </c>
      <c r="S282" s="35">
        <f>IF($K282="","",INDEX('سجل التحفيز'!$G$5:$G$2004,MATCH($K282,'سجل التحفيز'!$AA$5:$AA$2004,0)))</f>
        <v/>
      </c>
    </row>
    <row r="283">
      <c r="K283" s="36">
        <f>IF(246&gt;$B$10,"",246)</f>
        <v/>
      </c>
      <c r="L283" s="37">
        <f>IF($K283="","",INDEX('سجل التحفيز'!$A$5:$A$2004,MATCH($K283,'سجل التحفيز'!$AA$5:$AA$2004,0)))</f>
        <v/>
      </c>
      <c r="M283" s="9">
        <f>IF($K283="","",INDEX('سجل التحفيز'!$B$5:$B$2004,MATCH($K283,'سجل التحفيز'!$AA$5:$AA$2004,0)))</f>
        <v/>
      </c>
      <c r="N283" s="9">
        <f>IF($K283="","",INDEX('سجل التحفيز'!$M$5:$M$2004,MATCH($K283,'سجل التحفيز'!$AA$5:$AA$2004,0)))</f>
        <v/>
      </c>
      <c r="O283" s="9">
        <f>IF($K283="","",INDEX('سجل التحفيز'!$C$5:$C$2004,MATCH($K283,'سجل التحفيز'!$AA$5:$AA$2004,0)))</f>
        <v/>
      </c>
      <c r="P283" s="36">
        <f>IF($K283="","",INDEX('سجل التحفيز'!$D$5:$D$2004,MATCH($K283,'سجل التحفيز'!$AA$5:$AA$2004,0)))</f>
        <v/>
      </c>
      <c r="Q283" s="9">
        <f>IF($K283="","",INDEX('سجل التحفيز'!$E$5:$E$2004,MATCH($K283,'سجل التحفيز'!$AA$5:$AA$2004,0)))</f>
        <v/>
      </c>
      <c r="R283" s="9">
        <f>IF($K283="","",INDEX('سجل التحفيز'!$F$5:$F$2004,MATCH($K283,'سجل التحفيز'!$AA$5:$AA$2004,0)))</f>
        <v/>
      </c>
      <c r="S283" s="35">
        <f>IF($K283="","",INDEX('سجل التحفيز'!$G$5:$G$2004,MATCH($K283,'سجل التحفيز'!$AA$5:$AA$2004,0)))</f>
        <v/>
      </c>
    </row>
    <row r="284">
      <c r="K284" s="36">
        <f>IF(247&gt;$B$10,"",247)</f>
        <v/>
      </c>
      <c r="L284" s="37">
        <f>IF($K284="","",INDEX('سجل التحفيز'!$A$5:$A$2004,MATCH($K284,'سجل التحفيز'!$AA$5:$AA$2004,0)))</f>
        <v/>
      </c>
      <c r="M284" s="9">
        <f>IF($K284="","",INDEX('سجل التحفيز'!$B$5:$B$2004,MATCH($K284,'سجل التحفيز'!$AA$5:$AA$2004,0)))</f>
        <v/>
      </c>
      <c r="N284" s="9">
        <f>IF($K284="","",INDEX('سجل التحفيز'!$M$5:$M$2004,MATCH($K284,'سجل التحفيز'!$AA$5:$AA$2004,0)))</f>
        <v/>
      </c>
      <c r="O284" s="9">
        <f>IF($K284="","",INDEX('سجل التحفيز'!$C$5:$C$2004,MATCH($K284,'سجل التحفيز'!$AA$5:$AA$2004,0)))</f>
        <v/>
      </c>
      <c r="P284" s="36">
        <f>IF($K284="","",INDEX('سجل التحفيز'!$D$5:$D$2004,MATCH($K284,'سجل التحفيز'!$AA$5:$AA$2004,0)))</f>
        <v/>
      </c>
      <c r="Q284" s="9">
        <f>IF($K284="","",INDEX('سجل التحفيز'!$E$5:$E$2004,MATCH($K284,'سجل التحفيز'!$AA$5:$AA$2004,0)))</f>
        <v/>
      </c>
      <c r="R284" s="9">
        <f>IF($K284="","",INDEX('سجل التحفيز'!$F$5:$F$2004,MATCH($K284,'سجل التحفيز'!$AA$5:$AA$2004,0)))</f>
        <v/>
      </c>
      <c r="S284" s="35">
        <f>IF($K284="","",INDEX('سجل التحفيز'!$G$5:$G$2004,MATCH($K284,'سجل التحفيز'!$AA$5:$AA$2004,0)))</f>
        <v/>
      </c>
    </row>
    <row r="285">
      <c r="K285" s="36">
        <f>IF(248&gt;$B$10,"",248)</f>
        <v/>
      </c>
      <c r="L285" s="37">
        <f>IF($K285="","",INDEX('سجل التحفيز'!$A$5:$A$2004,MATCH($K285,'سجل التحفيز'!$AA$5:$AA$2004,0)))</f>
        <v/>
      </c>
      <c r="M285" s="9">
        <f>IF($K285="","",INDEX('سجل التحفيز'!$B$5:$B$2004,MATCH($K285,'سجل التحفيز'!$AA$5:$AA$2004,0)))</f>
        <v/>
      </c>
      <c r="N285" s="9">
        <f>IF($K285="","",INDEX('سجل التحفيز'!$M$5:$M$2004,MATCH($K285,'سجل التحفيز'!$AA$5:$AA$2004,0)))</f>
        <v/>
      </c>
      <c r="O285" s="9">
        <f>IF($K285="","",INDEX('سجل التحفيز'!$C$5:$C$2004,MATCH($K285,'سجل التحفيز'!$AA$5:$AA$2004,0)))</f>
        <v/>
      </c>
      <c r="P285" s="36">
        <f>IF($K285="","",INDEX('سجل التحفيز'!$D$5:$D$2004,MATCH($K285,'سجل التحفيز'!$AA$5:$AA$2004,0)))</f>
        <v/>
      </c>
      <c r="Q285" s="9">
        <f>IF($K285="","",INDEX('سجل التحفيز'!$E$5:$E$2004,MATCH($K285,'سجل التحفيز'!$AA$5:$AA$2004,0)))</f>
        <v/>
      </c>
      <c r="R285" s="9">
        <f>IF($K285="","",INDEX('سجل التحفيز'!$F$5:$F$2004,MATCH($K285,'سجل التحفيز'!$AA$5:$AA$2004,0)))</f>
        <v/>
      </c>
      <c r="S285" s="35">
        <f>IF($K285="","",INDEX('سجل التحفيز'!$G$5:$G$2004,MATCH($K285,'سجل التحفيز'!$AA$5:$AA$2004,0)))</f>
        <v/>
      </c>
    </row>
    <row r="286">
      <c r="K286" s="36">
        <f>IF(249&gt;$B$10,"",249)</f>
        <v/>
      </c>
      <c r="L286" s="37">
        <f>IF($K286="","",INDEX('سجل التحفيز'!$A$5:$A$2004,MATCH($K286,'سجل التحفيز'!$AA$5:$AA$2004,0)))</f>
        <v/>
      </c>
      <c r="M286" s="9">
        <f>IF($K286="","",INDEX('سجل التحفيز'!$B$5:$B$2004,MATCH($K286,'سجل التحفيز'!$AA$5:$AA$2004,0)))</f>
        <v/>
      </c>
      <c r="N286" s="9">
        <f>IF($K286="","",INDEX('سجل التحفيز'!$M$5:$M$2004,MATCH($K286,'سجل التحفيز'!$AA$5:$AA$2004,0)))</f>
        <v/>
      </c>
      <c r="O286" s="9">
        <f>IF($K286="","",INDEX('سجل التحفيز'!$C$5:$C$2004,MATCH($K286,'سجل التحفيز'!$AA$5:$AA$2004,0)))</f>
        <v/>
      </c>
      <c r="P286" s="36">
        <f>IF($K286="","",INDEX('سجل التحفيز'!$D$5:$D$2004,MATCH($K286,'سجل التحفيز'!$AA$5:$AA$2004,0)))</f>
        <v/>
      </c>
      <c r="Q286" s="9">
        <f>IF($K286="","",INDEX('سجل التحفيز'!$E$5:$E$2004,MATCH($K286,'سجل التحفيز'!$AA$5:$AA$2004,0)))</f>
        <v/>
      </c>
      <c r="R286" s="9">
        <f>IF($K286="","",INDEX('سجل التحفيز'!$F$5:$F$2004,MATCH($K286,'سجل التحفيز'!$AA$5:$AA$2004,0)))</f>
        <v/>
      </c>
      <c r="S286" s="35">
        <f>IF($K286="","",INDEX('سجل التحفيز'!$G$5:$G$2004,MATCH($K286,'سجل التحفيز'!$AA$5:$AA$2004,0)))</f>
        <v/>
      </c>
    </row>
    <row r="287">
      <c r="K287" s="36">
        <f>IF(250&gt;$B$10,"",250)</f>
        <v/>
      </c>
      <c r="L287" s="37">
        <f>IF($K287="","",INDEX('سجل التحفيز'!$A$5:$A$2004,MATCH($K287,'سجل التحفيز'!$AA$5:$AA$2004,0)))</f>
        <v/>
      </c>
      <c r="M287" s="9">
        <f>IF($K287="","",INDEX('سجل التحفيز'!$B$5:$B$2004,MATCH($K287,'سجل التحفيز'!$AA$5:$AA$2004,0)))</f>
        <v/>
      </c>
      <c r="N287" s="9">
        <f>IF($K287="","",INDEX('سجل التحفيز'!$M$5:$M$2004,MATCH($K287,'سجل التحفيز'!$AA$5:$AA$2004,0)))</f>
        <v/>
      </c>
      <c r="O287" s="9">
        <f>IF($K287="","",INDEX('سجل التحفيز'!$C$5:$C$2004,MATCH($K287,'سجل التحفيز'!$AA$5:$AA$2004,0)))</f>
        <v/>
      </c>
      <c r="P287" s="36">
        <f>IF($K287="","",INDEX('سجل التحفيز'!$D$5:$D$2004,MATCH($K287,'سجل التحفيز'!$AA$5:$AA$2004,0)))</f>
        <v/>
      </c>
      <c r="Q287" s="9">
        <f>IF($K287="","",INDEX('سجل التحفيز'!$E$5:$E$2004,MATCH($K287,'سجل التحفيز'!$AA$5:$AA$2004,0)))</f>
        <v/>
      </c>
      <c r="R287" s="9">
        <f>IF($K287="","",INDEX('سجل التحفيز'!$F$5:$F$2004,MATCH($K287,'سجل التحفيز'!$AA$5:$AA$2004,0)))</f>
        <v/>
      </c>
      <c r="S287" s="35">
        <f>IF($K287="","",INDEX('سجل التحفيز'!$G$5:$G$2004,MATCH($K287,'سجل التحفيز'!$AA$5:$AA$2004,0)))</f>
        <v/>
      </c>
    </row>
    <row r="288">
      <c r="K288" s="36">
        <f>IF(251&gt;$B$10,"",251)</f>
        <v/>
      </c>
      <c r="L288" s="37">
        <f>IF($K288="","",INDEX('سجل التحفيز'!$A$5:$A$2004,MATCH($K288,'سجل التحفيز'!$AA$5:$AA$2004,0)))</f>
        <v/>
      </c>
      <c r="M288" s="9">
        <f>IF($K288="","",INDEX('سجل التحفيز'!$B$5:$B$2004,MATCH($K288,'سجل التحفيز'!$AA$5:$AA$2004,0)))</f>
        <v/>
      </c>
      <c r="N288" s="9">
        <f>IF($K288="","",INDEX('سجل التحفيز'!$M$5:$M$2004,MATCH($K288,'سجل التحفيز'!$AA$5:$AA$2004,0)))</f>
        <v/>
      </c>
      <c r="O288" s="9">
        <f>IF($K288="","",INDEX('سجل التحفيز'!$C$5:$C$2004,MATCH($K288,'سجل التحفيز'!$AA$5:$AA$2004,0)))</f>
        <v/>
      </c>
      <c r="P288" s="36">
        <f>IF($K288="","",INDEX('سجل التحفيز'!$D$5:$D$2004,MATCH($K288,'سجل التحفيز'!$AA$5:$AA$2004,0)))</f>
        <v/>
      </c>
      <c r="Q288" s="9">
        <f>IF($K288="","",INDEX('سجل التحفيز'!$E$5:$E$2004,MATCH($K288,'سجل التحفيز'!$AA$5:$AA$2004,0)))</f>
        <v/>
      </c>
      <c r="R288" s="9">
        <f>IF($K288="","",INDEX('سجل التحفيز'!$F$5:$F$2004,MATCH($K288,'سجل التحفيز'!$AA$5:$AA$2004,0)))</f>
        <v/>
      </c>
      <c r="S288" s="35">
        <f>IF($K288="","",INDEX('سجل التحفيز'!$G$5:$G$2004,MATCH($K288,'سجل التحفيز'!$AA$5:$AA$2004,0)))</f>
        <v/>
      </c>
    </row>
    <row r="289">
      <c r="K289" s="36">
        <f>IF(252&gt;$B$10,"",252)</f>
        <v/>
      </c>
      <c r="L289" s="37">
        <f>IF($K289="","",INDEX('سجل التحفيز'!$A$5:$A$2004,MATCH($K289,'سجل التحفيز'!$AA$5:$AA$2004,0)))</f>
        <v/>
      </c>
      <c r="M289" s="9">
        <f>IF($K289="","",INDEX('سجل التحفيز'!$B$5:$B$2004,MATCH($K289,'سجل التحفيز'!$AA$5:$AA$2004,0)))</f>
        <v/>
      </c>
      <c r="N289" s="9">
        <f>IF($K289="","",INDEX('سجل التحفيز'!$M$5:$M$2004,MATCH($K289,'سجل التحفيز'!$AA$5:$AA$2004,0)))</f>
        <v/>
      </c>
      <c r="O289" s="9">
        <f>IF($K289="","",INDEX('سجل التحفيز'!$C$5:$C$2004,MATCH($K289,'سجل التحفيز'!$AA$5:$AA$2004,0)))</f>
        <v/>
      </c>
      <c r="P289" s="36">
        <f>IF($K289="","",INDEX('سجل التحفيز'!$D$5:$D$2004,MATCH($K289,'سجل التحفيز'!$AA$5:$AA$2004,0)))</f>
        <v/>
      </c>
      <c r="Q289" s="9">
        <f>IF($K289="","",INDEX('سجل التحفيز'!$E$5:$E$2004,MATCH($K289,'سجل التحفيز'!$AA$5:$AA$2004,0)))</f>
        <v/>
      </c>
      <c r="R289" s="9">
        <f>IF($K289="","",INDEX('سجل التحفيز'!$F$5:$F$2004,MATCH($K289,'سجل التحفيز'!$AA$5:$AA$2004,0)))</f>
        <v/>
      </c>
      <c r="S289" s="35">
        <f>IF($K289="","",INDEX('سجل التحفيز'!$G$5:$G$2004,MATCH($K289,'سجل التحفيز'!$AA$5:$AA$2004,0)))</f>
        <v/>
      </c>
    </row>
    <row r="290">
      <c r="K290" s="36">
        <f>IF(253&gt;$B$10,"",253)</f>
        <v/>
      </c>
      <c r="L290" s="37">
        <f>IF($K290="","",INDEX('سجل التحفيز'!$A$5:$A$2004,MATCH($K290,'سجل التحفيز'!$AA$5:$AA$2004,0)))</f>
        <v/>
      </c>
      <c r="M290" s="9">
        <f>IF($K290="","",INDEX('سجل التحفيز'!$B$5:$B$2004,MATCH($K290,'سجل التحفيز'!$AA$5:$AA$2004,0)))</f>
        <v/>
      </c>
      <c r="N290" s="9">
        <f>IF($K290="","",INDEX('سجل التحفيز'!$M$5:$M$2004,MATCH($K290,'سجل التحفيز'!$AA$5:$AA$2004,0)))</f>
        <v/>
      </c>
      <c r="O290" s="9">
        <f>IF($K290="","",INDEX('سجل التحفيز'!$C$5:$C$2004,MATCH($K290,'سجل التحفيز'!$AA$5:$AA$2004,0)))</f>
        <v/>
      </c>
      <c r="P290" s="36">
        <f>IF($K290="","",INDEX('سجل التحفيز'!$D$5:$D$2004,MATCH($K290,'سجل التحفيز'!$AA$5:$AA$2004,0)))</f>
        <v/>
      </c>
      <c r="Q290" s="9">
        <f>IF($K290="","",INDEX('سجل التحفيز'!$E$5:$E$2004,MATCH($K290,'سجل التحفيز'!$AA$5:$AA$2004,0)))</f>
        <v/>
      </c>
      <c r="R290" s="9">
        <f>IF($K290="","",INDEX('سجل التحفيز'!$F$5:$F$2004,MATCH($K290,'سجل التحفيز'!$AA$5:$AA$2004,0)))</f>
        <v/>
      </c>
      <c r="S290" s="35">
        <f>IF($K290="","",INDEX('سجل التحفيز'!$G$5:$G$2004,MATCH($K290,'سجل التحفيز'!$AA$5:$AA$2004,0)))</f>
        <v/>
      </c>
    </row>
    <row r="291">
      <c r="K291" s="36">
        <f>IF(254&gt;$B$10,"",254)</f>
        <v/>
      </c>
      <c r="L291" s="37">
        <f>IF($K291="","",INDEX('سجل التحفيز'!$A$5:$A$2004,MATCH($K291,'سجل التحفيز'!$AA$5:$AA$2004,0)))</f>
        <v/>
      </c>
      <c r="M291" s="9">
        <f>IF($K291="","",INDEX('سجل التحفيز'!$B$5:$B$2004,MATCH($K291,'سجل التحفيز'!$AA$5:$AA$2004,0)))</f>
        <v/>
      </c>
      <c r="N291" s="9">
        <f>IF($K291="","",INDEX('سجل التحفيز'!$M$5:$M$2004,MATCH($K291,'سجل التحفيز'!$AA$5:$AA$2004,0)))</f>
        <v/>
      </c>
      <c r="O291" s="9">
        <f>IF($K291="","",INDEX('سجل التحفيز'!$C$5:$C$2004,MATCH($K291,'سجل التحفيز'!$AA$5:$AA$2004,0)))</f>
        <v/>
      </c>
      <c r="P291" s="36">
        <f>IF($K291="","",INDEX('سجل التحفيز'!$D$5:$D$2004,MATCH($K291,'سجل التحفيز'!$AA$5:$AA$2004,0)))</f>
        <v/>
      </c>
      <c r="Q291" s="9">
        <f>IF($K291="","",INDEX('سجل التحفيز'!$E$5:$E$2004,MATCH($K291,'سجل التحفيز'!$AA$5:$AA$2004,0)))</f>
        <v/>
      </c>
      <c r="R291" s="9">
        <f>IF($K291="","",INDEX('سجل التحفيز'!$F$5:$F$2004,MATCH($K291,'سجل التحفيز'!$AA$5:$AA$2004,0)))</f>
        <v/>
      </c>
      <c r="S291" s="35">
        <f>IF($K291="","",INDEX('سجل التحفيز'!$G$5:$G$2004,MATCH($K291,'سجل التحفيز'!$AA$5:$AA$2004,0)))</f>
        <v/>
      </c>
    </row>
    <row r="292">
      <c r="K292" s="36">
        <f>IF(255&gt;$B$10,"",255)</f>
        <v/>
      </c>
      <c r="L292" s="37">
        <f>IF($K292="","",INDEX('سجل التحفيز'!$A$5:$A$2004,MATCH($K292,'سجل التحفيز'!$AA$5:$AA$2004,0)))</f>
        <v/>
      </c>
      <c r="M292" s="9">
        <f>IF($K292="","",INDEX('سجل التحفيز'!$B$5:$B$2004,MATCH($K292,'سجل التحفيز'!$AA$5:$AA$2004,0)))</f>
        <v/>
      </c>
      <c r="N292" s="9">
        <f>IF($K292="","",INDEX('سجل التحفيز'!$M$5:$M$2004,MATCH($K292,'سجل التحفيز'!$AA$5:$AA$2004,0)))</f>
        <v/>
      </c>
      <c r="O292" s="9">
        <f>IF($K292="","",INDEX('سجل التحفيز'!$C$5:$C$2004,MATCH($K292,'سجل التحفيز'!$AA$5:$AA$2004,0)))</f>
        <v/>
      </c>
      <c r="P292" s="36">
        <f>IF($K292="","",INDEX('سجل التحفيز'!$D$5:$D$2004,MATCH($K292,'سجل التحفيز'!$AA$5:$AA$2004,0)))</f>
        <v/>
      </c>
      <c r="Q292" s="9">
        <f>IF($K292="","",INDEX('سجل التحفيز'!$E$5:$E$2004,MATCH($K292,'سجل التحفيز'!$AA$5:$AA$2004,0)))</f>
        <v/>
      </c>
      <c r="R292" s="9">
        <f>IF($K292="","",INDEX('سجل التحفيز'!$F$5:$F$2004,MATCH($K292,'سجل التحفيز'!$AA$5:$AA$2004,0)))</f>
        <v/>
      </c>
      <c r="S292" s="35">
        <f>IF($K292="","",INDEX('سجل التحفيز'!$G$5:$G$2004,MATCH($K292,'سجل التحفيز'!$AA$5:$AA$2004,0)))</f>
        <v/>
      </c>
    </row>
    <row r="293">
      <c r="K293" s="36">
        <f>IF(256&gt;$B$10,"",256)</f>
        <v/>
      </c>
      <c r="L293" s="37">
        <f>IF($K293="","",INDEX('سجل التحفيز'!$A$5:$A$2004,MATCH($K293,'سجل التحفيز'!$AA$5:$AA$2004,0)))</f>
        <v/>
      </c>
      <c r="M293" s="9">
        <f>IF($K293="","",INDEX('سجل التحفيز'!$B$5:$B$2004,MATCH($K293,'سجل التحفيز'!$AA$5:$AA$2004,0)))</f>
        <v/>
      </c>
      <c r="N293" s="9">
        <f>IF($K293="","",INDEX('سجل التحفيز'!$M$5:$M$2004,MATCH($K293,'سجل التحفيز'!$AA$5:$AA$2004,0)))</f>
        <v/>
      </c>
      <c r="O293" s="9">
        <f>IF($K293="","",INDEX('سجل التحفيز'!$C$5:$C$2004,MATCH($K293,'سجل التحفيز'!$AA$5:$AA$2004,0)))</f>
        <v/>
      </c>
      <c r="P293" s="36">
        <f>IF($K293="","",INDEX('سجل التحفيز'!$D$5:$D$2004,MATCH($K293,'سجل التحفيز'!$AA$5:$AA$2004,0)))</f>
        <v/>
      </c>
      <c r="Q293" s="9">
        <f>IF($K293="","",INDEX('سجل التحفيز'!$E$5:$E$2004,MATCH($K293,'سجل التحفيز'!$AA$5:$AA$2004,0)))</f>
        <v/>
      </c>
      <c r="R293" s="9">
        <f>IF($K293="","",INDEX('سجل التحفيز'!$F$5:$F$2004,MATCH($K293,'سجل التحفيز'!$AA$5:$AA$2004,0)))</f>
        <v/>
      </c>
      <c r="S293" s="35">
        <f>IF($K293="","",INDEX('سجل التحفيز'!$G$5:$G$2004,MATCH($K293,'سجل التحفيز'!$AA$5:$AA$2004,0)))</f>
        <v/>
      </c>
    </row>
    <row r="294">
      <c r="K294" s="36">
        <f>IF(257&gt;$B$10,"",257)</f>
        <v/>
      </c>
      <c r="L294" s="37">
        <f>IF($K294="","",INDEX('سجل التحفيز'!$A$5:$A$2004,MATCH($K294,'سجل التحفيز'!$AA$5:$AA$2004,0)))</f>
        <v/>
      </c>
      <c r="M294" s="9">
        <f>IF($K294="","",INDEX('سجل التحفيز'!$B$5:$B$2004,MATCH($K294,'سجل التحفيز'!$AA$5:$AA$2004,0)))</f>
        <v/>
      </c>
      <c r="N294" s="9">
        <f>IF($K294="","",INDEX('سجل التحفيز'!$M$5:$M$2004,MATCH($K294,'سجل التحفيز'!$AA$5:$AA$2004,0)))</f>
        <v/>
      </c>
      <c r="O294" s="9">
        <f>IF($K294="","",INDEX('سجل التحفيز'!$C$5:$C$2004,MATCH($K294,'سجل التحفيز'!$AA$5:$AA$2004,0)))</f>
        <v/>
      </c>
      <c r="P294" s="36">
        <f>IF($K294="","",INDEX('سجل التحفيز'!$D$5:$D$2004,MATCH($K294,'سجل التحفيز'!$AA$5:$AA$2004,0)))</f>
        <v/>
      </c>
      <c r="Q294" s="9">
        <f>IF($K294="","",INDEX('سجل التحفيز'!$E$5:$E$2004,MATCH($K294,'سجل التحفيز'!$AA$5:$AA$2004,0)))</f>
        <v/>
      </c>
      <c r="R294" s="9">
        <f>IF($K294="","",INDEX('سجل التحفيز'!$F$5:$F$2004,MATCH($K294,'سجل التحفيز'!$AA$5:$AA$2004,0)))</f>
        <v/>
      </c>
      <c r="S294" s="35">
        <f>IF($K294="","",INDEX('سجل التحفيز'!$G$5:$G$2004,MATCH($K294,'سجل التحفيز'!$AA$5:$AA$2004,0)))</f>
        <v/>
      </c>
    </row>
    <row r="295">
      <c r="K295" s="36">
        <f>IF(258&gt;$B$10,"",258)</f>
        <v/>
      </c>
      <c r="L295" s="37">
        <f>IF($K295="","",INDEX('سجل التحفيز'!$A$5:$A$2004,MATCH($K295,'سجل التحفيز'!$AA$5:$AA$2004,0)))</f>
        <v/>
      </c>
      <c r="M295" s="9">
        <f>IF($K295="","",INDEX('سجل التحفيز'!$B$5:$B$2004,MATCH($K295,'سجل التحفيز'!$AA$5:$AA$2004,0)))</f>
        <v/>
      </c>
      <c r="N295" s="9">
        <f>IF($K295="","",INDEX('سجل التحفيز'!$M$5:$M$2004,MATCH($K295,'سجل التحفيز'!$AA$5:$AA$2004,0)))</f>
        <v/>
      </c>
      <c r="O295" s="9">
        <f>IF($K295="","",INDEX('سجل التحفيز'!$C$5:$C$2004,MATCH($K295,'سجل التحفيز'!$AA$5:$AA$2004,0)))</f>
        <v/>
      </c>
      <c r="P295" s="36">
        <f>IF($K295="","",INDEX('سجل التحفيز'!$D$5:$D$2004,MATCH($K295,'سجل التحفيز'!$AA$5:$AA$2004,0)))</f>
        <v/>
      </c>
      <c r="Q295" s="9">
        <f>IF($K295="","",INDEX('سجل التحفيز'!$E$5:$E$2004,MATCH($K295,'سجل التحفيز'!$AA$5:$AA$2004,0)))</f>
        <v/>
      </c>
      <c r="R295" s="9">
        <f>IF($K295="","",INDEX('سجل التحفيز'!$F$5:$F$2004,MATCH($K295,'سجل التحفيز'!$AA$5:$AA$2004,0)))</f>
        <v/>
      </c>
      <c r="S295" s="35">
        <f>IF($K295="","",INDEX('سجل التحفيز'!$G$5:$G$2004,MATCH($K295,'سجل التحفيز'!$AA$5:$AA$2004,0)))</f>
        <v/>
      </c>
    </row>
    <row r="296">
      <c r="K296" s="36">
        <f>IF(259&gt;$B$10,"",259)</f>
        <v/>
      </c>
      <c r="L296" s="37">
        <f>IF($K296="","",INDEX('سجل التحفيز'!$A$5:$A$2004,MATCH($K296,'سجل التحفيز'!$AA$5:$AA$2004,0)))</f>
        <v/>
      </c>
      <c r="M296" s="9">
        <f>IF($K296="","",INDEX('سجل التحفيز'!$B$5:$B$2004,MATCH($K296,'سجل التحفيز'!$AA$5:$AA$2004,0)))</f>
        <v/>
      </c>
      <c r="N296" s="9">
        <f>IF($K296="","",INDEX('سجل التحفيز'!$M$5:$M$2004,MATCH($K296,'سجل التحفيز'!$AA$5:$AA$2004,0)))</f>
        <v/>
      </c>
      <c r="O296" s="9">
        <f>IF($K296="","",INDEX('سجل التحفيز'!$C$5:$C$2004,MATCH($K296,'سجل التحفيز'!$AA$5:$AA$2004,0)))</f>
        <v/>
      </c>
      <c r="P296" s="36">
        <f>IF($K296="","",INDEX('سجل التحفيز'!$D$5:$D$2004,MATCH($K296,'سجل التحفيز'!$AA$5:$AA$2004,0)))</f>
        <v/>
      </c>
      <c r="Q296" s="9">
        <f>IF($K296="","",INDEX('سجل التحفيز'!$E$5:$E$2004,MATCH($K296,'سجل التحفيز'!$AA$5:$AA$2004,0)))</f>
        <v/>
      </c>
      <c r="R296" s="9">
        <f>IF($K296="","",INDEX('سجل التحفيز'!$F$5:$F$2004,MATCH($K296,'سجل التحفيز'!$AA$5:$AA$2004,0)))</f>
        <v/>
      </c>
      <c r="S296" s="35">
        <f>IF($K296="","",INDEX('سجل التحفيز'!$G$5:$G$2004,MATCH($K296,'سجل التحفيز'!$AA$5:$AA$2004,0)))</f>
        <v/>
      </c>
    </row>
    <row r="297">
      <c r="K297" s="36">
        <f>IF(260&gt;$B$10,"",260)</f>
        <v/>
      </c>
      <c r="L297" s="37">
        <f>IF($K297="","",INDEX('سجل التحفيز'!$A$5:$A$2004,MATCH($K297,'سجل التحفيز'!$AA$5:$AA$2004,0)))</f>
        <v/>
      </c>
      <c r="M297" s="9">
        <f>IF($K297="","",INDEX('سجل التحفيز'!$B$5:$B$2004,MATCH($K297,'سجل التحفيز'!$AA$5:$AA$2004,0)))</f>
        <v/>
      </c>
      <c r="N297" s="9">
        <f>IF($K297="","",INDEX('سجل التحفيز'!$M$5:$M$2004,MATCH($K297,'سجل التحفيز'!$AA$5:$AA$2004,0)))</f>
        <v/>
      </c>
      <c r="O297" s="9">
        <f>IF($K297="","",INDEX('سجل التحفيز'!$C$5:$C$2004,MATCH($K297,'سجل التحفيز'!$AA$5:$AA$2004,0)))</f>
        <v/>
      </c>
      <c r="P297" s="36">
        <f>IF($K297="","",INDEX('سجل التحفيز'!$D$5:$D$2004,MATCH($K297,'سجل التحفيز'!$AA$5:$AA$2004,0)))</f>
        <v/>
      </c>
      <c r="Q297" s="9">
        <f>IF($K297="","",INDEX('سجل التحفيز'!$E$5:$E$2004,MATCH($K297,'سجل التحفيز'!$AA$5:$AA$2004,0)))</f>
        <v/>
      </c>
      <c r="R297" s="9">
        <f>IF($K297="","",INDEX('سجل التحفيز'!$F$5:$F$2004,MATCH($K297,'سجل التحفيز'!$AA$5:$AA$2004,0)))</f>
        <v/>
      </c>
      <c r="S297" s="35">
        <f>IF($K297="","",INDEX('سجل التحفيز'!$G$5:$G$2004,MATCH($K297,'سجل التحفيز'!$AA$5:$AA$2004,0)))</f>
        <v/>
      </c>
    </row>
    <row r="298">
      <c r="K298" s="36">
        <f>IF(261&gt;$B$10,"",261)</f>
        <v/>
      </c>
      <c r="L298" s="37">
        <f>IF($K298="","",INDEX('سجل التحفيز'!$A$5:$A$2004,MATCH($K298,'سجل التحفيز'!$AA$5:$AA$2004,0)))</f>
        <v/>
      </c>
      <c r="M298" s="9">
        <f>IF($K298="","",INDEX('سجل التحفيز'!$B$5:$B$2004,MATCH($K298,'سجل التحفيز'!$AA$5:$AA$2004,0)))</f>
        <v/>
      </c>
      <c r="N298" s="9">
        <f>IF($K298="","",INDEX('سجل التحفيز'!$M$5:$M$2004,MATCH($K298,'سجل التحفيز'!$AA$5:$AA$2004,0)))</f>
        <v/>
      </c>
      <c r="O298" s="9">
        <f>IF($K298="","",INDEX('سجل التحفيز'!$C$5:$C$2004,MATCH($K298,'سجل التحفيز'!$AA$5:$AA$2004,0)))</f>
        <v/>
      </c>
      <c r="P298" s="36">
        <f>IF($K298="","",INDEX('سجل التحفيز'!$D$5:$D$2004,MATCH($K298,'سجل التحفيز'!$AA$5:$AA$2004,0)))</f>
        <v/>
      </c>
      <c r="Q298" s="9">
        <f>IF($K298="","",INDEX('سجل التحفيز'!$E$5:$E$2004,MATCH($K298,'سجل التحفيز'!$AA$5:$AA$2004,0)))</f>
        <v/>
      </c>
      <c r="R298" s="9">
        <f>IF($K298="","",INDEX('سجل التحفيز'!$F$5:$F$2004,MATCH($K298,'سجل التحفيز'!$AA$5:$AA$2004,0)))</f>
        <v/>
      </c>
      <c r="S298" s="35">
        <f>IF($K298="","",INDEX('سجل التحفيز'!$G$5:$G$2004,MATCH($K298,'سجل التحفيز'!$AA$5:$AA$2004,0)))</f>
        <v/>
      </c>
    </row>
    <row r="299">
      <c r="K299" s="36">
        <f>IF(262&gt;$B$10,"",262)</f>
        <v/>
      </c>
      <c r="L299" s="37">
        <f>IF($K299="","",INDEX('سجل التحفيز'!$A$5:$A$2004,MATCH($K299,'سجل التحفيز'!$AA$5:$AA$2004,0)))</f>
        <v/>
      </c>
      <c r="M299" s="9">
        <f>IF($K299="","",INDEX('سجل التحفيز'!$B$5:$B$2004,MATCH($K299,'سجل التحفيز'!$AA$5:$AA$2004,0)))</f>
        <v/>
      </c>
      <c r="N299" s="9">
        <f>IF($K299="","",INDEX('سجل التحفيز'!$M$5:$M$2004,MATCH($K299,'سجل التحفيز'!$AA$5:$AA$2004,0)))</f>
        <v/>
      </c>
      <c r="O299" s="9">
        <f>IF($K299="","",INDEX('سجل التحفيز'!$C$5:$C$2004,MATCH($K299,'سجل التحفيز'!$AA$5:$AA$2004,0)))</f>
        <v/>
      </c>
      <c r="P299" s="36">
        <f>IF($K299="","",INDEX('سجل التحفيز'!$D$5:$D$2004,MATCH($K299,'سجل التحفيز'!$AA$5:$AA$2004,0)))</f>
        <v/>
      </c>
      <c r="Q299" s="9">
        <f>IF($K299="","",INDEX('سجل التحفيز'!$E$5:$E$2004,MATCH($K299,'سجل التحفيز'!$AA$5:$AA$2004,0)))</f>
        <v/>
      </c>
      <c r="R299" s="9">
        <f>IF($K299="","",INDEX('سجل التحفيز'!$F$5:$F$2004,MATCH($K299,'سجل التحفيز'!$AA$5:$AA$2004,0)))</f>
        <v/>
      </c>
      <c r="S299" s="35">
        <f>IF($K299="","",INDEX('سجل التحفيز'!$G$5:$G$2004,MATCH($K299,'سجل التحفيز'!$AA$5:$AA$2004,0)))</f>
        <v/>
      </c>
    </row>
    <row r="300">
      <c r="K300" s="36">
        <f>IF(263&gt;$B$10,"",263)</f>
        <v/>
      </c>
      <c r="L300" s="37">
        <f>IF($K300="","",INDEX('سجل التحفيز'!$A$5:$A$2004,MATCH($K300,'سجل التحفيز'!$AA$5:$AA$2004,0)))</f>
        <v/>
      </c>
      <c r="M300" s="9">
        <f>IF($K300="","",INDEX('سجل التحفيز'!$B$5:$B$2004,MATCH($K300,'سجل التحفيز'!$AA$5:$AA$2004,0)))</f>
        <v/>
      </c>
      <c r="N300" s="9">
        <f>IF($K300="","",INDEX('سجل التحفيز'!$M$5:$M$2004,MATCH($K300,'سجل التحفيز'!$AA$5:$AA$2004,0)))</f>
        <v/>
      </c>
      <c r="O300" s="9">
        <f>IF($K300="","",INDEX('سجل التحفيز'!$C$5:$C$2004,MATCH($K300,'سجل التحفيز'!$AA$5:$AA$2004,0)))</f>
        <v/>
      </c>
      <c r="P300" s="36">
        <f>IF($K300="","",INDEX('سجل التحفيز'!$D$5:$D$2004,MATCH($K300,'سجل التحفيز'!$AA$5:$AA$2004,0)))</f>
        <v/>
      </c>
      <c r="Q300" s="9">
        <f>IF($K300="","",INDEX('سجل التحفيز'!$E$5:$E$2004,MATCH($K300,'سجل التحفيز'!$AA$5:$AA$2004,0)))</f>
        <v/>
      </c>
      <c r="R300" s="9">
        <f>IF($K300="","",INDEX('سجل التحفيز'!$F$5:$F$2004,MATCH($K300,'سجل التحفيز'!$AA$5:$AA$2004,0)))</f>
        <v/>
      </c>
      <c r="S300" s="35">
        <f>IF($K300="","",INDEX('سجل التحفيز'!$G$5:$G$2004,MATCH($K300,'سجل التحفيز'!$AA$5:$AA$2004,0)))</f>
        <v/>
      </c>
    </row>
    <row r="301">
      <c r="K301" s="36">
        <f>IF(264&gt;$B$10,"",264)</f>
        <v/>
      </c>
      <c r="L301" s="37">
        <f>IF($K301="","",INDEX('سجل التحفيز'!$A$5:$A$2004,MATCH($K301,'سجل التحفيز'!$AA$5:$AA$2004,0)))</f>
        <v/>
      </c>
      <c r="M301" s="9">
        <f>IF($K301="","",INDEX('سجل التحفيز'!$B$5:$B$2004,MATCH($K301,'سجل التحفيز'!$AA$5:$AA$2004,0)))</f>
        <v/>
      </c>
      <c r="N301" s="9">
        <f>IF($K301="","",INDEX('سجل التحفيز'!$M$5:$M$2004,MATCH($K301,'سجل التحفيز'!$AA$5:$AA$2004,0)))</f>
        <v/>
      </c>
      <c r="O301" s="9">
        <f>IF($K301="","",INDEX('سجل التحفيز'!$C$5:$C$2004,MATCH($K301,'سجل التحفيز'!$AA$5:$AA$2004,0)))</f>
        <v/>
      </c>
      <c r="P301" s="36">
        <f>IF($K301="","",INDEX('سجل التحفيز'!$D$5:$D$2004,MATCH($K301,'سجل التحفيز'!$AA$5:$AA$2004,0)))</f>
        <v/>
      </c>
      <c r="Q301" s="9">
        <f>IF($K301="","",INDEX('سجل التحفيز'!$E$5:$E$2004,MATCH($K301,'سجل التحفيز'!$AA$5:$AA$2004,0)))</f>
        <v/>
      </c>
      <c r="R301" s="9">
        <f>IF($K301="","",INDEX('سجل التحفيز'!$F$5:$F$2004,MATCH($K301,'سجل التحفيز'!$AA$5:$AA$2004,0)))</f>
        <v/>
      </c>
      <c r="S301" s="35">
        <f>IF($K301="","",INDEX('سجل التحفيز'!$G$5:$G$2004,MATCH($K301,'سجل التحفيز'!$AA$5:$AA$2004,0)))</f>
        <v/>
      </c>
    </row>
    <row r="302">
      <c r="K302" s="36">
        <f>IF(265&gt;$B$10,"",265)</f>
        <v/>
      </c>
      <c r="L302" s="37">
        <f>IF($K302="","",INDEX('سجل التحفيز'!$A$5:$A$2004,MATCH($K302,'سجل التحفيز'!$AA$5:$AA$2004,0)))</f>
        <v/>
      </c>
      <c r="M302" s="9">
        <f>IF($K302="","",INDEX('سجل التحفيز'!$B$5:$B$2004,MATCH($K302,'سجل التحفيز'!$AA$5:$AA$2004,0)))</f>
        <v/>
      </c>
      <c r="N302" s="9">
        <f>IF($K302="","",INDEX('سجل التحفيز'!$M$5:$M$2004,MATCH($K302,'سجل التحفيز'!$AA$5:$AA$2004,0)))</f>
        <v/>
      </c>
      <c r="O302" s="9">
        <f>IF($K302="","",INDEX('سجل التحفيز'!$C$5:$C$2004,MATCH($K302,'سجل التحفيز'!$AA$5:$AA$2004,0)))</f>
        <v/>
      </c>
      <c r="P302" s="36">
        <f>IF($K302="","",INDEX('سجل التحفيز'!$D$5:$D$2004,MATCH($K302,'سجل التحفيز'!$AA$5:$AA$2004,0)))</f>
        <v/>
      </c>
      <c r="Q302" s="9">
        <f>IF($K302="","",INDEX('سجل التحفيز'!$E$5:$E$2004,MATCH($K302,'سجل التحفيز'!$AA$5:$AA$2004,0)))</f>
        <v/>
      </c>
      <c r="R302" s="9">
        <f>IF($K302="","",INDEX('سجل التحفيز'!$F$5:$F$2004,MATCH($K302,'سجل التحفيز'!$AA$5:$AA$2004,0)))</f>
        <v/>
      </c>
      <c r="S302" s="35">
        <f>IF($K302="","",INDEX('سجل التحفيز'!$G$5:$G$2004,MATCH($K302,'سجل التحفيز'!$AA$5:$AA$2004,0)))</f>
        <v/>
      </c>
    </row>
    <row r="303">
      <c r="K303" s="36">
        <f>IF(266&gt;$B$10,"",266)</f>
        <v/>
      </c>
      <c r="L303" s="37">
        <f>IF($K303="","",INDEX('سجل التحفيز'!$A$5:$A$2004,MATCH($K303,'سجل التحفيز'!$AA$5:$AA$2004,0)))</f>
        <v/>
      </c>
      <c r="M303" s="9">
        <f>IF($K303="","",INDEX('سجل التحفيز'!$B$5:$B$2004,MATCH($K303,'سجل التحفيز'!$AA$5:$AA$2004,0)))</f>
        <v/>
      </c>
      <c r="N303" s="9">
        <f>IF($K303="","",INDEX('سجل التحفيز'!$M$5:$M$2004,MATCH($K303,'سجل التحفيز'!$AA$5:$AA$2004,0)))</f>
        <v/>
      </c>
      <c r="O303" s="9">
        <f>IF($K303="","",INDEX('سجل التحفيز'!$C$5:$C$2004,MATCH($K303,'سجل التحفيز'!$AA$5:$AA$2004,0)))</f>
        <v/>
      </c>
      <c r="P303" s="36">
        <f>IF($K303="","",INDEX('سجل التحفيز'!$D$5:$D$2004,MATCH($K303,'سجل التحفيز'!$AA$5:$AA$2004,0)))</f>
        <v/>
      </c>
      <c r="Q303" s="9">
        <f>IF($K303="","",INDEX('سجل التحفيز'!$E$5:$E$2004,MATCH($K303,'سجل التحفيز'!$AA$5:$AA$2004,0)))</f>
        <v/>
      </c>
      <c r="R303" s="9">
        <f>IF($K303="","",INDEX('سجل التحفيز'!$F$5:$F$2004,MATCH($K303,'سجل التحفيز'!$AA$5:$AA$2004,0)))</f>
        <v/>
      </c>
      <c r="S303" s="35">
        <f>IF($K303="","",INDEX('سجل التحفيز'!$G$5:$G$2004,MATCH($K303,'سجل التحفيز'!$AA$5:$AA$2004,0)))</f>
        <v/>
      </c>
    </row>
    <row r="304">
      <c r="K304" s="36">
        <f>IF(267&gt;$B$10,"",267)</f>
        <v/>
      </c>
      <c r="L304" s="37">
        <f>IF($K304="","",INDEX('سجل التحفيز'!$A$5:$A$2004,MATCH($K304,'سجل التحفيز'!$AA$5:$AA$2004,0)))</f>
        <v/>
      </c>
      <c r="M304" s="9">
        <f>IF($K304="","",INDEX('سجل التحفيز'!$B$5:$B$2004,MATCH($K304,'سجل التحفيز'!$AA$5:$AA$2004,0)))</f>
        <v/>
      </c>
      <c r="N304" s="9">
        <f>IF($K304="","",INDEX('سجل التحفيز'!$M$5:$M$2004,MATCH($K304,'سجل التحفيز'!$AA$5:$AA$2004,0)))</f>
        <v/>
      </c>
      <c r="O304" s="9">
        <f>IF($K304="","",INDEX('سجل التحفيز'!$C$5:$C$2004,MATCH($K304,'سجل التحفيز'!$AA$5:$AA$2004,0)))</f>
        <v/>
      </c>
      <c r="P304" s="36">
        <f>IF($K304="","",INDEX('سجل التحفيز'!$D$5:$D$2004,MATCH($K304,'سجل التحفيز'!$AA$5:$AA$2004,0)))</f>
        <v/>
      </c>
      <c r="Q304" s="9">
        <f>IF($K304="","",INDEX('سجل التحفيز'!$E$5:$E$2004,MATCH($K304,'سجل التحفيز'!$AA$5:$AA$2004,0)))</f>
        <v/>
      </c>
      <c r="R304" s="9">
        <f>IF($K304="","",INDEX('سجل التحفيز'!$F$5:$F$2004,MATCH($K304,'سجل التحفيز'!$AA$5:$AA$2004,0)))</f>
        <v/>
      </c>
      <c r="S304" s="35">
        <f>IF($K304="","",INDEX('سجل التحفيز'!$G$5:$G$2004,MATCH($K304,'سجل التحفيز'!$AA$5:$AA$2004,0)))</f>
        <v/>
      </c>
    </row>
    <row r="305">
      <c r="K305" s="36">
        <f>IF(268&gt;$B$10,"",268)</f>
        <v/>
      </c>
      <c r="L305" s="37">
        <f>IF($K305="","",INDEX('سجل التحفيز'!$A$5:$A$2004,MATCH($K305,'سجل التحفيز'!$AA$5:$AA$2004,0)))</f>
        <v/>
      </c>
      <c r="M305" s="9">
        <f>IF($K305="","",INDEX('سجل التحفيز'!$B$5:$B$2004,MATCH($K305,'سجل التحفيز'!$AA$5:$AA$2004,0)))</f>
        <v/>
      </c>
      <c r="N305" s="9">
        <f>IF($K305="","",INDEX('سجل التحفيز'!$M$5:$M$2004,MATCH($K305,'سجل التحفيز'!$AA$5:$AA$2004,0)))</f>
        <v/>
      </c>
      <c r="O305" s="9">
        <f>IF($K305="","",INDEX('سجل التحفيز'!$C$5:$C$2004,MATCH($K305,'سجل التحفيز'!$AA$5:$AA$2004,0)))</f>
        <v/>
      </c>
      <c r="P305" s="36">
        <f>IF($K305="","",INDEX('سجل التحفيز'!$D$5:$D$2004,MATCH($K305,'سجل التحفيز'!$AA$5:$AA$2004,0)))</f>
        <v/>
      </c>
      <c r="Q305" s="9">
        <f>IF($K305="","",INDEX('سجل التحفيز'!$E$5:$E$2004,MATCH($K305,'سجل التحفيز'!$AA$5:$AA$2004,0)))</f>
        <v/>
      </c>
      <c r="R305" s="9">
        <f>IF($K305="","",INDEX('سجل التحفيز'!$F$5:$F$2004,MATCH($K305,'سجل التحفيز'!$AA$5:$AA$2004,0)))</f>
        <v/>
      </c>
      <c r="S305" s="35">
        <f>IF($K305="","",INDEX('سجل التحفيز'!$G$5:$G$2004,MATCH($K305,'سجل التحفيز'!$AA$5:$AA$2004,0)))</f>
        <v/>
      </c>
    </row>
    <row r="306">
      <c r="K306" s="36">
        <f>IF(269&gt;$B$10,"",269)</f>
        <v/>
      </c>
      <c r="L306" s="37">
        <f>IF($K306="","",INDEX('سجل التحفيز'!$A$5:$A$2004,MATCH($K306,'سجل التحفيز'!$AA$5:$AA$2004,0)))</f>
        <v/>
      </c>
      <c r="M306" s="9">
        <f>IF($K306="","",INDEX('سجل التحفيز'!$B$5:$B$2004,MATCH($K306,'سجل التحفيز'!$AA$5:$AA$2004,0)))</f>
        <v/>
      </c>
      <c r="N306" s="9">
        <f>IF($K306="","",INDEX('سجل التحفيز'!$M$5:$M$2004,MATCH($K306,'سجل التحفيز'!$AA$5:$AA$2004,0)))</f>
        <v/>
      </c>
      <c r="O306" s="9">
        <f>IF($K306="","",INDEX('سجل التحفيز'!$C$5:$C$2004,MATCH($K306,'سجل التحفيز'!$AA$5:$AA$2004,0)))</f>
        <v/>
      </c>
      <c r="P306" s="36">
        <f>IF($K306="","",INDEX('سجل التحفيز'!$D$5:$D$2004,MATCH($K306,'سجل التحفيز'!$AA$5:$AA$2004,0)))</f>
        <v/>
      </c>
      <c r="Q306" s="9">
        <f>IF($K306="","",INDEX('سجل التحفيز'!$E$5:$E$2004,MATCH($K306,'سجل التحفيز'!$AA$5:$AA$2004,0)))</f>
        <v/>
      </c>
      <c r="R306" s="9">
        <f>IF($K306="","",INDEX('سجل التحفيز'!$F$5:$F$2004,MATCH($K306,'سجل التحفيز'!$AA$5:$AA$2004,0)))</f>
        <v/>
      </c>
      <c r="S306" s="35">
        <f>IF($K306="","",INDEX('سجل التحفيز'!$G$5:$G$2004,MATCH($K306,'سجل التحفيز'!$AA$5:$AA$2004,0)))</f>
        <v/>
      </c>
    </row>
    <row r="307">
      <c r="K307" s="36">
        <f>IF(270&gt;$B$10,"",270)</f>
        <v/>
      </c>
      <c r="L307" s="37">
        <f>IF($K307="","",INDEX('سجل التحفيز'!$A$5:$A$2004,MATCH($K307,'سجل التحفيز'!$AA$5:$AA$2004,0)))</f>
        <v/>
      </c>
      <c r="M307" s="9">
        <f>IF($K307="","",INDEX('سجل التحفيز'!$B$5:$B$2004,MATCH($K307,'سجل التحفيز'!$AA$5:$AA$2004,0)))</f>
        <v/>
      </c>
      <c r="N307" s="9">
        <f>IF($K307="","",INDEX('سجل التحفيز'!$M$5:$M$2004,MATCH($K307,'سجل التحفيز'!$AA$5:$AA$2004,0)))</f>
        <v/>
      </c>
      <c r="O307" s="9">
        <f>IF($K307="","",INDEX('سجل التحفيز'!$C$5:$C$2004,MATCH($K307,'سجل التحفيز'!$AA$5:$AA$2004,0)))</f>
        <v/>
      </c>
      <c r="P307" s="36">
        <f>IF($K307="","",INDEX('سجل التحفيز'!$D$5:$D$2004,MATCH($K307,'سجل التحفيز'!$AA$5:$AA$2004,0)))</f>
        <v/>
      </c>
      <c r="Q307" s="9">
        <f>IF($K307="","",INDEX('سجل التحفيز'!$E$5:$E$2004,MATCH($K307,'سجل التحفيز'!$AA$5:$AA$2004,0)))</f>
        <v/>
      </c>
      <c r="R307" s="9">
        <f>IF($K307="","",INDEX('سجل التحفيز'!$F$5:$F$2004,MATCH($K307,'سجل التحفيز'!$AA$5:$AA$2004,0)))</f>
        <v/>
      </c>
      <c r="S307" s="35">
        <f>IF($K307="","",INDEX('سجل التحفيز'!$G$5:$G$2004,MATCH($K307,'سجل التحفيز'!$AA$5:$AA$2004,0)))</f>
        <v/>
      </c>
    </row>
    <row r="308">
      <c r="K308" s="36">
        <f>IF(271&gt;$B$10,"",271)</f>
        <v/>
      </c>
      <c r="L308" s="37">
        <f>IF($K308="","",INDEX('سجل التحفيز'!$A$5:$A$2004,MATCH($K308,'سجل التحفيز'!$AA$5:$AA$2004,0)))</f>
        <v/>
      </c>
      <c r="M308" s="9">
        <f>IF($K308="","",INDEX('سجل التحفيز'!$B$5:$B$2004,MATCH($K308,'سجل التحفيز'!$AA$5:$AA$2004,0)))</f>
        <v/>
      </c>
      <c r="N308" s="9">
        <f>IF($K308="","",INDEX('سجل التحفيز'!$M$5:$M$2004,MATCH($K308,'سجل التحفيز'!$AA$5:$AA$2004,0)))</f>
        <v/>
      </c>
      <c r="O308" s="9">
        <f>IF($K308="","",INDEX('سجل التحفيز'!$C$5:$C$2004,MATCH($K308,'سجل التحفيز'!$AA$5:$AA$2004,0)))</f>
        <v/>
      </c>
      <c r="P308" s="36">
        <f>IF($K308="","",INDEX('سجل التحفيز'!$D$5:$D$2004,MATCH($K308,'سجل التحفيز'!$AA$5:$AA$2004,0)))</f>
        <v/>
      </c>
      <c r="Q308" s="9">
        <f>IF($K308="","",INDEX('سجل التحفيز'!$E$5:$E$2004,MATCH($K308,'سجل التحفيز'!$AA$5:$AA$2004,0)))</f>
        <v/>
      </c>
      <c r="R308" s="9">
        <f>IF($K308="","",INDEX('سجل التحفيز'!$F$5:$F$2004,MATCH($K308,'سجل التحفيز'!$AA$5:$AA$2004,0)))</f>
        <v/>
      </c>
      <c r="S308" s="35">
        <f>IF($K308="","",INDEX('سجل التحفيز'!$G$5:$G$2004,MATCH($K308,'سجل التحفيز'!$AA$5:$AA$2004,0)))</f>
        <v/>
      </c>
    </row>
    <row r="309">
      <c r="K309" s="36">
        <f>IF(272&gt;$B$10,"",272)</f>
        <v/>
      </c>
      <c r="L309" s="37">
        <f>IF($K309="","",INDEX('سجل التحفيز'!$A$5:$A$2004,MATCH($K309,'سجل التحفيز'!$AA$5:$AA$2004,0)))</f>
        <v/>
      </c>
      <c r="M309" s="9">
        <f>IF($K309="","",INDEX('سجل التحفيز'!$B$5:$B$2004,MATCH($K309,'سجل التحفيز'!$AA$5:$AA$2004,0)))</f>
        <v/>
      </c>
      <c r="N309" s="9">
        <f>IF($K309="","",INDEX('سجل التحفيز'!$M$5:$M$2004,MATCH($K309,'سجل التحفيز'!$AA$5:$AA$2004,0)))</f>
        <v/>
      </c>
      <c r="O309" s="9">
        <f>IF($K309="","",INDEX('سجل التحفيز'!$C$5:$C$2004,MATCH($K309,'سجل التحفيز'!$AA$5:$AA$2004,0)))</f>
        <v/>
      </c>
      <c r="P309" s="36">
        <f>IF($K309="","",INDEX('سجل التحفيز'!$D$5:$D$2004,MATCH($K309,'سجل التحفيز'!$AA$5:$AA$2004,0)))</f>
        <v/>
      </c>
      <c r="Q309" s="9">
        <f>IF($K309="","",INDEX('سجل التحفيز'!$E$5:$E$2004,MATCH($K309,'سجل التحفيز'!$AA$5:$AA$2004,0)))</f>
        <v/>
      </c>
      <c r="R309" s="9">
        <f>IF($K309="","",INDEX('سجل التحفيز'!$F$5:$F$2004,MATCH($K309,'سجل التحفيز'!$AA$5:$AA$2004,0)))</f>
        <v/>
      </c>
      <c r="S309" s="35">
        <f>IF($K309="","",INDEX('سجل التحفيز'!$G$5:$G$2004,MATCH($K309,'سجل التحفيز'!$AA$5:$AA$2004,0)))</f>
        <v/>
      </c>
    </row>
    <row r="310">
      <c r="K310" s="36">
        <f>IF(273&gt;$B$10,"",273)</f>
        <v/>
      </c>
      <c r="L310" s="37">
        <f>IF($K310="","",INDEX('سجل التحفيز'!$A$5:$A$2004,MATCH($K310,'سجل التحفيز'!$AA$5:$AA$2004,0)))</f>
        <v/>
      </c>
      <c r="M310" s="9">
        <f>IF($K310="","",INDEX('سجل التحفيز'!$B$5:$B$2004,MATCH($K310,'سجل التحفيز'!$AA$5:$AA$2004,0)))</f>
        <v/>
      </c>
      <c r="N310" s="9">
        <f>IF($K310="","",INDEX('سجل التحفيز'!$M$5:$M$2004,MATCH($K310,'سجل التحفيز'!$AA$5:$AA$2004,0)))</f>
        <v/>
      </c>
      <c r="O310" s="9">
        <f>IF($K310="","",INDEX('سجل التحفيز'!$C$5:$C$2004,MATCH($K310,'سجل التحفيز'!$AA$5:$AA$2004,0)))</f>
        <v/>
      </c>
      <c r="P310" s="36">
        <f>IF($K310="","",INDEX('سجل التحفيز'!$D$5:$D$2004,MATCH($K310,'سجل التحفيز'!$AA$5:$AA$2004,0)))</f>
        <v/>
      </c>
      <c r="Q310" s="9">
        <f>IF($K310="","",INDEX('سجل التحفيز'!$E$5:$E$2004,MATCH($K310,'سجل التحفيز'!$AA$5:$AA$2004,0)))</f>
        <v/>
      </c>
      <c r="R310" s="9">
        <f>IF($K310="","",INDEX('سجل التحفيز'!$F$5:$F$2004,MATCH($K310,'سجل التحفيز'!$AA$5:$AA$2004,0)))</f>
        <v/>
      </c>
      <c r="S310" s="35">
        <f>IF($K310="","",INDEX('سجل التحفيز'!$G$5:$G$2004,MATCH($K310,'سجل التحفيز'!$AA$5:$AA$2004,0)))</f>
        <v/>
      </c>
    </row>
    <row r="311">
      <c r="K311" s="36">
        <f>IF(274&gt;$B$10,"",274)</f>
        <v/>
      </c>
      <c r="L311" s="37">
        <f>IF($K311="","",INDEX('سجل التحفيز'!$A$5:$A$2004,MATCH($K311,'سجل التحفيز'!$AA$5:$AA$2004,0)))</f>
        <v/>
      </c>
      <c r="M311" s="9">
        <f>IF($K311="","",INDEX('سجل التحفيز'!$B$5:$B$2004,MATCH($K311,'سجل التحفيز'!$AA$5:$AA$2004,0)))</f>
        <v/>
      </c>
      <c r="N311" s="9">
        <f>IF($K311="","",INDEX('سجل التحفيز'!$M$5:$M$2004,MATCH($K311,'سجل التحفيز'!$AA$5:$AA$2004,0)))</f>
        <v/>
      </c>
      <c r="O311" s="9">
        <f>IF($K311="","",INDEX('سجل التحفيز'!$C$5:$C$2004,MATCH($K311,'سجل التحفيز'!$AA$5:$AA$2004,0)))</f>
        <v/>
      </c>
      <c r="P311" s="36">
        <f>IF($K311="","",INDEX('سجل التحفيز'!$D$5:$D$2004,MATCH($K311,'سجل التحفيز'!$AA$5:$AA$2004,0)))</f>
        <v/>
      </c>
      <c r="Q311" s="9">
        <f>IF($K311="","",INDEX('سجل التحفيز'!$E$5:$E$2004,MATCH($K311,'سجل التحفيز'!$AA$5:$AA$2004,0)))</f>
        <v/>
      </c>
      <c r="R311" s="9">
        <f>IF($K311="","",INDEX('سجل التحفيز'!$F$5:$F$2004,MATCH($K311,'سجل التحفيز'!$AA$5:$AA$2004,0)))</f>
        <v/>
      </c>
      <c r="S311" s="35">
        <f>IF($K311="","",INDEX('سجل التحفيز'!$G$5:$G$2004,MATCH($K311,'سجل التحفيز'!$AA$5:$AA$2004,0)))</f>
        <v/>
      </c>
    </row>
    <row r="312">
      <c r="K312" s="36">
        <f>IF(275&gt;$B$10,"",275)</f>
        <v/>
      </c>
      <c r="L312" s="37">
        <f>IF($K312="","",INDEX('سجل التحفيز'!$A$5:$A$2004,MATCH($K312,'سجل التحفيز'!$AA$5:$AA$2004,0)))</f>
        <v/>
      </c>
      <c r="M312" s="9">
        <f>IF($K312="","",INDEX('سجل التحفيز'!$B$5:$B$2004,MATCH($K312,'سجل التحفيز'!$AA$5:$AA$2004,0)))</f>
        <v/>
      </c>
      <c r="N312" s="9">
        <f>IF($K312="","",INDEX('سجل التحفيز'!$M$5:$M$2004,MATCH($K312,'سجل التحفيز'!$AA$5:$AA$2004,0)))</f>
        <v/>
      </c>
      <c r="O312" s="9">
        <f>IF($K312="","",INDEX('سجل التحفيز'!$C$5:$C$2004,MATCH($K312,'سجل التحفيز'!$AA$5:$AA$2004,0)))</f>
        <v/>
      </c>
      <c r="P312" s="36">
        <f>IF($K312="","",INDEX('سجل التحفيز'!$D$5:$D$2004,MATCH($K312,'سجل التحفيز'!$AA$5:$AA$2004,0)))</f>
        <v/>
      </c>
      <c r="Q312" s="9">
        <f>IF($K312="","",INDEX('سجل التحفيز'!$E$5:$E$2004,MATCH($K312,'سجل التحفيز'!$AA$5:$AA$2004,0)))</f>
        <v/>
      </c>
      <c r="R312" s="9">
        <f>IF($K312="","",INDEX('سجل التحفيز'!$F$5:$F$2004,MATCH($K312,'سجل التحفيز'!$AA$5:$AA$2004,0)))</f>
        <v/>
      </c>
      <c r="S312" s="35">
        <f>IF($K312="","",INDEX('سجل التحفيز'!$G$5:$G$2004,MATCH($K312,'سجل التحفيز'!$AA$5:$AA$2004,0)))</f>
        <v/>
      </c>
    </row>
    <row r="313">
      <c r="K313" s="36">
        <f>IF(276&gt;$B$10,"",276)</f>
        <v/>
      </c>
      <c r="L313" s="37">
        <f>IF($K313="","",INDEX('سجل التحفيز'!$A$5:$A$2004,MATCH($K313,'سجل التحفيز'!$AA$5:$AA$2004,0)))</f>
        <v/>
      </c>
      <c r="M313" s="9">
        <f>IF($K313="","",INDEX('سجل التحفيز'!$B$5:$B$2004,MATCH($K313,'سجل التحفيز'!$AA$5:$AA$2004,0)))</f>
        <v/>
      </c>
      <c r="N313" s="9">
        <f>IF($K313="","",INDEX('سجل التحفيز'!$M$5:$M$2004,MATCH($K313,'سجل التحفيز'!$AA$5:$AA$2004,0)))</f>
        <v/>
      </c>
      <c r="O313" s="9">
        <f>IF($K313="","",INDEX('سجل التحفيز'!$C$5:$C$2004,MATCH($K313,'سجل التحفيز'!$AA$5:$AA$2004,0)))</f>
        <v/>
      </c>
      <c r="P313" s="36">
        <f>IF($K313="","",INDEX('سجل التحفيز'!$D$5:$D$2004,MATCH($K313,'سجل التحفيز'!$AA$5:$AA$2004,0)))</f>
        <v/>
      </c>
      <c r="Q313" s="9">
        <f>IF($K313="","",INDEX('سجل التحفيز'!$E$5:$E$2004,MATCH($K313,'سجل التحفيز'!$AA$5:$AA$2004,0)))</f>
        <v/>
      </c>
      <c r="R313" s="9">
        <f>IF($K313="","",INDEX('سجل التحفيز'!$F$5:$F$2004,MATCH($K313,'سجل التحفيز'!$AA$5:$AA$2004,0)))</f>
        <v/>
      </c>
      <c r="S313" s="35">
        <f>IF($K313="","",INDEX('سجل التحفيز'!$G$5:$G$2004,MATCH($K313,'سجل التحفيز'!$AA$5:$AA$2004,0)))</f>
        <v/>
      </c>
    </row>
    <row r="314">
      <c r="K314" s="36">
        <f>IF(277&gt;$B$10,"",277)</f>
        <v/>
      </c>
      <c r="L314" s="37">
        <f>IF($K314="","",INDEX('سجل التحفيز'!$A$5:$A$2004,MATCH($K314,'سجل التحفيز'!$AA$5:$AA$2004,0)))</f>
        <v/>
      </c>
      <c r="M314" s="9">
        <f>IF($K314="","",INDEX('سجل التحفيز'!$B$5:$B$2004,MATCH($K314,'سجل التحفيز'!$AA$5:$AA$2004,0)))</f>
        <v/>
      </c>
      <c r="N314" s="9">
        <f>IF($K314="","",INDEX('سجل التحفيز'!$M$5:$M$2004,MATCH($K314,'سجل التحفيز'!$AA$5:$AA$2004,0)))</f>
        <v/>
      </c>
      <c r="O314" s="9">
        <f>IF($K314="","",INDEX('سجل التحفيز'!$C$5:$C$2004,MATCH($K314,'سجل التحفيز'!$AA$5:$AA$2004,0)))</f>
        <v/>
      </c>
      <c r="P314" s="36">
        <f>IF($K314="","",INDEX('سجل التحفيز'!$D$5:$D$2004,MATCH($K314,'سجل التحفيز'!$AA$5:$AA$2004,0)))</f>
        <v/>
      </c>
      <c r="Q314" s="9">
        <f>IF($K314="","",INDEX('سجل التحفيز'!$E$5:$E$2004,MATCH($K314,'سجل التحفيز'!$AA$5:$AA$2004,0)))</f>
        <v/>
      </c>
      <c r="R314" s="9">
        <f>IF($K314="","",INDEX('سجل التحفيز'!$F$5:$F$2004,MATCH($K314,'سجل التحفيز'!$AA$5:$AA$2004,0)))</f>
        <v/>
      </c>
      <c r="S314" s="35">
        <f>IF($K314="","",INDEX('سجل التحفيز'!$G$5:$G$2004,MATCH($K314,'سجل التحفيز'!$AA$5:$AA$2004,0)))</f>
        <v/>
      </c>
    </row>
    <row r="315">
      <c r="K315" s="36">
        <f>IF(278&gt;$B$10,"",278)</f>
        <v/>
      </c>
      <c r="L315" s="37">
        <f>IF($K315="","",INDEX('سجل التحفيز'!$A$5:$A$2004,MATCH($K315,'سجل التحفيز'!$AA$5:$AA$2004,0)))</f>
        <v/>
      </c>
      <c r="M315" s="9">
        <f>IF($K315="","",INDEX('سجل التحفيز'!$B$5:$B$2004,MATCH($K315,'سجل التحفيز'!$AA$5:$AA$2004,0)))</f>
        <v/>
      </c>
      <c r="N315" s="9">
        <f>IF($K315="","",INDEX('سجل التحفيز'!$M$5:$M$2004,MATCH($K315,'سجل التحفيز'!$AA$5:$AA$2004,0)))</f>
        <v/>
      </c>
      <c r="O315" s="9">
        <f>IF($K315="","",INDEX('سجل التحفيز'!$C$5:$C$2004,MATCH($K315,'سجل التحفيز'!$AA$5:$AA$2004,0)))</f>
        <v/>
      </c>
      <c r="P315" s="36">
        <f>IF($K315="","",INDEX('سجل التحفيز'!$D$5:$D$2004,MATCH($K315,'سجل التحفيز'!$AA$5:$AA$2004,0)))</f>
        <v/>
      </c>
      <c r="Q315" s="9">
        <f>IF($K315="","",INDEX('سجل التحفيز'!$E$5:$E$2004,MATCH($K315,'سجل التحفيز'!$AA$5:$AA$2004,0)))</f>
        <v/>
      </c>
      <c r="R315" s="9">
        <f>IF($K315="","",INDEX('سجل التحفيز'!$F$5:$F$2004,MATCH($K315,'سجل التحفيز'!$AA$5:$AA$2004,0)))</f>
        <v/>
      </c>
      <c r="S315" s="35">
        <f>IF($K315="","",INDEX('سجل التحفيز'!$G$5:$G$2004,MATCH($K315,'سجل التحفيز'!$AA$5:$AA$2004,0)))</f>
        <v/>
      </c>
    </row>
    <row r="316">
      <c r="K316" s="36">
        <f>IF(279&gt;$B$10,"",279)</f>
        <v/>
      </c>
      <c r="L316" s="37">
        <f>IF($K316="","",INDEX('سجل التحفيز'!$A$5:$A$2004,MATCH($K316,'سجل التحفيز'!$AA$5:$AA$2004,0)))</f>
        <v/>
      </c>
      <c r="M316" s="9">
        <f>IF($K316="","",INDEX('سجل التحفيز'!$B$5:$B$2004,MATCH($K316,'سجل التحفيز'!$AA$5:$AA$2004,0)))</f>
        <v/>
      </c>
      <c r="N316" s="9">
        <f>IF($K316="","",INDEX('سجل التحفيز'!$M$5:$M$2004,MATCH($K316,'سجل التحفيز'!$AA$5:$AA$2004,0)))</f>
        <v/>
      </c>
      <c r="O316" s="9">
        <f>IF($K316="","",INDEX('سجل التحفيز'!$C$5:$C$2004,MATCH($K316,'سجل التحفيز'!$AA$5:$AA$2004,0)))</f>
        <v/>
      </c>
      <c r="P316" s="36">
        <f>IF($K316="","",INDEX('سجل التحفيز'!$D$5:$D$2004,MATCH($K316,'سجل التحفيز'!$AA$5:$AA$2004,0)))</f>
        <v/>
      </c>
      <c r="Q316" s="9">
        <f>IF($K316="","",INDEX('سجل التحفيز'!$E$5:$E$2004,MATCH($K316,'سجل التحفيز'!$AA$5:$AA$2004,0)))</f>
        <v/>
      </c>
      <c r="R316" s="9">
        <f>IF($K316="","",INDEX('سجل التحفيز'!$F$5:$F$2004,MATCH($K316,'سجل التحفيز'!$AA$5:$AA$2004,0)))</f>
        <v/>
      </c>
      <c r="S316" s="35">
        <f>IF($K316="","",INDEX('سجل التحفيز'!$G$5:$G$2004,MATCH($K316,'سجل التحفيز'!$AA$5:$AA$2004,0)))</f>
        <v/>
      </c>
    </row>
    <row r="317">
      <c r="K317" s="36">
        <f>IF(280&gt;$B$10,"",280)</f>
        <v/>
      </c>
      <c r="L317" s="37">
        <f>IF($K317="","",INDEX('سجل التحفيز'!$A$5:$A$2004,MATCH($K317,'سجل التحفيز'!$AA$5:$AA$2004,0)))</f>
        <v/>
      </c>
      <c r="M317" s="9">
        <f>IF($K317="","",INDEX('سجل التحفيز'!$B$5:$B$2004,MATCH($K317,'سجل التحفيز'!$AA$5:$AA$2004,0)))</f>
        <v/>
      </c>
      <c r="N317" s="9">
        <f>IF($K317="","",INDEX('سجل التحفيز'!$M$5:$M$2004,MATCH($K317,'سجل التحفيز'!$AA$5:$AA$2004,0)))</f>
        <v/>
      </c>
      <c r="O317" s="9">
        <f>IF($K317="","",INDEX('سجل التحفيز'!$C$5:$C$2004,MATCH($K317,'سجل التحفيز'!$AA$5:$AA$2004,0)))</f>
        <v/>
      </c>
      <c r="P317" s="36">
        <f>IF($K317="","",INDEX('سجل التحفيز'!$D$5:$D$2004,MATCH($K317,'سجل التحفيز'!$AA$5:$AA$2004,0)))</f>
        <v/>
      </c>
      <c r="Q317" s="9">
        <f>IF($K317="","",INDEX('سجل التحفيز'!$E$5:$E$2004,MATCH($K317,'سجل التحفيز'!$AA$5:$AA$2004,0)))</f>
        <v/>
      </c>
      <c r="R317" s="9">
        <f>IF($K317="","",INDEX('سجل التحفيز'!$F$5:$F$2004,MATCH($K317,'سجل التحفيز'!$AA$5:$AA$2004,0)))</f>
        <v/>
      </c>
      <c r="S317" s="35">
        <f>IF($K317="","",INDEX('سجل التحفيز'!$G$5:$G$2004,MATCH($K317,'سجل التحفيز'!$AA$5:$AA$2004,0)))</f>
        <v/>
      </c>
    </row>
    <row r="318">
      <c r="K318" s="36">
        <f>IF(281&gt;$B$10,"",281)</f>
        <v/>
      </c>
      <c r="L318" s="37">
        <f>IF($K318="","",INDEX('سجل التحفيز'!$A$5:$A$2004,MATCH($K318,'سجل التحفيز'!$AA$5:$AA$2004,0)))</f>
        <v/>
      </c>
      <c r="M318" s="9">
        <f>IF($K318="","",INDEX('سجل التحفيز'!$B$5:$B$2004,MATCH($K318,'سجل التحفيز'!$AA$5:$AA$2004,0)))</f>
        <v/>
      </c>
      <c r="N318" s="9">
        <f>IF($K318="","",INDEX('سجل التحفيز'!$M$5:$M$2004,MATCH($K318,'سجل التحفيز'!$AA$5:$AA$2004,0)))</f>
        <v/>
      </c>
      <c r="O318" s="9">
        <f>IF($K318="","",INDEX('سجل التحفيز'!$C$5:$C$2004,MATCH($K318,'سجل التحفيز'!$AA$5:$AA$2004,0)))</f>
        <v/>
      </c>
      <c r="P318" s="36">
        <f>IF($K318="","",INDEX('سجل التحفيز'!$D$5:$D$2004,MATCH($K318,'سجل التحفيز'!$AA$5:$AA$2004,0)))</f>
        <v/>
      </c>
      <c r="Q318" s="9">
        <f>IF($K318="","",INDEX('سجل التحفيز'!$E$5:$E$2004,MATCH($K318,'سجل التحفيز'!$AA$5:$AA$2004,0)))</f>
        <v/>
      </c>
      <c r="R318" s="9">
        <f>IF($K318="","",INDEX('سجل التحفيز'!$F$5:$F$2004,MATCH($K318,'سجل التحفيز'!$AA$5:$AA$2004,0)))</f>
        <v/>
      </c>
      <c r="S318" s="35">
        <f>IF($K318="","",INDEX('سجل التحفيز'!$G$5:$G$2004,MATCH($K318,'سجل التحفيز'!$AA$5:$AA$2004,0)))</f>
        <v/>
      </c>
    </row>
    <row r="319">
      <c r="K319" s="36">
        <f>IF(282&gt;$B$10,"",282)</f>
        <v/>
      </c>
      <c r="L319" s="37">
        <f>IF($K319="","",INDEX('سجل التحفيز'!$A$5:$A$2004,MATCH($K319,'سجل التحفيز'!$AA$5:$AA$2004,0)))</f>
        <v/>
      </c>
      <c r="M319" s="9">
        <f>IF($K319="","",INDEX('سجل التحفيز'!$B$5:$B$2004,MATCH($K319,'سجل التحفيز'!$AA$5:$AA$2004,0)))</f>
        <v/>
      </c>
      <c r="N319" s="9">
        <f>IF($K319="","",INDEX('سجل التحفيز'!$M$5:$M$2004,MATCH($K319,'سجل التحفيز'!$AA$5:$AA$2004,0)))</f>
        <v/>
      </c>
      <c r="O319" s="9">
        <f>IF($K319="","",INDEX('سجل التحفيز'!$C$5:$C$2004,MATCH($K319,'سجل التحفيز'!$AA$5:$AA$2004,0)))</f>
        <v/>
      </c>
      <c r="P319" s="36">
        <f>IF($K319="","",INDEX('سجل التحفيز'!$D$5:$D$2004,MATCH($K319,'سجل التحفيز'!$AA$5:$AA$2004,0)))</f>
        <v/>
      </c>
      <c r="Q319" s="9">
        <f>IF($K319="","",INDEX('سجل التحفيز'!$E$5:$E$2004,MATCH($K319,'سجل التحفيز'!$AA$5:$AA$2004,0)))</f>
        <v/>
      </c>
      <c r="R319" s="9">
        <f>IF($K319="","",INDEX('سجل التحفيز'!$F$5:$F$2004,MATCH($K319,'سجل التحفيز'!$AA$5:$AA$2004,0)))</f>
        <v/>
      </c>
      <c r="S319" s="35">
        <f>IF($K319="","",INDEX('سجل التحفيز'!$G$5:$G$2004,MATCH($K319,'سجل التحفيز'!$AA$5:$AA$2004,0)))</f>
        <v/>
      </c>
    </row>
    <row r="320">
      <c r="K320" s="36">
        <f>IF(283&gt;$B$10,"",283)</f>
        <v/>
      </c>
      <c r="L320" s="37">
        <f>IF($K320="","",INDEX('سجل التحفيز'!$A$5:$A$2004,MATCH($K320,'سجل التحفيز'!$AA$5:$AA$2004,0)))</f>
        <v/>
      </c>
      <c r="M320" s="9">
        <f>IF($K320="","",INDEX('سجل التحفيز'!$B$5:$B$2004,MATCH($K320,'سجل التحفيز'!$AA$5:$AA$2004,0)))</f>
        <v/>
      </c>
      <c r="N320" s="9">
        <f>IF($K320="","",INDEX('سجل التحفيز'!$M$5:$M$2004,MATCH($K320,'سجل التحفيز'!$AA$5:$AA$2004,0)))</f>
        <v/>
      </c>
      <c r="O320" s="9">
        <f>IF($K320="","",INDEX('سجل التحفيز'!$C$5:$C$2004,MATCH($K320,'سجل التحفيز'!$AA$5:$AA$2004,0)))</f>
        <v/>
      </c>
      <c r="P320" s="36">
        <f>IF($K320="","",INDEX('سجل التحفيز'!$D$5:$D$2004,MATCH($K320,'سجل التحفيز'!$AA$5:$AA$2004,0)))</f>
        <v/>
      </c>
      <c r="Q320" s="9">
        <f>IF($K320="","",INDEX('سجل التحفيز'!$E$5:$E$2004,MATCH($K320,'سجل التحفيز'!$AA$5:$AA$2004,0)))</f>
        <v/>
      </c>
      <c r="R320" s="9">
        <f>IF($K320="","",INDEX('سجل التحفيز'!$F$5:$F$2004,MATCH($K320,'سجل التحفيز'!$AA$5:$AA$2004,0)))</f>
        <v/>
      </c>
      <c r="S320" s="35">
        <f>IF($K320="","",INDEX('سجل التحفيز'!$G$5:$G$2004,MATCH($K320,'سجل التحفيز'!$AA$5:$AA$2004,0)))</f>
        <v/>
      </c>
    </row>
    <row r="321">
      <c r="K321" s="36">
        <f>IF(284&gt;$B$10,"",284)</f>
        <v/>
      </c>
      <c r="L321" s="37">
        <f>IF($K321="","",INDEX('سجل التحفيز'!$A$5:$A$2004,MATCH($K321,'سجل التحفيز'!$AA$5:$AA$2004,0)))</f>
        <v/>
      </c>
      <c r="M321" s="9">
        <f>IF($K321="","",INDEX('سجل التحفيز'!$B$5:$B$2004,MATCH($K321,'سجل التحفيز'!$AA$5:$AA$2004,0)))</f>
        <v/>
      </c>
      <c r="N321" s="9">
        <f>IF($K321="","",INDEX('سجل التحفيز'!$M$5:$M$2004,MATCH($K321,'سجل التحفيز'!$AA$5:$AA$2004,0)))</f>
        <v/>
      </c>
      <c r="O321" s="9">
        <f>IF($K321="","",INDEX('سجل التحفيز'!$C$5:$C$2004,MATCH($K321,'سجل التحفيز'!$AA$5:$AA$2004,0)))</f>
        <v/>
      </c>
      <c r="P321" s="36">
        <f>IF($K321="","",INDEX('سجل التحفيز'!$D$5:$D$2004,MATCH($K321,'سجل التحفيز'!$AA$5:$AA$2004,0)))</f>
        <v/>
      </c>
      <c r="Q321" s="9">
        <f>IF($K321="","",INDEX('سجل التحفيز'!$E$5:$E$2004,MATCH($K321,'سجل التحفيز'!$AA$5:$AA$2004,0)))</f>
        <v/>
      </c>
      <c r="R321" s="9">
        <f>IF($K321="","",INDEX('سجل التحفيز'!$F$5:$F$2004,MATCH($K321,'سجل التحفيز'!$AA$5:$AA$2004,0)))</f>
        <v/>
      </c>
      <c r="S321" s="35">
        <f>IF($K321="","",INDEX('سجل التحفيز'!$G$5:$G$2004,MATCH($K321,'سجل التحفيز'!$AA$5:$AA$2004,0)))</f>
        <v/>
      </c>
    </row>
    <row r="322">
      <c r="K322" s="36">
        <f>IF(285&gt;$B$10,"",285)</f>
        <v/>
      </c>
      <c r="L322" s="37">
        <f>IF($K322="","",INDEX('سجل التحفيز'!$A$5:$A$2004,MATCH($K322,'سجل التحفيز'!$AA$5:$AA$2004,0)))</f>
        <v/>
      </c>
      <c r="M322" s="9">
        <f>IF($K322="","",INDEX('سجل التحفيز'!$B$5:$B$2004,MATCH($K322,'سجل التحفيز'!$AA$5:$AA$2004,0)))</f>
        <v/>
      </c>
      <c r="N322" s="9">
        <f>IF($K322="","",INDEX('سجل التحفيز'!$M$5:$M$2004,MATCH($K322,'سجل التحفيز'!$AA$5:$AA$2004,0)))</f>
        <v/>
      </c>
      <c r="O322" s="9">
        <f>IF($K322="","",INDEX('سجل التحفيز'!$C$5:$C$2004,MATCH($K322,'سجل التحفيز'!$AA$5:$AA$2004,0)))</f>
        <v/>
      </c>
      <c r="P322" s="36">
        <f>IF($K322="","",INDEX('سجل التحفيز'!$D$5:$D$2004,MATCH($K322,'سجل التحفيز'!$AA$5:$AA$2004,0)))</f>
        <v/>
      </c>
      <c r="Q322" s="9">
        <f>IF($K322="","",INDEX('سجل التحفيز'!$E$5:$E$2004,MATCH($K322,'سجل التحفيز'!$AA$5:$AA$2004,0)))</f>
        <v/>
      </c>
      <c r="R322" s="9">
        <f>IF($K322="","",INDEX('سجل التحفيز'!$F$5:$F$2004,MATCH($K322,'سجل التحفيز'!$AA$5:$AA$2004,0)))</f>
        <v/>
      </c>
      <c r="S322" s="35">
        <f>IF($K322="","",INDEX('سجل التحفيز'!$G$5:$G$2004,MATCH($K322,'سجل التحفيز'!$AA$5:$AA$2004,0)))</f>
        <v/>
      </c>
    </row>
    <row r="323">
      <c r="K323" s="36">
        <f>IF(286&gt;$B$10,"",286)</f>
        <v/>
      </c>
      <c r="L323" s="37">
        <f>IF($K323="","",INDEX('سجل التحفيز'!$A$5:$A$2004,MATCH($K323,'سجل التحفيز'!$AA$5:$AA$2004,0)))</f>
        <v/>
      </c>
      <c r="M323" s="9">
        <f>IF($K323="","",INDEX('سجل التحفيز'!$B$5:$B$2004,MATCH($K323,'سجل التحفيز'!$AA$5:$AA$2004,0)))</f>
        <v/>
      </c>
      <c r="N323" s="9">
        <f>IF($K323="","",INDEX('سجل التحفيز'!$M$5:$M$2004,MATCH($K323,'سجل التحفيز'!$AA$5:$AA$2004,0)))</f>
        <v/>
      </c>
      <c r="O323" s="9">
        <f>IF($K323="","",INDEX('سجل التحفيز'!$C$5:$C$2004,MATCH($K323,'سجل التحفيز'!$AA$5:$AA$2004,0)))</f>
        <v/>
      </c>
      <c r="P323" s="36">
        <f>IF($K323="","",INDEX('سجل التحفيز'!$D$5:$D$2004,MATCH($K323,'سجل التحفيز'!$AA$5:$AA$2004,0)))</f>
        <v/>
      </c>
      <c r="Q323" s="9">
        <f>IF($K323="","",INDEX('سجل التحفيز'!$E$5:$E$2004,MATCH($K323,'سجل التحفيز'!$AA$5:$AA$2004,0)))</f>
        <v/>
      </c>
      <c r="R323" s="9">
        <f>IF($K323="","",INDEX('سجل التحفيز'!$F$5:$F$2004,MATCH($K323,'سجل التحفيز'!$AA$5:$AA$2004,0)))</f>
        <v/>
      </c>
      <c r="S323" s="35">
        <f>IF($K323="","",INDEX('سجل التحفيز'!$G$5:$G$2004,MATCH($K323,'سجل التحفيز'!$AA$5:$AA$2004,0)))</f>
        <v/>
      </c>
    </row>
    <row r="324">
      <c r="K324" s="36">
        <f>IF(287&gt;$B$10,"",287)</f>
        <v/>
      </c>
      <c r="L324" s="37">
        <f>IF($K324="","",INDEX('سجل التحفيز'!$A$5:$A$2004,MATCH($K324,'سجل التحفيز'!$AA$5:$AA$2004,0)))</f>
        <v/>
      </c>
      <c r="M324" s="9">
        <f>IF($K324="","",INDEX('سجل التحفيز'!$B$5:$B$2004,MATCH($K324,'سجل التحفيز'!$AA$5:$AA$2004,0)))</f>
        <v/>
      </c>
      <c r="N324" s="9">
        <f>IF($K324="","",INDEX('سجل التحفيز'!$M$5:$M$2004,MATCH($K324,'سجل التحفيز'!$AA$5:$AA$2004,0)))</f>
        <v/>
      </c>
      <c r="O324" s="9">
        <f>IF($K324="","",INDEX('سجل التحفيز'!$C$5:$C$2004,MATCH($K324,'سجل التحفيز'!$AA$5:$AA$2004,0)))</f>
        <v/>
      </c>
      <c r="P324" s="36">
        <f>IF($K324="","",INDEX('سجل التحفيز'!$D$5:$D$2004,MATCH($K324,'سجل التحفيز'!$AA$5:$AA$2004,0)))</f>
        <v/>
      </c>
      <c r="Q324" s="9">
        <f>IF($K324="","",INDEX('سجل التحفيز'!$E$5:$E$2004,MATCH($K324,'سجل التحفيز'!$AA$5:$AA$2004,0)))</f>
        <v/>
      </c>
      <c r="R324" s="9">
        <f>IF($K324="","",INDEX('سجل التحفيز'!$F$5:$F$2004,MATCH($K324,'سجل التحفيز'!$AA$5:$AA$2004,0)))</f>
        <v/>
      </c>
      <c r="S324" s="35">
        <f>IF($K324="","",INDEX('سجل التحفيز'!$G$5:$G$2004,MATCH($K324,'سجل التحفيز'!$AA$5:$AA$2004,0)))</f>
        <v/>
      </c>
    </row>
    <row r="325">
      <c r="K325" s="36">
        <f>IF(288&gt;$B$10,"",288)</f>
        <v/>
      </c>
      <c r="L325" s="37">
        <f>IF($K325="","",INDEX('سجل التحفيز'!$A$5:$A$2004,MATCH($K325,'سجل التحفيز'!$AA$5:$AA$2004,0)))</f>
        <v/>
      </c>
      <c r="M325" s="9">
        <f>IF($K325="","",INDEX('سجل التحفيز'!$B$5:$B$2004,MATCH($K325,'سجل التحفيز'!$AA$5:$AA$2004,0)))</f>
        <v/>
      </c>
      <c r="N325" s="9">
        <f>IF($K325="","",INDEX('سجل التحفيز'!$M$5:$M$2004,MATCH($K325,'سجل التحفيز'!$AA$5:$AA$2004,0)))</f>
        <v/>
      </c>
      <c r="O325" s="9">
        <f>IF($K325="","",INDEX('سجل التحفيز'!$C$5:$C$2004,MATCH($K325,'سجل التحفيز'!$AA$5:$AA$2004,0)))</f>
        <v/>
      </c>
      <c r="P325" s="36">
        <f>IF($K325="","",INDEX('سجل التحفيز'!$D$5:$D$2004,MATCH($K325,'سجل التحفيز'!$AA$5:$AA$2004,0)))</f>
        <v/>
      </c>
      <c r="Q325" s="9">
        <f>IF($K325="","",INDEX('سجل التحفيز'!$E$5:$E$2004,MATCH($K325,'سجل التحفيز'!$AA$5:$AA$2004,0)))</f>
        <v/>
      </c>
      <c r="R325" s="9">
        <f>IF($K325="","",INDEX('سجل التحفيز'!$F$5:$F$2004,MATCH($K325,'سجل التحفيز'!$AA$5:$AA$2004,0)))</f>
        <v/>
      </c>
      <c r="S325" s="35">
        <f>IF($K325="","",INDEX('سجل التحفيز'!$G$5:$G$2004,MATCH($K325,'سجل التحفيز'!$AA$5:$AA$2004,0)))</f>
        <v/>
      </c>
    </row>
    <row r="326">
      <c r="K326" s="36">
        <f>IF(289&gt;$B$10,"",289)</f>
        <v/>
      </c>
      <c r="L326" s="37">
        <f>IF($K326="","",INDEX('سجل التحفيز'!$A$5:$A$2004,MATCH($K326,'سجل التحفيز'!$AA$5:$AA$2004,0)))</f>
        <v/>
      </c>
      <c r="M326" s="9">
        <f>IF($K326="","",INDEX('سجل التحفيز'!$B$5:$B$2004,MATCH($K326,'سجل التحفيز'!$AA$5:$AA$2004,0)))</f>
        <v/>
      </c>
      <c r="N326" s="9">
        <f>IF($K326="","",INDEX('سجل التحفيز'!$M$5:$M$2004,MATCH($K326,'سجل التحفيز'!$AA$5:$AA$2004,0)))</f>
        <v/>
      </c>
      <c r="O326" s="9">
        <f>IF($K326="","",INDEX('سجل التحفيز'!$C$5:$C$2004,MATCH($K326,'سجل التحفيز'!$AA$5:$AA$2004,0)))</f>
        <v/>
      </c>
      <c r="P326" s="36">
        <f>IF($K326="","",INDEX('سجل التحفيز'!$D$5:$D$2004,MATCH($K326,'سجل التحفيز'!$AA$5:$AA$2004,0)))</f>
        <v/>
      </c>
      <c r="Q326" s="9">
        <f>IF($K326="","",INDEX('سجل التحفيز'!$E$5:$E$2004,MATCH($K326,'سجل التحفيز'!$AA$5:$AA$2004,0)))</f>
        <v/>
      </c>
      <c r="R326" s="9">
        <f>IF($K326="","",INDEX('سجل التحفيز'!$F$5:$F$2004,MATCH($K326,'سجل التحفيز'!$AA$5:$AA$2004,0)))</f>
        <v/>
      </c>
      <c r="S326" s="35">
        <f>IF($K326="","",INDEX('سجل التحفيز'!$G$5:$G$2004,MATCH($K326,'سجل التحفيز'!$AA$5:$AA$2004,0)))</f>
        <v/>
      </c>
    </row>
    <row r="327">
      <c r="K327" s="36">
        <f>IF(290&gt;$B$10,"",290)</f>
        <v/>
      </c>
      <c r="L327" s="37">
        <f>IF($K327="","",INDEX('سجل التحفيز'!$A$5:$A$2004,MATCH($K327,'سجل التحفيز'!$AA$5:$AA$2004,0)))</f>
        <v/>
      </c>
      <c r="M327" s="9">
        <f>IF($K327="","",INDEX('سجل التحفيز'!$B$5:$B$2004,MATCH($K327,'سجل التحفيز'!$AA$5:$AA$2004,0)))</f>
        <v/>
      </c>
      <c r="N327" s="9">
        <f>IF($K327="","",INDEX('سجل التحفيز'!$M$5:$M$2004,MATCH($K327,'سجل التحفيز'!$AA$5:$AA$2004,0)))</f>
        <v/>
      </c>
      <c r="O327" s="9">
        <f>IF($K327="","",INDEX('سجل التحفيز'!$C$5:$C$2004,MATCH($K327,'سجل التحفيز'!$AA$5:$AA$2004,0)))</f>
        <v/>
      </c>
      <c r="P327" s="36">
        <f>IF($K327="","",INDEX('سجل التحفيز'!$D$5:$D$2004,MATCH($K327,'سجل التحفيز'!$AA$5:$AA$2004,0)))</f>
        <v/>
      </c>
      <c r="Q327" s="9">
        <f>IF($K327="","",INDEX('سجل التحفيز'!$E$5:$E$2004,MATCH($K327,'سجل التحفيز'!$AA$5:$AA$2004,0)))</f>
        <v/>
      </c>
      <c r="R327" s="9">
        <f>IF($K327="","",INDEX('سجل التحفيز'!$F$5:$F$2004,MATCH($K327,'سجل التحفيز'!$AA$5:$AA$2004,0)))</f>
        <v/>
      </c>
      <c r="S327" s="35">
        <f>IF($K327="","",INDEX('سجل التحفيز'!$G$5:$G$2004,MATCH($K327,'سجل التحفيز'!$AA$5:$AA$2004,0)))</f>
        <v/>
      </c>
    </row>
    <row r="328">
      <c r="K328" s="36">
        <f>IF(291&gt;$B$10,"",291)</f>
        <v/>
      </c>
      <c r="L328" s="37">
        <f>IF($K328="","",INDEX('سجل التحفيز'!$A$5:$A$2004,MATCH($K328,'سجل التحفيز'!$AA$5:$AA$2004,0)))</f>
        <v/>
      </c>
      <c r="M328" s="9">
        <f>IF($K328="","",INDEX('سجل التحفيز'!$B$5:$B$2004,MATCH($K328,'سجل التحفيز'!$AA$5:$AA$2004,0)))</f>
        <v/>
      </c>
      <c r="N328" s="9">
        <f>IF($K328="","",INDEX('سجل التحفيز'!$M$5:$M$2004,MATCH($K328,'سجل التحفيز'!$AA$5:$AA$2004,0)))</f>
        <v/>
      </c>
      <c r="O328" s="9">
        <f>IF($K328="","",INDEX('سجل التحفيز'!$C$5:$C$2004,MATCH($K328,'سجل التحفيز'!$AA$5:$AA$2004,0)))</f>
        <v/>
      </c>
      <c r="P328" s="36">
        <f>IF($K328="","",INDEX('سجل التحفيز'!$D$5:$D$2004,MATCH($K328,'سجل التحفيز'!$AA$5:$AA$2004,0)))</f>
        <v/>
      </c>
      <c r="Q328" s="9">
        <f>IF($K328="","",INDEX('سجل التحفيز'!$E$5:$E$2004,MATCH($K328,'سجل التحفيز'!$AA$5:$AA$2004,0)))</f>
        <v/>
      </c>
      <c r="R328" s="9">
        <f>IF($K328="","",INDEX('سجل التحفيز'!$F$5:$F$2004,MATCH($K328,'سجل التحفيز'!$AA$5:$AA$2004,0)))</f>
        <v/>
      </c>
      <c r="S328" s="35">
        <f>IF($K328="","",INDEX('سجل التحفيز'!$G$5:$G$2004,MATCH($K328,'سجل التحفيز'!$AA$5:$AA$2004,0)))</f>
        <v/>
      </c>
    </row>
    <row r="329">
      <c r="K329" s="36">
        <f>IF(292&gt;$B$10,"",292)</f>
        <v/>
      </c>
      <c r="L329" s="37">
        <f>IF($K329="","",INDEX('سجل التحفيز'!$A$5:$A$2004,MATCH($K329,'سجل التحفيز'!$AA$5:$AA$2004,0)))</f>
        <v/>
      </c>
      <c r="M329" s="9">
        <f>IF($K329="","",INDEX('سجل التحفيز'!$B$5:$B$2004,MATCH($K329,'سجل التحفيز'!$AA$5:$AA$2004,0)))</f>
        <v/>
      </c>
      <c r="N329" s="9">
        <f>IF($K329="","",INDEX('سجل التحفيز'!$M$5:$M$2004,MATCH($K329,'سجل التحفيز'!$AA$5:$AA$2004,0)))</f>
        <v/>
      </c>
      <c r="O329" s="9">
        <f>IF($K329="","",INDEX('سجل التحفيز'!$C$5:$C$2004,MATCH($K329,'سجل التحفيز'!$AA$5:$AA$2004,0)))</f>
        <v/>
      </c>
      <c r="P329" s="36">
        <f>IF($K329="","",INDEX('سجل التحفيز'!$D$5:$D$2004,MATCH($K329,'سجل التحفيز'!$AA$5:$AA$2004,0)))</f>
        <v/>
      </c>
      <c r="Q329" s="9">
        <f>IF($K329="","",INDEX('سجل التحفيز'!$E$5:$E$2004,MATCH($K329,'سجل التحفيز'!$AA$5:$AA$2004,0)))</f>
        <v/>
      </c>
      <c r="R329" s="9">
        <f>IF($K329="","",INDEX('سجل التحفيز'!$F$5:$F$2004,MATCH($K329,'سجل التحفيز'!$AA$5:$AA$2004,0)))</f>
        <v/>
      </c>
      <c r="S329" s="35">
        <f>IF($K329="","",INDEX('سجل التحفيز'!$G$5:$G$2004,MATCH($K329,'سجل التحفيز'!$AA$5:$AA$2004,0)))</f>
        <v/>
      </c>
    </row>
    <row r="330">
      <c r="K330" s="36">
        <f>IF(293&gt;$B$10,"",293)</f>
        <v/>
      </c>
      <c r="L330" s="37">
        <f>IF($K330="","",INDEX('سجل التحفيز'!$A$5:$A$2004,MATCH($K330,'سجل التحفيز'!$AA$5:$AA$2004,0)))</f>
        <v/>
      </c>
      <c r="M330" s="9">
        <f>IF($K330="","",INDEX('سجل التحفيز'!$B$5:$B$2004,MATCH($K330,'سجل التحفيز'!$AA$5:$AA$2004,0)))</f>
        <v/>
      </c>
      <c r="N330" s="9">
        <f>IF($K330="","",INDEX('سجل التحفيز'!$M$5:$M$2004,MATCH($K330,'سجل التحفيز'!$AA$5:$AA$2004,0)))</f>
        <v/>
      </c>
      <c r="O330" s="9">
        <f>IF($K330="","",INDEX('سجل التحفيز'!$C$5:$C$2004,MATCH($K330,'سجل التحفيز'!$AA$5:$AA$2004,0)))</f>
        <v/>
      </c>
      <c r="P330" s="36">
        <f>IF($K330="","",INDEX('سجل التحفيز'!$D$5:$D$2004,MATCH($K330,'سجل التحفيز'!$AA$5:$AA$2004,0)))</f>
        <v/>
      </c>
      <c r="Q330" s="9">
        <f>IF($K330="","",INDEX('سجل التحفيز'!$E$5:$E$2004,MATCH($K330,'سجل التحفيز'!$AA$5:$AA$2004,0)))</f>
        <v/>
      </c>
      <c r="R330" s="9">
        <f>IF($K330="","",INDEX('سجل التحفيز'!$F$5:$F$2004,MATCH($K330,'سجل التحفيز'!$AA$5:$AA$2004,0)))</f>
        <v/>
      </c>
      <c r="S330" s="35">
        <f>IF($K330="","",INDEX('سجل التحفيز'!$G$5:$G$2004,MATCH($K330,'سجل التحفيز'!$AA$5:$AA$2004,0)))</f>
        <v/>
      </c>
    </row>
    <row r="331">
      <c r="K331" s="36">
        <f>IF(294&gt;$B$10,"",294)</f>
        <v/>
      </c>
      <c r="L331" s="37">
        <f>IF($K331="","",INDEX('سجل التحفيز'!$A$5:$A$2004,MATCH($K331,'سجل التحفيز'!$AA$5:$AA$2004,0)))</f>
        <v/>
      </c>
      <c r="M331" s="9">
        <f>IF($K331="","",INDEX('سجل التحفيز'!$B$5:$B$2004,MATCH($K331,'سجل التحفيز'!$AA$5:$AA$2004,0)))</f>
        <v/>
      </c>
      <c r="N331" s="9">
        <f>IF($K331="","",INDEX('سجل التحفيز'!$M$5:$M$2004,MATCH($K331,'سجل التحفيز'!$AA$5:$AA$2004,0)))</f>
        <v/>
      </c>
      <c r="O331" s="9">
        <f>IF($K331="","",INDEX('سجل التحفيز'!$C$5:$C$2004,MATCH($K331,'سجل التحفيز'!$AA$5:$AA$2004,0)))</f>
        <v/>
      </c>
      <c r="P331" s="36">
        <f>IF($K331="","",INDEX('سجل التحفيز'!$D$5:$D$2004,MATCH($K331,'سجل التحفيز'!$AA$5:$AA$2004,0)))</f>
        <v/>
      </c>
      <c r="Q331" s="9">
        <f>IF($K331="","",INDEX('سجل التحفيز'!$E$5:$E$2004,MATCH($K331,'سجل التحفيز'!$AA$5:$AA$2004,0)))</f>
        <v/>
      </c>
      <c r="R331" s="9">
        <f>IF($K331="","",INDEX('سجل التحفيز'!$F$5:$F$2004,MATCH($K331,'سجل التحفيز'!$AA$5:$AA$2004,0)))</f>
        <v/>
      </c>
      <c r="S331" s="35">
        <f>IF($K331="","",INDEX('سجل التحفيز'!$G$5:$G$2004,MATCH($K331,'سجل التحفيز'!$AA$5:$AA$2004,0)))</f>
        <v/>
      </c>
    </row>
    <row r="332">
      <c r="K332" s="36">
        <f>IF(295&gt;$B$10,"",295)</f>
        <v/>
      </c>
      <c r="L332" s="37">
        <f>IF($K332="","",INDEX('سجل التحفيز'!$A$5:$A$2004,MATCH($K332,'سجل التحفيز'!$AA$5:$AA$2004,0)))</f>
        <v/>
      </c>
      <c r="M332" s="9">
        <f>IF($K332="","",INDEX('سجل التحفيز'!$B$5:$B$2004,MATCH($K332,'سجل التحفيز'!$AA$5:$AA$2004,0)))</f>
        <v/>
      </c>
      <c r="N332" s="9">
        <f>IF($K332="","",INDEX('سجل التحفيز'!$M$5:$M$2004,MATCH($K332,'سجل التحفيز'!$AA$5:$AA$2004,0)))</f>
        <v/>
      </c>
      <c r="O332" s="9">
        <f>IF($K332="","",INDEX('سجل التحفيز'!$C$5:$C$2004,MATCH($K332,'سجل التحفيز'!$AA$5:$AA$2004,0)))</f>
        <v/>
      </c>
      <c r="P332" s="36">
        <f>IF($K332="","",INDEX('سجل التحفيز'!$D$5:$D$2004,MATCH($K332,'سجل التحفيز'!$AA$5:$AA$2004,0)))</f>
        <v/>
      </c>
      <c r="Q332" s="9">
        <f>IF($K332="","",INDEX('سجل التحفيز'!$E$5:$E$2004,MATCH($K332,'سجل التحفيز'!$AA$5:$AA$2004,0)))</f>
        <v/>
      </c>
      <c r="R332" s="9">
        <f>IF($K332="","",INDEX('سجل التحفيز'!$F$5:$F$2004,MATCH($K332,'سجل التحفيز'!$AA$5:$AA$2004,0)))</f>
        <v/>
      </c>
      <c r="S332" s="35">
        <f>IF($K332="","",INDEX('سجل التحفيز'!$G$5:$G$2004,MATCH($K332,'سجل التحفيز'!$AA$5:$AA$2004,0)))</f>
        <v/>
      </c>
    </row>
    <row r="333">
      <c r="K333" s="36">
        <f>IF(296&gt;$B$10,"",296)</f>
        <v/>
      </c>
      <c r="L333" s="37">
        <f>IF($K333="","",INDEX('سجل التحفيز'!$A$5:$A$2004,MATCH($K333,'سجل التحفيز'!$AA$5:$AA$2004,0)))</f>
        <v/>
      </c>
      <c r="M333" s="9">
        <f>IF($K333="","",INDEX('سجل التحفيز'!$B$5:$B$2004,MATCH($K333,'سجل التحفيز'!$AA$5:$AA$2004,0)))</f>
        <v/>
      </c>
      <c r="N333" s="9">
        <f>IF($K333="","",INDEX('سجل التحفيز'!$M$5:$M$2004,MATCH($K333,'سجل التحفيز'!$AA$5:$AA$2004,0)))</f>
        <v/>
      </c>
      <c r="O333" s="9">
        <f>IF($K333="","",INDEX('سجل التحفيز'!$C$5:$C$2004,MATCH($K333,'سجل التحفيز'!$AA$5:$AA$2004,0)))</f>
        <v/>
      </c>
      <c r="P333" s="36">
        <f>IF($K333="","",INDEX('سجل التحفيز'!$D$5:$D$2004,MATCH($K333,'سجل التحفيز'!$AA$5:$AA$2004,0)))</f>
        <v/>
      </c>
      <c r="Q333" s="9">
        <f>IF($K333="","",INDEX('سجل التحفيز'!$E$5:$E$2004,MATCH($K333,'سجل التحفيز'!$AA$5:$AA$2004,0)))</f>
        <v/>
      </c>
      <c r="R333" s="9">
        <f>IF($K333="","",INDEX('سجل التحفيز'!$F$5:$F$2004,MATCH($K333,'سجل التحفيز'!$AA$5:$AA$2004,0)))</f>
        <v/>
      </c>
      <c r="S333" s="35">
        <f>IF($K333="","",INDEX('سجل التحفيز'!$G$5:$G$2004,MATCH($K333,'سجل التحفيز'!$AA$5:$AA$2004,0)))</f>
        <v/>
      </c>
    </row>
    <row r="334">
      <c r="K334" s="36">
        <f>IF(297&gt;$B$10,"",297)</f>
        <v/>
      </c>
      <c r="L334" s="37">
        <f>IF($K334="","",INDEX('سجل التحفيز'!$A$5:$A$2004,MATCH($K334,'سجل التحفيز'!$AA$5:$AA$2004,0)))</f>
        <v/>
      </c>
      <c r="M334" s="9">
        <f>IF($K334="","",INDEX('سجل التحفيز'!$B$5:$B$2004,MATCH($K334,'سجل التحفيز'!$AA$5:$AA$2004,0)))</f>
        <v/>
      </c>
      <c r="N334" s="9">
        <f>IF($K334="","",INDEX('سجل التحفيز'!$M$5:$M$2004,MATCH($K334,'سجل التحفيز'!$AA$5:$AA$2004,0)))</f>
        <v/>
      </c>
      <c r="O334" s="9">
        <f>IF($K334="","",INDEX('سجل التحفيز'!$C$5:$C$2004,MATCH($K334,'سجل التحفيز'!$AA$5:$AA$2004,0)))</f>
        <v/>
      </c>
      <c r="P334" s="36">
        <f>IF($K334="","",INDEX('سجل التحفيز'!$D$5:$D$2004,MATCH($K334,'سجل التحفيز'!$AA$5:$AA$2004,0)))</f>
        <v/>
      </c>
      <c r="Q334" s="9">
        <f>IF($K334="","",INDEX('سجل التحفيز'!$E$5:$E$2004,MATCH($K334,'سجل التحفيز'!$AA$5:$AA$2004,0)))</f>
        <v/>
      </c>
      <c r="R334" s="9">
        <f>IF($K334="","",INDEX('سجل التحفيز'!$F$5:$F$2004,MATCH($K334,'سجل التحفيز'!$AA$5:$AA$2004,0)))</f>
        <v/>
      </c>
      <c r="S334" s="35">
        <f>IF($K334="","",INDEX('سجل التحفيز'!$G$5:$G$2004,MATCH($K334,'سجل التحفيز'!$AA$5:$AA$2004,0)))</f>
        <v/>
      </c>
    </row>
    <row r="335">
      <c r="K335" s="36">
        <f>IF(298&gt;$B$10,"",298)</f>
        <v/>
      </c>
      <c r="L335" s="37">
        <f>IF($K335="","",INDEX('سجل التحفيز'!$A$5:$A$2004,MATCH($K335,'سجل التحفيز'!$AA$5:$AA$2004,0)))</f>
        <v/>
      </c>
      <c r="M335" s="9">
        <f>IF($K335="","",INDEX('سجل التحفيز'!$B$5:$B$2004,MATCH($K335,'سجل التحفيز'!$AA$5:$AA$2004,0)))</f>
        <v/>
      </c>
      <c r="N335" s="9">
        <f>IF($K335="","",INDEX('سجل التحفيز'!$M$5:$M$2004,MATCH($K335,'سجل التحفيز'!$AA$5:$AA$2004,0)))</f>
        <v/>
      </c>
      <c r="O335" s="9">
        <f>IF($K335="","",INDEX('سجل التحفيز'!$C$5:$C$2004,MATCH($K335,'سجل التحفيز'!$AA$5:$AA$2004,0)))</f>
        <v/>
      </c>
      <c r="P335" s="36">
        <f>IF($K335="","",INDEX('سجل التحفيز'!$D$5:$D$2004,MATCH($K335,'سجل التحفيز'!$AA$5:$AA$2004,0)))</f>
        <v/>
      </c>
      <c r="Q335" s="9">
        <f>IF($K335="","",INDEX('سجل التحفيز'!$E$5:$E$2004,MATCH($K335,'سجل التحفيز'!$AA$5:$AA$2004,0)))</f>
        <v/>
      </c>
      <c r="R335" s="9">
        <f>IF($K335="","",INDEX('سجل التحفيز'!$F$5:$F$2004,MATCH($K335,'سجل التحفيز'!$AA$5:$AA$2004,0)))</f>
        <v/>
      </c>
      <c r="S335" s="35">
        <f>IF($K335="","",INDEX('سجل التحفيز'!$G$5:$G$2004,MATCH($K335,'سجل التحفيز'!$AA$5:$AA$2004,0)))</f>
        <v/>
      </c>
    </row>
    <row r="336">
      <c r="K336" s="36">
        <f>IF(299&gt;$B$10,"",299)</f>
        <v/>
      </c>
      <c r="L336" s="37">
        <f>IF($K336="","",INDEX('سجل التحفيز'!$A$5:$A$2004,MATCH($K336,'سجل التحفيز'!$AA$5:$AA$2004,0)))</f>
        <v/>
      </c>
      <c r="M336" s="9">
        <f>IF($K336="","",INDEX('سجل التحفيز'!$B$5:$B$2004,MATCH($K336,'سجل التحفيز'!$AA$5:$AA$2004,0)))</f>
        <v/>
      </c>
      <c r="N336" s="9">
        <f>IF($K336="","",INDEX('سجل التحفيز'!$M$5:$M$2004,MATCH($K336,'سجل التحفيز'!$AA$5:$AA$2004,0)))</f>
        <v/>
      </c>
      <c r="O336" s="9">
        <f>IF($K336="","",INDEX('سجل التحفيز'!$C$5:$C$2004,MATCH($K336,'سجل التحفيز'!$AA$5:$AA$2004,0)))</f>
        <v/>
      </c>
      <c r="P336" s="36">
        <f>IF($K336="","",INDEX('سجل التحفيز'!$D$5:$D$2004,MATCH($K336,'سجل التحفيز'!$AA$5:$AA$2004,0)))</f>
        <v/>
      </c>
      <c r="Q336" s="9">
        <f>IF($K336="","",INDEX('سجل التحفيز'!$E$5:$E$2004,MATCH($K336,'سجل التحفيز'!$AA$5:$AA$2004,0)))</f>
        <v/>
      </c>
      <c r="R336" s="9">
        <f>IF($K336="","",INDEX('سجل التحفيز'!$F$5:$F$2004,MATCH($K336,'سجل التحفيز'!$AA$5:$AA$2004,0)))</f>
        <v/>
      </c>
      <c r="S336" s="35">
        <f>IF($K336="","",INDEX('سجل التحفيز'!$G$5:$G$2004,MATCH($K336,'سجل التحفيز'!$AA$5:$AA$2004,0)))</f>
        <v/>
      </c>
    </row>
    <row r="337">
      <c r="K337" s="36">
        <f>IF(300&gt;$B$10,"",300)</f>
        <v/>
      </c>
      <c r="L337" s="37">
        <f>IF($K337="","",INDEX('سجل التحفيز'!$A$5:$A$2004,MATCH($K337,'سجل التحفيز'!$AA$5:$AA$2004,0)))</f>
        <v/>
      </c>
      <c r="M337" s="9">
        <f>IF($K337="","",INDEX('سجل التحفيز'!$B$5:$B$2004,MATCH($K337,'سجل التحفيز'!$AA$5:$AA$2004,0)))</f>
        <v/>
      </c>
      <c r="N337" s="9">
        <f>IF($K337="","",INDEX('سجل التحفيز'!$M$5:$M$2004,MATCH($K337,'سجل التحفيز'!$AA$5:$AA$2004,0)))</f>
        <v/>
      </c>
      <c r="O337" s="9">
        <f>IF($K337="","",INDEX('سجل التحفيز'!$C$5:$C$2004,MATCH($K337,'سجل التحفيز'!$AA$5:$AA$2004,0)))</f>
        <v/>
      </c>
      <c r="P337" s="36">
        <f>IF($K337="","",INDEX('سجل التحفيز'!$D$5:$D$2004,MATCH($K337,'سجل التحفيز'!$AA$5:$AA$2004,0)))</f>
        <v/>
      </c>
      <c r="Q337" s="9">
        <f>IF($K337="","",INDEX('سجل التحفيز'!$E$5:$E$2004,MATCH($K337,'سجل التحفيز'!$AA$5:$AA$2004,0)))</f>
        <v/>
      </c>
      <c r="R337" s="9">
        <f>IF($K337="","",INDEX('سجل التحفيز'!$F$5:$F$2004,MATCH($K337,'سجل التحفيز'!$AA$5:$AA$2004,0)))</f>
        <v/>
      </c>
      <c r="S337" s="35">
        <f>IF($K337="","",INDEX('سجل التحفيز'!$G$5:$G$2004,MATCH($K337,'سجل التحفيز'!$AA$5:$AA$2004,0)))</f>
        <v/>
      </c>
    </row>
    <row r="339">
      <c r="K339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38:H187">
    <cfRule type="expression" priority="1" dxfId="3">
      <formula>$B38&lt;&gt;""</formula>
    </cfRule>
    <cfRule type="expression" priority="2" dxfId="1">
      <formula>AND($B38&lt;&gt;"",$G38=1)</formula>
    </cfRule>
  </conditionalFormatting>
  <conditionalFormatting sqref="K38:S337">
    <cfRule type="expression" priority="3" dxfId="3">
      <formula>$K38&lt;&gt;""</formula>
    </cfRule>
    <cfRule type="expression" priority="4" dxfId="4">
      <formula>AND($K38&lt;&gt;"",$P38="ذهبي")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S33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التقرير الشهري — فبراير</t>
        </is>
      </c>
    </row>
    <row r="2" ht="30" customHeight="1">
      <c r="A2" s="2" t="inlineStr">
        <is>
          <t>تقرير ثابت لهذا الشهر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شهري</t>
        </is>
      </c>
    </row>
    <row r="6">
      <c r="B6" s="22" t="inlineStr">
        <is>
          <t>الشهر</t>
        </is>
      </c>
      <c r="C6" s="25" t="inlineStr">
        <is>
          <t>فبراير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—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التحفيز'!$AB$5:$AB$2004)</f>
        <v/>
      </c>
      <c r="C10" s="28">
        <f>COUNT(الموظفات!$V$5:$V$304)</f>
        <v/>
      </c>
      <c r="D10" s="28">
        <f>COUNTIFS('سجل التحفيز'!$AB$5:$AB$2004,"&gt;0",'سجل التحفيز'!$D$5:$D$2004,"ذهبي")</f>
        <v/>
      </c>
      <c r="E10" s="28">
        <f>COUNTIFS('سجل التحفيز'!$AB$5:$AB$2004,"&gt;0",'سجل التحفيز'!$D$5:$D$2004,"أساسي")</f>
        <v/>
      </c>
      <c r="F10" s="28">
        <f>SUMIFS('سجل التحفيز'!$G$5:$G$2004,'سجل التحفيز'!$AB$5:$AB$2004,"&gt;0")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التحفيز'!$AB$5:$AB$2004,"&gt;0",'سجل التحفيز'!$C$5:$C$2004,B14,'سجل التحفيز'!$D$5:$D$2004,"أساسي")</f>
        <v/>
      </c>
      <c r="D14" s="31">
        <f>COUNTIFS('سجل التحفيز'!$AB$5:$AB$2004,"&gt;0",'سجل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التحفيز'!$AB$5:$AB$2004,"&gt;0",'سجل التحفيز'!$C$5:$C$2004,B14)</f>
        <v/>
      </c>
    </row>
    <row r="15">
      <c r="B15" s="30">
        <f>الإعدادات!A8</f>
        <v/>
      </c>
      <c r="C15" s="31">
        <f>COUNTIFS('سجل التحفيز'!$AB$5:$AB$2004,"&gt;0",'سجل التحفيز'!$C$5:$C$2004,B15,'سجل التحفيز'!$D$5:$D$2004,"أساسي")</f>
        <v/>
      </c>
      <c r="D15" s="31">
        <f>COUNTIFS('سجل التحفيز'!$AB$5:$AB$2004,"&gt;0",'سجل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التحفيز'!$AB$5:$AB$2004,"&gt;0",'سجل التحفيز'!$C$5:$C$2004,B15)</f>
        <v/>
      </c>
    </row>
    <row r="16">
      <c r="B16" s="30">
        <f>الإعدادات!A9</f>
        <v/>
      </c>
      <c r="C16" s="31">
        <f>COUNTIFS('سجل التحفيز'!$AB$5:$AB$2004,"&gt;0",'سجل التحفيز'!$C$5:$C$2004,B16,'سجل التحفيز'!$D$5:$D$2004,"أساسي")</f>
        <v/>
      </c>
      <c r="D16" s="31">
        <f>COUNTIFS('سجل التحفيز'!$AB$5:$AB$2004,"&gt;0",'سجل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التحفيز'!$AB$5:$AB$2004,"&gt;0",'سجل التحفيز'!$C$5:$C$2004,B16)</f>
        <v/>
      </c>
    </row>
    <row r="17">
      <c r="B17" s="30">
        <f>الإعدادات!A10</f>
        <v/>
      </c>
      <c r="C17" s="31">
        <f>COUNTIFS('سجل التحفيز'!$AB$5:$AB$2004,"&gt;0",'سجل التحفيز'!$C$5:$C$2004,B17,'سجل التحفيز'!$D$5:$D$2004,"أساسي")</f>
        <v/>
      </c>
      <c r="D17" s="31">
        <f>COUNTIFS('سجل التحفيز'!$AB$5:$AB$2004,"&gt;0",'سجل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التحفيز'!$AB$5:$AB$2004,"&gt;0",'سجل التحفيز'!$C$5:$C$2004,B17)</f>
        <v/>
      </c>
    </row>
    <row r="18">
      <c r="B18" s="30">
        <f>الإعدادات!A11</f>
        <v/>
      </c>
      <c r="C18" s="31">
        <f>COUNTIFS('سجل التحفيز'!$AB$5:$AB$2004,"&gt;0",'سجل التحفيز'!$C$5:$C$2004,B18,'سجل التحفيز'!$D$5:$D$2004,"أساسي")</f>
        <v/>
      </c>
      <c r="D18" s="31">
        <f>COUNTIFS('سجل التحفيز'!$AB$5:$AB$2004,"&gt;0",'سجل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التحفيز'!$AB$5:$AB$2004,"&gt;0",'سجل التحفيز'!$C$5:$C$2004,B18)</f>
        <v/>
      </c>
    </row>
    <row r="19">
      <c r="B19" s="30">
        <f>الإعدادات!A12</f>
        <v/>
      </c>
      <c r="C19" s="31">
        <f>COUNTIFS('سجل التحفيز'!$AB$5:$AB$2004,"&gt;0",'سجل التحفيز'!$C$5:$C$2004,B19,'سجل التحفيز'!$D$5:$D$2004,"أساسي")</f>
        <v/>
      </c>
      <c r="D19" s="31">
        <f>COUNTIFS('سجل التحفيز'!$AB$5:$AB$2004,"&gt;0",'سجل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التحفيز'!$AB$5:$AB$2004,"&gt;0",'سجل التحفيز'!$C$5:$C$2004,B19)</f>
        <v/>
      </c>
    </row>
    <row r="20">
      <c r="B20" s="30">
        <f>الإعدادات!A13</f>
        <v/>
      </c>
      <c r="C20" s="31">
        <f>COUNTIFS('سجل التحفيز'!$AB$5:$AB$2004,"&gt;0",'سجل التحفيز'!$C$5:$C$2004,B20,'سجل التحفيز'!$D$5:$D$2004,"أساسي")</f>
        <v/>
      </c>
      <c r="D20" s="31">
        <f>COUNTIFS('سجل التحفيز'!$AB$5:$AB$2004,"&gt;0",'سجل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التحفيز'!$AB$5:$AB$2004,"&gt;0",'سجل التحفيز'!$C$5:$C$2004,B20)</f>
        <v/>
      </c>
    </row>
    <row r="21">
      <c r="B21" s="30">
        <f>الإعدادات!A14</f>
        <v/>
      </c>
      <c r="C21" s="31">
        <f>COUNTIFS('سجل التحفيز'!$AB$5:$AB$2004,"&gt;0",'سجل التحفيز'!$C$5:$C$2004,B21,'سجل التحفيز'!$D$5:$D$2004,"أساسي")</f>
        <v/>
      </c>
      <c r="D21" s="31">
        <f>COUNTIFS('سجل التحفيز'!$AB$5:$AB$2004,"&gt;0",'سجل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التحفيز'!$AB$5:$AB$2004,"&gt;0",'سجل التحفيز'!$C$5:$C$2004,B21)</f>
        <v/>
      </c>
    </row>
    <row r="22">
      <c r="B22" s="30">
        <f>الإعدادات!A15</f>
        <v/>
      </c>
      <c r="C22" s="31">
        <f>COUNTIFS('سجل التحفيز'!$AB$5:$AB$2004,"&gt;0",'سجل التحفيز'!$C$5:$C$2004,B22,'سجل التحفيز'!$D$5:$D$2004,"أساسي")</f>
        <v/>
      </c>
      <c r="D22" s="31">
        <f>COUNTIFS('سجل التحفيز'!$AB$5:$AB$2004,"&gt;0",'سجل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التحفيز'!$AB$5:$AB$2004,"&gt;0",'سجل التحفيز'!$C$5:$C$2004,B22)</f>
        <v/>
      </c>
    </row>
    <row r="23">
      <c r="B23" s="30">
        <f>الإعدادات!A16</f>
        <v/>
      </c>
      <c r="C23" s="31">
        <f>COUNTIFS('سجل التحفيز'!$AB$5:$AB$2004,"&gt;0",'سجل التحفيز'!$C$5:$C$2004,B23,'سجل التحفيز'!$D$5:$D$2004,"أساسي")</f>
        <v/>
      </c>
      <c r="D23" s="31">
        <f>COUNTIFS('سجل التحفيز'!$AB$5:$AB$2004,"&gt;0",'سجل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التحفيز'!$AB$5:$AB$2004,"&gt;0",'سجل التحفيز'!$C$5:$C$2004,B23)</f>
        <v/>
      </c>
    </row>
    <row r="24">
      <c r="B24" s="30">
        <f>الإعدادات!A17</f>
        <v/>
      </c>
      <c r="C24" s="31">
        <f>COUNTIFS('سجل التحفيز'!$AB$5:$AB$2004,"&gt;0",'سجل التحفيز'!$C$5:$C$2004,B24,'سجل التحفيز'!$D$5:$D$2004,"أساسي")</f>
        <v/>
      </c>
      <c r="D24" s="31">
        <f>COUNTIFS('سجل التحفيز'!$AB$5:$AB$2004,"&gt;0",'سجل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التحفيز'!$AB$5:$AB$2004,"&gt;0",'سجل التحفيز'!$C$5:$C$2004,B24)</f>
        <v/>
      </c>
    </row>
    <row r="25">
      <c r="B25" s="30">
        <f>الإعدادات!A18</f>
        <v/>
      </c>
      <c r="C25" s="31">
        <f>COUNTIFS('سجل التحفيز'!$AB$5:$AB$2004,"&gt;0",'سجل التحفيز'!$C$5:$C$2004,B25,'سجل التحفيز'!$D$5:$D$2004,"أساسي")</f>
        <v/>
      </c>
      <c r="D25" s="31">
        <f>COUNTIFS('سجل التحفيز'!$AB$5:$AB$2004,"&gt;0",'سجل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التحفيز'!$AB$5:$AB$2004,"&gt;0",'سجل التحفيز'!$C$5:$C$2004,B25)</f>
        <v/>
      </c>
    </row>
    <row r="26">
      <c r="B26" s="30">
        <f>الإعدادات!A19</f>
        <v/>
      </c>
      <c r="C26" s="31">
        <f>COUNTIFS('سجل التحفيز'!$AB$5:$AB$2004,"&gt;0",'سجل التحفيز'!$C$5:$C$2004,B26,'سجل التحفيز'!$D$5:$D$2004,"أساسي")</f>
        <v/>
      </c>
      <c r="D26" s="31">
        <f>COUNTIFS('سجل التحفيز'!$AB$5:$AB$2004,"&gt;0",'سجل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التحفيز'!$AB$5:$AB$2004,"&gt;0",'سجل التحفيز'!$C$5:$C$2004,B26)</f>
        <v/>
      </c>
    </row>
    <row r="27">
      <c r="B27" s="30">
        <f>الإعدادات!A20</f>
        <v/>
      </c>
      <c r="C27" s="31">
        <f>COUNTIFS('سجل التحفيز'!$AB$5:$AB$2004,"&gt;0",'سجل التحفيز'!$C$5:$C$2004,B27,'سجل التحفيز'!$D$5:$D$2004,"أساسي")</f>
        <v/>
      </c>
      <c r="D27" s="31">
        <f>COUNTIFS('سجل التحفيز'!$AB$5:$AB$2004,"&gt;0",'سجل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التحفيز'!$AB$5:$AB$2004,"&gt;0",'سجل التحفيز'!$C$5:$C$2004,B27)</f>
        <v/>
      </c>
    </row>
    <row r="28">
      <c r="B28" s="30">
        <f>الإعدادات!A21</f>
        <v/>
      </c>
      <c r="C28" s="31">
        <f>COUNTIFS('سجل التحفيز'!$AB$5:$AB$2004,"&gt;0",'سجل التحفيز'!$C$5:$C$2004,B28,'سجل التحفيز'!$D$5:$D$2004,"أساسي")</f>
        <v/>
      </c>
      <c r="D28" s="31">
        <f>COUNTIFS('سجل التحفيز'!$AB$5:$AB$2004,"&gt;0",'سجل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التحفيز'!$AB$5:$AB$2004,"&gt;0",'سجل التحفيز'!$C$5:$C$2004,B28)</f>
        <v/>
      </c>
    </row>
    <row r="29">
      <c r="B29" s="30">
        <f>الإعدادات!A22</f>
        <v/>
      </c>
      <c r="C29" s="31">
        <f>COUNTIFS('سجل التحفيز'!$AB$5:$AB$2004,"&gt;0",'سجل التحفيز'!$C$5:$C$2004,B29,'سجل التحفيز'!$D$5:$D$2004,"أساسي")</f>
        <v/>
      </c>
      <c r="D29" s="31">
        <f>COUNTIFS('سجل التحفيز'!$AB$5:$AB$2004,"&gt;0",'سجل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التحفيز'!$AB$5:$AB$2004,"&gt;0",'سجل التحفيز'!$C$5:$C$2004,B29)</f>
        <v/>
      </c>
    </row>
    <row r="30">
      <c r="B30" s="30">
        <f>الإعدادات!A23</f>
        <v/>
      </c>
      <c r="C30" s="31">
        <f>COUNTIFS('سجل التحفيز'!$AB$5:$AB$2004,"&gt;0",'سجل التحفيز'!$C$5:$C$2004,B30,'سجل التحفيز'!$D$5:$D$2004,"أساسي")</f>
        <v/>
      </c>
      <c r="D30" s="31">
        <f>COUNTIFS('سجل التحفيز'!$AB$5:$AB$2004,"&gt;0",'سجل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التحفيز'!$AB$5:$AB$2004,"&gt;0",'سجل التحفيز'!$C$5:$C$2004,B30)</f>
        <v/>
      </c>
    </row>
    <row r="31">
      <c r="B31" s="30">
        <f>الإعدادات!A24</f>
        <v/>
      </c>
      <c r="C31" s="31">
        <f>COUNTIFS('سجل التحفيز'!$AB$5:$AB$2004,"&gt;0",'سجل التحفيز'!$C$5:$C$2004,B31,'سجل التحفيز'!$D$5:$D$2004,"أساسي")</f>
        <v/>
      </c>
      <c r="D31" s="31">
        <f>COUNTIFS('سجل التحفيز'!$AB$5:$AB$2004,"&gt;0",'سجل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التحفيز'!$AB$5:$AB$2004,"&gt;0",'سجل التحفيز'!$C$5:$C$2004,B31)</f>
        <v/>
      </c>
    </row>
    <row r="32">
      <c r="B32" s="30">
        <f>الإعدادات!A25</f>
        <v/>
      </c>
      <c r="C32" s="31">
        <f>COUNTIFS('سجل التحفيز'!$AB$5:$AB$2004,"&gt;0",'سجل التحفيز'!$C$5:$C$2004,B32,'سجل التحفيز'!$D$5:$D$2004,"أساسي")</f>
        <v/>
      </c>
      <c r="D32" s="31">
        <f>COUNTIFS('سجل التحفيز'!$AB$5:$AB$2004,"&gt;0",'سجل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التحفيز'!$AB$5:$AB$2004,"&gt;0",'سجل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الموظفات المُكرَّمات ضمن فترة التقرير</t>
        </is>
      </c>
      <c r="K36" s="29" t="inlineStr">
        <is>
          <t>تفاصيل التكريمات ضمن فترة التقرير</t>
        </is>
      </c>
    </row>
    <row r="37">
      <c r="B37" s="13" t="inlineStr">
        <is>
          <t>اسم الموظفة</t>
        </is>
      </c>
      <c r="C37" s="13" t="inlineStr">
        <is>
          <t>القسم</t>
        </is>
      </c>
      <c r="D37" s="13" t="inlineStr">
        <is>
          <t>عدد التكريمات</t>
        </is>
      </c>
      <c r="E37" s="13" t="inlineStr">
        <is>
          <t>معايير ذهبية</t>
        </is>
      </c>
      <c r="F37" s="13" t="inlineStr">
        <is>
          <t>القيمة (ر.ق)</t>
        </is>
      </c>
      <c r="G37" s="13" t="inlineStr">
        <is>
          <t>الترتيب</t>
        </is>
      </c>
      <c r="H37" s="13" t="inlineStr">
        <is>
          <t>أمري تدللي (السنة)</t>
        </is>
      </c>
      <c r="K37" s="13" t="inlineStr">
        <is>
          <t>م</t>
        </is>
      </c>
      <c r="L37" s="13" t="inlineStr">
        <is>
          <t>التاريخ</t>
        </is>
      </c>
      <c r="M37" s="13" t="inlineStr">
        <is>
          <t>اسم الموظفة</t>
        </is>
      </c>
      <c r="N37" s="13" t="inlineStr">
        <is>
          <t>القسم</t>
        </is>
      </c>
      <c r="O37" s="13" t="inlineStr">
        <is>
          <t>المجال</t>
        </is>
      </c>
      <c r="P37" s="13" t="inlineStr">
        <is>
          <t>المستوى</t>
        </is>
      </c>
      <c r="Q37" s="13" t="inlineStr">
        <is>
          <t>المعيار المحقق</t>
        </is>
      </c>
      <c r="R37" s="13" t="inlineStr">
        <is>
          <t>المكافأة الممنوحة</t>
        </is>
      </c>
      <c r="S37" s="13" t="inlineStr">
        <is>
          <t>القيمة (ر.ق)</t>
        </is>
      </c>
    </row>
    <row r="38">
      <c r="B38" s="34">
        <f>IFERROR(INDEX(الموظفات!$B$5:$B$304,MATCH(1,الموظفات!$V$5:$V$304,0)),"")</f>
        <v/>
      </c>
      <c r="C38" s="34">
        <f>IF(B38="","",INDEX(الموظفات!$D$5:$D$304,MATCH(B38,الموظفات!$B$5:$B$304,0))&amp;"")</f>
        <v/>
      </c>
      <c r="D38" s="35">
        <f>IF(B38="","",COUNTIFS('سجل التحفيز'!$AB$5:$AB$2004,"&gt;0",'سجل التحفيز'!$B$5:$B$2004,B38))</f>
        <v/>
      </c>
      <c r="E38" s="35">
        <f>IF(B38="","",COUNTIFS('سجل التحفيز'!$AB$5:$AB$2004,"&gt;0",'سجل التحفيز'!$B$5:$B$2004,B38,'سجل التحفيز'!$D$5:$D$2004,"ذهبي"))</f>
        <v/>
      </c>
      <c r="F38" s="35">
        <f>IF(B38="","",SUMIFS('سجل التحفيز'!$G$5:$G$2004,'سجل التحفيز'!$AB$5:$AB$2004,"&gt;0",'سجل التحفيز'!$B$5:$B$2004,B38))</f>
        <v/>
      </c>
      <c r="G38" s="35">
        <f>IF(B38="","",COUNTIF($D$38:$D$187,"&gt;"&amp;D38)+1)</f>
        <v/>
      </c>
      <c r="H38" s="35">
        <f>IF(B38="","",INDEX(الموظفات!$L$5:$L$304,MATCH(B38,الموظفات!$B$5:$B$304,0)))</f>
        <v/>
      </c>
      <c r="K38" s="36">
        <f>IF(1&gt;$B$10,"",1)</f>
        <v/>
      </c>
      <c r="L38" s="37">
        <f>IF($K38="","",INDEX('سجل التحفيز'!$A$5:$A$2004,MATCH($K38,'سجل التحفيز'!$AB$5:$AB$2004,0)))</f>
        <v/>
      </c>
      <c r="M38" s="9">
        <f>IF($K38="","",INDEX('سجل التحفيز'!$B$5:$B$2004,MATCH($K38,'سجل التحفيز'!$AB$5:$AB$2004,0)))</f>
        <v/>
      </c>
      <c r="N38" s="9">
        <f>IF($K38="","",INDEX('سجل التحفيز'!$M$5:$M$2004,MATCH($K38,'سجل التحفيز'!$AB$5:$AB$2004,0)))</f>
        <v/>
      </c>
      <c r="O38" s="9">
        <f>IF($K38="","",INDEX('سجل التحفيز'!$C$5:$C$2004,MATCH($K38,'سجل التحفيز'!$AB$5:$AB$2004,0)))</f>
        <v/>
      </c>
      <c r="P38" s="36">
        <f>IF($K38="","",INDEX('سجل التحفيز'!$D$5:$D$2004,MATCH($K38,'سجل التحفيز'!$AB$5:$AB$2004,0)))</f>
        <v/>
      </c>
      <c r="Q38" s="9">
        <f>IF($K38="","",INDEX('سجل التحفيز'!$E$5:$E$2004,MATCH($K38,'سجل التحفيز'!$AB$5:$AB$2004,0)))</f>
        <v/>
      </c>
      <c r="R38" s="9">
        <f>IF($K38="","",INDEX('سجل التحفيز'!$F$5:$F$2004,MATCH($K38,'سجل التحفيز'!$AB$5:$AB$2004,0)))</f>
        <v/>
      </c>
      <c r="S38" s="35">
        <f>IF($K38="","",INDEX('سجل التحفيز'!$G$5:$G$2004,MATCH($K38,'سجل التحفيز'!$AB$5:$AB$2004,0)))</f>
        <v/>
      </c>
    </row>
    <row r="39">
      <c r="B39" s="34">
        <f>IFERROR(INDEX(الموظفات!$B$5:$B$304,MATCH(2,الموظفات!$V$5:$V$304,0)),"")</f>
        <v/>
      </c>
      <c r="C39" s="34">
        <f>IF(B39="","",INDEX(الموظفات!$D$5:$D$304,MATCH(B39,الموظفات!$B$5:$B$304,0))&amp;"")</f>
        <v/>
      </c>
      <c r="D39" s="35">
        <f>IF(B39="","",COUNTIFS('سجل التحفيز'!$AB$5:$AB$2004,"&gt;0",'سجل التحفيز'!$B$5:$B$2004,B39))</f>
        <v/>
      </c>
      <c r="E39" s="35">
        <f>IF(B39="","",COUNTIFS('سجل التحفيز'!$AB$5:$AB$2004,"&gt;0",'سجل التحفيز'!$B$5:$B$2004,B39,'سجل التحفيز'!$D$5:$D$2004,"ذهبي"))</f>
        <v/>
      </c>
      <c r="F39" s="35">
        <f>IF(B39="","",SUMIFS('سجل التحفيز'!$G$5:$G$2004,'سجل التحفيز'!$AB$5:$AB$2004,"&gt;0",'سجل التحفيز'!$B$5:$B$2004,B39))</f>
        <v/>
      </c>
      <c r="G39" s="35">
        <f>IF(B39="","",COUNTIF($D$38:$D$187,"&gt;"&amp;D39)+1)</f>
        <v/>
      </c>
      <c r="H39" s="35">
        <f>IF(B39="","",INDEX(الموظفات!$L$5:$L$304,MATCH(B39,الموظفات!$B$5:$B$304,0)))</f>
        <v/>
      </c>
      <c r="K39" s="36">
        <f>IF(2&gt;$B$10,"",2)</f>
        <v/>
      </c>
      <c r="L39" s="37">
        <f>IF($K39="","",INDEX('سجل التحفيز'!$A$5:$A$2004,MATCH($K39,'سجل التحفيز'!$AB$5:$AB$2004,0)))</f>
        <v/>
      </c>
      <c r="M39" s="9">
        <f>IF($K39="","",INDEX('سجل التحفيز'!$B$5:$B$2004,MATCH($K39,'سجل التحفيز'!$AB$5:$AB$2004,0)))</f>
        <v/>
      </c>
      <c r="N39" s="9">
        <f>IF($K39="","",INDEX('سجل التحفيز'!$M$5:$M$2004,MATCH($K39,'سجل التحفيز'!$AB$5:$AB$2004,0)))</f>
        <v/>
      </c>
      <c r="O39" s="9">
        <f>IF($K39="","",INDEX('سجل التحفيز'!$C$5:$C$2004,MATCH($K39,'سجل التحفيز'!$AB$5:$AB$2004,0)))</f>
        <v/>
      </c>
      <c r="P39" s="36">
        <f>IF($K39="","",INDEX('سجل التحفيز'!$D$5:$D$2004,MATCH($K39,'سجل التحفيز'!$AB$5:$AB$2004,0)))</f>
        <v/>
      </c>
      <c r="Q39" s="9">
        <f>IF($K39="","",INDEX('سجل التحفيز'!$E$5:$E$2004,MATCH($K39,'سجل التحفيز'!$AB$5:$AB$2004,0)))</f>
        <v/>
      </c>
      <c r="R39" s="9">
        <f>IF($K39="","",INDEX('سجل التحفيز'!$F$5:$F$2004,MATCH($K39,'سجل التحفيز'!$AB$5:$AB$2004,0)))</f>
        <v/>
      </c>
      <c r="S39" s="35">
        <f>IF($K39="","",INDEX('سجل التحفيز'!$G$5:$G$2004,MATCH($K39,'سجل التحفيز'!$AB$5:$AB$2004,0)))</f>
        <v/>
      </c>
    </row>
    <row r="40">
      <c r="B40" s="34">
        <f>IFERROR(INDEX(الموظفات!$B$5:$B$304,MATCH(3,الموظفات!$V$5:$V$304,0)),"")</f>
        <v/>
      </c>
      <c r="C40" s="34">
        <f>IF(B40="","",INDEX(الموظفات!$D$5:$D$304,MATCH(B40,الموظفات!$B$5:$B$304,0))&amp;"")</f>
        <v/>
      </c>
      <c r="D40" s="35">
        <f>IF(B40="","",COUNTIFS('سجل التحفيز'!$AB$5:$AB$2004,"&gt;0",'سجل التحفيز'!$B$5:$B$2004,B40))</f>
        <v/>
      </c>
      <c r="E40" s="35">
        <f>IF(B40="","",COUNTIFS('سجل التحفيز'!$AB$5:$AB$2004,"&gt;0",'سجل التحفيز'!$B$5:$B$2004,B40,'سجل التحفيز'!$D$5:$D$2004,"ذهبي"))</f>
        <v/>
      </c>
      <c r="F40" s="35">
        <f>IF(B40="","",SUMIFS('سجل التحفيز'!$G$5:$G$2004,'سجل التحفيز'!$AB$5:$AB$2004,"&gt;0",'سجل التحفيز'!$B$5:$B$2004,B40))</f>
        <v/>
      </c>
      <c r="G40" s="35">
        <f>IF(B40="","",COUNTIF($D$38:$D$187,"&gt;"&amp;D40)+1)</f>
        <v/>
      </c>
      <c r="H40" s="35">
        <f>IF(B40="","",INDEX(الموظفات!$L$5:$L$304,MATCH(B40,الموظفات!$B$5:$B$304,0)))</f>
        <v/>
      </c>
      <c r="K40" s="36">
        <f>IF(3&gt;$B$10,"",3)</f>
        <v/>
      </c>
      <c r="L40" s="37">
        <f>IF($K40="","",INDEX('سجل التحفيز'!$A$5:$A$2004,MATCH($K40,'سجل التحفيز'!$AB$5:$AB$2004,0)))</f>
        <v/>
      </c>
      <c r="M40" s="9">
        <f>IF($K40="","",INDEX('سجل التحفيز'!$B$5:$B$2004,MATCH($K40,'سجل التحفيز'!$AB$5:$AB$2004,0)))</f>
        <v/>
      </c>
      <c r="N40" s="9">
        <f>IF($K40="","",INDEX('سجل التحفيز'!$M$5:$M$2004,MATCH($K40,'سجل التحفيز'!$AB$5:$AB$2004,0)))</f>
        <v/>
      </c>
      <c r="O40" s="9">
        <f>IF($K40="","",INDEX('سجل التحفيز'!$C$5:$C$2004,MATCH($K40,'سجل التحفيز'!$AB$5:$AB$2004,0)))</f>
        <v/>
      </c>
      <c r="P40" s="36">
        <f>IF($K40="","",INDEX('سجل التحفيز'!$D$5:$D$2004,MATCH($K40,'سجل التحفيز'!$AB$5:$AB$2004,0)))</f>
        <v/>
      </c>
      <c r="Q40" s="9">
        <f>IF($K40="","",INDEX('سجل التحفيز'!$E$5:$E$2004,MATCH($K40,'سجل التحفيز'!$AB$5:$AB$2004,0)))</f>
        <v/>
      </c>
      <c r="R40" s="9">
        <f>IF($K40="","",INDEX('سجل التحفيز'!$F$5:$F$2004,MATCH($K40,'سجل التحفيز'!$AB$5:$AB$2004,0)))</f>
        <v/>
      </c>
      <c r="S40" s="35">
        <f>IF($K40="","",INDEX('سجل التحفيز'!$G$5:$G$2004,MATCH($K40,'سجل التحفيز'!$AB$5:$AB$2004,0)))</f>
        <v/>
      </c>
    </row>
    <row r="41">
      <c r="B41" s="34">
        <f>IFERROR(INDEX(الموظفات!$B$5:$B$304,MATCH(4,الموظفات!$V$5:$V$304,0)),"")</f>
        <v/>
      </c>
      <c r="C41" s="34">
        <f>IF(B41="","",INDEX(الموظفات!$D$5:$D$304,MATCH(B41,الموظفات!$B$5:$B$304,0))&amp;"")</f>
        <v/>
      </c>
      <c r="D41" s="35">
        <f>IF(B41="","",COUNTIFS('سجل التحفيز'!$AB$5:$AB$2004,"&gt;0",'سجل التحفيز'!$B$5:$B$2004,B41))</f>
        <v/>
      </c>
      <c r="E41" s="35">
        <f>IF(B41="","",COUNTIFS('سجل التحفيز'!$AB$5:$AB$2004,"&gt;0",'سجل التحفيز'!$B$5:$B$2004,B41,'سجل التحفيز'!$D$5:$D$2004,"ذهبي"))</f>
        <v/>
      </c>
      <c r="F41" s="35">
        <f>IF(B41="","",SUMIFS('سجل التحفيز'!$G$5:$G$2004,'سجل التحفيز'!$AB$5:$AB$2004,"&gt;0",'سجل التحفيز'!$B$5:$B$2004,B41))</f>
        <v/>
      </c>
      <c r="G41" s="35">
        <f>IF(B41="","",COUNTIF($D$38:$D$187,"&gt;"&amp;D41)+1)</f>
        <v/>
      </c>
      <c r="H41" s="35">
        <f>IF(B41="","",INDEX(الموظفات!$L$5:$L$304,MATCH(B41,الموظفات!$B$5:$B$304,0)))</f>
        <v/>
      </c>
      <c r="K41" s="36">
        <f>IF(4&gt;$B$10,"",4)</f>
        <v/>
      </c>
      <c r="L41" s="37">
        <f>IF($K41="","",INDEX('سجل التحفيز'!$A$5:$A$2004,MATCH($K41,'سجل التحفيز'!$AB$5:$AB$2004,0)))</f>
        <v/>
      </c>
      <c r="M41" s="9">
        <f>IF($K41="","",INDEX('سجل التحفيز'!$B$5:$B$2004,MATCH($K41,'سجل التحفيز'!$AB$5:$AB$2004,0)))</f>
        <v/>
      </c>
      <c r="N41" s="9">
        <f>IF($K41="","",INDEX('سجل التحفيز'!$M$5:$M$2004,MATCH($K41,'سجل التحفيز'!$AB$5:$AB$2004,0)))</f>
        <v/>
      </c>
      <c r="O41" s="9">
        <f>IF($K41="","",INDEX('سجل التحفيز'!$C$5:$C$2004,MATCH($K41,'سجل التحفيز'!$AB$5:$AB$2004,0)))</f>
        <v/>
      </c>
      <c r="P41" s="36">
        <f>IF($K41="","",INDEX('سجل التحفيز'!$D$5:$D$2004,MATCH($K41,'سجل التحفيز'!$AB$5:$AB$2004,0)))</f>
        <v/>
      </c>
      <c r="Q41" s="9">
        <f>IF($K41="","",INDEX('سجل التحفيز'!$E$5:$E$2004,MATCH($K41,'سجل التحفيز'!$AB$5:$AB$2004,0)))</f>
        <v/>
      </c>
      <c r="R41" s="9">
        <f>IF($K41="","",INDEX('سجل التحفيز'!$F$5:$F$2004,MATCH($K41,'سجل التحفيز'!$AB$5:$AB$2004,0)))</f>
        <v/>
      </c>
      <c r="S41" s="35">
        <f>IF($K41="","",INDEX('سجل التحفيز'!$G$5:$G$2004,MATCH($K41,'سجل التحفيز'!$AB$5:$AB$2004,0)))</f>
        <v/>
      </c>
    </row>
    <row r="42">
      <c r="B42" s="34">
        <f>IFERROR(INDEX(الموظفات!$B$5:$B$304,MATCH(5,الموظفات!$V$5:$V$304,0)),"")</f>
        <v/>
      </c>
      <c r="C42" s="34">
        <f>IF(B42="","",INDEX(الموظفات!$D$5:$D$304,MATCH(B42,الموظفات!$B$5:$B$304,0))&amp;"")</f>
        <v/>
      </c>
      <c r="D42" s="35">
        <f>IF(B42="","",COUNTIFS('سجل التحفيز'!$AB$5:$AB$2004,"&gt;0",'سجل التحفيز'!$B$5:$B$2004,B42))</f>
        <v/>
      </c>
      <c r="E42" s="35">
        <f>IF(B42="","",COUNTIFS('سجل التحفيز'!$AB$5:$AB$2004,"&gt;0",'سجل التحفيز'!$B$5:$B$2004,B42,'سجل التحفيز'!$D$5:$D$2004,"ذهبي"))</f>
        <v/>
      </c>
      <c r="F42" s="35">
        <f>IF(B42="","",SUMIFS('سجل التحفيز'!$G$5:$G$2004,'سجل التحفيز'!$AB$5:$AB$2004,"&gt;0",'سجل التحفيز'!$B$5:$B$2004,B42))</f>
        <v/>
      </c>
      <c r="G42" s="35">
        <f>IF(B42="","",COUNTIF($D$38:$D$187,"&gt;"&amp;D42)+1)</f>
        <v/>
      </c>
      <c r="H42" s="35">
        <f>IF(B42="","",INDEX(الموظفات!$L$5:$L$304,MATCH(B42,الموظفات!$B$5:$B$304,0)))</f>
        <v/>
      </c>
      <c r="K42" s="36">
        <f>IF(5&gt;$B$10,"",5)</f>
        <v/>
      </c>
      <c r="L42" s="37">
        <f>IF($K42="","",INDEX('سجل التحفيز'!$A$5:$A$2004,MATCH($K42,'سجل التحفيز'!$AB$5:$AB$2004,0)))</f>
        <v/>
      </c>
      <c r="M42" s="9">
        <f>IF($K42="","",INDEX('سجل التحفيز'!$B$5:$B$2004,MATCH($K42,'سجل التحفيز'!$AB$5:$AB$2004,0)))</f>
        <v/>
      </c>
      <c r="N42" s="9">
        <f>IF($K42="","",INDEX('سجل التحفيز'!$M$5:$M$2004,MATCH($K42,'سجل التحفيز'!$AB$5:$AB$2004,0)))</f>
        <v/>
      </c>
      <c r="O42" s="9">
        <f>IF($K42="","",INDEX('سجل التحفيز'!$C$5:$C$2004,MATCH($K42,'سجل التحفيز'!$AB$5:$AB$2004,0)))</f>
        <v/>
      </c>
      <c r="P42" s="36">
        <f>IF($K42="","",INDEX('سجل التحفيز'!$D$5:$D$2004,MATCH($K42,'سجل التحفيز'!$AB$5:$AB$2004,0)))</f>
        <v/>
      </c>
      <c r="Q42" s="9">
        <f>IF($K42="","",INDEX('سجل التحفيز'!$E$5:$E$2004,MATCH($K42,'سجل التحفيز'!$AB$5:$AB$2004,0)))</f>
        <v/>
      </c>
      <c r="R42" s="9">
        <f>IF($K42="","",INDEX('سجل التحفيز'!$F$5:$F$2004,MATCH($K42,'سجل التحفيز'!$AB$5:$AB$2004,0)))</f>
        <v/>
      </c>
      <c r="S42" s="35">
        <f>IF($K42="","",INDEX('سجل التحفيز'!$G$5:$G$2004,MATCH($K42,'سجل التحفيز'!$AB$5:$AB$2004,0)))</f>
        <v/>
      </c>
    </row>
    <row r="43">
      <c r="B43" s="34">
        <f>IFERROR(INDEX(الموظفات!$B$5:$B$304,MATCH(6,الموظفات!$V$5:$V$304,0)),"")</f>
        <v/>
      </c>
      <c r="C43" s="34">
        <f>IF(B43="","",INDEX(الموظفات!$D$5:$D$304,MATCH(B43,الموظفات!$B$5:$B$304,0))&amp;"")</f>
        <v/>
      </c>
      <c r="D43" s="35">
        <f>IF(B43="","",COUNTIFS('سجل التحفيز'!$AB$5:$AB$2004,"&gt;0",'سجل التحفيز'!$B$5:$B$2004,B43))</f>
        <v/>
      </c>
      <c r="E43" s="35">
        <f>IF(B43="","",COUNTIFS('سجل التحفيز'!$AB$5:$AB$2004,"&gt;0",'سجل التحفيز'!$B$5:$B$2004,B43,'سجل التحفيز'!$D$5:$D$2004,"ذهبي"))</f>
        <v/>
      </c>
      <c r="F43" s="35">
        <f>IF(B43="","",SUMIFS('سجل التحفيز'!$G$5:$G$2004,'سجل التحفيز'!$AB$5:$AB$2004,"&gt;0",'سجل التحفيز'!$B$5:$B$2004,B43))</f>
        <v/>
      </c>
      <c r="G43" s="35">
        <f>IF(B43="","",COUNTIF($D$38:$D$187,"&gt;"&amp;D43)+1)</f>
        <v/>
      </c>
      <c r="H43" s="35">
        <f>IF(B43="","",INDEX(الموظفات!$L$5:$L$304,MATCH(B43,الموظفات!$B$5:$B$304,0)))</f>
        <v/>
      </c>
      <c r="K43" s="36">
        <f>IF(6&gt;$B$10,"",6)</f>
        <v/>
      </c>
      <c r="L43" s="37">
        <f>IF($K43="","",INDEX('سجل التحفيز'!$A$5:$A$2004,MATCH($K43,'سجل التحفيز'!$AB$5:$AB$2004,0)))</f>
        <v/>
      </c>
      <c r="M43" s="9">
        <f>IF($K43="","",INDEX('سجل التحفيز'!$B$5:$B$2004,MATCH($K43,'سجل التحفيز'!$AB$5:$AB$2004,0)))</f>
        <v/>
      </c>
      <c r="N43" s="9">
        <f>IF($K43="","",INDEX('سجل التحفيز'!$M$5:$M$2004,MATCH($K43,'سجل التحفيز'!$AB$5:$AB$2004,0)))</f>
        <v/>
      </c>
      <c r="O43" s="9">
        <f>IF($K43="","",INDEX('سجل التحفيز'!$C$5:$C$2004,MATCH($K43,'سجل التحفيز'!$AB$5:$AB$2004,0)))</f>
        <v/>
      </c>
      <c r="P43" s="36">
        <f>IF($K43="","",INDEX('سجل التحفيز'!$D$5:$D$2004,MATCH($K43,'سجل التحفيز'!$AB$5:$AB$2004,0)))</f>
        <v/>
      </c>
      <c r="Q43" s="9">
        <f>IF($K43="","",INDEX('سجل التحفيز'!$E$5:$E$2004,MATCH($K43,'سجل التحفيز'!$AB$5:$AB$2004,0)))</f>
        <v/>
      </c>
      <c r="R43" s="9">
        <f>IF($K43="","",INDEX('سجل التحفيز'!$F$5:$F$2004,MATCH($K43,'سجل التحفيز'!$AB$5:$AB$2004,0)))</f>
        <v/>
      </c>
      <c r="S43" s="35">
        <f>IF($K43="","",INDEX('سجل التحفيز'!$G$5:$G$2004,MATCH($K43,'سجل التحفيز'!$AB$5:$AB$2004,0)))</f>
        <v/>
      </c>
    </row>
    <row r="44">
      <c r="B44" s="34">
        <f>IFERROR(INDEX(الموظفات!$B$5:$B$304,MATCH(7,الموظفات!$V$5:$V$304,0)),"")</f>
        <v/>
      </c>
      <c r="C44" s="34">
        <f>IF(B44="","",INDEX(الموظفات!$D$5:$D$304,MATCH(B44,الموظفات!$B$5:$B$304,0))&amp;"")</f>
        <v/>
      </c>
      <c r="D44" s="35">
        <f>IF(B44="","",COUNTIFS('سجل التحفيز'!$AB$5:$AB$2004,"&gt;0",'سجل التحفيز'!$B$5:$B$2004,B44))</f>
        <v/>
      </c>
      <c r="E44" s="35">
        <f>IF(B44="","",COUNTIFS('سجل التحفيز'!$AB$5:$AB$2004,"&gt;0",'سجل التحفيز'!$B$5:$B$2004,B44,'سجل التحفيز'!$D$5:$D$2004,"ذهبي"))</f>
        <v/>
      </c>
      <c r="F44" s="35">
        <f>IF(B44="","",SUMIFS('سجل التحفيز'!$G$5:$G$2004,'سجل التحفيز'!$AB$5:$AB$2004,"&gt;0",'سجل التحفيز'!$B$5:$B$2004,B44))</f>
        <v/>
      </c>
      <c r="G44" s="35">
        <f>IF(B44="","",COUNTIF($D$38:$D$187,"&gt;"&amp;D44)+1)</f>
        <v/>
      </c>
      <c r="H44" s="35">
        <f>IF(B44="","",INDEX(الموظفات!$L$5:$L$304,MATCH(B44,الموظفات!$B$5:$B$304,0)))</f>
        <v/>
      </c>
      <c r="K44" s="36">
        <f>IF(7&gt;$B$10,"",7)</f>
        <v/>
      </c>
      <c r="L44" s="37">
        <f>IF($K44="","",INDEX('سجل التحفيز'!$A$5:$A$2004,MATCH($K44,'سجل التحفيز'!$AB$5:$AB$2004,0)))</f>
        <v/>
      </c>
      <c r="M44" s="9">
        <f>IF($K44="","",INDEX('سجل التحفيز'!$B$5:$B$2004,MATCH($K44,'سجل التحفيز'!$AB$5:$AB$2004,0)))</f>
        <v/>
      </c>
      <c r="N44" s="9">
        <f>IF($K44="","",INDEX('سجل التحفيز'!$M$5:$M$2004,MATCH($K44,'سجل التحفيز'!$AB$5:$AB$2004,0)))</f>
        <v/>
      </c>
      <c r="O44" s="9">
        <f>IF($K44="","",INDEX('سجل التحفيز'!$C$5:$C$2004,MATCH($K44,'سجل التحفيز'!$AB$5:$AB$2004,0)))</f>
        <v/>
      </c>
      <c r="P44" s="36">
        <f>IF($K44="","",INDEX('سجل التحفيز'!$D$5:$D$2004,MATCH($K44,'سجل التحفيز'!$AB$5:$AB$2004,0)))</f>
        <v/>
      </c>
      <c r="Q44" s="9">
        <f>IF($K44="","",INDEX('سجل التحفيز'!$E$5:$E$2004,MATCH($K44,'سجل التحفيز'!$AB$5:$AB$2004,0)))</f>
        <v/>
      </c>
      <c r="R44" s="9">
        <f>IF($K44="","",INDEX('سجل التحفيز'!$F$5:$F$2004,MATCH($K44,'سجل التحفيز'!$AB$5:$AB$2004,0)))</f>
        <v/>
      </c>
      <c r="S44" s="35">
        <f>IF($K44="","",INDEX('سجل التحفيز'!$G$5:$G$2004,MATCH($K44,'سجل التحفيز'!$AB$5:$AB$2004,0)))</f>
        <v/>
      </c>
    </row>
    <row r="45">
      <c r="B45" s="34">
        <f>IFERROR(INDEX(الموظفات!$B$5:$B$304,MATCH(8,الموظفات!$V$5:$V$304,0)),"")</f>
        <v/>
      </c>
      <c r="C45" s="34">
        <f>IF(B45="","",INDEX(الموظفات!$D$5:$D$304,MATCH(B45,الموظفات!$B$5:$B$304,0))&amp;"")</f>
        <v/>
      </c>
      <c r="D45" s="35">
        <f>IF(B45="","",COUNTIFS('سجل التحفيز'!$AB$5:$AB$2004,"&gt;0",'سجل التحفيز'!$B$5:$B$2004,B45))</f>
        <v/>
      </c>
      <c r="E45" s="35">
        <f>IF(B45="","",COUNTIFS('سجل التحفيز'!$AB$5:$AB$2004,"&gt;0",'سجل التحفيز'!$B$5:$B$2004,B45,'سجل التحفيز'!$D$5:$D$2004,"ذهبي"))</f>
        <v/>
      </c>
      <c r="F45" s="35">
        <f>IF(B45="","",SUMIFS('سجل التحفيز'!$G$5:$G$2004,'سجل التحفيز'!$AB$5:$AB$2004,"&gt;0",'سجل التحفيز'!$B$5:$B$2004,B45))</f>
        <v/>
      </c>
      <c r="G45" s="35">
        <f>IF(B45="","",COUNTIF($D$38:$D$187,"&gt;"&amp;D45)+1)</f>
        <v/>
      </c>
      <c r="H45" s="35">
        <f>IF(B45="","",INDEX(الموظفات!$L$5:$L$304,MATCH(B45,الموظفات!$B$5:$B$304,0)))</f>
        <v/>
      </c>
      <c r="K45" s="36">
        <f>IF(8&gt;$B$10,"",8)</f>
        <v/>
      </c>
      <c r="L45" s="37">
        <f>IF($K45="","",INDEX('سجل التحفيز'!$A$5:$A$2004,MATCH($K45,'سجل التحفيز'!$AB$5:$AB$2004,0)))</f>
        <v/>
      </c>
      <c r="M45" s="9">
        <f>IF($K45="","",INDEX('سجل التحفيز'!$B$5:$B$2004,MATCH($K45,'سجل التحفيز'!$AB$5:$AB$2004,0)))</f>
        <v/>
      </c>
      <c r="N45" s="9">
        <f>IF($K45="","",INDEX('سجل التحفيز'!$M$5:$M$2004,MATCH($K45,'سجل التحفيز'!$AB$5:$AB$2004,0)))</f>
        <v/>
      </c>
      <c r="O45" s="9">
        <f>IF($K45="","",INDEX('سجل التحفيز'!$C$5:$C$2004,MATCH($K45,'سجل التحفيز'!$AB$5:$AB$2004,0)))</f>
        <v/>
      </c>
      <c r="P45" s="36">
        <f>IF($K45="","",INDEX('سجل التحفيز'!$D$5:$D$2004,MATCH($K45,'سجل التحفيز'!$AB$5:$AB$2004,0)))</f>
        <v/>
      </c>
      <c r="Q45" s="9">
        <f>IF($K45="","",INDEX('سجل التحفيز'!$E$5:$E$2004,MATCH($K45,'سجل التحفيز'!$AB$5:$AB$2004,0)))</f>
        <v/>
      </c>
      <c r="R45" s="9">
        <f>IF($K45="","",INDEX('سجل التحفيز'!$F$5:$F$2004,MATCH($K45,'سجل التحفيز'!$AB$5:$AB$2004,0)))</f>
        <v/>
      </c>
      <c r="S45" s="35">
        <f>IF($K45="","",INDEX('سجل التحفيز'!$G$5:$G$2004,MATCH($K45,'سجل التحفيز'!$AB$5:$AB$2004,0)))</f>
        <v/>
      </c>
    </row>
    <row r="46">
      <c r="B46" s="34">
        <f>IFERROR(INDEX(الموظفات!$B$5:$B$304,MATCH(9,الموظفات!$V$5:$V$304,0)),"")</f>
        <v/>
      </c>
      <c r="C46" s="34">
        <f>IF(B46="","",INDEX(الموظفات!$D$5:$D$304,MATCH(B46,الموظفات!$B$5:$B$304,0))&amp;"")</f>
        <v/>
      </c>
      <c r="D46" s="35">
        <f>IF(B46="","",COUNTIFS('سجل التحفيز'!$AB$5:$AB$2004,"&gt;0",'سجل التحفيز'!$B$5:$B$2004,B46))</f>
        <v/>
      </c>
      <c r="E46" s="35">
        <f>IF(B46="","",COUNTIFS('سجل التحفيز'!$AB$5:$AB$2004,"&gt;0",'سجل التحفيز'!$B$5:$B$2004,B46,'سجل التحفيز'!$D$5:$D$2004,"ذهبي"))</f>
        <v/>
      </c>
      <c r="F46" s="35">
        <f>IF(B46="","",SUMIFS('سجل التحفيز'!$G$5:$G$2004,'سجل التحفيز'!$AB$5:$AB$2004,"&gt;0",'سجل التحفيز'!$B$5:$B$2004,B46))</f>
        <v/>
      </c>
      <c r="G46" s="35">
        <f>IF(B46="","",COUNTIF($D$38:$D$187,"&gt;"&amp;D46)+1)</f>
        <v/>
      </c>
      <c r="H46" s="35">
        <f>IF(B46="","",INDEX(الموظفات!$L$5:$L$304,MATCH(B46,الموظفات!$B$5:$B$304,0)))</f>
        <v/>
      </c>
      <c r="K46" s="36">
        <f>IF(9&gt;$B$10,"",9)</f>
        <v/>
      </c>
      <c r="L46" s="37">
        <f>IF($K46="","",INDEX('سجل التحفيز'!$A$5:$A$2004,MATCH($K46,'سجل التحفيز'!$AB$5:$AB$2004,0)))</f>
        <v/>
      </c>
      <c r="M46" s="9">
        <f>IF($K46="","",INDEX('سجل التحفيز'!$B$5:$B$2004,MATCH($K46,'سجل التحفيز'!$AB$5:$AB$2004,0)))</f>
        <v/>
      </c>
      <c r="N46" s="9">
        <f>IF($K46="","",INDEX('سجل التحفيز'!$M$5:$M$2004,MATCH($K46,'سجل التحفيز'!$AB$5:$AB$2004,0)))</f>
        <v/>
      </c>
      <c r="O46" s="9">
        <f>IF($K46="","",INDEX('سجل التحفيز'!$C$5:$C$2004,MATCH($K46,'سجل التحفيز'!$AB$5:$AB$2004,0)))</f>
        <v/>
      </c>
      <c r="P46" s="36">
        <f>IF($K46="","",INDEX('سجل التحفيز'!$D$5:$D$2004,MATCH($K46,'سجل التحفيز'!$AB$5:$AB$2004,0)))</f>
        <v/>
      </c>
      <c r="Q46" s="9">
        <f>IF($K46="","",INDEX('سجل التحفيز'!$E$5:$E$2004,MATCH($K46,'سجل التحفيز'!$AB$5:$AB$2004,0)))</f>
        <v/>
      </c>
      <c r="R46" s="9">
        <f>IF($K46="","",INDEX('سجل التحفيز'!$F$5:$F$2004,MATCH($K46,'سجل التحفيز'!$AB$5:$AB$2004,0)))</f>
        <v/>
      </c>
      <c r="S46" s="35">
        <f>IF($K46="","",INDEX('سجل التحفيز'!$G$5:$G$2004,MATCH($K46,'سجل التحفيز'!$AB$5:$AB$2004,0)))</f>
        <v/>
      </c>
    </row>
    <row r="47">
      <c r="B47" s="34">
        <f>IFERROR(INDEX(الموظفات!$B$5:$B$304,MATCH(10,الموظفات!$V$5:$V$304,0)),"")</f>
        <v/>
      </c>
      <c r="C47" s="34">
        <f>IF(B47="","",INDEX(الموظفات!$D$5:$D$304,MATCH(B47,الموظفات!$B$5:$B$304,0))&amp;"")</f>
        <v/>
      </c>
      <c r="D47" s="35">
        <f>IF(B47="","",COUNTIFS('سجل التحفيز'!$AB$5:$AB$2004,"&gt;0",'سجل التحفيز'!$B$5:$B$2004,B47))</f>
        <v/>
      </c>
      <c r="E47" s="35">
        <f>IF(B47="","",COUNTIFS('سجل التحفيز'!$AB$5:$AB$2004,"&gt;0",'سجل التحفيز'!$B$5:$B$2004,B47,'سجل التحفيز'!$D$5:$D$2004,"ذهبي"))</f>
        <v/>
      </c>
      <c r="F47" s="35">
        <f>IF(B47="","",SUMIFS('سجل التحفيز'!$G$5:$G$2004,'سجل التحفيز'!$AB$5:$AB$2004,"&gt;0",'سجل التحفيز'!$B$5:$B$2004,B47))</f>
        <v/>
      </c>
      <c r="G47" s="35">
        <f>IF(B47="","",COUNTIF($D$38:$D$187,"&gt;"&amp;D47)+1)</f>
        <v/>
      </c>
      <c r="H47" s="35">
        <f>IF(B47="","",INDEX(الموظفات!$L$5:$L$304,MATCH(B47,الموظفات!$B$5:$B$304,0)))</f>
        <v/>
      </c>
      <c r="K47" s="36">
        <f>IF(10&gt;$B$10,"",10)</f>
        <v/>
      </c>
      <c r="L47" s="37">
        <f>IF($K47="","",INDEX('سجل التحفيز'!$A$5:$A$2004,MATCH($K47,'سجل التحفيز'!$AB$5:$AB$2004,0)))</f>
        <v/>
      </c>
      <c r="M47" s="9">
        <f>IF($K47="","",INDEX('سجل التحفيز'!$B$5:$B$2004,MATCH($K47,'سجل التحفيز'!$AB$5:$AB$2004,0)))</f>
        <v/>
      </c>
      <c r="N47" s="9">
        <f>IF($K47="","",INDEX('سجل التحفيز'!$M$5:$M$2004,MATCH($K47,'سجل التحفيز'!$AB$5:$AB$2004,0)))</f>
        <v/>
      </c>
      <c r="O47" s="9">
        <f>IF($K47="","",INDEX('سجل التحفيز'!$C$5:$C$2004,MATCH($K47,'سجل التحفيز'!$AB$5:$AB$2004,0)))</f>
        <v/>
      </c>
      <c r="P47" s="36">
        <f>IF($K47="","",INDEX('سجل التحفيز'!$D$5:$D$2004,MATCH($K47,'سجل التحفيز'!$AB$5:$AB$2004,0)))</f>
        <v/>
      </c>
      <c r="Q47" s="9">
        <f>IF($K47="","",INDEX('سجل التحفيز'!$E$5:$E$2004,MATCH($K47,'سجل التحفيز'!$AB$5:$AB$2004,0)))</f>
        <v/>
      </c>
      <c r="R47" s="9">
        <f>IF($K47="","",INDEX('سجل التحفيز'!$F$5:$F$2004,MATCH($K47,'سجل التحفيز'!$AB$5:$AB$2004,0)))</f>
        <v/>
      </c>
      <c r="S47" s="35">
        <f>IF($K47="","",INDEX('سجل التحفيز'!$G$5:$G$2004,MATCH($K47,'سجل التحفيز'!$AB$5:$AB$2004,0)))</f>
        <v/>
      </c>
    </row>
    <row r="48">
      <c r="B48" s="34">
        <f>IFERROR(INDEX(الموظفات!$B$5:$B$304,MATCH(11,الموظفات!$V$5:$V$304,0)),"")</f>
        <v/>
      </c>
      <c r="C48" s="34">
        <f>IF(B48="","",INDEX(الموظفات!$D$5:$D$304,MATCH(B48,الموظفات!$B$5:$B$304,0))&amp;"")</f>
        <v/>
      </c>
      <c r="D48" s="35">
        <f>IF(B48="","",COUNTIFS('سجل التحفيز'!$AB$5:$AB$2004,"&gt;0",'سجل التحفيز'!$B$5:$B$2004,B48))</f>
        <v/>
      </c>
      <c r="E48" s="35">
        <f>IF(B48="","",COUNTIFS('سجل التحفيز'!$AB$5:$AB$2004,"&gt;0",'سجل التحفيز'!$B$5:$B$2004,B48,'سجل التحفيز'!$D$5:$D$2004,"ذهبي"))</f>
        <v/>
      </c>
      <c r="F48" s="35">
        <f>IF(B48="","",SUMIFS('سجل التحفيز'!$G$5:$G$2004,'سجل التحفيز'!$AB$5:$AB$2004,"&gt;0",'سجل التحفيز'!$B$5:$B$2004,B48))</f>
        <v/>
      </c>
      <c r="G48" s="35">
        <f>IF(B48="","",COUNTIF($D$38:$D$187,"&gt;"&amp;D48)+1)</f>
        <v/>
      </c>
      <c r="H48" s="35">
        <f>IF(B48="","",INDEX(الموظفات!$L$5:$L$304,MATCH(B48,الموظفات!$B$5:$B$304,0)))</f>
        <v/>
      </c>
      <c r="K48" s="36">
        <f>IF(11&gt;$B$10,"",11)</f>
        <v/>
      </c>
      <c r="L48" s="37">
        <f>IF($K48="","",INDEX('سجل التحفيز'!$A$5:$A$2004,MATCH($K48,'سجل التحفيز'!$AB$5:$AB$2004,0)))</f>
        <v/>
      </c>
      <c r="M48" s="9">
        <f>IF($K48="","",INDEX('سجل التحفيز'!$B$5:$B$2004,MATCH($K48,'سجل التحفيز'!$AB$5:$AB$2004,0)))</f>
        <v/>
      </c>
      <c r="N48" s="9">
        <f>IF($K48="","",INDEX('سجل التحفيز'!$M$5:$M$2004,MATCH($K48,'سجل التحفيز'!$AB$5:$AB$2004,0)))</f>
        <v/>
      </c>
      <c r="O48" s="9">
        <f>IF($K48="","",INDEX('سجل التحفيز'!$C$5:$C$2004,MATCH($K48,'سجل التحفيز'!$AB$5:$AB$2004,0)))</f>
        <v/>
      </c>
      <c r="P48" s="36">
        <f>IF($K48="","",INDEX('سجل التحفيز'!$D$5:$D$2004,MATCH($K48,'سجل التحفيز'!$AB$5:$AB$2004,0)))</f>
        <v/>
      </c>
      <c r="Q48" s="9">
        <f>IF($K48="","",INDEX('سجل التحفيز'!$E$5:$E$2004,MATCH($K48,'سجل التحفيز'!$AB$5:$AB$2004,0)))</f>
        <v/>
      </c>
      <c r="R48" s="9">
        <f>IF($K48="","",INDEX('سجل التحفيز'!$F$5:$F$2004,MATCH($K48,'سجل التحفيز'!$AB$5:$AB$2004,0)))</f>
        <v/>
      </c>
      <c r="S48" s="35">
        <f>IF($K48="","",INDEX('سجل التحفيز'!$G$5:$G$2004,MATCH($K48,'سجل التحفيز'!$AB$5:$AB$2004,0)))</f>
        <v/>
      </c>
    </row>
    <row r="49">
      <c r="B49" s="34">
        <f>IFERROR(INDEX(الموظفات!$B$5:$B$304,MATCH(12,الموظفات!$V$5:$V$304,0)),"")</f>
        <v/>
      </c>
      <c r="C49" s="34">
        <f>IF(B49="","",INDEX(الموظفات!$D$5:$D$304,MATCH(B49,الموظفات!$B$5:$B$304,0))&amp;"")</f>
        <v/>
      </c>
      <c r="D49" s="35">
        <f>IF(B49="","",COUNTIFS('سجل التحفيز'!$AB$5:$AB$2004,"&gt;0",'سجل التحفيز'!$B$5:$B$2004,B49))</f>
        <v/>
      </c>
      <c r="E49" s="35">
        <f>IF(B49="","",COUNTIFS('سجل التحفيز'!$AB$5:$AB$2004,"&gt;0",'سجل التحفيز'!$B$5:$B$2004,B49,'سجل التحفيز'!$D$5:$D$2004,"ذهبي"))</f>
        <v/>
      </c>
      <c r="F49" s="35">
        <f>IF(B49="","",SUMIFS('سجل التحفيز'!$G$5:$G$2004,'سجل التحفيز'!$AB$5:$AB$2004,"&gt;0",'سجل التحفيز'!$B$5:$B$2004,B49))</f>
        <v/>
      </c>
      <c r="G49" s="35">
        <f>IF(B49="","",COUNTIF($D$38:$D$187,"&gt;"&amp;D49)+1)</f>
        <v/>
      </c>
      <c r="H49" s="35">
        <f>IF(B49="","",INDEX(الموظفات!$L$5:$L$304,MATCH(B49,الموظفات!$B$5:$B$304,0)))</f>
        <v/>
      </c>
      <c r="K49" s="36">
        <f>IF(12&gt;$B$10,"",12)</f>
        <v/>
      </c>
      <c r="L49" s="37">
        <f>IF($K49="","",INDEX('سجل التحفيز'!$A$5:$A$2004,MATCH($K49,'سجل التحفيز'!$AB$5:$AB$2004,0)))</f>
        <v/>
      </c>
      <c r="M49" s="9">
        <f>IF($K49="","",INDEX('سجل التحفيز'!$B$5:$B$2004,MATCH($K49,'سجل التحفيز'!$AB$5:$AB$2004,0)))</f>
        <v/>
      </c>
      <c r="N49" s="9">
        <f>IF($K49="","",INDEX('سجل التحفيز'!$M$5:$M$2004,MATCH($K49,'سجل التحفيز'!$AB$5:$AB$2004,0)))</f>
        <v/>
      </c>
      <c r="O49" s="9">
        <f>IF($K49="","",INDEX('سجل التحفيز'!$C$5:$C$2004,MATCH($K49,'سجل التحفيز'!$AB$5:$AB$2004,0)))</f>
        <v/>
      </c>
      <c r="P49" s="36">
        <f>IF($K49="","",INDEX('سجل التحفيز'!$D$5:$D$2004,MATCH($K49,'سجل التحفيز'!$AB$5:$AB$2004,0)))</f>
        <v/>
      </c>
      <c r="Q49" s="9">
        <f>IF($K49="","",INDEX('سجل التحفيز'!$E$5:$E$2004,MATCH($K49,'سجل التحفيز'!$AB$5:$AB$2004,0)))</f>
        <v/>
      </c>
      <c r="R49" s="9">
        <f>IF($K49="","",INDEX('سجل التحفيز'!$F$5:$F$2004,MATCH($K49,'سجل التحفيز'!$AB$5:$AB$2004,0)))</f>
        <v/>
      </c>
      <c r="S49" s="35">
        <f>IF($K49="","",INDEX('سجل التحفيز'!$G$5:$G$2004,MATCH($K49,'سجل التحفيز'!$AB$5:$AB$2004,0)))</f>
        <v/>
      </c>
    </row>
    <row r="50">
      <c r="B50" s="34">
        <f>IFERROR(INDEX(الموظفات!$B$5:$B$304,MATCH(13,الموظفات!$V$5:$V$304,0)),"")</f>
        <v/>
      </c>
      <c r="C50" s="34">
        <f>IF(B50="","",INDEX(الموظفات!$D$5:$D$304,MATCH(B50,الموظفات!$B$5:$B$304,0))&amp;"")</f>
        <v/>
      </c>
      <c r="D50" s="35">
        <f>IF(B50="","",COUNTIFS('سجل التحفيز'!$AB$5:$AB$2004,"&gt;0",'سجل التحفيز'!$B$5:$B$2004,B50))</f>
        <v/>
      </c>
      <c r="E50" s="35">
        <f>IF(B50="","",COUNTIFS('سجل التحفيز'!$AB$5:$AB$2004,"&gt;0",'سجل التحفيز'!$B$5:$B$2004,B50,'سجل التحفيز'!$D$5:$D$2004,"ذهبي"))</f>
        <v/>
      </c>
      <c r="F50" s="35">
        <f>IF(B50="","",SUMIFS('سجل التحفيز'!$G$5:$G$2004,'سجل التحفيز'!$AB$5:$AB$2004,"&gt;0",'سجل التحفيز'!$B$5:$B$2004,B50))</f>
        <v/>
      </c>
      <c r="G50" s="35">
        <f>IF(B50="","",COUNTIF($D$38:$D$187,"&gt;"&amp;D50)+1)</f>
        <v/>
      </c>
      <c r="H50" s="35">
        <f>IF(B50="","",INDEX(الموظفات!$L$5:$L$304,MATCH(B50,الموظفات!$B$5:$B$304,0)))</f>
        <v/>
      </c>
      <c r="K50" s="36">
        <f>IF(13&gt;$B$10,"",13)</f>
        <v/>
      </c>
      <c r="L50" s="37">
        <f>IF($K50="","",INDEX('سجل التحفيز'!$A$5:$A$2004,MATCH($K50,'سجل التحفيز'!$AB$5:$AB$2004,0)))</f>
        <v/>
      </c>
      <c r="M50" s="9">
        <f>IF($K50="","",INDEX('سجل التحفيز'!$B$5:$B$2004,MATCH($K50,'سجل التحفيز'!$AB$5:$AB$2004,0)))</f>
        <v/>
      </c>
      <c r="N50" s="9">
        <f>IF($K50="","",INDEX('سجل التحفيز'!$M$5:$M$2004,MATCH($K50,'سجل التحفيز'!$AB$5:$AB$2004,0)))</f>
        <v/>
      </c>
      <c r="O50" s="9">
        <f>IF($K50="","",INDEX('سجل التحفيز'!$C$5:$C$2004,MATCH($K50,'سجل التحفيز'!$AB$5:$AB$2004,0)))</f>
        <v/>
      </c>
      <c r="P50" s="36">
        <f>IF($K50="","",INDEX('سجل التحفيز'!$D$5:$D$2004,MATCH($K50,'سجل التحفيز'!$AB$5:$AB$2004,0)))</f>
        <v/>
      </c>
      <c r="Q50" s="9">
        <f>IF($K50="","",INDEX('سجل التحفيز'!$E$5:$E$2004,MATCH($K50,'سجل التحفيز'!$AB$5:$AB$2004,0)))</f>
        <v/>
      </c>
      <c r="R50" s="9">
        <f>IF($K50="","",INDEX('سجل التحفيز'!$F$5:$F$2004,MATCH($K50,'سجل التحفيز'!$AB$5:$AB$2004,0)))</f>
        <v/>
      </c>
      <c r="S50" s="35">
        <f>IF($K50="","",INDEX('سجل التحفيز'!$G$5:$G$2004,MATCH($K50,'سجل التحفيز'!$AB$5:$AB$2004,0)))</f>
        <v/>
      </c>
    </row>
    <row r="51">
      <c r="B51" s="34">
        <f>IFERROR(INDEX(الموظفات!$B$5:$B$304,MATCH(14,الموظفات!$V$5:$V$304,0)),"")</f>
        <v/>
      </c>
      <c r="C51" s="34">
        <f>IF(B51="","",INDEX(الموظفات!$D$5:$D$304,MATCH(B51,الموظفات!$B$5:$B$304,0))&amp;"")</f>
        <v/>
      </c>
      <c r="D51" s="35">
        <f>IF(B51="","",COUNTIFS('سجل التحفيز'!$AB$5:$AB$2004,"&gt;0",'سجل التحفيز'!$B$5:$B$2004,B51))</f>
        <v/>
      </c>
      <c r="E51" s="35">
        <f>IF(B51="","",COUNTIFS('سجل التحفيز'!$AB$5:$AB$2004,"&gt;0",'سجل التحفيز'!$B$5:$B$2004,B51,'سجل التحفيز'!$D$5:$D$2004,"ذهبي"))</f>
        <v/>
      </c>
      <c r="F51" s="35">
        <f>IF(B51="","",SUMIFS('سجل التحفيز'!$G$5:$G$2004,'سجل التحفيز'!$AB$5:$AB$2004,"&gt;0",'سجل التحفيز'!$B$5:$B$2004,B51))</f>
        <v/>
      </c>
      <c r="G51" s="35">
        <f>IF(B51="","",COUNTIF($D$38:$D$187,"&gt;"&amp;D51)+1)</f>
        <v/>
      </c>
      <c r="H51" s="35">
        <f>IF(B51="","",INDEX(الموظفات!$L$5:$L$304,MATCH(B51,الموظفات!$B$5:$B$304,0)))</f>
        <v/>
      </c>
      <c r="K51" s="36">
        <f>IF(14&gt;$B$10,"",14)</f>
        <v/>
      </c>
      <c r="L51" s="37">
        <f>IF($K51="","",INDEX('سجل التحفيز'!$A$5:$A$2004,MATCH($K51,'سجل التحفيز'!$AB$5:$AB$2004,0)))</f>
        <v/>
      </c>
      <c r="M51" s="9">
        <f>IF($K51="","",INDEX('سجل التحفيز'!$B$5:$B$2004,MATCH($K51,'سجل التحفيز'!$AB$5:$AB$2004,0)))</f>
        <v/>
      </c>
      <c r="N51" s="9">
        <f>IF($K51="","",INDEX('سجل التحفيز'!$M$5:$M$2004,MATCH($K51,'سجل التحفيز'!$AB$5:$AB$2004,0)))</f>
        <v/>
      </c>
      <c r="O51" s="9">
        <f>IF($K51="","",INDEX('سجل التحفيز'!$C$5:$C$2004,MATCH($K51,'سجل التحفيز'!$AB$5:$AB$2004,0)))</f>
        <v/>
      </c>
      <c r="P51" s="36">
        <f>IF($K51="","",INDEX('سجل التحفيز'!$D$5:$D$2004,MATCH($K51,'سجل التحفيز'!$AB$5:$AB$2004,0)))</f>
        <v/>
      </c>
      <c r="Q51" s="9">
        <f>IF($K51="","",INDEX('سجل التحفيز'!$E$5:$E$2004,MATCH($K51,'سجل التحفيز'!$AB$5:$AB$2004,0)))</f>
        <v/>
      </c>
      <c r="R51" s="9">
        <f>IF($K51="","",INDEX('سجل التحفيز'!$F$5:$F$2004,MATCH($K51,'سجل التحفيز'!$AB$5:$AB$2004,0)))</f>
        <v/>
      </c>
      <c r="S51" s="35">
        <f>IF($K51="","",INDEX('سجل التحفيز'!$G$5:$G$2004,MATCH($K51,'سجل التحفيز'!$AB$5:$AB$2004,0)))</f>
        <v/>
      </c>
    </row>
    <row r="52">
      <c r="B52" s="34">
        <f>IFERROR(INDEX(الموظفات!$B$5:$B$304,MATCH(15,الموظفات!$V$5:$V$304,0)),"")</f>
        <v/>
      </c>
      <c r="C52" s="34">
        <f>IF(B52="","",INDEX(الموظفات!$D$5:$D$304,MATCH(B52,الموظفات!$B$5:$B$304,0))&amp;"")</f>
        <v/>
      </c>
      <c r="D52" s="35">
        <f>IF(B52="","",COUNTIFS('سجل التحفيز'!$AB$5:$AB$2004,"&gt;0",'سجل التحفيز'!$B$5:$B$2004,B52))</f>
        <v/>
      </c>
      <c r="E52" s="35">
        <f>IF(B52="","",COUNTIFS('سجل التحفيز'!$AB$5:$AB$2004,"&gt;0",'سجل التحفيز'!$B$5:$B$2004,B52,'سجل التحفيز'!$D$5:$D$2004,"ذهبي"))</f>
        <v/>
      </c>
      <c r="F52" s="35">
        <f>IF(B52="","",SUMIFS('سجل التحفيز'!$G$5:$G$2004,'سجل التحفيز'!$AB$5:$AB$2004,"&gt;0",'سجل التحفيز'!$B$5:$B$2004,B52))</f>
        <v/>
      </c>
      <c r="G52" s="35">
        <f>IF(B52="","",COUNTIF($D$38:$D$187,"&gt;"&amp;D52)+1)</f>
        <v/>
      </c>
      <c r="H52" s="35">
        <f>IF(B52="","",INDEX(الموظفات!$L$5:$L$304,MATCH(B52,الموظفات!$B$5:$B$304,0)))</f>
        <v/>
      </c>
      <c r="K52" s="36">
        <f>IF(15&gt;$B$10,"",15)</f>
        <v/>
      </c>
      <c r="L52" s="37">
        <f>IF($K52="","",INDEX('سجل التحفيز'!$A$5:$A$2004,MATCH($K52,'سجل التحفيز'!$AB$5:$AB$2004,0)))</f>
        <v/>
      </c>
      <c r="M52" s="9">
        <f>IF($K52="","",INDEX('سجل التحفيز'!$B$5:$B$2004,MATCH($K52,'سجل التحفيز'!$AB$5:$AB$2004,0)))</f>
        <v/>
      </c>
      <c r="N52" s="9">
        <f>IF($K52="","",INDEX('سجل التحفيز'!$M$5:$M$2004,MATCH($K52,'سجل التحفيز'!$AB$5:$AB$2004,0)))</f>
        <v/>
      </c>
      <c r="O52" s="9">
        <f>IF($K52="","",INDEX('سجل التحفيز'!$C$5:$C$2004,MATCH($K52,'سجل التحفيز'!$AB$5:$AB$2004,0)))</f>
        <v/>
      </c>
      <c r="P52" s="36">
        <f>IF($K52="","",INDEX('سجل التحفيز'!$D$5:$D$2004,MATCH($K52,'سجل التحفيز'!$AB$5:$AB$2004,0)))</f>
        <v/>
      </c>
      <c r="Q52" s="9">
        <f>IF($K52="","",INDEX('سجل التحفيز'!$E$5:$E$2004,MATCH($K52,'سجل التحفيز'!$AB$5:$AB$2004,0)))</f>
        <v/>
      </c>
      <c r="R52" s="9">
        <f>IF($K52="","",INDEX('سجل التحفيز'!$F$5:$F$2004,MATCH($K52,'سجل التحفيز'!$AB$5:$AB$2004,0)))</f>
        <v/>
      </c>
      <c r="S52" s="35">
        <f>IF($K52="","",INDEX('سجل التحفيز'!$G$5:$G$2004,MATCH($K52,'سجل التحفيز'!$AB$5:$AB$2004,0)))</f>
        <v/>
      </c>
    </row>
    <row r="53">
      <c r="B53" s="34">
        <f>IFERROR(INDEX(الموظفات!$B$5:$B$304,MATCH(16,الموظفات!$V$5:$V$304,0)),"")</f>
        <v/>
      </c>
      <c r="C53" s="34">
        <f>IF(B53="","",INDEX(الموظفات!$D$5:$D$304,MATCH(B53,الموظفات!$B$5:$B$304,0))&amp;"")</f>
        <v/>
      </c>
      <c r="D53" s="35">
        <f>IF(B53="","",COUNTIFS('سجل التحفيز'!$AB$5:$AB$2004,"&gt;0",'سجل التحفيز'!$B$5:$B$2004,B53))</f>
        <v/>
      </c>
      <c r="E53" s="35">
        <f>IF(B53="","",COUNTIFS('سجل التحفيز'!$AB$5:$AB$2004,"&gt;0",'سجل التحفيز'!$B$5:$B$2004,B53,'سجل التحفيز'!$D$5:$D$2004,"ذهبي"))</f>
        <v/>
      </c>
      <c r="F53" s="35">
        <f>IF(B53="","",SUMIFS('سجل التحفيز'!$G$5:$G$2004,'سجل التحفيز'!$AB$5:$AB$2004,"&gt;0",'سجل التحفيز'!$B$5:$B$2004,B53))</f>
        <v/>
      </c>
      <c r="G53" s="35">
        <f>IF(B53="","",COUNTIF($D$38:$D$187,"&gt;"&amp;D53)+1)</f>
        <v/>
      </c>
      <c r="H53" s="35">
        <f>IF(B53="","",INDEX(الموظفات!$L$5:$L$304,MATCH(B53,الموظفات!$B$5:$B$304,0)))</f>
        <v/>
      </c>
      <c r="K53" s="36">
        <f>IF(16&gt;$B$10,"",16)</f>
        <v/>
      </c>
      <c r="L53" s="37">
        <f>IF($K53="","",INDEX('سجل التحفيز'!$A$5:$A$2004,MATCH($K53,'سجل التحفيز'!$AB$5:$AB$2004,0)))</f>
        <v/>
      </c>
      <c r="M53" s="9">
        <f>IF($K53="","",INDEX('سجل التحفيز'!$B$5:$B$2004,MATCH($K53,'سجل التحفيز'!$AB$5:$AB$2004,0)))</f>
        <v/>
      </c>
      <c r="N53" s="9">
        <f>IF($K53="","",INDEX('سجل التحفيز'!$M$5:$M$2004,MATCH($K53,'سجل التحفيز'!$AB$5:$AB$2004,0)))</f>
        <v/>
      </c>
      <c r="O53" s="9">
        <f>IF($K53="","",INDEX('سجل التحفيز'!$C$5:$C$2004,MATCH($K53,'سجل التحفيز'!$AB$5:$AB$2004,0)))</f>
        <v/>
      </c>
      <c r="P53" s="36">
        <f>IF($K53="","",INDEX('سجل التحفيز'!$D$5:$D$2004,MATCH($K53,'سجل التحفيز'!$AB$5:$AB$2004,0)))</f>
        <v/>
      </c>
      <c r="Q53" s="9">
        <f>IF($K53="","",INDEX('سجل التحفيز'!$E$5:$E$2004,MATCH($K53,'سجل التحفيز'!$AB$5:$AB$2004,0)))</f>
        <v/>
      </c>
      <c r="R53" s="9">
        <f>IF($K53="","",INDEX('سجل التحفيز'!$F$5:$F$2004,MATCH($K53,'سجل التحفيز'!$AB$5:$AB$2004,0)))</f>
        <v/>
      </c>
      <c r="S53" s="35">
        <f>IF($K53="","",INDEX('سجل التحفيز'!$G$5:$G$2004,MATCH($K53,'سجل التحفيز'!$AB$5:$AB$2004,0)))</f>
        <v/>
      </c>
    </row>
    <row r="54">
      <c r="B54" s="34">
        <f>IFERROR(INDEX(الموظفات!$B$5:$B$304,MATCH(17,الموظفات!$V$5:$V$304,0)),"")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التحفيز'!$AB$5:$AB$2004,"&gt;0",'سجل التحفيز'!$B$5:$B$2004,B54))</f>
        <v/>
      </c>
      <c r="E54" s="35">
        <f>IF(B54="","",COUNTIFS('سجل التحفيز'!$AB$5:$AB$2004,"&gt;0",'سجل التحفيز'!$B$5:$B$2004,B54,'سجل التحفيز'!$D$5:$D$2004,"ذهبي"))</f>
        <v/>
      </c>
      <c r="F54" s="35">
        <f>IF(B54="","",SUMIFS('سجل التحفيز'!$G$5:$G$2004,'سجل التحفيز'!$AB$5:$AB$2004,"&gt;0",'سجل التحفيز'!$B$5:$B$2004,B54))</f>
        <v/>
      </c>
      <c r="G54" s="35">
        <f>IF(B54="","",COUNTIF($D$38:$D$187,"&gt;"&amp;D54)+1)</f>
        <v/>
      </c>
      <c r="H54" s="35">
        <f>IF(B54="","",INDEX(الموظفات!$L$5:$L$304,MATCH(B54,الموظفات!$B$5:$B$304,0)))</f>
        <v/>
      </c>
      <c r="K54" s="36">
        <f>IF(17&gt;$B$10,"",17)</f>
        <v/>
      </c>
      <c r="L54" s="37">
        <f>IF($K54="","",INDEX('سجل التحفيز'!$A$5:$A$2004,MATCH($K54,'سجل التحفيز'!$AB$5:$AB$2004,0)))</f>
        <v/>
      </c>
      <c r="M54" s="9">
        <f>IF($K54="","",INDEX('سجل التحفيز'!$B$5:$B$2004,MATCH($K54,'سجل التحفيز'!$AB$5:$AB$2004,0)))</f>
        <v/>
      </c>
      <c r="N54" s="9">
        <f>IF($K54="","",INDEX('سجل التحفيز'!$M$5:$M$2004,MATCH($K54,'سجل التحفيز'!$AB$5:$AB$2004,0)))</f>
        <v/>
      </c>
      <c r="O54" s="9">
        <f>IF($K54="","",INDEX('سجل التحفيز'!$C$5:$C$2004,MATCH($K54,'سجل التحفيز'!$AB$5:$AB$2004,0)))</f>
        <v/>
      </c>
      <c r="P54" s="36">
        <f>IF($K54="","",INDEX('سجل التحفيز'!$D$5:$D$2004,MATCH($K54,'سجل التحفيز'!$AB$5:$AB$2004,0)))</f>
        <v/>
      </c>
      <c r="Q54" s="9">
        <f>IF($K54="","",INDEX('سجل التحفيز'!$E$5:$E$2004,MATCH($K54,'سجل التحفيز'!$AB$5:$AB$2004,0)))</f>
        <v/>
      </c>
      <c r="R54" s="9">
        <f>IF($K54="","",INDEX('سجل التحفيز'!$F$5:$F$2004,MATCH($K54,'سجل التحفيز'!$AB$5:$AB$2004,0)))</f>
        <v/>
      </c>
      <c r="S54" s="35">
        <f>IF($K54="","",INDEX('سجل التحفيز'!$G$5:$G$2004,MATCH($K54,'سجل التحفيز'!$AB$5:$AB$2004,0)))</f>
        <v/>
      </c>
    </row>
    <row r="55">
      <c r="B55" s="34">
        <f>IFERROR(INDEX(الموظفات!$B$5:$B$304,MATCH(18,الموظفات!$V$5:$V$304,0)),"")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التحفيز'!$AB$5:$AB$2004,"&gt;0",'سجل التحفيز'!$B$5:$B$2004,B55))</f>
        <v/>
      </c>
      <c r="E55" s="35">
        <f>IF(B55="","",COUNTIFS('سجل التحفيز'!$AB$5:$AB$2004,"&gt;0",'سجل التحفيز'!$B$5:$B$2004,B55,'سجل التحفيز'!$D$5:$D$2004,"ذهبي"))</f>
        <v/>
      </c>
      <c r="F55" s="35">
        <f>IF(B55="","",SUMIFS('سجل التحفيز'!$G$5:$G$2004,'سجل التحفيز'!$AB$5:$AB$2004,"&gt;0",'سجل التحفيز'!$B$5:$B$2004,B55))</f>
        <v/>
      </c>
      <c r="G55" s="35">
        <f>IF(B55="","",COUNTIF($D$38:$D$187,"&gt;"&amp;D55)+1)</f>
        <v/>
      </c>
      <c r="H55" s="35">
        <f>IF(B55="","",INDEX(الموظفات!$L$5:$L$304,MATCH(B55,الموظفات!$B$5:$B$304,0)))</f>
        <v/>
      </c>
      <c r="K55" s="36">
        <f>IF(18&gt;$B$10,"",18)</f>
        <v/>
      </c>
      <c r="L55" s="37">
        <f>IF($K55="","",INDEX('سجل التحفيز'!$A$5:$A$2004,MATCH($K55,'سجل التحفيز'!$AB$5:$AB$2004,0)))</f>
        <v/>
      </c>
      <c r="M55" s="9">
        <f>IF($K55="","",INDEX('سجل التحفيز'!$B$5:$B$2004,MATCH($K55,'سجل التحفيز'!$AB$5:$AB$2004,0)))</f>
        <v/>
      </c>
      <c r="N55" s="9">
        <f>IF($K55="","",INDEX('سجل التحفيز'!$M$5:$M$2004,MATCH($K55,'سجل التحفيز'!$AB$5:$AB$2004,0)))</f>
        <v/>
      </c>
      <c r="O55" s="9">
        <f>IF($K55="","",INDEX('سجل التحفيز'!$C$5:$C$2004,MATCH($K55,'سجل التحفيز'!$AB$5:$AB$2004,0)))</f>
        <v/>
      </c>
      <c r="P55" s="36">
        <f>IF($K55="","",INDEX('سجل التحفيز'!$D$5:$D$2004,MATCH($K55,'سجل التحفيز'!$AB$5:$AB$2004,0)))</f>
        <v/>
      </c>
      <c r="Q55" s="9">
        <f>IF($K55="","",INDEX('سجل التحفيز'!$E$5:$E$2004,MATCH($K55,'سجل التحفيز'!$AB$5:$AB$2004,0)))</f>
        <v/>
      </c>
      <c r="R55" s="9">
        <f>IF($K55="","",INDEX('سجل التحفيز'!$F$5:$F$2004,MATCH($K55,'سجل التحفيز'!$AB$5:$AB$2004,0)))</f>
        <v/>
      </c>
      <c r="S55" s="35">
        <f>IF($K55="","",INDEX('سجل التحفيز'!$G$5:$G$2004,MATCH($K55,'سجل التحفيز'!$AB$5:$AB$2004,0)))</f>
        <v/>
      </c>
    </row>
    <row r="56">
      <c r="B56" s="34">
        <f>IFERROR(INDEX(الموظفات!$B$5:$B$304,MATCH(19,الموظفات!$V$5:$V$304,0)),"")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التحفيز'!$AB$5:$AB$2004,"&gt;0",'سجل التحفيز'!$B$5:$B$2004,B56))</f>
        <v/>
      </c>
      <c r="E56" s="35">
        <f>IF(B56="","",COUNTIFS('سجل التحفيز'!$AB$5:$AB$2004,"&gt;0",'سجل التحفيز'!$B$5:$B$2004,B56,'سجل التحفيز'!$D$5:$D$2004,"ذهبي"))</f>
        <v/>
      </c>
      <c r="F56" s="35">
        <f>IF(B56="","",SUMIFS('سجل التحفيز'!$G$5:$G$2004,'سجل التحفيز'!$AB$5:$AB$2004,"&gt;0",'سجل التحفيز'!$B$5:$B$2004,B56))</f>
        <v/>
      </c>
      <c r="G56" s="35">
        <f>IF(B56="","",COUNTIF($D$38:$D$187,"&gt;"&amp;D56)+1)</f>
        <v/>
      </c>
      <c r="H56" s="35">
        <f>IF(B56="","",INDEX(الموظفات!$L$5:$L$304,MATCH(B56,الموظفات!$B$5:$B$304,0)))</f>
        <v/>
      </c>
      <c r="K56" s="36">
        <f>IF(19&gt;$B$10,"",19)</f>
        <v/>
      </c>
      <c r="L56" s="37">
        <f>IF($K56="","",INDEX('سجل التحفيز'!$A$5:$A$2004,MATCH($K56,'سجل التحفيز'!$AB$5:$AB$2004,0)))</f>
        <v/>
      </c>
      <c r="M56" s="9">
        <f>IF($K56="","",INDEX('سجل التحفيز'!$B$5:$B$2004,MATCH($K56,'سجل التحفيز'!$AB$5:$AB$2004,0)))</f>
        <v/>
      </c>
      <c r="N56" s="9">
        <f>IF($K56="","",INDEX('سجل التحفيز'!$M$5:$M$2004,MATCH($K56,'سجل التحفيز'!$AB$5:$AB$2004,0)))</f>
        <v/>
      </c>
      <c r="O56" s="9">
        <f>IF($K56="","",INDEX('سجل التحفيز'!$C$5:$C$2004,MATCH($K56,'سجل التحفيز'!$AB$5:$AB$2004,0)))</f>
        <v/>
      </c>
      <c r="P56" s="36">
        <f>IF($K56="","",INDEX('سجل التحفيز'!$D$5:$D$2004,MATCH($K56,'سجل التحفيز'!$AB$5:$AB$2004,0)))</f>
        <v/>
      </c>
      <c r="Q56" s="9">
        <f>IF($K56="","",INDEX('سجل التحفيز'!$E$5:$E$2004,MATCH($K56,'سجل التحفيز'!$AB$5:$AB$2004,0)))</f>
        <v/>
      </c>
      <c r="R56" s="9">
        <f>IF($K56="","",INDEX('سجل التحفيز'!$F$5:$F$2004,MATCH($K56,'سجل التحفيز'!$AB$5:$AB$2004,0)))</f>
        <v/>
      </c>
      <c r="S56" s="35">
        <f>IF($K56="","",INDEX('سجل التحفيز'!$G$5:$G$2004,MATCH($K56,'سجل التحفيز'!$AB$5:$AB$2004,0)))</f>
        <v/>
      </c>
    </row>
    <row r="57">
      <c r="B57" s="34">
        <f>IFERROR(INDEX(الموظفات!$B$5:$B$304,MATCH(20,الموظفات!$V$5:$V$304,0)),"")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التحفيز'!$AB$5:$AB$2004,"&gt;0",'سجل التحفيز'!$B$5:$B$2004,B57))</f>
        <v/>
      </c>
      <c r="E57" s="35">
        <f>IF(B57="","",COUNTIFS('سجل التحفيز'!$AB$5:$AB$2004,"&gt;0",'سجل التحفيز'!$B$5:$B$2004,B57,'سجل التحفيز'!$D$5:$D$2004,"ذهبي"))</f>
        <v/>
      </c>
      <c r="F57" s="35">
        <f>IF(B57="","",SUMIFS('سجل التحفيز'!$G$5:$G$2004,'سجل التحفيز'!$AB$5:$AB$2004,"&gt;0",'سجل التحفيز'!$B$5:$B$2004,B57))</f>
        <v/>
      </c>
      <c r="G57" s="35">
        <f>IF(B57="","",COUNTIF($D$38:$D$187,"&gt;"&amp;D57)+1)</f>
        <v/>
      </c>
      <c r="H57" s="35">
        <f>IF(B57="","",INDEX(الموظفات!$L$5:$L$304,MATCH(B57,الموظفات!$B$5:$B$304,0)))</f>
        <v/>
      </c>
      <c r="K57" s="36">
        <f>IF(20&gt;$B$10,"",20)</f>
        <v/>
      </c>
      <c r="L57" s="37">
        <f>IF($K57="","",INDEX('سجل التحفيز'!$A$5:$A$2004,MATCH($K57,'سجل التحفيز'!$AB$5:$AB$2004,0)))</f>
        <v/>
      </c>
      <c r="M57" s="9">
        <f>IF($K57="","",INDEX('سجل التحفيز'!$B$5:$B$2004,MATCH($K57,'سجل التحفيز'!$AB$5:$AB$2004,0)))</f>
        <v/>
      </c>
      <c r="N57" s="9">
        <f>IF($K57="","",INDEX('سجل التحفيز'!$M$5:$M$2004,MATCH($K57,'سجل التحفيز'!$AB$5:$AB$2004,0)))</f>
        <v/>
      </c>
      <c r="O57" s="9">
        <f>IF($K57="","",INDEX('سجل التحفيز'!$C$5:$C$2004,MATCH($K57,'سجل التحفيز'!$AB$5:$AB$2004,0)))</f>
        <v/>
      </c>
      <c r="P57" s="36">
        <f>IF($K57="","",INDEX('سجل التحفيز'!$D$5:$D$2004,MATCH($K57,'سجل التحفيز'!$AB$5:$AB$2004,0)))</f>
        <v/>
      </c>
      <c r="Q57" s="9">
        <f>IF($K57="","",INDEX('سجل التحفيز'!$E$5:$E$2004,MATCH($K57,'سجل التحفيز'!$AB$5:$AB$2004,0)))</f>
        <v/>
      </c>
      <c r="R57" s="9">
        <f>IF($K57="","",INDEX('سجل التحفيز'!$F$5:$F$2004,MATCH($K57,'سجل التحفيز'!$AB$5:$AB$2004,0)))</f>
        <v/>
      </c>
      <c r="S57" s="35">
        <f>IF($K57="","",INDEX('سجل التحفيز'!$G$5:$G$2004,MATCH($K57,'سجل التحفيز'!$AB$5:$AB$2004,0)))</f>
        <v/>
      </c>
    </row>
    <row r="58">
      <c r="B58" s="34">
        <f>IFERROR(INDEX(الموظفات!$B$5:$B$304,MATCH(21,الموظفات!$V$5:$V$304,0)),"")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التحفيز'!$AB$5:$AB$2004,"&gt;0",'سجل التحفيز'!$B$5:$B$2004,B58))</f>
        <v/>
      </c>
      <c r="E58" s="35">
        <f>IF(B58="","",COUNTIFS('سجل التحفيز'!$AB$5:$AB$2004,"&gt;0",'سجل التحفيز'!$B$5:$B$2004,B58,'سجل التحفيز'!$D$5:$D$2004,"ذهبي"))</f>
        <v/>
      </c>
      <c r="F58" s="35">
        <f>IF(B58="","",SUMIFS('سجل التحفيز'!$G$5:$G$2004,'سجل التحفيز'!$AB$5:$AB$2004,"&gt;0",'سجل التحفيز'!$B$5:$B$2004,B58))</f>
        <v/>
      </c>
      <c r="G58" s="35">
        <f>IF(B58="","",COUNTIF($D$38:$D$187,"&gt;"&amp;D58)+1)</f>
        <v/>
      </c>
      <c r="H58" s="35">
        <f>IF(B58="","",INDEX(الموظفات!$L$5:$L$304,MATCH(B58,الموظفات!$B$5:$B$304,0)))</f>
        <v/>
      </c>
      <c r="K58" s="36">
        <f>IF(21&gt;$B$10,"",21)</f>
        <v/>
      </c>
      <c r="L58" s="37">
        <f>IF($K58="","",INDEX('سجل التحفيز'!$A$5:$A$2004,MATCH($K58,'سجل التحفيز'!$AB$5:$AB$2004,0)))</f>
        <v/>
      </c>
      <c r="M58" s="9">
        <f>IF($K58="","",INDEX('سجل التحفيز'!$B$5:$B$2004,MATCH($K58,'سجل التحفيز'!$AB$5:$AB$2004,0)))</f>
        <v/>
      </c>
      <c r="N58" s="9">
        <f>IF($K58="","",INDEX('سجل التحفيز'!$M$5:$M$2004,MATCH($K58,'سجل التحفيز'!$AB$5:$AB$2004,0)))</f>
        <v/>
      </c>
      <c r="O58" s="9">
        <f>IF($K58="","",INDEX('سجل التحفيز'!$C$5:$C$2004,MATCH($K58,'سجل التحفيز'!$AB$5:$AB$2004,0)))</f>
        <v/>
      </c>
      <c r="P58" s="36">
        <f>IF($K58="","",INDEX('سجل التحفيز'!$D$5:$D$2004,MATCH($K58,'سجل التحفيز'!$AB$5:$AB$2004,0)))</f>
        <v/>
      </c>
      <c r="Q58" s="9">
        <f>IF($K58="","",INDEX('سجل التحفيز'!$E$5:$E$2004,MATCH($K58,'سجل التحفيز'!$AB$5:$AB$2004,0)))</f>
        <v/>
      </c>
      <c r="R58" s="9">
        <f>IF($K58="","",INDEX('سجل التحفيز'!$F$5:$F$2004,MATCH($K58,'سجل التحفيز'!$AB$5:$AB$2004,0)))</f>
        <v/>
      </c>
      <c r="S58" s="35">
        <f>IF($K58="","",INDEX('سجل التحفيز'!$G$5:$G$2004,MATCH($K58,'سجل التحفيز'!$AB$5:$AB$2004,0)))</f>
        <v/>
      </c>
    </row>
    <row r="59">
      <c r="B59" s="34">
        <f>IFERROR(INDEX(الموظفات!$B$5:$B$304,MATCH(22,الموظفات!$V$5:$V$304,0)),"")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التحفيز'!$AB$5:$AB$2004,"&gt;0",'سجل التحفيز'!$B$5:$B$2004,B59))</f>
        <v/>
      </c>
      <c r="E59" s="35">
        <f>IF(B59="","",COUNTIFS('سجل التحفيز'!$AB$5:$AB$2004,"&gt;0",'سجل التحفيز'!$B$5:$B$2004,B59,'سجل التحفيز'!$D$5:$D$2004,"ذهبي"))</f>
        <v/>
      </c>
      <c r="F59" s="35">
        <f>IF(B59="","",SUMIFS('سجل التحفيز'!$G$5:$G$2004,'سجل التحفيز'!$AB$5:$AB$2004,"&gt;0",'سجل التحفيز'!$B$5:$B$2004,B59))</f>
        <v/>
      </c>
      <c r="G59" s="35">
        <f>IF(B59="","",COUNTIF($D$38:$D$187,"&gt;"&amp;D59)+1)</f>
        <v/>
      </c>
      <c r="H59" s="35">
        <f>IF(B59="","",INDEX(الموظفات!$L$5:$L$304,MATCH(B59,الموظفات!$B$5:$B$304,0)))</f>
        <v/>
      </c>
      <c r="K59" s="36">
        <f>IF(22&gt;$B$10,"",22)</f>
        <v/>
      </c>
      <c r="L59" s="37">
        <f>IF($K59="","",INDEX('سجل التحفيز'!$A$5:$A$2004,MATCH($K59,'سجل التحفيز'!$AB$5:$AB$2004,0)))</f>
        <v/>
      </c>
      <c r="M59" s="9">
        <f>IF($K59="","",INDEX('سجل التحفيز'!$B$5:$B$2004,MATCH($K59,'سجل التحفيز'!$AB$5:$AB$2004,0)))</f>
        <v/>
      </c>
      <c r="N59" s="9">
        <f>IF($K59="","",INDEX('سجل التحفيز'!$M$5:$M$2004,MATCH($K59,'سجل التحفيز'!$AB$5:$AB$2004,0)))</f>
        <v/>
      </c>
      <c r="O59" s="9">
        <f>IF($K59="","",INDEX('سجل التحفيز'!$C$5:$C$2004,MATCH($K59,'سجل التحفيز'!$AB$5:$AB$2004,0)))</f>
        <v/>
      </c>
      <c r="P59" s="36">
        <f>IF($K59="","",INDEX('سجل التحفيز'!$D$5:$D$2004,MATCH($K59,'سجل التحفيز'!$AB$5:$AB$2004,0)))</f>
        <v/>
      </c>
      <c r="Q59" s="9">
        <f>IF($K59="","",INDEX('سجل التحفيز'!$E$5:$E$2004,MATCH($K59,'سجل التحفيز'!$AB$5:$AB$2004,0)))</f>
        <v/>
      </c>
      <c r="R59" s="9">
        <f>IF($K59="","",INDEX('سجل التحفيز'!$F$5:$F$2004,MATCH($K59,'سجل التحفيز'!$AB$5:$AB$2004,0)))</f>
        <v/>
      </c>
      <c r="S59" s="35">
        <f>IF($K59="","",INDEX('سجل التحفيز'!$G$5:$G$2004,MATCH($K59,'سجل التحفيز'!$AB$5:$AB$2004,0)))</f>
        <v/>
      </c>
    </row>
    <row r="60">
      <c r="B60" s="34">
        <f>IFERROR(INDEX(الموظفات!$B$5:$B$304,MATCH(23,الموظفات!$V$5:$V$304,0)),"")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التحفيز'!$AB$5:$AB$2004,"&gt;0",'سجل التحفيز'!$B$5:$B$2004,B60))</f>
        <v/>
      </c>
      <c r="E60" s="35">
        <f>IF(B60="","",COUNTIFS('سجل التحفيز'!$AB$5:$AB$2004,"&gt;0",'سجل التحفيز'!$B$5:$B$2004,B60,'سجل التحفيز'!$D$5:$D$2004,"ذهبي"))</f>
        <v/>
      </c>
      <c r="F60" s="35">
        <f>IF(B60="","",SUMIFS('سجل التحفيز'!$G$5:$G$2004,'سجل التحفيز'!$AB$5:$AB$2004,"&gt;0",'سجل التحفيز'!$B$5:$B$2004,B60))</f>
        <v/>
      </c>
      <c r="G60" s="35">
        <f>IF(B60="","",COUNTIF($D$38:$D$187,"&gt;"&amp;D60)+1)</f>
        <v/>
      </c>
      <c r="H60" s="35">
        <f>IF(B60="","",INDEX(الموظفات!$L$5:$L$304,MATCH(B60,الموظفات!$B$5:$B$304,0)))</f>
        <v/>
      </c>
      <c r="K60" s="36">
        <f>IF(23&gt;$B$10,"",23)</f>
        <v/>
      </c>
      <c r="L60" s="37">
        <f>IF($K60="","",INDEX('سجل التحفيز'!$A$5:$A$2004,MATCH($K60,'سجل التحفيز'!$AB$5:$AB$2004,0)))</f>
        <v/>
      </c>
      <c r="M60" s="9">
        <f>IF($K60="","",INDEX('سجل التحفيز'!$B$5:$B$2004,MATCH($K60,'سجل التحفيز'!$AB$5:$AB$2004,0)))</f>
        <v/>
      </c>
      <c r="N60" s="9">
        <f>IF($K60="","",INDEX('سجل التحفيز'!$M$5:$M$2004,MATCH($K60,'سجل التحفيز'!$AB$5:$AB$2004,0)))</f>
        <v/>
      </c>
      <c r="O60" s="9">
        <f>IF($K60="","",INDEX('سجل التحفيز'!$C$5:$C$2004,MATCH($K60,'سجل التحفيز'!$AB$5:$AB$2004,0)))</f>
        <v/>
      </c>
      <c r="P60" s="36">
        <f>IF($K60="","",INDEX('سجل التحفيز'!$D$5:$D$2004,MATCH($K60,'سجل التحفيز'!$AB$5:$AB$2004,0)))</f>
        <v/>
      </c>
      <c r="Q60" s="9">
        <f>IF($K60="","",INDEX('سجل التحفيز'!$E$5:$E$2004,MATCH($K60,'سجل التحفيز'!$AB$5:$AB$2004,0)))</f>
        <v/>
      </c>
      <c r="R60" s="9">
        <f>IF($K60="","",INDEX('سجل التحفيز'!$F$5:$F$2004,MATCH($K60,'سجل التحفيز'!$AB$5:$AB$2004,0)))</f>
        <v/>
      </c>
      <c r="S60" s="35">
        <f>IF($K60="","",INDEX('سجل التحفيز'!$G$5:$G$2004,MATCH($K60,'سجل التحفيز'!$AB$5:$AB$2004,0)))</f>
        <v/>
      </c>
    </row>
    <row r="61">
      <c r="B61" s="34">
        <f>IFERROR(INDEX(الموظفات!$B$5:$B$304,MATCH(24,الموظفات!$V$5:$V$304,0)),"")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التحفيز'!$AB$5:$AB$2004,"&gt;0",'سجل التحفيز'!$B$5:$B$2004,B61))</f>
        <v/>
      </c>
      <c r="E61" s="35">
        <f>IF(B61="","",COUNTIFS('سجل التحفيز'!$AB$5:$AB$2004,"&gt;0",'سجل التحفيز'!$B$5:$B$2004,B61,'سجل التحفيز'!$D$5:$D$2004,"ذهبي"))</f>
        <v/>
      </c>
      <c r="F61" s="35">
        <f>IF(B61="","",SUMIFS('سجل التحفيز'!$G$5:$G$2004,'سجل التحفيز'!$AB$5:$AB$2004,"&gt;0",'سجل التحفيز'!$B$5:$B$2004,B61))</f>
        <v/>
      </c>
      <c r="G61" s="35">
        <f>IF(B61="","",COUNTIF($D$38:$D$187,"&gt;"&amp;D61)+1)</f>
        <v/>
      </c>
      <c r="H61" s="35">
        <f>IF(B61="","",INDEX(الموظفات!$L$5:$L$304,MATCH(B61,الموظفات!$B$5:$B$304,0)))</f>
        <v/>
      </c>
      <c r="K61" s="36">
        <f>IF(24&gt;$B$10,"",24)</f>
        <v/>
      </c>
      <c r="L61" s="37">
        <f>IF($K61="","",INDEX('سجل التحفيز'!$A$5:$A$2004,MATCH($K61,'سجل التحفيز'!$AB$5:$AB$2004,0)))</f>
        <v/>
      </c>
      <c r="M61" s="9">
        <f>IF($K61="","",INDEX('سجل التحفيز'!$B$5:$B$2004,MATCH($K61,'سجل التحفيز'!$AB$5:$AB$2004,0)))</f>
        <v/>
      </c>
      <c r="N61" s="9">
        <f>IF($K61="","",INDEX('سجل التحفيز'!$M$5:$M$2004,MATCH($K61,'سجل التحفيز'!$AB$5:$AB$2004,0)))</f>
        <v/>
      </c>
      <c r="O61" s="9">
        <f>IF($K61="","",INDEX('سجل التحفيز'!$C$5:$C$2004,MATCH($K61,'سجل التحفيز'!$AB$5:$AB$2004,0)))</f>
        <v/>
      </c>
      <c r="P61" s="36">
        <f>IF($K61="","",INDEX('سجل التحفيز'!$D$5:$D$2004,MATCH($K61,'سجل التحفيز'!$AB$5:$AB$2004,0)))</f>
        <v/>
      </c>
      <c r="Q61" s="9">
        <f>IF($K61="","",INDEX('سجل التحفيز'!$E$5:$E$2004,MATCH($K61,'سجل التحفيز'!$AB$5:$AB$2004,0)))</f>
        <v/>
      </c>
      <c r="R61" s="9">
        <f>IF($K61="","",INDEX('سجل التحفيز'!$F$5:$F$2004,MATCH($K61,'سجل التحفيز'!$AB$5:$AB$2004,0)))</f>
        <v/>
      </c>
      <c r="S61" s="35">
        <f>IF($K61="","",INDEX('سجل التحفيز'!$G$5:$G$2004,MATCH($K61,'سجل التحفيز'!$AB$5:$AB$2004,0)))</f>
        <v/>
      </c>
    </row>
    <row r="62">
      <c r="B62" s="34">
        <f>IFERROR(INDEX(الموظفات!$B$5:$B$304,MATCH(25,الموظفات!$V$5:$V$304,0)),"")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التحفيز'!$AB$5:$AB$2004,"&gt;0",'سجل التحفيز'!$B$5:$B$2004,B62))</f>
        <v/>
      </c>
      <c r="E62" s="35">
        <f>IF(B62="","",COUNTIFS('سجل التحفيز'!$AB$5:$AB$2004,"&gt;0",'سجل التحفيز'!$B$5:$B$2004,B62,'سجل التحفيز'!$D$5:$D$2004,"ذهبي"))</f>
        <v/>
      </c>
      <c r="F62" s="35">
        <f>IF(B62="","",SUMIFS('سجل التحفيز'!$G$5:$G$2004,'سجل التحفيز'!$AB$5:$AB$2004,"&gt;0",'سجل التحفيز'!$B$5:$B$2004,B62))</f>
        <v/>
      </c>
      <c r="G62" s="35">
        <f>IF(B62="","",COUNTIF($D$38:$D$187,"&gt;"&amp;D62)+1)</f>
        <v/>
      </c>
      <c r="H62" s="35">
        <f>IF(B62="","",INDEX(الموظفات!$L$5:$L$304,MATCH(B62,الموظفات!$B$5:$B$304,0)))</f>
        <v/>
      </c>
      <c r="K62" s="36">
        <f>IF(25&gt;$B$10,"",25)</f>
        <v/>
      </c>
      <c r="L62" s="37">
        <f>IF($K62="","",INDEX('سجل التحفيز'!$A$5:$A$2004,MATCH($K62,'سجل التحفيز'!$AB$5:$AB$2004,0)))</f>
        <v/>
      </c>
      <c r="M62" s="9">
        <f>IF($K62="","",INDEX('سجل التحفيز'!$B$5:$B$2004,MATCH($K62,'سجل التحفيز'!$AB$5:$AB$2004,0)))</f>
        <v/>
      </c>
      <c r="N62" s="9">
        <f>IF($K62="","",INDEX('سجل التحفيز'!$M$5:$M$2004,MATCH($K62,'سجل التحفيز'!$AB$5:$AB$2004,0)))</f>
        <v/>
      </c>
      <c r="O62" s="9">
        <f>IF($K62="","",INDEX('سجل التحفيز'!$C$5:$C$2004,MATCH($K62,'سجل التحفيز'!$AB$5:$AB$2004,0)))</f>
        <v/>
      </c>
      <c r="P62" s="36">
        <f>IF($K62="","",INDEX('سجل التحفيز'!$D$5:$D$2004,MATCH($K62,'سجل التحفيز'!$AB$5:$AB$2004,0)))</f>
        <v/>
      </c>
      <c r="Q62" s="9">
        <f>IF($K62="","",INDEX('سجل التحفيز'!$E$5:$E$2004,MATCH($K62,'سجل التحفيز'!$AB$5:$AB$2004,0)))</f>
        <v/>
      </c>
      <c r="R62" s="9">
        <f>IF($K62="","",INDEX('سجل التحفيز'!$F$5:$F$2004,MATCH($K62,'سجل التحفيز'!$AB$5:$AB$2004,0)))</f>
        <v/>
      </c>
      <c r="S62" s="35">
        <f>IF($K62="","",INDEX('سجل التحفيز'!$G$5:$G$2004,MATCH($K62,'سجل التحفيز'!$AB$5:$AB$2004,0)))</f>
        <v/>
      </c>
    </row>
    <row r="63">
      <c r="B63" s="34">
        <f>IFERROR(INDEX(الموظفات!$B$5:$B$304,MATCH(26,الموظفات!$V$5:$V$304,0)),"")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التحفيز'!$AB$5:$AB$2004,"&gt;0",'سجل التحفيز'!$B$5:$B$2004,B63))</f>
        <v/>
      </c>
      <c r="E63" s="35">
        <f>IF(B63="","",COUNTIFS('سجل التحفيز'!$AB$5:$AB$2004,"&gt;0",'سجل التحفيز'!$B$5:$B$2004,B63,'سجل التحفيز'!$D$5:$D$2004,"ذهبي"))</f>
        <v/>
      </c>
      <c r="F63" s="35">
        <f>IF(B63="","",SUMIFS('سجل التحفيز'!$G$5:$G$2004,'سجل التحفيز'!$AB$5:$AB$2004,"&gt;0",'سجل التحفيز'!$B$5:$B$2004,B63))</f>
        <v/>
      </c>
      <c r="G63" s="35">
        <f>IF(B63="","",COUNTIF($D$38:$D$187,"&gt;"&amp;D63)+1)</f>
        <v/>
      </c>
      <c r="H63" s="35">
        <f>IF(B63="","",INDEX(الموظفات!$L$5:$L$304,MATCH(B63,الموظفات!$B$5:$B$304,0)))</f>
        <v/>
      </c>
      <c r="K63" s="36">
        <f>IF(26&gt;$B$10,"",26)</f>
        <v/>
      </c>
      <c r="L63" s="37">
        <f>IF($K63="","",INDEX('سجل التحفيز'!$A$5:$A$2004,MATCH($K63,'سجل التحفيز'!$AB$5:$AB$2004,0)))</f>
        <v/>
      </c>
      <c r="M63" s="9">
        <f>IF($K63="","",INDEX('سجل التحفيز'!$B$5:$B$2004,MATCH($K63,'سجل التحفيز'!$AB$5:$AB$2004,0)))</f>
        <v/>
      </c>
      <c r="N63" s="9">
        <f>IF($K63="","",INDEX('سجل التحفيز'!$M$5:$M$2004,MATCH($K63,'سجل التحفيز'!$AB$5:$AB$2004,0)))</f>
        <v/>
      </c>
      <c r="O63" s="9">
        <f>IF($K63="","",INDEX('سجل التحفيز'!$C$5:$C$2004,MATCH($K63,'سجل التحفيز'!$AB$5:$AB$2004,0)))</f>
        <v/>
      </c>
      <c r="P63" s="36">
        <f>IF($K63="","",INDEX('سجل التحفيز'!$D$5:$D$2004,MATCH($K63,'سجل التحفيز'!$AB$5:$AB$2004,0)))</f>
        <v/>
      </c>
      <c r="Q63" s="9">
        <f>IF($K63="","",INDEX('سجل التحفيز'!$E$5:$E$2004,MATCH($K63,'سجل التحفيز'!$AB$5:$AB$2004,0)))</f>
        <v/>
      </c>
      <c r="R63" s="9">
        <f>IF($K63="","",INDEX('سجل التحفيز'!$F$5:$F$2004,MATCH($K63,'سجل التحفيز'!$AB$5:$AB$2004,0)))</f>
        <v/>
      </c>
      <c r="S63" s="35">
        <f>IF($K63="","",INDEX('سجل التحفيز'!$G$5:$G$2004,MATCH($K63,'سجل التحفيز'!$AB$5:$AB$2004,0)))</f>
        <v/>
      </c>
    </row>
    <row r="64">
      <c r="B64" s="34">
        <f>IFERROR(INDEX(الموظفات!$B$5:$B$304,MATCH(27,الموظفات!$V$5:$V$304,0)),"")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التحفيز'!$AB$5:$AB$2004,"&gt;0",'سجل التحفيز'!$B$5:$B$2004,B64))</f>
        <v/>
      </c>
      <c r="E64" s="35">
        <f>IF(B64="","",COUNTIFS('سجل التحفيز'!$AB$5:$AB$2004,"&gt;0",'سجل التحفيز'!$B$5:$B$2004,B64,'سجل التحفيز'!$D$5:$D$2004,"ذهبي"))</f>
        <v/>
      </c>
      <c r="F64" s="35">
        <f>IF(B64="","",SUMIFS('سجل التحفيز'!$G$5:$G$2004,'سجل التحفيز'!$AB$5:$AB$2004,"&gt;0",'سجل التحفيز'!$B$5:$B$2004,B64))</f>
        <v/>
      </c>
      <c r="G64" s="35">
        <f>IF(B64="","",COUNTIF($D$38:$D$187,"&gt;"&amp;D64)+1)</f>
        <v/>
      </c>
      <c r="H64" s="35">
        <f>IF(B64="","",INDEX(الموظفات!$L$5:$L$304,MATCH(B64,الموظفات!$B$5:$B$304,0)))</f>
        <v/>
      </c>
      <c r="K64" s="36">
        <f>IF(27&gt;$B$10,"",27)</f>
        <v/>
      </c>
      <c r="L64" s="37">
        <f>IF($K64="","",INDEX('سجل التحفيز'!$A$5:$A$2004,MATCH($K64,'سجل التحفيز'!$AB$5:$AB$2004,0)))</f>
        <v/>
      </c>
      <c r="M64" s="9">
        <f>IF($K64="","",INDEX('سجل التحفيز'!$B$5:$B$2004,MATCH($K64,'سجل التحفيز'!$AB$5:$AB$2004,0)))</f>
        <v/>
      </c>
      <c r="N64" s="9">
        <f>IF($K64="","",INDEX('سجل التحفيز'!$M$5:$M$2004,MATCH($K64,'سجل التحفيز'!$AB$5:$AB$2004,0)))</f>
        <v/>
      </c>
      <c r="O64" s="9">
        <f>IF($K64="","",INDEX('سجل التحفيز'!$C$5:$C$2004,MATCH($K64,'سجل التحفيز'!$AB$5:$AB$2004,0)))</f>
        <v/>
      </c>
      <c r="P64" s="36">
        <f>IF($K64="","",INDEX('سجل التحفيز'!$D$5:$D$2004,MATCH($K64,'سجل التحفيز'!$AB$5:$AB$2004,0)))</f>
        <v/>
      </c>
      <c r="Q64" s="9">
        <f>IF($K64="","",INDEX('سجل التحفيز'!$E$5:$E$2004,MATCH($K64,'سجل التحفيز'!$AB$5:$AB$2004,0)))</f>
        <v/>
      </c>
      <c r="R64" s="9">
        <f>IF($K64="","",INDEX('سجل التحفيز'!$F$5:$F$2004,MATCH($K64,'سجل التحفيز'!$AB$5:$AB$2004,0)))</f>
        <v/>
      </c>
      <c r="S64" s="35">
        <f>IF($K64="","",INDEX('سجل التحفيز'!$G$5:$G$2004,MATCH($K64,'سجل التحفيز'!$AB$5:$AB$2004,0)))</f>
        <v/>
      </c>
    </row>
    <row r="65">
      <c r="B65" s="34">
        <f>IFERROR(INDEX(الموظفات!$B$5:$B$304,MATCH(28,الموظفات!$V$5:$V$304,0)),"")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التحفيز'!$AB$5:$AB$2004,"&gt;0",'سجل التحفيز'!$B$5:$B$2004,B65))</f>
        <v/>
      </c>
      <c r="E65" s="35">
        <f>IF(B65="","",COUNTIFS('سجل التحفيز'!$AB$5:$AB$2004,"&gt;0",'سجل التحفيز'!$B$5:$B$2004,B65,'سجل التحفيز'!$D$5:$D$2004,"ذهبي"))</f>
        <v/>
      </c>
      <c r="F65" s="35">
        <f>IF(B65="","",SUMIFS('سجل التحفيز'!$G$5:$G$2004,'سجل التحفيز'!$AB$5:$AB$2004,"&gt;0",'سجل التحفيز'!$B$5:$B$2004,B65))</f>
        <v/>
      </c>
      <c r="G65" s="35">
        <f>IF(B65="","",COUNTIF($D$38:$D$187,"&gt;"&amp;D65)+1)</f>
        <v/>
      </c>
      <c r="H65" s="35">
        <f>IF(B65="","",INDEX(الموظفات!$L$5:$L$304,MATCH(B65,الموظفات!$B$5:$B$304,0)))</f>
        <v/>
      </c>
      <c r="K65" s="36">
        <f>IF(28&gt;$B$10,"",28)</f>
        <v/>
      </c>
      <c r="L65" s="37">
        <f>IF($K65="","",INDEX('سجل التحفيز'!$A$5:$A$2004,MATCH($K65,'سجل التحفيز'!$AB$5:$AB$2004,0)))</f>
        <v/>
      </c>
      <c r="M65" s="9">
        <f>IF($K65="","",INDEX('سجل التحفيز'!$B$5:$B$2004,MATCH($K65,'سجل التحفيز'!$AB$5:$AB$2004,0)))</f>
        <v/>
      </c>
      <c r="N65" s="9">
        <f>IF($K65="","",INDEX('سجل التحفيز'!$M$5:$M$2004,MATCH($K65,'سجل التحفيز'!$AB$5:$AB$2004,0)))</f>
        <v/>
      </c>
      <c r="O65" s="9">
        <f>IF($K65="","",INDEX('سجل التحفيز'!$C$5:$C$2004,MATCH($K65,'سجل التحفيز'!$AB$5:$AB$2004,0)))</f>
        <v/>
      </c>
      <c r="P65" s="36">
        <f>IF($K65="","",INDEX('سجل التحفيز'!$D$5:$D$2004,MATCH($K65,'سجل التحفيز'!$AB$5:$AB$2004,0)))</f>
        <v/>
      </c>
      <c r="Q65" s="9">
        <f>IF($K65="","",INDEX('سجل التحفيز'!$E$5:$E$2004,MATCH($K65,'سجل التحفيز'!$AB$5:$AB$2004,0)))</f>
        <v/>
      </c>
      <c r="R65" s="9">
        <f>IF($K65="","",INDEX('سجل التحفيز'!$F$5:$F$2004,MATCH($K65,'سجل التحفيز'!$AB$5:$AB$2004,0)))</f>
        <v/>
      </c>
      <c r="S65" s="35">
        <f>IF($K65="","",INDEX('سجل التحفيز'!$G$5:$G$2004,MATCH($K65,'سجل التحفيز'!$AB$5:$AB$2004,0)))</f>
        <v/>
      </c>
    </row>
    <row r="66">
      <c r="B66" s="34">
        <f>IFERROR(INDEX(الموظفات!$B$5:$B$304,MATCH(29,الموظفات!$V$5:$V$304,0)),"")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التحفيز'!$AB$5:$AB$2004,"&gt;0",'سجل التحفيز'!$B$5:$B$2004,B66))</f>
        <v/>
      </c>
      <c r="E66" s="35">
        <f>IF(B66="","",COUNTIFS('سجل التحفيز'!$AB$5:$AB$2004,"&gt;0",'سجل التحفيز'!$B$5:$B$2004,B66,'سجل التحفيز'!$D$5:$D$2004,"ذهبي"))</f>
        <v/>
      </c>
      <c r="F66" s="35">
        <f>IF(B66="","",SUMIFS('سجل التحفيز'!$G$5:$G$2004,'سجل التحفيز'!$AB$5:$AB$2004,"&gt;0",'سجل التحفيز'!$B$5:$B$2004,B66))</f>
        <v/>
      </c>
      <c r="G66" s="35">
        <f>IF(B66="","",COUNTIF($D$38:$D$187,"&gt;"&amp;D66)+1)</f>
        <v/>
      </c>
      <c r="H66" s="35">
        <f>IF(B66="","",INDEX(الموظفات!$L$5:$L$304,MATCH(B66,الموظفات!$B$5:$B$304,0)))</f>
        <v/>
      </c>
      <c r="K66" s="36">
        <f>IF(29&gt;$B$10,"",29)</f>
        <v/>
      </c>
      <c r="L66" s="37">
        <f>IF($K66="","",INDEX('سجل التحفيز'!$A$5:$A$2004,MATCH($K66,'سجل التحفيز'!$AB$5:$AB$2004,0)))</f>
        <v/>
      </c>
      <c r="M66" s="9">
        <f>IF($K66="","",INDEX('سجل التحفيز'!$B$5:$B$2004,MATCH($K66,'سجل التحفيز'!$AB$5:$AB$2004,0)))</f>
        <v/>
      </c>
      <c r="N66" s="9">
        <f>IF($K66="","",INDEX('سجل التحفيز'!$M$5:$M$2004,MATCH($K66,'سجل التحفيز'!$AB$5:$AB$2004,0)))</f>
        <v/>
      </c>
      <c r="O66" s="9">
        <f>IF($K66="","",INDEX('سجل التحفيز'!$C$5:$C$2004,MATCH($K66,'سجل التحفيز'!$AB$5:$AB$2004,0)))</f>
        <v/>
      </c>
      <c r="P66" s="36">
        <f>IF($K66="","",INDEX('سجل التحفيز'!$D$5:$D$2004,MATCH($K66,'سجل التحفيز'!$AB$5:$AB$2004,0)))</f>
        <v/>
      </c>
      <c r="Q66" s="9">
        <f>IF($K66="","",INDEX('سجل التحفيز'!$E$5:$E$2004,MATCH($K66,'سجل التحفيز'!$AB$5:$AB$2004,0)))</f>
        <v/>
      </c>
      <c r="R66" s="9">
        <f>IF($K66="","",INDEX('سجل التحفيز'!$F$5:$F$2004,MATCH($K66,'سجل التحفيز'!$AB$5:$AB$2004,0)))</f>
        <v/>
      </c>
      <c r="S66" s="35">
        <f>IF($K66="","",INDEX('سجل التحفيز'!$G$5:$G$2004,MATCH($K66,'سجل التحفيز'!$AB$5:$AB$2004,0)))</f>
        <v/>
      </c>
    </row>
    <row r="67">
      <c r="B67" s="34">
        <f>IFERROR(INDEX(الموظفات!$B$5:$B$304,MATCH(30,الموظفات!$V$5:$V$304,0)),"")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التحفيز'!$AB$5:$AB$2004,"&gt;0",'سجل التحفيز'!$B$5:$B$2004,B67))</f>
        <v/>
      </c>
      <c r="E67" s="35">
        <f>IF(B67="","",COUNTIFS('سجل التحفيز'!$AB$5:$AB$2004,"&gt;0",'سجل التحفيز'!$B$5:$B$2004,B67,'سجل التحفيز'!$D$5:$D$2004,"ذهبي"))</f>
        <v/>
      </c>
      <c r="F67" s="35">
        <f>IF(B67="","",SUMIFS('سجل التحفيز'!$G$5:$G$2004,'سجل التحفيز'!$AB$5:$AB$2004,"&gt;0",'سجل التحفيز'!$B$5:$B$2004,B67))</f>
        <v/>
      </c>
      <c r="G67" s="35">
        <f>IF(B67="","",COUNTIF($D$38:$D$187,"&gt;"&amp;D67)+1)</f>
        <v/>
      </c>
      <c r="H67" s="35">
        <f>IF(B67="","",INDEX(الموظفات!$L$5:$L$304,MATCH(B67,الموظفات!$B$5:$B$304,0)))</f>
        <v/>
      </c>
      <c r="K67" s="36">
        <f>IF(30&gt;$B$10,"",30)</f>
        <v/>
      </c>
      <c r="L67" s="37">
        <f>IF($K67="","",INDEX('سجل التحفيز'!$A$5:$A$2004,MATCH($K67,'سجل التحفيز'!$AB$5:$AB$2004,0)))</f>
        <v/>
      </c>
      <c r="M67" s="9">
        <f>IF($K67="","",INDEX('سجل التحفيز'!$B$5:$B$2004,MATCH($K67,'سجل التحفيز'!$AB$5:$AB$2004,0)))</f>
        <v/>
      </c>
      <c r="N67" s="9">
        <f>IF($K67="","",INDEX('سجل التحفيز'!$M$5:$M$2004,MATCH($K67,'سجل التحفيز'!$AB$5:$AB$2004,0)))</f>
        <v/>
      </c>
      <c r="O67" s="9">
        <f>IF($K67="","",INDEX('سجل التحفيز'!$C$5:$C$2004,MATCH($K67,'سجل التحفيز'!$AB$5:$AB$2004,0)))</f>
        <v/>
      </c>
      <c r="P67" s="36">
        <f>IF($K67="","",INDEX('سجل التحفيز'!$D$5:$D$2004,MATCH($K67,'سجل التحفيز'!$AB$5:$AB$2004,0)))</f>
        <v/>
      </c>
      <c r="Q67" s="9">
        <f>IF($K67="","",INDEX('سجل التحفيز'!$E$5:$E$2004,MATCH($K67,'سجل التحفيز'!$AB$5:$AB$2004,0)))</f>
        <v/>
      </c>
      <c r="R67" s="9">
        <f>IF($K67="","",INDEX('سجل التحفيز'!$F$5:$F$2004,MATCH($K67,'سجل التحفيز'!$AB$5:$AB$2004,0)))</f>
        <v/>
      </c>
      <c r="S67" s="35">
        <f>IF($K67="","",INDEX('سجل التحفيز'!$G$5:$G$2004,MATCH($K67,'سجل التحفيز'!$AB$5:$AB$2004,0)))</f>
        <v/>
      </c>
    </row>
    <row r="68">
      <c r="B68" s="34">
        <f>IFERROR(INDEX(الموظفات!$B$5:$B$304,MATCH(31,الموظفات!$V$5:$V$304,0)),"")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التحفيز'!$AB$5:$AB$2004,"&gt;0",'سجل التحفيز'!$B$5:$B$2004,B68))</f>
        <v/>
      </c>
      <c r="E68" s="35">
        <f>IF(B68="","",COUNTIFS('سجل التحفيز'!$AB$5:$AB$2004,"&gt;0",'سجل التحفيز'!$B$5:$B$2004,B68,'سجل التحفيز'!$D$5:$D$2004,"ذهبي"))</f>
        <v/>
      </c>
      <c r="F68" s="35">
        <f>IF(B68="","",SUMIFS('سجل التحفيز'!$G$5:$G$2004,'سجل التحفيز'!$AB$5:$AB$2004,"&gt;0",'سجل التحفيز'!$B$5:$B$2004,B68))</f>
        <v/>
      </c>
      <c r="G68" s="35">
        <f>IF(B68="","",COUNTIF($D$38:$D$187,"&gt;"&amp;D68)+1)</f>
        <v/>
      </c>
      <c r="H68" s="35">
        <f>IF(B68="","",INDEX(الموظفات!$L$5:$L$304,MATCH(B68,الموظفات!$B$5:$B$304,0)))</f>
        <v/>
      </c>
      <c r="K68" s="36">
        <f>IF(31&gt;$B$10,"",31)</f>
        <v/>
      </c>
      <c r="L68" s="37">
        <f>IF($K68="","",INDEX('سجل التحفيز'!$A$5:$A$2004,MATCH($K68,'سجل التحفيز'!$AB$5:$AB$2004,0)))</f>
        <v/>
      </c>
      <c r="M68" s="9">
        <f>IF($K68="","",INDEX('سجل التحفيز'!$B$5:$B$2004,MATCH($K68,'سجل التحفيز'!$AB$5:$AB$2004,0)))</f>
        <v/>
      </c>
      <c r="N68" s="9">
        <f>IF($K68="","",INDEX('سجل التحفيز'!$M$5:$M$2004,MATCH($K68,'سجل التحفيز'!$AB$5:$AB$2004,0)))</f>
        <v/>
      </c>
      <c r="O68" s="9">
        <f>IF($K68="","",INDEX('سجل التحفيز'!$C$5:$C$2004,MATCH($K68,'سجل التحفيز'!$AB$5:$AB$2004,0)))</f>
        <v/>
      </c>
      <c r="P68" s="36">
        <f>IF($K68="","",INDEX('سجل التحفيز'!$D$5:$D$2004,MATCH($K68,'سجل التحفيز'!$AB$5:$AB$2004,0)))</f>
        <v/>
      </c>
      <c r="Q68" s="9">
        <f>IF($K68="","",INDEX('سجل التحفيز'!$E$5:$E$2004,MATCH($K68,'سجل التحفيز'!$AB$5:$AB$2004,0)))</f>
        <v/>
      </c>
      <c r="R68" s="9">
        <f>IF($K68="","",INDEX('سجل التحفيز'!$F$5:$F$2004,MATCH($K68,'سجل التحفيز'!$AB$5:$AB$2004,0)))</f>
        <v/>
      </c>
      <c r="S68" s="35">
        <f>IF($K68="","",INDEX('سجل التحفيز'!$G$5:$G$2004,MATCH($K68,'سجل التحفيز'!$AB$5:$AB$2004,0)))</f>
        <v/>
      </c>
    </row>
    <row r="69">
      <c r="B69" s="34">
        <f>IFERROR(INDEX(الموظفات!$B$5:$B$304,MATCH(32,الموظفات!$V$5:$V$304,0)),"")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التحفيز'!$AB$5:$AB$2004,"&gt;0",'سجل التحفيز'!$B$5:$B$2004,B69))</f>
        <v/>
      </c>
      <c r="E69" s="35">
        <f>IF(B69="","",COUNTIFS('سجل التحفيز'!$AB$5:$AB$2004,"&gt;0",'سجل التحفيز'!$B$5:$B$2004,B69,'سجل التحفيز'!$D$5:$D$2004,"ذهبي"))</f>
        <v/>
      </c>
      <c r="F69" s="35">
        <f>IF(B69="","",SUMIFS('سجل التحفيز'!$G$5:$G$2004,'سجل التحفيز'!$AB$5:$AB$2004,"&gt;0",'سجل التحفيز'!$B$5:$B$2004,B69))</f>
        <v/>
      </c>
      <c r="G69" s="35">
        <f>IF(B69="","",COUNTIF($D$38:$D$187,"&gt;"&amp;D69)+1)</f>
        <v/>
      </c>
      <c r="H69" s="35">
        <f>IF(B69="","",INDEX(الموظفات!$L$5:$L$304,MATCH(B69,الموظفات!$B$5:$B$304,0)))</f>
        <v/>
      </c>
      <c r="K69" s="36">
        <f>IF(32&gt;$B$10,"",32)</f>
        <v/>
      </c>
      <c r="L69" s="37">
        <f>IF($K69="","",INDEX('سجل التحفيز'!$A$5:$A$2004,MATCH($K69,'سجل التحفيز'!$AB$5:$AB$2004,0)))</f>
        <v/>
      </c>
      <c r="M69" s="9">
        <f>IF($K69="","",INDEX('سجل التحفيز'!$B$5:$B$2004,MATCH($K69,'سجل التحفيز'!$AB$5:$AB$2004,0)))</f>
        <v/>
      </c>
      <c r="N69" s="9">
        <f>IF($K69="","",INDEX('سجل التحفيز'!$M$5:$M$2004,MATCH($K69,'سجل التحفيز'!$AB$5:$AB$2004,0)))</f>
        <v/>
      </c>
      <c r="O69" s="9">
        <f>IF($K69="","",INDEX('سجل التحفيز'!$C$5:$C$2004,MATCH($K69,'سجل التحفيز'!$AB$5:$AB$2004,0)))</f>
        <v/>
      </c>
      <c r="P69" s="36">
        <f>IF($K69="","",INDEX('سجل التحفيز'!$D$5:$D$2004,MATCH($K69,'سجل التحفيز'!$AB$5:$AB$2004,0)))</f>
        <v/>
      </c>
      <c r="Q69" s="9">
        <f>IF($K69="","",INDEX('سجل التحفيز'!$E$5:$E$2004,MATCH($K69,'سجل التحفيز'!$AB$5:$AB$2004,0)))</f>
        <v/>
      </c>
      <c r="R69" s="9">
        <f>IF($K69="","",INDEX('سجل التحفيز'!$F$5:$F$2004,MATCH($K69,'سجل التحفيز'!$AB$5:$AB$2004,0)))</f>
        <v/>
      </c>
      <c r="S69" s="35">
        <f>IF($K69="","",INDEX('سجل التحفيز'!$G$5:$G$2004,MATCH($K69,'سجل التحفيز'!$AB$5:$AB$2004,0)))</f>
        <v/>
      </c>
    </row>
    <row r="70">
      <c r="B70" s="34">
        <f>IFERROR(INDEX(الموظفات!$B$5:$B$304,MATCH(33,الموظفات!$V$5:$V$304,0)),"")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التحفيز'!$AB$5:$AB$2004,"&gt;0",'سجل التحفيز'!$B$5:$B$2004,B70))</f>
        <v/>
      </c>
      <c r="E70" s="35">
        <f>IF(B70="","",COUNTIFS('سجل التحفيز'!$AB$5:$AB$2004,"&gt;0",'سجل التحفيز'!$B$5:$B$2004,B70,'سجل التحفيز'!$D$5:$D$2004,"ذهبي"))</f>
        <v/>
      </c>
      <c r="F70" s="35">
        <f>IF(B70="","",SUMIFS('سجل التحفيز'!$G$5:$G$2004,'سجل التحفيز'!$AB$5:$AB$2004,"&gt;0",'سجل التحفيز'!$B$5:$B$2004,B70))</f>
        <v/>
      </c>
      <c r="G70" s="35">
        <f>IF(B70="","",COUNTIF($D$38:$D$187,"&gt;"&amp;D70)+1)</f>
        <v/>
      </c>
      <c r="H70" s="35">
        <f>IF(B70="","",INDEX(الموظفات!$L$5:$L$304,MATCH(B70,الموظفات!$B$5:$B$304,0)))</f>
        <v/>
      </c>
      <c r="K70" s="36">
        <f>IF(33&gt;$B$10,"",33)</f>
        <v/>
      </c>
      <c r="L70" s="37">
        <f>IF($K70="","",INDEX('سجل التحفيز'!$A$5:$A$2004,MATCH($K70,'سجل التحفيز'!$AB$5:$AB$2004,0)))</f>
        <v/>
      </c>
      <c r="M70" s="9">
        <f>IF($K70="","",INDEX('سجل التحفيز'!$B$5:$B$2004,MATCH($K70,'سجل التحفيز'!$AB$5:$AB$2004,0)))</f>
        <v/>
      </c>
      <c r="N70" s="9">
        <f>IF($K70="","",INDEX('سجل التحفيز'!$M$5:$M$2004,MATCH($K70,'سجل التحفيز'!$AB$5:$AB$2004,0)))</f>
        <v/>
      </c>
      <c r="O70" s="9">
        <f>IF($K70="","",INDEX('سجل التحفيز'!$C$5:$C$2004,MATCH($K70,'سجل التحفيز'!$AB$5:$AB$2004,0)))</f>
        <v/>
      </c>
      <c r="P70" s="36">
        <f>IF($K70="","",INDEX('سجل التحفيز'!$D$5:$D$2004,MATCH($K70,'سجل التحفيز'!$AB$5:$AB$2004,0)))</f>
        <v/>
      </c>
      <c r="Q70" s="9">
        <f>IF($K70="","",INDEX('سجل التحفيز'!$E$5:$E$2004,MATCH($K70,'سجل التحفيز'!$AB$5:$AB$2004,0)))</f>
        <v/>
      </c>
      <c r="R70" s="9">
        <f>IF($K70="","",INDEX('سجل التحفيز'!$F$5:$F$2004,MATCH($K70,'سجل التحفيز'!$AB$5:$AB$2004,0)))</f>
        <v/>
      </c>
      <c r="S70" s="35">
        <f>IF($K70="","",INDEX('سجل التحفيز'!$G$5:$G$2004,MATCH($K70,'سجل التحفيز'!$AB$5:$AB$2004,0)))</f>
        <v/>
      </c>
    </row>
    <row r="71">
      <c r="B71" s="34">
        <f>IFERROR(INDEX(الموظفات!$B$5:$B$304,MATCH(34,الموظفات!$V$5:$V$304,0)),"")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التحفيز'!$AB$5:$AB$2004,"&gt;0",'سجل التحفيز'!$B$5:$B$2004,B71))</f>
        <v/>
      </c>
      <c r="E71" s="35">
        <f>IF(B71="","",COUNTIFS('سجل التحفيز'!$AB$5:$AB$2004,"&gt;0",'سجل التحفيز'!$B$5:$B$2004,B71,'سجل التحفيز'!$D$5:$D$2004,"ذهبي"))</f>
        <v/>
      </c>
      <c r="F71" s="35">
        <f>IF(B71="","",SUMIFS('سجل التحفيز'!$G$5:$G$2004,'سجل التحفيز'!$AB$5:$AB$2004,"&gt;0",'سجل التحفيز'!$B$5:$B$2004,B71))</f>
        <v/>
      </c>
      <c r="G71" s="35">
        <f>IF(B71="","",COUNTIF($D$38:$D$187,"&gt;"&amp;D71)+1)</f>
        <v/>
      </c>
      <c r="H71" s="35">
        <f>IF(B71="","",INDEX(الموظفات!$L$5:$L$304,MATCH(B71,الموظفات!$B$5:$B$304,0)))</f>
        <v/>
      </c>
      <c r="K71" s="36">
        <f>IF(34&gt;$B$10,"",34)</f>
        <v/>
      </c>
      <c r="L71" s="37">
        <f>IF($K71="","",INDEX('سجل التحفيز'!$A$5:$A$2004,MATCH($K71,'سجل التحفيز'!$AB$5:$AB$2004,0)))</f>
        <v/>
      </c>
      <c r="M71" s="9">
        <f>IF($K71="","",INDEX('سجل التحفيز'!$B$5:$B$2004,MATCH($K71,'سجل التحفيز'!$AB$5:$AB$2004,0)))</f>
        <v/>
      </c>
      <c r="N71" s="9">
        <f>IF($K71="","",INDEX('سجل التحفيز'!$M$5:$M$2004,MATCH($K71,'سجل التحفيز'!$AB$5:$AB$2004,0)))</f>
        <v/>
      </c>
      <c r="O71" s="9">
        <f>IF($K71="","",INDEX('سجل التحفيز'!$C$5:$C$2004,MATCH($K71,'سجل التحفيز'!$AB$5:$AB$2004,0)))</f>
        <v/>
      </c>
      <c r="P71" s="36">
        <f>IF($K71="","",INDEX('سجل التحفيز'!$D$5:$D$2004,MATCH($K71,'سجل التحفيز'!$AB$5:$AB$2004,0)))</f>
        <v/>
      </c>
      <c r="Q71" s="9">
        <f>IF($K71="","",INDEX('سجل التحفيز'!$E$5:$E$2004,MATCH($K71,'سجل التحفيز'!$AB$5:$AB$2004,0)))</f>
        <v/>
      </c>
      <c r="R71" s="9">
        <f>IF($K71="","",INDEX('سجل التحفيز'!$F$5:$F$2004,MATCH($K71,'سجل التحفيز'!$AB$5:$AB$2004,0)))</f>
        <v/>
      </c>
      <c r="S71" s="35">
        <f>IF($K71="","",INDEX('سجل التحفيز'!$G$5:$G$2004,MATCH($K71,'سجل التحفيز'!$AB$5:$AB$2004,0)))</f>
        <v/>
      </c>
    </row>
    <row r="72">
      <c r="B72" s="34">
        <f>IFERROR(INDEX(الموظفات!$B$5:$B$304,MATCH(35,الموظفات!$V$5:$V$304,0)),"")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التحفيز'!$AB$5:$AB$2004,"&gt;0",'سجل التحفيز'!$B$5:$B$2004,B72))</f>
        <v/>
      </c>
      <c r="E72" s="35">
        <f>IF(B72="","",COUNTIFS('سجل التحفيز'!$AB$5:$AB$2004,"&gt;0",'سجل التحفيز'!$B$5:$B$2004,B72,'سجل التحفيز'!$D$5:$D$2004,"ذهبي"))</f>
        <v/>
      </c>
      <c r="F72" s="35">
        <f>IF(B72="","",SUMIFS('سجل التحفيز'!$G$5:$G$2004,'سجل التحفيز'!$AB$5:$AB$2004,"&gt;0",'سجل التحفيز'!$B$5:$B$2004,B72))</f>
        <v/>
      </c>
      <c r="G72" s="35">
        <f>IF(B72="","",COUNTIF($D$38:$D$187,"&gt;"&amp;D72)+1)</f>
        <v/>
      </c>
      <c r="H72" s="35">
        <f>IF(B72="","",INDEX(الموظفات!$L$5:$L$304,MATCH(B72,الموظفات!$B$5:$B$304,0)))</f>
        <v/>
      </c>
      <c r="K72" s="36">
        <f>IF(35&gt;$B$10,"",35)</f>
        <v/>
      </c>
      <c r="L72" s="37">
        <f>IF($K72="","",INDEX('سجل التحفيز'!$A$5:$A$2004,MATCH($K72,'سجل التحفيز'!$AB$5:$AB$2004,0)))</f>
        <v/>
      </c>
      <c r="M72" s="9">
        <f>IF($K72="","",INDEX('سجل التحفيز'!$B$5:$B$2004,MATCH($K72,'سجل التحفيز'!$AB$5:$AB$2004,0)))</f>
        <v/>
      </c>
      <c r="N72" s="9">
        <f>IF($K72="","",INDEX('سجل التحفيز'!$M$5:$M$2004,MATCH($K72,'سجل التحفيز'!$AB$5:$AB$2004,0)))</f>
        <v/>
      </c>
      <c r="O72" s="9">
        <f>IF($K72="","",INDEX('سجل التحفيز'!$C$5:$C$2004,MATCH($K72,'سجل التحفيز'!$AB$5:$AB$2004,0)))</f>
        <v/>
      </c>
      <c r="P72" s="36">
        <f>IF($K72="","",INDEX('سجل التحفيز'!$D$5:$D$2004,MATCH($K72,'سجل التحفيز'!$AB$5:$AB$2004,0)))</f>
        <v/>
      </c>
      <c r="Q72" s="9">
        <f>IF($K72="","",INDEX('سجل التحفيز'!$E$5:$E$2004,MATCH($K72,'سجل التحفيز'!$AB$5:$AB$2004,0)))</f>
        <v/>
      </c>
      <c r="R72" s="9">
        <f>IF($K72="","",INDEX('سجل التحفيز'!$F$5:$F$2004,MATCH($K72,'سجل التحفيز'!$AB$5:$AB$2004,0)))</f>
        <v/>
      </c>
      <c r="S72" s="35">
        <f>IF($K72="","",INDEX('سجل التحفيز'!$G$5:$G$2004,MATCH($K72,'سجل التحفيز'!$AB$5:$AB$2004,0)))</f>
        <v/>
      </c>
    </row>
    <row r="73">
      <c r="B73" s="34">
        <f>IFERROR(INDEX(الموظفات!$B$5:$B$304,MATCH(36,الموظفات!$V$5:$V$304,0)),"")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التحفيز'!$AB$5:$AB$2004,"&gt;0",'سجل التحفيز'!$B$5:$B$2004,B73))</f>
        <v/>
      </c>
      <c r="E73" s="35">
        <f>IF(B73="","",COUNTIFS('سجل التحفيز'!$AB$5:$AB$2004,"&gt;0",'سجل التحفيز'!$B$5:$B$2004,B73,'سجل التحفيز'!$D$5:$D$2004,"ذهبي"))</f>
        <v/>
      </c>
      <c r="F73" s="35">
        <f>IF(B73="","",SUMIFS('سجل التحفيز'!$G$5:$G$2004,'سجل التحفيز'!$AB$5:$AB$2004,"&gt;0",'سجل التحفيز'!$B$5:$B$2004,B73))</f>
        <v/>
      </c>
      <c r="G73" s="35">
        <f>IF(B73="","",COUNTIF($D$38:$D$187,"&gt;"&amp;D73)+1)</f>
        <v/>
      </c>
      <c r="H73" s="35">
        <f>IF(B73="","",INDEX(الموظفات!$L$5:$L$304,MATCH(B73,الموظفات!$B$5:$B$304,0)))</f>
        <v/>
      </c>
      <c r="K73" s="36">
        <f>IF(36&gt;$B$10,"",36)</f>
        <v/>
      </c>
      <c r="L73" s="37">
        <f>IF($K73="","",INDEX('سجل التحفيز'!$A$5:$A$2004,MATCH($K73,'سجل التحفيز'!$AB$5:$AB$2004,0)))</f>
        <v/>
      </c>
      <c r="M73" s="9">
        <f>IF($K73="","",INDEX('سجل التحفيز'!$B$5:$B$2004,MATCH($K73,'سجل التحفيز'!$AB$5:$AB$2004,0)))</f>
        <v/>
      </c>
      <c r="N73" s="9">
        <f>IF($K73="","",INDEX('سجل التحفيز'!$M$5:$M$2004,MATCH($K73,'سجل التحفيز'!$AB$5:$AB$2004,0)))</f>
        <v/>
      </c>
      <c r="O73" s="9">
        <f>IF($K73="","",INDEX('سجل التحفيز'!$C$5:$C$2004,MATCH($K73,'سجل التحفيز'!$AB$5:$AB$2004,0)))</f>
        <v/>
      </c>
      <c r="P73" s="36">
        <f>IF($K73="","",INDEX('سجل التحفيز'!$D$5:$D$2004,MATCH($K73,'سجل التحفيز'!$AB$5:$AB$2004,0)))</f>
        <v/>
      </c>
      <c r="Q73" s="9">
        <f>IF($K73="","",INDEX('سجل التحفيز'!$E$5:$E$2004,MATCH($K73,'سجل التحفيز'!$AB$5:$AB$2004,0)))</f>
        <v/>
      </c>
      <c r="R73" s="9">
        <f>IF($K73="","",INDEX('سجل التحفيز'!$F$5:$F$2004,MATCH($K73,'سجل التحفيز'!$AB$5:$AB$2004,0)))</f>
        <v/>
      </c>
      <c r="S73" s="35">
        <f>IF($K73="","",INDEX('سجل التحفيز'!$G$5:$G$2004,MATCH($K73,'سجل التحفيز'!$AB$5:$AB$2004,0)))</f>
        <v/>
      </c>
    </row>
    <row r="74">
      <c r="B74" s="34">
        <f>IFERROR(INDEX(الموظفات!$B$5:$B$304,MATCH(37,الموظفات!$V$5:$V$304,0)),"")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التحفيز'!$AB$5:$AB$2004,"&gt;0",'سجل التحفيز'!$B$5:$B$2004,B74))</f>
        <v/>
      </c>
      <c r="E74" s="35">
        <f>IF(B74="","",COUNTIFS('سجل التحفيز'!$AB$5:$AB$2004,"&gt;0",'سجل التحفيز'!$B$5:$B$2004,B74,'سجل التحفيز'!$D$5:$D$2004,"ذهبي"))</f>
        <v/>
      </c>
      <c r="F74" s="35">
        <f>IF(B74="","",SUMIFS('سجل التحفيز'!$G$5:$G$2004,'سجل التحفيز'!$AB$5:$AB$2004,"&gt;0",'سجل التحفيز'!$B$5:$B$2004,B74))</f>
        <v/>
      </c>
      <c r="G74" s="35">
        <f>IF(B74="","",COUNTIF($D$38:$D$187,"&gt;"&amp;D74)+1)</f>
        <v/>
      </c>
      <c r="H74" s="35">
        <f>IF(B74="","",INDEX(الموظفات!$L$5:$L$304,MATCH(B74,الموظفات!$B$5:$B$304,0)))</f>
        <v/>
      </c>
      <c r="K74" s="36">
        <f>IF(37&gt;$B$10,"",37)</f>
        <v/>
      </c>
      <c r="L74" s="37">
        <f>IF($K74="","",INDEX('سجل التحفيز'!$A$5:$A$2004,MATCH($K74,'سجل التحفيز'!$AB$5:$AB$2004,0)))</f>
        <v/>
      </c>
      <c r="M74" s="9">
        <f>IF($K74="","",INDEX('سجل التحفيز'!$B$5:$B$2004,MATCH($K74,'سجل التحفيز'!$AB$5:$AB$2004,0)))</f>
        <v/>
      </c>
      <c r="N74" s="9">
        <f>IF($K74="","",INDEX('سجل التحفيز'!$M$5:$M$2004,MATCH($K74,'سجل التحفيز'!$AB$5:$AB$2004,0)))</f>
        <v/>
      </c>
      <c r="O74" s="9">
        <f>IF($K74="","",INDEX('سجل التحفيز'!$C$5:$C$2004,MATCH($K74,'سجل التحفيز'!$AB$5:$AB$2004,0)))</f>
        <v/>
      </c>
      <c r="P74" s="36">
        <f>IF($K74="","",INDEX('سجل التحفيز'!$D$5:$D$2004,MATCH($K74,'سجل التحفيز'!$AB$5:$AB$2004,0)))</f>
        <v/>
      </c>
      <c r="Q74" s="9">
        <f>IF($K74="","",INDEX('سجل التحفيز'!$E$5:$E$2004,MATCH($K74,'سجل التحفيز'!$AB$5:$AB$2004,0)))</f>
        <v/>
      </c>
      <c r="R74" s="9">
        <f>IF($K74="","",INDEX('سجل التحفيز'!$F$5:$F$2004,MATCH($K74,'سجل التحفيز'!$AB$5:$AB$2004,0)))</f>
        <v/>
      </c>
      <c r="S74" s="35">
        <f>IF($K74="","",INDEX('سجل التحفيز'!$G$5:$G$2004,MATCH($K74,'سجل التحفيز'!$AB$5:$AB$2004,0)))</f>
        <v/>
      </c>
    </row>
    <row r="75">
      <c r="B75" s="34">
        <f>IFERROR(INDEX(الموظفات!$B$5:$B$304,MATCH(38,الموظفات!$V$5:$V$304,0)),"")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التحفيز'!$AB$5:$AB$2004,"&gt;0",'سجل التحفيز'!$B$5:$B$2004,B75))</f>
        <v/>
      </c>
      <c r="E75" s="35">
        <f>IF(B75="","",COUNTIFS('سجل التحفيز'!$AB$5:$AB$2004,"&gt;0",'سجل التحفيز'!$B$5:$B$2004,B75,'سجل التحفيز'!$D$5:$D$2004,"ذهبي"))</f>
        <v/>
      </c>
      <c r="F75" s="35">
        <f>IF(B75="","",SUMIFS('سجل التحفيز'!$G$5:$G$2004,'سجل التحفيز'!$AB$5:$AB$2004,"&gt;0",'سجل التحفيز'!$B$5:$B$2004,B75))</f>
        <v/>
      </c>
      <c r="G75" s="35">
        <f>IF(B75="","",COUNTIF($D$38:$D$187,"&gt;"&amp;D75)+1)</f>
        <v/>
      </c>
      <c r="H75" s="35">
        <f>IF(B75="","",INDEX(الموظفات!$L$5:$L$304,MATCH(B75,الموظفات!$B$5:$B$304,0)))</f>
        <v/>
      </c>
      <c r="K75" s="36">
        <f>IF(38&gt;$B$10,"",38)</f>
        <v/>
      </c>
      <c r="L75" s="37">
        <f>IF($K75="","",INDEX('سجل التحفيز'!$A$5:$A$2004,MATCH($K75,'سجل التحفيز'!$AB$5:$AB$2004,0)))</f>
        <v/>
      </c>
      <c r="M75" s="9">
        <f>IF($K75="","",INDEX('سجل التحفيز'!$B$5:$B$2004,MATCH($K75,'سجل التحفيز'!$AB$5:$AB$2004,0)))</f>
        <v/>
      </c>
      <c r="N75" s="9">
        <f>IF($K75="","",INDEX('سجل التحفيز'!$M$5:$M$2004,MATCH($K75,'سجل التحفيز'!$AB$5:$AB$2004,0)))</f>
        <v/>
      </c>
      <c r="O75" s="9">
        <f>IF($K75="","",INDEX('سجل التحفيز'!$C$5:$C$2004,MATCH($K75,'سجل التحفيز'!$AB$5:$AB$2004,0)))</f>
        <v/>
      </c>
      <c r="P75" s="36">
        <f>IF($K75="","",INDEX('سجل التحفيز'!$D$5:$D$2004,MATCH($K75,'سجل التحفيز'!$AB$5:$AB$2004,0)))</f>
        <v/>
      </c>
      <c r="Q75" s="9">
        <f>IF($K75="","",INDEX('سجل التحفيز'!$E$5:$E$2004,MATCH($K75,'سجل التحفيز'!$AB$5:$AB$2004,0)))</f>
        <v/>
      </c>
      <c r="R75" s="9">
        <f>IF($K75="","",INDEX('سجل التحفيز'!$F$5:$F$2004,MATCH($K75,'سجل التحفيز'!$AB$5:$AB$2004,0)))</f>
        <v/>
      </c>
      <c r="S75" s="35">
        <f>IF($K75="","",INDEX('سجل التحفيز'!$G$5:$G$2004,MATCH($K75,'سجل التحفيز'!$AB$5:$AB$2004,0)))</f>
        <v/>
      </c>
    </row>
    <row r="76">
      <c r="B76" s="34">
        <f>IFERROR(INDEX(الموظفات!$B$5:$B$304,MATCH(39,الموظفات!$V$5:$V$304,0)),"")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التحفيز'!$AB$5:$AB$2004,"&gt;0",'سجل التحفيز'!$B$5:$B$2004,B76))</f>
        <v/>
      </c>
      <c r="E76" s="35">
        <f>IF(B76="","",COUNTIFS('سجل التحفيز'!$AB$5:$AB$2004,"&gt;0",'سجل التحفيز'!$B$5:$B$2004,B76,'سجل التحفيز'!$D$5:$D$2004,"ذهبي"))</f>
        <v/>
      </c>
      <c r="F76" s="35">
        <f>IF(B76="","",SUMIFS('سجل التحفيز'!$G$5:$G$2004,'سجل التحفيز'!$AB$5:$AB$2004,"&gt;0",'سجل التحفيز'!$B$5:$B$2004,B76))</f>
        <v/>
      </c>
      <c r="G76" s="35">
        <f>IF(B76="","",COUNTIF($D$38:$D$187,"&gt;"&amp;D76)+1)</f>
        <v/>
      </c>
      <c r="H76" s="35">
        <f>IF(B76="","",INDEX(الموظفات!$L$5:$L$304,MATCH(B76,الموظفات!$B$5:$B$304,0)))</f>
        <v/>
      </c>
      <c r="K76" s="36">
        <f>IF(39&gt;$B$10,"",39)</f>
        <v/>
      </c>
      <c r="L76" s="37">
        <f>IF($K76="","",INDEX('سجل التحفيز'!$A$5:$A$2004,MATCH($K76,'سجل التحفيز'!$AB$5:$AB$2004,0)))</f>
        <v/>
      </c>
      <c r="M76" s="9">
        <f>IF($K76="","",INDEX('سجل التحفيز'!$B$5:$B$2004,MATCH($K76,'سجل التحفيز'!$AB$5:$AB$2004,0)))</f>
        <v/>
      </c>
      <c r="N76" s="9">
        <f>IF($K76="","",INDEX('سجل التحفيز'!$M$5:$M$2004,MATCH($K76,'سجل التحفيز'!$AB$5:$AB$2004,0)))</f>
        <v/>
      </c>
      <c r="O76" s="9">
        <f>IF($K76="","",INDEX('سجل التحفيز'!$C$5:$C$2004,MATCH($K76,'سجل التحفيز'!$AB$5:$AB$2004,0)))</f>
        <v/>
      </c>
      <c r="P76" s="36">
        <f>IF($K76="","",INDEX('سجل التحفيز'!$D$5:$D$2004,MATCH($K76,'سجل التحفيز'!$AB$5:$AB$2004,0)))</f>
        <v/>
      </c>
      <c r="Q76" s="9">
        <f>IF($K76="","",INDEX('سجل التحفيز'!$E$5:$E$2004,MATCH($K76,'سجل التحفيز'!$AB$5:$AB$2004,0)))</f>
        <v/>
      </c>
      <c r="R76" s="9">
        <f>IF($K76="","",INDEX('سجل التحفيز'!$F$5:$F$2004,MATCH($K76,'سجل التحفيز'!$AB$5:$AB$2004,0)))</f>
        <v/>
      </c>
      <c r="S76" s="35">
        <f>IF($K76="","",INDEX('سجل التحفيز'!$G$5:$G$2004,MATCH($K76,'سجل التحفيز'!$AB$5:$AB$2004,0)))</f>
        <v/>
      </c>
    </row>
    <row r="77">
      <c r="B77" s="34">
        <f>IFERROR(INDEX(الموظفات!$B$5:$B$304,MATCH(40,الموظفات!$V$5:$V$304,0)),"")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التحفيز'!$AB$5:$AB$2004,"&gt;0",'سجل التحفيز'!$B$5:$B$2004,B77))</f>
        <v/>
      </c>
      <c r="E77" s="35">
        <f>IF(B77="","",COUNTIFS('سجل التحفيز'!$AB$5:$AB$2004,"&gt;0",'سجل التحفيز'!$B$5:$B$2004,B77,'سجل التحفيز'!$D$5:$D$2004,"ذهبي"))</f>
        <v/>
      </c>
      <c r="F77" s="35">
        <f>IF(B77="","",SUMIFS('سجل التحفيز'!$G$5:$G$2004,'سجل التحفيز'!$AB$5:$AB$2004,"&gt;0",'سجل التحفيز'!$B$5:$B$2004,B77))</f>
        <v/>
      </c>
      <c r="G77" s="35">
        <f>IF(B77="","",COUNTIF($D$38:$D$187,"&gt;"&amp;D77)+1)</f>
        <v/>
      </c>
      <c r="H77" s="35">
        <f>IF(B77="","",INDEX(الموظفات!$L$5:$L$304,MATCH(B77,الموظفات!$B$5:$B$304,0)))</f>
        <v/>
      </c>
      <c r="K77" s="36">
        <f>IF(40&gt;$B$10,"",40)</f>
        <v/>
      </c>
      <c r="L77" s="37">
        <f>IF($K77="","",INDEX('سجل التحفيز'!$A$5:$A$2004,MATCH($K77,'سجل التحفيز'!$AB$5:$AB$2004,0)))</f>
        <v/>
      </c>
      <c r="M77" s="9">
        <f>IF($K77="","",INDEX('سجل التحفيز'!$B$5:$B$2004,MATCH($K77,'سجل التحفيز'!$AB$5:$AB$2004,0)))</f>
        <v/>
      </c>
      <c r="N77" s="9">
        <f>IF($K77="","",INDEX('سجل التحفيز'!$M$5:$M$2004,MATCH($K77,'سجل التحفيز'!$AB$5:$AB$2004,0)))</f>
        <v/>
      </c>
      <c r="O77" s="9">
        <f>IF($K77="","",INDEX('سجل التحفيز'!$C$5:$C$2004,MATCH($K77,'سجل التحفيز'!$AB$5:$AB$2004,0)))</f>
        <v/>
      </c>
      <c r="P77" s="36">
        <f>IF($K77="","",INDEX('سجل التحفيز'!$D$5:$D$2004,MATCH($K77,'سجل التحفيز'!$AB$5:$AB$2004,0)))</f>
        <v/>
      </c>
      <c r="Q77" s="9">
        <f>IF($K77="","",INDEX('سجل التحفيز'!$E$5:$E$2004,MATCH($K77,'سجل التحفيز'!$AB$5:$AB$2004,0)))</f>
        <v/>
      </c>
      <c r="R77" s="9">
        <f>IF($K77="","",INDEX('سجل التحفيز'!$F$5:$F$2004,MATCH($K77,'سجل التحفيز'!$AB$5:$AB$2004,0)))</f>
        <v/>
      </c>
      <c r="S77" s="35">
        <f>IF($K77="","",INDEX('سجل التحفيز'!$G$5:$G$2004,MATCH($K77,'سجل التحفيز'!$AB$5:$AB$2004,0)))</f>
        <v/>
      </c>
    </row>
    <row r="78">
      <c r="B78" s="34">
        <f>IFERROR(INDEX(الموظفات!$B$5:$B$304,MATCH(41,الموظفات!$V$5:$V$304,0)),"")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التحفيز'!$AB$5:$AB$2004,"&gt;0",'سجل التحفيز'!$B$5:$B$2004,B78))</f>
        <v/>
      </c>
      <c r="E78" s="35">
        <f>IF(B78="","",COUNTIFS('سجل التحفيز'!$AB$5:$AB$2004,"&gt;0",'سجل التحفيز'!$B$5:$B$2004,B78,'سجل التحفيز'!$D$5:$D$2004,"ذهبي"))</f>
        <v/>
      </c>
      <c r="F78" s="35">
        <f>IF(B78="","",SUMIFS('سجل التحفيز'!$G$5:$G$2004,'سجل التحفيز'!$AB$5:$AB$2004,"&gt;0",'سجل التحفيز'!$B$5:$B$2004,B78))</f>
        <v/>
      </c>
      <c r="G78" s="35">
        <f>IF(B78="","",COUNTIF($D$38:$D$187,"&gt;"&amp;D78)+1)</f>
        <v/>
      </c>
      <c r="H78" s="35">
        <f>IF(B78="","",INDEX(الموظفات!$L$5:$L$304,MATCH(B78,الموظفات!$B$5:$B$304,0)))</f>
        <v/>
      </c>
      <c r="K78" s="36">
        <f>IF(41&gt;$B$10,"",41)</f>
        <v/>
      </c>
      <c r="L78" s="37">
        <f>IF($K78="","",INDEX('سجل التحفيز'!$A$5:$A$2004,MATCH($K78,'سجل التحفيز'!$AB$5:$AB$2004,0)))</f>
        <v/>
      </c>
      <c r="M78" s="9">
        <f>IF($K78="","",INDEX('سجل التحفيز'!$B$5:$B$2004,MATCH($K78,'سجل التحفيز'!$AB$5:$AB$2004,0)))</f>
        <v/>
      </c>
      <c r="N78" s="9">
        <f>IF($K78="","",INDEX('سجل التحفيز'!$M$5:$M$2004,MATCH($K78,'سجل التحفيز'!$AB$5:$AB$2004,0)))</f>
        <v/>
      </c>
      <c r="O78" s="9">
        <f>IF($K78="","",INDEX('سجل التحفيز'!$C$5:$C$2004,MATCH($K78,'سجل التحفيز'!$AB$5:$AB$2004,0)))</f>
        <v/>
      </c>
      <c r="P78" s="36">
        <f>IF($K78="","",INDEX('سجل التحفيز'!$D$5:$D$2004,MATCH($K78,'سجل التحفيز'!$AB$5:$AB$2004,0)))</f>
        <v/>
      </c>
      <c r="Q78" s="9">
        <f>IF($K78="","",INDEX('سجل التحفيز'!$E$5:$E$2004,MATCH($K78,'سجل التحفيز'!$AB$5:$AB$2004,0)))</f>
        <v/>
      </c>
      <c r="R78" s="9">
        <f>IF($K78="","",INDEX('سجل التحفيز'!$F$5:$F$2004,MATCH($K78,'سجل التحفيز'!$AB$5:$AB$2004,0)))</f>
        <v/>
      </c>
      <c r="S78" s="35">
        <f>IF($K78="","",INDEX('سجل التحفيز'!$G$5:$G$2004,MATCH($K78,'سجل التحفيز'!$AB$5:$AB$2004,0)))</f>
        <v/>
      </c>
    </row>
    <row r="79">
      <c r="B79" s="34">
        <f>IFERROR(INDEX(الموظفات!$B$5:$B$304,MATCH(42,الموظفات!$V$5:$V$304,0)),"")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التحفيز'!$AB$5:$AB$2004,"&gt;0",'سجل التحفيز'!$B$5:$B$2004,B79))</f>
        <v/>
      </c>
      <c r="E79" s="35">
        <f>IF(B79="","",COUNTIFS('سجل التحفيز'!$AB$5:$AB$2004,"&gt;0",'سجل التحفيز'!$B$5:$B$2004,B79,'سجل التحفيز'!$D$5:$D$2004,"ذهبي"))</f>
        <v/>
      </c>
      <c r="F79" s="35">
        <f>IF(B79="","",SUMIFS('سجل التحفيز'!$G$5:$G$2004,'سجل التحفيز'!$AB$5:$AB$2004,"&gt;0",'سجل التحفيز'!$B$5:$B$2004,B79))</f>
        <v/>
      </c>
      <c r="G79" s="35">
        <f>IF(B79="","",COUNTIF($D$38:$D$187,"&gt;"&amp;D79)+1)</f>
        <v/>
      </c>
      <c r="H79" s="35">
        <f>IF(B79="","",INDEX(الموظفات!$L$5:$L$304,MATCH(B79,الموظفات!$B$5:$B$304,0)))</f>
        <v/>
      </c>
      <c r="K79" s="36">
        <f>IF(42&gt;$B$10,"",42)</f>
        <v/>
      </c>
      <c r="L79" s="37">
        <f>IF($K79="","",INDEX('سجل التحفيز'!$A$5:$A$2004,MATCH($K79,'سجل التحفيز'!$AB$5:$AB$2004,0)))</f>
        <v/>
      </c>
      <c r="M79" s="9">
        <f>IF($K79="","",INDEX('سجل التحفيز'!$B$5:$B$2004,MATCH($K79,'سجل التحفيز'!$AB$5:$AB$2004,0)))</f>
        <v/>
      </c>
      <c r="N79" s="9">
        <f>IF($K79="","",INDEX('سجل التحفيز'!$M$5:$M$2004,MATCH($K79,'سجل التحفيز'!$AB$5:$AB$2004,0)))</f>
        <v/>
      </c>
      <c r="O79" s="9">
        <f>IF($K79="","",INDEX('سجل التحفيز'!$C$5:$C$2004,MATCH($K79,'سجل التحفيز'!$AB$5:$AB$2004,0)))</f>
        <v/>
      </c>
      <c r="P79" s="36">
        <f>IF($K79="","",INDEX('سجل التحفيز'!$D$5:$D$2004,MATCH($K79,'سجل التحفيز'!$AB$5:$AB$2004,0)))</f>
        <v/>
      </c>
      <c r="Q79" s="9">
        <f>IF($K79="","",INDEX('سجل التحفيز'!$E$5:$E$2004,MATCH($K79,'سجل التحفيز'!$AB$5:$AB$2004,0)))</f>
        <v/>
      </c>
      <c r="R79" s="9">
        <f>IF($K79="","",INDEX('سجل التحفيز'!$F$5:$F$2004,MATCH($K79,'سجل التحفيز'!$AB$5:$AB$2004,0)))</f>
        <v/>
      </c>
      <c r="S79" s="35">
        <f>IF($K79="","",INDEX('سجل التحفيز'!$G$5:$G$2004,MATCH($K79,'سجل التحفيز'!$AB$5:$AB$2004,0)))</f>
        <v/>
      </c>
    </row>
    <row r="80">
      <c r="B80" s="34">
        <f>IFERROR(INDEX(الموظفات!$B$5:$B$304,MATCH(43,الموظفات!$V$5:$V$304,0)),"")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التحفيز'!$AB$5:$AB$2004,"&gt;0",'سجل التحفيز'!$B$5:$B$2004,B80))</f>
        <v/>
      </c>
      <c r="E80" s="35">
        <f>IF(B80="","",COUNTIFS('سجل التحفيز'!$AB$5:$AB$2004,"&gt;0",'سجل التحفيز'!$B$5:$B$2004,B80,'سجل التحفيز'!$D$5:$D$2004,"ذهبي"))</f>
        <v/>
      </c>
      <c r="F80" s="35">
        <f>IF(B80="","",SUMIFS('سجل التحفيز'!$G$5:$G$2004,'سجل التحفيز'!$AB$5:$AB$2004,"&gt;0",'سجل التحفيز'!$B$5:$B$2004,B80))</f>
        <v/>
      </c>
      <c r="G80" s="35">
        <f>IF(B80="","",COUNTIF($D$38:$D$187,"&gt;"&amp;D80)+1)</f>
        <v/>
      </c>
      <c r="H80" s="35">
        <f>IF(B80="","",INDEX(الموظفات!$L$5:$L$304,MATCH(B80,الموظفات!$B$5:$B$304,0)))</f>
        <v/>
      </c>
      <c r="K80" s="36">
        <f>IF(43&gt;$B$10,"",43)</f>
        <v/>
      </c>
      <c r="L80" s="37">
        <f>IF($K80="","",INDEX('سجل التحفيز'!$A$5:$A$2004,MATCH($K80,'سجل التحفيز'!$AB$5:$AB$2004,0)))</f>
        <v/>
      </c>
      <c r="M80" s="9">
        <f>IF($K80="","",INDEX('سجل التحفيز'!$B$5:$B$2004,MATCH($K80,'سجل التحفيز'!$AB$5:$AB$2004,0)))</f>
        <v/>
      </c>
      <c r="N80" s="9">
        <f>IF($K80="","",INDEX('سجل التحفيز'!$M$5:$M$2004,MATCH($K80,'سجل التحفيز'!$AB$5:$AB$2004,0)))</f>
        <v/>
      </c>
      <c r="O80" s="9">
        <f>IF($K80="","",INDEX('سجل التحفيز'!$C$5:$C$2004,MATCH($K80,'سجل التحفيز'!$AB$5:$AB$2004,0)))</f>
        <v/>
      </c>
      <c r="P80" s="36">
        <f>IF($K80="","",INDEX('سجل التحفيز'!$D$5:$D$2004,MATCH($K80,'سجل التحفيز'!$AB$5:$AB$2004,0)))</f>
        <v/>
      </c>
      <c r="Q80" s="9">
        <f>IF($K80="","",INDEX('سجل التحفيز'!$E$5:$E$2004,MATCH($K80,'سجل التحفيز'!$AB$5:$AB$2004,0)))</f>
        <v/>
      </c>
      <c r="R80" s="9">
        <f>IF($K80="","",INDEX('سجل التحفيز'!$F$5:$F$2004,MATCH($K80,'سجل التحفيز'!$AB$5:$AB$2004,0)))</f>
        <v/>
      </c>
      <c r="S80" s="35">
        <f>IF($K80="","",INDEX('سجل التحفيز'!$G$5:$G$2004,MATCH($K80,'سجل التحفيز'!$AB$5:$AB$2004,0)))</f>
        <v/>
      </c>
    </row>
    <row r="81">
      <c r="B81" s="34">
        <f>IFERROR(INDEX(الموظفات!$B$5:$B$304,MATCH(44,الموظفات!$V$5:$V$304,0)),"")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التحفيز'!$AB$5:$AB$2004,"&gt;0",'سجل التحفيز'!$B$5:$B$2004,B81))</f>
        <v/>
      </c>
      <c r="E81" s="35">
        <f>IF(B81="","",COUNTIFS('سجل التحفيز'!$AB$5:$AB$2004,"&gt;0",'سجل التحفيز'!$B$5:$B$2004,B81,'سجل التحفيز'!$D$5:$D$2004,"ذهبي"))</f>
        <v/>
      </c>
      <c r="F81" s="35">
        <f>IF(B81="","",SUMIFS('سجل التحفيز'!$G$5:$G$2004,'سجل التحفيز'!$AB$5:$AB$2004,"&gt;0",'سجل التحفيز'!$B$5:$B$2004,B81))</f>
        <v/>
      </c>
      <c r="G81" s="35">
        <f>IF(B81="","",COUNTIF($D$38:$D$187,"&gt;"&amp;D81)+1)</f>
        <v/>
      </c>
      <c r="H81" s="35">
        <f>IF(B81="","",INDEX(الموظفات!$L$5:$L$304,MATCH(B81,الموظفات!$B$5:$B$304,0)))</f>
        <v/>
      </c>
      <c r="K81" s="36">
        <f>IF(44&gt;$B$10,"",44)</f>
        <v/>
      </c>
      <c r="L81" s="37">
        <f>IF($K81="","",INDEX('سجل التحفيز'!$A$5:$A$2004,MATCH($K81,'سجل التحفيز'!$AB$5:$AB$2004,0)))</f>
        <v/>
      </c>
      <c r="M81" s="9">
        <f>IF($K81="","",INDEX('سجل التحفيز'!$B$5:$B$2004,MATCH($K81,'سجل التحفيز'!$AB$5:$AB$2004,0)))</f>
        <v/>
      </c>
      <c r="N81" s="9">
        <f>IF($K81="","",INDEX('سجل التحفيز'!$M$5:$M$2004,MATCH($K81,'سجل التحفيز'!$AB$5:$AB$2004,0)))</f>
        <v/>
      </c>
      <c r="O81" s="9">
        <f>IF($K81="","",INDEX('سجل التحفيز'!$C$5:$C$2004,MATCH($K81,'سجل التحفيز'!$AB$5:$AB$2004,0)))</f>
        <v/>
      </c>
      <c r="P81" s="36">
        <f>IF($K81="","",INDEX('سجل التحفيز'!$D$5:$D$2004,MATCH($K81,'سجل التحفيز'!$AB$5:$AB$2004,0)))</f>
        <v/>
      </c>
      <c r="Q81" s="9">
        <f>IF($K81="","",INDEX('سجل التحفيز'!$E$5:$E$2004,MATCH($K81,'سجل التحفيز'!$AB$5:$AB$2004,0)))</f>
        <v/>
      </c>
      <c r="R81" s="9">
        <f>IF($K81="","",INDEX('سجل التحفيز'!$F$5:$F$2004,MATCH($K81,'سجل التحفيز'!$AB$5:$AB$2004,0)))</f>
        <v/>
      </c>
      <c r="S81" s="35">
        <f>IF($K81="","",INDEX('سجل التحفيز'!$G$5:$G$2004,MATCH($K81,'سجل التحفيز'!$AB$5:$AB$2004,0)))</f>
        <v/>
      </c>
    </row>
    <row r="82">
      <c r="B82" s="34">
        <f>IFERROR(INDEX(الموظفات!$B$5:$B$304,MATCH(45,الموظفات!$V$5:$V$304,0)),"")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التحفيز'!$AB$5:$AB$2004,"&gt;0",'سجل التحفيز'!$B$5:$B$2004,B82))</f>
        <v/>
      </c>
      <c r="E82" s="35">
        <f>IF(B82="","",COUNTIFS('سجل التحفيز'!$AB$5:$AB$2004,"&gt;0",'سجل التحفيز'!$B$5:$B$2004,B82,'سجل التحفيز'!$D$5:$D$2004,"ذهبي"))</f>
        <v/>
      </c>
      <c r="F82" s="35">
        <f>IF(B82="","",SUMIFS('سجل التحفيز'!$G$5:$G$2004,'سجل التحفيز'!$AB$5:$AB$2004,"&gt;0",'سجل التحفيز'!$B$5:$B$2004,B82))</f>
        <v/>
      </c>
      <c r="G82" s="35">
        <f>IF(B82="","",COUNTIF($D$38:$D$187,"&gt;"&amp;D82)+1)</f>
        <v/>
      </c>
      <c r="H82" s="35">
        <f>IF(B82="","",INDEX(الموظفات!$L$5:$L$304,MATCH(B82,الموظفات!$B$5:$B$304,0)))</f>
        <v/>
      </c>
      <c r="K82" s="36">
        <f>IF(45&gt;$B$10,"",45)</f>
        <v/>
      </c>
      <c r="L82" s="37">
        <f>IF($K82="","",INDEX('سجل التحفيز'!$A$5:$A$2004,MATCH($K82,'سجل التحفيز'!$AB$5:$AB$2004,0)))</f>
        <v/>
      </c>
      <c r="M82" s="9">
        <f>IF($K82="","",INDEX('سجل التحفيز'!$B$5:$B$2004,MATCH($K82,'سجل التحفيز'!$AB$5:$AB$2004,0)))</f>
        <v/>
      </c>
      <c r="N82" s="9">
        <f>IF($K82="","",INDEX('سجل التحفيز'!$M$5:$M$2004,MATCH($K82,'سجل التحفيز'!$AB$5:$AB$2004,0)))</f>
        <v/>
      </c>
      <c r="O82" s="9">
        <f>IF($K82="","",INDEX('سجل التحفيز'!$C$5:$C$2004,MATCH($K82,'سجل التحفيز'!$AB$5:$AB$2004,0)))</f>
        <v/>
      </c>
      <c r="P82" s="36">
        <f>IF($K82="","",INDEX('سجل التحفيز'!$D$5:$D$2004,MATCH($K82,'سجل التحفيز'!$AB$5:$AB$2004,0)))</f>
        <v/>
      </c>
      <c r="Q82" s="9">
        <f>IF($K82="","",INDEX('سجل التحفيز'!$E$5:$E$2004,MATCH($K82,'سجل التحفيز'!$AB$5:$AB$2004,0)))</f>
        <v/>
      </c>
      <c r="R82" s="9">
        <f>IF($K82="","",INDEX('سجل التحفيز'!$F$5:$F$2004,MATCH($K82,'سجل التحفيز'!$AB$5:$AB$2004,0)))</f>
        <v/>
      </c>
      <c r="S82" s="35">
        <f>IF($K82="","",INDEX('سجل التحفيز'!$G$5:$G$2004,MATCH($K82,'سجل التحفيز'!$AB$5:$AB$2004,0)))</f>
        <v/>
      </c>
    </row>
    <row r="83">
      <c r="B83" s="34">
        <f>IFERROR(INDEX(الموظفات!$B$5:$B$304,MATCH(46,الموظفات!$V$5:$V$304,0)),"")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التحفيز'!$AB$5:$AB$2004,"&gt;0",'سجل التحفيز'!$B$5:$B$2004,B83))</f>
        <v/>
      </c>
      <c r="E83" s="35">
        <f>IF(B83="","",COUNTIFS('سجل التحفيز'!$AB$5:$AB$2004,"&gt;0",'سجل التحفيز'!$B$5:$B$2004,B83,'سجل التحفيز'!$D$5:$D$2004,"ذهبي"))</f>
        <v/>
      </c>
      <c r="F83" s="35">
        <f>IF(B83="","",SUMIFS('سجل التحفيز'!$G$5:$G$2004,'سجل التحفيز'!$AB$5:$AB$2004,"&gt;0",'سجل التحفيز'!$B$5:$B$2004,B83))</f>
        <v/>
      </c>
      <c r="G83" s="35">
        <f>IF(B83="","",COUNTIF($D$38:$D$187,"&gt;"&amp;D83)+1)</f>
        <v/>
      </c>
      <c r="H83" s="35">
        <f>IF(B83="","",INDEX(الموظفات!$L$5:$L$304,MATCH(B83,الموظفات!$B$5:$B$304,0)))</f>
        <v/>
      </c>
      <c r="K83" s="36">
        <f>IF(46&gt;$B$10,"",46)</f>
        <v/>
      </c>
      <c r="L83" s="37">
        <f>IF($K83="","",INDEX('سجل التحفيز'!$A$5:$A$2004,MATCH($K83,'سجل التحفيز'!$AB$5:$AB$2004,0)))</f>
        <v/>
      </c>
      <c r="M83" s="9">
        <f>IF($K83="","",INDEX('سجل التحفيز'!$B$5:$B$2004,MATCH($K83,'سجل التحفيز'!$AB$5:$AB$2004,0)))</f>
        <v/>
      </c>
      <c r="N83" s="9">
        <f>IF($K83="","",INDEX('سجل التحفيز'!$M$5:$M$2004,MATCH($K83,'سجل التحفيز'!$AB$5:$AB$2004,0)))</f>
        <v/>
      </c>
      <c r="O83" s="9">
        <f>IF($K83="","",INDEX('سجل التحفيز'!$C$5:$C$2004,MATCH($K83,'سجل التحفيز'!$AB$5:$AB$2004,0)))</f>
        <v/>
      </c>
      <c r="P83" s="36">
        <f>IF($K83="","",INDEX('سجل التحفيز'!$D$5:$D$2004,MATCH($K83,'سجل التحفيز'!$AB$5:$AB$2004,0)))</f>
        <v/>
      </c>
      <c r="Q83" s="9">
        <f>IF($K83="","",INDEX('سجل التحفيز'!$E$5:$E$2004,MATCH($K83,'سجل التحفيز'!$AB$5:$AB$2004,0)))</f>
        <v/>
      </c>
      <c r="R83" s="9">
        <f>IF($K83="","",INDEX('سجل التحفيز'!$F$5:$F$2004,MATCH($K83,'سجل التحفيز'!$AB$5:$AB$2004,0)))</f>
        <v/>
      </c>
      <c r="S83" s="35">
        <f>IF($K83="","",INDEX('سجل التحفيز'!$G$5:$G$2004,MATCH($K83,'سجل التحفيز'!$AB$5:$AB$2004,0)))</f>
        <v/>
      </c>
    </row>
    <row r="84">
      <c r="B84" s="34">
        <f>IFERROR(INDEX(الموظفات!$B$5:$B$304,MATCH(47,الموظفات!$V$5:$V$304,0)),"")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التحفيز'!$AB$5:$AB$2004,"&gt;0",'سجل التحفيز'!$B$5:$B$2004,B84))</f>
        <v/>
      </c>
      <c r="E84" s="35">
        <f>IF(B84="","",COUNTIFS('سجل التحفيز'!$AB$5:$AB$2004,"&gt;0",'سجل التحفيز'!$B$5:$B$2004,B84,'سجل التحفيز'!$D$5:$D$2004,"ذهبي"))</f>
        <v/>
      </c>
      <c r="F84" s="35">
        <f>IF(B84="","",SUMIFS('سجل التحفيز'!$G$5:$G$2004,'سجل التحفيز'!$AB$5:$AB$2004,"&gt;0",'سجل التحفيز'!$B$5:$B$2004,B84))</f>
        <v/>
      </c>
      <c r="G84" s="35">
        <f>IF(B84="","",COUNTIF($D$38:$D$187,"&gt;"&amp;D84)+1)</f>
        <v/>
      </c>
      <c r="H84" s="35">
        <f>IF(B84="","",INDEX(الموظفات!$L$5:$L$304,MATCH(B84,الموظفات!$B$5:$B$304,0)))</f>
        <v/>
      </c>
      <c r="K84" s="36">
        <f>IF(47&gt;$B$10,"",47)</f>
        <v/>
      </c>
      <c r="L84" s="37">
        <f>IF($K84="","",INDEX('سجل التحفيز'!$A$5:$A$2004,MATCH($K84,'سجل التحفيز'!$AB$5:$AB$2004,0)))</f>
        <v/>
      </c>
      <c r="M84" s="9">
        <f>IF($K84="","",INDEX('سجل التحفيز'!$B$5:$B$2004,MATCH($K84,'سجل التحفيز'!$AB$5:$AB$2004,0)))</f>
        <v/>
      </c>
      <c r="N84" s="9">
        <f>IF($K84="","",INDEX('سجل التحفيز'!$M$5:$M$2004,MATCH($K84,'سجل التحفيز'!$AB$5:$AB$2004,0)))</f>
        <v/>
      </c>
      <c r="O84" s="9">
        <f>IF($K84="","",INDEX('سجل التحفيز'!$C$5:$C$2004,MATCH($K84,'سجل التحفيز'!$AB$5:$AB$2004,0)))</f>
        <v/>
      </c>
      <c r="P84" s="36">
        <f>IF($K84="","",INDEX('سجل التحفيز'!$D$5:$D$2004,MATCH($K84,'سجل التحفيز'!$AB$5:$AB$2004,0)))</f>
        <v/>
      </c>
      <c r="Q84" s="9">
        <f>IF($K84="","",INDEX('سجل التحفيز'!$E$5:$E$2004,MATCH($K84,'سجل التحفيز'!$AB$5:$AB$2004,0)))</f>
        <v/>
      </c>
      <c r="R84" s="9">
        <f>IF($K84="","",INDEX('سجل التحفيز'!$F$5:$F$2004,MATCH($K84,'سجل التحفيز'!$AB$5:$AB$2004,0)))</f>
        <v/>
      </c>
      <c r="S84" s="35">
        <f>IF($K84="","",INDEX('سجل التحفيز'!$G$5:$G$2004,MATCH($K84,'سجل التحفيز'!$AB$5:$AB$2004,0)))</f>
        <v/>
      </c>
    </row>
    <row r="85">
      <c r="B85" s="34">
        <f>IFERROR(INDEX(الموظفات!$B$5:$B$304,MATCH(48,الموظفات!$V$5:$V$304,0)),"")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التحفيز'!$AB$5:$AB$2004,"&gt;0",'سجل التحفيز'!$B$5:$B$2004,B85))</f>
        <v/>
      </c>
      <c r="E85" s="35">
        <f>IF(B85="","",COUNTIFS('سجل التحفيز'!$AB$5:$AB$2004,"&gt;0",'سجل التحفيز'!$B$5:$B$2004,B85,'سجل التحفيز'!$D$5:$D$2004,"ذهبي"))</f>
        <v/>
      </c>
      <c r="F85" s="35">
        <f>IF(B85="","",SUMIFS('سجل التحفيز'!$G$5:$G$2004,'سجل التحفيز'!$AB$5:$AB$2004,"&gt;0",'سجل التحفيز'!$B$5:$B$2004,B85))</f>
        <v/>
      </c>
      <c r="G85" s="35">
        <f>IF(B85="","",COUNTIF($D$38:$D$187,"&gt;"&amp;D85)+1)</f>
        <v/>
      </c>
      <c r="H85" s="35">
        <f>IF(B85="","",INDEX(الموظفات!$L$5:$L$304,MATCH(B85,الموظفات!$B$5:$B$304,0)))</f>
        <v/>
      </c>
      <c r="K85" s="36">
        <f>IF(48&gt;$B$10,"",48)</f>
        <v/>
      </c>
      <c r="L85" s="37">
        <f>IF($K85="","",INDEX('سجل التحفيز'!$A$5:$A$2004,MATCH($K85,'سجل التحفيز'!$AB$5:$AB$2004,0)))</f>
        <v/>
      </c>
      <c r="M85" s="9">
        <f>IF($K85="","",INDEX('سجل التحفيز'!$B$5:$B$2004,MATCH($K85,'سجل التحفيز'!$AB$5:$AB$2004,0)))</f>
        <v/>
      </c>
      <c r="N85" s="9">
        <f>IF($K85="","",INDEX('سجل التحفيز'!$M$5:$M$2004,MATCH($K85,'سجل التحفيز'!$AB$5:$AB$2004,0)))</f>
        <v/>
      </c>
      <c r="O85" s="9">
        <f>IF($K85="","",INDEX('سجل التحفيز'!$C$5:$C$2004,MATCH($K85,'سجل التحفيز'!$AB$5:$AB$2004,0)))</f>
        <v/>
      </c>
      <c r="P85" s="36">
        <f>IF($K85="","",INDEX('سجل التحفيز'!$D$5:$D$2004,MATCH($K85,'سجل التحفيز'!$AB$5:$AB$2004,0)))</f>
        <v/>
      </c>
      <c r="Q85" s="9">
        <f>IF($K85="","",INDEX('سجل التحفيز'!$E$5:$E$2004,MATCH($K85,'سجل التحفيز'!$AB$5:$AB$2004,0)))</f>
        <v/>
      </c>
      <c r="R85" s="9">
        <f>IF($K85="","",INDEX('سجل التحفيز'!$F$5:$F$2004,MATCH($K85,'سجل التحفيز'!$AB$5:$AB$2004,0)))</f>
        <v/>
      </c>
      <c r="S85" s="35">
        <f>IF($K85="","",INDEX('سجل التحفيز'!$G$5:$G$2004,MATCH($K85,'سجل التحفيز'!$AB$5:$AB$2004,0)))</f>
        <v/>
      </c>
    </row>
    <row r="86">
      <c r="B86" s="34">
        <f>IFERROR(INDEX(الموظفات!$B$5:$B$304,MATCH(49,الموظفات!$V$5:$V$304,0)),"")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التحفيز'!$AB$5:$AB$2004,"&gt;0",'سجل التحفيز'!$B$5:$B$2004,B86))</f>
        <v/>
      </c>
      <c r="E86" s="35">
        <f>IF(B86="","",COUNTIFS('سجل التحفيز'!$AB$5:$AB$2004,"&gt;0",'سجل التحفيز'!$B$5:$B$2004,B86,'سجل التحفيز'!$D$5:$D$2004,"ذهبي"))</f>
        <v/>
      </c>
      <c r="F86" s="35">
        <f>IF(B86="","",SUMIFS('سجل التحفيز'!$G$5:$G$2004,'سجل التحفيز'!$AB$5:$AB$2004,"&gt;0",'سجل التحفيز'!$B$5:$B$2004,B86))</f>
        <v/>
      </c>
      <c r="G86" s="35">
        <f>IF(B86="","",COUNTIF($D$38:$D$187,"&gt;"&amp;D86)+1)</f>
        <v/>
      </c>
      <c r="H86" s="35">
        <f>IF(B86="","",INDEX(الموظفات!$L$5:$L$304,MATCH(B86,الموظفات!$B$5:$B$304,0)))</f>
        <v/>
      </c>
      <c r="K86" s="36">
        <f>IF(49&gt;$B$10,"",49)</f>
        <v/>
      </c>
      <c r="L86" s="37">
        <f>IF($K86="","",INDEX('سجل التحفيز'!$A$5:$A$2004,MATCH($K86,'سجل التحفيز'!$AB$5:$AB$2004,0)))</f>
        <v/>
      </c>
      <c r="M86" s="9">
        <f>IF($K86="","",INDEX('سجل التحفيز'!$B$5:$B$2004,MATCH($K86,'سجل التحفيز'!$AB$5:$AB$2004,0)))</f>
        <v/>
      </c>
      <c r="N86" s="9">
        <f>IF($K86="","",INDEX('سجل التحفيز'!$M$5:$M$2004,MATCH($K86,'سجل التحفيز'!$AB$5:$AB$2004,0)))</f>
        <v/>
      </c>
      <c r="O86" s="9">
        <f>IF($K86="","",INDEX('سجل التحفيز'!$C$5:$C$2004,MATCH($K86,'سجل التحفيز'!$AB$5:$AB$2004,0)))</f>
        <v/>
      </c>
      <c r="P86" s="36">
        <f>IF($K86="","",INDEX('سجل التحفيز'!$D$5:$D$2004,MATCH($K86,'سجل التحفيز'!$AB$5:$AB$2004,0)))</f>
        <v/>
      </c>
      <c r="Q86" s="9">
        <f>IF($K86="","",INDEX('سجل التحفيز'!$E$5:$E$2004,MATCH($K86,'سجل التحفيز'!$AB$5:$AB$2004,0)))</f>
        <v/>
      </c>
      <c r="R86" s="9">
        <f>IF($K86="","",INDEX('سجل التحفيز'!$F$5:$F$2004,MATCH($K86,'سجل التحفيز'!$AB$5:$AB$2004,0)))</f>
        <v/>
      </c>
      <c r="S86" s="35">
        <f>IF($K86="","",INDEX('سجل التحفيز'!$G$5:$G$2004,MATCH($K86,'سجل التحفيز'!$AB$5:$AB$2004,0)))</f>
        <v/>
      </c>
    </row>
    <row r="87">
      <c r="B87" s="34">
        <f>IFERROR(INDEX(الموظفات!$B$5:$B$304,MATCH(50,الموظفات!$V$5:$V$304,0)),"")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التحفيز'!$AB$5:$AB$2004,"&gt;0",'سجل التحفيز'!$B$5:$B$2004,B87))</f>
        <v/>
      </c>
      <c r="E87" s="35">
        <f>IF(B87="","",COUNTIFS('سجل التحفيز'!$AB$5:$AB$2004,"&gt;0",'سجل التحفيز'!$B$5:$B$2004,B87,'سجل التحفيز'!$D$5:$D$2004,"ذهبي"))</f>
        <v/>
      </c>
      <c r="F87" s="35">
        <f>IF(B87="","",SUMIFS('سجل التحفيز'!$G$5:$G$2004,'سجل التحفيز'!$AB$5:$AB$2004,"&gt;0",'سجل التحفيز'!$B$5:$B$2004,B87))</f>
        <v/>
      </c>
      <c r="G87" s="35">
        <f>IF(B87="","",COUNTIF($D$38:$D$187,"&gt;"&amp;D87)+1)</f>
        <v/>
      </c>
      <c r="H87" s="35">
        <f>IF(B87="","",INDEX(الموظفات!$L$5:$L$304,MATCH(B87,الموظفات!$B$5:$B$304,0)))</f>
        <v/>
      </c>
      <c r="K87" s="36">
        <f>IF(50&gt;$B$10,"",50)</f>
        <v/>
      </c>
      <c r="L87" s="37">
        <f>IF($K87="","",INDEX('سجل التحفيز'!$A$5:$A$2004,MATCH($K87,'سجل التحفيز'!$AB$5:$AB$2004,0)))</f>
        <v/>
      </c>
      <c r="M87" s="9">
        <f>IF($K87="","",INDEX('سجل التحفيز'!$B$5:$B$2004,MATCH($K87,'سجل التحفيز'!$AB$5:$AB$2004,0)))</f>
        <v/>
      </c>
      <c r="N87" s="9">
        <f>IF($K87="","",INDEX('سجل التحفيز'!$M$5:$M$2004,MATCH($K87,'سجل التحفيز'!$AB$5:$AB$2004,0)))</f>
        <v/>
      </c>
      <c r="O87" s="9">
        <f>IF($K87="","",INDEX('سجل التحفيز'!$C$5:$C$2004,MATCH($K87,'سجل التحفيز'!$AB$5:$AB$2004,0)))</f>
        <v/>
      </c>
      <c r="P87" s="36">
        <f>IF($K87="","",INDEX('سجل التحفيز'!$D$5:$D$2004,MATCH($K87,'سجل التحفيز'!$AB$5:$AB$2004,0)))</f>
        <v/>
      </c>
      <c r="Q87" s="9">
        <f>IF($K87="","",INDEX('سجل التحفيز'!$E$5:$E$2004,MATCH($K87,'سجل التحفيز'!$AB$5:$AB$2004,0)))</f>
        <v/>
      </c>
      <c r="R87" s="9">
        <f>IF($K87="","",INDEX('سجل التحفيز'!$F$5:$F$2004,MATCH($K87,'سجل التحفيز'!$AB$5:$AB$2004,0)))</f>
        <v/>
      </c>
      <c r="S87" s="35">
        <f>IF($K87="","",INDEX('سجل التحفيز'!$G$5:$G$2004,MATCH($K87,'سجل التحفيز'!$AB$5:$AB$2004,0)))</f>
        <v/>
      </c>
    </row>
    <row r="88">
      <c r="B88" s="34">
        <f>IFERROR(INDEX(الموظفات!$B$5:$B$304,MATCH(51,الموظفات!$V$5:$V$304,0)),"")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التحفيز'!$AB$5:$AB$2004,"&gt;0",'سجل التحفيز'!$B$5:$B$2004,B88))</f>
        <v/>
      </c>
      <c r="E88" s="35">
        <f>IF(B88="","",COUNTIFS('سجل التحفيز'!$AB$5:$AB$2004,"&gt;0",'سجل التحفيز'!$B$5:$B$2004,B88,'سجل التحفيز'!$D$5:$D$2004,"ذهبي"))</f>
        <v/>
      </c>
      <c r="F88" s="35">
        <f>IF(B88="","",SUMIFS('سجل التحفيز'!$G$5:$G$2004,'سجل التحفيز'!$AB$5:$AB$2004,"&gt;0",'سجل التحفيز'!$B$5:$B$2004,B88))</f>
        <v/>
      </c>
      <c r="G88" s="35">
        <f>IF(B88="","",COUNTIF($D$38:$D$187,"&gt;"&amp;D88)+1)</f>
        <v/>
      </c>
      <c r="H88" s="35">
        <f>IF(B88="","",INDEX(الموظفات!$L$5:$L$304,MATCH(B88,الموظفات!$B$5:$B$304,0)))</f>
        <v/>
      </c>
      <c r="K88" s="36">
        <f>IF(51&gt;$B$10,"",51)</f>
        <v/>
      </c>
      <c r="L88" s="37">
        <f>IF($K88="","",INDEX('سجل التحفيز'!$A$5:$A$2004,MATCH($K88,'سجل التحفيز'!$AB$5:$AB$2004,0)))</f>
        <v/>
      </c>
      <c r="M88" s="9">
        <f>IF($K88="","",INDEX('سجل التحفيز'!$B$5:$B$2004,MATCH($K88,'سجل التحفيز'!$AB$5:$AB$2004,0)))</f>
        <v/>
      </c>
      <c r="N88" s="9">
        <f>IF($K88="","",INDEX('سجل التحفيز'!$M$5:$M$2004,MATCH($K88,'سجل التحفيز'!$AB$5:$AB$2004,0)))</f>
        <v/>
      </c>
      <c r="O88" s="9">
        <f>IF($K88="","",INDEX('سجل التحفيز'!$C$5:$C$2004,MATCH($K88,'سجل التحفيز'!$AB$5:$AB$2004,0)))</f>
        <v/>
      </c>
      <c r="P88" s="36">
        <f>IF($K88="","",INDEX('سجل التحفيز'!$D$5:$D$2004,MATCH($K88,'سجل التحفيز'!$AB$5:$AB$2004,0)))</f>
        <v/>
      </c>
      <c r="Q88" s="9">
        <f>IF($K88="","",INDEX('سجل التحفيز'!$E$5:$E$2004,MATCH($K88,'سجل التحفيز'!$AB$5:$AB$2004,0)))</f>
        <v/>
      </c>
      <c r="R88" s="9">
        <f>IF($K88="","",INDEX('سجل التحفيز'!$F$5:$F$2004,MATCH($K88,'سجل التحفيز'!$AB$5:$AB$2004,0)))</f>
        <v/>
      </c>
      <c r="S88" s="35">
        <f>IF($K88="","",INDEX('سجل التحفيز'!$G$5:$G$2004,MATCH($K88,'سجل التحفيز'!$AB$5:$AB$2004,0)))</f>
        <v/>
      </c>
    </row>
    <row r="89">
      <c r="B89" s="34">
        <f>IFERROR(INDEX(الموظفات!$B$5:$B$304,MATCH(52,الموظفات!$V$5:$V$304,0)),"")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التحفيز'!$AB$5:$AB$2004,"&gt;0",'سجل التحفيز'!$B$5:$B$2004,B89))</f>
        <v/>
      </c>
      <c r="E89" s="35">
        <f>IF(B89="","",COUNTIFS('سجل التحفيز'!$AB$5:$AB$2004,"&gt;0",'سجل التحفيز'!$B$5:$B$2004,B89,'سجل التحفيز'!$D$5:$D$2004,"ذهبي"))</f>
        <v/>
      </c>
      <c r="F89" s="35">
        <f>IF(B89="","",SUMIFS('سجل التحفيز'!$G$5:$G$2004,'سجل التحفيز'!$AB$5:$AB$2004,"&gt;0",'سجل التحفيز'!$B$5:$B$2004,B89))</f>
        <v/>
      </c>
      <c r="G89" s="35">
        <f>IF(B89="","",COUNTIF($D$38:$D$187,"&gt;"&amp;D89)+1)</f>
        <v/>
      </c>
      <c r="H89" s="35">
        <f>IF(B89="","",INDEX(الموظفات!$L$5:$L$304,MATCH(B89,الموظفات!$B$5:$B$304,0)))</f>
        <v/>
      </c>
      <c r="K89" s="36">
        <f>IF(52&gt;$B$10,"",52)</f>
        <v/>
      </c>
      <c r="L89" s="37">
        <f>IF($K89="","",INDEX('سجل التحفيز'!$A$5:$A$2004,MATCH($K89,'سجل التحفيز'!$AB$5:$AB$2004,0)))</f>
        <v/>
      </c>
      <c r="M89" s="9">
        <f>IF($K89="","",INDEX('سجل التحفيز'!$B$5:$B$2004,MATCH($K89,'سجل التحفيز'!$AB$5:$AB$2004,0)))</f>
        <v/>
      </c>
      <c r="N89" s="9">
        <f>IF($K89="","",INDEX('سجل التحفيز'!$M$5:$M$2004,MATCH($K89,'سجل التحفيز'!$AB$5:$AB$2004,0)))</f>
        <v/>
      </c>
      <c r="O89" s="9">
        <f>IF($K89="","",INDEX('سجل التحفيز'!$C$5:$C$2004,MATCH($K89,'سجل التحفيز'!$AB$5:$AB$2004,0)))</f>
        <v/>
      </c>
      <c r="P89" s="36">
        <f>IF($K89="","",INDEX('سجل التحفيز'!$D$5:$D$2004,MATCH($K89,'سجل التحفيز'!$AB$5:$AB$2004,0)))</f>
        <v/>
      </c>
      <c r="Q89" s="9">
        <f>IF($K89="","",INDEX('سجل التحفيز'!$E$5:$E$2004,MATCH($K89,'سجل التحفيز'!$AB$5:$AB$2004,0)))</f>
        <v/>
      </c>
      <c r="R89" s="9">
        <f>IF($K89="","",INDEX('سجل التحفيز'!$F$5:$F$2004,MATCH($K89,'سجل التحفيز'!$AB$5:$AB$2004,0)))</f>
        <v/>
      </c>
      <c r="S89" s="35">
        <f>IF($K89="","",INDEX('سجل التحفيز'!$G$5:$G$2004,MATCH($K89,'سجل التحفيز'!$AB$5:$AB$2004,0)))</f>
        <v/>
      </c>
    </row>
    <row r="90">
      <c r="B90" s="34">
        <f>IFERROR(INDEX(الموظفات!$B$5:$B$304,MATCH(53,الموظفات!$V$5:$V$304,0)),"")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التحفيز'!$AB$5:$AB$2004,"&gt;0",'سجل التحفيز'!$B$5:$B$2004,B90))</f>
        <v/>
      </c>
      <c r="E90" s="35">
        <f>IF(B90="","",COUNTIFS('سجل التحفيز'!$AB$5:$AB$2004,"&gt;0",'سجل التحفيز'!$B$5:$B$2004,B90,'سجل التحفيز'!$D$5:$D$2004,"ذهبي"))</f>
        <v/>
      </c>
      <c r="F90" s="35">
        <f>IF(B90="","",SUMIFS('سجل التحفيز'!$G$5:$G$2004,'سجل التحفيز'!$AB$5:$AB$2004,"&gt;0",'سجل التحفيز'!$B$5:$B$2004,B90))</f>
        <v/>
      </c>
      <c r="G90" s="35">
        <f>IF(B90="","",COUNTIF($D$38:$D$187,"&gt;"&amp;D90)+1)</f>
        <v/>
      </c>
      <c r="H90" s="35">
        <f>IF(B90="","",INDEX(الموظفات!$L$5:$L$304,MATCH(B90,الموظفات!$B$5:$B$304,0)))</f>
        <v/>
      </c>
      <c r="K90" s="36">
        <f>IF(53&gt;$B$10,"",53)</f>
        <v/>
      </c>
      <c r="L90" s="37">
        <f>IF($K90="","",INDEX('سجل التحفيز'!$A$5:$A$2004,MATCH($K90,'سجل التحفيز'!$AB$5:$AB$2004,0)))</f>
        <v/>
      </c>
      <c r="M90" s="9">
        <f>IF($K90="","",INDEX('سجل التحفيز'!$B$5:$B$2004,MATCH($K90,'سجل التحفيز'!$AB$5:$AB$2004,0)))</f>
        <v/>
      </c>
      <c r="N90" s="9">
        <f>IF($K90="","",INDEX('سجل التحفيز'!$M$5:$M$2004,MATCH($K90,'سجل التحفيز'!$AB$5:$AB$2004,0)))</f>
        <v/>
      </c>
      <c r="O90" s="9">
        <f>IF($K90="","",INDEX('سجل التحفيز'!$C$5:$C$2004,MATCH($K90,'سجل التحفيز'!$AB$5:$AB$2004,0)))</f>
        <v/>
      </c>
      <c r="P90" s="36">
        <f>IF($K90="","",INDEX('سجل التحفيز'!$D$5:$D$2004,MATCH($K90,'سجل التحفيز'!$AB$5:$AB$2004,0)))</f>
        <v/>
      </c>
      <c r="Q90" s="9">
        <f>IF($K90="","",INDEX('سجل التحفيز'!$E$5:$E$2004,MATCH($K90,'سجل التحفيز'!$AB$5:$AB$2004,0)))</f>
        <v/>
      </c>
      <c r="R90" s="9">
        <f>IF($K90="","",INDEX('سجل التحفيز'!$F$5:$F$2004,MATCH($K90,'سجل التحفيز'!$AB$5:$AB$2004,0)))</f>
        <v/>
      </c>
      <c r="S90" s="35">
        <f>IF($K90="","",INDEX('سجل التحفيز'!$G$5:$G$2004,MATCH($K90,'سجل التحفيز'!$AB$5:$AB$2004,0)))</f>
        <v/>
      </c>
    </row>
    <row r="91">
      <c r="B91" s="34">
        <f>IFERROR(INDEX(الموظفات!$B$5:$B$304,MATCH(54,الموظفات!$V$5:$V$304,0)),"")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التحفيز'!$AB$5:$AB$2004,"&gt;0",'سجل التحفيز'!$B$5:$B$2004,B91))</f>
        <v/>
      </c>
      <c r="E91" s="35">
        <f>IF(B91="","",COUNTIFS('سجل التحفيز'!$AB$5:$AB$2004,"&gt;0",'سجل التحفيز'!$B$5:$B$2004,B91,'سجل التحفيز'!$D$5:$D$2004,"ذهبي"))</f>
        <v/>
      </c>
      <c r="F91" s="35">
        <f>IF(B91="","",SUMIFS('سجل التحفيز'!$G$5:$G$2004,'سجل التحفيز'!$AB$5:$AB$2004,"&gt;0",'سجل التحفيز'!$B$5:$B$2004,B91))</f>
        <v/>
      </c>
      <c r="G91" s="35">
        <f>IF(B91="","",COUNTIF($D$38:$D$187,"&gt;"&amp;D91)+1)</f>
        <v/>
      </c>
      <c r="H91" s="35">
        <f>IF(B91="","",INDEX(الموظفات!$L$5:$L$304,MATCH(B91,الموظفات!$B$5:$B$304,0)))</f>
        <v/>
      </c>
      <c r="K91" s="36">
        <f>IF(54&gt;$B$10,"",54)</f>
        <v/>
      </c>
      <c r="L91" s="37">
        <f>IF($K91="","",INDEX('سجل التحفيز'!$A$5:$A$2004,MATCH($K91,'سجل التحفيز'!$AB$5:$AB$2004,0)))</f>
        <v/>
      </c>
      <c r="M91" s="9">
        <f>IF($K91="","",INDEX('سجل التحفيز'!$B$5:$B$2004,MATCH($K91,'سجل التحفيز'!$AB$5:$AB$2004,0)))</f>
        <v/>
      </c>
      <c r="N91" s="9">
        <f>IF($K91="","",INDEX('سجل التحفيز'!$M$5:$M$2004,MATCH($K91,'سجل التحفيز'!$AB$5:$AB$2004,0)))</f>
        <v/>
      </c>
      <c r="O91" s="9">
        <f>IF($K91="","",INDEX('سجل التحفيز'!$C$5:$C$2004,MATCH($K91,'سجل التحفيز'!$AB$5:$AB$2004,0)))</f>
        <v/>
      </c>
      <c r="P91" s="36">
        <f>IF($K91="","",INDEX('سجل التحفيز'!$D$5:$D$2004,MATCH($K91,'سجل التحفيز'!$AB$5:$AB$2004,0)))</f>
        <v/>
      </c>
      <c r="Q91" s="9">
        <f>IF($K91="","",INDEX('سجل التحفيز'!$E$5:$E$2004,MATCH($K91,'سجل التحفيز'!$AB$5:$AB$2004,0)))</f>
        <v/>
      </c>
      <c r="R91" s="9">
        <f>IF($K91="","",INDEX('سجل التحفيز'!$F$5:$F$2004,MATCH($K91,'سجل التحفيز'!$AB$5:$AB$2004,0)))</f>
        <v/>
      </c>
      <c r="S91" s="35">
        <f>IF($K91="","",INDEX('سجل التحفيز'!$G$5:$G$2004,MATCH($K91,'سجل التحفيز'!$AB$5:$AB$2004,0)))</f>
        <v/>
      </c>
    </row>
    <row r="92">
      <c r="B92" s="34">
        <f>IFERROR(INDEX(الموظفات!$B$5:$B$304,MATCH(55,الموظفات!$V$5:$V$304,0)),"")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التحفيز'!$AB$5:$AB$2004,"&gt;0",'سجل التحفيز'!$B$5:$B$2004,B92))</f>
        <v/>
      </c>
      <c r="E92" s="35">
        <f>IF(B92="","",COUNTIFS('سجل التحفيز'!$AB$5:$AB$2004,"&gt;0",'سجل التحفيز'!$B$5:$B$2004,B92,'سجل التحفيز'!$D$5:$D$2004,"ذهبي"))</f>
        <v/>
      </c>
      <c r="F92" s="35">
        <f>IF(B92="","",SUMIFS('سجل التحفيز'!$G$5:$G$2004,'سجل التحفيز'!$AB$5:$AB$2004,"&gt;0",'سجل التحفيز'!$B$5:$B$2004,B92))</f>
        <v/>
      </c>
      <c r="G92" s="35">
        <f>IF(B92="","",COUNTIF($D$38:$D$187,"&gt;"&amp;D92)+1)</f>
        <v/>
      </c>
      <c r="H92" s="35">
        <f>IF(B92="","",INDEX(الموظفات!$L$5:$L$304,MATCH(B92,الموظفات!$B$5:$B$304,0)))</f>
        <v/>
      </c>
      <c r="K92" s="36">
        <f>IF(55&gt;$B$10,"",55)</f>
        <v/>
      </c>
      <c r="L92" s="37">
        <f>IF($K92="","",INDEX('سجل التحفيز'!$A$5:$A$2004,MATCH($K92,'سجل التحفيز'!$AB$5:$AB$2004,0)))</f>
        <v/>
      </c>
      <c r="M92" s="9">
        <f>IF($K92="","",INDEX('سجل التحفيز'!$B$5:$B$2004,MATCH($K92,'سجل التحفيز'!$AB$5:$AB$2004,0)))</f>
        <v/>
      </c>
      <c r="N92" s="9">
        <f>IF($K92="","",INDEX('سجل التحفيز'!$M$5:$M$2004,MATCH($K92,'سجل التحفيز'!$AB$5:$AB$2004,0)))</f>
        <v/>
      </c>
      <c r="O92" s="9">
        <f>IF($K92="","",INDEX('سجل التحفيز'!$C$5:$C$2004,MATCH($K92,'سجل التحفيز'!$AB$5:$AB$2004,0)))</f>
        <v/>
      </c>
      <c r="P92" s="36">
        <f>IF($K92="","",INDEX('سجل التحفيز'!$D$5:$D$2004,MATCH($K92,'سجل التحفيز'!$AB$5:$AB$2004,0)))</f>
        <v/>
      </c>
      <c r="Q92" s="9">
        <f>IF($K92="","",INDEX('سجل التحفيز'!$E$5:$E$2004,MATCH($K92,'سجل التحفيز'!$AB$5:$AB$2004,0)))</f>
        <v/>
      </c>
      <c r="R92" s="9">
        <f>IF($K92="","",INDEX('سجل التحفيز'!$F$5:$F$2004,MATCH($K92,'سجل التحفيز'!$AB$5:$AB$2004,0)))</f>
        <v/>
      </c>
      <c r="S92" s="35">
        <f>IF($K92="","",INDEX('سجل التحفيز'!$G$5:$G$2004,MATCH($K92,'سجل التحفيز'!$AB$5:$AB$2004,0)))</f>
        <v/>
      </c>
    </row>
    <row r="93">
      <c r="B93" s="34">
        <f>IFERROR(INDEX(الموظفات!$B$5:$B$304,MATCH(56,الموظفات!$V$5:$V$304,0)),"")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التحفيز'!$AB$5:$AB$2004,"&gt;0",'سجل التحفيز'!$B$5:$B$2004,B93))</f>
        <v/>
      </c>
      <c r="E93" s="35">
        <f>IF(B93="","",COUNTIFS('سجل التحفيز'!$AB$5:$AB$2004,"&gt;0",'سجل التحفيز'!$B$5:$B$2004,B93,'سجل التحفيز'!$D$5:$D$2004,"ذهبي"))</f>
        <v/>
      </c>
      <c r="F93" s="35">
        <f>IF(B93="","",SUMIFS('سجل التحفيز'!$G$5:$G$2004,'سجل التحفيز'!$AB$5:$AB$2004,"&gt;0",'سجل التحفيز'!$B$5:$B$2004,B93))</f>
        <v/>
      </c>
      <c r="G93" s="35">
        <f>IF(B93="","",COUNTIF($D$38:$D$187,"&gt;"&amp;D93)+1)</f>
        <v/>
      </c>
      <c r="H93" s="35">
        <f>IF(B93="","",INDEX(الموظفات!$L$5:$L$304,MATCH(B93,الموظفات!$B$5:$B$304,0)))</f>
        <v/>
      </c>
      <c r="K93" s="36">
        <f>IF(56&gt;$B$10,"",56)</f>
        <v/>
      </c>
      <c r="L93" s="37">
        <f>IF($K93="","",INDEX('سجل التحفيز'!$A$5:$A$2004,MATCH($K93,'سجل التحفيز'!$AB$5:$AB$2004,0)))</f>
        <v/>
      </c>
      <c r="M93" s="9">
        <f>IF($K93="","",INDEX('سجل التحفيز'!$B$5:$B$2004,MATCH($K93,'سجل التحفيز'!$AB$5:$AB$2004,0)))</f>
        <v/>
      </c>
      <c r="N93" s="9">
        <f>IF($K93="","",INDEX('سجل التحفيز'!$M$5:$M$2004,MATCH($K93,'سجل التحفيز'!$AB$5:$AB$2004,0)))</f>
        <v/>
      </c>
      <c r="O93" s="9">
        <f>IF($K93="","",INDEX('سجل التحفيز'!$C$5:$C$2004,MATCH($K93,'سجل التحفيز'!$AB$5:$AB$2004,0)))</f>
        <v/>
      </c>
      <c r="P93" s="36">
        <f>IF($K93="","",INDEX('سجل التحفيز'!$D$5:$D$2004,MATCH($K93,'سجل التحفيز'!$AB$5:$AB$2004,0)))</f>
        <v/>
      </c>
      <c r="Q93" s="9">
        <f>IF($K93="","",INDEX('سجل التحفيز'!$E$5:$E$2004,MATCH($K93,'سجل التحفيز'!$AB$5:$AB$2004,0)))</f>
        <v/>
      </c>
      <c r="R93" s="9">
        <f>IF($K93="","",INDEX('سجل التحفيز'!$F$5:$F$2004,MATCH($K93,'سجل التحفيز'!$AB$5:$AB$2004,0)))</f>
        <v/>
      </c>
      <c r="S93" s="35">
        <f>IF($K93="","",INDEX('سجل التحفيز'!$G$5:$G$2004,MATCH($K93,'سجل التحفيز'!$AB$5:$AB$2004,0)))</f>
        <v/>
      </c>
    </row>
    <row r="94">
      <c r="B94" s="34">
        <f>IFERROR(INDEX(الموظفات!$B$5:$B$304,MATCH(57,الموظفات!$V$5:$V$304,0)),"")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التحفيز'!$AB$5:$AB$2004,"&gt;0",'سجل التحفيز'!$B$5:$B$2004,B94))</f>
        <v/>
      </c>
      <c r="E94" s="35">
        <f>IF(B94="","",COUNTIFS('سجل التحفيز'!$AB$5:$AB$2004,"&gt;0",'سجل التحفيز'!$B$5:$B$2004,B94,'سجل التحفيز'!$D$5:$D$2004,"ذهبي"))</f>
        <v/>
      </c>
      <c r="F94" s="35">
        <f>IF(B94="","",SUMIFS('سجل التحفيز'!$G$5:$G$2004,'سجل التحفيز'!$AB$5:$AB$2004,"&gt;0",'سجل التحفيز'!$B$5:$B$2004,B94))</f>
        <v/>
      </c>
      <c r="G94" s="35">
        <f>IF(B94="","",COUNTIF($D$38:$D$187,"&gt;"&amp;D94)+1)</f>
        <v/>
      </c>
      <c r="H94" s="35">
        <f>IF(B94="","",INDEX(الموظفات!$L$5:$L$304,MATCH(B94,الموظفات!$B$5:$B$304,0)))</f>
        <v/>
      </c>
      <c r="K94" s="36">
        <f>IF(57&gt;$B$10,"",57)</f>
        <v/>
      </c>
      <c r="L94" s="37">
        <f>IF($K94="","",INDEX('سجل التحفيز'!$A$5:$A$2004,MATCH($K94,'سجل التحفيز'!$AB$5:$AB$2004,0)))</f>
        <v/>
      </c>
      <c r="M94" s="9">
        <f>IF($K94="","",INDEX('سجل التحفيز'!$B$5:$B$2004,MATCH($K94,'سجل التحفيز'!$AB$5:$AB$2004,0)))</f>
        <v/>
      </c>
      <c r="N94" s="9">
        <f>IF($K94="","",INDEX('سجل التحفيز'!$M$5:$M$2004,MATCH($K94,'سجل التحفيز'!$AB$5:$AB$2004,0)))</f>
        <v/>
      </c>
      <c r="O94" s="9">
        <f>IF($K94="","",INDEX('سجل التحفيز'!$C$5:$C$2004,MATCH($K94,'سجل التحفيز'!$AB$5:$AB$2004,0)))</f>
        <v/>
      </c>
      <c r="P94" s="36">
        <f>IF($K94="","",INDEX('سجل التحفيز'!$D$5:$D$2004,MATCH($K94,'سجل التحفيز'!$AB$5:$AB$2004,0)))</f>
        <v/>
      </c>
      <c r="Q94" s="9">
        <f>IF($K94="","",INDEX('سجل التحفيز'!$E$5:$E$2004,MATCH($K94,'سجل التحفيز'!$AB$5:$AB$2004,0)))</f>
        <v/>
      </c>
      <c r="R94" s="9">
        <f>IF($K94="","",INDEX('سجل التحفيز'!$F$5:$F$2004,MATCH($K94,'سجل التحفيز'!$AB$5:$AB$2004,0)))</f>
        <v/>
      </c>
      <c r="S94" s="35">
        <f>IF($K94="","",INDEX('سجل التحفيز'!$G$5:$G$2004,MATCH($K94,'سجل التحفيز'!$AB$5:$AB$2004,0)))</f>
        <v/>
      </c>
    </row>
    <row r="95">
      <c r="B95" s="34">
        <f>IFERROR(INDEX(الموظفات!$B$5:$B$304,MATCH(58,الموظفات!$V$5:$V$304,0)),"")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التحفيز'!$AB$5:$AB$2004,"&gt;0",'سجل التحفيز'!$B$5:$B$2004,B95))</f>
        <v/>
      </c>
      <c r="E95" s="35">
        <f>IF(B95="","",COUNTIFS('سجل التحفيز'!$AB$5:$AB$2004,"&gt;0",'سجل التحفيز'!$B$5:$B$2004,B95,'سجل التحفيز'!$D$5:$D$2004,"ذهبي"))</f>
        <v/>
      </c>
      <c r="F95" s="35">
        <f>IF(B95="","",SUMIFS('سجل التحفيز'!$G$5:$G$2004,'سجل التحفيز'!$AB$5:$AB$2004,"&gt;0",'سجل التحفيز'!$B$5:$B$2004,B95))</f>
        <v/>
      </c>
      <c r="G95" s="35">
        <f>IF(B95="","",COUNTIF($D$38:$D$187,"&gt;"&amp;D95)+1)</f>
        <v/>
      </c>
      <c r="H95" s="35">
        <f>IF(B95="","",INDEX(الموظفات!$L$5:$L$304,MATCH(B95,الموظفات!$B$5:$B$304,0)))</f>
        <v/>
      </c>
      <c r="K95" s="36">
        <f>IF(58&gt;$B$10,"",58)</f>
        <v/>
      </c>
      <c r="L95" s="37">
        <f>IF($K95="","",INDEX('سجل التحفيز'!$A$5:$A$2004,MATCH($K95,'سجل التحفيز'!$AB$5:$AB$2004,0)))</f>
        <v/>
      </c>
      <c r="M95" s="9">
        <f>IF($K95="","",INDEX('سجل التحفيز'!$B$5:$B$2004,MATCH($K95,'سجل التحفيز'!$AB$5:$AB$2004,0)))</f>
        <v/>
      </c>
      <c r="N95" s="9">
        <f>IF($K95="","",INDEX('سجل التحفيز'!$M$5:$M$2004,MATCH($K95,'سجل التحفيز'!$AB$5:$AB$2004,0)))</f>
        <v/>
      </c>
      <c r="O95" s="9">
        <f>IF($K95="","",INDEX('سجل التحفيز'!$C$5:$C$2004,MATCH($K95,'سجل التحفيز'!$AB$5:$AB$2004,0)))</f>
        <v/>
      </c>
      <c r="P95" s="36">
        <f>IF($K95="","",INDEX('سجل التحفيز'!$D$5:$D$2004,MATCH($K95,'سجل التحفيز'!$AB$5:$AB$2004,0)))</f>
        <v/>
      </c>
      <c r="Q95" s="9">
        <f>IF($K95="","",INDEX('سجل التحفيز'!$E$5:$E$2004,MATCH($K95,'سجل التحفيز'!$AB$5:$AB$2004,0)))</f>
        <v/>
      </c>
      <c r="R95" s="9">
        <f>IF($K95="","",INDEX('سجل التحفيز'!$F$5:$F$2004,MATCH($K95,'سجل التحفيز'!$AB$5:$AB$2004,0)))</f>
        <v/>
      </c>
      <c r="S95" s="35">
        <f>IF($K95="","",INDEX('سجل التحفيز'!$G$5:$G$2004,MATCH($K95,'سجل التحفيز'!$AB$5:$AB$2004,0)))</f>
        <v/>
      </c>
    </row>
    <row r="96">
      <c r="B96" s="34">
        <f>IFERROR(INDEX(الموظفات!$B$5:$B$304,MATCH(59,الموظفات!$V$5:$V$304,0)),"")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التحفيز'!$AB$5:$AB$2004,"&gt;0",'سجل التحفيز'!$B$5:$B$2004,B96))</f>
        <v/>
      </c>
      <c r="E96" s="35">
        <f>IF(B96="","",COUNTIFS('سجل التحفيز'!$AB$5:$AB$2004,"&gt;0",'سجل التحفيز'!$B$5:$B$2004,B96,'سجل التحفيز'!$D$5:$D$2004,"ذهبي"))</f>
        <v/>
      </c>
      <c r="F96" s="35">
        <f>IF(B96="","",SUMIFS('سجل التحفيز'!$G$5:$G$2004,'سجل التحفيز'!$AB$5:$AB$2004,"&gt;0",'سجل التحفيز'!$B$5:$B$2004,B96))</f>
        <v/>
      </c>
      <c r="G96" s="35">
        <f>IF(B96="","",COUNTIF($D$38:$D$187,"&gt;"&amp;D96)+1)</f>
        <v/>
      </c>
      <c r="H96" s="35">
        <f>IF(B96="","",INDEX(الموظفات!$L$5:$L$304,MATCH(B96,الموظفات!$B$5:$B$304,0)))</f>
        <v/>
      </c>
      <c r="K96" s="36">
        <f>IF(59&gt;$B$10,"",59)</f>
        <v/>
      </c>
      <c r="L96" s="37">
        <f>IF($K96="","",INDEX('سجل التحفيز'!$A$5:$A$2004,MATCH($K96,'سجل التحفيز'!$AB$5:$AB$2004,0)))</f>
        <v/>
      </c>
      <c r="M96" s="9">
        <f>IF($K96="","",INDEX('سجل التحفيز'!$B$5:$B$2004,MATCH($K96,'سجل التحفيز'!$AB$5:$AB$2004,0)))</f>
        <v/>
      </c>
      <c r="N96" s="9">
        <f>IF($K96="","",INDEX('سجل التحفيز'!$M$5:$M$2004,MATCH($K96,'سجل التحفيز'!$AB$5:$AB$2004,0)))</f>
        <v/>
      </c>
      <c r="O96" s="9">
        <f>IF($K96="","",INDEX('سجل التحفيز'!$C$5:$C$2004,MATCH($K96,'سجل التحفيز'!$AB$5:$AB$2004,0)))</f>
        <v/>
      </c>
      <c r="P96" s="36">
        <f>IF($K96="","",INDEX('سجل التحفيز'!$D$5:$D$2004,MATCH($K96,'سجل التحفيز'!$AB$5:$AB$2004,0)))</f>
        <v/>
      </c>
      <c r="Q96" s="9">
        <f>IF($K96="","",INDEX('سجل التحفيز'!$E$5:$E$2004,MATCH($K96,'سجل التحفيز'!$AB$5:$AB$2004,0)))</f>
        <v/>
      </c>
      <c r="R96" s="9">
        <f>IF($K96="","",INDEX('سجل التحفيز'!$F$5:$F$2004,MATCH($K96,'سجل التحفيز'!$AB$5:$AB$2004,0)))</f>
        <v/>
      </c>
      <c r="S96" s="35">
        <f>IF($K96="","",INDEX('سجل التحفيز'!$G$5:$G$2004,MATCH($K96,'سجل التحفيز'!$AB$5:$AB$2004,0)))</f>
        <v/>
      </c>
    </row>
    <row r="97">
      <c r="B97" s="34">
        <f>IFERROR(INDEX(الموظفات!$B$5:$B$304,MATCH(60,الموظفات!$V$5:$V$304,0)),"")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التحفيز'!$AB$5:$AB$2004,"&gt;0",'سجل التحفيز'!$B$5:$B$2004,B97))</f>
        <v/>
      </c>
      <c r="E97" s="35">
        <f>IF(B97="","",COUNTIFS('سجل التحفيز'!$AB$5:$AB$2004,"&gt;0",'سجل التحفيز'!$B$5:$B$2004,B97,'سجل التحفيز'!$D$5:$D$2004,"ذهبي"))</f>
        <v/>
      </c>
      <c r="F97" s="35">
        <f>IF(B97="","",SUMIFS('سجل التحفيز'!$G$5:$G$2004,'سجل التحفيز'!$AB$5:$AB$2004,"&gt;0",'سجل التحفيز'!$B$5:$B$2004,B97))</f>
        <v/>
      </c>
      <c r="G97" s="35">
        <f>IF(B97="","",COUNTIF($D$38:$D$187,"&gt;"&amp;D97)+1)</f>
        <v/>
      </c>
      <c r="H97" s="35">
        <f>IF(B97="","",INDEX(الموظفات!$L$5:$L$304,MATCH(B97,الموظفات!$B$5:$B$304,0)))</f>
        <v/>
      </c>
      <c r="K97" s="36">
        <f>IF(60&gt;$B$10,"",60)</f>
        <v/>
      </c>
      <c r="L97" s="37">
        <f>IF($K97="","",INDEX('سجل التحفيز'!$A$5:$A$2004,MATCH($K97,'سجل التحفيز'!$AB$5:$AB$2004,0)))</f>
        <v/>
      </c>
      <c r="M97" s="9">
        <f>IF($K97="","",INDEX('سجل التحفيز'!$B$5:$B$2004,MATCH($K97,'سجل التحفيز'!$AB$5:$AB$2004,0)))</f>
        <v/>
      </c>
      <c r="N97" s="9">
        <f>IF($K97="","",INDEX('سجل التحفيز'!$M$5:$M$2004,MATCH($K97,'سجل التحفيز'!$AB$5:$AB$2004,0)))</f>
        <v/>
      </c>
      <c r="O97" s="9">
        <f>IF($K97="","",INDEX('سجل التحفيز'!$C$5:$C$2004,MATCH($K97,'سجل التحفيز'!$AB$5:$AB$2004,0)))</f>
        <v/>
      </c>
      <c r="P97" s="36">
        <f>IF($K97="","",INDEX('سجل التحفيز'!$D$5:$D$2004,MATCH($K97,'سجل التحفيز'!$AB$5:$AB$2004,0)))</f>
        <v/>
      </c>
      <c r="Q97" s="9">
        <f>IF($K97="","",INDEX('سجل التحفيز'!$E$5:$E$2004,MATCH($K97,'سجل التحفيز'!$AB$5:$AB$2004,0)))</f>
        <v/>
      </c>
      <c r="R97" s="9">
        <f>IF($K97="","",INDEX('سجل التحفيز'!$F$5:$F$2004,MATCH($K97,'سجل التحفيز'!$AB$5:$AB$2004,0)))</f>
        <v/>
      </c>
      <c r="S97" s="35">
        <f>IF($K97="","",INDEX('سجل التحفيز'!$G$5:$G$2004,MATCH($K97,'سجل التحفيز'!$AB$5:$AB$2004,0)))</f>
        <v/>
      </c>
    </row>
    <row r="98">
      <c r="B98" s="34">
        <f>IFERROR(INDEX(الموظفات!$B$5:$B$304,MATCH(61,الموظفات!$V$5:$V$304,0)),"")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التحفيز'!$AB$5:$AB$2004,"&gt;0",'سجل التحفيز'!$B$5:$B$2004,B98))</f>
        <v/>
      </c>
      <c r="E98" s="35">
        <f>IF(B98="","",COUNTIFS('سجل التحفيز'!$AB$5:$AB$2004,"&gt;0",'سجل التحفيز'!$B$5:$B$2004,B98,'سجل التحفيز'!$D$5:$D$2004,"ذهبي"))</f>
        <v/>
      </c>
      <c r="F98" s="35">
        <f>IF(B98="","",SUMIFS('سجل التحفيز'!$G$5:$G$2004,'سجل التحفيز'!$AB$5:$AB$2004,"&gt;0",'سجل التحفيز'!$B$5:$B$2004,B98))</f>
        <v/>
      </c>
      <c r="G98" s="35">
        <f>IF(B98="","",COUNTIF($D$38:$D$187,"&gt;"&amp;D98)+1)</f>
        <v/>
      </c>
      <c r="H98" s="35">
        <f>IF(B98="","",INDEX(الموظفات!$L$5:$L$304,MATCH(B98,الموظفات!$B$5:$B$304,0)))</f>
        <v/>
      </c>
      <c r="K98" s="36">
        <f>IF(61&gt;$B$10,"",61)</f>
        <v/>
      </c>
      <c r="L98" s="37">
        <f>IF($K98="","",INDEX('سجل التحفيز'!$A$5:$A$2004,MATCH($K98,'سجل التحفيز'!$AB$5:$AB$2004,0)))</f>
        <v/>
      </c>
      <c r="M98" s="9">
        <f>IF($K98="","",INDEX('سجل التحفيز'!$B$5:$B$2004,MATCH($K98,'سجل التحفيز'!$AB$5:$AB$2004,0)))</f>
        <v/>
      </c>
      <c r="N98" s="9">
        <f>IF($K98="","",INDEX('سجل التحفيز'!$M$5:$M$2004,MATCH($K98,'سجل التحفيز'!$AB$5:$AB$2004,0)))</f>
        <v/>
      </c>
      <c r="O98" s="9">
        <f>IF($K98="","",INDEX('سجل التحفيز'!$C$5:$C$2004,MATCH($K98,'سجل التحفيز'!$AB$5:$AB$2004,0)))</f>
        <v/>
      </c>
      <c r="P98" s="36">
        <f>IF($K98="","",INDEX('سجل التحفيز'!$D$5:$D$2004,MATCH($K98,'سجل التحفيز'!$AB$5:$AB$2004,0)))</f>
        <v/>
      </c>
      <c r="Q98" s="9">
        <f>IF($K98="","",INDEX('سجل التحفيز'!$E$5:$E$2004,MATCH($K98,'سجل التحفيز'!$AB$5:$AB$2004,0)))</f>
        <v/>
      </c>
      <c r="R98" s="9">
        <f>IF($K98="","",INDEX('سجل التحفيز'!$F$5:$F$2004,MATCH($K98,'سجل التحفيز'!$AB$5:$AB$2004,0)))</f>
        <v/>
      </c>
      <c r="S98" s="35">
        <f>IF($K98="","",INDEX('سجل التحفيز'!$G$5:$G$2004,MATCH($K98,'سجل التحفيز'!$AB$5:$AB$2004,0)))</f>
        <v/>
      </c>
    </row>
    <row r="99">
      <c r="B99" s="34">
        <f>IFERROR(INDEX(الموظفات!$B$5:$B$304,MATCH(62,الموظفات!$V$5:$V$304,0)),"")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التحفيز'!$AB$5:$AB$2004,"&gt;0",'سجل التحفيز'!$B$5:$B$2004,B99))</f>
        <v/>
      </c>
      <c r="E99" s="35">
        <f>IF(B99="","",COUNTIFS('سجل التحفيز'!$AB$5:$AB$2004,"&gt;0",'سجل التحفيز'!$B$5:$B$2004,B99,'سجل التحفيز'!$D$5:$D$2004,"ذهبي"))</f>
        <v/>
      </c>
      <c r="F99" s="35">
        <f>IF(B99="","",SUMIFS('سجل التحفيز'!$G$5:$G$2004,'سجل التحفيز'!$AB$5:$AB$2004,"&gt;0",'سجل التحفيز'!$B$5:$B$2004,B99))</f>
        <v/>
      </c>
      <c r="G99" s="35">
        <f>IF(B99="","",COUNTIF($D$38:$D$187,"&gt;"&amp;D99)+1)</f>
        <v/>
      </c>
      <c r="H99" s="35">
        <f>IF(B99="","",INDEX(الموظفات!$L$5:$L$304,MATCH(B99,الموظفات!$B$5:$B$304,0)))</f>
        <v/>
      </c>
      <c r="K99" s="36">
        <f>IF(62&gt;$B$10,"",62)</f>
        <v/>
      </c>
      <c r="L99" s="37">
        <f>IF($K99="","",INDEX('سجل التحفيز'!$A$5:$A$2004,MATCH($K99,'سجل التحفيز'!$AB$5:$AB$2004,0)))</f>
        <v/>
      </c>
      <c r="M99" s="9">
        <f>IF($K99="","",INDEX('سجل التحفيز'!$B$5:$B$2004,MATCH($K99,'سجل التحفيز'!$AB$5:$AB$2004,0)))</f>
        <v/>
      </c>
      <c r="N99" s="9">
        <f>IF($K99="","",INDEX('سجل التحفيز'!$M$5:$M$2004,MATCH($K99,'سجل التحفيز'!$AB$5:$AB$2004,0)))</f>
        <v/>
      </c>
      <c r="O99" s="9">
        <f>IF($K99="","",INDEX('سجل التحفيز'!$C$5:$C$2004,MATCH($K99,'سجل التحفيز'!$AB$5:$AB$2004,0)))</f>
        <v/>
      </c>
      <c r="P99" s="36">
        <f>IF($K99="","",INDEX('سجل التحفيز'!$D$5:$D$2004,MATCH($K99,'سجل التحفيز'!$AB$5:$AB$2004,0)))</f>
        <v/>
      </c>
      <c r="Q99" s="9">
        <f>IF($K99="","",INDEX('سجل التحفيز'!$E$5:$E$2004,MATCH($K99,'سجل التحفيز'!$AB$5:$AB$2004,0)))</f>
        <v/>
      </c>
      <c r="R99" s="9">
        <f>IF($K99="","",INDEX('سجل التحفيز'!$F$5:$F$2004,MATCH($K99,'سجل التحفيز'!$AB$5:$AB$2004,0)))</f>
        <v/>
      </c>
      <c r="S99" s="35">
        <f>IF($K99="","",INDEX('سجل التحفيز'!$G$5:$G$2004,MATCH($K99,'سجل التحفيز'!$AB$5:$AB$2004,0)))</f>
        <v/>
      </c>
    </row>
    <row r="100">
      <c r="B100" s="34">
        <f>IFERROR(INDEX(الموظفات!$B$5:$B$304,MATCH(63,الموظفات!$V$5:$V$304,0)),"")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التحفيز'!$AB$5:$AB$2004,"&gt;0",'سجل التحفيز'!$B$5:$B$2004,B100))</f>
        <v/>
      </c>
      <c r="E100" s="35">
        <f>IF(B100="","",COUNTIFS('سجل التحفيز'!$AB$5:$AB$2004,"&gt;0",'سجل التحفيز'!$B$5:$B$2004,B100,'سجل التحفيز'!$D$5:$D$2004,"ذهبي"))</f>
        <v/>
      </c>
      <c r="F100" s="35">
        <f>IF(B100="","",SUMIFS('سجل التحفيز'!$G$5:$G$2004,'سجل التحفيز'!$AB$5:$AB$2004,"&gt;0",'سجل التحفيز'!$B$5:$B$2004,B100))</f>
        <v/>
      </c>
      <c r="G100" s="35">
        <f>IF(B100="","",COUNTIF($D$38:$D$187,"&gt;"&amp;D100)+1)</f>
        <v/>
      </c>
      <c r="H100" s="35">
        <f>IF(B100="","",INDEX(الموظفات!$L$5:$L$304,MATCH(B100,الموظفات!$B$5:$B$304,0)))</f>
        <v/>
      </c>
      <c r="K100" s="36">
        <f>IF(63&gt;$B$10,"",63)</f>
        <v/>
      </c>
      <c r="L100" s="37">
        <f>IF($K100="","",INDEX('سجل التحفيز'!$A$5:$A$2004,MATCH($K100,'سجل التحفيز'!$AB$5:$AB$2004,0)))</f>
        <v/>
      </c>
      <c r="M100" s="9">
        <f>IF($K100="","",INDEX('سجل التحفيز'!$B$5:$B$2004,MATCH($K100,'سجل التحفيز'!$AB$5:$AB$2004,0)))</f>
        <v/>
      </c>
      <c r="N100" s="9">
        <f>IF($K100="","",INDEX('سجل التحفيز'!$M$5:$M$2004,MATCH($K100,'سجل التحفيز'!$AB$5:$AB$2004,0)))</f>
        <v/>
      </c>
      <c r="O100" s="9">
        <f>IF($K100="","",INDEX('سجل التحفيز'!$C$5:$C$2004,MATCH($K100,'سجل التحفيز'!$AB$5:$AB$2004,0)))</f>
        <v/>
      </c>
      <c r="P100" s="36">
        <f>IF($K100="","",INDEX('سجل التحفيز'!$D$5:$D$2004,MATCH($K100,'سجل التحفيز'!$AB$5:$AB$2004,0)))</f>
        <v/>
      </c>
      <c r="Q100" s="9">
        <f>IF($K100="","",INDEX('سجل التحفيز'!$E$5:$E$2004,MATCH($K100,'سجل التحفيز'!$AB$5:$AB$2004,0)))</f>
        <v/>
      </c>
      <c r="R100" s="9">
        <f>IF($K100="","",INDEX('سجل التحفيز'!$F$5:$F$2004,MATCH($K100,'سجل التحفيز'!$AB$5:$AB$2004,0)))</f>
        <v/>
      </c>
      <c r="S100" s="35">
        <f>IF($K100="","",INDEX('سجل التحفيز'!$G$5:$G$2004,MATCH($K100,'سجل التحفيز'!$AB$5:$AB$2004,0)))</f>
        <v/>
      </c>
    </row>
    <row r="101">
      <c r="B101" s="34">
        <f>IFERROR(INDEX(الموظفات!$B$5:$B$304,MATCH(64,الموظفات!$V$5:$V$304,0)),"")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التحفيز'!$AB$5:$AB$2004,"&gt;0",'سجل التحفيز'!$B$5:$B$2004,B101))</f>
        <v/>
      </c>
      <c r="E101" s="35">
        <f>IF(B101="","",COUNTIFS('سجل التحفيز'!$AB$5:$AB$2004,"&gt;0",'سجل التحفيز'!$B$5:$B$2004,B101,'سجل التحفيز'!$D$5:$D$2004,"ذهبي"))</f>
        <v/>
      </c>
      <c r="F101" s="35">
        <f>IF(B101="","",SUMIFS('سجل التحفيز'!$G$5:$G$2004,'سجل التحفيز'!$AB$5:$AB$2004,"&gt;0",'سجل التحفيز'!$B$5:$B$2004,B101))</f>
        <v/>
      </c>
      <c r="G101" s="35">
        <f>IF(B101="","",COUNTIF($D$38:$D$187,"&gt;"&amp;D101)+1)</f>
        <v/>
      </c>
      <c r="H101" s="35">
        <f>IF(B101="","",INDEX(الموظفات!$L$5:$L$304,MATCH(B101,الموظفات!$B$5:$B$304,0)))</f>
        <v/>
      </c>
      <c r="K101" s="36">
        <f>IF(64&gt;$B$10,"",64)</f>
        <v/>
      </c>
      <c r="L101" s="37">
        <f>IF($K101="","",INDEX('سجل التحفيز'!$A$5:$A$2004,MATCH($K101,'سجل التحفيز'!$AB$5:$AB$2004,0)))</f>
        <v/>
      </c>
      <c r="M101" s="9">
        <f>IF($K101="","",INDEX('سجل التحفيز'!$B$5:$B$2004,MATCH($K101,'سجل التحفيز'!$AB$5:$AB$2004,0)))</f>
        <v/>
      </c>
      <c r="N101" s="9">
        <f>IF($K101="","",INDEX('سجل التحفيز'!$M$5:$M$2004,MATCH($K101,'سجل التحفيز'!$AB$5:$AB$2004,0)))</f>
        <v/>
      </c>
      <c r="O101" s="9">
        <f>IF($K101="","",INDEX('سجل التحفيز'!$C$5:$C$2004,MATCH($K101,'سجل التحفيز'!$AB$5:$AB$2004,0)))</f>
        <v/>
      </c>
      <c r="P101" s="36">
        <f>IF($K101="","",INDEX('سجل التحفيز'!$D$5:$D$2004,MATCH($K101,'سجل التحفيز'!$AB$5:$AB$2004,0)))</f>
        <v/>
      </c>
      <c r="Q101" s="9">
        <f>IF($K101="","",INDEX('سجل التحفيز'!$E$5:$E$2004,MATCH($K101,'سجل التحفيز'!$AB$5:$AB$2004,0)))</f>
        <v/>
      </c>
      <c r="R101" s="9">
        <f>IF($K101="","",INDEX('سجل التحفيز'!$F$5:$F$2004,MATCH($K101,'سجل التحفيز'!$AB$5:$AB$2004,0)))</f>
        <v/>
      </c>
      <c r="S101" s="35">
        <f>IF($K101="","",INDEX('سجل التحفيز'!$G$5:$G$2004,MATCH($K101,'سجل التحفيز'!$AB$5:$AB$2004,0)))</f>
        <v/>
      </c>
    </row>
    <row r="102">
      <c r="B102" s="34">
        <f>IFERROR(INDEX(الموظفات!$B$5:$B$304,MATCH(65,الموظفات!$V$5:$V$304,0)),"")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التحفيز'!$AB$5:$AB$2004,"&gt;0",'سجل التحفيز'!$B$5:$B$2004,B102))</f>
        <v/>
      </c>
      <c r="E102" s="35">
        <f>IF(B102="","",COUNTIFS('سجل التحفيز'!$AB$5:$AB$2004,"&gt;0",'سجل التحفيز'!$B$5:$B$2004,B102,'سجل التحفيز'!$D$5:$D$2004,"ذهبي"))</f>
        <v/>
      </c>
      <c r="F102" s="35">
        <f>IF(B102="","",SUMIFS('سجل التحفيز'!$G$5:$G$2004,'سجل التحفيز'!$AB$5:$AB$2004,"&gt;0",'سجل التحفيز'!$B$5:$B$2004,B102))</f>
        <v/>
      </c>
      <c r="G102" s="35">
        <f>IF(B102="","",COUNTIF($D$38:$D$187,"&gt;"&amp;D102)+1)</f>
        <v/>
      </c>
      <c r="H102" s="35">
        <f>IF(B102="","",INDEX(الموظفات!$L$5:$L$304,MATCH(B102,الموظفات!$B$5:$B$304,0)))</f>
        <v/>
      </c>
      <c r="K102" s="36">
        <f>IF(65&gt;$B$10,"",65)</f>
        <v/>
      </c>
      <c r="L102" s="37">
        <f>IF($K102="","",INDEX('سجل التحفيز'!$A$5:$A$2004,MATCH($K102,'سجل التحفيز'!$AB$5:$AB$2004,0)))</f>
        <v/>
      </c>
      <c r="M102" s="9">
        <f>IF($K102="","",INDEX('سجل التحفيز'!$B$5:$B$2004,MATCH($K102,'سجل التحفيز'!$AB$5:$AB$2004,0)))</f>
        <v/>
      </c>
      <c r="N102" s="9">
        <f>IF($K102="","",INDEX('سجل التحفيز'!$M$5:$M$2004,MATCH($K102,'سجل التحفيز'!$AB$5:$AB$2004,0)))</f>
        <v/>
      </c>
      <c r="O102" s="9">
        <f>IF($K102="","",INDEX('سجل التحفيز'!$C$5:$C$2004,MATCH($K102,'سجل التحفيز'!$AB$5:$AB$2004,0)))</f>
        <v/>
      </c>
      <c r="P102" s="36">
        <f>IF($K102="","",INDEX('سجل التحفيز'!$D$5:$D$2004,MATCH($K102,'سجل التحفيز'!$AB$5:$AB$2004,0)))</f>
        <v/>
      </c>
      <c r="Q102" s="9">
        <f>IF($K102="","",INDEX('سجل التحفيز'!$E$5:$E$2004,MATCH($K102,'سجل التحفيز'!$AB$5:$AB$2004,0)))</f>
        <v/>
      </c>
      <c r="R102" s="9">
        <f>IF($K102="","",INDEX('سجل التحفيز'!$F$5:$F$2004,MATCH($K102,'سجل التحفيز'!$AB$5:$AB$2004,0)))</f>
        <v/>
      </c>
      <c r="S102" s="35">
        <f>IF($K102="","",INDEX('سجل التحفيز'!$G$5:$G$2004,MATCH($K102,'سجل التحفيز'!$AB$5:$AB$2004,0)))</f>
        <v/>
      </c>
    </row>
    <row r="103">
      <c r="B103" s="34">
        <f>IFERROR(INDEX(الموظفات!$B$5:$B$304,MATCH(66,الموظفات!$V$5:$V$304,0)),"")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التحفيز'!$AB$5:$AB$2004,"&gt;0",'سجل التحفيز'!$B$5:$B$2004,B103))</f>
        <v/>
      </c>
      <c r="E103" s="35">
        <f>IF(B103="","",COUNTIFS('سجل التحفيز'!$AB$5:$AB$2004,"&gt;0",'سجل التحفيز'!$B$5:$B$2004,B103,'سجل التحفيز'!$D$5:$D$2004,"ذهبي"))</f>
        <v/>
      </c>
      <c r="F103" s="35">
        <f>IF(B103="","",SUMIFS('سجل التحفيز'!$G$5:$G$2004,'سجل التحفيز'!$AB$5:$AB$2004,"&gt;0",'سجل التحفيز'!$B$5:$B$2004,B103))</f>
        <v/>
      </c>
      <c r="G103" s="35">
        <f>IF(B103="","",COUNTIF($D$38:$D$187,"&gt;"&amp;D103)+1)</f>
        <v/>
      </c>
      <c r="H103" s="35">
        <f>IF(B103="","",INDEX(الموظفات!$L$5:$L$304,MATCH(B103,الموظفات!$B$5:$B$304,0)))</f>
        <v/>
      </c>
      <c r="K103" s="36">
        <f>IF(66&gt;$B$10,"",66)</f>
        <v/>
      </c>
      <c r="L103" s="37">
        <f>IF($K103="","",INDEX('سجل التحفيز'!$A$5:$A$2004,MATCH($K103,'سجل التحفيز'!$AB$5:$AB$2004,0)))</f>
        <v/>
      </c>
      <c r="M103" s="9">
        <f>IF($K103="","",INDEX('سجل التحفيز'!$B$5:$B$2004,MATCH($K103,'سجل التحفيز'!$AB$5:$AB$2004,0)))</f>
        <v/>
      </c>
      <c r="N103" s="9">
        <f>IF($K103="","",INDEX('سجل التحفيز'!$M$5:$M$2004,MATCH($K103,'سجل التحفيز'!$AB$5:$AB$2004,0)))</f>
        <v/>
      </c>
      <c r="O103" s="9">
        <f>IF($K103="","",INDEX('سجل التحفيز'!$C$5:$C$2004,MATCH($K103,'سجل التحفيز'!$AB$5:$AB$2004,0)))</f>
        <v/>
      </c>
      <c r="P103" s="36">
        <f>IF($K103="","",INDEX('سجل التحفيز'!$D$5:$D$2004,MATCH($K103,'سجل التحفيز'!$AB$5:$AB$2004,0)))</f>
        <v/>
      </c>
      <c r="Q103" s="9">
        <f>IF($K103="","",INDEX('سجل التحفيز'!$E$5:$E$2004,MATCH($K103,'سجل التحفيز'!$AB$5:$AB$2004,0)))</f>
        <v/>
      </c>
      <c r="R103" s="9">
        <f>IF($K103="","",INDEX('سجل التحفيز'!$F$5:$F$2004,MATCH($K103,'سجل التحفيز'!$AB$5:$AB$2004,0)))</f>
        <v/>
      </c>
      <c r="S103" s="35">
        <f>IF($K103="","",INDEX('سجل التحفيز'!$G$5:$G$2004,MATCH($K103,'سجل التحفيز'!$AB$5:$AB$2004,0)))</f>
        <v/>
      </c>
    </row>
    <row r="104">
      <c r="B104" s="34">
        <f>IFERROR(INDEX(الموظفات!$B$5:$B$304,MATCH(67,الموظفات!$V$5:$V$304,0)),"")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التحفيز'!$AB$5:$AB$2004,"&gt;0",'سجل التحفيز'!$B$5:$B$2004,B104))</f>
        <v/>
      </c>
      <c r="E104" s="35">
        <f>IF(B104="","",COUNTIFS('سجل التحفيز'!$AB$5:$AB$2004,"&gt;0",'سجل التحفيز'!$B$5:$B$2004,B104,'سجل التحفيز'!$D$5:$D$2004,"ذهبي"))</f>
        <v/>
      </c>
      <c r="F104" s="35">
        <f>IF(B104="","",SUMIFS('سجل التحفيز'!$G$5:$G$2004,'سجل التحفيز'!$AB$5:$AB$2004,"&gt;0",'سجل التحفيز'!$B$5:$B$2004,B104))</f>
        <v/>
      </c>
      <c r="G104" s="35">
        <f>IF(B104="","",COUNTIF($D$38:$D$187,"&gt;"&amp;D104)+1)</f>
        <v/>
      </c>
      <c r="H104" s="35">
        <f>IF(B104="","",INDEX(الموظفات!$L$5:$L$304,MATCH(B104,الموظفات!$B$5:$B$304,0)))</f>
        <v/>
      </c>
      <c r="K104" s="36">
        <f>IF(67&gt;$B$10,"",67)</f>
        <v/>
      </c>
      <c r="L104" s="37">
        <f>IF($K104="","",INDEX('سجل التحفيز'!$A$5:$A$2004,MATCH($K104,'سجل التحفيز'!$AB$5:$AB$2004,0)))</f>
        <v/>
      </c>
      <c r="M104" s="9">
        <f>IF($K104="","",INDEX('سجل التحفيز'!$B$5:$B$2004,MATCH($K104,'سجل التحفيز'!$AB$5:$AB$2004,0)))</f>
        <v/>
      </c>
      <c r="N104" s="9">
        <f>IF($K104="","",INDEX('سجل التحفيز'!$M$5:$M$2004,MATCH($K104,'سجل التحفيز'!$AB$5:$AB$2004,0)))</f>
        <v/>
      </c>
      <c r="O104" s="9">
        <f>IF($K104="","",INDEX('سجل التحفيز'!$C$5:$C$2004,MATCH($K104,'سجل التحفيز'!$AB$5:$AB$2004,0)))</f>
        <v/>
      </c>
      <c r="P104" s="36">
        <f>IF($K104="","",INDEX('سجل التحفيز'!$D$5:$D$2004,MATCH($K104,'سجل التحفيز'!$AB$5:$AB$2004,0)))</f>
        <v/>
      </c>
      <c r="Q104" s="9">
        <f>IF($K104="","",INDEX('سجل التحفيز'!$E$5:$E$2004,MATCH($K104,'سجل التحفيز'!$AB$5:$AB$2004,0)))</f>
        <v/>
      </c>
      <c r="R104" s="9">
        <f>IF($K104="","",INDEX('سجل التحفيز'!$F$5:$F$2004,MATCH($K104,'سجل التحفيز'!$AB$5:$AB$2004,0)))</f>
        <v/>
      </c>
      <c r="S104" s="35">
        <f>IF($K104="","",INDEX('سجل التحفيز'!$G$5:$G$2004,MATCH($K104,'سجل التحفيز'!$AB$5:$AB$2004,0)))</f>
        <v/>
      </c>
    </row>
    <row r="105">
      <c r="B105" s="34">
        <f>IFERROR(INDEX(الموظفات!$B$5:$B$304,MATCH(68,الموظفات!$V$5:$V$304,0)),"")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التحفيز'!$AB$5:$AB$2004,"&gt;0",'سجل التحفيز'!$B$5:$B$2004,B105))</f>
        <v/>
      </c>
      <c r="E105" s="35">
        <f>IF(B105="","",COUNTIFS('سجل التحفيز'!$AB$5:$AB$2004,"&gt;0",'سجل التحفيز'!$B$5:$B$2004,B105,'سجل التحفيز'!$D$5:$D$2004,"ذهبي"))</f>
        <v/>
      </c>
      <c r="F105" s="35">
        <f>IF(B105="","",SUMIFS('سجل التحفيز'!$G$5:$G$2004,'سجل التحفيز'!$AB$5:$AB$2004,"&gt;0",'سجل التحفيز'!$B$5:$B$2004,B105))</f>
        <v/>
      </c>
      <c r="G105" s="35">
        <f>IF(B105="","",COUNTIF($D$38:$D$187,"&gt;"&amp;D105)+1)</f>
        <v/>
      </c>
      <c r="H105" s="35">
        <f>IF(B105="","",INDEX(الموظفات!$L$5:$L$304,MATCH(B105,الموظفات!$B$5:$B$304,0)))</f>
        <v/>
      </c>
      <c r="K105" s="36">
        <f>IF(68&gt;$B$10,"",68)</f>
        <v/>
      </c>
      <c r="L105" s="37">
        <f>IF($K105="","",INDEX('سجل التحفيز'!$A$5:$A$2004,MATCH($K105,'سجل التحفيز'!$AB$5:$AB$2004,0)))</f>
        <v/>
      </c>
      <c r="M105" s="9">
        <f>IF($K105="","",INDEX('سجل التحفيز'!$B$5:$B$2004,MATCH($K105,'سجل التحفيز'!$AB$5:$AB$2004,0)))</f>
        <v/>
      </c>
      <c r="N105" s="9">
        <f>IF($K105="","",INDEX('سجل التحفيز'!$M$5:$M$2004,MATCH($K105,'سجل التحفيز'!$AB$5:$AB$2004,0)))</f>
        <v/>
      </c>
      <c r="O105" s="9">
        <f>IF($K105="","",INDEX('سجل التحفيز'!$C$5:$C$2004,MATCH($K105,'سجل التحفيز'!$AB$5:$AB$2004,0)))</f>
        <v/>
      </c>
      <c r="P105" s="36">
        <f>IF($K105="","",INDEX('سجل التحفيز'!$D$5:$D$2004,MATCH($K105,'سجل التحفيز'!$AB$5:$AB$2004,0)))</f>
        <v/>
      </c>
      <c r="Q105" s="9">
        <f>IF($K105="","",INDEX('سجل التحفيز'!$E$5:$E$2004,MATCH($K105,'سجل التحفيز'!$AB$5:$AB$2004,0)))</f>
        <v/>
      </c>
      <c r="R105" s="9">
        <f>IF($K105="","",INDEX('سجل التحفيز'!$F$5:$F$2004,MATCH($K105,'سجل التحفيز'!$AB$5:$AB$2004,0)))</f>
        <v/>
      </c>
      <c r="S105" s="35">
        <f>IF($K105="","",INDEX('سجل التحفيز'!$G$5:$G$2004,MATCH($K105,'سجل التحفيز'!$AB$5:$AB$2004,0)))</f>
        <v/>
      </c>
    </row>
    <row r="106">
      <c r="B106" s="34">
        <f>IFERROR(INDEX(الموظفات!$B$5:$B$304,MATCH(69,الموظفات!$V$5:$V$304,0)),"")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التحفيز'!$AB$5:$AB$2004,"&gt;0",'سجل التحفيز'!$B$5:$B$2004,B106))</f>
        <v/>
      </c>
      <c r="E106" s="35">
        <f>IF(B106="","",COUNTIFS('سجل التحفيز'!$AB$5:$AB$2004,"&gt;0",'سجل التحفيز'!$B$5:$B$2004,B106,'سجل التحفيز'!$D$5:$D$2004,"ذهبي"))</f>
        <v/>
      </c>
      <c r="F106" s="35">
        <f>IF(B106="","",SUMIFS('سجل التحفيز'!$G$5:$G$2004,'سجل التحفيز'!$AB$5:$AB$2004,"&gt;0",'سجل التحفيز'!$B$5:$B$2004,B106))</f>
        <v/>
      </c>
      <c r="G106" s="35">
        <f>IF(B106="","",COUNTIF($D$38:$D$187,"&gt;"&amp;D106)+1)</f>
        <v/>
      </c>
      <c r="H106" s="35">
        <f>IF(B106="","",INDEX(الموظفات!$L$5:$L$304,MATCH(B106,الموظفات!$B$5:$B$304,0)))</f>
        <v/>
      </c>
      <c r="K106" s="36">
        <f>IF(69&gt;$B$10,"",69)</f>
        <v/>
      </c>
      <c r="L106" s="37">
        <f>IF($K106="","",INDEX('سجل التحفيز'!$A$5:$A$2004,MATCH($K106,'سجل التحفيز'!$AB$5:$AB$2004,0)))</f>
        <v/>
      </c>
      <c r="M106" s="9">
        <f>IF($K106="","",INDEX('سجل التحفيز'!$B$5:$B$2004,MATCH($K106,'سجل التحفيز'!$AB$5:$AB$2004,0)))</f>
        <v/>
      </c>
      <c r="N106" s="9">
        <f>IF($K106="","",INDEX('سجل التحفيز'!$M$5:$M$2004,MATCH($K106,'سجل التحفيز'!$AB$5:$AB$2004,0)))</f>
        <v/>
      </c>
      <c r="O106" s="9">
        <f>IF($K106="","",INDEX('سجل التحفيز'!$C$5:$C$2004,MATCH($K106,'سجل التحفيز'!$AB$5:$AB$2004,0)))</f>
        <v/>
      </c>
      <c r="P106" s="36">
        <f>IF($K106="","",INDEX('سجل التحفيز'!$D$5:$D$2004,MATCH($K106,'سجل التحفيز'!$AB$5:$AB$2004,0)))</f>
        <v/>
      </c>
      <c r="Q106" s="9">
        <f>IF($K106="","",INDEX('سجل التحفيز'!$E$5:$E$2004,MATCH($K106,'سجل التحفيز'!$AB$5:$AB$2004,0)))</f>
        <v/>
      </c>
      <c r="R106" s="9">
        <f>IF($K106="","",INDEX('سجل التحفيز'!$F$5:$F$2004,MATCH($K106,'سجل التحفيز'!$AB$5:$AB$2004,0)))</f>
        <v/>
      </c>
      <c r="S106" s="35">
        <f>IF($K106="","",INDEX('سجل التحفيز'!$G$5:$G$2004,MATCH($K106,'سجل التحفيز'!$AB$5:$AB$2004,0)))</f>
        <v/>
      </c>
    </row>
    <row r="107">
      <c r="B107" s="34">
        <f>IFERROR(INDEX(الموظفات!$B$5:$B$304,MATCH(70,الموظفات!$V$5:$V$304,0)),"")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التحفيز'!$AB$5:$AB$2004,"&gt;0",'سجل التحفيز'!$B$5:$B$2004,B107))</f>
        <v/>
      </c>
      <c r="E107" s="35">
        <f>IF(B107="","",COUNTIFS('سجل التحفيز'!$AB$5:$AB$2004,"&gt;0",'سجل التحفيز'!$B$5:$B$2004,B107,'سجل التحفيز'!$D$5:$D$2004,"ذهبي"))</f>
        <v/>
      </c>
      <c r="F107" s="35">
        <f>IF(B107="","",SUMIFS('سجل التحفيز'!$G$5:$G$2004,'سجل التحفيز'!$AB$5:$AB$2004,"&gt;0",'سجل التحفيز'!$B$5:$B$2004,B107))</f>
        <v/>
      </c>
      <c r="G107" s="35">
        <f>IF(B107="","",COUNTIF($D$38:$D$187,"&gt;"&amp;D107)+1)</f>
        <v/>
      </c>
      <c r="H107" s="35">
        <f>IF(B107="","",INDEX(الموظفات!$L$5:$L$304,MATCH(B107,الموظفات!$B$5:$B$304,0)))</f>
        <v/>
      </c>
      <c r="K107" s="36">
        <f>IF(70&gt;$B$10,"",70)</f>
        <v/>
      </c>
      <c r="L107" s="37">
        <f>IF($K107="","",INDEX('سجل التحفيز'!$A$5:$A$2004,MATCH($K107,'سجل التحفيز'!$AB$5:$AB$2004,0)))</f>
        <v/>
      </c>
      <c r="M107" s="9">
        <f>IF($K107="","",INDEX('سجل التحفيز'!$B$5:$B$2004,MATCH($K107,'سجل التحفيز'!$AB$5:$AB$2004,0)))</f>
        <v/>
      </c>
      <c r="N107" s="9">
        <f>IF($K107="","",INDEX('سجل التحفيز'!$M$5:$M$2004,MATCH($K107,'سجل التحفيز'!$AB$5:$AB$2004,0)))</f>
        <v/>
      </c>
      <c r="O107" s="9">
        <f>IF($K107="","",INDEX('سجل التحفيز'!$C$5:$C$2004,MATCH($K107,'سجل التحفيز'!$AB$5:$AB$2004,0)))</f>
        <v/>
      </c>
      <c r="P107" s="36">
        <f>IF($K107="","",INDEX('سجل التحفيز'!$D$5:$D$2004,MATCH($K107,'سجل التحفيز'!$AB$5:$AB$2004,0)))</f>
        <v/>
      </c>
      <c r="Q107" s="9">
        <f>IF($K107="","",INDEX('سجل التحفيز'!$E$5:$E$2004,MATCH($K107,'سجل التحفيز'!$AB$5:$AB$2004,0)))</f>
        <v/>
      </c>
      <c r="R107" s="9">
        <f>IF($K107="","",INDEX('سجل التحفيز'!$F$5:$F$2004,MATCH($K107,'سجل التحفيز'!$AB$5:$AB$2004,0)))</f>
        <v/>
      </c>
      <c r="S107" s="35">
        <f>IF($K107="","",INDEX('سجل التحفيز'!$G$5:$G$2004,MATCH($K107,'سجل التحفيز'!$AB$5:$AB$2004,0)))</f>
        <v/>
      </c>
    </row>
    <row r="108">
      <c r="B108" s="34">
        <f>IFERROR(INDEX(الموظفات!$B$5:$B$304,MATCH(71,الموظفات!$V$5:$V$304,0)),"")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التحفيز'!$AB$5:$AB$2004,"&gt;0",'سجل التحفيز'!$B$5:$B$2004,B108))</f>
        <v/>
      </c>
      <c r="E108" s="35">
        <f>IF(B108="","",COUNTIFS('سجل التحفيز'!$AB$5:$AB$2004,"&gt;0",'سجل التحفيز'!$B$5:$B$2004,B108,'سجل التحفيز'!$D$5:$D$2004,"ذهبي"))</f>
        <v/>
      </c>
      <c r="F108" s="35">
        <f>IF(B108="","",SUMIFS('سجل التحفيز'!$G$5:$G$2004,'سجل التحفيز'!$AB$5:$AB$2004,"&gt;0",'سجل التحفيز'!$B$5:$B$2004,B108))</f>
        <v/>
      </c>
      <c r="G108" s="35">
        <f>IF(B108="","",COUNTIF($D$38:$D$187,"&gt;"&amp;D108)+1)</f>
        <v/>
      </c>
      <c r="H108" s="35">
        <f>IF(B108="","",INDEX(الموظفات!$L$5:$L$304,MATCH(B108,الموظفات!$B$5:$B$304,0)))</f>
        <v/>
      </c>
      <c r="K108" s="36">
        <f>IF(71&gt;$B$10,"",71)</f>
        <v/>
      </c>
      <c r="L108" s="37">
        <f>IF($K108="","",INDEX('سجل التحفيز'!$A$5:$A$2004,MATCH($K108,'سجل التحفيز'!$AB$5:$AB$2004,0)))</f>
        <v/>
      </c>
      <c r="M108" s="9">
        <f>IF($K108="","",INDEX('سجل التحفيز'!$B$5:$B$2004,MATCH($K108,'سجل التحفيز'!$AB$5:$AB$2004,0)))</f>
        <v/>
      </c>
      <c r="N108" s="9">
        <f>IF($K108="","",INDEX('سجل التحفيز'!$M$5:$M$2004,MATCH($K108,'سجل التحفيز'!$AB$5:$AB$2004,0)))</f>
        <v/>
      </c>
      <c r="O108" s="9">
        <f>IF($K108="","",INDEX('سجل التحفيز'!$C$5:$C$2004,MATCH($K108,'سجل التحفيز'!$AB$5:$AB$2004,0)))</f>
        <v/>
      </c>
      <c r="P108" s="36">
        <f>IF($K108="","",INDEX('سجل التحفيز'!$D$5:$D$2004,MATCH($K108,'سجل التحفيز'!$AB$5:$AB$2004,0)))</f>
        <v/>
      </c>
      <c r="Q108" s="9">
        <f>IF($K108="","",INDEX('سجل التحفيز'!$E$5:$E$2004,MATCH($K108,'سجل التحفيز'!$AB$5:$AB$2004,0)))</f>
        <v/>
      </c>
      <c r="R108" s="9">
        <f>IF($K108="","",INDEX('سجل التحفيز'!$F$5:$F$2004,MATCH($K108,'سجل التحفيز'!$AB$5:$AB$2004,0)))</f>
        <v/>
      </c>
      <c r="S108" s="35">
        <f>IF($K108="","",INDEX('سجل التحفيز'!$G$5:$G$2004,MATCH($K108,'سجل التحفيز'!$AB$5:$AB$2004,0)))</f>
        <v/>
      </c>
    </row>
    <row r="109">
      <c r="B109" s="34">
        <f>IFERROR(INDEX(الموظفات!$B$5:$B$304,MATCH(72,الموظفات!$V$5:$V$304,0)),"")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التحفيز'!$AB$5:$AB$2004,"&gt;0",'سجل التحفيز'!$B$5:$B$2004,B109))</f>
        <v/>
      </c>
      <c r="E109" s="35">
        <f>IF(B109="","",COUNTIFS('سجل التحفيز'!$AB$5:$AB$2004,"&gt;0",'سجل التحفيز'!$B$5:$B$2004,B109,'سجل التحفيز'!$D$5:$D$2004,"ذهبي"))</f>
        <v/>
      </c>
      <c r="F109" s="35">
        <f>IF(B109="","",SUMIFS('سجل التحفيز'!$G$5:$G$2004,'سجل التحفيز'!$AB$5:$AB$2004,"&gt;0",'سجل التحفيز'!$B$5:$B$2004,B109))</f>
        <v/>
      </c>
      <c r="G109" s="35">
        <f>IF(B109="","",COUNTIF($D$38:$D$187,"&gt;"&amp;D109)+1)</f>
        <v/>
      </c>
      <c r="H109" s="35">
        <f>IF(B109="","",INDEX(الموظفات!$L$5:$L$304,MATCH(B109,الموظفات!$B$5:$B$304,0)))</f>
        <v/>
      </c>
      <c r="K109" s="36">
        <f>IF(72&gt;$B$10,"",72)</f>
        <v/>
      </c>
      <c r="L109" s="37">
        <f>IF($K109="","",INDEX('سجل التحفيز'!$A$5:$A$2004,MATCH($K109,'سجل التحفيز'!$AB$5:$AB$2004,0)))</f>
        <v/>
      </c>
      <c r="M109" s="9">
        <f>IF($K109="","",INDEX('سجل التحفيز'!$B$5:$B$2004,MATCH($K109,'سجل التحفيز'!$AB$5:$AB$2004,0)))</f>
        <v/>
      </c>
      <c r="N109" s="9">
        <f>IF($K109="","",INDEX('سجل التحفيز'!$M$5:$M$2004,MATCH($K109,'سجل التحفيز'!$AB$5:$AB$2004,0)))</f>
        <v/>
      </c>
      <c r="O109" s="9">
        <f>IF($K109="","",INDEX('سجل التحفيز'!$C$5:$C$2004,MATCH($K109,'سجل التحفيز'!$AB$5:$AB$2004,0)))</f>
        <v/>
      </c>
      <c r="P109" s="36">
        <f>IF($K109="","",INDEX('سجل التحفيز'!$D$5:$D$2004,MATCH($K109,'سجل التحفيز'!$AB$5:$AB$2004,0)))</f>
        <v/>
      </c>
      <c r="Q109" s="9">
        <f>IF($K109="","",INDEX('سجل التحفيز'!$E$5:$E$2004,MATCH($K109,'سجل التحفيز'!$AB$5:$AB$2004,0)))</f>
        <v/>
      </c>
      <c r="R109" s="9">
        <f>IF($K109="","",INDEX('سجل التحفيز'!$F$5:$F$2004,MATCH($K109,'سجل التحفيز'!$AB$5:$AB$2004,0)))</f>
        <v/>
      </c>
      <c r="S109" s="35">
        <f>IF($K109="","",INDEX('سجل التحفيز'!$G$5:$G$2004,MATCH($K109,'سجل التحفيز'!$AB$5:$AB$2004,0)))</f>
        <v/>
      </c>
    </row>
    <row r="110">
      <c r="B110" s="34">
        <f>IFERROR(INDEX(الموظفات!$B$5:$B$304,MATCH(73,الموظفات!$V$5:$V$304,0)),"")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التحفيز'!$AB$5:$AB$2004,"&gt;0",'سجل التحفيز'!$B$5:$B$2004,B110))</f>
        <v/>
      </c>
      <c r="E110" s="35">
        <f>IF(B110="","",COUNTIFS('سجل التحفيز'!$AB$5:$AB$2004,"&gt;0",'سجل التحفيز'!$B$5:$B$2004,B110,'سجل التحفيز'!$D$5:$D$2004,"ذهبي"))</f>
        <v/>
      </c>
      <c r="F110" s="35">
        <f>IF(B110="","",SUMIFS('سجل التحفيز'!$G$5:$G$2004,'سجل التحفيز'!$AB$5:$AB$2004,"&gt;0",'سجل التحفيز'!$B$5:$B$2004,B110))</f>
        <v/>
      </c>
      <c r="G110" s="35">
        <f>IF(B110="","",COUNTIF($D$38:$D$187,"&gt;"&amp;D110)+1)</f>
        <v/>
      </c>
      <c r="H110" s="35">
        <f>IF(B110="","",INDEX(الموظفات!$L$5:$L$304,MATCH(B110,الموظفات!$B$5:$B$304,0)))</f>
        <v/>
      </c>
      <c r="K110" s="36">
        <f>IF(73&gt;$B$10,"",73)</f>
        <v/>
      </c>
      <c r="L110" s="37">
        <f>IF($K110="","",INDEX('سجل التحفيز'!$A$5:$A$2004,MATCH($K110,'سجل التحفيز'!$AB$5:$AB$2004,0)))</f>
        <v/>
      </c>
      <c r="M110" s="9">
        <f>IF($K110="","",INDEX('سجل التحفيز'!$B$5:$B$2004,MATCH($K110,'سجل التحفيز'!$AB$5:$AB$2004,0)))</f>
        <v/>
      </c>
      <c r="N110" s="9">
        <f>IF($K110="","",INDEX('سجل التحفيز'!$M$5:$M$2004,MATCH($K110,'سجل التحفيز'!$AB$5:$AB$2004,0)))</f>
        <v/>
      </c>
      <c r="O110" s="9">
        <f>IF($K110="","",INDEX('سجل التحفيز'!$C$5:$C$2004,MATCH($K110,'سجل التحفيز'!$AB$5:$AB$2004,0)))</f>
        <v/>
      </c>
      <c r="P110" s="36">
        <f>IF($K110="","",INDEX('سجل التحفيز'!$D$5:$D$2004,MATCH($K110,'سجل التحفيز'!$AB$5:$AB$2004,0)))</f>
        <v/>
      </c>
      <c r="Q110" s="9">
        <f>IF($K110="","",INDEX('سجل التحفيز'!$E$5:$E$2004,MATCH($K110,'سجل التحفيز'!$AB$5:$AB$2004,0)))</f>
        <v/>
      </c>
      <c r="R110" s="9">
        <f>IF($K110="","",INDEX('سجل التحفيز'!$F$5:$F$2004,MATCH($K110,'سجل التحفيز'!$AB$5:$AB$2004,0)))</f>
        <v/>
      </c>
      <c r="S110" s="35">
        <f>IF($K110="","",INDEX('سجل التحفيز'!$G$5:$G$2004,MATCH($K110,'سجل التحفيز'!$AB$5:$AB$2004,0)))</f>
        <v/>
      </c>
    </row>
    <row r="111">
      <c r="B111" s="34">
        <f>IFERROR(INDEX(الموظفات!$B$5:$B$304,MATCH(74,الموظفات!$V$5:$V$304,0)),"")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التحفيز'!$AB$5:$AB$2004,"&gt;0",'سجل التحفيز'!$B$5:$B$2004,B111))</f>
        <v/>
      </c>
      <c r="E111" s="35">
        <f>IF(B111="","",COUNTIFS('سجل التحفيز'!$AB$5:$AB$2004,"&gt;0",'سجل التحفيز'!$B$5:$B$2004,B111,'سجل التحفيز'!$D$5:$D$2004,"ذهبي"))</f>
        <v/>
      </c>
      <c r="F111" s="35">
        <f>IF(B111="","",SUMIFS('سجل التحفيز'!$G$5:$G$2004,'سجل التحفيز'!$AB$5:$AB$2004,"&gt;0",'سجل التحفيز'!$B$5:$B$2004,B111))</f>
        <v/>
      </c>
      <c r="G111" s="35">
        <f>IF(B111="","",COUNTIF($D$38:$D$187,"&gt;"&amp;D111)+1)</f>
        <v/>
      </c>
      <c r="H111" s="35">
        <f>IF(B111="","",INDEX(الموظفات!$L$5:$L$304,MATCH(B111,الموظفات!$B$5:$B$304,0)))</f>
        <v/>
      </c>
      <c r="K111" s="36">
        <f>IF(74&gt;$B$10,"",74)</f>
        <v/>
      </c>
      <c r="L111" s="37">
        <f>IF($K111="","",INDEX('سجل التحفيز'!$A$5:$A$2004,MATCH($K111,'سجل التحفيز'!$AB$5:$AB$2004,0)))</f>
        <v/>
      </c>
      <c r="M111" s="9">
        <f>IF($K111="","",INDEX('سجل التحفيز'!$B$5:$B$2004,MATCH($K111,'سجل التحفيز'!$AB$5:$AB$2004,0)))</f>
        <v/>
      </c>
      <c r="N111" s="9">
        <f>IF($K111="","",INDEX('سجل التحفيز'!$M$5:$M$2004,MATCH($K111,'سجل التحفيز'!$AB$5:$AB$2004,0)))</f>
        <v/>
      </c>
      <c r="O111" s="9">
        <f>IF($K111="","",INDEX('سجل التحفيز'!$C$5:$C$2004,MATCH($K111,'سجل التحفيز'!$AB$5:$AB$2004,0)))</f>
        <v/>
      </c>
      <c r="P111" s="36">
        <f>IF($K111="","",INDEX('سجل التحفيز'!$D$5:$D$2004,MATCH($K111,'سجل التحفيز'!$AB$5:$AB$2004,0)))</f>
        <v/>
      </c>
      <c r="Q111" s="9">
        <f>IF($K111="","",INDEX('سجل التحفيز'!$E$5:$E$2004,MATCH($K111,'سجل التحفيز'!$AB$5:$AB$2004,0)))</f>
        <v/>
      </c>
      <c r="R111" s="9">
        <f>IF($K111="","",INDEX('سجل التحفيز'!$F$5:$F$2004,MATCH($K111,'سجل التحفيز'!$AB$5:$AB$2004,0)))</f>
        <v/>
      </c>
      <c r="S111" s="35">
        <f>IF($K111="","",INDEX('سجل التحفيز'!$G$5:$G$2004,MATCH($K111,'سجل التحفيز'!$AB$5:$AB$2004,0)))</f>
        <v/>
      </c>
    </row>
    <row r="112">
      <c r="B112" s="34">
        <f>IFERROR(INDEX(الموظفات!$B$5:$B$304,MATCH(75,الموظفات!$V$5:$V$304,0)),"")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التحفيز'!$AB$5:$AB$2004,"&gt;0",'سجل التحفيز'!$B$5:$B$2004,B112))</f>
        <v/>
      </c>
      <c r="E112" s="35">
        <f>IF(B112="","",COUNTIFS('سجل التحفيز'!$AB$5:$AB$2004,"&gt;0",'سجل التحفيز'!$B$5:$B$2004,B112,'سجل التحفيز'!$D$5:$D$2004,"ذهبي"))</f>
        <v/>
      </c>
      <c r="F112" s="35">
        <f>IF(B112="","",SUMIFS('سجل التحفيز'!$G$5:$G$2004,'سجل التحفيز'!$AB$5:$AB$2004,"&gt;0",'سجل التحفيز'!$B$5:$B$2004,B112))</f>
        <v/>
      </c>
      <c r="G112" s="35">
        <f>IF(B112="","",COUNTIF($D$38:$D$187,"&gt;"&amp;D112)+1)</f>
        <v/>
      </c>
      <c r="H112" s="35">
        <f>IF(B112="","",INDEX(الموظفات!$L$5:$L$304,MATCH(B112,الموظفات!$B$5:$B$304,0)))</f>
        <v/>
      </c>
      <c r="K112" s="36">
        <f>IF(75&gt;$B$10,"",75)</f>
        <v/>
      </c>
      <c r="L112" s="37">
        <f>IF($K112="","",INDEX('سجل التحفيز'!$A$5:$A$2004,MATCH($K112,'سجل التحفيز'!$AB$5:$AB$2004,0)))</f>
        <v/>
      </c>
      <c r="M112" s="9">
        <f>IF($K112="","",INDEX('سجل التحفيز'!$B$5:$B$2004,MATCH($K112,'سجل التحفيز'!$AB$5:$AB$2004,0)))</f>
        <v/>
      </c>
      <c r="N112" s="9">
        <f>IF($K112="","",INDEX('سجل التحفيز'!$M$5:$M$2004,MATCH($K112,'سجل التحفيز'!$AB$5:$AB$2004,0)))</f>
        <v/>
      </c>
      <c r="O112" s="9">
        <f>IF($K112="","",INDEX('سجل التحفيز'!$C$5:$C$2004,MATCH($K112,'سجل التحفيز'!$AB$5:$AB$2004,0)))</f>
        <v/>
      </c>
      <c r="P112" s="36">
        <f>IF($K112="","",INDEX('سجل التحفيز'!$D$5:$D$2004,MATCH($K112,'سجل التحفيز'!$AB$5:$AB$2004,0)))</f>
        <v/>
      </c>
      <c r="Q112" s="9">
        <f>IF($K112="","",INDEX('سجل التحفيز'!$E$5:$E$2004,MATCH($K112,'سجل التحفيز'!$AB$5:$AB$2004,0)))</f>
        <v/>
      </c>
      <c r="R112" s="9">
        <f>IF($K112="","",INDEX('سجل التحفيز'!$F$5:$F$2004,MATCH($K112,'سجل التحفيز'!$AB$5:$AB$2004,0)))</f>
        <v/>
      </c>
      <c r="S112" s="35">
        <f>IF($K112="","",INDEX('سجل التحفيز'!$G$5:$G$2004,MATCH($K112,'سجل التحفيز'!$AB$5:$AB$2004,0)))</f>
        <v/>
      </c>
    </row>
    <row r="113">
      <c r="B113" s="34">
        <f>IFERROR(INDEX(الموظفات!$B$5:$B$304,MATCH(76,الموظفات!$V$5:$V$304,0)),"")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التحفيز'!$AB$5:$AB$2004,"&gt;0",'سجل التحفيز'!$B$5:$B$2004,B113))</f>
        <v/>
      </c>
      <c r="E113" s="35">
        <f>IF(B113="","",COUNTIFS('سجل التحفيز'!$AB$5:$AB$2004,"&gt;0",'سجل التحفيز'!$B$5:$B$2004,B113,'سجل التحفيز'!$D$5:$D$2004,"ذهبي"))</f>
        <v/>
      </c>
      <c r="F113" s="35">
        <f>IF(B113="","",SUMIFS('سجل التحفيز'!$G$5:$G$2004,'سجل التحفيز'!$AB$5:$AB$2004,"&gt;0",'سجل التحفيز'!$B$5:$B$2004,B113))</f>
        <v/>
      </c>
      <c r="G113" s="35">
        <f>IF(B113="","",COUNTIF($D$38:$D$187,"&gt;"&amp;D113)+1)</f>
        <v/>
      </c>
      <c r="H113" s="35">
        <f>IF(B113="","",INDEX(الموظفات!$L$5:$L$304,MATCH(B113,الموظفات!$B$5:$B$304,0)))</f>
        <v/>
      </c>
      <c r="K113" s="36">
        <f>IF(76&gt;$B$10,"",76)</f>
        <v/>
      </c>
      <c r="L113" s="37">
        <f>IF($K113="","",INDEX('سجل التحفيز'!$A$5:$A$2004,MATCH($K113,'سجل التحفيز'!$AB$5:$AB$2004,0)))</f>
        <v/>
      </c>
      <c r="M113" s="9">
        <f>IF($K113="","",INDEX('سجل التحفيز'!$B$5:$B$2004,MATCH($K113,'سجل التحفيز'!$AB$5:$AB$2004,0)))</f>
        <v/>
      </c>
      <c r="N113" s="9">
        <f>IF($K113="","",INDEX('سجل التحفيز'!$M$5:$M$2004,MATCH($K113,'سجل التحفيز'!$AB$5:$AB$2004,0)))</f>
        <v/>
      </c>
      <c r="O113" s="9">
        <f>IF($K113="","",INDEX('سجل التحفيز'!$C$5:$C$2004,MATCH($K113,'سجل التحفيز'!$AB$5:$AB$2004,0)))</f>
        <v/>
      </c>
      <c r="P113" s="36">
        <f>IF($K113="","",INDEX('سجل التحفيز'!$D$5:$D$2004,MATCH($K113,'سجل التحفيز'!$AB$5:$AB$2004,0)))</f>
        <v/>
      </c>
      <c r="Q113" s="9">
        <f>IF($K113="","",INDEX('سجل التحفيز'!$E$5:$E$2004,MATCH($K113,'سجل التحفيز'!$AB$5:$AB$2004,0)))</f>
        <v/>
      </c>
      <c r="R113" s="9">
        <f>IF($K113="","",INDEX('سجل التحفيز'!$F$5:$F$2004,MATCH($K113,'سجل التحفيز'!$AB$5:$AB$2004,0)))</f>
        <v/>
      </c>
      <c r="S113" s="35">
        <f>IF($K113="","",INDEX('سجل التحفيز'!$G$5:$G$2004,MATCH($K113,'سجل التحفيز'!$AB$5:$AB$2004,0)))</f>
        <v/>
      </c>
    </row>
    <row r="114">
      <c r="B114" s="34">
        <f>IFERROR(INDEX(الموظفات!$B$5:$B$304,MATCH(77,الموظفات!$V$5:$V$304,0)),"")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التحفيز'!$AB$5:$AB$2004,"&gt;0",'سجل التحفيز'!$B$5:$B$2004,B114))</f>
        <v/>
      </c>
      <c r="E114" s="35">
        <f>IF(B114="","",COUNTIFS('سجل التحفيز'!$AB$5:$AB$2004,"&gt;0",'سجل التحفيز'!$B$5:$B$2004,B114,'سجل التحفيز'!$D$5:$D$2004,"ذهبي"))</f>
        <v/>
      </c>
      <c r="F114" s="35">
        <f>IF(B114="","",SUMIFS('سجل التحفيز'!$G$5:$G$2004,'سجل التحفيز'!$AB$5:$AB$2004,"&gt;0",'سجل التحفيز'!$B$5:$B$2004,B114))</f>
        <v/>
      </c>
      <c r="G114" s="35">
        <f>IF(B114="","",COUNTIF($D$38:$D$187,"&gt;"&amp;D114)+1)</f>
        <v/>
      </c>
      <c r="H114" s="35">
        <f>IF(B114="","",INDEX(الموظفات!$L$5:$L$304,MATCH(B114,الموظفات!$B$5:$B$304,0)))</f>
        <v/>
      </c>
      <c r="K114" s="36">
        <f>IF(77&gt;$B$10,"",77)</f>
        <v/>
      </c>
      <c r="L114" s="37">
        <f>IF($K114="","",INDEX('سجل التحفيز'!$A$5:$A$2004,MATCH($K114,'سجل التحفيز'!$AB$5:$AB$2004,0)))</f>
        <v/>
      </c>
      <c r="M114" s="9">
        <f>IF($K114="","",INDEX('سجل التحفيز'!$B$5:$B$2004,MATCH($K114,'سجل التحفيز'!$AB$5:$AB$2004,0)))</f>
        <v/>
      </c>
      <c r="N114" s="9">
        <f>IF($K114="","",INDEX('سجل التحفيز'!$M$5:$M$2004,MATCH($K114,'سجل التحفيز'!$AB$5:$AB$2004,0)))</f>
        <v/>
      </c>
      <c r="O114" s="9">
        <f>IF($K114="","",INDEX('سجل التحفيز'!$C$5:$C$2004,MATCH($K114,'سجل التحفيز'!$AB$5:$AB$2004,0)))</f>
        <v/>
      </c>
      <c r="P114" s="36">
        <f>IF($K114="","",INDEX('سجل التحفيز'!$D$5:$D$2004,MATCH($K114,'سجل التحفيز'!$AB$5:$AB$2004,0)))</f>
        <v/>
      </c>
      <c r="Q114" s="9">
        <f>IF($K114="","",INDEX('سجل التحفيز'!$E$5:$E$2004,MATCH($K114,'سجل التحفيز'!$AB$5:$AB$2004,0)))</f>
        <v/>
      </c>
      <c r="R114" s="9">
        <f>IF($K114="","",INDEX('سجل التحفيز'!$F$5:$F$2004,MATCH($K114,'سجل التحفيز'!$AB$5:$AB$2004,0)))</f>
        <v/>
      </c>
      <c r="S114" s="35">
        <f>IF($K114="","",INDEX('سجل التحفيز'!$G$5:$G$2004,MATCH($K114,'سجل التحفيز'!$AB$5:$AB$2004,0)))</f>
        <v/>
      </c>
    </row>
    <row r="115">
      <c r="B115" s="34">
        <f>IFERROR(INDEX(الموظفات!$B$5:$B$304,MATCH(78,الموظفات!$V$5:$V$304,0)),"")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التحفيز'!$AB$5:$AB$2004,"&gt;0",'سجل التحفيز'!$B$5:$B$2004,B115))</f>
        <v/>
      </c>
      <c r="E115" s="35">
        <f>IF(B115="","",COUNTIFS('سجل التحفيز'!$AB$5:$AB$2004,"&gt;0",'سجل التحفيز'!$B$5:$B$2004,B115,'سجل التحفيز'!$D$5:$D$2004,"ذهبي"))</f>
        <v/>
      </c>
      <c r="F115" s="35">
        <f>IF(B115="","",SUMIFS('سجل التحفيز'!$G$5:$G$2004,'سجل التحفيز'!$AB$5:$AB$2004,"&gt;0",'سجل التحفيز'!$B$5:$B$2004,B115))</f>
        <v/>
      </c>
      <c r="G115" s="35">
        <f>IF(B115="","",COUNTIF($D$38:$D$187,"&gt;"&amp;D115)+1)</f>
        <v/>
      </c>
      <c r="H115" s="35">
        <f>IF(B115="","",INDEX(الموظفات!$L$5:$L$304,MATCH(B115,الموظفات!$B$5:$B$304,0)))</f>
        <v/>
      </c>
      <c r="K115" s="36">
        <f>IF(78&gt;$B$10,"",78)</f>
        <v/>
      </c>
      <c r="L115" s="37">
        <f>IF($K115="","",INDEX('سجل التحفيز'!$A$5:$A$2004,MATCH($K115,'سجل التحفيز'!$AB$5:$AB$2004,0)))</f>
        <v/>
      </c>
      <c r="M115" s="9">
        <f>IF($K115="","",INDEX('سجل التحفيز'!$B$5:$B$2004,MATCH($K115,'سجل التحفيز'!$AB$5:$AB$2004,0)))</f>
        <v/>
      </c>
      <c r="N115" s="9">
        <f>IF($K115="","",INDEX('سجل التحفيز'!$M$5:$M$2004,MATCH($K115,'سجل التحفيز'!$AB$5:$AB$2004,0)))</f>
        <v/>
      </c>
      <c r="O115" s="9">
        <f>IF($K115="","",INDEX('سجل التحفيز'!$C$5:$C$2004,MATCH($K115,'سجل التحفيز'!$AB$5:$AB$2004,0)))</f>
        <v/>
      </c>
      <c r="P115" s="36">
        <f>IF($K115="","",INDEX('سجل التحفيز'!$D$5:$D$2004,MATCH($K115,'سجل التحفيز'!$AB$5:$AB$2004,0)))</f>
        <v/>
      </c>
      <c r="Q115" s="9">
        <f>IF($K115="","",INDEX('سجل التحفيز'!$E$5:$E$2004,MATCH($K115,'سجل التحفيز'!$AB$5:$AB$2004,0)))</f>
        <v/>
      </c>
      <c r="R115" s="9">
        <f>IF($K115="","",INDEX('سجل التحفيز'!$F$5:$F$2004,MATCH($K115,'سجل التحفيز'!$AB$5:$AB$2004,0)))</f>
        <v/>
      </c>
      <c r="S115" s="35">
        <f>IF($K115="","",INDEX('سجل التحفيز'!$G$5:$G$2004,MATCH($K115,'سجل التحفيز'!$AB$5:$AB$2004,0)))</f>
        <v/>
      </c>
    </row>
    <row r="116">
      <c r="B116" s="34">
        <f>IFERROR(INDEX(الموظفات!$B$5:$B$304,MATCH(79,الموظفات!$V$5:$V$304,0)),"")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التحفيز'!$AB$5:$AB$2004,"&gt;0",'سجل التحفيز'!$B$5:$B$2004,B116))</f>
        <v/>
      </c>
      <c r="E116" s="35">
        <f>IF(B116="","",COUNTIFS('سجل التحفيز'!$AB$5:$AB$2004,"&gt;0",'سجل التحفيز'!$B$5:$B$2004,B116,'سجل التحفيز'!$D$5:$D$2004,"ذهبي"))</f>
        <v/>
      </c>
      <c r="F116" s="35">
        <f>IF(B116="","",SUMIFS('سجل التحفيز'!$G$5:$G$2004,'سجل التحفيز'!$AB$5:$AB$2004,"&gt;0",'سجل التحفيز'!$B$5:$B$2004,B116))</f>
        <v/>
      </c>
      <c r="G116" s="35">
        <f>IF(B116="","",COUNTIF($D$38:$D$187,"&gt;"&amp;D116)+1)</f>
        <v/>
      </c>
      <c r="H116" s="35">
        <f>IF(B116="","",INDEX(الموظفات!$L$5:$L$304,MATCH(B116,الموظفات!$B$5:$B$304,0)))</f>
        <v/>
      </c>
      <c r="K116" s="36">
        <f>IF(79&gt;$B$10,"",79)</f>
        <v/>
      </c>
      <c r="L116" s="37">
        <f>IF($K116="","",INDEX('سجل التحفيز'!$A$5:$A$2004,MATCH($K116,'سجل التحفيز'!$AB$5:$AB$2004,0)))</f>
        <v/>
      </c>
      <c r="M116" s="9">
        <f>IF($K116="","",INDEX('سجل التحفيز'!$B$5:$B$2004,MATCH($K116,'سجل التحفيز'!$AB$5:$AB$2004,0)))</f>
        <v/>
      </c>
      <c r="N116" s="9">
        <f>IF($K116="","",INDEX('سجل التحفيز'!$M$5:$M$2004,MATCH($K116,'سجل التحفيز'!$AB$5:$AB$2004,0)))</f>
        <v/>
      </c>
      <c r="O116" s="9">
        <f>IF($K116="","",INDEX('سجل التحفيز'!$C$5:$C$2004,MATCH($K116,'سجل التحفيز'!$AB$5:$AB$2004,0)))</f>
        <v/>
      </c>
      <c r="P116" s="36">
        <f>IF($K116="","",INDEX('سجل التحفيز'!$D$5:$D$2004,MATCH($K116,'سجل التحفيز'!$AB$5:$AB$2004,0)))</f>
        <v/>
      </c>
      <c r="Q116" s="9">
        <f>IF($K116="","",INDEX('سجل التحفيز'!$E$5:$E$2004,MATCH($K116,'سجل التحفيز'!$AB$5:$AB$2004,0)))</f>
        <v/>
      </c>
      <c r="R116" s="9">
        <f>IF($K116="","",INDEX('سجل التحفيز'!$F$5:$F$2004,MATCH($K116,'سجل التحفيز'!$AB$5:$AB$2004,0)))</f>
        <v/>
      </c>
      <c r="S116" s="35">
        <f>IF($K116="","",INDEX('سجل التحفيز'!$G$5:$G$2004,MATCH($K116,'سجل التحفيز'!$AB$5:$AB$2004,0)))</f>
        <v/>
      </c>
    </row>
    <row r="117">
      <c r="B117" s="34">
        <f>IFERROR(INDEX(الموظفات!$B$5:$B$304,MATCH(80,الموظفات!$V$5:$V$304,0)),"")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التحفيز'!$AB$5:$AB$2004,"&gt;0",'سجل التحفيز'!$B$5:$B$2004,B117))</f>
        <v/>
      </c>
      <c r="E117" s="35">
        <f>IF(B117="","",COUNTIFS('سجل التحفيز'!$AB$5:$AB$2004,"&gt;0",'سجل التحفيز'!$B$5:$B$2004,B117,'سجل التحفيز'!$D$5:$D$2004,"ذهبي"))</f>
        <v/>
      </c>
      <c r="F117" s="35">
        <f>IF(B117="","",SUMIFS('سجل التحفيز'!$G$5:$G$2004,'سجل التحفيز'!$AB$5:$AB$2004,"&gt;0",'سجل التحفيز'!$B$5:$B$2004,B117))</f>
        <v/>
      </c>
      <c r="G117" s="35">
        <f>IF(B117="","",COUNTIF($D$38:$D$187,"&gt;"&amp;D117)+1)</f>
        <v/>
      </c>
      <c r="H117" s="35">
        <f>IF(B117="","",INDEX(الموظفات!$L$5:$L$304,MATCH(B117,الموظفات!$B$5:$B$304,0)))</f>
        <v/>
      </c>
      <c r="K117" s="36">
        <f>IF(80&gt;$B$10,"",80)</f>
        <v/>
      </c>
      <c r="L117" s="37">
        <f>IF($K117="","",INDEX('سجل التحفيز'!$A$5:$A$2004,MATCH($K117,'سجل التحفيز'!$AB$5:$AB$2004,0)))</f>
        <v/>
      </c>
      <c r="M117" s="9">
        <f>IF($K117="","",INDEX('سجل التحفيز'!$B$5:$B$2004,MATCH($K117,'سجل التحفيز'!$AB$5:$AB$2004,0)))</f>
        <v/>
      </c>
      <c r="N117" s="9">
        <f>IF($K117="","",INDEX('سجل التحفيز'!$M$5:$M$2004,MATCH($K117,'سجل التحفيز'!$AB$5:$AB$2004,0)))</f>
        <v/>
      </c>
      <c r="O117" s="9">
        <f>IF($K117="","",INDEX('سجل التحفيز'!$C$5:$C$2004,MATCH($K117,'سجل التحفيز'!$AB$5:$AB$2004,0)))</f>
        <v/>
      </c>
      <c r="P117" s="36">
        <f>IF($K117="","",INDEX('سجل التحفيز'!$D$5:$D$2004,MATCH($K117,'سجل التحفيز'!$AB$5:$AB$2004,0)))</f>
        <v/>
      </c>
      <c r="Q117" s="9">
        <f>IF($K117="","",INDEX('سجل التحفيز'!$E$5:$E$2004,MATCH($K117,'سجل التحفيز'!$AB$5:$AB$2004,0)))</f>
        <v/>
      </c>
      <c r="R117" s="9">
        <f>IF($K117="","",INDEX('سجل التحفيز'!$F$5:$F$2004,MATCH($K117,'سجل التحفيز'!$AB$5:$AB$2004,0)))</f>
        <v/>
      </c>
      <c r="S117" s="35">
        <f>IF($K117="","",INDEX('سجل التحفيز'!$G$5:$G$2004,MATCH($K117,'سجل التحفيز'!$AB$5:$AB$2004,0)))</f>
        <v/>
      </c>
    </row>
    <row r="118">
      <c r="B118" s="34">
        <f>IFERROR(INDEX(الموظفات!$B$5:$B$304,MATCH(81,الموظفات!$V$5:$V$304,0)),"")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التحفيز'!$AB$5:$AB$2004,"&gt;0",'سجل التحفيز'!$B$5:$B$2004,B118))</f>
        <v/>
      </c>
      <c r="E118" s="35">
        <f>IF(B118="","",COUNTIFS('سجل التحفيز'!$AB$5:$AB$2004,"&gt;0",'سجل التحفيز'!$B$5:$B$2004,B118,'سجل التحفيز'!$D$5:$D$2004,"ذهبي"))</f>
        <v/>
      </c>
      <c r="F118" s="35">
        <f>IF(B118="","",SUMIFS('سجل التحفيز'!$G$5:$G$2004,'سجل التحفيز'!$AB$5:$AB$2004,"&gt;0",'سجل التحفيز'!$B$5:$B$2004,B118))</f>
        <v/>
      </c>
      <c r="G118" s="35">
        <f>IF(B118="","",COUNTIF($D$38:$D$187,"&gt;"&amp;D118)+1)</f>
        <v/>
      </c>
      <c r="H118" s="35">
        <f>IF(B118="","",INDEX(الموظفات!$L$5:$L$304,MATCH(B118,الموظفات!$B$5:$B$304,0)))</f>
        <v/>
      </c>
      <c r="K118" s="36">
        <f>IF(81&gt;$B$10,"",81)</f>
        <v/>
      </c>
      <c r="L118" s="37">
        <f>IF($K118="","",INDEX('سجل التحفيز'!$A$5:$A$2004,MATCH($K118,'سجل التحفيز'!$AB$5:$AB$2004,0)))</f>
        <v/>
      </c>
      <c r="M118" s="9">
        <f>IF($K118="","",INDEX('سجل التحفيز'!$B$5:$B$2004,MATCH($K118,'سجل التحفيز'!$AB$5:$AB$2004,0)))</f>
        <v/>
      </c>
      <c r="N118" s="9">
        <f>IF($K118="","",INDEX('سجل التحفيز'!$M$5:$M$2004,MATCH($K118,'سجل التحفيز'!$AB$5:$AB$2004,0)))</f>
        <v/>
      </c>
      <c r="O118" s="9">
        <f>IF($K118="","",INDEX('سجل التحفيز'!$C$5:$C$2004,MATCH($K118,'سجل التحفيز'!$AB$5:$AB$2004,0)))</f>
        <v/>
      </c>
      <c r="P118" s="36">
        <f>IF($K118="","",INDEX('سجل التحفيز'!$D$5:$D$2004,MATCH($K118,'سجل التحفيز'!$AB$5:$AB$2004,0)))</f>
        <v/>
      </c>
      <c r="Q118" s="9">
        <f>IF($K118="","",INDEX('سجل التحفيز'!$E$5:$E$2004,MATCH($K118,'سجل التحفيز'!$AB$5:$AB$2004,0)))</f>
        <v/>
      </c>
      <c r="R118" s="9">
        <f>IF($K118="","",INDEX('سجل التحفيز'!$F$5:$F$2004,MATCH($K118,'سجل التحفيز'!$AB$5:$AB$2004,0)))</f>
        <v/>
      </c>
      <c r="S118" s="35">
        <f>IF($K118="","",INDEX('سجل التحفيز'!$G$5:$G$2004,MATCH($K118,'سجل التحفيز'!$AB$5:$AB$2004,0)))</f>
        <v/>
      </c>
    </row>
    <row r="119">
      <c r="B119" s="34">
        <f>IFERROR(INDEX(الموظفات!$B$5:$B$304,MATCH(82,الموظفات!$V$5:$V$304,0)),"")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التحفيز'!$AB$5:$AB$2004,"&gt;0",'سجل التحفيز'!$B$5:$B$2004,B119))</f>
        <v/>
      </c>
      <c r="E119" s="35">
        <f>IF(B119="","",COUNTIFS('سجل التحفيز'!$AB$5:$AB$2004,"&gt;0",'سجل التحفيز'!$B$5:$B$2004,B119,'سجل التحفيز'!$D$5:$D$2004,"ذهبي"))</f>
        <v/>
      </c>
      <c r="F119" s="35">
        <f>IF(B119="","",SUMIFS('سجل التحفيز'!$G$5:$G$2004,'سجل التحفيز'!$AB$5:$AB$2004,"&gt;0",'سجل التحفيز'!$B$5:$B$2004,B119))</f>
        <v/>
      </c>
      <c r="G119" s="35">
        <f>IF(B119="","",COUNTIF($D$38:$D$187,"&gt;"&amp;D119)+1)</f>
        <v/>
      </c>
      <c r="H119" s="35">
        <f>IF(B119="","",INDEX(الموظفات!$L$5:$L$304,MATCH(B119,الموظفات!$B$5:$B$304,0)))</f>
        <v/>
      </c>
      <c r="K119" s="36">
        <f>IF(82&gt;$B$10,"",82)</f>
        <v/>
      </c>
      <c r="L119" s="37">
        <f>IF($K119="","",INDEX('سجل التحفيز'!$A$5:$A$2004,MATCH($K119,'سجل التحفيز'!$AB$5:$AB$2004,0)))</f>
        <v/>
      </c>
      <c r="M119" s="9">
        <f>IF($K119="","",INDEX('سجل التحفيز'!$B$5:$B$2004,MATCH($K119,'سجل التحفيز'!$AB$5:$AB$2004,0)))</f>
        <v/>
      </c>
      <c r="N119" s="9">
        <f>IF($K119="","",INDEX('سجل التحفيز'!$M$5:$M$2004,MATCH($K119,'سجل التحفيز'!$AB$5:$AB$2004,0)))</f>
        <v/>
      </c>
      <c r="O119" s="9">
        <f>IF($K119="","",INDEX('سجل التحفيز'!$C$5:$C$2004,MATCH($K119,'سجل التحفيز'!$AB$5:$AB$2004,0)))</f>
        <v/>
      </c>
      <c r="P119" s="36">
        <f>IF($K119="","",INDEX('سجل التحفيز'!$D$5:$D$2004,MATCH($K119,'سجل التحفيز'!$AB$5:$AB$2004,0)))</f>
        <v/>
      </c>
      <c r="Q119" s="9">
        <f>IF($K119="","",INDEX('سجل التحفيز'!$E$5:$E$2004,MATCH($K119,'سجل التحفيز'!$AB$5:$AB$2004,0)))</f>
        <v/>
      </c>
      <c r="R119" s="9">
        <f>IF($K119="","",INDEX('سجل التحفيز'!$F$5:$F$2004,MATCH($K119,'سجل التحفيز'!$AB$5:$AB$2004,0)))</f>
        <v/>
      </c>
      <c r="S119" s="35">
        <f>IF($K119="","",INDEX('سجل التحفيز'!$G$5:$G$2004,MATCH($K119,'سجل التحفيز'!$AB$5:$AB$2004,0)))</f>
        <v/>
      </c>
    </row>
    <row r="120">
      <c r="B120" s="34">
        <f>IFERROR(INDEX(الموظفات!$B$5:$B$304,MATCH(83,الموظفات!$V$5:$V$304,0)),"")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التحفيز'!$AB$5:$AB$2004,"&gt;0",'سجل التحفيز'!$B$5:$B$2004,B120))</f>
        <v/>
      </c>
      <c r="E120" s="35">
        <f>IF(B120="","",COUNTIFS('سجل التحفيز'!$AB$5:$AB$2004,"&gt;0",'سجل التحفيز'!$B$5:$B$2004,B120,'سجل التحفيز'!$D$5:$D$2004,"ذهبي"))</f>
        <v/>
      </c>
      <c r="F120" s="35">
        <f>IF(B120="","",SUMIFS('سجل التحفيز'!$G$5:$G$2004,'سجل التحفيز'!$AB$5:$AB$2004,"&gt;0",'سجل التحفيز'!$B$5:$B$2004,B120))</f>
        <v/>
      </c>
      <c r="G120" s="35">
        <f>IF(B120="","",COUNTIF($D$38:$D$187,"&gt;"&amp;D120)+1)</f>
        <v/>
      </c>
      <c r="H120" s="35">
        <f>IF(B120="","",INDEX(الموظفات!$L$5:$L$304,MATCH(B120,الموظفات!$B$5:$B$304,0)))</f>
        <v/>
      </c>
      <c r="K120" s="36">
        <f>IF(83&gt;$B$10,"",83)</f>
        <v/>
      </c>
      <c r="L120" s="37">
        <f>IF($K120="","",INDEX('سجل التحفيز'!$A$5:$A$2004,MATCH($K120,'سجل التحفيز'!$AB$5:$AB$2004,0)))</f>
        <v/>
      </c>
      <c r="M120" s="9">
        <f>IF($K120="","",INDEX('سجل التحفيز'!$B$5:$B$2004,MATCH($K120,'سجل التحفيز'!$AB$5:$AB$2004,0)))</f>
        <v/>
      </c>
      <c r="N120" s="9">
        <f>IF($K120="","",INDEX('سجل التحفيز'!$M$5:$M$2004,MATCH($K120,'سجل التحفيز'!$AB$5:$AB$2004,0)))</f>
        <v/>
      </c>
      <c r="O120" s="9">
        <f>IF($K120="","",INDEX('سجل التحفيز'!$C$5:$C$2004,MATCH($K120,'سجل التحفيز'!$AB$5:$AB$2004,0)))</f>
        <v/>
      </c>
      <c r="P120" s="36">
        <f>IF($K120="","",INDEX('سجل التحفيز'!$D$5:$D$2004,MATCH($K120,'سجل التحفيز'!$AB$5:$AB$2004,0)))</f>
        <v/>
      </c>
      <c r="Q120" s="9">
        <f>IF($K120="","",INDEX('سجل التحفيز'!$E$5:$E$2004,MATCH($K120,'سجل التحفيز'!$AB$5:$AB$2004,0)))</f>
        <v/>
      </c>
      <c r="R120" s="9">
        <f>IF($K120="","",INDEX('سجل التحفيز'!$F$5:$F$2004,MATCH($K120,'سجل التحفيز'!$AB$5:$AB$2004,0)))</f>
        <v/>
      </c>
      <c r="S120" s="35">
        <f>IF($K120="","",INDEX('سجل التحفيز'!$G$5:$G$2004,MATCH($K120,'سجل التحفيز'!$AB$5:$AB$2004,0)))</f>
        <v/>
      </c>
    </row>
    <row r="121">
      <c r="B121" s="34">
        <f>IFERROR(INDEX(الموظفات!$B$5:$B$304,MATCH(84,الموظفات!$V$5:$V$304,0)),"")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التحفيز'!$AB$5:$AB$2004,"&gt;0",'سجل التحفيز'!$B$5:$B$2004,B121))</f>
        <v/>
      </c>
      <c r="E121" s="35">
        <f>IF(B121="","",COUNTIFS('سجل التحفيز'!$AB$5:$AB$2004,"&gt;0",'سجل التحفيز'!$B$5:$B$2004,B121,'سجل التحفيز'!$D$5:$D$2004,"ذهبي"))</f>
        <v/>
      </c>
      <c r="F121" s="35">
        <f>IF(B121="","",SUMIFS('سجل التحفيز'!$G$5:$G$2004,'سجل التحفيز'!$AB$5:$AB$2004,"&gt;0",'سجل التحفيز'!$B$5:$B$2004,B121))</f>
        <v/>
      </c>
      <c r="G121" s="35">
        <f>IF(B121="","",COUNTIF($D$38:$D$187,"&gt;"&amp;D121)+1)</f>
        <v/>
      </c>
      <c r="H121" s="35">
        <f>IF(B121="","",INDEX(الموظفات!$L$5:$L$304,MATCH(B121,الموظفات!$B$5:$B$304,0)))</f>
        <v/>
      </c>
      <c r="K121" s="36">
        <f>IF(84&gt;$B$10,"",84)</f>
        <v/>
      </c>
      <c r="L121" s="37">
        <f>IF($K121="","",INDEX('سجل التحفيز'!$A$5:$A$2004,MATCH($K121,'سجل التحفيز'!$AB$5:$AB$2004,0)))</f>
        <v/>
      </c>
      <c r="M121" s="9">
        <f>IF($K121="","",INDEX('سجل التحفيز'!$B$5:$B$2004,MATCH($K121,'سجل التحفيز'!$AB$5:$AB$2004,0)))</f>
        <v/>
      </c>
      <c r="N121" s="9">
        <f>IF($K121="","",INDEX('سجل التحفيز'!$M$5:$M$2004,MATCH($K121,'سجل التحفيز'!$AB$5:$AB$2004,0)))</f>
        <v/>
      </c>
      <c r="O121" s="9">
        <f>IF($K121="","",INDEX('سجل التحفيز'!$C$5:$C$2004,MATCH($K121,'سجل التحفيز'!$AB$5:$AB$2004,0)))</f>
        <v/>
      </c>
      <c r="P121" s="36">
        <f>IF($K121="","",INDEX('سجل التحفيز'!$D$5:$D$2004,MATCH($K121,'سجل التحفيز'!$AB$5:$AB$2004,0)))</f>
        <v/>
      </c>
      <c r="Q121" s="9">
        <f>IF($K121="","",INDEX('سجل التحفيز'!$E$5:$E$2004,MATCH($K121,'سجل التحفيز'!$AB$5:$AB$2004,0)))</f>
        <v/>
      </c>
      <c r="R121" s="9">
        <f>IF($K121="","",INDEX('سجل التحفيز'!$F$5:$F$2004,MATCH($K121,'سجل التحفيز'!$AB$5:$AB$2004,0)))</f>
        <v/>
      </c>
      <c r="S121" s="35">
        <f>IF($K121="","",INDEX('سجل التحفيز'!$G$5:$G$2004,MATCH($K121,'سجل التحفيز'!$AB$5:$AB$2004,0)))</f>
        <v/>
      </c>
    </row>
    <row r="122">
      <c r="B122" s="34">
        <f>IFERROR(INDEX(الموظفات!$B$5:$B$304,MATCH(85,الموظفات!$V$5:$V$304,0)),"")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التحفيز'!$AB$5:$AB$2004,"&gt;0",'سجل التحفيز'!$B$5:$B$2004,B122))</f>
        <v/>
      </c>
      <c r="E122" s="35">
        <f>IF(B122="","",COUNTIFS('سجل التحفيز'!$AB$5:$AB$2004,"&gt;0",'سجل التحفيز'!$B$5:$B$2004,B122,'سجل التحفيز'!$D$5:$D$2004,"ذهبي"))</f>
        <v/>
      </c>
      <c r="F122" s="35">
        <f>IF(B122="","",SUMIFS('سجل التحفيز'!$G$5:$G$2004,'سجل التحفيز'!$AB$5:$AB$2004,"&gt;0",'سجل التحفيز'!$B$5:$B$2004,B122))</f>
        <v/>
      </c>
      <c r="G122" s="35">
        <f>IF(B122="","",COUNTIF($D$38:$D$187,"&gt;"&amp;D122)+1)</f>
        <v/>
      </c>
      <c r="H122" s="35">
        <f>IF(B122="","",INDEX(الموظفات!$L$5:$L$304,MATCH(B122,الموظفات!$B$5:$B$304,0)))</f>
        <v/>
      </c>
      <c r="K122" s="36">
        <f>IF(85&gt;$B$10,"",85)</f>
        <v/>
      </c>
      <c r="L122" s="37">
        <f>IF($K122="","",INDEX('سجل التحفيز'!$A$5:$A$2004,MATCH($K122,'سجل التحفيز'!$AB$5:$AB$2004,0)))</f>
        <v/>
      </c>
      <c r="M122" s="9">
        <f>IF($K122="","",INDEX('سجل التحفيز'!$B$5:$B$2004,MATCH($K122,'سجل التحفيز'!$AB$5:$AB$2004,0)))</f>
        <v/>
      </c>
      <c r="N122" s="9">
        <f>IF($K122="","",INDEX('سجل التحفيز'!$M$5:$M$2004,MATCH($K122,'سجل التحفيز'!$AB$5:$AB$2004,0)))</f>
        <v/>
      </c>
      <c r="O122" s="9">
        <f>IF($K122="","",INDEX('سجل التحفيز'!$C$5:$C$2004,MATCH($K122,'سجل التحفيز'!$AB$5:$AB$2004,0)))</f>
        <v/>
      </c>
      <c r="P122" s="36">
        <f>IF($K122="","",INDEX('سجل التحفيز'!$D$5:$D$2004,MATCH($K122,'سجل التحفيز'!$AB$5:$AB$2004,0)))</f>
        <v/>
      </c>
      <c r="Q122" s="9">
        <f>IF($K122="","",INDEX('سجل التحفيز'!$E$5:$E$2004,MATCH($K122,'سجل التحفيز'!$AB$5:$AB$2004,0)))</f>
        <v/>
      </c>
      <c r="R122" s="9">
        <f>IF($K122="","",INDEX('سجل التحفيز'!$F$5:$F$2004,MATCH($K122,'سجل التحفيز'!$AB$5:$AB$2004,0)))</f>
        <v/>
      </c>
      <c r="S122" s="35">
        <f>IF($K122="","",INDEX('سجل التحفيز'!$G$5:$G$2004,MATCH($K122,'سجل التحفيز'!$AB$5:$AB$2004,0)))</f>
        <v/>
      </c>
    </row>
    <row r="123">
      <c r="B123" s="34">
        <f>IFERROR(INDEX(الموظفات!$B$5:$B$304,MATCH(86,الموظفات!$V$5:$V$304,0)),"")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التحفيز'!$AB$5:$AB$2004,"&gt;0",'سجل التحفيز'!$B$5:$B$2004,B123))</f>
        <v/>
      </c>
      <c r="E123" s="35">
        <f>IF(B123="","",COUNTIFS('سجل التحفيز'!$AB$5:$AB$2004,"&gt;0",'سجل التحفيز'!$B$5:$B$2004,B123,'سجل التحفيز'!$D$5:$D$2004,"ذهبي"))</f>
        <v/>
      </c>
      <c r="F123" s="35">
        <f>IF(B123="","",SUMIFS('سجل التحفيز'!$G$5:$G$2004,'سجل التحفيز'!$AB$5:$AB$2004,"&gt;0",'سجل التحفيز'!$B$5:$B$2004,B123))</f>
        <v/>
      </c>
      <c r="G123" s="35">
        <f>IF(B123="","",COUNTIF($D$38:$D$187,"&gt;"&amp;D123)+1)</f>
        <v/>
      </c>
      <c r="H123" s="35">
        <f>IF(B123="","",INDEX(الموظفات!$L$5:$L$304,MATCH(B123,الموظفات!$B$5:$B$304,0)))</f>
        <v/>
      </c>
      <c r="K123" s="36">
        <f>IF(86&gt;$B$10,"",86)</f>
        <v/>
      </c>
      <c r="L123" s="37">
        <f>IF($K123="","",INDEX('سجل التحفيز'!$A$5:$A$2004,MATCH($K123,'سجل التحفيز'!$AB$5:$AB$2004,0)))</f>
        <v/>
      </c>
      <c r="M123" s="9">
        <f>IF($K123="","",INDEX('سجل التحفيز'!$B$5:$B$2004,MATCH($K123,'سجل التحفيز'!$AB$5:$AB$2004,0)))</f>
        <v/>
      </c>
      <c r="N123" s="9">
        <f>IF($K123="","",INDEX('سجل التحفيز'!$M$5:$M$2004,MATCH($K123,'سجل التحفيز'!$AB$5:$AB$2004,0)))</f>
        <v/>
      </c>
      <c r="O123" s="9">
        <f>IF($K123="","",INDEX('سجل التحفيز'!$C$5:$C$2004,MATCH($K123,'سجل التحفيز'!$AB$5:$AB$2004,0)))</f>
        <v/>
      </c>
      <c r="P123" s="36">
        <f>IF($K123="","",INDEX('سجل التحفيز'!$D$5:$D$2004,MATCH($K123,'سجل التحفيز'!$AB$5:$AB$2004,0)))</f>
        <v/>
      </c>
      <c r="Q123" s="9">
        <f>IF($K123="","",INDEX('سجل التحفيز'!$E$5:$E$2004,MATCH($K123,'سجل التحفيز'!$AB$5:$AB$2004,0)))</f>
        <v/>
      </c>
      <c r="R123" s="9">
        <f>IF($K123="","",INDEX('سجل التحفيز'!$F$5:$F$2004,MATCH($K123,'سجل التحفيز'!$AB$5:$AB$2004,0)))</f>
        <v/>
      </c>
      <c r="S123" s="35">
        <f>IF($K123="","",INDEX('سجل التحفيز'!$G$5:$G$2004,MATCH($K123,'سجل التحفيز'!$AB$5:$AB$2004,0)))</f>
        <v/>
      </c>
    </row>
    <row r="124">
      <c r="B124" s="34">
        <f>IFERROR(INDEX(الموظفات!$B$5:$B$304,MATCH(87,الموظفات!$V$5:$V$304,0)),"")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التحفيز'!$AB$5:$AB$2004,"&gt;0",'سجل التحفيز'!$B$5:$B$2004,B124))</f>
        <v/>
      </c>
      <c r="E124" s="35">
        <f>IF(B124="","",COUNTIFS('سجل التحفيز'!$AB$5:$AB$2004,"&gt;0",'سجل التحفيز'!$B$5:$B$2004,B124,'سجل التحفيز'!$D$5:$D$2004,"ذهبي"))</f>
        <v/>
      </c>
      <c r="F124" s="35">
        <f>IF(B124="","",SUMIFS('سجل التحفيز'!$G$5:$G$2004,'سجل التحفيز'!$AB$5:$AB$2004,"&gt;0",'سجل التحفيز'!$B$5:$B$2004,B124))</f>
        <v/>
      </c>
      <c r="G124" s="35">
        <f>IF(B124="","",COUNTIF($D$38:$D$187,"&gt;"&amp;D124)+1)</f>
        <v/>
      </c>
      <c r="H124" s="35">
        <f>IF(B124="","",INDEX(الموظفات!$L$5:$L$304,MATCH(B124,الموظفات!$B$5:$B$304,0)))</f>
        <v/>
      </c>
      <c r="K124" s="36">
        <f>IF(87&gt;$B$10,"",87)</f>
        <v/>
      </c>
      <c r="L124" s="37">
        <f>IF($K124="","",INDEX('سجل التحفيز'!$A$5:$A$2004,MATCH($K124,'سجل التحفيز'!$AB$5:$AB$2004,0)))</f>
        <v/>
      </c>
      <c r="M124" s="9">
        <f>IF($K124="","",INDEX('سجل التحفيز'!$B$5:$B$2004,MATCH($K124,'سجل التحفيز'!$AB$5:$AB$2004,0)))</f>
        <v/>
      </c>
      <c r="N124" s="9">
        <f>IF($K124="","",INDEX('سجل التحفيز'!$M$5:$M$2004,MATCH($K124,'سجل التحفيز'!$AB$5:$AB$2004,0)))</f>
        <v/>
      </c>
      <c r="O124" s="9">
        <f>IF($K124="","",INDEX('سجل التحفيز'!$C$5:$C$2004,MATCH($K124,'سجل التحفيز'!$AB$5:$AB$2004,0)))</f>
        <v/>
      </c>
      <c r="P124" s="36">
        <f>IF($K124="","",INDEX('سجل التحفيز'!$D$5:$D$2004,MATCH($K124,'سجل التحفيز'!$AB$5:$AB$2004,0)))</f>
        <v/>
      </c>
      <c r="Q124" s="9">
        <f>IF($K124="","",INDEX('سجل التحفيز'!$E$5:$E$2004,MATCH($K124,'سجل التحفيز'!$AB$5:$AB$2004,0)))</f>
        <v/>
      </c>
      <c r="R124" s="9">
        <f>IF($K124="","",INDEX('سجل التحفيز'!$F$5:$F$2004,MATCH($K124,'سجل التحفيز'!$AB$5:$AB$2004,0)))</f>
        <v/>
      </c>
      <c r="S124" s="35">
        <f>IF($K124="","",INDEX('سجل التحفيز'!$G$5:$G$2004,MATCH($K124,'سجل التحفيز'!$AB$5:$AB$2004,0)))</f>
        <v/>
      </c>
    </row>
    <row r="125">
      <c r="B125" s="34">
        <f>IFERROR(INDEX(الموظفات!$B$5:$B$304,MATCH(88,الموظفات!$V$5:$V$304,0)),"")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التحفيز'!$AB$5:$AB$2004,"&gt;0",'سجل التحفيز'!$B$5:$B$2004,B125))</f>
        <v/>
      </c>
      <c r="E125" s="35">
        <f>IF(B125="","",COUNTIFS('سجل التحفيز'!$AB$5:$AB$2004,"&gt;0",'سجل التحفيز'!$B$5:$B$2004,B125,'سجل التحفيز'!$D$5:$D$2004,"ذهبي"))</f>
        <v/>
      </c>
      <c r="F125" s="35">
        <f>IF(B125="","",SUMIFS('سجل التحفيز'!$G$5:$G$2004,'سجل التحفيز'!$AB$5:$AB$2004,"&gt;0",'سجل التحفيز'!$B$5:$B$2004,B125))</f>
        <v/>
      </c>
      <c r="G125" s="35">
        <f>IF(B125="","",COUNTIF($D$38:$D$187,"&gt;"&amp;D125)+1)</f>
        <v/>
      </c>
      <c r="H125" s="35">
        <f>IF(B125="","",INDEX(الموظفات!$L$5:$L$304,MATCH(B125,الموظفات!$B$5:$B$304,0)))</f>
        <v/>
      </c>
      <c r="K125" s="36">
        <f>IF(88&gt;$B$10,"",88)</f>
        <v/>
      </c>
      <c r="L125" s="37">
        <f>IF($K125="","",INDEX('سجل التحفيز'!$A$5:$A$2004,MATCH($K125,'سجل التحفيز'!$AB$5:$AB$2004,0)))</f>
        <v/>
      </c>
      <c r="M125" s="9">
        <f>IF($K125="","",INDEX('سجل التحفيز'!$B$5:$B$2004,MATCH($K125,'سجل التحفيز'!$AB$5:$AB$2004,0)))</f>
        <v/>
      </c>
      <c r="N125" s="9">
        <f>IF($K125="","",INDEX('سجل التحفيز'!$M$5:$M$2004,MATCH($K125,'سجل التحفيز'!$AB$5:$AB$2004,0)))</f>
        <v/>
      </c>
      <c r="O125" s="9">
        <f>IF($K125="","",INDEX('سجل التحفيز'!$C$5:$C$2004,MATCH($K125,'سجل التحفيز'!$AB$5:$AB$2004,0)))</f>
        <v/>
      </c>
      <c r="P125" s="36">
        <f>IF($K125="","",INDEX('سجل التحفيز'!$D$5:$D$2004,MATCH($K125,'سجل التحفيز'!$AB$5:$AB$2004,0)))</f>
        <v/>
      </c>
      <c r="Q125" s="9">
        <f>IF($K125="","",INDEX('سجل التحفيز'!$E$5:$E$2004,MATCH($K125,'سجل التحفيز'!$AB$5:$AB$2004,0)))</f>
        <v/>
      </c>
      <c r="R125" s="9">
        <f>IF($K125="","",INDEX('سجل التحفيز'!$F$5:$F$2004,MATCH($K125,'سجل التحفيز'!$AB$5:$AB$2004,0)))</f>
        <v/>
      </c>
      <c r="S125" s="35">
        <f>IF($K125="","",INDEX('سجل التحفيز'!$G$5:$G$2004,MATCH($K125,'سجل التحفيز'!$AB$5:$AB$2004,0)))</f>
        <v/>
      </c>
    </row>
    <row r="126">
      <c r="B126" s="34">
        <f>IFERROR(INDEX(الموظفات!$B$5:$B$304,MATCH(89,الموظفات!$V$5:$V$304,0)),"")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التحفيز'!$AB$5:$AB$2004,"&gt;0",'سجل التحفيز'!$B$5:$B$2004,B126))</f>
        <v/>
      </c>
      <c r="E126" s="35">
        <f>IF(B126="","",COUNTIFS('سجل التحفيز'!$AB$5:$AB$2004,"&gt;0",'سجل التحفيز'!$B$5:$B$2004,B126,'سجل التحفيز'!$D$5:$D$2004,"ذهبي"))</f>
        <v/>
      </c>
      <c r="F126" s="35">
        <f>IF(B126="","",SUMIFS('سجل التحفيز'!$G$5:$G$2004,'سجل التحفيز'!$AB$5:$AB$2004,"&gt;0",'سجل التحفيز'!$B$5:$B$2004,B126))</f>
        <v/>
      </c>
      <c r="G126" s="35">
        <f>IF(B126="","",COUNTIF($D$38:$D$187,"&gt;"&amp;D126)+1)</f>
        <v/>
      </c>
      <c r="H126" s="35">
        <f>IF(B126="","",INDEX(الموظفات!$L$5:$L$304,MATCH(B126,الموظفات!$B$5:$B$304,0)))</f>
        <v/>
      </c>
      <c r="K126" s="36">
        <f>IF(89&gt;$B$10,"",89)</f>
        <v/>
      </c>
      <c r="L126" s="37">
        <f>IF($K126="","",INDEX('سجل التحفيز'!$A$5:$A$2004,MATCH($K126,'سجل التحفيز'!$AB$5:$AB$2004,0)))</f>
        <v/>
      </c>
      <c r="M126" s="9">
        <f>IF($K126="","",INDEX('سجل التحفيز'!$B$5:$B$2004,MATCH($K126,'سجل التحفيز'!$AB$5:$AB$2004,0)))</f>
        <v/>
      </c>
      <c r="N126" s="9">
        <f>IF($K126="","",INDEX('سجل التحفيز'!$M$5:$M$2004,MATCH($K126,'سجل التحفيز'!$AB$5:$AB$2004,0)))</f>
        <v/>
      </c>
      <c r="O126" s="9">
        <f>IF($K126="","",INDEX('سجل التحفيز'!$C$5:$C$2004,MATCH($K126,'سجل التحفيز'!$AB$5:$AB$2004,0)))</f>
        <v/>
      </c>
      <c r="P126" s="36">
        <f>IF($K126="","",INDEX('سجل التحفيز'!$D$5:$D$2004,MATCH($K126,'سجل التحفيز'!$AB$5:$AB$2004,0)))</f>
        <v/>
      </c>
      <c r="Q126" s="9">
        <f>IF($K126="","",INDEX('سجل التحفيز'!$E$5:$E$2004,MATCH($K126,'سجل التحفيز'!$AB$5:$AB$2004,0)))</f>
        <v/>
      </c>
      <c r="R126" s="9">
        <f>IF($K126="","",INDEX('سجل التحفيز'!$F$5:$F$2004,MATCH($K126,'سجل التحفيز'!$AB$5:$AB$2004,0)))</f>
        <v/>
      </c>
      <c r="S126" s="35">
        <f>IF($K126="","",INDEX('سجل التحفيز'!$G$5:$G$2004,MATCH($K126,'سجل التحفيز'!$AB$5:$AB$2004,0)))</f>
        <v/>
      </c>
    </row>
    <row r="127">
      <c r="B127" s="34">
        <f>IFERROR(INDEX(الموظفات!$B$5:$B$304,MATCH(90,الموظفات!$V$5:$V$304,0)),"")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التحفيز'!$AB$5:$AB$2004,"&gt;0",'سجل التحفيز'!$B$5:$B$2004,B127))</f>
        <v/>
      </c>
      <c r="E127" s="35">
        <f>IF(B127="","",COUNTIFS('سجل التحفيز'!$AB$5:$AB$2004,"&gt;0",'سجل التحفيز'!$B$5:$B$2004,B127,'سجل التحفيز'!$D$5:$D$2004,"ذهبي"))</f>
        <v/>
      </c>
      <c r="F127" s="35">
        <f>IF(B127="","",SUMIFS('سجل التحفيز'!$G$5:$G$2004,'سجل التحفيز'!$AB$5:$AB$2004,"&gt;0",'سجل التحفيز'!$B$5:$B$2004,B127))</f>
        <v/>
      </c>
      <c r="G127" s="35">
        <f>IF(B127="","",COUNTIF($D$38:$D$187,"&gt;"&amp;D127)+1)</f>
        <v/>
      </c>
      <c r="H127" s="35">
        <f>IF(B127="","",INDEX(الموظفات!$L$5:$L$304,MATCH(B127,الموظفات!$B$5:$B$304,0)))</f>
        <v/>
      </c>
      <c r="K127" s="36">
        <f>IF(90&gt;$B$10,"",90)</f>
        <v/>
      </c>
      <c r="L127" s="37">
        <f>IF($K127="","",INDEX('سجل التحفيز'!$A$5:$A$2004,MATCH($K127,'سجل التحفيز'!$AB$5:$AB$2004,0)))</f>
        <v/>
      </c>
      <c r="M127" s="9">
        <f>IF($K127="","",INDEX('سجل التحفيز'!$B$5:$B$2004,MATCH($K127,'سجل التحفيز'!$AB$5:$AB$2004,0)))</f>
        <v/>
      </c>
      <c r="N127" s="9">
        <f>IF($K127="","",INDEX('سجل التحفيز'!$M$5:$M$2004,MATCH($K127,'سجل التحفيز'!$AB$5:$AB$2004,0)))</f>
        <v/>
      </c>
      <c r="O127" s="9">
        <f>IF($K127="","",INDEX('سجل التحفيز'!$C$5:$C$2004,MATCH($K127,'سجل التحفيز'!$AB$5:$AB$2004,0)))</f>
        <v/>
      </c>
      <c r="P127" s="36">
        <f>IF($K127="","",INDEX('سجل التحفيز'!$D$5:$D$2004,MATCH($K127,'سجل التحفيز'!$AB$5:$AB$2004,0)))</f>
        <v/>
      </c>
      <c r="Q127" s="9">
        <f>IF($K127="","",INDEX('سجل التحفيز'!$E$5:$E$2004,MATCH($K127,'سجل التحفيز'!$AB$5:$AB$2004,0)))</f>
        <v/>
      </c>
      <c r="R127" s="9">
        <f>IF($K127="","",INDEX('سجل التحفيز'!$F$5:$F$2004,MATCH($K127,'سجل التحفيز'!$AB$5:$AB$2004,0)))</f>
        <v/>
      </c>
      <c r="S127" s="35">
        <f>IF($K127="","",INDEX('سجل التحفيز'!$G$5:$G$2004,MATCH($K127,'سجل التحفيز'!$AB$5:$AB$2004,0)))</f>
        <v/>
      </c>
    </row>
    <row r="128">
      <c r="B128" s="34">
        <f>IFERROR(INDEX(الموظفات!$B$5:$B$304,MATCH(91,الموظفات!$V$5:$V$304,0)),"")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التحفيز'!$AB$5:$AB$2004,"&gt;0",'سجل التحفيز'!$B$5:$B$2004,B128))</f>
        <v/>
      </c>
      <c r="E128" s="35">
        <f>IF(B128="","",COUNTIFS('سجل التحفيز'!$AB$5:$AB$2004,"&gt;0",'سجل التحفيز'!$B$5:$B$2004,B128,'سجل التحفيز'!$D$5:$D$2004,"ذهبي"))</f>
        <v/>
      </c>
      <c r="F128" s="35">
        <f>IF(B128="","",SUMIFS('سجل التحفيز'!$G$5:$G$2004,'سجل التحفيز'!$AB$5:$AB$2004,"&gt;0",'سجل التحفيز'!$B$5:$B$2004,B128))</f>
        <v/>
      </c>
      <c r="G128" s="35">
        <f>IF(B128="","",COUNTIF($D$38:$D$187,"&gt;"&amp;D128)+1)</f>
        <v/>
      </c>
      <c r="H128" s="35">
        <f>IF(B128="","",INDEX(الموظفات!$L$5:$L$304,MATCH(B128,الموظفات!$B$5:$B$304,0)))</f>
        <v/>
      </c>
      <c r="K128" s="36">
        <f>IF(91&gt;$B$10,"",91)</f>
        <v/>
      </c>
      <c r="L128" s="37">
        <f>IF($K128="","",INDEX('سجل التحفيز'!$A$5:$A$2004,MATCH($K128,'سجل التحفيز'!$AB$5:$AB$2004,0)))</f>
        <v/>
      </c>
      <c r="M128" s="9">
        <f>IF($K128="","",INDEX('سجل التحفيز'!$B$5:$B$2004,MATCH($K128,'سجل التحفيز'!$AB$5:$AB$2004,0)))</f>
        <v/>
      </c>
      <c r="N128" s="9">
        <f>IF($K128="","",INDEX('سجل التحفيز'!$M$5:$M$2004,MATCH($K128,'سجل التحفيز'!$AB$5:$AB$2004,0)))</f>
        <v/>
      </c>
      <c r="O128" s="9">
        <f>IF($K128="","",INDEX('سجل التحفيز'!$C$5:$C$2004,MATCH($K128,'سجل التحفيز'!$AB$5:$AB$2004,0)))</f>
        <v/>
      </c>
      <c r="P128" s="36">
        <f>IF($K128="","",INDEX('سجل التحفيز'!$D$5:$D$2004,MATCH($K128,'سجل التحفيز'!$AB$5:$AB$2004,0)))</f>
        <v/>
      </c>
      <c r="Q128" s="9">
        <f>IF($K128="","",INDEX('سجل التحفيز'!$E$5:$E$2004,MATCH($K128,'سجل التحفيز'!$AB$5:$AB$2004,0)))</f>
        <v/>
      </c>
      <c r="R128" s="9">
        <f>IF($K128="","",INDEX('سجل التحفيز'!$F$5:$F$2004,MATCH($K128,'سجل التحفيز'!$AB$5:$AB$2004,0)))</f>
        <v/>
      </c>
      <c r="S128" s="35">
        <f>IF($K128="","",INDEX('سجل التحفيز'!$G$5:$G$2004,MATCH($K128,'سجل التحفيز'!$AB$5:$AB$2004,0)))</f>
        <v/>
      </c>
    </row>
    <row r="129">
      <c r="B129" s="34">
        <f>IFERROR(INDEX(الموظفات!$B$5:$B$304,MATCH(92,الموظفات!$V$5:$V$304,0)),"")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التحفيز'!$AB$5:$AB$2004,"&gt;0",'سجل التحفيز'!$B$5:$B$2004,B129))</f>
        <v/>
      </c>
      <c r="E129" s="35">
        <f>IF(B129="","",COUNTIFS('سجل التحفيز'!$AB$5:$AB$2004,"&gt;0",'سجل التحفيز'!$B$5:$B$2004,B129,'سجل التحفيز'!$D$5:$D$2004,"ذهبي"))</f>
        <v/>
      </c>
      <c r="F129" s="35">
        <f>IF(B129="","",SUMIFS('سجل التحفيز'!$G$5:$G$2004,'سجل التحفيز'!$AB$5:$AB$2004,"&gt;0",'سجل التحفيز'!$B$5:$B$2004,B129))</f>
        <v/>
      </c>
      <c r="G129" s="35">
        <f>IF(B129="","",COUNTIF($D$38:$D$187,"&gt;"&amp;D129)+1)</f>
        <v/>
      </c>
      <c r="H129" s="35">
        <f>IF(B129="","",INDEX(الموظفات!$L$5:$L$304,MATCH(B129,الموظفات!$B$5:$B$304,0)))</f>
        <v/>
      </c>
      <c r="K129" s="36">
        <f>IF(92&gt;$B$10,"",92)</f>
        <v/>
      </c>
      <c r="L129" s="37">
        <f>IF($K129="","",INDEX('سجل التحفيز'!$A$5:$A$2004,MATCH($K129,'سجل التحفيز'!$AB$5:$AB$2004,0)))</f>
        <v/>
      </c>
      <c r="M129" s="9">
        <f>IF($K129="","",INDEX('سجل التحفيز'!$B$5:$B$2004,MATCH($K129,'سجل التحفيز'!$AB$5:$AB$2004,0)))</f>
        <v/>
      </c>
      <c r="N129" s="9">
        <f>IF($K129="","",INDEX('سجل التحفيز'!$M$5:$M$2004,MATCH($K129,'سجل التحفيز'!$AB$5:$AB$2004,0)))</f>
        <v/>
      </c>
      <c r="O129" s="9">
        <f>IF($K129="","",INDEX('سجل التحفيز'!$C$5:$C$2004,MATCH($K129,'سجل التحفيز'!$AB$5:$AB$2004,0)))</f>
        <v/>
      </c>
      <c r="P129" s="36">
        <f>IF($K129="","",INDEX('سجل التحفيز'!$D$5:$D$2004,MATCH($K129,'سجل التحفيز'!$AB$5:$AB$2004,0)))</f>
        <v/>
      </c>
      <c r="Q129" s="9">
        <f>IF($K129="","",INDEX('سجل التحفيز'!$E$5:$E$2004,MATCH($K129,'سجل التحفيز'!$AB$5:$AB$2004,0)))</f>
        <v/>
      </c>
      <c r="R129" s="9">
        <f>IF($K129="","",INDEX('سجل التحفيز'!$F$5:$F$2004,MATCH($K129,'سجل التحفيز'!$AB$5:$AB$2004,0)))</f>
        <v/>
      </c>
      <c r="S129" s="35">
        <f>IF($K129="","",INDEX('سجل التحفيز'!$G$5:$G$2004,MATCH($K129,'سجل التحفيز'!$AB$5:$AB$2004,0)))</f>
        <v/>
      </c>
    </row>
    <row r="130">
      <c r="B130" s="34">
        <f>IFERROR(INDEX(الموظفات!$B$5:$B$304,MATCH(93,الموظفات!$V$5:$V$304,0)),"")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التحفيز'!$AB$5:$AB$2004,"&gt;0",'سجل التحفيز'!$B$5:$B$2004,B130))</f>
        <v/>
      </c>
      <c r="E130" s="35">
        <f>IF(B130="","",COUNTIFS('سجل التحفيز'!$AB$5:$AB$2004,"&gt;0",'سجل التحفيز'!$B$5:$B$2004,B130,'سجل التحفيز'!$D$5:$D$2004,"ذهبي"))</f>
        <v/>
      </c>
      <c r="F130" s="35">
        <f>IF(B130="","",SUMIFS('سجل التحفيز'!$G$5:$G$2004,'سجل التحفيز'!$AB$5:$AB$2004,"&gt;0",'سجل التحفيز'!$B$5:$B$2004,B130))</f>
        <v/>
      </c>
      <c r="G130" s="35">
        <f>IF(B130="","",COUNTIF($D$38:$D$187,"&gt;"&amp;D130)+1)</f>
        <v/>
      </c>
      <c r="H130" s="35">
        <f>IF(B130="","",INDEX(الموظفات!$L$5:$L$304,MATCH(B130,الموظفات!$B$5:$B$304,0)))</f>
        <v/>
      </c>
      <c r="K130" s="36">
        <f>IF(93&gt;$B$10,"",93)</f>
        <v/>
      </c>
      <c r="L130" s="37">
        <f>IF($K130="","",INDEX('سجل التحفيز'!$A$5:$A$2004,MATCH($K130,'سجل التحفيز'!$AB$5:$AB$2004,0)))</f>
        <v/>
      </c>
      <c r="M130" s="9">
        <f>IF($K130="","",INDEX('سجل التحفيز'!$B$5:$B$2004,MATCH($K130,'سجل التحفيز'!$AB$5:$AB$2004,0)))</f>
        <v/>
      </c>
      <c r="N130" s="9">
        <f>IF($K130="","",INDEX('سجل التحفيز'!$M$5:$M$2004,MATCH($K130,'سجل التحفيز'!$AB$5:$AB$2004,0)))</f>
        <v/>
      </c>
      <c r="O130" s="9">
        <f>IF($K130="","",INDEX('سجل التحفيز'!$C$5:$C$2004,MATCH($K130,'سجل التحفيز'!$AB$5:$AB$2004,0)))</f>
        <v/>
      </c>
      <c r="P130" s="36">
        <f>IF($K130="","",INDEX('سجل التحفيز'!$D$5:$D$2004,MATCH($K130,'سجل التحفيز'!$AB$5:$AB$2004,0)))</f>
        <v/>
      </c>
      <c r="Q130" s="9">
        <f>IF($K130="","",INDEX('سجل التحفيز'!$E$5:$E$2004,MATCH($K130,'سجل التحفيز'!$AB$5:$AB$2004,0)))</f>
        <v/>
      </c>
      <c r="R130" s="9">
        <f>IF($K130="","",INDEX('سجل التحفيز'!$F$5:$F$2004,MATCH($K130,'سجل التحفيز'!$AB$5:$AB$2004,0)))</f>
        <v/>
      </c>
      <c r="S130" s="35">
        <f>IF($K130="","",INDEX('سجل التحفيز'!$G$5:$G$2004,MATCH($K130,'سجل التحفيز'!$AB$5:$AB$2004,0)))</f>
        <v/>
      </c>
    </row>
    <row r="131">
      <c r="B131" s="34">
        <f>IFERROR(INDEX(الموظفات!$B$5:$B$304,MATCH(94,الموظفات!$V$5:$V$304,0)),"")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التحفيز'!$AB$5:$AB$2004,"&gt;0",'سجل التحفيز'!$B$5:$B$2004,B131))</f>
        <v/>
      </c>
      <c r="E131" s="35">
        <f>IF(B131="","",COUNTIFS('سجل التحفيز'!$AB$5:$AB$2004,"&gt;0",'سجل التحفيز'!$B$5:$B$2004,B131,'سجل التحفيز'!$D$5:$D$2004,"ذهبي"))</f>
        <v/>
      </c>
      <c r="F131" s="35">
        <f>IF(B131="","",SUMIFS('سجل التحفيز'!$G$5:$G$2004,'سجل التحفيز'!$AB$5:$AB$2004,"&gt;0",'سجل التحفيز'!$B$5:$B$2004,B131))</f>
        <v/>
      </c>
      <c r="G131" s="35">
        <f>IF(B131="","",COUNTIF($D$38:$D$187,"&gt;"&amp;D131)+1)</f>
        <v/>
      </c>
      <c r="H131" s="35">
        <f>IF(B131="","",INDEX(الموظفات!$L$5:$L$304,MATCH(B131,الموظفات!$B$5:$B$304,0)))</f>
        <v/>
      </c>
      <c r="K131" s="36">
        <f>IF(94&gt;$B$10,"",94)</f>
        <v/>
      </c>
      <c r="L131" s="37">
        <f>IF($K131="","",INDEX('سجل التحفيز'!$A$5:$A$2004,MATCH($K131,'سجل التحفيز'!$AB$5:$AB$2004,0)))</f>
        <v/>
      </c>
      <c r="M131" s="9">
        <f>IF($K131="","",INDEX('سجل التحفيز'!$B$5:$B$2004,MATCH($K131,'سجل التحفيز'!$AB$5:$AB$2004,0)))</f>
        <v/>
      </c>
      <c r="N131" s="9">
        <f>IF($K131="","",INDEX('سجل التحفيز'!$M$5:$M$2004,MATCH($K131,'سجل التحفيز'!$AB$5:$AB$2004,0)))</f>
        <v/>
      </c>
      <c r="O131" s="9">
        <f>IF($K131="","",INDEX('سجل التحفيز'!$C$5:$C$2004,MATCH($K131,'سجل التحفيز'!$AB$5:$AB$2004,0)))</f>
        <v/>
      </c>
      <c r="P131" s="36">
        <f>IF($K131="","",INDEX('سجل التحفيز'!$D$5:$D$2004,MATCH($K131,'سجل التحفيز'!$AB$5:$AB$2004,0)))</f>
        <v/>
      </c>
      <c r="Q131" s="9">
        <f>IF($K131="","",INDEX('سجل التحفيز'!$E$5:$E$2004,MATCH($K131,'سجل التحفيز'!$AB$5:$AB$2004,0)))</f>
        <v/>
      </c>
      <c r="R131" s="9">
        <f>IF($K131="","",INDEX('سجل التحفيز'!$F$5:$F$2004,MATCH($K131,'سجل التحفيز'!$AB$5:$AB$2004,0)))</f>
        <v/>
      </c>
      <c r="S131" s="35">
        <f>IF($K131="","",INDEX('سجل التحفيز'!$G$5:$G$2004,MATCH($K131,'سجل التحفيز'!$AB$5:$AB$2004,0)))</f>
        <v/>
      </c>
    </row>
    <row r="132">
      <c r="B132" s="34">
        <f>IFERROR(INDEX(الموظفات!$B$5:$B$304,MATCH(95,الموظفات!$V$5:$V$304,0)),"")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التحفيز'!$AB$5:$AB$2004,"&gt;0",'سجل التحفيز'!$B$5:$B$2004,B132))</f>
        <v/>
      </c>
      <c r="E132" s="35">
        <f>IF(B132="","",COUNTIFS('سجل التحفيز'!$AB$5:$AB$2004,"&gt;0",'سجل التحفيز'!$B$5:$B$2004,B132,'سجل التحفيز'!$D$5:$D$2004,"ذهبي"))</f>
        <v/>
      </c>
      <c r="F132" s="35">
        <f>IF(B132="","",SUMIFS('سجل التحفيز'!$G$5:$G$2004,'سجل التحفيز'!$AB$5:$AB$2004,"&gt;0",'سجل التحفيز'!$B$5:$B$2004,B132))</f>
        <v/>
      </c>
      <c r="G132" s="35">
        <f>IF(B132="","",COUNTIF($D$38:$D$187,"&gt;"&amp;D132)+1)</f>
        <v/>
      </c>
      <c r="H132" s="35">
        <f>IF(B132="","",INDEX(الموظفات!$L$5:$L$304,MATCH(B132,الموظفات!$B$5:$B$304,0)))</f>
        <v/>
      </c>
      <c r="K132" s="36">
        <f>IF(95&gt;$B$10,"",95)</f>
        <v/>
      </c>
      <c r="L132" s="37">
        <f>IF($K132="","",INDEX('سجل التحفيز'!$A$5:$A$2004,MATCH($K132,'سجل التحفيز'!$AB$5:$AB$2004,0)))</f>
        <v/>
      </c>
      <c r="M132" s="9">
        <f>IF($K132="","",INDEX('سجل التحفيز'!$B$5:$B$2004,MATCH($K132,'سجل التحفيز'!$AB$5:$AB$2004,0)))</f>
        <v/>
      </c>
      <c r="N132" s="9">
        <f>IF($K132="","",INDEX('سجل التحفيز'!$M$5:$M$2004,MATCH($K132,'سجل التحفيز'!$AB$5:$AB$2004,0)))</f>
        <v/>
      </c>
      <c r="O132" s="9">
        <f>IF($K132="","",INDEX('سجل التحفيز'!$C$5:$C$2004,MATCH($K132,'سجل التحفيز'!$AB$5:$AB$2004,0)))</f>
        <v/>
      </c>
      <c r="P132" s="36">
        <f>IF($K132="","",INDEX('سجل التحفيز'!$D$5:$D$2004,MATCH($K132,'سجل التحفيز'!$AB$5:$AB$2004,0)))</f>
        <v/>
      </c>
      <c r="Q132" s="9">
        <f>IF($K132="","",INDEX('سجل التحفيز'!$E$5:$E$2004,MATCH($K132,'سجل التحفيز'!$AB$5:$AB$2004,0)))</f>
        <v/>
      </c>
      <c r="R132" s="9">
        <f>IF($K132="","",INDEX('سجل التحفيز'!$F$5:$F$2004,MATCH($K132,'سجل التحفيز'!$AB$5:$AB$2004,0)))</f>
        <v/>
      </c>
      <c r="S132" s="35">
        <f>IF($K132="","",INDEX('سجل التحفيز'!$G$5:$G$2004,MATCH($K132,'سجل التحفيز'!$AB$5:$AB$2004,0)))</f>
        <v/>
      </c>
    </row>
    <row r="133">
      <c r="B133" s="34">
        <f>IFERROR(INDEX(الموظفات!$B$5:$B$304,MATCH(96,الموظفات!$V$5:$V$304,0)),"")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التحفيز'!$AB$5:$AB$2004,"&gt;0",'سجل التحفيز'!$B$5:$B$2004,B133))</f>
        <v/>
      </c>
      <c r="E133" s="35">
        <f>IF(B133="","",COUNTIFS('سجل التحفيز'!$AB$5:$AB$2004,"&gt;0",'سجل التحفيز'!$B$5:$B$2004,B133,'سجل التحفيز'!$D$5:$D$2004,"ذهبي"))</f>
        <v/>
      </c>
      <c r="F133" s="35">
        <f>IF(B133="","",SUMIFS('سجل التحفيز'!$G$5:$G$2004,'سجل التحفيز'!$AB$5:$AB$2004,"&gt;0",'سجل التحفيز'!$B$5:$B$2004,B133))</f>
        <v/>
      </c>
      <c r="G133" s="35">
        <f>IF(B133="","",COUNTIF($D$38:$D$187,"&gt;"&amp;D133)+1)</f>
        <v/>
      </c>
      <c r="H133" s="35">
        <f>IF(B133="","",INDEX(الموظفات!$L$5:$L$304,MATCH(B133,الموظفات!$B$5:$B$304,0)))</f>
        <v/>
      </c>
      <c r="K133" s="36">
        <f>IF(96&gt;$B$10,"",96)</f>
        <v/>
      </c>
      <c r="L133" s="37">
        <f>IF($K133="","",INDEX('سجل التحفيز'!$A$5:$A$2004,MATCH($K133,'سجل التحفيز'!$AB$5:$AB$2004,0)))</f>
        <v/>
      </c>
      <c r="M133" s="9">
        <f>IF($K133="","",INDEX('سجل التحفيز'!$B$5:$B$2004,MATCH($K133,'سجل التحفيز'!$AB$5:$AB$2004,0)))</f>
        <v/>
      </c>
      <c r="N133" s="9">
        <f>IF($K133="","",INDEX('سجل التحفيز'!$M$5:$M$2004,MATCH($K133,'سجل التحفيز'!$AB$5:$AB$2004,0)))</f>
        <v/>
      </c>
      <c r="O133" s="9">
        <f>IF($K133="","",INDEX('سجل التحفيز'!$C$5:$C$2004,MATCH($K133,'سجل التحفيز'!$AB$5:$AB$2004,0)))</f>
        <v/>
      </c>
      <c r="P133" s="36">
        <f>IF($K133="","",INDEX('سجل التحفيز'!$D$5:$D$2004,MATCH($K133,'سجل التحفيز'!$AB$5:$AB$2004,0)))</f>
        <v/>
      </c>
      <c r="Q133" s="9">
        <f>IF($K133="","",INDEX('سجل التحفيز'!$E$5:$E$2004,MATCH($K133,'سجل التحفيز'!$AB$5:$AB$2004,0)))</f>
        <v/>
      </c>
      <c r="R133" s="9">
        <f>IF($K133="","",INDEX('سجل التحفيز'!$F$5:$F$2004,MATCH($K133,'سجل التحفيز'!$AB$5:$AB$2004,0)))</f>
        <v/>
      </c>
      <c r="S133" s="35">
        <f>IF($K133="","",INDEX('سجل التحفيز'!$G$5:$G$2004,MATCH($K133,'سجل التحفيز'!$AB$5:$AB$2004,0)))</f>
        <v/>
      </c>
    </row>
    <row r="134">
      <c r="B134" s="34">
        <f>IFERROR(INDEX(الموظفات!$B$5:$B$304,MATCH(97,الموظفات!$V$5:$V$304,0)),"")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التحفيز'!$AB$5:$AB$2004,"&gt;0",'سجل التحفيز'!$B$5:$B$2004,B134))</f>
        <v/>
      </c>
      <c r="E134" s="35">
        <f>IF(B134="","",COUNTIFS('سجل التحفيز'!$AB$5:$AB$2004,"&gt;0",'سجل التحفيز'!$B$5:$B$2004,B134,'سجل التحفيز'!$D$5:$D$2004,"ذهبي"))</f>
        <v/>
      </c>
      <c r="F134" s="35">
        <f>IF(B134="","",SUMIFS('سجل التحفيز'!$G$5:$G$2004,'سجل التحفيز'!$AB$5:$AB$2004,"&gt;0",'سجل التحفيز'!$B$5:$B$2004,B134))</f>
        <v/>
      </c>
      <c r="G134" s="35">
        <f>IF(B134="","",COUNTIF($D$38:$D$187,"&gt;"&amp;D134)+1)</f>
        <v/>
      </c>
      <c r="H134" s="35">
        <f>IF(B134="","",INDEX(الموظفات!$L$5:$L$304,MATCH(B134,الموظفات!$B$5:$B$304,0)))</f>
        <v/>
      </c>
      <c r="K134" s="36">
        <f>IF(97&gt;$B$10,"",97)</f>
        <v/>
      </c>
      <c r="L134" s="37">
        <f>IF($K134="","",INDEX('سجل التحفيز'!$A$5:$A$2004,MATCH($K134,'سجل التحفيز'!$AB$5:$AB$2004,0)))</f>
        <v/>
      </c>
      <c r="M134" s="9">
        <f>IF($K134="","",INDEX('سجل التحفيز'!$B$5:$B$2004,MATCH($K134,'سجل التحفيز'!$AB$5:$AB$2004,0)))</f>
        <v/>
      </c>
      <c r="N134" s="9">
        <f>IF($K134="","",INDEX('سجل التحفيز'!$M$5:$M$2004,MATCH($K134,'سجل التحفيز'!$AB$5:$AB$2004,0)))</f>
        <v/>
      </c>
      <c r="O134" s="9">
        <f>IF($K134="","",INDEX('سجل التحفيز'!$C$5:$C$2004,MATCH($K134,'سجل التحفيز'!$AB$5:$AB$2004,0)))</f>
        <v/>
      </c>
      <c r="P134" s="36">
        <f>IF($K134="","",INDEX('سجل التحفيز'!$D$5:$D$2004,MATCH($K134,'سجل التحفيز'!$AB$5:$AB$2004,0)))</f>
        <v/>
      </c>
      <c r="Q134" s="9">
        <f>IF($K134="","",INDEX('سجل التحفيز'!$E$5:$E$2004,MATCH($K134,'سجل التحفيز'!$AB$5:$AB$2004,0)))</f>
        <v/>
      </c>
      <c r="R134" s="9">
        <f>IF($K134="","",INDEX('سجل التحفيز'!$F$5:$F$2004,MATCH($K134,'سجل التحفيز'!$AB$5:$AB$2004,0)))</f>
        <v/>
      </c>
      <c r="S134" s="35">
        <f>IF($K134="","",INDEX('سجل التحفيز'!$G$5:$G$2004,MATCH($K134,'سجل التحفيز'!$AB$5:$AB$2004,0)))</f>
        <v/>
      </c>
    </row>
    <row r="135">
      <c r="B135" s="34">
        <f>IFERROR(INDEX(الموظفات!$B$5:$B$304,MATCH(98,الموظفات!$V$5:$V$304,0)),"")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التحفيز'!$AB$5:$AB$2004,"&gt;0",'سجل التحفيز'!$B$5:$B$2004,B135))</f>
        <v/>
      </c>
      <c r="E135" s="35">
        <f>IF(B135="","",COUNTIFS('سجل التحفيز'!$AB$5:$AB$2004,"&gt;0",'سجل التحفيز'!$B$5:$B$2004,B135,'سجل التحفيز'!$D$5:$D$2004,"ذهبي"))</f>
        <v/>
      </c>
      <c r="F135" s="35">
        <f>IF(B135="","",SUMIFS('سجل التحفيز'!$G$5:$G$2004,'سجل التحفيز'!$AB$5:$AB$2004,"&gt;0",'سجل التحفيز'!$B$5:$B$2004,B135))</f>
        <v/>
      </c>
      <c r="G135" s="35">
        <f>IF(B135="","",COUNTIF($D$38:$D$187,"&gt;"&amp;D135)+1)</f>
        <v/>
      </c>
      <c r="H135" s="35">
        <f>IF(B135="","",INDEX(الموظفات!$L$5:$L$304,MATCH(B135,الموظفات!$B$5:$B$304,0)))</f>
        <v/>
      </c>
      <c r="K135" s="36">
        <f>IF(98&gt;$B$10,"",98)</f>
        <v/>
      </c>
      <c r="L135" s="37">
        <f>IF($K135="","",INDEX('سجل التحفيز'!$A$5:$A$2004,MATCH($K135,'سجل التحفيز'!$AB$5:$AB$2004,0)))</f>
        <v/>
      </c>
      <c r="M135" s="9">
        <f>IF($K135="","",INDEX('سجل التحفيز'!$B$5:$B$2004,MATCH($K135,'سجل التحفيز'!$AB$5:$AB$2004,0)))</f>
        <v/>
      </c>
      <c r="N135" s="9">
        <f>IF($K135="","",INDEX('سجل التحفيز'!$M$5:$M$2004,MATCH($K135,'سجل التحفيز'!$AB$5:$AB$2004,0)))</f>
        <v/>
      </c>
      <c r="O135" s="9">
        <f>IF($K135="","",INDEX('سجل التحفيز'!$C$5:$C$2004,MATCH($K135,'سجل التحفيز'!$AB$5:$AB$2004,0)))</f>
        <v/>
      </c>
      <c r="P135" s="36">
        <f>IF($K135="","",INDEX('سجل التحفيز'!$D$5:$D$2004,MATCH($K135,'سجل التحفيز'!$AB$5:$AB$2004,0)))</f>
        <v/>
      </c>
      <c r="Q135" s="9">
        <f>IF($K135="","",INDEX('سجل التحفيز'!$E$5:$E$2004,MATCH($K135,'سجل التحفيز'!$AB$5:$AB$2004,0)))</f>
        <v/>
      </c>
      <c r="R135" s="9">
        <f>IF($K135="","",INDEX('سجل التحفيز'!$F$5:$F$2004,MATCH($K135,'سجل التحفيز'!$AB$5:$AB$2004,0)))</f>
        <v/>
      </c>
      <c r="S135" s="35">
        <f>IF($K135="","",INDEX('سجل التحفيز'!$G$5:$G$2004,MATCH($K135,'سجل التحفيز'!$AB$5:$AB$2004,0)))</f>
        <v/>
      </c>
    </row>
    <row r="136">
      <c r="B136" s="34">
        <f>IFERROR(INDEX(الموظفات!$B$5:$B$304,MATCH(99,الموظفات!$V$5:$V$304,0)),"")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التحفيز'!$AB$5:$AB$2004,"&gt;0",'سجل التحفيز'!$B$5:$B$2004,B136))</f>
        <v/>
      </c>
      <c r="E136" s="35">
        <f>IF(B136="","",COUNTIFS('سجل التحفيز'!$AB$5:$AB$2004,"&gt;0",'سجل التحفيز'!$B$5:$B$2004,B136,'سجل التحفيز'!$D$5:$D$2004,"ذهبي"))</f>
        <v/>
      </c>
      <c r="F136" s="35">
        <f>IF(B136="","",SUMIFS('سجل التحفيز'!$G$5:$G$2004,'سجل التحفيز'!$AB$5:$AB$2004,"&gt;0",'سجل التحفيز'!$B$5:$B$2004,B136))</f>
        <v/>
      </c>
      <c r="G136" s="35">
        <f>IF(B136="","",COUNTIF($D$38:$D$187,"&gt;"&amp;D136)+1)</f>
        <v/>
      </c>
      <c r="H136" s="35">
        <f>IF(B136="","",INDEX(الموظفات!$L$5:$L$304,MATCH(B136,الموظفات!$B$5:$B$304,0)))</f>
        <v/>
      </c>
      <c r="K136" s="36">
        <f>IF(99&gt;$B$10,"",99)</f>
        <v/>
      </c>
      <c r="L136" s="37">
        <f>IF($K136="","",INDEX('سجل التحفيز'!$A$5:$A$2004,MATCH($K136,'سجل التحفيز'!$AB$5:$AB$2004,0)))</f>
        <v/>
      </c>
      <c r="M136" s="9">
        <f>IF($K136="","",INDEX('سجل التحفيز'!$B$5:$B$2004,MATCH($K136,'سجل التحفيز'!$AB$5:$AB$2004,0)))</f>
        <v/>
      </c>
      <c r="N136" s="9">
        <f>IF($K136="","",INDEX('سجل التحفيز'!$M$5:$M$2004,MATCH($K136,'سجل التحفيز'!$AB$5:$AB$2004,0)))</f>
        <v/>
      </c>
      <c r="O136" s="9">
        <f>IF($K136="","",INDEX('سجل التحفيز'!$C$5:$C$2004,MATCH($K136,'سجل التحفيز'!$AB$5:$AB$2004,0)))</f>
        <v/>
      </c>
      <c r="P136" s="36">
        <f>IF($K136="","",INDEX('سجل التحفيز'!$D$5:$D$2004,MATCH($K136,'سجل التحفيز'!$AB$5:$AB$2004,0)))</f>
        <v/>
      </c>
      <c r="Q136" s="9">
        <f>IF($K136="","",INDEX('سجل التحفيز'!$E$5:$E$2004,MATCH($K136,'سجل التحفيز'!$AB$5:$AB$2004,0)))</f>
        <v/>
      </c>
      <c r="R136" s="9">
        <f>IF($K136="","",INDEX('سجل التحفيز'!$F$5:$F$2004,MATCH($K136,'سجل التحفيز'!$AB$5:$AB$2004,0)))</f>
        <v/>
      </c>
      <c r="S136" s="35">
        <f>IF($K136="","",INDEX('سجل التحفيز'!$G$5:$G$2004,MATCH($K136,'سجل التحفيز'!$AB$5:$AB$2004,0)))</f>
        <v/>
      </c>
    </row>
    <row r="137">
      <c r="B137" s="34">
        <f>IFERROR(INDEX(الموظفات!$B$5:$B$304,MATCH(100,الموظفات!$V$5:$V$304,0)),"")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التحفيز'!$AB$5:$AB$2004,"&gt;0",'سجل التحفيز'!$B$5:$B$2004,B137))</f>
        <v/>
      </c>
      <c r="E137" s="35">
        <f>IF(B137="","",COUNTIFS('سجل التحفيز'!$AB$5:$AB$2004,"&gt;0",'سجل التحفيز'!$B$5:$B$2004,B137,'سجل التحفيز'!$D$5:$D$2004,"ذهبي"))</f>
        <v/>
      </c>
      <c r="F137" s="35">
        <f>IF(B137="","",SUMIFS('سجل التحفيز'!$G$5:$G$2004,'سجل التحفيز'!$AB$5:$AB$2004,"&gt;0",'سجل التحفيز'!$B$5:$B$2004,B137))</f>
        <v/>
      </c>
      <c r="G137" s="35">
        <f>IF(B137="","",COUNTIF($D$38:$D$187,"&gt;"&amp;D137)+1)</f>
        <v/>
      </c>
      <c r="H137" s="35">
        <f>IF(B137="","",INDEX(الموظفات!$L$5:$L$304,MATCH(B137,الموظفات!$B$5:$B$304,0)))</f>
        <v/>
      </c>
      <c r="K137" s="36">
        <f>IF(100&gt;$B$10,"",100)</f>
        <v/>
      </c>
      <c r="L137" s="37">
        <f>IF($K137="","",INDEX('سجل التحفيز'!$A$5:$A$2004,MATCH($K137,'سجل التحفيز'!$AB$5:$AB$2004,0)))</f>
        <v/>
      </c>
      <c r="M137" s="9">
        <f>IF($K137="","",INDEX('سجل التحفيز'!$B$5:$B$2004,MATCH($K137,'سجل التحفيز'!$AB$5:$AB$2004,0)))</f>
        <v/>
      </c>
      <c r="N137" s="9">
        <f>IF($K137="","",INDEX('سجل التحفيز'!$M$5:$M$2004,MATCH($K137,'سجل التحفيز'!$AB$5:$AB$2004,0)))</f>
        <v/>
      </c>
      <c r="O137" s="9">
        <f>IF($K137="","",INDEX('سجل التحفيز'!$C$5:$C$2004,MATCH($K137,'سجل التحفيز'!$AB$5:$AB$2004,0)))</f>
        <v/>
      </c>
      <c r="P137" s="36">
        <f>IF($K137="","",INDEX('سجل التحفيز'!$D$5:$D$2004,MATCH($K137,'سجل التحفيز'!$AB$5:$AB$2004,0)))</f>
        <v/>
      </c>
      <c r="Q137" s="9">
        <f>IF($K137="","",INDEX('سجل التحفيز'!$E$5:$E$2004,MATCH($K137,'سجل التحفيز'!$AB$5:$AB$2004,0)))</f>
        <v/>
      </c>
      <c r="R137" s="9">
        <f>IF($K137="","",INDEX('سجل التحفيز'!$F$5:$F$2004,MATCH($K137,'سجل التحفيز'!$AB$5:$AB$2004,0)))</f>
        <v/>
      </c>
      <c r="S137" s="35">
        <f>IF($K137="","",INDEX('سجل التحفيز'!$G$5:$G$2004,MATCH($K137,'سجل التحفيز'!$AB$5:$AB$2004,0)))</f>
        <v/>
      </c>
    </row>
    <row r="138">
      <c r="B138" s="34">
        <f>IFERROR(INDEX(الموظفات!$B$5:$B$304,MATCH(101,الموظفات!$V$5:$V$304,0)),"")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التحفيز'!$AB$5:$AB$2004,"&gt;0",'سجل التحفيز'!$B$5:$B$2004,B138))</f>
        <v/>
      </c>
      <c r="E138" s="35">
        <f>IF(B138="","",COUNTIFS('سجل التحفيز'!$AB$5:$AB$2004,"&gt;0",'سجل التحفيز'!$B$5:$B$2004,B138,'سجل التحفيز'!$D$5:$D$2004,"ذهبي"))</f>
        <v/>
      </c>
      <c r="F138" s="35">
        <f>IF(B138="","",SUMIFS('سجل التحفيز'!$G$5:$G$2004,'سجل التحفيز'!$AB$5:$AB$2004,"&gt;0",'سجل التحفيز'!$B$5:$B$2004,B138))</f>
        <v/>
      </c>
      <c r="G138" s="35">
        <f>IF(B138="","",COUNTIF($D$38:$D$187,"&gt;"&amp;D138)+1)</f>
        <v/>
      </c>
      <c r="H138" s="35">
        <f>IF(B138="","",INDEX(الموظفات!$L$5:$L$304,MATCH(B138,الموظفات!$B$5:$B$304,0)))</f>
        <v/>
      </c>
      <c r="K138" s="36">
        <f>IF(101&gt;$B$10,"",101)</f>
        <v/>
      </c>
      <c r="L138" s="37">
        <f>IF($K138="","",INDEX('سجل التحفيز'!$A$5:$A$2004,MATCH($K138,'سجل التحفيز'!$AB$5:$AB$2004,0)))</f>
        <v/>
      </c>
      <c r="M138" s="9">
        <f>IF($K138="","",INDEX('سجل التحفيز'!$B$5:$B$2004,MATCH($K138,'سجل التحفيز'!$AB$5:$AB$2004,0)))</f>
        <v/>
      </c>
      <c r="N138" s="9">
        <f>IF($K138="","",INDEX('سجل التحفيز'!$M$5:$M$2004,MATCH($K138,'سجل التحفيز'!$AB$5:$AB$2004,0)))</f>
        <v/>
      </c>
      <c r="O138" s="9">
        <f>IF($K138="","",INDEX('سجل التحفيز'!$C$5:$C$2004,MATCH($K138,'سجل التحفيز'!$AB$5:$AB$2004,0)))</f>
        <v/>
      </c>
      <c r="P138" s="36">
        <f>IF($K138="","",INDEX('سجل التحفيز'!$D$5:$D$2004,MATCH($K138,'سجل التحفيز'!$AB$5:$AB$2004,0)))</f>
        <v/>
      </c>
      <c r="Q138" s="9">
        <f>IF($K138="","",INDEX('سجل التحفيز'!$E$5:$E$2004,MATCH($K138,'سجل التحفيز'!$AB$5:$AB$2004,0)))</f>
        <v/>
      </c>
      <c r="R138" s="9">
        <f>IF($K138="","",INDEX('سجل التحفيز'!$F$5:$F$2004,MATCH($K138,'سجل التحفيز'!$AB$5:$AB$2004,0)))</f>
        <v/>
      </c>
      <c r="S138" s="35">
        <f>IF($K138="","",INDEX('سجل التحفيز'!$G$5:$G$2004,MATCH($K138,'سجل التحفيز'!$AB$5:$AB$2004,0)))</f>
        <v/>
      </c>
    </row>
    <row r="139">
      <c r="B139" s="34">
        <f>IFERROR(INDEX(الموظفات!$B$5:$B$304,MATCH(102,الموظفات!$V$5:$V$304,0)),"")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التحفيز'!$AB$5:$AB$2004,"&gt;0",'سجل التحفيز'!$B$5:$B$2004,B139))</f>
        <v/>
      </c>
      <c r="E139" s="35">
        <f>IF(B139="","",COUNTIFS('سجل التحفيز'!$AB$5:$AB$2004,"&gt;0",'سجل التحفيز'!$B$5:$B$2004,B139,'سجل التحفيز'!$D$5:$D$2004,"ذهبي"))</f>
        <v/>
      </c>
      <c r="F139" s="35">
        <f>IF(B139="","",SUMIFS('سجل التحفيز'!$G$5:$G$2004,'سجل التحفيز'!$AB$5:$AB$2004,"&gt;0",'سجل التحفيز'!$B$5:$B$2004,B139))</f>
        <v/>
      </c>
      <c r="G139" s="35">
        <f>IF(B139="","",COUNTIF($D$38:$D$187,"&gt;"&amp;D139)+1)</f>
        <v/>
      </c>
      <c r="H139" s="35">
        <f>IF(B139="","",INDEX(الموظفات!$L$5:$L$304,MATCH(B139,الموظفات!$B$5:$B$304,0)))</f>
        <v/>
      </c>
      <c r="K139" s="36">
        <f>IF(102&gt;$B$10,"",102)</f>
        <v/>
      </c>
      <c r="L139" s="37">
        <f>IF($K139="","",INDEX('سجل التحفيز'!$A$5:$A$2004,MATCH($K139,'سجل التحفيز'!$AB$5:$AB$2004,0)))</f>
        <v/>
      </c>
      <c r="M139" s="9">
        <f>IF($K139="","",INDEX('سجل التحفيز'!$B$5:$B$2004,MATCH($K139,'سجل التحفيز'!$AB$5:$AB$2004,0)))</f>
        <v/>
      </c>
      <c r="N139" s="9">
        <f>IF($K139="","",INDEX('سجل التحفيز'!$M$5:$M$2004,MATCH($K139,'سجل التحفيز'!$AB$5:$AB$2004,0)))</f>
        <v/>
      </c>
      <c r="O139" s="9">
        <f>IF($K139="","",INDEX('سجل التحفيز'!$C$5:$C$2004,MATCH($K139,'سجل التحفيز'!$AB$5:$AB$2004,0)))</f>
        <v/>
      </c>
      <c r="P139" s="36">
        <f>IF($K139="","",INDEX('سجل التحفيز'!$D$5:$D$2004,MATCH($K139,'سجل التحفيز'!$AB$5:$AB$2004,0)))</f>
        <v/>
      </c>
      <c r="Q139" s="9">
        <f>IF($K139="","",INDEX('سجل التحفيز'!$E$5:$E$2004,MATCH($K139,'سجل التحفيز'!$AB$5:$AB$2004,0)))</f>
        <v/>
      </c>
      <c r="R139" s="9">
        <f>IF($K139="","",INDEX('سجل التحفيز'!$F$5:$F$2004,MATCH($K139,'سجل التحفيز'!$AB$5:$AB$2004,0)))</f>
        <v/>
      </c>
      <c r="S139" s="35">
        <f>IF($K139="","",INDEX('سجل التحفيز'!$G$5:$G$2004,MATCH($K139,'سجل التحفيز'!$AB$5:$AB$2004,0)))</f>
        <v/>
      </c>
    </row>
    <row r="140">
      <c r="B140" s="34">
        <f>IFERROR(INDEX(الموظفات!$B$5:$B$304,MATCH(103,الموظفات!$V$5:$V$304,0)),"")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التحفيز'!$AB$5:$AB$2004,"&gt;0",'سجل التحفيز'!$B$5:$B$2004,B140))</f>
        <v/>
      </c>
      <c r="E140" s="35">
        <f>IF(B140="","",COUNTIFS('سجل التحفيز'!$AB$5:$AB$2004,"&gt;0",'سجل التحفيز'!$B$5:$B$2004,B140,'سجل التحفيز'!$D$5:$D$2004,"ذهبي"))</f>
        <v/>
      </c>
      <c r="F140" s="35">
        <f>IF(B140="","",SUMIFS('سجل التحفيز'!$G$5:$G$2004,'سجل التحفيز'!$AB$5:$AB$2004,"&gt;0",'سجل التحفيز'!$B$5:$B$2004,B140))</f>
        <v/>
      </c>
      <c r="G140" s="35">
        <f>IF(B140="","",COUNTIF($D$38:$D$187,"&gt;"&amp;D140)+1)</f>
        <v/>
      </c>
      <c r="H140" s="35">
        <f>IF(B140="","",INDEX(الموظفات!$L$5:$L$304,MATCH(B140,الموظفات!$B$5:$B$304,0)))</f>
        <v/>
      </c>
      <c r="K140" s="36">
        <f>IF(103&gt;$B$10,"",103)</f>
        <v/>
      </c>
      <c r="L140" s="37">
        <f>IF($K140="","",INDEX('سجل التحفيز'!$A$5:$A$2004,MATCH($K140,'سجل التحفيز'!$AB$5:$AB$2004,0)))</f>
        <v/>
      </c>
      <c r="M140" s="9">
        <f>IF($K140="","",INDEX('سجل التحفيز'!$B$5:$B$2004,MATCH($K140,'سجل التحفيز'!$AB$5:$AB$2004,0)))</f>
        <v/>
      </c>
      <c r="N140" s="9">
        <f>IF($K140="","",INDEX('سجل التحفيز'!$M$5:$M$2004,MATCH($K140,'سجل التحفيز'!$AB$5:$AB$2004,0)))</f>
        <v/>
      </c>
      <c r="O140" s="9">
        <f>IF($K140="","",INDEX('سجل التحفيز'!$C$5:$C$2004,MATCH($K140,'سجل التحفيز'!$AB$5:$AB$2004,0)))</f>
        <v/>
      </c>
      <c r="P140" s="36">
        <f>IF($K140="","",INDEX('سجل التحفيز'!$D$5:$D$2004,MATCH($K140,'سجل التحفيز'!$AB$5:$AB$2004,0)))</f>
        <v/>
      </c>
      <c r="Q140" s="9">
        <f>IF($K140="","",INDEX('سجل التحفيز'!$E$5:$E$2004,MATCH($K140,'سجل التحفيز'!$AB$5:$AB$2004,0)))</f>
        <v/>
      </c>
      <c r="R140" s="9">
        <f>IF($K140="","",INDEX('سجل التحفيز'!$F$5:$F$2004,MATCH($K140,'سجل التحفيز'!$AB$5:$AB$2004,0)))</f>
        <v/>
      </c>
      <c r="S140" s="35">
        <f>IF($K140="","",INDEX('سجل التحفيز'!$G$5:$G$2004,MATCH($K140,'سجل التحفيز'!$AB$5:$AB$2004,0)))</f>
        <v/>
      </c>
    </row>
    <row r="141">
      <c r="B141" s="34">
        <f>IFERROR(INDEX(الموظفات!$B$5:$B$304,MATCH(104,الموظفات!$V$5:$V$304,0)),"")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التحفيز'!$AB$5:$AB$2004,"&gt;0",'سجل التحفيز'!$B$5:$B$2004,B141))</f>
        <v/>
      </c>
      <c r="E141" s="35">
        <f>IF(B141="","",COUNTIFS('سجل التحفيز'!$AB$5:$AB$2004,"&gt;0",'سجل التحفيز'!$B$5:$B$2004,B141,'سجل التحفيز'!$D$5:$D$2004,"ذهبي"))</f>
        <v/>
      </c>
      <c r="F141" s="35">
        <f>IF(B141="","",SUMIFS('سجل التحفيز'!$G$5:$G$2004,'سجل التحفيز'!$AB$5:$AB$2004,"&gt;0",'سجل التحفيز'!$B$5:$B$2004,B141))</f>
        <v/>
      </c>
      <c r="G141" s="35">
        <f>IF(B141="","",COUNTIF($D$38:$D$187,"&gt;"&amp;D141)+1)</f>
        <v/>
      </c>
      <c r="H141" s="35">
        <f>IF(B141="","",INDEX(الموظفات!$L$5:$L$304,MATCH(B141,الموظفات!$B$5:$B$304,0)))</f>
        <v/>
      </c>
      <c r="K141" s="36">
        <f>IF(104&gt;$B$10,"",104)</f>
        <v/>
      </c>
      <c r="L141" s="37">
        <f>IF($K141="","",INDEX('سجل التحفيز'!$A$5:$A$2004,MATCH($K141,'سجل التحفيز'!$AB$5:$AB$2004,0)))</f>
        <v/>
      </c>
      <c r="M141" s="9">
        <f>IF($K141="","",INDEX('سجل التحفيز'!$B$5:$B$2004,MATCH($K141,'سجل التحفيز'!$AB$5:$AB$2004,0)))</f>
        <v/>
      </c>
      <c r="N141" s="9">
        <f>IF($K141="","",INDEX('سجل التحفيز'!$M$5:$M$2004,MATCH($K141,'سجل التحفيز'!$AB$5:$AB$2004,0)))</f>
        <v/>
      </c>
      <c r="O141" s="9">
        <f>IF($K141="","",INDEX('سجل التحفيز'!$C$5:$C$2004,MATCH($K141,'سجل التحفيز'!$AB$5:$AB$2004,0)))</f>
        <v/>
      </c>
      <c r="P141" s="36">
        <f>IF($K141="","",INDEX('سجل التحفيز'!$D$5:$D$2004,MATCH($K141,'سجل التحفيز'!$AB$5:$AB$2004,0)))</f>
        <v/>
      </c>
      <c r="Q141" s="9">
        <f>IF($K141="","",INDEX('سجل التحفيز'!$E$5:$E$2004,MATCH($K141,'سجل التحفيز'!$AB$5:$AB$2004,0)))</f>
        <v/>
      </c>
      <c r="R141" s="9">
        <f>IF($K141="","",INDEX('سجل التحفيز'!$F$5:$F$2004,MATCH($K141,'سجل التحفيز'!$AB$5:$AB$2004,0)))</f>
        <v/>
      </c>
      <c r="S141" s="35">
        <f>IF($K141="","",INDEX('سجل التحفيز'!$G$5:$G$2004,MATCH($K141,'سجل التحفيز'!$AB$5:$AB$2004,0)))</f>
        <v/>
      </c>
    </row>
    <row r="142">
      <c r="B142" s="34">
        <f>IFERROR(INDEX(الموظفات!$B$5:$B$304,MATCH(105,الموظفات!$V$5:$V$304,0)),"")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التحفيز'!$AB$5:$AB$2004,"&gt;0",'سجل التحفيز'!$B$5:$B$2004,B142))</f>
        <v/>
      </c>
      <c r="E142" s="35">
        <f>IF(B142="","",COUNTIFS('سجل التحفيز'!$AB$5:$AB$2004,"&gt;0",'سجل التحفيز'!$B$5:$B$2004,B142,'سجل التحفيز'!$D$5:$D$2004,"ذهبي"))</f>
        <v/>
      </c>
      <c r="F142" s="35">
        <f>IF(B142="","",SUMIFS('سجل التحفيز'!$G$5:$G$2004,'سجل التحفيز'!$AB$5:$AB$2004,"&gt;0",'سجل التحفيز'!$B$5:$B$2004,B142))</f>
        <v/>
      </c>
      <c r="G142" s="35">
        <f>IF(B142="","",COUNTIF($D$38:$D$187,"&gt;"&amp;D142)+1)</f>
        <v/>
      </c>
      <c r="H142" s="35">
        <f>IF(B142="","",INDEX(الموظفات!$L$5:$L$304,MATCH(B142,الموظفات!$B$5:$B$304,0)))</f>
        <v/>
      </c>
      <c r="K142" s="36">
        <f>IF(105&gt;$B$10,"",105)</f>
        <v/>
      </c>
      <c r="L142" s="37">
        <f>IF($K142="","",INDEX('سجل التحفيز'!$A$5:$A$2004,MATCH($K142,'سجل التحفيز'!$AB$5:$AB$2004,0)))</f>
        <v/>
      </c>
      <c r="M142" s="9">
        <f>IF($K142="","",INDEX('سجل التحفيز'!$B$5:$B$2004,MATCH($K142,'سجل التحفيز'!$AB$5:$AB$2004,0)))</f>
        <v/>
      </c>
      <c r="N142" s="9">
        <f>IF($K142="","",INDEX('سجل التحفيز'!$M$5:$M$2004,MATCH($K142,'سجل التحفيز'!$AB$5:$AB$2004,0)))</f>
        <v/>
      </c>
      <c r="O142" s="9">
        <f>IF($K142="","",INDEX('سجل التحفيز'!$C$5:$C$2004,MATCH($K142,'سجل التحفيز'!$AB$5:$AB$2004,0)))</f>
        <v/>
      </c>
      <c r="P142" s="36">
        <f>IF($K142="","",INDEX('سجل التحفيز'!$D$5:$D$2004,MATCH($K142,'سجل التحفيز'!$AB$5:$AB$2004,0)))</f>
        <v/>
      </c>
      <c r="Q142" s="9">
        <f>IF($K142="","",INDEX('سجل التحفيز'!$E$5:$E$2004,MATCH($K142,'سجل التحفيز'!$AB$5:$AB$2004,0)))</f>
        <v/>
      </c>
      <c r="R142" s="9">
        <f>IF($K142="","",INDEX('سجل التحفيز'!$F$5:$F$2004,MATCH($K142,'سجل التحفيز'!$AB$5:$AB$2004,0)))</f>
        <v/>
      </c>
      <c r="S142" s="35">
        <f>IF($K142="","",INDEX('سجل التحفيز'!$G$5:$G$2004,MATCH($K142,'سجل التحفيز'!$AB$5:$AB$2004,0)))</f>
        <v/>
      </c>
    </row>
    <row r="143">
      <c r="B143" s="34">
        <f>IFERROR(INDEX(الموظفات!$B$5:$B$304,MATCH(106,الموظفات!$V$5:$V$304,0)),"")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التحفيز'!$AB$5:$AB$2004,"&gt;0",'سجل التحفيز'!$B$5:$B$2004,B143))</f>
        <v/>
      </c>
      <c r="E143" s="35">
        <f>IF(B143="","",COUNTIFS('سجل التحفيز'!$AB$5:$AB$2004,"&gt;0",'سجل التحفيز'!$B$5:$B$2004,B143,'سجل التحفيز'!$D$5:$D$2004,"ذهبي"))</f>
        <v/>
      </c>
      <c r="F143" s="35">
        <f>IF(B143="","",SUMIFS('سجل التحفيز'!$G$5:$G$2004,'سجل التحفيز'!$AB$5:$AB$2004,"&gt;0",'سجل التحفيز'!$B$5:$B$2004,B143))</f>
        <v/>
      </c>
      <c r="G143" s="35">
        <f>IF(B143="","",COUNTIF($D$38:$D$187,"&gt;"&amp;D143)+1)</f>
        <v/>
      </c>
      <c r="H143" s="35">
        <f>IF(B143="","",INDEX(الموظفات!$L$5:$L$304,MATCH(B143,الموظفات!$B$5:$B$304,0)))</f>
        <v/>
      </c>
      <c r="K143" s="36">
        <f>IF(106&gt;$B$10,"",106)</f>
        <v/>
      </c>
      <c r="L143" s="37">
        <f>IF($K143="","",INDEX('سجل التحفيز'!$A$5:$A$2004,MATCH($K143,'سجل التحفيز'!$AB$5:$AB$2004,0)))</f>
        <v/>
      </c>
      <c r="M143" s="9">
        <f>IF($K143="","",INDEX('سجل التحفيز'!$B$5:$B$2004,MATCH($K143,'سجل التحفيز'!$AB$5:$AB$2004,0)))</f>
        <v/>
      </c>
      <c r="N143" s="9">
        <f>IF($K143="","",INDEX('سجل التحفيز'!$M$5:$M$2004,MATCH($K143,'سجل التحفيز'!$AB$5:$AB$2004,0)))</f>
        <v/>
      </c>
      <c r="O143" s="9">
        <f>IF($K143="","",INDEX('سجل التحفيز'!$C$5:$C$2004,MATCH($K143,'سجل التحفيز'!$AB$5:$AB$2004,0)))</f>
        <v/>
      </c>
      <c r="P143" s="36">
        <f>IF($K143="","",INDEX('سجل التحفيز'!$D$5:$D$2004,MATCH($K143,'سجل التحفيز'!$AB$5:$AB$2004,0)))</f>
        <v/>
      </c>
      <c r="Q143" s="9">
        <f>IF($K143="","",INDEX('سجل التحفيز'!$E$5:$E$2004,MATCH($K143,'سجل التحفيز'!$AB$5:$AB$2004,0)))</f>
        <v/>
      </c>
      <c r="R143" s="9">
        <f>IF($K143="","",INDEX('سجل التحفيز'!$F$5:$F$2004,MATCH($K143,'سجل التحفيز'!$AB$5:$AB$2004,0)))</f>
        <v/>
      </c>
      <c r="S143" s="35">
        <f>IF($K143="","",INDEX('سجل التحفيز'!$G$5:$G$2004,MATCH($K143,'سجل التحفيز'!$AB$5:$AB$2004,0)))</f>
        <v/>
      </c>
    </row>
    <row r="144">
      <c r="B144" s="34">
        <f>IFERROR(INDEX(الموظفات!$B$5:$B$304,MATCH(107,الموظفات!$V$5:$V$304,0)),"")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التحفيز'!$AB$5:$AB$2004,"&gt;0",'سجل التحفيز'!$B$5:$B$2004,B144))</f>
        <v/>
      </c>
      <c r="E144" s="35">
        <f>IF(B144="","",COUNTIFS('سجل التحفيز'!$AB$5:$AB$2004,"&gt;0",'سجل التحفيز'!$B$5:$B$2004,B144,'سجل التحفيز'!$D$5:$D$2004,"ذهبي"))</f>
        <v/>
      </c>
      <c r="F144" s="35">
        <f>IF(B144="","",SUMIFS('سجل التحفيز'!$G$5:$G$2004,'سجل التحفيز'!$AB$5:$AB$2004,"&gt;0",'سجل التحفيز'!$B$5:$B$2004,B144))</f>
        <v/>
      </c>
      <c r="G144" s="35">
        <f>IF(B144="","",COUNTIF($D$38:$D$187,"&gt;"&amp;D144)+1)</f>
        <v/>
      </c>
      <c r="H144" s="35">
        <f>IF(B144="","",INDEX(الموظفات!$L$5:$L$304,MATCH(B144,الموظفات!$B$5:$B$304,0)))</f>
        <v/>
      </c>
      <c r="K144" s="36">
        <f>IF(107&gt;$B$10,"",107)</f>
        <v/>
      </c>
      <c r="L144" s="37">
        <f>IF($K144="","",INDEX('سجل التحفيز'!$A$5:$A$2004,MATCH($K144,'سجل التحفيز'!$AB$5:$AB$2004,0)))</f>
        <v/>
      </c>
      <c r="M144" s="9">
        <f>IF($K144="","",INDEX('سجل التحفيز'!$B$5:$B$2004,MATCH($K144,'سجل التحفيز'!$AB$5:$AB$2004,0)))</f>
        <v/>
      </c>
      <c r="N144" s="9">
        <f>IF($K144="","",INDEX('سجل التحفيز'!$M$5:$M$2004,MATCH($K144,'سجل التحفيز'!$AB$5:$AB$2004,0)))</f>
        <v/>
      </c>
      <c r="O144" s="9">
        <f>IF($K144="","",INDEX('سجل التحفيز'!$C$5:$C$2004,MATCH($K144,'سجل التحفيز'!$AB$5:$AB$2004,0)))</f>
        <v/>
      </c>
      <c r="P144" s="36">
        <f>IF($K144="","",INDEX('سجل التحفيز'!$D$5:$D$2004,MATCH($K144,'سجل التحفيز'!$AB$5:$AB$2004,0)))</f>
        <v/>
      </c>
      <c r="Q144" s="9">
        <f>IF($K144="","",INDEX('سجل التحفيز'!$E$5:$E$2004,MATCH($K144,'سجل التحفيز'!$AB$5:$AB$2004,0)))</f>
        <v/>
      </c>
      <c r="R144" s="9">
        <f>IF($K144="","",INDEX('سجل التحفيز'!$F$5:$F$2004,MATCH($K144,'سجل التحفيز'!$AB$5:$AB$2004,0)))</f>
        <v/>
      </c>
      <c r="S144" s="35">
        <f>IF($K144="","",INDEX('سجل التحفيز'!$G$5:$G$2004,MATCH($K144,'سجل التحفيز'!$AB$5:$AB$2004,0)))</f>
        <v/>
      </c>
    </row>
    <row r="145">
      <c r="B145" s="34">
        <f>IFERROR(INDEX(الموظفات!$B$5:$B$304,MATCH(108,الموظفات!$V$5:$V$304,0)),"")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التحفيز'!$AB$5:$AB$2004,"&gt;0",'سجل التحفيز'!$B$5:$B$2004,B145))</f>
        <v/>
      </c>
      <c r="E145" s="35">
        <f>IF(B145="","",COUNTIFS('سجل التحفيز'!$AB$5:$AB$2004,"&gt;0",'سجل التحفيز'!$B$5:$B$2004,B145,'سجل التحفيز'!$D$5:$D$2004,"ذهبي"))</f>
        <v/>
      </c>
      <c r="F145" s="35">
        <f>IF(B145="","",SUMIFS('سجل التحفيز'!$G$5:$G$2004,'سجل التحفيز'!$AB$5:$AB$2004,"&gt;0",'سجل التحفيز'!$B$5:$B$2004,B145))</f>
        <v/>
      </c>
      <c r="G145" s="35">
        <f>IF(B145="","",COUNTIF($D$38:$D$187,"&gt;"&amp;D145)+1)</f>
        <v/>
      </c>
      <c r="H145" s="35">
        <f>IF(B145="","",INDEX(الموظفات!$L$5:$L$304,MATCH(B145,الموظفات!$B$5:$B$304,0)))</f>
        <v/>
      </c>
      <c r="K145" s="36">
        <f>IF(108&gt;$B$10,"",108)</f>
        <v/>
      </c>
      <c r="L145" s="37">
        <f>IF($K145="","",INDEX('سجل التحفيز'!$A$5:$A$2004,MATCH($K145,'سجل التحفيز'!$AB$5:$AB$2004,0)))</f>
        <v/>
      </c>
      <c r="M145" s="9">
        <f>IF($K145="","",INDEX('سجل التحفيز'!$B$5:$B$2004,MATCH($K145,'سجل التحفيز'!$AB$5:$AB$2004,0)))</f>
        <v/>
      </c>
      <c r="N145" s="9">
        <f>IF($K145="","",INDEX('سجل التحفيز'!$M$5:$M$2004,MATCH($K145,'سجل التحفيز'!$AB$5:$AB$2004,0)))</f>
        <v/>
      </c>
      <c r="O145" s="9">
        <f>IF($K145="","",INDEX('سجل التحفيز'!$C$5:$C$2004,MATCH($K145,'سجل التحفيز'!$AB$5:$AB$2004,0)))</f>
        <v/>
      </c>
      <c r="P145" s="36">
        <f>IF($K145="","",INDEX('سجل التحفيز'!$D$5:$D$2004,MATCH($K145,'سجل التحفيز'!$AB$5:$AB$2004,0)))</f>
        <v/>
      </c>
      <c r="Q145" s="9">
        <f>IF($K145="","",INDEX('سجل التحفيز'!$E$5:$E$2004,MATCH($K145,'سجل التحفيز'!$AB$5:$AB$2004,0)))</f>
        <v/>
      </c>
      <c r="R145" s="9">
        <f>IF($K145="","",INDEX('سجل التحفيز'!$F$5:$F$2004,MATCH($K145,'سجل التحفيز'!$AB$5:$AB$2004,0)))</f>
        <v/>
      </c>
      <c r="S145" s="35">
        <f>IF($K145="","",INDEX('سجل التحفيز'!$G$5:$G$2004,MATCH($K145,'سجل التحفيز'!$AB$5:$AB$2004,0)))</f>
        <v/>
      </c>
    </row>
    <row r="146">
      <c r="B146" s="34">
        <f>IFERROR(INDEX(الموظفات!$B$5:$B$304,MATCH(109,الموظفات!$V$5:$V$304,0)),"")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التحفيز'!$AB$5:$AB$2004,"&gt;0",'سجل التحفيز'!$B$5:$B$2004,B146))</f>
        <v/>
      </c>
      <c r="E146" s="35">
        <f>IF(B146="","",COUNTIFS('سجل التحفيز'!$AB$5:$AB$2004,"&gt;0",'سجل التحفيز'!$B$5:$B$2004,B146,'سجل التحفيز'!$D$5:$D$2004,"ذهبي"))</f>
        <v/>
      </c>
      <c r="F146" s="35">
        <f>IF(B146="","",SUMIFS('سجل التحفيز'!$G$5:$G$2004,'سجل التحفيز'!$AB$5:$AB$2004,"&gt;0",'سجل التحفيز'!$B$5:$B$2004,B146))</f>
        <v/>
      </c>
      <c r="G146" s="35">
        <f>IF(B146="","",COUNTIF($D$38:$D$187,"&gt;"&amp;D146)+1)</f>
        <v/>
      </c>
      <c r="H146" s="35">
        <f>IF(B146="","",INDEX(الموظفات!$L$5:$L$304,MATCH(B146,الموظفات!$B$5:$B$304,0)))</f>
        <v/>
      </c>
      <c r="K146" s="36">
        <f>IF(109&gt;$B$10,"",109)</f>
        <v/>
      </c>
      <c r="L146" s="37">
        <f>IF($K146="","",INDEX('سجل التحفيز'!$A$5:$A$2004,MATCH($K146,'سجل التحفيز'!$AB$5:$AB$2004,0)))</f>
        <v/>
      </c>
      <c r="M146" s="9">
        <f>IF($K146="","",INDEX('سجل التحفيز'!$B$5:$B$2004,MATCH($K146,'سجل التحفيز'!$AB$5:$AB$2004,0)))</f>
        <v/>
      </c>
      <c r="N146" s="9">
        <f>IF($K146="","",INDEX('سجل التحفيز'!$M$5:$M$2004,MATCH($K146,'سجل التحفيز'!$AB$5:$AB$2004,0)))</f>
        <v/>
      </c>
      <c r="O146" s="9">
        <f>IF($K146="","",INDEX('سجل التحفيز'!$C$5:$C$2004,MATCH($K146,'سجل التحفيز'!$AB$5:$AB$2004,0)))</f>
        <v/>
      </c>
      <c r="P146" s="36">
        <f>IF($K146="","",INDEX('سجل التحفيز'!$D$5:$D$2004,MATCH($K146,'سجل التحفيز'!$AB$5:$AB$2004,0)))</f>
        <v/>
      </c>
      <c r="Q146" s="9">
        <f>IF($K146="","",INDEX('سجل التحفيز'!$E$5:$E$2004,MATCH($K146,'سجل التحفيز'!$AB$5:$AB$2004,0)))</f>
        <v/>
      </c>
      <c r="R146" s="9">
        <f>IF($K146="","",INDEX('سجل التحفيز'!$F$5:$F$2004,MATCH($K146,'سجل التحفيز'!$AB$5:$AB$2004,0)))</f>
        <v/>
      </c>
      <c r="S146" s="35">
        <f>IF($K146="","",INDEX('سجل التحفيز'!$G$5:$G$2004,MATCH($K146,'سجل التحفيز'!$AB$5:$AB$2004,0)))</f>
        <v/>
      </c>
    </row>
    <row r="147">
      <c r="B147" s="34">
        <f>IFERROR(INDEX(الموظفات!$B$5:$B$304,MATCH(110,الموظفات!$V$5:$V$304,0)),"")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التحفيز'!$AB$5:$AB$2004,"&gt;0",'سجل التحفيز'!$B$5:$B$2004,B147))</f>
        <v/>
      </c>
      <c r="E147" s="35">
        <f>IF(B147="","",COUNTIFS('سجل التحفيز'!$AB$5:$AB$2004,"&gt;0",'سجل التحفيز'!$B$5:$B$2004,B147,'سجل التحفيز'!$D$5:$D$2004,"ذهبي"))</f>
        <v/>
      </c>
      <c r="F147" s="35">
        <f>IF(B147="","",SUMIFS('سجل التحفيز'!$G$5:$G$2004,'سجل التحفيز'!$AB$5:$AB$2004,"&gt;0",'سجل التحفيز'!$B$5:$B$2004,B147))</f>
        <v/>
      </c>
      <c r="G147" s="35">
        <f>IF(B147="","",COUNTIF($D$38:$D$187,"&gt;"&amp;D147)+1)</f>
        <v/>
      </c>
      <c r="H147" s="35">
        <f>IF(B147="","",INDEX(الموظفات!$L$5:$L$304,MATCH(B147,الموظفات!$B$5:$B$304,0)))</f>
        <v/>
      </c>
      <c r="K147" s="36">
        <f>IF(110&gt;$B$10,"",110)</f>
        <v/>
      </c>
      <c r="L147" s="37">
        <f>IF($K147="","",INDEX('سجل التحفيز'!$A$5:$A$2004,MATCH($K147,'سجل التحفيز'!$AB$5:$AB$2004,0)))</f>
        <v/>
      </c>
      <c r="M147" s="9">
        <f>IF($K147="","",INDEX('سجل التحفيز'!$B$5:$B$2004,MATCH($K147,'سجل التحفيز'!$AB$5:$AB$2004,0)))</f>
        <v/>
      </c>
      <c r="N147" s="9">
        <f>IF($K147="","",INDEX('سجل التحفيز'!$M$5:$M$2004,MATCH($K147,'سجل التحفيز'!$AB$5:$AB$2004,0)))</f>
        <v/>
      </c>
      <c r="O147" s="9">
        <f>IF($K147="","",INDEX('سجل التحفيز'!$C$5:$C$2004,MATCH($K147,'سجل التحفيز'!$AB$5:$AB$2004,0)))</f>
        <v/>
      </c>
      <c r="P147" s="36">
        <f>IF($K147="","",INDEX('سجل التحفيز'!$D$5:$D$2004,MATCH($K147,'سجل التحفيز'!$AB$5:$AB$2004,0)))</f>
        <v/>
      </c>
      <c r="Q147" s="9">
        <f>IF($K147="","",INDEX('سجل التحفيز'!$E$5:$E$2004,MATCH($K147,'سجل التحفيز'!$AB$5:$AB$2004,0)))</f>
        <v/>
      </c>
      <c r="R147" s="9">
        <f>IF($K147="","",INDEX('سجل التحفيز'!$F$5:$F$2004,MATCH($K147,'سجل التحفيز'!$AB$5:$AB$2004,0)))</f>
        <v/>
      </c>
      <c r="S147" s="35">
        <f>IF($K147="","",INDEX('سجل التحفيز'!$G$5:$G$2004,MATCH($K147,'سجل التحفيز'!$AB$5:$AB$2004,0)))</f>
        <v/>
      </c>
    </row>
    <row r="148">
      <c r="B148" s="34">
        <f>IFERROR(INDEX(الموظفات!$B$5:$B$304,MATCH(111,الموظفات!$V$5:$V$304,0)),"")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التحفيز'!$AB$5:$AB$2004,"&gt;0",'سجل التحفيز'!$B$5:$B$2004,B148))</f>
        <v/>
      </c>
      <c r="E148" s="35">
        <f>IF(B148="","",COUNTIFS('سجل التحفيز'!$AB$5:$AB$2004,"&gt;0",'سجل التحفيز'!$B$5:$B$2004,B148,'سجل التحفيز'!$D$5:$D$2004,"ذهبي"))</f>
        <v/>
      </c>
      <c r="F148" s="35">
        <f>IF(B148="","",SUMIFS('سجل التحفيز'!$G$5:$G$2004,'سجل التحفيز'!$AB$5:$AB$2004,"&gt;0",'سجل التحفيز'!$B$5:$B$2004,B148))</f>
        <v/>
      </c>
      <c r="G148" s="35">
        <f>IF(B148="","",COUNTIF($D$38:$D$187,"&gt;"&amp;D148)+1)</f>
        <v/>
      </c>
      <c r="H148" s="35">
        <f>IF(B148="","",INDEX(الموظفات!$L$5:$L$304,MATCH(B148,الموظفات!$B$5:$B$304,0)))</f>
        <v/>
      </c>
      <c r="K148" s="36">
        <f>IF(111&gt;$B$10,"",111)</f>
        <v/>
      </c>
      <c r="L148" s="37">
        <f>IF($K148="","",INDEX('سجل التحفيز'!$A$5:$A$2004,MATCH($K148,'سجل التحفيز'!$AB$5:$AB$2004,0)))</f>
        <v/>
      </c>
      <c r="M148" s="9">
        <f>IF($K148="","",INDEX('سجل التحفيز'!$B$5:$B$2004,MATCH($K148,'سجل التحفيز'!$AB$5:$AB$2004,0)))</f>
        <v/>
      </c>
      <c r="N148" s="9">
        <f>IF($K148="","",INDEX('سجل التحفيز'!$M$5:$M$2004,MATCH($K148,'سجل التحفيز'!$AB$5:$AB$2004,0)))</f>
        <v/>
      </c>
      <c r="O148" s="9">
        <f>IF($K148="","",INDEX('سجل التحفيز'!$C$5:$C$2004,MATCH($K148,'سجل التحفيز'!$AB$5:$AB$2004,0)))</f>
        <v/>
      </c>
      <c r="P148" s="36">
        <f>IF($K148="","",INDEX('سجل التحفيز'!$D$5:$D$2004,MATCH($K148,'سجل التحفيز'!$AB$5:$AB$2004,0)))</f>
        <v/>
      </c>
      <c r="Q148" s="9">
        <f>IF($K148="","",INDEX('سجل التحفيز'!$E$5:$E$2004,MATCH($K148,'سجل التحفيز'!$AB$5:$AB$2004,0)))</f>
        <v/>
      </c>
      <c r="R148" s="9">
        <f>IF($K148="","",INDEX('سجل التحفيز'!$F$5:$F$2004,MATCH($K148,'سجل التحفيز'!$AB$5:$AB$2004,0)))</f>
        <v/>
      </c>
      <c r="S148" s="35">
        <f>IF($K148="","",INDEX('سجل التحفيز'!$G$5:$G$2004,MATCH($K148,'سجل التحفيز'!$AB$5:$AB$2004,0)))</f>
        <v/>
      </c>
    </row>
    <row r="149">
      <c r="B149" s="34">
        <f>IFERROR(INDEX(الموظفات!$B$5:$B$304,MATCH(112,الموظفات!$V$5:$V$304,0)),"")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التحفيز'!$AB$5:$AB$2004,"&gt;0",'سجل التحفيز'!$B$5:$B$2004,B149))</f>
        <v/>
      </c>
      <c r="E149" s="35">
        <f>IF(B149="","",COUNTIFS('سجل التحفيز'!$AB$5:$AB$2004,"&gt;0",'سجل التحفيز'!$B$5:$B$2004,B149,'سجل التحفيز'!$D$5:$D$2004,"ذهبي"))</f>
        <v/>
      </c>
      <c r="F149" s="35">
        <f>IF(B149="","",SUMIFS('سجل التحفيز'!$G$5:$G$2004,'سجل التحفيز'!$AB$5:$AB$2004,"&gt;0",'سجل التحفيز'!$B$5:$B$2004,B149))</f>
        <v/>
      </c>
      <c r="G149" s="35">
        <f>IF(B149="","",COUNTIF($D$38:$D$187,"&gt;"&amp;D149)+1)</f>
        <v/>
      </c>
      <c r="H149" s="35">
        <f>IF(B149="","",INDEX(الموظفات!$L$5:$L$304,MATCH(B149,الموظفات!$B$5:$B$304,0)))</f>
        <v/>
      </c>
      <c r="K149" s="36">
        <f>IF(112&gt;$B$10,"",112)</f>
        <v/>
      </c>
      <c r="L149" s="37">
        <f>IF($K149="","",INDEX('سجل التحفيز'!$A$5:$A$2004,MATCH($K149,'سجل التحفيز'!$AB$5:$AB$2004,0)))</f>
        <v/>
      </c>
      <c r="M149" s="9">
        <f>IF($K149="","",INDEX('سجل التحفيز'!$B$5:$B$2004,MATCH($K149,'سجل التحفيز'!$AB$5:$AB$2004,0)))</f>
        <v/>
      </c>
      <c r="N149" s="9">
        <f>IF($K149="","",INDEX('سجل التحفيز'!$M$5:$M$2004,MATCH($K149,'سجل التحفيز'!$AB$5:$AB$2004,0)))</f>
        <v/>
      </c>
      <c r="O149" s="9">
        <f>IF($K149="","",INDEX('سجل التحفيز'!$C$5:$C$2004,MATCH($K149,'سجل التحفيز'!$AB$5:$AB$2004,0)))</f>
        <v/>
      </c>
      <c r="P149" s="36">
        <f>IF($K149="","",INDEX('سجل التحفيز'!$D$5:$D$2004,MATCH($K149,'سجل التحفيز'!$AB$5:$AB$2004,0)))</f>
        <v/>
      </c>
      <c r="Q149" s="9">
        <f>IF($K149="","",INDEX('سجل التحفيز'!$E$5:$E$2004,MATCH($K149,'سجل التحفيز'!$AB$5:$AB$2004,0)))</f>
        <v/>
      </c>
      <c r="R149" s="9">
        <f>IF($K149="","",INDEX('سجل التحفيز'!$F$5:$F$2004,MATCH($K149,'سجل التحفيز'!$AB$5:$AB$2004,0)))</f>
        <v/>
      </c>
      <c r="S149" s="35">
        <f>IF($K149="","",INDEX('سجل التحفيز'!$G$5:$G$2004,MATCH($K149,'سجل التحفيز'!$AB$5:$AB$2004,0)))</f>
        <v/>
      </c>
    </row>
    <row r="150">
      <c r="B150" s="34">
        <f>IFERROR(INDEX(الموظفات!$B$5:$B$304,MATCH(113,الموظفات!$V$5:$V$304,0)),"")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التحفيز'!$AB$5:$AB$2004,"&gt;0",'سجل التحفيز'!$B$5:$B$2004,B150))</f>
        <v/>
      </c>
      <c r="E150" s="35">
        <f>IF(B150="","",COUNTIFS('سجل التحفيز'!$AB$5:$AB$2004,"&gt;0",'سجل التحفيز'!$B$5:$B$2004,B150,'سجل التحفيز'!$D$5:$D$2004,"ذهبي"))</f>
        <v/>
      </c>
      <c r="F150" s="35">
        <f>IF(B150="","",SUMIFS('سجل التحفيز'!$G$5:$G$2004,'سجل التحفيز'!$AB$5:$AB$2004,"&gt;0",'سجل التحفيز'!$B$5:$B$2004,B150))</f>
        <v/>
      </c>
      <c r="G150" s="35">
        <f>IF(B150="","",COUNTIF($D$38:$D$187,"&gt;"&amp;D150)+1)</f>
        <v/>
      </c>
      <c r="H150" s="35">
        <f>IF(B150="","",INDEX(الموظفات!$L$5:$L$304,MATCH(B150,الموظفات!$B$5:$B$304,0)))</f>
        <v/>
      </c>
      <c r="K150" s="36">
        <f>IF(113&gt;$B$10,"",113)</f>
        <v/>
      </c>
      <c r="L150" s="37">
        <f>IF($K150="","",INDEX('سجل التحفيز'!$A$5:$A$2004,MATCH($K150,'سجل التحفيز'!$AB$5:$AB$2004,0)))</f>
        <v/>
      </c>
      <c r="M150" s="9">
        <f>IF($K150="","",INDEX('سجل التحفيز'!$B$5:$B$2004,MATCH($K150,'سجل التحفيز'!$AB$5:$AB$2004,0)))</f>
        <v/>
      </c>
      <c r="N150" s="9">
        <f>IF($K150="","",INDEX('سجل التحفيز'!$M$5:$M$2004,MATCH($K150,'سجل التحفيز'!$AB$5:$AB$2004,0)))</f>
        <v/>
      </c>
      <c r="O150" s="9">
        <f>IF($K150="","",INDEX('سجل التحفيز'!$C$5:$C$2004,MATCH($K150,'سجل التحفيز'!$AB$5:$AB$2004,0)))</f>
        <v/>
      </c>
      <c r="P150" s="36">
        <f>IF($K150="","",INDEX('سجل التحفيز'!$D$5:$D$2004,MATCH($K150,'سجل التحفيز'!$AB$5:$AB$2004,0)))</f>
        <v/>
      </c>
      <c r="Q150" s="9">
        <f>IF($K150="","",INDEX('سجل التحفيز'!$E$5:$E$2004,MATCH($K150,'سجل التحفيز'!$AB$5:$AB$2004,0)))</f>
        <v/>
      </c>
      <c r="R150" s="9">
        <f>IF($K150="","",INDEX('سجل التحفيز'!$F$5:$F$2004,MATCH($K150,'سجل التحفيز'!$AB$5:$AB$2004,0)))</f>
        <v/>
      </c>
      <c r="S150" s="35">
        <f>IF($K150="","",INDEX('سجل التحفيز'!$G$5:$G$2004,MATCH($K150,'سجل التحفيز'!$AB$5:$AB$2004,0)))</f>
        <v/>
      </c>
    </row>
    <row r="151">
      <c r="B151" s="34">
        <f>IFERROR(INDEX(الموظفات!$B$5:$B$304,MATCH(114,الموظفات!$V$5:$V$304,0)),"")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التحفيز'!$AB$5:$AB$2004,"&gt;0",'سجل التحفيز'!$B$5:$B$2004,B151))</f>
        <v/>
      </c>
      <c r="E151" s="35">
        <f>IF(B151="","",COUNTIFS('سجل التحفيز'!$AB$5:$AB$2004,"&gt;0",'سجل التحفيز'!$B$5:$B$2004,B151,'سجل التحفيز'!$D$5:$D$2004,"ذهبي"))</f>
        <v/>
      </c>
      <c r="F151" s="35">
        <f>IF(B151="","",SUMIFS('سجل التحفيز'!$G$5:$G$2004,'سجل التحفيز'!$AB$5:$AB$2004,"&gt;0",'سجل التحفيز'!$B$5:$B$2004,B151))</f>
        <v/>
      </c>
      <c r="G151" s="35">
        <f>IF(B151="","",COUNTIF($D$38:$D$187,"&gt;"&amp;D151)+1)</f>
        <v/>
      </c>
      <c r="H151" s="35">
        <f>IF(B151="","",INDEX(الموظفات!$L$5:$L$304,MATCH(B151,الموظفات!$B$5:$B$304,0)))</f>
        <v/>
      </c>
      <c r="K151" s="36">
        <f>IF(114&gt;$B$10,"",114)</f>
        <v/>
      </c>
      <c r="L151" s="37">
        <f>IF($K151="","",INDEX('سجل التحفيز'!$A$5:$A$2004,MATCH($K151,'سجل التحفيز'!$AB$5:$AB$2004,0)))</f>
        <v/>
      </c>
      <c r="M151" s="9">
        <f>IF($K151="","",INDEX('سجل التحفيز'!$B$5:$B$2004,MATCH($K151,'سجل التحفيز'!$AB$5:$AB$2004,0)))</f>
        <v/>
      </c>
      <c r="N151" s="9">
        <f>IF($K151="","",INDEX('سجل التحفيز'!$M$5:$M$2004,MATCH($K151,'سجل التحفيز'!$AB$5:$AB$2004,0)))</f>
        <v/>
      </c>
      <c r="O151" s="9">
        <f>IF($K151="","",INDEX('سجل التحفيز'!$C$5:$C$2004,MATCH($K151,'سجل التحفيز'!$AB$5:$AB$2004,0)))</f>
        <v/>
      </c>
      <c r="P151" s="36">
        <f>IF($K151="","",INDEX('سجل التحفيز'!$D$5:$D$2004,MATCH($K151,'سجل التحفيز'!$AB$5:$AB$2004,0)))</f>
        <v/>
      </c>
      <c r="Q151" s="9">
        <f>IF($K151="","",INDEX('سجل التحفيز'!$E$5:$E$2004,MATCH($K151,'سجل التحفيز'!$AB$5:$AB$2004,0)))</f>
        <v/>
      </c>
      <c r="R151" s="9">
        <f>IF($K151="","",INDEX('سجل التحفيز'!$F$5:$F$2004,MATCH($K151,'سجل التحفيز'!$AB$5:$AB$2004,0)))</f>
        <v/>
      </c>
      <c r="S151" s="35">
        <f>IF($K151="","",INDEX('سجل التحفيز'!$G$5:$G$2004,MATCH($K151,'سجل التحفيز'!$AB$5:$AB$2004,0)))</f>
        <v/>
      </c>
    </row>
    <row r="152">
      <c r="B152" s="34">
        <f>IFERROR(INDEX(الموظفات!$B$5:$B$304,MATCH(115,الموظفات!$V$5:$V$304,0)),"")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التحفيز'!$AB$5:$AB$2004,"&gt;0",'سجل التحفيز'!$B$5:$B$2004,B152))</f>
        <v/>
      </c>
      <c r="E152" s="35">
        <f>IF(B152="","",COUNTIFS('سجل التحفيز'!$AB$5:$AB$2004,"&gt;0",'سجل التحفيز'!$B$5:$B$2004,B152,'سجل التحفيز'!$D$5:$D$2004,"ذهبي"))</f>
        <v/>
      </c>
      <c r="F152" s="35">
        <f>IF(B152="","",SUMIFS('سجل التحفيز'!$G$5:$G$2004,'سجل التحفيز'!$AB$5:$AB$2004,"&gt;0",'سجل التحفيز'!$B$5:$B$2004,B152))</f>
        <v/>
      </c>
      <c r="G152" s="35">
        <f>IF(B152="","",COUNTIF($D$38:$D$187,"&gt;"&amp;D152)+1)</f>
        <v/>
      </c>
      <c r="H152" s="35">
        <f>IF(B152="","",INDEX(الموظفات!$L$5:$L$304,MATCH(B152,الموظفات!$B$5:$B$304,0)))</f>
        <v/>
      </c>
      <c r="K152" s="36">
        <f>IF(115&gt;$B$10,"",115)</f>
        <v/>
      </c>
      <c r="L152" s="37">
        <f>IF($K152="","",INDEX('سجل التحفيز'!$A$5:$A$2004,MATCH($K152,'سجل التحفيز'!$AB$5:$AB$2004,0)))</f>
        <v/>
      </c>
      <c r="M152" s="9">
        <f>IF($K152="","",INDEX('سجل التحفيز'!$B$5:$B$2004,MATCH($K152,'سجل التحفيز'!$AB$5:$AB$2004,0)))</f>
        <v/>
      </c>
      <c r="N152" s="9">
        <f>IF($K152="","",INDEX('سجل التحفيز'!$M$5:$M$2004,MATCH($K152,'سجل التحفيز'!$AB$5:$AB$2004,0)))</f>
        <v/>
      </c>
      <c r="O152" s="9">
        <f>IF($K152="","",INDEX('سجل التحفيز'!$C$5:$C$2004,MATCH($K152,'سجل التحفيز'!$AB$5:$AB$2004,0)))</f>
        <v/>
      </c>
      <c r="P152" s="36">
        <f>IF($K152="","",INDEX('سجل التحفيز'!$D$5:$D$2004,MATCH($K152,'سجل التحفيز'!$AB$5:$AB$2004,0)))</f>
        <v/>
      </c>
      <c r="Q152" s="9">
        <f>IF($K152="","",INDEX('سجل التحفيز'!$E$5:$E$2004,MATCH($K152,'سجل التحفيز'!$AB$5:$AB$2004,0)))</f>
        <v/>
      </c>
      <c r="R152" s="9">
        <f>IF($K152="","",INDEX('سجل التحفيز'!$F$5:$F$2004,MATCH($K152,'سجل التحفيز'!$AB$5:$AB$2004,0)))</f>
        <v/>
      </c>
      <c r="S152" s="35">
        <f>IF($K152="","",INDEX('سجل التحفيز'!$G$5:$G$2004,MATCH($K152,'سجل التحفيز'!$AB$5:$AB$2004,0)))</f>
        <v/>
      </c>
    </row>
    <row r="153">
      <c r="B153" s="34">
        <f>IFERROR(INDEX(الموظفات!$B$5:$B$304,MATCH(116,الموظفات!$V$5:$V$304,0)),"")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التحفيز'!$AB$5:$AB$2004,"&gt;0",'سجل التحفيز'!$B$5:$B$2004,B153))</f>
        <v/>
      </c>
      <c r="E153" s="35">
        <f>IF(B153="","",COUNTIFS('سجل التحفيز'!$AB$5:$AB$2004,"&gt;0",'سجل التحفيز'!$B$5:$B$2004,B153,'سجل التحفيز'!$D$5:$D$2004,"ذهبي"))</f>
        <v/>
      </c>
      <c r="F153" s="35">
        <f>IF(B153="","",SUMIFS('سجل التحفيز'!$G$5:$G$2004,'سجل التحفيز'!$AB$5:$AB$2004,"&gt;0",'سجل التحفيز'!$B$5:$B$2004,B153))</f>
        <v/>
      </c>
      <c r="G153" s="35">
        <f>IF(B153="","",COUNTIF($D$38:$D$187,"&gt;"&amp;D153)+1)</f>
        <v/>
      </c>
      <c r="H153" s="35">
        <f>IF(B153="","",INDEX(الموظفات!$L$5:$L$304,MATCH(B153,الموظفات!$B$5:$B$304,0)))</f>
        <v/>
      </c>
      <c r="K153" s="36">
        <f>IF(116&gt;$B$10,"",116)</f>
        <v/>
      </c>
      <c r="L153" s="37">
        <f>IF($K153="","",INDEX('سجل التحفيز'!$A$5:$A$2004,MATCH($K153,'سجل التحفيز'!$AB$5:$AB$2004,0)))</f>
        <v/>
      </c>
      <c r="M153" s="9">
        <f>IF($K153="","",INDEX('سجل التحفيز'!$B$5:$B$2004,MATCH($K153,'سجل التحفيز'!$AB$5:$AB$2004,0)))</f>
        <v/>
      </c>
      <c r="N153" s="9">
        <f>IF($K153="","",INDEX('سجل التحفيز'!$M$5:$M$2004,MATCH($K153,'سجل التحفيز'!$AB$5:$AB$2004,0)))</f>
        <v/>
      </c>
      <c r="O153" s="9">
        <f>IF($K153="","",INDEX('سجل التحفيز'!$C$5:$C$2004,MATCH($K153,'سجل التحفيز'!$AB$5:$AB$2004,0)))</f>
        <v/>
      </c>
      <c r="P153" s="36">
        <f>IF($K153="","",INDEX('سجل التحفيز'!$D$5:$D$2004,MATCH($K153,'سجل التحفيز'!$AB$5:$AB$2004,0)))</f>
        <v/>
      </c>
      <c r="Q153" s="9">
        <f>IF($K153="","",INDEX('سجل التحفيز'!$E$5:$E$2004,MATCH($K153,'سجل التحفيز'!$AB$5:$AB$2004,0)))</f>
        <v/>
      </c>
      <c r="R153" s="9">
        <f>IF($K153="","",INDEX('سجل التحفيز'!$F$5:$F$2004,MATCH($K153,'سجل التحفيز'!$AB$5:$AB$2004,0)))</f>
        <v/>
      </c>
      <c r="S153" s="35">
        <f>IF($K153="","",INDEX('سجل التحفيز'!$G$5:$G$2004,MATCH($K153,'سجل التحفيز'!$AB$5:$AB$2004,0)))</f>
        <v/>
      </c>
    </row>
    <row r="154">
      <c r="B154" s="34">
        <f>IFERROR(INDEX(الموظفات!$B$5:$B$304,MATCH(117,الموظفات!$V$5:$V$304,0)),"")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التحفيز'!$AB$5:$AB$2004,"&gt;0",'سجل التحفيز'!$B$5:$B$2004,B154))</f>
        <v/>
      </c>
      <c r="E154" s="35">
        <f>IF(B154="","",COUNTIFS('سجل التحفيز'!$AB$5:$AB$2004,"&gt;0",'سجل التحفيز'!$B$5:$B$2004,B154,'سجل التحفيز'!$D$5:$D$2004,"ذهبي"))</f>
        <v/>
      </c>
      <c r="F154" s="35">
        <f>IF(B154="","",SUMIFS('سجل التحفيز'!$G$5:$G$2004,'سجل التحفيز'!$AB$5:$AB$2004,"&gt;0",'سجل التحفيز'!$B$5:$B$2004,B154))</f>
        <v/>
      </c>
      <c r="G154" s="35">
        <f>IF(B154="","",COUNTIF($D$38:$D$187,"&gt;"&amp;D154)+1)</f>
        <v/>
      </c>
      <c r="H154" s="35">
        <f>IF(B154="","",INDEX(الموظفات!$L$5:$L$304,MATCH(B154,الموظفات!$B$5:$B$304,0)))</f>
        <v/>
      </c>
      <c r="K154" s="36">
        <f>IF(117&gt;$B$10,"",117)</f>
        <v/>
      </c>
      <c r="L154" s="37">
        <f>IF($K154="","",INDEX('سجل التحفيز'!$A$5:$A$2004,MATCH($K154,'سجل التحفيز'!$AB$5:$AB$2004,0)))</f>
        <v/>
      </c>
      <c r="M154" s="9">
        <f>IF($K154="","",INDEX('سجل التحفيز'!$B$5:$B$2004,MATCH($K154,'سجل التحفيز'!$AB$5:$AB$2004,0)))</f>
        <v/>
      </c>
      <c r="N154" s="9">
        <f>IF($K154="","",INDEX('سجل التحفيز'!$M$5:$M$2004,MATCH($K154,'سجل التحفيز'!$AB$5:$AB$2004,0)))</f>
        <v/>
      </c>
      <c r="O154" s="9">
        <f>IF($K154="","",INDEX('سجل التحفيز'!$C$5:$C$2004,MATCH($K154,'سجل التحفيز'!$AB$5:$AB$2004,0)))</f>
        <v/>
      </c>
      <c r="P154" s="36">
        <f>IF($K154="","",INDEX('سجل التحفيز'!$D$5:$D$2004,MATCH($K154,'سجل التحفيز'!$AB$5:$AB$2004,0)))</f>
        <v/>
      </c>
      <c r="Q154" s="9">
        <f>IF($K154="","",INDEX('سجل التحفيز'!$E$5:$E$2004,MATCH($K154,'سجل التحفيز'!$AB$5:$AB$2004,0)))</f>
        <v/>
      </c>
      <c r="R154" s="9">
        <f>IF($K154="","",INDEX('سجل التحفيز'!$F$5:$F$2004,MATCH($K154,'سجل التحفيز'!$AB$5:$AB$2004,0)))</f>
        <v/>
      </c>
      <c r="S154" s="35">
        <f>IF($K154="","",INDEX('سجل التحفيز'!$G$5:$G$2004,MATCH($K154,'سجل التحفيز'!$AB$5:$AB$2004,0)))</f>
        <v/>
      </c>
    </row>
    <row r="155">
      <c r="B155" s="34">
        <f>IFERROR(INDEX(الموظفات!$B$5:$B$304,MATCH(118,الموظفات!$V$5:$V$304,0)),"")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التحفيز'!$AB$5:$AB$2004,"&gt;0",'سجل التحفيز'!$B$5:$B$2004,B155))</f>
        <v/>
      </c>
      <c r="E155" s="35">
        <f>IF(B155="","",COUNTIFS('سجل التحفيز'!$AB$5:$AB$2004,"&gt;0",'سجل التحفيز'!$B$5:$B$2004,B155,'سجل التحفيز'!$D$5:$D$2004,"ذهبي"))</f>
        <v/>
      </c>
      <c r="F155" s="35">
        <f>IF(B155="","",SUMIFS('سجل التحفيز'!$G$5:$G$2004,'سجل التحفيز'!$AB$5:$AB$2004,"&gt;0",'سجل التحفيز'!$B$5:$B$2004,B155))</f>
        <v/>
      </c>
      <c r="G155" s="35">
        <f>IF(B155="","",COUNTIF($D$38:$D$187,"&gt;"&amp;D155)+1)</f>
        <v/>
      </c>
      <c r="H155" s="35">
        <f>IF(B155="","",INDEX(الموظفات!$L$5:$L$304,MATCH(B155,الموظفات!$B$5:$B$304,0)))</f>
        <v/>
      </c>
      <c r="K155" s="36">
        <f>IF(118&gt;$B$10,"",118)</f>
        <v/>
      </c>
      <c r="L155" s="37">
        <f>IF($K155="","",INDEX('سجل التحفيز'!$A$5:$A$2004,MATCH($K155,'سجل التحفيز'!$AB$5:$AB$2004,0)))</f>
        <v/>
      </c>
      <c r="M155" s="9">
        <f>IF($K155="","",INDEX('سجل التحفيز'!$B$5:$B$2004,MATCH($K155,'سجل التحفيز'!$AB$5:$AB$2004,0)))</f>
        <v/>
      </c>
      <c r="N155" s="9">
        <f>IF($K155="","",INDEX('سجل التحفيز'!$M$5:$M$2004,MATCH($K155,'سجل التحفيز'!$AB$5:$AB$2004,0)))</f>
        <v/>
      </c>
      <c r="O155" s="9">
        <f>IF($K155="","",INDEX('سجل التحفيز'!$C$5:$C$2004,MATCH($K155,'سجل التحفيز'!$AB$5:$AB$2004,0)))</f>
        <v/>
      </c>
      <c r="P155" s="36">
        <f>IF($K155="","",INDEX('سجل التحفيز'!$D$5:$D$2004,MATCH($K155,'سجل التحفيز'!$AB$5:$AB$2004,0)))</f>
        <v/>
      </c>
      <c r="Q155" s="9">
        <f>IF($K155="","",INDEX('سجل التحفيز'!$E$5:$E$2004,MATCH($K155,'سجل التحفيز'!$AB$5:$AB$2004,0)))</f>
        <v/>
      </c>
      <c r="R155" s="9">
        <f>IF($K155="","",INDEX('سجل التحفيز'!$F$5:$F$2004,MATCH($K155,'سجل التحفيز'!$AB$5:$AB$2004,0)))</f>
        <v/>
      </c>
      <c r="S155" s="35">
        <f>IF($K155="","",INDEX('سجل التحفيز'!$G$5:$G$2004,MATCH($K155,'سجل التحفيز'!$AB$5:$AB$2004,0)))</f>
        <v/>
      </c>
    </row>
    <row r="156">
      <c r="B156" s="34">
        <f>IFERROR(INDEX(الموظفات!$B$5:$B$304,MATCH(119,الموظفات!$V$5:$V$304,0)),"")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التحفيز'!$AB$5:$AB$2004,"&gt;0",'سجل التحفيز'!$B$5:$B$2004,B156))</f>
        <v/>
      </c>
      <c r="E156" s="35">
        <f>IF(B156="","",COUNTIFS('سجل التحفيز'!$AB$5:$AB$2004,"&gt;0",'سجل التحفيز'!$B$5:$B$2004,B156,'سجل التحفيز'!$D$5:$D$2004,"ذهبي"))</f>
        <v/>
      </c>
      <c r="F156" s="35">
        <f>IF(B156="","",SUMIFS('سجل التحفيز'!$G$5:$G$2004,'سجل التحفيز'!$AB$5:$AB$2004,"&gt;0",'سجل التحفيز'!$B$5:$B$2004,B156))</f>
        <v/>
      </c>
      <c r="G156" s="35">
        <f>IF(B156="","",COUNTIF($D$38:$D$187,"&gt;"&amp;D156)+1)</f>
        <v/>
      </c>
      <c r="H156" s="35">
        <f>IF(B156="","",INDEX(الموظفات!$L$5:$L$304,MATCH(B156,الموظفات!$B$5:$B$304,0)))</f>
        <v/>
      </c>
      <c r="K156" s="36">
        <f>IF(119&gt;$B$10,"",119)</f>
        <v/>
      </c>
      <c r="L156" s="37">
        <f>IF($K156="","",INDEX('سجل التحفيز'!$A$5:$A$2004,MATCH($K156,'سجل التحفيز'!$AB$5:$AB$2004,0)))</f>
        <v/>
      </c>
      <c r="M156" s="9">
        <f>IF($K156="","",INDEX('سجل التحفيز'!$B$5:$B$2004,MATCH($K156,'سجل التحفيز'!$AB$5:$AB$2004,0)))</f>
        <v/>
      </c>
      <c r="N156" s="9">
        <f>IF($K156="","",INDEX('سجل التحفيز'!$M$5:$M$2004,MATCH($K156,'سجل التحفيز'!$AB$5:$AB$2004,0)))</f>
        <v/>
      </c>
      <c r="O156" s="9">
        <f>IF($K156="","",INDEX('سجل التحفيز'!$C$5:$C$2004,MATCH($K156,'سجل التحفيز'!$AB$5:$AB$2004,0)))</f>
        <v/>
      </c>
      <c r="P156" s="36">
        <f>IF($K156="","",INDEX('سجل التحفيز'!$D$5:$D$2004,MATCH($K156,'سجل التحفيز'!$AB$5:$AB$2004,0)))</f>
        <v/>
      </c>
      <c r="Q156" s="9">
        <f>IF($K156="","",INDEX('سجل التحفيز'!$E$5:$E$2004,MATCH($K156,'سجل التحفيز'!$AB$5:$AB$2004,0)))</f>
        <v/>
      </c>
      <c r="R156" s="9">
        <f>IF($K156="","",INDEX('سجل التحفيز'!$F$5:$F$2004,MATCH($K156,'سجل التحفيز'!$AB$5:$AB$2004,0)))</f>
        <v/>
      </c>
      <c r="S156" s="35">
        <f>IF($K156="","",INDEX('سجل التحفيز'!$G$5:$G$2004,MATCH($K156,'سجل التحفيز'!$AB$5:$AB$2004,0)))</f>
        <v/>
      </c>
    </row>
    <row r="157">
      <c r="B157" s="34">
        <f>IFERROR(INDEX(الموظفات!$B$5:$B$304,MATCH(120,الموظفات!$V$5:$V$304,0)),"")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التحفيز'!$AB$5:$AB$2004,"&gt;0",'سجل التحفيز'!$B$5:$B$2004,B157))</f>
        <v/>
      </c>
      <c r="E157" s="35">
        <f>IF(B157="","",COUNTIFS('سجل التحفيز'!$AB$5:$AB$2004,"&gt;0",'سجل التحفيز'!$B$5:$B$2004,B157,'سجل التحفيز'!$D$5:$D$2004,"ذهبي"))</f>
        <v/>
      </c>
      <c r="F157" s="35">
        <f>IF(B157="","",SUMIFS('سجل التحفيز'!$G$5:$G$2004,'سجل التحفيز'!$AB$5:$AB$2004,"&gt;0",'سجل التحفيز'!$B$5:$B$2004,B157))</f>
        <v/>
      </c>
      <c r="G157" s="35">
        <f>IF(B157="","",COUNTIF($D$38:$D$187,"&gt;"&amp;D157)+1)</f>
        <v/>
      </c>
      <c r="H157" s="35">
        <f>IF(B157="","",INDEX(الموظفات!$L$5:$L$304,MATCH(B157,الموظفات!$B$5:$B$304,0)))</f>
        <v/>
      </c>
      <c r="K157" s="36">
        <f>IF(120&gt;$B$10,"",120)</f>
        <v/>
      </c>
      <c r="L157" s="37">
        <f>IF($K157="","",INDEX('سجل التحفيز'!$A$5:$A$2004,MATCH($K157,'سجل التحفيز'!$AB$5:$AB$2004,0)))</f>
        <v/>
      </c>
      <c r="M157" s="9">
        <f>IF($K157="","",INDEX('سجل التحفيز'!$B$5:$B$2004,MATCH($K157,'سجل التحفيز'!$AB$5:$AB$2004,0)))</f>
        <v/>
      </c>
      <c r="N157" s="9">
        <f>IF($K157="","",INDEX('سجل التحفيز'!$M$5:$M$2004,MATCH($K157,'سجل التحفيز'!$AB$5:$AB$2004,0)))</f>
        <v/>
      </c>
      <c r="O157" s="9">
        <f>IF($K157="","",INDEX('سجل التحفيز'!$C$5:$C$2004,MATCH($K157,'سجل التحفيز'!$AB$5:$AB$2004,0)))</f>
        <v/>
      </c>
      <c r="P157" s="36">
        <f>IF($K157="","",INDEX('سجل التحفيز'!$D$5:$D$2004,MATCH($K157,'سجل التحفيز'!$AB$5:$AB$2004,0)))</f>
        <v/>
      </c>
      <c r="Q157" s="9">
        <f>IF($K157="","",INDEX('سجل التحفيز'!$E$5:$E$2004,MATCH($K157,'سجل التحفيز'!$AB$5:$AB$2004,0)))</f>
        <v/>
      </c>
      <c r="R157" s="9">
        <f>IF($K157="","",INDEX('سجل التحفيز'!$F$5:$F$2004,MATCH($K157,'سجل التحفيز'!$AB$5:$AB$2004,0)))</f>
        <v/>
      </c>
      <c r="S157" s="35">
        <f>IF($K157="","",INDEX('سجل التحفيز'!$G$5:$G$2004,MATCH($K157,'سجل التحفيز'!$AB$5:$AB$2004,0)))</f>
        <v/>
      </c>
    </row>
    <row r="158">
      <c r="B158" s="34">
        <f>IFERROR(INDEX(الموظفات!$B$5:$B$304,MATCH(121,الموظفات!$V$5:$V$304,0)),"")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التحفيز'!$AB$5:$AB$2004,"&gt;0",'سجل التحفيز'!$B$5:$B$2004,B158))</f>
        <v/>
      </c>
      <c r="E158" s="35">
        <f>IF(B158="","",COUNTIFS('سجل التحفيز'!$AB$5:$AB$2004,"&gt;0",'سجل التحفيز'!$B$5:$B$2004,B158,'سجل التحفيز'!$D$5:$D$2004,"ذهبي"))</f>
        <v/>
      </c>
      <c r="F158" s="35">
        <f>IF(B158="","",SUMIFS('سجل التحفيز'!$G$5:$G$2004,'سجل التحفيز'!$AB$5:$AB$2004,"&gt;0",'سجل التحفيز'!$B$5:$B$2004,B158))</f>
        <v/>
      </c>
      <c r="G158" s="35">
        <f>IF(B158="","",COUNTIF($D$38:$D$187,"&gt;"&amp;D158)+1)</f>
        <v/>
      </c>
      <c r="H158" s="35">
        <f>IF(B158="","",INDEX(الموظفات!$L$5:$L$304,MATCH(B158,الموظفات!$B$5:$B$304,0)))</f>
        <v/>
      </c>
      <c r="K158" s="36">
        <f>IF(121&gt;$B$10,"",121)</f>
        <v/>
      </c>
      <c r="L158" s="37">
        <f>IF($K158="","",INDEX('سجل التحفيز'!$A$5:$A$2004,MATCH($K158,'سجل التحفيز'!$AB$5:$AB$2004,0)))</f>
        <v/>
      </c>
      <c r="M158" s="9">
        <f>IF($K158="","",INDEX('سجل التحفيز'!$B$5:$B$2004,MATCH($K158,'سجل التحفيز'!$AB$5:$AB$2004,0)))</f>
        <v/>
      </c>
      <c r="N158" s="9">
        <f>IF($K158="","",INDEX('سجل التحفيز'!$M$5:$M$2004,MATCH($K158,'سجل التحفيز'!$AB$5:$AB$2004,0)))</f>
        <v/>
      </c>
      <c r="O158" s="9">
        <f>IF($K158="","",INDEX('سجل التحفيز'!$C$5:$C$2004,MATCH($K158,'سجل التحفيز'!$AB$5:$AB$2004,0)))</f>
        <v/>
      </c>
      <c r="P158" s="36">
        <f>IF($K158="","",INDEX('سجل التحفيز'!$D$5:$D$2004,MATCH($K158,'سجل التحفيز'!$AB$5:$AB$2004,0)))</f>
        <v/>
      </c>
      <c r="Q158" s="9">
        <f>IF($K158="","",INDEX('سجل التحفيز'!$E$5:$E$2004,MATCH($K158,'سجل التحفيز'!$AB$5:$AB$2004,0)))</f>
        <v/>
      </c>
      <c r="R158" s="9">
        <f>IF($K158="","",INDEX('سجل التحفيز'!$F$5:$F$2004,MATCH($K158,'سجل التحفيز'!$AB$5:$AB$2004,0)))</f>
        <v/>
      </c>
      <c r="S158" s="35">
        <f>IF($K158="","",INDEX('سجل التحفيز'!$G$5:$G$2004,MATCH($K158,'سجل التحفيز'!$AB$5:$AB$2004,0)))</f>
        <v/>
      </c>
    </row>
    <row r="159">
      <c r="B159" s="34">
        <f>IFERROR(INDEX(الموظفات!$B$5:$B$304,MATCH(122,الموظفات!$V$5:$V$304,0)),"")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التحفيز'!$AB$5:$AB$2004,"&gt;0",'سجل التحفيز'!$B$5:$B$2004,B159))</f>
        <v/>
      </c>
      <c r="E159" s="35">
        <f>IF(B159="","",COUNTIFS('سجل التحفيز'!$AB$5:$AB$2004,"&gt;0",'سجل التحفيز'!$B$5:$B$2004,B159,'سجل التحفيز'!$D$5:$D$2004,"ذهبي"))</f>
        <v/>
      </c>
      <c r="F159" s="35">
        <f>IF(B159="","",SUMIFS('سجل التحفيز'!$G$5:$G$2004,'سجل التحفيز'!$AB$5:$AB$2004,"&gt;0",'سجل التحفيز'!$B$5:$B$2004,B159))</f>
        <v/>
      </c>
      <c r="G159" s="35">
        <f>IF(B159="","",COUNTIF($D$38:$D$187,"&gt;"&amp;D159)+1)</f>
        <v/>
      </c>
      <c r="H159" s="35">
        <f>IF(B159="","",INDEX(الموظفات!$L$5:$L$304,MATCH(B159,الموظفات!$B$5:$B$304,0)))</f>
        <v/>
      </c>
      <c r="K159" s="36">
        <f>IF(122&gt;$B$10,"",122)</f>
        <v/>
      </c>
      <c r="L159" s="37">
        <f>IF($K159="","",INDEX('سجل التحفيز'!$A$5:$A$2004,MATCH($K159,'سجل التحفيز'!$AB$5:$AB$2004,0)))</f>
        <v/>
      </c>
      <c r="M159" s="9">
        <f>IF($K159="","",INDEX('سجل التحفيز'!$B$5:$B$2004,MATCH($K159,'سجل التحفيز'!$AB$5:$AB$2004,0)))</f>
        <v/>
      </c>
      <c r="N159" s="9">
        <f>IF($K159="","",INDEX('سجل التحفيز'!$M$5:$M$2004,MATCH($K159,'سجل التحفيز'!$AB$5:$AB$2004,0)))</f>
        <v/>
      </c>
      <c r="O159" s="9">
        <f>IF($K159="","",INDEX('سجل التحفيز'!$C$5:$C$2004,MATCH($K159,'سجل التحفيز'!$AB$5:$AB$2004,0)))</f>
        <v/>
      </c>
      <c r="P159" s="36">
        <f>IF($K159="","",INDEX('سجل التحفيز'!$D$5:$D$2004,MATCH($K159,'سجل التحفيز'!$AB$5:$AB$2004,0)))</f>
        <v/>
      </c>
      <c r="Q159" s="9">
        <f>IF($K159="","",INDEX('سجل التحفيز'!$E$5:$E$2004,MATCH($K159,'سجل التحفيز'!$AB$5:$AB$2004,0)))</f>
        <v/>
      </c>
      <c r="R159" s="9">
        <f>IF($K159="","",INDEX('سجل التحفيز'!$F$5:$F$2004,MATCH($K159,'سجل التحفيز'!$AB$5:$AB$2004,0)))</f>
        <v/>
      </c>
      <c r="S159" s="35">
        <f>IF($K159="","",INDEX('سجل التحفيز'!$G$5:$G$2004,MATCH($K159,'سجل التحفيز'!$AB$5:$AB$2004,0)))</f>
        <v/>
      </c>
    </row>
    <row r="160">
      <c r="B160" s="34">
        <f>IFERROR(INDEX(الموظفات!$B$5:$B$304,MATCH(123,الموظفات!$V$5:$V$304,0)),"")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التحفيز'!$AB$5:$AB$2004,"&gt;0",'سجل التحفيز'!$B$5:$B$2004,B160))</f>
        <v/>
      </c>
      <c r="E160" s="35">
        <f>IF(B160="","",COUNTIFS('سجل التحفيز'!$AB$5:$AB$2004,"&gt;0",'سجل التحفيز'!$B$5:$B$2004,B160,'سجل التحفيز'!$D$5:$D$2004,"ذهبي"))</f>
        <v/>
      </c>
      <c r="F160" s="35">
        <f>IF(B160="","",SUMIFS('سجل التحفيز'!$G$5:$G$2004,'سجل التحفيز'!$AB$5:$AB$2004,"&gt;0",'سجل التحفيز'!$B$5:$B$2004,B160))</f>
        <v/>
      </c>
      <c r="G160" s="35">
        <f>IF(B160="","",COUNTIF($D$38:$D$187,"&gt;"&amp;D160)+1)</f>
        <v/>
      </c>
      <c r="H160" s="35">
        <f>IF(B160="","",INDEX(الموظفات!$L$5:$L$304,MATCH(B160,الموظفات!$B$5:$B$304,0)))</f>
        <v/>
      </c>
      <c r="K160" s="36">
        <f>IF(123&gt;$B$10,"",123)</f>
        <v/>
      </c>
      <c r="L160" s="37">
        <f>IF($K160="","",INDEX('سجل التحفيز'!$A$5:$A$2004,MATCH($K160,'سجل التحفيز'!$AB$5:$AB$2004,0)))</f>
        <v/>
      </c>
      <c r="M160" s="9">
        <f>IF($K160="","",INDEX('سجل التحفيز'!$B$5:$B$2004,MATCH($K160,'سجل التحفيز'!$AB$5:$AB$2004,0)))</f>
        <v/>
      </c>
      <c r="N160" s="9">
        <f>IF($K160="","",INDEX('سجل التحفيز'!$M$5:$M$2004,MATCH($K160,'سجل التحفيز'!$AB$5:$AB$2004,0)))</f>
        <v/>
      </c>
      <c r="O160" s="9">
        <f>IF($K160="","",INDEX('سجل التحفيز'!$C$5:$C$2004,MATCH($K160,'سجل التحفيز'!$AB$5:$AB$2004,0)))</f>
        <v/>
      </c>
      <c r="P160" s="36">
        <f>IF($K160="","",INDEX('سجل التحفيز'!$D$5:$D$2004,MATCH($K160,'سجل التحفيز'!$AB$5:$AB$2004,0)))</f>
        <v/>
      </c>
      <c r="Q160" s="9">
        <f>IF($K160="","",INDEX('سجل التحفيز'!$E$5:$E$2004,MATCH($K160,'سجل التحفيز'!$AB$5:$AB$2004,0)))</f>
        <v/>
      </c>
      <c r="R160" s="9">
        <f>IF($K160="","",INDEX('سجل التحفيز'!$F$5:$F$2004,MATCH($K160,'سجل التحفيز'!$AB$5:$AB$2004,0)))</f>
        <v/>
      </c>
      <c r="S160" s="35">
        <f>IF($K160="","",INDEX('سجل التحفيز'!$G$5:$G$2004,MATCH($K160,'سجل التحفيز'!$AB$5:$AB$2004,0)))</f>
        <v/>
      </c>
    </row>
    <row r="161">
      <c r="B161" s="34">
        <f>IFERROR(INDEX(الموظفات!$B$5:$B$304,MATCH(124,الموظفات!$V$5:$V$304,0)),"")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التحفيز'!$AB$5:$AB$2004,"&gt;0",'سجل التحفيز'!$B$5:$B$2004,B161))</f>
        <v/>
      </c>
      <c r="E161" s="35">
        <f>IF(B161="","",COUNTIFS('سجل التحفيز'!$AB$5:$AB$2004,"&gt;0",'سجل التحفيز'!$B$5:$B$2004,B161,'سجل التحفيز'!$D$5:$D$2004,"ذهبي"))</f>
        <v/>
      </c>
      <c r="F161" s="35">
        <f>IF(B161="","",SUMIFS('سجل التحفيز'!$G$5:$G$2004,'سجل التحفيز'!$AB$5:$AB$2004,"&gt;0",'سجل التحفيز'!$B$5:$B$2004,B161))</f>
        <v/>
      </c>
      <c r="G161" s="35">
        <f>IF(B161="","",COUNTIF($D$38:$D$187,"&gt;"&amp;D161)+1)</f>
        <v/>
      </c>
      <c r="H161" s="35">
        <f>IF(B161="","",INDEX(الموظفات!$L$5:$L$304,MATCH(B161,الموظفات!$B$5:$B$304,0)))</f>
        <v/>
      </c>
      <c r="K161" s="36">
        <f>IF(124&gt;$B$10,"",124)</f>
        <v/>
      </c>
      <c r="L161" s="37">
        <f>IF($K161="","",INDEX('سجل التحفيز'!$A$5:$A$2004,MATCH($K161,'سجل التحفيز'!$AB$5:$AB$2004,0)))</f>
        <v/>
      </c>
      <c r="M161" s="9">
        <f>IF($K161="","",INDEX('سجل التحفيز'!$B$5:$B$2004,MATCH($K161,'سجل التحفيز'!$AB$5:$AB$2004,0)))</f>
        <v/>
      </c>
      <c r="N161" s="9">
        <f>IF($K161="","",INDEX('سجل التحفيز'!$M$5:$M$2004,MATCH($K161,'سجل التحفيز'!$AB$5:$AB$2004,0)))</f>
        <v/>
      </c>
      <c r="O161" s="9">
        <f>IF($K161="","",INDEX('سجل التحفيز'!$C$5:$C$2004,MATCH($K161,'سجل التحفيز'!$AB$5:$AB$2004,0)))</f>
        <v/>
      </c>
      <c r="P161" s="36">
        <f>IF($K161="","",INDEX('سجل التحفيز'!$D$5:$D$2004,MATCH($K161,'سجل التحفيز'!$AB$5:$AB$2004,0)))</f>
        <v/>
      </c>
      <c r="Q161" s="9">
        <f>IF($K161="","",INDEX('سجل التحفيز'!$E$5:$E$2004,MATCH($K161,'سجل التحفيز'!$AB$5:$AB$2004,0)))</f>
        <v/>
      </c>
      <c r="R161" s="9">
        <f>IF($K161="","",INDEX('سجل التحفيز'!$F$5:$F$2004,MATCH($K161,'سجل التحفيز'!$AB$5:$AB$2004,0)))</f>
        <v/>
      </c>
      <c r="S161" s="35">
        <f>IF($K161="","",INDEX('سجل التحفيز'!$G$5:$G$2004,MATCH($K161,'سجل التحفيز'!$AB$5:$AB$2004,0)))</f>
        <v/>
      </c>
    </row>
    <row r="162">
      <c r="B162" s="34">
        <f>IFERROR(INDEX(الموظفات!$B$5:$B$304,MATCH(125,الموظفات!$V$5:$V$304,0)),"")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التحفيز'!$AB$5:$AB$2004,"&gt;0",'سجل التحفيز'!$B$5:$B$2004,B162))</f>
        <v/>
      </c>
      <c r="E162" s="35">
        <f>IF(B162="","",COUNTIFS('سجل التحفيز'!$AB$5:$AB$2004,"&gt;0",'سجل التحفيز'!$B$5:$B$2004,B162,'سجل التحفيز'!$D$5:$D$2004,"ذهبي"))</f>
        <v/>
      </c>
      <c r="F162" s="35">
        <f>IF(B162="","",SUMIFS('سجل التحفيز'!$G$5:$G$2004,'سجل التحفيز'!$AB$5:$AB$2004,"&gt;0",'سجل التحفيز'!$B$5:$B$2004,B162))</f>
        <v/>
      </c>
      <c r="G162" s="35">
        <f>IF(B162="","",COUNTIF($D$38:$D$187,"&gt;"&amp;D162)+1)</f>
        <v/>
      </c>
      <c r="H162" s="35">
        <f>IF(B162="","",INDEX(الموظفات!$L$5:$L$304,MATCH(B162,الموظفات!$B$5:$B$304,0)))</f>
        <v/>
      </c>
      <c r="K162" s="36">
        <f>IF(125&gt;$B$10,"",125)</f>
        <v/>
      </c>
      <c r="L162" s="37">
        <f>IF($K162="","",INDEX('سجل التحفيز'!$A$5:$A$2004,MATCH($K162,'سجل التحفيز'!$AB$5:$AB$2004,0)))</f>
        <v/>
      </c>
      <c r="M162" s="9">
        <f>IF($K162="","",INDEX('سجل التحفيز'!$B$5:$B$2004,MATCH($K162,'سجل التحفيز'!$AB$5:$AB$2004,0)))</f>
        <v/>
      </c>
      <c r="N162" s="9">
        <f>IF($K162="","",INDEX('سجل التحفيز'!$M$5:$M$2004,MATCH($K162,'سجل التحفيز'!$AB$5:$AB$2004,0)))</f>
        <v/>
      </c>
      <c r="O162" s="9">
        <f>IF($K162="","",INDEX('سجل التحفيز'!$C$5:$C$2004,MATCH($K162,'سجل التحفيز'!$AB$5:$AB$2004,0)))</f>
        <v/>
      </c>
      <c r="P162" s="36">
        <f>IF($K162="","",INDEX('سجل التحفيز'!$D$5:$D$2004,MATCH($K162,'سجل التحفيز'!$AB$5:$AB$2004,0)))</f>
        <v/>
      </c>
      <c r="Q162" s="9">
        <f>IF($K162="","",INDEX('سجل التحفيز'!$E$5:$E$2004,MATCH($K162,'سجل التحفيز'!$AB$5:$AB$2004,0)))</f>
        <v/>
      </c>
      <c r="R162" s="9">
        <f>IF($K162="","",INDEX('سجل التحفيز'!$F$5:$F$2004,MATCH($K162,'سجل التحفيز'!$AB$5:$AB$2004,0)))</f>
        <v/>
      </c>
      <c r="S162" s="35">
        <f>IF($K162="","",INDEX('سجل التحفيز'!$G$5:$G$2004,MATCH($K162,'سجل التحفيز'!$AB$5:$AB$2004,0)))</f>
        <v/>
      </c>
    </row>
    <row r="163">
      <c r="B163" s="34">
        <f>IFERROR(INDEX(الموظفات!$B$5:$B$304,MATCH(126,الموظفات!$V$5:$V$304,0)),"")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التحفيز'!$AB$5:$AB$2004,"&gt;0",'سجل التحفيز'!$B$5:$B$2004,B163))</f>
        <v/>
      </c>
      <c r="E163" s="35">
        <f>IF(B163="","",COUNTIFS('سجل التحفيز'!$AB$5:$AB$2004,"&gt;0",'سجل التحفيز'!$B$5:$B$2004,B163,'سجل التحفيز'!$D$5:$D$2004,"ذهبي"))</f>
        <v/>
      </c>
      <c r="F163" s="35">
        <f>IF(B163="","",SUMIFS('سجل التحفيز'!$G$5:$G$2004,'سجل التحفيز'!$AB$5:$AB$2004,"&gt;0",'سجل التحفيز'!$B$5:$B$2004,B163))</f>
        <v/>
      </c>
      <c r="G163" s="35">
        <f>IF(B163="","",COUNTIF($D$38:$D$187,"&gt;"&amp;D163)+1)</f>
        <v/>
      </c>
      <c r="H163" s="35">
        <f>IF(B163="","",INDEX(الموظفات!$L$5:$L$304,MATCH(B163,الموظفات!$B$5:$B$304,0)))</f>
        <v/>
      </c>
      <c r="K163" s="36">
        <f>IF(126&gt;$B$10,"",126)</f>
        <v/>
      </c>
      <c r="L163" s="37">
        <f>IF($K163="","",INDEX('سجل التحفيز'!$A$5:$A$2004,MATCH($K163,'سجل التحفيز'!$AB$5:$AB$2004,0)))</f>
        <v/>
      </c>
      <c r="M163" s="9">
        <f>IF($K163="","",INDEX('سجل التحفيز'!$B$5:$B$2004,MATCH($K163,'سجل التحفيز'!$AB$5:$AB$2004,0)))</f>
        <v/>
      </c>
      <c r="N163" s="9">
        <f>IF($K163="","",INDEX('سجل التحفيز'!$M$5:$M$2004,MATCH($K163,'سجل التحفيز'!$AB$5:$AB$2004,0)))</f>
        <v/>
      </c>
      <c r="O163" s="9">
        <f>IF($K163="","",INDEX('سجل التحفيز'!$C$5:$C$2004,MATCH($K163,'سجل التحفيز'!$AB$5:$AB$2004,0)))</f>
        <v/>
      </c>
      <c r="P163" s="36">
        <f>IF($K163="","",INDEX('سجل التحفيز'!$D$5:$D$2004,MATCH($K163,'سجل التحفيز'!$AB$5:$AB$2004,0)))</f>
        <v/>
      </c>
      <c r="Q163" s="9">
        <f>IF($K163="","",INDEX('سجل التحفيز'!$E$5:$E$2004,MATCH($K163,'سجل التحفيز'!$AB$5:$AB$2004,0)))</f>
        <v/>
      </c>
      <c r="R163" s="9">
        <f>IF($K163="","",INDEX('سجل التحفيز'!$F$5:$F$2004,MATCH($K163,'سجل التحفيز'!$AB$5:$AB$2004,0)))</f>
        <v/>
      </c>
      <c r="S163" s="35">
        <f>IF($K163="","",INDEX('سجل التحفيز'!$G$5:$G$2004,MATCH($K163,'سجل التحفيز'!$AB$5:$AB$2004,0)))</f>
        <v/>
      </c>
    </row>
    <row r="164">
      <c r="B164" s="34">
        <f>IFERROR(INDEX(الموظفات!$B$5:$B$304,MATCH(127,الموظفات!$V$5:$V$304,0)),"")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التحفيز'!$AB$5:$AB$2004,"&gt;0",'سجل التحفيز'!$B$5:$B$2004,B164))</f>
        <v/>
      </c>
      <c r="E164" s="35">
        <f>IF(B164="","",COUNTIFS('سجل التحفيز'!$AB$5:$AB$2004,"&gt;0",'سجل التحفيز'!$B$5:$B$2004,B164,'سجل التحفيز'!$D$5:$D$2004,"ذهبي"))</f>
        <v/>
      </c>
      <c r="F164" s="35">
        <f>IF(B164="","",SUMIFS('سجل التحفيز'!$G$5:$G$2004,'سجل التحفيز'!$AB$5:$AB$2004,"&gt;0",'سجل التحفيز'!$B$5:$B$2004,B164))</f>
        <v/>
      </c>
      <c r="G164" s="35">
        <f>IF(B164="","",COUNTIF($D$38:$D$187,"&gt;"&amp;D164)+1)</f>
        <v/>
      </c>
      <c r="H164" s="35">
        <f>IF(B164="","",INDEX(الموظفات!$L$5:$L$304,MATCH(B164,الموظفات!$B$5:$B$304,0)))</f>
        <v/>
      </c>
      <c r="K164" s="36">
        <f>IF(127&gt;$B$10,"",127)</f>
        <v/>
      </c>
      <c r="L164" s="37">
        <f>IF($K164="","",INDEX('سجل التحفيز'!$A$5:$A$2004,MATCH($K164,'سجل التحفيز'!$AB$5:$AB$2004,0)))</f>
        <v/>
      </c>
      <c r="M164" s="9">
        <f>IF($K164="","",INDEX('سجل التحفيز'!$B$5:$B$2004,MATCH($K164,'سجل التحفيز'!$AB$5:$AB$2004,0)))</f>
        <v/>
      </c>
      <c r="N164" s="9">
        <f>IF($K164="","",INDEX('سجل التحفيز'!$M$5:$M$2004,MATCH($K164,'سجل التحفيز'!$AB$5:$AB$2004,0)))</f>
        <v/>
      </c>
      <c r="O164" s="9">
        <f>IF($K164="","",INDEX('سجل التحفيز'!$C$5:$C$2004,MATCH($K164,'سجل التحفيز'!$AB$5:$AB$2004,0)))</f>
        <v/>
      </c>
      <c r="P164" s="36">
        <f>IF($K164="","",INDEX('سجل التحفيز'!$D$5:$D$2004,MATCH($K164,'سجل التحفيز'!$AB$5:$AB$2004,0)))</f>
        <v/>
      </c>
      <c r="Q164" s="9">
        <f>IF($K164="","",INDEX('سجل التحفيز'!$E$5:$E$2004,MATCH($K164,'سجل التحفيز'!$AB$5:$AB$2004,0)))</f>
        <v/>
      </c>
      <c r="R164" s="9">
        <f>IF($K164="","",INDEX('سجل التحفيز'!$F$5:$F$2004,MATCH($K164,'سجل التحفيز'!$AB$5:$AB$2004,0)))</f>
        <v/>
      </c>
      <c r="S164" s="35">
        <f>IF($K164="","",INDEX('سجل التحفيز'!$G$5:$G$2004,MATCH($K164,'سجل التحفيز'!$AB$5:$AB$2004,0)))</f>
        <v/>
      </c>
    </row>
    <row r="165">
      <c r="B165" s="34">
        <f>IFERROR(INDEX(الموظفات!$B$5:$B$304,MATCH(128,الموظفات!$V$5:$V$304,0)),"")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التحفيز'!$AB$5:$AB$2004,"&gt;0",'سجل التحفيز'!$B$5:$B$2004,B165))</f>
        <v/>
      </c>
      <c r="E165" s="35">
        <f>IF(B165="","",COUNTIFS('سجل التحفيز'!$AB$5:$AB$2004,"&gt;0",'سجل التحفيز'!$B$5:$B$2004,B165,'سجل التحفيز'!$D$5:$D$2004,"ذهبي"))</f>
        <v/>
      </c>
      <c r="F165" s="35">
        <f>IF(B165="","",SUMIFS('سجل التحفيز'!$G$5:$G$2004,'سجل التحفيز'!$AB$5:$AB$2004,"&gt;0",'سجل التحفيز'!$B$5:$B$2004,B165))</f>
        <v/>
      </c>
      <c r="G165" s="35">
        <f>IF(B165="","",COUNTIF($D$38:$D$187,"&gt;"&amp;D165)+1)</f>
        <v/>
      </c>
      <c r="H165" s="35">
        <f>IF(B165="","",INDEX(الموظفات!$L$5:$L$304,MATCH(B165,الموظفات!$B$5:$B$304,0)))</f>
        <v/>
      </c>
      <c r="K165" s="36">
        <f>IF(128&gt;$B$10,"",128)</f>
        <v/>
      </c>
      <c r="L165" s="37">
        <f>IF($K165="","",INDEX('سجل التحفيز'!$A$5:$A$2004,MATCH($K165,'سجل التحفيز'!$AB$5:$AB$2004,0)))</f>
        <v/>
      </c>
      <c r="M165" s="9">
        <f>IF($K165="","",INDEX('سجل التحفيز'!$B$5:$B$2004,MATCH($K165,'سجل التحفيز'!$AB$5:$AB$2004,0)))</f>
        <v/>
      </c>
      <c r="N165" s="9">
        <f>IF($K165="","",INDEX('سجل التحفيز'!$M$5:$M$2004,MATCH($K165,'سجل التحفيز'!$AB$5:$AB$2004,0)))</f>
        <v/>
      </c>
      <c r="O165" s="9">
        <f>IF($K165="","",INDEX('سجل التحفيز'!$C$5:$C$2004,MATCH($K165,'سجل التحفيز'!$AB$5:$AB$2004,0)))</f>
        <v/>
      </c>
      <c r="P165" s="36">
        <f>IF($K165="","",INDEX('سجل التحفيز'!$D$5:$D$2004,MATCH($K165,'سجل التحفيز'!$AB$5:$AB$2004,0)))</f>
        <v/>
      </c>
      <c r="Q165" s="9">
        <f>IF($K165="","",INDEX('سجل التحفيز'!$E$5:$E$2004,MATCH($K165,'سجل التحفيز'!$AB$5:$AB$2004,0)))</f>
        <v/>
      </c>
      <c r="R165" s="9">
        <f>IF($K165="","",INDEX('سجل التحفيز'!$F$5:$F$2004,MATCH($K165,'سجل التحفيز'!$AB$5:$AB$2004,0)))</f>
        <v/>
      </c>
      <c r="S165" s="35">
        <f>IF($K165="","",INDEX('سجل التحفيز'!$G$5:$G$2004,MATCH($K165,'سجل التحفيز'!$AB$5:$AB$2004,0)))</f>
        <v/>
      </c>
    </row>
    <row r="166">
      <c r="B166" s="34">
        <f>IFERROR(INDEX(الموظفات!$B$5:$B$304,MATCH(129,الموظفات!$V$5:$V$304,0)),"")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التحفيز'!$AB$5:$AB$2004,"&gt;0",'سجل التحفيز'!$B$5:$B$2004,B166))</f>
        <v/>
      </c>
      <c r="E166" s="35">
        <f>IF(B166="","",COUNTIFS('سجل التحفيز'!$AB$5:$AB$2004,"&gt;0",'سجل التحفيز'!$B$5:$B$2004,B166,'سجل التحفيز'!$D$5:$D$2004,"ذهبي"))</f>
        <v/>
      </c>
      <c r="F166" s="35">
        <f>IF(B166="","",SUMIFS('سجل التحفيز'!$G$5:$G$2004,'سجل التحفيز'!$AB$5:$AB$2004,"&gt;0",'سجل التحفيز'!$B$5:$B$2004,B166))</f>
        <v/>
      </c>
      <c r="G166" s="35">
        <f>IF(B166="","",COUNTIF($D$38:$D$187,"&gt;"&amp;D166)+1)</f>
        <v/>
      </c>
      <c r="H166" s="35">
        <f>IF(B166="","",INDEX(الموظفات!$L$5:$L$304,MATCH(B166,الموظفات!$B$5:$B$304,0)))</f>
        <v/>
      </c>
      <c r="K166" s="36">
        <f>IF(129&gt;$B$10,"",129)</f>
        <v/>
      </c>
      <c r="L166" s="37">
        <f>IF($K166="","",INDEX('سجل التحفيز'!$A$5:$A$2004,MATCH($K166,'سجل التحفيز'!$AB$5:$AB$2004,0)))</f>
        <v/>
      </c>
      <c r="M166" s="9">
        <f>IF($K166="","",INDEX('سجل التحفيز'!$B$5:$B$2004,MATCH($K166,'سجل التحفيز'!$AB$5:$AB$2004,0)))</f>
        <v/>
      </c>
      <c r="N166" s="9">
        <f>IF($K166="","",INDEX('سجل التحفيز'!$M$5:$M$2004,MATCH($K166,'سجل التحفيز'!$AB$5:$AB$2004,0)))</f>
        <v/>
      </c>
      <c r="O166" s="9">
        <f>IF($K166="","",INDEX('سجل التحفيز'!$C$5:$C$2004,MATCH($K166,'سجل التحفيز'!$AB$5:$AB$2004,0)))</f>
        <v/>
      </c>
      <c r="P166" s="36">
        <f>IF($K166="","",INDEX('سجل التحفيز'!$D$5:$D$2004,MATCH($K166,'سجل التحفيز'!$AB$5:$AB$2004,0)))</f>
        <v/>
      </c>
      <c r="Q166" s="9">
        <f>IF($K166="","",INDEX('سجل التحفيز'!$E$5:$E$2004,MATCH($K166,'سجل التحفيز'!$AB$5:$AB$2004,0)))</f>
        <v/>
      </c>
      <c r="R166" s="9">
        <f>IF($K166="","",INDEX('سجل التحفيز'!$F$5:$F$2004,MATCH($K166,'سجل التحفيز'!$AB$5:$AB$2004,0)))</f>
        <v/>
      </c>
      <c r="S166" s="35">
        <f>IF($K166="","",INDEX('سجل التحفيز'!$G$5:$G$2004,MATCH($K166,'سجل التحفيز'!$AB$5:$AB$2004,0)))</f>
        <v/>
      </c>
    </row>
    <row r="167">
      <c r="B167" s="34">
        <f>IFERROR(INDEX(الموظفات!$B$5:$B$304,MATCH(130,الموظفات!$V$5:$V$304,0)),"")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التحفيز'!$AB$5:$AB$2004,"&gt;0",'سجل التحفيز'!$B$5:$B$2004,B167))</f>
        <v/>
      </c>
      <c r="E167" s="35">
        <f>IF(B167="","",COUNTIFS('سجل التحفيز'!$AB$5:$AB$2004,"&gt;0",'سجل التحفيز'!$B$5:$B$2004,B167,'سجل التحفيز'!$D$5:$D$2004,"ذهبي"))</f>
        <v/>
      </c>
      <c r="F167" s="35">
        <f>IF(B167="","",SUMIFS('سجل التحفيز'!$G$5:$G$2004,'سجل التحفيز'!$AB$5:$AB$2004,"&gt;0",'سجل التحفيز'!$B$5:$B$2004,B167))</f>
        <v/>
      </c>
      <c r="G167" s="35">
        <f>IF(B167="","",COUNTIF($D$38:$D$187,"&gt;"&amp;D167)+1)</f>
        <v/>
      </c>
      <c r="H167" s="35">
        <f>IF(B167="","",INDEX(الموظفات!$L$5:$L$304,MATCH(B167,الموظفات!$B$5:$B$304,0)))</f>
        <v/>
      </c>
      <c r="K167" s="36">
        <f>IF(130&gt;$B$10,"",130)</f>
        <v/>
      </c>
      <c r="L167" s="37">
        <f>IF($K167="","",INDEX('سجل التحفيز'!$A$5:$A$2004,MATCH($K167,'سجل التحفيز'!$AB$5:$AB$2004,0)))</f>
        <v/>
      </c>
      <c r="M167" s="9">
        <f>IF($K167="","",INDEX('سجل التحفيز'!$B$5:$B$2004,MATCH($K167,'سجل التحفيز'!$AB$5:$AB$2004,0)))</f>
        <v/>
      </c>
      <c r="N167" s="9">
        <f>IF($K167="","",INDEX('سجل التحفيز'!$M$5:$M$2004,MATCH($K167,'سجل التحفيز'!$AB$5:$AB$2004,0)))</f>
        <v/>
      </c>
      <c r="O167" s="9">
        <f>IF($K167="","",INDEX('سجل التحفيز'!$C$5:$C$2004,MATCH($K167,'سجل التحفيز'!$AB$5:$AB$2004,0)))</f>
        <v/>
      </c>
      <c r="P167" s="36">
        <f>IF($K167="","",INDEX('سجل التحفيز'!$D$5:$D$2004,MATCH($K167,'سجل التحفيز'!$AB$5:$AB$2004,0)))</f>
        <v/>
      </c>
      <c r="Q167" s="9">
        <f>IF($K167="","",INDEX('سجل التحفيز'!$E$5:$E$2004,MATCH($K167,'سجل التحفيز'!$AB$5:$AB$2004,0)))</f>
        <v/>
      </c>
      <c r="R167" s="9">
        <f>IF($K167="","",INDEX('سجل التحفيز'!$F$5:$F$2004,MATCH($K167,'سجل التحفيز'!$AB$5:$AB$2004,0)))</f>
        <v/>
      </c>
      <c r="S167" s="35">
        <f>IF($K167="","",INDEX('سجل التحفيز'!$G$5:$G$2004,MATCH($K167,'سجل التحفيز'!$AB$5:$AB$2004,0)))</f>
        <v/>
      </c>
    </row>
    <row r="168">
      <c r="B168" s="34">
        <f>IFERROR(INDEX(الموظفات!$B$5:$B$304,MATCH(131,الموظفات!$V$5:$V$304,0)),"")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التحفيز'!$AB$5:$AB$2004,"&gt;0",'سجل التحفيز'!$B$5:$B$2004,B168))</f>
        <v/>
      </c>
      <c r="E168" s="35">
        <f>IF(B168="","",COUNTIFS('سجل التحفيز'!$AB$5:$AB$2004,"&gt;0",'سجل التحفيز'!$B$5:$B$2004,B168,'سجل التحفيز'!$D$5:$D$2004,"ذهبي"))</f>
        <v/>
      </c>
      <c r="F168" s="35">
        <f>IF(B168="","",SUMIFS('سجل التحفيز'!$G$5:$G$2004,'سجل التحفيز'!$AB$5:$AB$2004,"&gt;0",'سجل التحفيز'!$B$5:$B$2004,B168))</f>
        <v/>
      </c>
      <c r="G168" s="35">
        <f>IF(B168="","",COUNTIF($D$38:$D$187,"&gt;"&amp;D168)+1)</f>
        <v/>
      </c>
      <c r="H168" s="35">
        <f>IF(B168="","",INDEX(الموظفات!$L$5:$L$304,MATCH(B168,الموظفات!$B$5:$B$304,0)))</f>
        <v/>
      </c>
      <c r="K168" s="36">
        <f>IF(131&gt;$B$10,"",131)</f>
        <v/>
      </c>
      <c r="L168" s="37">
        <f>IF($K168="","",INDEX('سجل التحفيز'!$A$5:$A$2004,MATCH($K168,'سجل التحفيز'!$AB$5:$AB$2004,0)))</f>
        <v/>
      </c>
      <c r="M168" s="9">
        <f>IF($K168="","",INDEX('سجل التحفيز'!$B$5:$B$2004,MATCH($K168,'سجل التحفيز'!$AB$5:$AB$2004,0)))</f>
        <v/>
      </c>
      <c r="N168" s="9">
        <f>IF($K168="","",INDEX('سجل التحفيز'!$M$5:$M$2004,MATCH($K168,'سجل التحفيز'!$AB$5:$AB$2004,0)))</f>
        <v/>
      </c>
      <c r="O168" s="9">
        <f>IF($K168="","",INDEX('سجل التحفيز'!$C$5:$C$2004,MATCH($K168,'سجل التحفيز'!$AB$5:$AB$2004,0)))</f>
        <v/>
      </c>
      <c r="P168" s="36">
        <f>IF($K168="","",INDEX('سجل التحفيز'!$D$5:$D$2004,MATCH($K168,'سجل التحفيز'!$AB$5:$AB$2004,0)))</f>
        <v/>
      </c>
      <c r="Q168" s="9">
        <f>IF($K168="","",INDEX('سجل التحفيز'!$E$5:$E$2004,MATCH($K168,'سجل التحفيز'!$AB$5:$AB$2004,0)))</f>
        <v/>
      </c>
      <c r="R168" s="9">
        <f>IF($K168="","",INDEX('سجل التحفيز'!$F$5:$F$2004,MATCH($K168,'سجل التحفيز'!$AB$5:$AB$2004,0)))</f>
        <v/>
      </c>
      <c r="S168" s="35">
        <f>IF($K168="","",INDEX('سجل التحفيز'!$G$5:$G$2004,MATCH($K168,'سجل التحفيز'!$AB$5:$AB$2004,0)))</f>
        <v/>
      </c>
    </row>
    <row r="169">
      <c r="B169" s="34">
        <f>IFERROR(INDEX(الموظفات!$B$5:$B$304,MATCH(132,الموظفات!$V$5:$V$304,0)),"")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التحفيز'!$AB$5:$AB$2004,"&gt;0",'سجل التحفيز'!$B$5:$B$2004,B169))</f>
        <v/>
      </c>
      <c r="E169" s="35">
        <f>IF(B169="","",COUNTIFS('سجل التحفيز'!$AB$5:$AB$2004,"&gt;0",'سجل التحفيز'!$B$5:$B$2004,B169,'سجل التحفيز'!$D$5:$D$2004,"ذهبي"))</f>
        <v/>
      </c>
      <c r="F169" s="35">
        <f>IF(B169="","",SUMIFS('سجل التحفيز'!$G$5:$G$2004,'سجل التحفيز'!$AB$5:$AB$2004,"&gt;0",'سجل التحفيز'!$B$5:$B$2004,B169))</f>
        <v/>
      </c>
      <c r="G169" s="35">
        <f>IF(B169="","",COUNTIF($D$38:$D$187,"&gt;"&amp;D169)+1)</f>
        <v/>
      </c>
      <c r="H169" s="35">
        <f>IF(B169="","",INDEX(الموظفات!$L$5:$L$304,MATCH(B169,الموظفات!$B$5:$B$304,0)))</f>
        <v/>
      </c>
      <c r="K169" s="36">
        <f>IF(132&gt;$B$10,"",132)</f>
        <v/>
      </c>
      <c r="L169" s="37">
        <f>IF($K169="","",INDEX('سجل التحفيز'!$A$5:$A$2004,MATCH($K169,'سجل التحفيز'!$AB$5:$AB$2004,0)))</f>
        <v/>
      </c>
      <c r="M169" s="9">
        <f>IF($K169="","",INDEX('سجل التحفيز'!$B$5:$B$2004,MATCH($K169,'سجل التحفيز'!$AB$5:$AB$2004,0)))</f>
        <v/>
      </c>
      <c r="N169" s="9">
        <f>IF($K169="","",INDEX('سجل التحفيز'!$M$5:$M$2004,MATCH($K169,'سجل التحفيز'!$AB$5:$AB$2004,0)))</f>
        <v/>
      </c>
      <c r="O169" s="9">
        <f>IF($K169="","",INDEX('سجل التحفيز'!$C$5:$C$2004,MATCH($K169,'سجل التحفيز'!$AB$5:$AB$2004,0)))</f>
        <v/>
      </c>
      <c r="P169" s="36">
        <f>IF($K169="","",INDEX('سجل التحفيز'!$D$5:$D$2004,MATCH($K169,'سجل التحفيز'!$AB$5:$AB$2004,0)))</f>
        <v/>
      </c>
      <c r="Q169" s="9">
        <f>IF($K169="","",INDEX('سجل التحفيز'!$E$5:$E$2004,MATCH($K169,'سجل التحفيز'!$AB$5:$AB$2004,0)))</f>
        <v/>
      </c>
      <c r="R169" s="9">
        <f>IF($K169="","",INDEX('سجل التحفيز'!$F$5:$F$2004,MATCH($K169,'سجل التحفيز'!$AB$5:$AB$2004,0)))</f>
        <v/>
      </c>
      <c r="S169" s="35">
        <f>IF($K169="","",INDEX('سجل التحفيز'!$G$5:$G$2004,MATCH($K169,'سجل التحفيز'!$AB$5:$AB$2004,0)))</f>
        <v/>
      </c>
    </row>
    <row r="170">
      <c r="B170" s="34">
        <f>IFERROR(INDEX(الموظفات!$B$5:$B$304,MATCH(133,الموظفات!$V$5:$V$304,0)),"")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التحفيز'!$AB$5:$AB$2004,"&gt;0",'سجل التحفيز'!$B$5:$B$2004,B170))</f>
        <v/>
      </c>
      <c r="E170" s="35">
        <f>IF(B170="","",COUNTIFS('سجل التحفيز'!$AB$5:$AB$2004,"&gt;0",'سجل التحفيز'!$B$5:$B$2004,B170,'سجل التحفيز'!$D$5:$D$2004,"ذهبي"))</f>
        <v/>
      </c>
      <c r="F170" s="35">
        <f>IF(B170="","",SUMIFS('سجل التحفيز'!$G$5:$G$2004,'سجل التحفيز'!$AB$5:$AB$2004,"&gt;0",'سجل التحفيز'!$B$5:$B$2004,B170))</f>
        <v/>
      </c>
      <c r="G170" s="35">
        <f>IF(B170="","",COUNTIF($D$38:$D$187,"&gt;"&amp;D170)+1)</f>
        <v/>
      </c>
      <c r="H170" s="35">
        <f>IF(B170="","",INDEX(الموظفات!$L$5:$L$304,MATCH(B170,الموظفات!$B$5:$B$304,0)))</f>
        <v/>
      </c>
      <c r="K170" s="36">
        <f>IF(133&gt;$B$10,"",133)</f>
        <v/>
      </c>
      <c r="L170" s="37">
        <f>IF($K170="","",INDEX('سجل التحفيز'!$A$5:$A$2004,MATCH($K170,'سجل التحفيز'!$AB$5:$AB$2004,0)))</f>
        <v/>
      </c>
      <c r="M170" s="9">
        <f>IF($K170="","",INDEX('سجل التحفيز'!$B$5:$B$2004,MATCH($K170,'سجل التحفيز'!$AB$5:$AB$2004,0)))</f>
        <v/>
      </c>
      <c r="N170" s="9">
        <f>IF($K170="","",INDEX('سجل التحفيز'!$M$5:$M$2004,MATCH($K170,'سجل التحفيز'!$AB$5:$AB$2004,0)))</f>
        <v/>
      </c>
      <c r="O170" s="9">
        <f>IF($K170="","",INDEX('سجل التحفيز'!$C$5:$C$2004,MATCH($K170,'سجل التحفيز'!$AB$5:$AB$2004,0)))</f>
        <v/>
      </c>
      <c r="P170" s="36">
        <f>IF($K170="","",INDEX('سجل التحفيز'!$D$5:$D$2004,MATCH($K170,'سجل التحفيز'!$AB$5:$AB$2004,0)))</f>
        <v/>
      </c>
      <c r="Q170" s="9">
        <f>IF($K170="","",INDEX('سجل التحفيز'!$E$5:$E$2004,MATCH($K170,'سجل التحفيز'!$AB$5:$AB$2004,0)))</f>
        <v/>
      </c>
      <c r="R170" s="9">
        <f>IF($K170="","",INDEX('سجل التحفيز'!$F$5:$F$2004,MATCH($K170,'سجل التحفيز'!$AB$5:$AB$2004,0)))</f>
        <v/>
      </c>
      <c r="S170" s="35">
        <f>IF($K170="","",INDEX('سجل التحفيز'!$G$5:$G$2004,MATCH($K170,'سجل التحفيز'!$AB$5:$AB$2004,0)))</f>
        <v/>
      </c>
    </row>
    <row r="171">
      <c r="B171" s="34">
        <f>IFERROR(INDEX(الموظفات!$B$5:$B$304,MATCH(134,الموظفات!$V$5:$V$304,0)),"")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التحفيز'!$AB$5:$AB$2004,"&gt;0",'سجل التحفيز'!$B$5:$B$2004,B171))</f>
        <v/>
      </c>
      <c r="E171" s="35">
        <f>IF(B171="","",COUNTIFS('سجل التحفيز'!$AB$5:$AB$2004,"&gt;0",'سجل التحفيز'!$B$5:$B$2004,B171,'سجل التحفيز'!$D$5:$D$2004,"ذهبي"))</f>
        <v/>
      </c>
      <c r="F171" s="35">
        <f>IF(B171="","",SUMIFS('سجل التحفيز'!$G$5:$G$2004,'سجل التحفيز'!$AB$5:$AB$2004,"&gt;0",'سجل التحفيز'!$B$5:$B$2004,B171))</f>
        <v/>
      </c>
      <c r="G171" s="35">
        <f>IF(B171="","",COUNTIF($D$38:$D$187,"&gt;"&amp;D171)+1)</f>
        <v/>
      </c>
      <c r="H171" s="35">
        <f>IF(B171="","",INDEX(الموظفات!$L$5:$L$304,MATCH(B171,الموظفات!$B$5:$B$304,0)))</f>
        <v/>
      </c>
      <c r="K171" s="36">
        <f>IF(134&gt;$B$10,"",134)</f>
        <v/>
      </c>
      <c r="L171" s="37">
        <f>IF($K171="","",INDEX('سجل التحفيز'!$A$5:$A$2004,MATCH($K171,'سجل التحفيز'!$AB$5:$AB$2004,0)))</f>
        <v/>
      </c>
      <c r="M171" s="9">
        <f>IF($K171="","",INDEX('سجل التحفيز'!$B$5:$B$2004,MATCH($K171,'سجل التحفيز'!$AB$5:$AB$2004,0)))</f>
        <v/>
      </c>
      <c r="N171" s="9">
        <f>IF($K171="","",INDEX('سجل التحفيز'!$M$5:$M$2004,MATCH($K171,'سجل التحفيز'!$AB$5:$AB$2004,0)))</f>
        <v/>
      </c>
      <c r="O171" s="9">
        <f>IF($K171="","",INDEX('سجل التحفيز'!$C$5:$C$2004,MATCH($K171,'سجل التحفيز'!$AB$5:$AB$2004,0)))</f>
        <v/>
      </c>
      <c r="P171" s="36">
        <f>IF($K171="","",INDEX('سجل التحفيز'!$D$5:$D$2004,MATCH($K171,'سجل التحفيز'!$AB$5:$AB$2004,0)))</f>
        <v/>
      </c>
      <c r="Q171" s="9">
        <f>IF($K171="","",INDEX('سجل التحفيز'!$E$5:$E$2004,MATCH($K171,'سجل التحفيز'!$AB$5:$AB$2004,0)))</f>
        <v/>
      </c>
      <c r="R171" s="9">
        <f>IF($K171="","",INDEX('سجل التحفيز'!$F$5:$F$2004,MATCH($K171,'سجل التحفيز'!$AB$5:$AB$2004,0)))</f>
        <v/>
      </c>
      <c r="S171" s="35">
        <f>IF($K171="","",INDEX('سجل التحفيز'!$G$5:$G$2004,MATCH($K171,'سجل التحفيز'!$AB$5:$AB$2004,0)))</f>
        <v/>
      </c>
    </row>
    <row r="172">
      <c r="B172" s="34">
        <f>IFERROR(INDEX(الموظفات!$B$5:$B$304,MATCH(135,الموظفات!$V$5:$V$304,0)),"")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التحفيز'!$AB$5:$AB$2004,"&gt;0",'سجل التحفيز'!$B$5:$B$2004,B172))</f>
        <v/>
      </c>
      <c r="E172" s="35">
        <f>IF(B172="","",COUNTIFS('سجل التحفيز'!$AB$5:$AB$2004,"&gt;0",'سجل التحفيز'!$B$5:$B$2004,B172,'سجل التحفيز'!$D$5:$D$2004,"ذهبي"))</f>
        <v/>
      </c>
      <c r="F172" s="35">
        <f>IF(B172="","",SUMIFS('سجل التحفيز'!$G$5:$G$2004,'سجل التحفيز'!$AB$5:$AB$2004,"&gt;0",'سجل التحفيز'!$B$5:$B$2004,B172))</f>
        <v/>
      </c>
      <c r="G172" s="35">
        <f>IF(B172="","",COUNTIF($D$38:$D$187,"&gt;"&amp;D172)+1)</f>
        <v/>
      </c>
      <c r="H172" s="35">
        <f>IF(B172="","",INDEX(الموظفات!$L$5:$L$304,MATCH(B172,الموظفات!$B$5:$B$304,0)))</f>
        <v/>
      </c>
      <c r="K172" s="36">
        <f>IF(135&gt;$B$10,"",135)</f>
        <v/>
      </c>
      <c r="L172" s="37">
        <f>IF($K172="","",INDEX('سجل التحفيز'!$A$5:$A$2004,MATCH($K172,'سجل التحفيز'!$AB$5:$AB$2004,0)))</f>
        <v/>
      </c>
      <c r="M172" s="9">
        <f>IF($K172="","",INDEX('سجل التحفيز'!$B$5:$B$2004,MATCH($K172,'سجل التحفيز'!$AB$5:$AB$2004,0)))</f>
        <v/>
      </c>
      <c r="N172" s="9">
        <f>IF($K172="","",INDEX('سجل التحفيز'!$M$5:$M$2004,MATCH($K172,'سجل التحفيز'!$AB$5:$AB$2004,0)))</f>
        <v/>
      </c>
      <c r="O172" s="9">
        <f>IF($K172="","",INDEX('سجل التحفيز'!$C$5:$C$2004,MATCH($K172,'سجل التحفيز'!$AB$5:$AB$2004,0)))</f>
        <v/>
      </c>
      <c r="P172" s="36">
        <f>IF($K172="","",INDEX('سجل التحفيز'!$D$5:$D$2004,MATCH($K172,'سجل التحفيز'!$AB$5:$AB$2004,0)))</f>
        <v/>
      </c>
      <c r="Q172" s="9">
        <f>IF($K172="","",INDEX('سجل التحفيز'!$E$5:$E$2004,MATCH($K172,'سجل التحفيز'!$AB$5:$AB$2004,0)))</f>
        <v/>
      </c>
      <c r="R172" s="9">
        <f>IF($K172="","",INDEX('سجل التحفيز'!$F$5:$F$2004,MATCH($K172,'سجل التحفيز'!$AB$5:$AB$2004,0)))</f>
        <v/>
      </c>
      <c r="S172" s="35">
        <f>IF($K172="","",INDEX('سجل التحفيز'!$G$5:$G$2004,MATCH($K172,'سجل التحفيز'!$AB$5:$AB$2004,0)))</f>
        <v/>
      </c>
    </row>
    <row r="173">
      <c r="B173" s="34">
        <f>IFERROR(INDEX(الموظفات!$B$5:$B$304,MATCH(136,الموظفات!$V$5:$V$304,0)),"")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التحفيز'!$AB$5:$AB$2004,"&gt;0",'سجل التحفيز'!$B$5:$B$2004,B173))</f>
        <v/>
      </c>
      <c r="E173" s="35">
        <f>IF(B173="","",COUNTIFS('سجل التحفيز'!$AB$5:$AB$2004,"&gt;0",'سجل التحفيز'!$B$5:$B$2004,B173,'سجل التحفيز'!$D$5:$D$2004,"ذهبي"))</f>
        <v/>
      </c>
      <c r="F173" s="35">
        <f>IF(B173="","",SUMIFS('سجل التحفيز'!$G$5:$G$2004,'سجل التحفيز'!$AB$5:$AB$2004,"&gt;0",'سجل التحفيز'!$B$5:$B$2004,B173))</f>
        <v/>
      </c>
      <c r="G173" s="35">
        <f>IF(B173="","",COUNTIF($D$38:$D$187,"&gt;"&amp;D173)+1)</f>
        <v/>
      </c>
      <c r="H173" s="35">
        <f>IF(B173="","",INDEX(الموظفات!$L$5:$L$304,MATCH(B173,الموظفات!$B$5:$B$304,0)))</f>
        <v/>
      </c>
      <c r="K173" s="36">
        <f>IF(136&gt;$B$10,"",136)</f>
        <v/>
      </c>
      <c r="L173" s="37">
        <f>IF($K173="","",INDEX('سجل التحفيز'!$A$5:$A$2004,MATCH($K173,'سجل التحفيز'!$AB$5:$AB$2004,0)))</f>
        <v/>
      </c>
      <c r="M173" s="9">
        <f>IF($K173="","",INDEX('سجل التحفيز'!$B$5:$B$2004,MATCH($K173,'سجل التحفيز'!$AB$5:$AB$2004,0)))</f>
        <v/>
      </c>
      <c r="N173" s="9">
        <f>IF($K173="","",INDEX('سجل التحفيز'!$M$5:$M$2004,MATCH($K173,'سجل التحفيز'!$AB$5:$AB$2004,0)))</f>
        <v/>
      </c>
      <c r="O173" s="9">
        <f>IF($K173="","",INDEX('سجل التحفيز'!$C$5:$C$2004,MATCH($K173,'سجل التحفيز'!$AB$5:$AB$2004,0)))</f>
        <v/>
      </c>
      <c r="P173" s="36">
        <f>IF($K173="","",INDEX('سجل التحفيز'!$D$5:$D$2004,MATCH($K173,'سجل التحفيز'!$AB$5:$AB$2004,0)))</f>
        <v/>
      </c>
      <c r="Q173" s="9">
        <f>IF($K173="","",INDEX('سجل التحفيز'!$E$5:$E$2004,MATCH($K173,'سجل التحفيز'!$AB$5:$AB$2004,0)))</f>
        <v/>
      </c>
      <c r="R173" s="9">
        <f>IF($K173="","",INDEX('سجل التحفيز'!$F$5:$F$2004,MATCH($K173,'سجل التحفيز'!$AB$5:$AB$2004,0)))</f>
        <v/>
      </c>
      <c r="S173" s="35">
        <f>IF($K173="","",INDEX('سجل التحفيز'!$G$5:$G$2004,MATCH($K173,'سجل التحفيز'!$AB$5:$AB$2004,0)))</f>
        <v/>
      </c>
    </row>
    <row r="174">
      <c r="B174" s="34">
        <f>IFERROR(INDEX(الموظفات!$B$5:$B$304,MATCH(137,الموظفات!$V$5:$V$304,0)),"")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التحفيز'!$AB$5:$AB$2004,"&gt;0",'سجل التحفيز'!$B$5:$B$2004,B174))</f>
        <v/>
      </c>
      <c r="E174" s="35">
        <f>IF(B174="","",COUNTIFS('سجل التحفيز'!$AB$5:$AB$2004,"&gt;0",'سجل التحفيز'!$B$5:$B$2004,B174,'سجل التحفيز'!$D$5:$D$2004,"ذهبي"))</f>
        <v/>
      </c>
      <c r="F174" s="35">
        <f>IF(B174="","",SUMIFS('سجل التحفيز'!$G$5:$G$2004,'سجل التحفيز'!$AB$5:$AB$2004,"&gt;0",'سجل التحفيز'!$B$5:$B$2004,B174))</f>
        <v/>
      </c>
      <c r="G174" s="35">
        <f>IF(B174="","",COUNTIF($D$38:$D$187,"&gt;"&amp;D174)+1)</f>
        <v/>
      </c>
      <c r="H174" s="35">
        <f>IF(B174="","",INDEX(الموظفات!$L$5:$L$304,MATCH(B174,الموظفات!$B$5:$B$304,0)))</f>
        <v/>
      </c>
      <c r="K174" s="36">
        <f>IF(137&gt;$B$10,"",137)</f>
        <v/>
      </c>
      <c r="L174" s="37">
        <f>IF($K174="","",INDEX('سجل التحفيز'!$A$5:$A$2004,MATCH($K174,'سجل التحفيز'!$AB$5:$AB$2004,0)))</f>
        <v/>
      </c>
      <c r="M174" s="9">
        <f>IF($K174="","",INDEX('سجل التحفيز'!$B$5:$B$2004,MATCH($K174,'سجل التحفيز'!$AB$5:$AB$2004,0)))</f>
        <v/>
      </c>
      <c r="N174" s="9">
        <f>IF($K174="","",INDEX('سجل التحفيز'!$M$5:$M$2004,MATCH($K174,'سجل التحفيز'!$AB$5:$AB$2004,0)))</f>
        <v/>
      </c>
      <c r="O174" s="9">
        <f>IF($K174="","",INDEX('سجل التحفيز'!$C$5:$C$2004,MATCH($K174,'سجل التحفيز'!$AB$5:$AB$2004,0)))</f>
        <v/>
      </c>
      <c r="P174" s="36">
        <f>IF($K174="","",INDEX('سجل التحفيز'!$D$5:$D$2004,MATCH($K174,'سجل التحفيز'!$AB$5:$AB$2004,0)))</f>
        <v/>
      </c>
      <c r="Q174" s="9">
        <f>IF($K174="","",INDEX('سجل التحفيز'!$E$5:$E$2004,MATCH($K174,'سجل التحفيز'!$AB$5:$AB$2004,0)))</f>
        <v/>
      </c>
      <c r="R174" s="9">
        <f>IF($K174="","",INDEX('سجل التحفيز'!$F$5:$F$2004,MATCH($K174,'سجل التحفيز'!$AB$5:$AB$2004,0)))</f>
        <v/>
      </c>
      <c r="S174" s="35">
        <f>IF($K174="","",INDEX('سجل التحفيز'!$G$5:$G$2004,MATCH($K174,'سجل التحفيز'!$AB$5:$AB$2004,0)))</f>
        <v/>
      </c>
    </row>
    <row r="175">
      <c r="B175" s="34">
        <f>IFERROR(INDEX(الموظفات!$B$5:$B$304,MATCH(138,الموظفات!$V$5:$V$304,0)),"")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التحفيز'!$AB$5:$AB$2004,"&gt;0",'سجل التحفيز'!$B$5:$B$2004,B175))</f>
        <v/>
      </c>
      <c r="E175" s="35">
        <f>IF(B175="","",COUNTIFS('سجل التحفيز'!$AB$5:$AB$2004,"&gt;0",'سجل التحفيز'!$B$5:$B$2004,B175,'سجل التحفيز'!$D$5:$D$2004,"ذهبي"))</f>
        <v/>
      </c>
      <c r="F175" s="35">
        <f>IF(B175="","",SUMIFS('سجل التحفيز'!$G$5:$G$2004,'سجل التحفيز'!$AB$5:$AB$2004,"&gt;0",'سجل التحفيز'!$B$5:$B$2004,B175))</f>
        <v/>
      </c>
      <c r="G175" s="35">
        <f>IF(B175="","",COUNTIF($D$38:$D$187,"&gt;"&amp;D175)+1)</f>
        <v/>
      </c>
      <c r="H175" s="35">
        <f>IF(B175="","",INDEX(الموظفات!$L$5:$L$304,MATCH(B175,الموظفات!$B$5:$B$304,0)))</f>
        <v/>
      </c>
      <c r="K175" s="36">
        <f>IF(138&gt;$B$10,"",138)</f>
        <v/>
      </c>
      <c r="L175" s="37">
        <f>IF($K175="","",INDEX('سجل التحفيز'!$A$5:$A$2004,MATCH($K175,'سجل التحفيز'!$AB$5:$AB$2004,0)))</f>
        <v/>
      </c>
      <c r="M175" s="9">
        <f>IF($K175="","",INDEX('سجل التحفيز'!$B$5:$B$2004,MATCH($K175,'سجل التحفيز'!$AB$5:$AB$2004,0)))</f>
        <v/>
      </c>
      <c r="N175" s="9">
        <f>IF($K175="","",INDEX('سجل التحفيز'!$M$5:$M$2004,MATCH($K175,'سجل التحفيز'!$AB$5:$AB$2004,0)))</f>
        <v/>
      </c>
      <c r="O175" s="9">
        <f>IF($K175="","",INDEX('سجل التحفيز'!$C$5:$C$2004,MATCH($K175,'سجل التحفيز'!$AB$5:$AB$2004,0)))</f>
        <v/>
      </c>
      <c r="P175" s="36">
        <f>IF($K175="","",INDEX('سجل التحفيز'!$D$5:$D$2004,MATCH($K175,'سجل التحفيز'!$AB$5:$AB$2004,0)))</f>
        <v/>
      </c>
      <c r="Q175" s="9">
        <f>IF($K175="","",INDEX('سجل التحفيز'!$E$5:$E$2004,MATCH($K175,'سجل التحفيز'!$AB$5:$AB$2004,0)))</f>
        <v/>
      </c>
      <c r="R175" s="9">
        <f>IF($K175="","",INDEX('سجل التحفيز'!$F$5:$F$2004,MATCH($K175,'سجل التحفيز'!$AB$5:$AB$2004,0)))</f>
        <v/>
      </c>
      <c r="S175" s="35">
        <f>IF($K175="","",INDEX('سجل التحفيز'!$G$5:$G$2004,MATCH($K175,'سجل التحفيز'!$AB$5:$AB$2004,0)))</f>
        <v/>
      </c>
    </row>
    <row r="176">
      <c r="B176" s="34">
        <f>IFERROR(INDEX(الموظفات!$B$5:$B$304,MATCH(139,الموظفات!$V$5:$V$304,0)),"")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التحفيز'!$AB$5:$AB$2004,"&gt;0",'سجل التحفيز'!$B$5:$B$2004,B176))</f>
        <v/>
      </c>
      <c r="E176" s="35">
        <f>IF(B176="","",COUNTIFS('سجل التحفيز'!$AB$5:$AB$2004,"&gt;0",'سجل التحفيز'!$B$5:$B$2004,B176,'سجل التحفيز'!$D$5:$D$2004,"ذهبي"))</f>
        <v/>
      </c>
      <c r="F176" s="35">
        <f>IF(B176="","",SUMIFS('سجل التحفيز'!$G$5:$G$2004,'سجل التحفيز'!$AB$5:$AB$2004,"&gt;0",'سجل التحفيز'!$B$5:$B$2004,B176))</f>
        <v/>
      </c>
      <c r="G176" s="35">
        <f>IF(B176="","",COUNTIF($D$38:$D$187,"&gt;"&amp;D176)+1)</f>
        <v/>
      </c>
      <c r="H176" s="35">
        <f>IF(B176="","",INDEX(الموظفات!$L$5:$L$304,MATCH(B176,الموظفات!$B$5:$B$304,0)))</f>
        <v/>
      </c>
      <c r="K176" s="36">
        <f>IF(139&gt;$B$10,"",139)</f>
        <v/>
      </c>
      <c r="L176" s="37">
        <f>IF($K176="","",INDEX('سجل التحفيز'!$A$5:$A$2004,MATCH($K176,'سجل التحفيز'!$AB$5:$AB$2004,0)))</f>
        <v/>
      </c>
      <c r="M176" s="9">
        <f>IF($K176="","",INDEX('سجل التحفيز'!$B$5:$B$2004,MATCH($K176,'سجل التحفيز'!$AB$5:$AB$2004,0)))</f>
        <v/>
      </c>
      <c r="N176" s="9">
        <f>IF($K176="","",INDEX('سجل التحفيز'!$M$5:$M$2004,MATCH($K176,'سجل التحفيز'!$AB$5:$AB$2004,0)))</f>
        <v/>
      </c>
      <c r="O176" s="9">
        <f>IF($K176="","",INDEX('سجل التحفيز'!$C$5:$C$2004,MATCH($K176,'سجل التحفيز'!$AB$5:$AB$2004,0)))</f>
        <v/>
      </c>
      <c r="P176" s="36">
        <f>IF($K176="","",INDEX('سجل التحفيز'!$D$5:$D$2004,MATCH($K176,'سجل التحفيز'!$AB$5:$AB$2004,0)))</f>
        <v/>
      </c>
      <c r="Q176" s="9">
        <f>IF($K176="","",INDEX('سجل التحفيز'!$E$5:$E$2004,MATCH($K176,'سجل التحفيز'!$AB$5:$AB$2004,0)))</f>
        <v/>
      </c>
      <c r="R176" s="9">
        <f>IF($K176="","",INDEX('سجل التحفيز'!$F$5:$F$2004,MATCH($K176,'سجل التحفيز'!$AB$5:$AB$2004,0)))</f>
        <v/>
      </c>
      <c r="S176" s="35">
        <f>IF($K176="","",INDEX('سجل التحفيز'!$G$5:$G$2004,MATCH($K176,'سجل التحفيز'!$AB$5:$AB$2004,0)))</f>
        <v/>
      </c>
    </row>
    <row r="177">
      <c r="B177" s="34">
        <f>IFERROR(INDEX(الموظفات!$B$5:$B$304,MATCH(140,الموظفات!$V$5:$V$304,0)),"")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التحفيز'!$AB$5:$AB$2004,"&gt;0",'سجل التحفيز'!$B$5:$B$2004,B177))</f>
        <v/>
      </c>
      <c r="E177" s="35">
        <f>IF(B177="","",COUNTIFS('سجل التحفيز'!$AB$5:$AB$2004,"&gt;0",'سجل التحفيز'!$B$5:$B$2004,B177,'سجل التحفيز'!$D$5:$D$2004,"ذهبي"))</f>
        <v/>
      </c>
      <c r="F177" s="35">
        <f>IF(B177="","",SUMIFS('سجل التحفيز'!$G$5:$G$2004,'سجل التحفيز'!$AB$5:$AB$2004,"&gt;0",'سجل التحفيز'!$B$5:$B$2004,B177))</f>
        <v/>
      </c>
      <c r="G177" s="35">
        <f>IF(B177="","",COUNTIF($D$38:$D$187,"&gt;"&amp;D177)+1)</f>
        <v/>
      </c>
      <c r="H177" s="35">
        <f>IF(B177="","",INDEX(الموظفات!$L$5:$L$304,MATCH(B177,الموظفات!$B$5:$B$304,0)))</f>
        <v/>
      </c>
      <c r="K177" s="36">
        <f>IF(140&gt;$B$10,"",140)</f>
        <v/>
      </c>
      <c r="L177" s="37">
        <f>IF($K177="","",INDEX('سجل التحفيز'!$A$5:$A$2004,MATCH($K177,'سجل التحفيز'!$AB$5:$AB$2004,0)))</f>
        <v/>
      </c>
      <c r="M177" s="9">
        <f>IF($K177="","",INDEX('سجل التحفيز'!$B$5:$B$2004,MATCH($K177,'سجل التحفيز'!$AB$5:$AB$2004,0)))</f>
        <v/>
      </c>
      <c r="N177" s="9">
        <f>IF($K177="","",INDEX('سجل التحفيز'!$M$5:$M$2004,MATCH($K177,'سجل التحفيز'!$AB$5:$AB$2004,0)))</f>
        <v/>
      </c>
      <c r="O177" s="9">
        <f>IF($K177="","",INDEX('سجل التحفيز'!$C$5:$C$2004,MATCH($K177,'سجل التحفيز'!$AB$5:$AB$2004,0)))</f>
        <v/>
      </c>
      <c r="P177" s="36">
        <f>IF($K177="","",INDEX('سجل التحفيز'!$D$5:$D$2004,MATCH($K177,'سجل التحفيز'!$AB$5:$AB$2004,0)))</f>
        <v/>
      </c>
      <c r="Q177" s="9">
        <f>IF($K177="","",INDEX('سجل التحفيز'!$E$5:$E$2004,MATCH($K177,'سجل التحفيز'!$AB$5:$AB$2004,0)))</f>
        <v/>
      </c>
      <c r="R177" s="9">
        <f>IF($K177="","",INDEX('سجل التحفيز'!$F$5:$F$2004,MATCH($K177,'سجل التحفيز'!$AB$5:$AB$2004,0)))</f>
        <v/>
      </c>
      <c r="S177" s="35">
        <f>IF($K177="","",INDEX('سجل التحفيز'!$G$5:$G$2004,MATCH($K177,'سجل التحفيز'!$AB$5:$AB$2004,0)))</f>
        <v/>
      </c>
    </row>
    <row r="178">
      <c r="B178" s="34">
        <f>IFERROR(INDEX(الموظفات!$B$5:$B$304,MATCH(141,الموظفات!$V$5:$V$304,0)),"")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التحفيز'!$AB$5:$AB$2004,"&gt;0",'سجل التحفيز'!$B$5:$B$2004,B178))</f>
        <v/>
      </c>
      <c r="E178" s="35">
        <f>IF(B178="","",COUNTIFS('سجل التحفيز'!$AB$5:$AB$2004,"&gt;0",'سجل التحفيز'!$B$5:$B$2004,B178,'سجل التحفيز'!$D$5:$D$2004,"ذهبي"))</f>
        <v/>
      </c>
      <c r="F178" s="35">
        <f>IF(B178="","",SUMIFS('سجل التحفيز'!$G$5:$G$2004,'سجل التحفيز'!$AB$5:$AB$2004,"&gt;0",'سجل التحفيز'!$B$5:$B$2004,B178))</f>
        <v/>
      </c>
      <c r="G178" s="35">
        <f>IF(B178="","",COUNTIF($D$38:$D$187,"&gt;"&amp;D178)+1)</f>
        <v/>
      </c>
      <c r="H178" s="35">
        <f>IF(B178="","",INDEX(الموظفات!$L$5:$L$304,MATCH(B178,الموظفات!$B$5:$B$304,0)))</f>
        <v/>
      </c>
      <c r="K178" s="36">
        <f>IF(141&gt;$B$10,"",141)</f>
        <v/>
      </c>
      <c r="L178" s="37">
        <f>IF($K178="","",INDEX('سجل التحفيز'!$A$5:$A$2004,MATCH($K178,'سجل التحفيز'!$AB$5:$AB$2004,0)))</f>
        <v/>
      </c>
      <c r="M178" s="9">
        <f>IF($K178="","",INDEX('سجل التحفيز'!$B$5:$B$2004,MATCH($K178,'سجل التحفيز'!$AB$5:$AB$2004,0)))</f>
        <v/>
      </c>
      <c r="N178" s="9">
        <f>IF($K178="","",INDEX('سجل التحفيز'!$M$5:$M$2004,MATCH($K178,'سجل التحفيز'!$AB$5:$AB$2004,0)))</f>
        <v/>
      </c>
      <c r="O178" s="9">
        <f>IF($K178="","",INDEX('سجل التحفيز'!$C$5:$C$2004,MATCH($K178,'سجل التحفيز'!$AB$5:$AB$2004,0)))</f>
        <v/>
      </c>
      <c r="P178" s="36">
        <f>IF($K178="","",INDEX('سجل التحفيز'!$D$5:$D$2004,MATCH($K178,'سجل التحفيز'!$AB$5:$AB$2004,0)))</f>
        <v/>
      </c>
      <c r="Q178" s="9">
        <f>IF($K178="","",INDEX('سجل التحفيز'!$E$5:$E$2004,MATCH($K178,'سجل التحفيز'!$AB$5:$AB$2004,0)))</f>
        <v/>
      </c>
      <c r="R178" s="9">
        <f>IF($K178="","",INDEX('سجل التحفيز'!$F$5:$F$2004,MATCH($K178,'سجل التحفيز'!$AB$5:$AB$2004,0)))</f>
        <v/>
      </c>
      <c r="S178" s="35">
        <f>IF($K178="","",INDEX('سجل التحفيز'!$G$5:$G$2004,MATCH($K178,'سجل التحفيز'!$AB$5:$AB$2004,0)))</f>
        <v/>
      </c>
    </row>
    <row r="179">
      <c r="B179" s="34">
        <f>IFERROR(INDEX(الموظفات!$B$5:$B$304,MATCH(142,الموظفات!$V$5:$V$304,0)),"")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التحفيز'!$AB$5:$AB$2004,"&gt;0",'سجل التحفيز'!$B$5:$B$2004,B179))</f>
        <v/>
      </c>
      <c r="E179" s="35">
        <f>IF(B179="","",COUNTIFS('سجل التحفيز'!$AB$5:$AB$2004,"&gt;0",'سجل التحفيز'!$B$5:$B$2004,B179,'سجل التحفيز'!$D$5:$D$2004,"ذهبي"))</f>
        <v/>
      </c>
      <c r="F179" s="35">
        <f>IF(B179="","",SUMIFS('سجل التحفيز'!$G$5:$G$2004,'سجل التحفيز'!$AB$5:$AB$2004,"&gt;0",'سجل التحفيز'!$B$5:$B$2004,B179))</f>
        <v/>
      </c>
      <c r="G179" s="35">
        <f>IF(B179="","",COUNTIF($D$38:$D$187,"&gt;"&amp;D179)+1)</f>
        <v/>
      </c>
      <c r="H179" s="35">
        <f>IF(B179="","",INDEX(الموظفات!$L$5:$L$304,MATCH(B179,الموظفات!$B$5:$B$304,0)))</f>
        <v/>
      </c>
      <c r="K179" s="36">
        <f>IF(142&gt;$B$10,"",142)</f>
        <v/>
      </c>
      <c r="L179" s="37">
        <f>IF($K179="","",INDEX('سجل التحفيز'!$A$5:$A$2004,MATCH($K179,'سجل التحفيز'!$AB$5:$AB$2004,0)))</f>
        <v/>
      </c>
      <c r="M179" s="9">
        <f>IF($K179="","",INDEX('سجل التحفيز'!$B$5:$B$2004,MATCH($K179,'سجل التحفيز'!$AB$5:$AB$2004,0)))</f>
        <v/>
      </c>
      <c r="N179" s="9">
        <f>IF($K179="","",INDEX('سجل التحفيز'!$M$5:$M$2004,MATCH($K179,'سجل التحفيز'!$AB$5:$AB$2004,0)))</f>
        <v/>
      </c>
      <c r="O179" s="9">
        <f>IF($K179="","",INDEX('سجل التحفيز'!$C$5:$C$2004,MATCH($K179,'سجل التحفيز'!$AB$5:$AB$2004,0)))</f>
        <v/>
      </c>
      <c r="P179" s="36">
        <f>IF($K179="","",INDEX('سجل التحفيز'!$D$5:$D$2004,MATCH($K179,'سجل التحفيز'!$AB$5:$AB$2004,0)))</f>
        <v/>
      </c>
      <c r="Q179" s="9">
        <f>IF($K179="","",INDEX('سجل التحفيز'!$E$5:$E$2004,MATCH($K179,'سجل التحفيز'!$AB$5:$AB$2004,0)))</f>
        <v/>
      </c>
      <c r="R179" s="9">
        <f>IF($K179="","",INDEX('سجل التحفيز'!$F$5:$F$2004,MATCH($K179,'سجل التحفيز'!$AB$5:$AB$2004,0)))</f>
        <v/>
      </c>
      <c r="S179" s="35">
        <f>IF($K179="","",INDEX('سجل التحفيز'!$G$5:$G$2004,MATCH($K179,'سجل التحفيز'!$AB$5:$AB$2004,0)))</f>
        <v/>
      </c>
    </row>
    <row r="180">
      <c r="B180" s="34">
        <f>IFERROR(INDEX(الموظفات!$B$5:$B$304,MATCH(143,الموظفات!$V$5:$V$304,0)),"")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التحفيز'!$AB$5:$AB$2004,"&gt;0",'سجل التحفيز'!$B$5:$B$2004,B180))</f>
        <v/>
      </c>
      <c r="E180" s="35">
        <f>IF(B180="","",COUNTIFS('سجل التحفيز'!$AB$5:$AB$2004,"&gt;0",'سجل التحفيز'!$B$5:$B$2004,B180,'سجل التحفيز'!$D$5:$D$2004,"ذهبي"))</f>
        <v/>
      </c>
      <c r="F180" s="35">
        <f>IF(B180="","",SUMIFS('سجل التحفيز'!$G$5:$G$2004,'سجل التحفيز'!$AB$5:$AB$2004,"&gt;0",'سجل التحفيز'!$B$5:$B$2004,B180))</f>
        <v/>
      </c>
      <c r="G180" s="35">
        <f>IF(B180="","",COUNTIF($D$38:$D$187,"&gt;"&amp;D180)+1)</f>
        <v/>
      </c>
      <c r="H180" s="35">
        <f>IF(B180="","",INDEX(الموظفات!$L$5:$L$304,MATCH(B180,الموظفات!$B$5:$B$304,0)))</f>
        <v/>
      </c>
      <c r="K180" s="36">
        <f>IF(143&gt;$B$10,"",143)</f>
        <v/>
      </c>
      <c r="L180" s="37">
        <f>IF($K180="","",INDEX('سجل التحفيز'!$A$5:$A$2004,MATCH($K180,'سجل التحفيز'!$AB$5:$AB$2004,0)))</f>
        <v/>
      </c>
      <c r="M180" s="9">
        <f>IF($K180="","",INDEX('سجل التحفيز'!$B$5:$B$2004,MATCH($K180,'سجل التحفيز'!$AB$5:$AB$2004,0)))</f>
        <v/>
      </c>
      <c r="N180" s="9">
        <f>IF($K180="","",INDEX('سجل التحفيز'!$M$5:$M$2004,MATCH($K180,'سجل التحفيز'!$AB$5:$AB$2004,0)))</f>
        <v/>
      </c>
      <c r="O180" s="9">
        <f>IF($K180="","",INDEX('سجل التحفيز'!$C$5:$C$2004,MATCH($K180,'سجل التحفيز'!$AB$5:$AB$2004,0)))</f>
        <v/>
      </c>
      <c r="P180" s="36">
        <f>IF($K180="","",INDEX('سجل التحفيز'!$D$5:$D$2004,MATCH($K180,'سجل التحفيز'!$AB$5:$AB$2004,0)))</f>
        <v/>
      </c>
      <c r="Q180" s="9">
        <f>IF($K180="","",INDEX('سجل التحفيز'!$E$5:$E$2004,MATCH($K180,'سجل التحفيز'!$AB$5:$AB$2004,0)))</f>
        <v/>
      </c>
      <c r="R180" s="9">
        <f>IF($K180="","",INDEX('سجل التحفيز'!$F$5:$F$2004,MATCH($K180,'سجل التحفيز'!$AB$5:$AB$2004,0)))</f>
        <v/>
      </c>
      <c r="S180" s="35">
        <f>IF($K180="","",INDEX('سجل التحفيز'!$G$5:$G$2004,MATCH($K180,'سجل التحفيز'!$AB$5:$AB$2004,0)))</f>
        <v/>
      </c>
    </row>
    <row r="181">
      <c r="B181" s="34">
        <f>IFERROR(INDEX(الموظفات!$B$5:$B$304,MATCH(144,الموظفات!$V$5:$V$304,0)),"")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التحفيز'!$AB$5:$AB$2004,"&gt;0",'سجل التحفيز'!$B$5:$B$2004,B181))</f>
        <v/>
      </c>
      <c r="E181" s="35">
        <f>IF(B181="","",COUNTIFS('سجل التحفيز'!$AB$5:$AB$2004,"&gt;0",'سجل التحفيز'!$B$5:$B$2004,B181,'سجل التحفيز'!$D$5:$D$2004,"ذهبي"))</f>
        <v/>
      </c>
      <c r="F181" s="35">
        <f>IF(B181="","",SUMIFS('سجل التحفيز'!$G$5:$G$2004,'سجل التحفيز'!$AB$5:$AB$2004,"&gt;0",'سجل التحفيز'!$B$5:$B$2004,B181))</f>
        <v/>
      </c>
      <c r="G181" s="35">
        <f>IF(B181="","",COUNTIF($D$38:$D$187,"&gt;"&amp;D181)+1)</f>
        <v/>
      </c>
      <c r="H181" s="35">
        <f>IF(B181="","",INDEX(الموظفات!$L$5:$L$304,MATCH(B181,الموظفات!$B$5:$B$304,0)))</f>
        <v/>
      </c>
      <c r="K181" s="36">
        <f>IF(144&gt;$B$10,"",144)</f>
        <v/>
      </c>
      <c r="L181" s="37">
        <f>IF($K181="","",INDEX('سجل التحفيز'!$A$5:$A$2004,MATCH($K181,'سجل التحفيز'!$AB$5:$AB$2004,0)))</f>
        <v/>
      </c>
      <c r="M181" s="9">
        <f>IF($K181="","",INDEX('سجل التحفيز'!$B$5:$B$2004,MATCH($K181,'سجل التحفيز'!$AB$5:$AB$2004,0)))</f>
        <v/>
      </c>
      <c r="N181" s="9">
        <f>IF($K181="","",INDEX('سجل التحفيز'!$M$5:$M$2004,MATCH($K181,'سجل التحفيز'!$AB$5:$AB$2004,0)))</f>
        <v/>
      </c>
      <c r="O181" s="9">
        <f>IF($K181="","",INDEX('سجل التحفيز'!$C$5:$C$2004,MATCH($K181,'سجل التحفيز'!$AB$5:$AB$2004,0)))</f>
        <v/>
      </c>
      <c r="P181" s="36">
        <f>IF($K181="","",INDEX('سجل التحفيز'!$D$5:$D$2004,MATCH($K181,'سجل التحفيز'!$AB$5:$AB$2004,0)))</f>
        <v/>
      </c>
      <c r="Q181" s="9">
        <f>IF($K181="","",INDEX('سجل التحفيز'!$E$5:$E$2004,MATCH($K181,'سجل التحفيز'!$AB$5:$AB$2004,0)))</f>
        <v/>
      </c>
      <c r="R181" s="9">
        <f>IF($K181="","",INDEX('سجل التحفيز'!$F$5:$F$2004,MATCH($K181,'سجل التحفيز'!$AB$5:$AB$2004,0)))</f>
        <v/>
      </c>
      <c r="S181" s="35">
        <f>IF($K181="","",INDEX('سجل التحفيز'!$G$5:$G$2004,MATCH($K181,'سجل التحفيز'!$AB$5:$AB$2004,0)))</f>
        <v/>
      </c>
    </row>
    <row r="182">
      <c r="B182" s="34">
        <f>IFERROR(INDEX(الموظفات!$B$5:$B$304,MATCH(145,الموظفات!$V$5:$V$304,0)),"")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التحفيز'!$AB$5:$AB$2004,"&gt;0",'سجل التحفيز'!$B$5:$B$2004,B182))</f>
        <v/>
      </c>
      <c r="E182" s="35">
        <f>IF(B182="","",COUNTIFS('سجل التحفيز'!$AB$5:$AB$2004,"&gt;0",'سجل التحفيز'!$B$5:$B$2004,B182,'سجل التحفيز'!$D$5:$D$2004,"ذهبي"))</f>
        <v/>
      </c>
      <c r="F182" s="35">
        <f>IF(B182="","",SUMIFS('سجل التحفيز'!$G$5:$G$2004,'سجل التحفيز'!$AB$5:$AB$2004,"&gt;0",'سجل التحفيز'!$B$5:$B$2004,B182))</f>
        <v/>
      </c>
      <c r="G182" s="35">
        <f>IF(B182="","",COUNTIF($D$38:$D$187,"&gt;"&amp;D182)+1)</f>
        <v/>
      </c>
      <c r="H182" s="35">
        <f>IF(B182="","",INDEX(الموظفات!$L$5:$L$304,MATCH(B182,الموظفات!$B$5:$B$304,0)))</f>
        <v/>
      </c>
      <c r="K182" s="36">
        <f>IF(145&gt;$B$10,"",145)</f>
        <v/>
      </c>
      <c r="L182" s="37">
        <f>IF($K182="","",INDEX('سجل التحفيز'!$A$5:$A$2004,MATCH($K182,'سجل التحفيز'!$AB$5:$AB$2004,0)))</f>
        <v/>
      </c>
      <c r="M182" s="9">
        <f>IF($K182="","",INDEX('سجل التحفيز'!$B$5:$B$2004,MATCH($K182,'سجل التحفيز'!$AB$5:$AB$2004,0)))</f>
        <v/>
      </c>
      <c r="N182" s="9">
        <f>IF($K182="","",INDEX('سجل التحفيز'!$M$5:$M$2004,MATCH($K182,'سجل التحفيز'!$AB$5:$AB$2004,0)))</f>
        <v/>
      </c>
      <c r="O182" s="9">
        <f>IF($K182="","",INDEX('سجل التحفيز'!$C$5:$C$2004,MATCH($K182,'سجل التحفيز'!$AB$5:$AB$2004,0)))</f>
        <v/>
      </c>
      <c r="P182" s="36">
        <f>IF($K182="","",INDEX('سجل التحفيز'!$D$5:$D$2004,MATCH($K182,'سجل التحفيز'!$AB$5:$AB$2004,0)))</f>
        <v/>
      </c>
      <c r="Q182" s="9">
        <f>IF($K182="","",INDEX('سجل التحفيز'!$E$5:$E$2004,MATCH($K182,'سجل التحفيز'!$AB$5:$AB$2004,0)))</f>
        <v/>
      </c>
      <c r="R182" s="9">
        <f>IF($K182="","",INDEX('سجل التحفيز'!$F$5:$F$2004,MATCH($K182,'سجل التحفيز'!$AB$5:$AB$2004,0)))</f>
        <v/>
      </c>
      <c r="S182" s="35">
        <f>IF($K182="","",INDEX('سجل التحفيز'!$G$5:$G$2004,MATCH($K182,'سجل التحفيز'!$AB$5:$AB$2004,0)))</f>
        <v/>
      </c>
    </row>
    <row r="183">
      <c r="B183" s="34">
        <f>IFERROR(INDEX(الموظفات!$B$5:$B$304,MATCH(146,الموظفات!$V$5:$V$304,0)),"")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التحفيز'!$AB$5:$AB$2004,"&gt;0",'سجل التحفيز'!$B$5:$B$2004,B183))</f>
        <v/>
      </c>
      <c r="E183" s="35">
        <f>IF(B183="","",COUNTIFS('سجل التحفيز'!$AB$5:$AB$2004,"&gt;0",'سجل التحفيز'!$B$5:$B$2004,B183,'سجل التحفيز'!$D$5:$D$2004,"ذهبي"))</f>
        <v/>
      </c>
      <c r="F183" s="35">
        <f>IF(B183="","",SUMIFS('سجل التحفيز'!$G$5:$G$2004,'سجل التحفيز'!$AB$5:$AB$2004,"&gt;0",'سجل التحفيز'!$B$5:$B$2004,B183))</f>
        <v/>
      </c>
      <c r="G183" s="35">
        <f>IF(B183="","",COUNTIF($D$38:$D$187,"&gt;"&amp;D183)+1)</f>
        <v/>
      </c>
      <c r="H183" s="35">
        <f>IF(B183="","",INDEX(الموظفات!$L$5:$L$304,MATCH(B183,الموظفات!$B$5:$B$304,0)))</f>
        <v/>
      </c>
      <c r="K183" s="36">
        <f>IF(146&gt;$B$10,"",146)</f>
        <v/>
      </c>
      <c r="L183" s="37">
        <f>IF($K183="","",INDEX('سجل التحفيز'!$A$5:$A$2004,MATCH($K183,'سجل التحفيز'!$AB$5:$AB$2004,0)))</f>
        <v/>
      </c>
      <c r="M183" s="9">
        <f>IF($K183="","",INDEX('سجل التحفيز'!$B$5:$B$2004,MATCH($K183,'سجل التحفيز'!$AB$5:$AB$2004,0)))</f>
        <v/>
      </c>
      <c r="N183" s="9">
        <f>IF($K183="","",INDEX('سجل التحفيز'!$M$5:$M$2004,MATCH($K183,'سجل التحفيز'!$AB$5:$AB$2004,0)))</f>
        <v/>
      </c>
      <c r="O183" s="9">
        <f>IF($K183="","",INDEX('سجل التحفيز'!$C$5:$C$2004,MATCH($K183,'سجل التحفيز'!$AB$5:$AB$2004,0)))</f>
        <v/>
      </c>
      <c r="P183" s="36">
        <f>IF($K183="","",INDEX('سجل التحفيز'!$D$5:$D$2004,MATCH($K183,'سجل التحفيز'!$AB$5:$AB$2004,0)))</f>
        <v/>
      </c>
      <c r="Q183" s="9">
        <f>IF($K183="","",INDEX('سجل التحفيز'!$E$5:$E$2004,MATCH($K183,'سجل التحفيز'!$AB$5:$AB$2004,0)))</f>
        <v/>
      </c>
      <c r="R183" s="9">
        <f>IF($K183="","",INDEX('سجل التحفيز'!$F$5:$F$2004,MATCH($K183,'سجل التحفيز'!$AB$5:$AB$2004,0)))</f>
        <v/>
      </c>
      <c r="S183" s="35">
        <f>IF($K183="","",INDEX('سجل التحفيز'!$G$5:$G$2004,MATCH($K183,'سجل التحفيز'!$AB$5:$AB$2004,0)))</f>
        <v/>
      </c>
    </row>
    <row r="184">
      <c r="B184" s="34">
        <f>IFERROR(INDEX(الموظفات!$B$5:$B$304,MATCH(147,الموظفات!$V$5:$V$304,0)),"")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التحفيز'!$AB$5:$AB$2004,"&gt;0",'سجل التحفيز'!$B$5:$B$2004,B184))</f>
        <v/>
      </c>
      <c r="E184" s="35">
        <f>IF(B184="","",COUNTIFS('سجل التحفيز'!$AB$5:$AB$2004,"&gt;0",'سجل التحفيز'!$B$5:$B$2004,B184,'سجل التحفيز'!$D$5:$D$2004,"ذهبي"))</f>
        <v/>
      </c>
      <c r="F184" s="35">
        <f>IF(B184="","",SUMIFS('سجل التحفيز'!$G$5:$G$2004,'سجل التحفيز'!$AB$5:$AB$2004,"&gt;0",'سجل التحفيز'!$B$5:$B$2004,B184))</f>
        <v/>
      </c>
      <c r="G184" s="35">
        <f>IF(B184="","",COUNTIF($D$38:$D$187,"&gt;"&amp;D184)+1)</f>
        <v/>
      </c>
      <c r="H184" s="35">
        <f>IF(B184="","",INDEX(الموظفات!$L$5:$L$304,MATCH(B184,الموظفات!$B$5:$B$304,0)))</f>
        <v/>
      </c>
      <c r="K184" s="36">
        <f>IF(147&gt;$B$10,"",147)</f>
        <v/>
      </c>
      <c r="L184" s="37">
        <f>IF($K184="","",INDEX('سجل التحفيز'!$A$5:$A$2004,MATCH($K184,'سجل التحفيز'!$AB$5:$AB$2004,0)))</f>
        <v/>
      </c>
      <c r="M184" s="9">
        <f>IF($K184="","",INDEX('سجل التحفيز'!$B$5:$B$2004,MATCH($K184,'سجل التحفيز'!$AB$5:$AB$2004,0)))</f>
        <v/>
      </c>
      <c r="N184" s="9">
        <f>IF($K184="","",INDEX('سجل التحفيز'!$M$5:$M$2004,MATCH($K184,'سجل التحفيز'!$AB$5:$AB$2004,0)))</f>
        <v/>
      </c>
      <c r="O184" s="9">
        <f>IF($K184="","",INDEX('سجل التحفيز'!$C$5:$C$2004,MATCH($K184,'سجل التحفيز'!$AB$5:$AB$2004,0)))</f>
        <v/>
      </c>
      <c r="P184" s="36">
        <f>IF($K184="","",INDEX('سجل التحفيز'!$D$5:$D$2004,MATCH($K184,'سجل التحفيز'!$AB$5:$AB$2004,0)))</f>
        <v/>
      </c>
      <c r="Q184" s="9">
        <f>IF($K184="","",INDEX('سجل التحفيز'!$E$5:$E$2004,MATCH($K184,'سجل التحفيز'!$AB$5:$AB$2004,0)))</f>
        <v/>
      </c>
      <c r="R184" s="9">
        <f>IF($K184="","",INDEX('سجل التحفيز'!$F$5:$F$2004,MATCH($K184,'سجل التحفيز'!$AB$5:$AB$2004,0)))</f>
        <v/>
      </c>
      <c r="S184" s="35">
        <f>IF($K184="","",INDEX('سجل التحفيز'!$G$5:$G$2004,MATCH($K184,'سجل التحفيز'!$AB$5:$AB$2004,0)))</f>
        <v/>
      </c>
    </row>
    <row r="185">
      <c r="B185" s="34">
        <f>IFERROR(INDEX(الموظفات!$B$5:$B$304,MATCH(148,الموظفات!$V$5:$V$304,0)),"")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التحفيز'!$AB$5:$AB$2004,"&gt;0",'سجل التحفيز'!$B$5:$B$2004,B185))</f>
        <v/>
      </c>
      <c r="E185" s="35">
        <f>IF(B185="","",COUNTIFS('سجل التحفيز'!$AB$5:$AB$2004,"&gt;0",'سجل التحفيز'!$B$5:$B$2004,B185,'سجل التحفيز'!$D$5:$D$2004,"ذهبي"))</f>
        <v/>
      </c>
      <c r="F185" s="35">
        <f>IF(B185="","",SUMIFS('سجل التحفيز'!$G$5:$G$2004,'سجل التحفيز'!$AB$5:$AB$2004,"&gt;0",'سجل التحفيز'!$B$5:$B$2004,B185))</f>
        <v/>
      </c>
      <c r="G185" s="35">
        <f>IF(B185="","",COUNTIF($D$38:$D$187,"&gt;"&amp;D185)+1)</f>
        <v/>
      </c>
      <c r="H185" s="35">
        <f>IF(B185="","",INDEX(الموظفات!$L$5:$L$304,MATCH(B185,الموظفات!$B$5:$B$304,0)))</f>
        <v/>
      </c>
      <c r="K185" s="36">
        <f>IF(148&gt;$B$10,"",148)</f>
        <v/>
      </c>
      <c r="L185" s="37">
        <f>IF($K185="","",INDEX('سجل التحفيز'!$A$5:$A$2004,MATCH($K185,'سجل التحفيز'!$AB$5:$AB$2004,0)))</f>
        <v/>
      </c>
      <c r="M185" s="9">
        <f>IF($K185="","",INDEX('سجل التحفيز'!$B$5:$B$2004,MATCH($K185,'سجل التحفيز'!$AB$5:$AB$2004,0)))</f>
        <v/>
      </c>
      <c r="N185" s="9">
        <f>IF($K185="","",INDEX('سجل التحفيز'!$M$5:$M$2004,MATCH($K185,'سجل التحفيز'!$AB$5:$AB$2004,0)))</f>
        <v/>
      </c>
      <c r="O185" s="9">
        <f>IF($K185="","",INDEX('سجل التحفيز'!$C$5:$C$2004,MATCH($K185,'سجل التحفيز'!$AB$5:$AB$2004,0)))</f>
        <v/>
      </c>
      <c r="P185" s="36">
        <f>IF($K185="","",INDEX('سجل التحفيز'!$D$5:$D$2004,MATCH($K185,'سجل التحفيز'!$AB$5:$AB$2004,0)))</f>
        <v/>
      </c>
      <c r="Q185" s="9">
        <f>IF($K185="","",INDEX('سجل التحفيز'!$E$5:$E$2004,MATCH($K185,'سجل التحفيز'!$AB$5:$AB$2004,0)))</f>
        <v/>
      </c>
      <c r="R185" s="9">
        <f>IF($K185="","",INDEX('سجل التحفيز'!$F$5:$F$2004,MATCH($K185,'سجل التحفيز'!$AB$5:$AB$2004,0)))</f>
        <v/>
      </c>
      <c r="S185" s="35">
        <f>IF($K185="","",INDEX('سجل التحفيز'!$G$5:$G$2004,MATCH($K185,'سجل التحفيز'!$AB$5:$AB$2004,0)))</f>
        <v/>
      </c>
    </row>
    <row r="186">
      <c r="B186" s="34">
        <f>IFERROR(INDEX(الموظفات!$B$5:$B$304,MATCH(149,الموظفات!$V$5:$V$304,0)),"")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التحفيز'!$AB$5:$AB$2004,"&gt;0",'سجل التحفيز'!$B$5:$B$2004,B186))</f>
        <v/>
      </c>
      <c r="E186" s="35">
        <f>IF(B186="","",COUNTIFS('سجل التحفيز'!$AB$5:$AB$2004,"&gt;0",'سجل التحفيز'!$B$5:$B$2004,B186,'سجل التحفيز'!$D$5:$D$2004,"ذهبي"))</f>
        <v/>
      </c>
      <c r="F186" s="35">
        <f>IF(B186="","",SUMIFS('سجل التحفيز'!$G$5:$G$2004,'سجل التحفيز'!$AB$5:$AB$2004,"&gt;0",'سجل التحفيز'!$B$5:$B$2004,B186))</f>
        <v/>
      </c>
      <c r="G186" s="35">
        <f>IF(B186="","",COUNTIF($D$38:$D$187,"&gt;"&amp;D186)+1)</f>
        <v/>
      </c>
      <c r="H186" s="35">
        <f>IF(B186="","",INDEX(الموظفات!$L$5:$L$304,MATCH(B186,الموظفات!$B$5:$B$304,0)))</f>
        <v/>
      </c>
      <c r="K186" s="36">
        <f>IF(149&gt;$B$10,"",149)</f>
        <v/>
      </c>
      <c r="L186" s="37">
        <f>IF($K186="","",INDEX('سجل التحفيز'!$A$5:$A$2004,MATCH($K186,'سجل التحفيز'!$AB$5:$AB$2004,0)))</f>
        <v/>
      </c>
      <c r="M186" s="9">
        <f>IF($K186="","",INDEX('سجل التحفيز'!$B$5:$B$2004,MATCH($K186,'سجل التحفيز'!$AB$5:$AB$2004,0)))</f>
        <v/>
      </c>
      <c r="N186" s="9">
        <f>IF($K186="","",INDEX('سجل التحفيز'!$M$5:$M$2004,MATCH($K186,'سجل التحفيز'!$AB$5:$AB$2004,0)))</f>
        <v/>
      </c>
      <c r="O186" s="9">
        <f>IF($K186="","",INDEX('سجل التحفيز'!$C$5:$C$2004,MATCH($K186,'سجل التحفيز'!$AB$5:$AB$2004,0)))</f>
        <v/>
      </c>
      <c r="P186" s="36">
        <f>IF($K186="","",INDEX('سجل التحفيز'!$D$5:$D$2004,MATCH($K186,'سجل التحفيز'!$AB$5:$AB$2004,0)))</f>
        <v/>
      </c>
      <c r="Q186" s="9">
        <f>IF($K186="","",INDEX('سجل التحفيز'!$E$5:$E$2004,MATCH($K186,'سجل التحفيز'!$AB$5:$AB$2004,0)))</f>
        <v/>
      </c>
      <c r="R186" s="9">
        <f>IF($K186="","",INDEX('سجل التحفيز'!$F$5:$F$2004,MATCH($K186,'سجل التحفيز'!$AB$5:$AB$2004,0)))</f>
        <v/>
      </c>
      <c r="S186" s="35">
        <f>IF($K186="","",INDEX('سجل التحفيز'!$G$5:$G$2004,MATCH($K186,'سجل التحفيز'!$AB$5:$AB$2004,0)))</f>
        <v/>
      </c>
    </row>
    <row r="187">
      <c r="B187" s="34">
        <f>IFERROR(INDEX(الموظفات!$B$5:$B$304,MATCH(150,الموظفات!$V$5:$V$304,0)),"")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التحفيز'!$AB$5:$AB$2004,"&gt;0",'سجل التحفيز'!$B$5:$B$2004,B187))</f>
        <v/>
      </c>
      <c r="E187" s="35">
        <f>IF(B187="","",COUNTIFS('سجل التحفيز'!$AB$5:$AB$2004,"&gt;0",'سجل التحفيز'!$B$5:$B$2004,B187,'سجل التحفيز'!$D$5:$D$2004,"ذهبي"))</f>
        <v/>
      </c>
      <c r="F187" s="35">
        <f>IF(B187="","",SUMIFS('سجل التحفيز'!$G$5:$G$2004,'سجل التحفيز'!$AB$5:$AB$2004,"&gt;0",'سجل التحفيز'!$B$5:$B$2004,B187))</f>
        <v/>
      </c>
      <c r="G187" s="35">
        <f>IF(B187="","",COUNTIF($D$38:$D$187,"&gt;"&amp;D187)+1)</f>
        <v/>
      </c>
      <c r="H187" s="35">
        <f>IF(B187="","",INDEX(الموظفات!$L$5:$L$304,MATCH(B187,الموظفات!$B$5:$B$304,0)))</f>
        <v/>
      </c>
      <c r="K187" s="36">
        <f>IF(150&gt;$B$10,"",150)</f>
        <v/>
      </c>
      <c r="L187" s="37">
        <f>IF($K187="","",INDEX('سجل التحفيز'!$A$5:$A$2004,MATCH($K187,'سجل التحفيز'!$AB$5:$AB$2004,0)))</f>
        <v/>
      </c>
      <c r="M187" s="9">
        <f>IF($K187="","",INDEX('سجل التحفيز'!$B$5:$B$2004,MATCH($K187,'سجل التحفيز'!$AB$5:$AB$2004,0)))</f>
        <v/>
      </c>
      <c r="N187" s="9">
        <f>IF($K187="","",INDEX('سجل التحفيز'!$M$5:$M$2004,MATCH($K187,'سجل التحفيز'!$AB$5:$AB$2004,0)))</f>
        <v/>
      </c>
      <c r="O187" s="9">
        <f>IF($K187="","",INDEX('سجل التحفيز'!$C$5:$C$2004,MATCH($K187,'سجل التحفيز'!$AB$5:$AB$2004,0)))</f>
        <v/>
      </c>
      <c r="P187" s="36">
        <f>IF($K187="","",INDEX('سجل التحفيز'!$D$5:$D$2004,MATCH($K187,'سجل التحفيز'!$AB$5:$AB$2004,0)))</f>
        <v/>
      </c>
      <c r="Q187" s="9">
        <f>IF($K187="","",INDEX('سجل التحفيز'!$E$5:$E$2004,MATCH($K187,'سجل التحفيز'!$AB$5:$AB$2004,0)))</f>
        <v/>
      </c>
      <c r="R187" s="9">
        <f>IF($K187="","",INDEX('سجل التحفيز'!$F$5:$F$2004,MATCH($K187,'سجل التحفيز'!$AB$5:$AB$2004,0)))</f>
        <v/>
      </c>
      <c r="S187" s="35">
        <f>IF($K187="","",INDEX('سجل التحفيز'!$G$5:$G$2004,MATCH($K187,'سجل التحفيز'!$AB$5:$AB$2004,0)))</f>
        <v/>
      </c>
    </row>
    <row r="188">
      <c r="K188" s="36">
        <f>IF(151&gt;$B$10,"",151)</f>
        <v/>
      </c>
      <c r="L188" s="37">
        <f>IF($K188="","",INDEX('سجل التحفيز'!$A$5:$A$2004,MATCH($K188,'سجل التحفيز'!$AB$5:$AB$2004,0)))</f>
        <v/>
      </c>
      <c r="M188" s="9">
        <f>IF($K188="","",INDEX('سجل التحفيز'!$B$5:$B$2004,MATCH($K188,'سجل التحفيز'!$AB$5:$AB$2004,0)))</f>
        <v/>
      </c>
      <c r="N188" s="9">
        <f>IF($K188="","",INDEX('سجل التحفيز'!$M$5:$M$2004,MATCH($K188,'سجل التحفيز'!$AB$5:$AB$2004,0)))</f>
        <v/>
      </c>
      <c r="O188" s="9">
        <f>IF($K188="","",INDEX('سجل التحفيز'!$C$5:$C$2004,MATCH($K188,'سجل التحفيز'!$AB$5:$AB$2004,0)))</f>
        <v/>
      </c>
      <c r="P188" s="36">
        <f>IF($K188="","",INDEX('سجل التحفيز'!$D$5:$D$2004,MATCH($K188,'سجل التحفيز'!$AB$5:$AB$2004,0)))</f>
        <v/>
      </c>
      <c r="Q188" s="9">
        <f>IF($K188="","",INDEX('سجل التحفيز'!$E$5:$E$2004,MATCH($K188,'سجل التحفيز'!$AB$5:$AB$2004,0)))</f>
        <v/>
      </c>
      <c r="R188" s="9">
        <f>IF($K188="","",INDEX('سجل التحفيز'!$F$5:$F$2004,MATCH($K188,'سجل التحفيز'!$AB$5:$AB$2004,0)))</f>
        <v/>
      </c>
      <c r="S188" s="35">
        <f>IF($K188="","",INDEX('سجل التحفيز'!$G$5:$G$2004,MATCH($K188,'سجل التحفيز'!$AB$5:$AB$2004,0)))</f>
        <v/>
      </c>
    </row>
    <row r="189">
      <c r="K189" s="36">
        <f>IF(152&gt;$B$10,"",152)</f>
        <v/>
      </c>
      <c r="L189" s="37">
        <f>IF($K189="","",INDEX('سجل التحفيز'!$A$5:$A$2004,MATCH($K189,'سجل التحفيز'!$AB$5:$AB$2004,0)))</f>
        <v/>
      </c>
      <c r="M189" s="9">
        <f>IF($K189="","",INDEX('سجل التحفيز'!$B$5:$B$2004,MATCH($K189,'سجل التحفيز'!$AB$5:$AB$2004,0)))</f>
        <v/>
      </c>
      <c r="N189" s="9">
        <f>IF($K189="","",INDEX('سجل التحفيز'!$M$5:$M$2004,MATCH($K189,'سجل التحفيز'!$AB$5:$AB$2004,0)))</f>
        <v/>
      </c>
      <c r="O189" s="9">
        <f>IF($K189="","",INDEX('سجل التحفيز'!$C$5:$C$2004,MATCH($K189,'سجل التحفيز'!$AB$5:$AB$2004,0)))</f>
        <v/>
      </c>
      <c r="P189" s="36">
        <f>IF($K189="","",INDEX('سجل التحفيز'!$D$5:$D$2004,MATCH($K189,'سجل التحفيز'!$AB$5:$AB$2004,0)))</f>
        <v/>
      </c>
      <c r="Q189" s="9">
        <f>IF($K189="","",INDEX('سجل التحفيز'!$E$5:$E$2004,MATCH($K189,'سجل التحفيز'!$AB$5:$AB$2004,0)))</f>
        <v/>
      </c>
      <c r="R189" s="9">
        <f>IF($K189="","",INDEX('سجل التحفيز'!$F$5:$F$2004,MATCH($K189,'سجل التحفيز'!$AB$5:$AB$2004,0)))</f>
        <v/>
      </c>
      <c r="S189" s="35">
        <f>IF($K189="","",INDEX('سجل التحفيز'!$G$5:$G$2004,MATCH($K189,'سجل التحفيز'!$AB$5:$AB$2004,0)))</f>
        <v/>
      </c>
    </row>
    <row r="190">
      <c r="K190" s="36">
        <f>IF(153&gt;$B$10,"",153)</f>
        <v/>
      </c>
      <c r="L190" s="37">
        <f>IF($K190="","",INDEX('سجل التحفيز'!$A$5:$A$2004,MATCH($K190,'سجل التحفيز'!$AB$5:$AB$2004,0)))</f>
        <v/>
      </c>
      <c r="M190" s="9">
        <f>IF($K190="","",INDEX('سجل التحفيز'!$B$5:$B$2004,MATCH($K190,'سجل التحفيز'!$AB$5:$AB$2004,0)))</f>
        <v/>
      </c>
      <c r="N190" s="9">
        <f>IF($K190="","",INDEX('سجل التحفيز'!$M$5:$M$2004,MATCH($K190,'سجل التحفيز'!$AB$5:$AB$2004,0)))</f>
        <v/>
      </c>
      <c r="O190" s="9">
        <f>IF($K190="","",INDEX('سجل التحفيز'!$C$5:$C$2004,MATCH($K190,'سجل التحفيز'!$AB$5:$AB$2004,0)))</f>
        <v/>
      </c>
      <c r="P190" s="36">
        <f>IF($K190="","",INDEX('سجل التحفيز'!$D$5:$D$2004,MATCH($K190,'سجل التحفيز'!$AB$5:$AB$2004,0)))</f>
        <v/>
      </c>
      <c r="Q190" s="9">
        <f>IF($K190="","",INDEX('سجل التحفيز'!$E$5:$E$2004,MATCH($K190,'سجل التحفيز'!$AB$5:$AB$2004,0)))</f>
        <v/>
      </c>
      <c r="R190" s="9">
        <f>IF($K190="","",INDEX('سجل التحفيز'!$F$5:$F$2004,MATCH($K190,'سجل التحفيز'!$AB$5:$AB$2004,0)))</f>
        <v/>
      </c>
      <c r="S190" s="35">
        <f>IF($K190="","",INDEX('سجل التحفيز'!$G$5:$G$2004,MATCH($K190,'سجل التحفيز'!$AB$5:$AB$2004,0)))</f>
        <v/>
      </c>
    </row>
    <row r="191">
      <c r="K191" s="36">
        <f>IF(154&gt;$B$10,"",154)</f>
        <v/>
      </c>
      <c r="L191" s="37">
        <f>IF($K191="","",INDEX('سجل التحفيز'!$A$5:$A$2004,MATCH($K191,'سجل التحفيز'!$AB$5:$AB$2004,0)))</f>
        <v/>
      </c>
      <c r="M191" s="9">
        <f>IF($K191="","",INDEX('سجل التحفيز'!$B$5:$B$2004,MATCH($K191,'سجل التحفيز'!$AB$5:$AB$2004,0)))</f>
        <v/>
      </c>
      <c r="N191" s="9">
        <f>IF($K191="","",INDEX('سجل التحفيز'!$M$5:$M$2004,MATCH($K191,'سجل التحفيز'!$AB$5:$AB$2004,0)))</f>
        <v/>
      </c>
      <c r="O191" s="9">
        <f>IF($K191="","",INDEX('سجل التحفيز'!$C$5:$C$2004,MATCH($K191,'سجل التحفيز'!$AB$5:$AB$2004,0)))</f>
        <v/>
      </c>
      <c r="P191" s="36">
        <f>IF($K191="","",INDEX('سجل التحفيز'!$D$5:$D$2004,MATCH($K191,'سجل التحفيز'!$AB$5:$AB$2004,0)))</f>
        <v/>
      </c>
      <c r="Q191" s="9">
        <f>IF($K191="","",INDEX('سجل التحفيز'!$E$5:$E$2004,MATCH($K191,'سجل التحفيز'!$AB$5:$AB$2004,0)))</f>
        <v/>
      </c>
      <c r="R191" s="9">
        <f>IF($K191="","",INDEX('سجل التحفيز'!$F$5:$F$2004,MATCH($K191,'سجل التحفيز'!$AB$5:$AB$2004,0)))</f>
        <v/>
      </c>
      <c r="S191" s="35">
        <f>IF($K191="","",INDEX('سجل التحفيز'!$G$5:$G$2004,MATCH($K191,'سجل التحفيز'!$AB$5:$AB$2004,0)))</f>
        <v/>
      </c>
    </row>
    <row r="192">
      <c r="K192" s="36">
        <f>IF(155&gt;$B$10,"",155)</f>
        <v/>
      </c>
      <c r="L192" s="37">
        <f>IF($K192="","",INDEX('سجل التحفيز'!$A$5:$A$2004,MATCH($K192,'سجل التحفيز'!$AB$5:$AB$2004,0)))</f>
        <v/>
      </c>
      <c r="M192" s="9">
        <f>IF($K192="","",INDEX('سجل التحفيز'!$B$5:$B$2004,MATCH($K192,'سجل التحفيز'!$AB$5:$AB$2004,0)))</f>
        <v/>
      </c>
      <c r="N192" s="9">
        <f>IF($K192="","",INDEX('سجل التحفيز'!$M$5:$M$2004,MATCH($K192,'سجل التحفيز'!$AB$5:$AB$2004,0)))</f>
        <v/>
      </c>
      <c r="O192" s="9">
        <f>IF($K192="","",INDEX('سجل التحفيز'!$C$5:$C$2004,MATCH($K192,'سجل التحفيز'!$AB$5:$AB$2004,0)))</f>
        <v/>
      </c>
      <c r="P192" s="36">
        <f>IF($K192="","",INDEX('سجل التحفيز'!$D$5:$D$2004,MATCH($K192,'سجل التحفيز'!$AB$5:$AB$2004,0)))</f>
        <v/>
      </c>
      <c r="Q192" s="9">
        <f>IF($K192="","",INDEX('سجل التحفيز'!$E$5:$E$2004,MATCH($K192,'سجل التحفيز'!$AB$5:$AB$2004,0)))</f>
        <v/>
      </c>
      <c r="R192" s="9">
        <f>IF($K192="","",INDEX('سجل التحفيز'!$F$5:$F$2004,MATCH($K192,'سجل التحفيز'!$AB$5:$AB$2004,0)))</f>
        <v/>
      </c>
      <c r="S192" s="35">
        <f>IF($K192="","",INDEX('سجل التحفيز'!$G$5:$G$2004,MATCH($K192,'سجل التحفيز'!$AB$5:$AB$2004,0)))</f>
        <v/>
      </c>
    </row>
    <row r="193">
      <c r="K193" s="36">
        <f>IF(156&gt;$B$10,"",156)</f>
        <v/>
      </c>
      <c r="L193" s="37">
        <f>IF($K193="","",INDEX('سجل التحفيز'!$A$5:$A$2004,MATCH($K193,'سجل التحفيز'!$AB$5:$AB$2004,0)))</f>
        <v/>
      </c>
      <c r="M193" s="9">
        <f>IF($K193="","",INDEX('سجل التحفيز'!$B$5:$B$2004,MATCH($K193,'سجل التحفيز'!$AB$5:$AB$2004,0)))</f>
        <v/>
      </c>
      <c r="N193" s="9">
        <f>IF($K193="","",INDEX('سجل التحفيز'!$M$5:$M$2004,MATCH($K193,'سجل التحفيز'!$AB$5:$AB$2004,0)))</f>
        <v/>
      </c>
      <c r="O193" s="9">
        <f>IF($K193="","",INDEX('سجل التحفيز'!$C$5:$C$2004,MATCH($K193,'سجل التحفيز'!$AB$5:$AB$2004,0)))</f>
        <v/>
      </c>
      <c r="P193" s="36">
        <f>IF($K193="","",INDEX('سجل التحفيز'!$D$5:$D$2004,MATCH($K193,'سجل التحفيز'!$AB$5:$AB$2004,0)))</f>
        <v/>
      </c>
      <c r="Q193" s="9">
        <f>IF($K193="","",INDEX('سجل التحفيز'!$E$5:$E$2004,MATCH($K193,'سجل التحفيز'!$AB$5:$AB$2004,0)))</f>
        <v/>
      </c>
      <c r="R193" s="9">
        <f>IF($K193="","",INDEX('سجل التحفيز'!$F$5:$F$2004,MATCH($K193,'سجل التحفيز'!$AB$5:$AB$2004,0)))</f>
        <v/>
      </c>
      <c r="S193" s="35">
        <f>IF($K193="","",INDEX('سجل التحفيز'!$G$5:$G$2004,MATCH($K193,'سجل التحفيز'!$AB$5:$AB$2004,0)))</f>
        <v/>
      </c>
    </row>
    <row r="194">
      <c r="K194" s="36">
        <f>IF(157&gt;$B$10,"",157)</f>
        <v/>
      </c>
      <c r="L194" s="37">
        <f>IF($K194="","",INDEX('سجل التحفيز'!$A$5:$A$2004,MATCH($K194,'سجل التحفيز'!$AB$5:$AB$2004,0)))</f>
        <v/>
      </c>
      <c r="M194" s="9">
        <f>IF($K194="","",INDEX('سجل التحفيز'!$B$5:$B$2004,MATCH($K194,'سجل التحفيز'!$AB$5:$AB$2004,0)))</f>
        <v/>
      </c>
      <c r="N194" s="9">
        <f>IF($K194="","",INDEX('سجل التحفيز'!$M$5:$M$2004,MATCH($K194,'سجل التحفيز'!$AB$5:$AB$2004,0)))</f>
        <v/>
      </c>
      <c r="O194" s="9">
        <f>IF($K194="","",INDEX('سجل التحفيز'!$C$5:$C$2004,MATCH($K194,'سجل التحفيز'!$AB$5:$AB$2004,0)))</f>
        <v/>
      </c>
      <c r="P194" s="36">
        <f>IF($K194="","",INDEX('سجل التحفيز'!$D$5:$D$2004,MATCH($K194,'سجل التحفيز'!$AB$5:$AB$2004,0)))</f>
        <v/>
      </c>
      <c r="Q194" s="9">
        <f>IF($K194="","",INDEX('سجل التحفيز'!$E$5:$E$2004,MATCH($K194,'سجل التحفيز'!$AB$5:$AB$2004,0)))</f>
        <v/>
      </c>
      <c r="R194" s="9">
        <f>IF($K194="","",INDEX('سجل التحفيز'!$F$5:$F$2004,MATCH($K194,'سجل التحفيز'!$AB$5:$AB$2004,0)))</f>
        <v/>
      </c>
      <c r="S194" s="35">
        <f>IF($K194="","",INDEX('سجل التحفيز'!$G$5:$G$2004,MATCH($K194,'سجل التحفيز'!$AB$5:$AB$2004,0)))</f>
        <v/>
      </c>
    </row>
    <row r="195">
      <c r="K195" s="36">
        <f>IF(158&gt;$B$10,"",158)</f>
        <v/>
      </c>
      <c r="L195" s="37">
        <f>IF($K195="","",INDEX('سجل التحفيز'!$A$5:$A$2004,MATCH($K195,'سجل التحفيز'!$AB$5:$AB$2004,0)))</f>
        <v/>
      </c>
      <c r="M195" s="9">
        <f>IF($K195="","",INDEX('سجل التحفيز'!$B$5:$B$2004,MATCH($K195,'سجل التحفيز'!$AB$5:$AB$2004,0)))</f>
        <v/>
      </c>
      <c r="N195" s="9">
        <f>IF($K195="","",INDEX('سجل التحفيز'!$M$5:$M$2004,MATCH($K195,'سجل التحفيز'!$AB$5:$AB$2004,0)))</f>
        <v/>
      </c>
      <c r="O195" s="9">
        <f>IF($K195="","",INDEX('سجل التحفيز'!$C$5:$C$2004,MATCH($K195,'سجل التحفيز'!$AB$5:$AB$2004,0)))</f>
        <v/>
      </c>
      <c r="P195" s="36">
        <f>IF($K195="","",INDEX('سجل التحفيز'!$D$5:$D$2004,MATCH($K195,'سجل التحفيز'!$AB$5:$AB$2004,0)))</f>
        <v/>
      </c>
      <c r="Q195" s="9">
        <f>IF($K195="","",INDEX('سجل التحفيز'!$E$5:$E$2004,MATCH($K195,'سجل التحفيز'!$AB$5:$AB$2004,0)))</f>
        <v/>
      </c>
      <c r="R195" s="9">
        <f>IF($K195="","",INDEX('سجل التحفيز'!$F$5:$F$2004,MATCH($K195,'سجل التحفيز'!$AB$5:$AB$2004,0)))</f>
        <v/>
      </c>
      <c r="S195" s="35">
        <f>IF($K195="","",INDEX('سجل التحفيز'!$G$5:$G$2004,MATCH($K195,'سجل التحفيز'!$AB$5:$AB$2004,0)))</f>
        <v/>
      </c>
    </row>
    <row r="196">
      <c r="K196" s="36">
        <f>IF(159&gt;$B$10,"",159)</f>
        <v/>
      </c>
      <c r="L196" s="37">
        <f>IF($K196="","",INDEX('سجل التحفيز'!$A$5:$A$2004,MATCH($K196,'سجل التحفيز'!$AB$5:$AB$2004,0)))</f>
        <v/>
      </c>
      <c r="M196" s="9">
        <f>IF($K196="","",INDEX('سجل التحفيز'!$B$5:$B$2004,MATCH($K196,'سجل التحفيز'!$AB$5:$AB$2004,0)))</f>
        <v/>
      </c>
      <c r="N196" s="9">
        <f>IF($K196="","",INDEX('سجل التحفيز'!$M$5:$M$2004,MATCH($K196,'سجل التحفيز'!$AB$5:$AB$2004,0)))</f>
        <v/>
      </c>
      <c r="O196" s="9">
        <f>IF($K196="","",INDEX('سجل التحفيز'!$C$5:$C$2004,MATCH($K196,'سجل التحفيز'!$AB$5:$AB$2004,0)))</f>
        <v/>
      </c>
      <c r="P196" s="36">
        <f>IF($K196="","",INDEX('سجل التحفيز'!$D$5:$D$2004,MATCH($K196,'سجل التحفيز'!$AB$5:$AB$2004,0)))</f>
        <v/>
      </c>
      <c r="Q196" s="9">
        <f>IF($K196="","",INDEX('سجل التحفيز'!$E$5:$E$2004,MATCH($K196,'سجل التحفيز'!$AB$5:$AB$2004,0)))</f>
        <v/>
      </c>
      <c r="R196" s="9">
        <f>IF($K196="","",INDEX('سجل التحفيز'!$F$5:$F$2004,MATCH($K196,'سجل التحفيز'!$AB$5:$AB$2004,0)))</f>
        <v/>
      </c>
      <c r="S196" s="35">
        <f>IF($K196="","",INDEX('سجل التحفيز'!$G$5:$G$2004,MATCH($K196,'سجل التحفيز'!$AB$5:$AB$2004,0)))</f>
        <v/>
      </c>
    </row>
    <row r="197">
      <c r="K197" s="36">
        <f>IF(160&gt;$B$10,"",160)</f>
        <v/>
      </c>
      <c r="L197" s="37">
        <f>IF($K197="","",INDEX('سجل التحفيز'!$A$5:$A$2004,MATCH($K197,'سجل التحفيز'!$AB$5:$AB$2004,0)))</f>
        <v/>
      </c>
      <c r="M197" s="9">
        <f>IF($K197="","",INDEX('سجل التحفيز'!$B$5:$B$2004,MATCH($K197,'سجل التحفيز'!$AB$5:$AB$2004,0)))</f>
        <v/>
      </c>
      <c r="N197" s="9">
        <f>IF($K197="","",INDEX('سجل التحفيز'!$M$5:$M$2004,MATCH($K197,'سجل التحفيز'!$AB$5:$AB$2004,0)))</f>
        <v/>
      </c>
      <c r="O197" s="9">
        <f>IF($K197="","",INDEX('سجل التحفيز'!$C$5:$C$2004,MATCH($K197,'سجل التحفيز'!$AB$5:$AB$2004,0)))</f>
        <v/>
      </c>
      <c r="P197" s="36">
        <f>IF($K197="","",INDEX('سجل التحفيز'!$D$5:$D$2004,MATCH($K197,'سجل التحفيز'!$AB$5:$AB$2004,0)))</f>
        <v/>
      </c>
      <c r="Q197" s="9">
        <f>IF($K197="","",INDEX('سجل التحفيز'!$E$5:$E$2004,MATCH($K197,'سجل التحفيز'!$AB$5:$AB$2004,0)))</f>
        <v/>
      </c>
      <c r="R197" s="9">
        <f>IF($K197="","",INDEX('سجل التحفيز'!$F$5:$F$2004,MATCH($K197,'سجل التحفيز'!$AB$5:$AB$2004,0)))</f>
        <v/>
      </c>
      <c r="S197" s="35">
        <f>IF($K197="","",INDEX('سجل التحفيز'!$G$5:$G$2004,MATCH($K197,'سجل التحفيز'!$AB$5:$AB$2004,0)))</f>
        <v/>
      </c>
    </row>
    <row r="198">
      <c r="K198" s="36">
        <f>IF(161&gt;$B$10,"",161)</f>
        <v/>
      </c>
      <c r="L198" s="37">
        <f>IF($K198="","",INDEX('سجل التحفيز'!$A$5:$A$2004,MATCH($K198,'سجل التحفيز'!$AB$5:$AB$2004,0)))</f>
        <v/>
      </c>
      <c r="M198" s="9">
        <f>IF($K198="","",INDEX('سجل التحفيز'!$B$5:$B$2004,MATCH($K198,'سجل التحفيز'!$AB$5:$AB$2004,0)))</f>
        <v/>
      </c>
      <c r="N198" s="9">
        <f>IF($K198="","",INDEX('سجل التحفيز'!$M$5:$M$2004,MATCH($K198,'سجل التحفيز'!$AB$5:$AB$2004,0)))</f>
        <v/>
      </c>
      <c r="O198" s="9">
        <f>IF($K198="","",INDEX('سجل التحفيز'!$C$5:$C$2004,MATCH($K198,'سجل التحفيز'!$AB$5:$AB$2004,0)))</f>
        <v/>
      </c>
      <c r="P198" s="36">
        <f>IF($K198="","",INDEX('سجل التحفيز'!$D$5:$D$2004,MATCH($K198,'سجل التحفيز'!$AB$5:$AB$2004,0)))</f>
        <v/>
      </c>
      <c r="Q198" s="9">
        <f>IF($K198="","",INDEX('سجل التحفيز'!$E$5:$E$2004,MATCH($K198,'سجل التحفيز'!$AB$5:$AB$2004,0)))</f>
        <v/>
      </c>
      <c r="R198" s="9">
        <f>IF($K198="","",INDEX('سجل التحفيز'!$F$5:$F$2004,MATCH($K198,'سجل التحفيز'!$AB$5:$AB$2004,0)))</f>
        <v/>
      </c>
      <c r="S198" s="35">
        <f>IF($K198="","",INDEX('سجل التحفيز'!$G$5:$G$2004,MATCH($K198,'سجل التحفيز'!$AB$5:$AB$2004,0)))</f>
        <v/>
      </c>
    </row>
    <row r="199">
      <c r="K199" s="36">
        <f>IF(162&gt;$B$10,"",162)</f>
        <v/>
      </c>
      <c r="L199" s="37">
        <f>IF($K199="","",INDEX('سجل التحفيز'!$A$5:$A$2004,MATCH($K199,'سجل التحفيز'!$AB$5:$AB$2004,0)))</f>
        <v/>
      </c>
      <c r="M199" s="9">
        <f>IF($K199="","",INDEX('سجل التحفيز'!$B$5:$B$2004,MATCH($K199,'سجل التحفيز'!$AB$5:$AB$2004,0)))</f>
        <v/>
      </c>
      <c r="N199" s="9">
        <f>IF($K199="","",INDEX('سجل التحفيز'!$M$5:$M$2004,MATCH($K199,'سجل التحفيز'!$AB$5:$AB$2004,0)))</f>
        <v/>
      </c>
      <c r="O199" s="9">
        <f>IF($K199="","",INDEX('سجل التحفيز'!$C$5:$C$2004,MATCH($K199,'سجل التحفيز'!$AB$5:$AB$2004,0)))</f>
        <v/>
      </c>
      <c r="P199" s="36">
        <f>IF($K199="","",INDEX('سجل التحفيز'!$D$5:$D$2004,MATCH($K199,'سجل التحفيز'!$AB$5:$AB$2004,0)))</f>
        <v/>
      </c>
      <c r="Q199" s="9">
        <f>IF($K199="","",INDEX('سجل التحفيز'!$E$5:$E$2004,MATCH($K199,'سجل التحفيز'!$AB$5:$AB$2004,0)))</f>
        <v/>
      </c>
      <c r="R199" s="9">
        <f>IF($K199="","",INDEX('سجل التحفيز'!$F$5:$F$2004,MATCH($K199,'سجل التحفيز'!$AB$5:$AB$2004,0)))</f>
        <v/>
      </c>
      <c r="S199" s="35">
        <f>IF($K199="","",INDEX('سجل التحفيز'!$G$5:$G$2004,MATCH($K199,'سجل التحفيز'!$AB$5:$AB$2004,0)))</f>
        <v/>
      </c>
    </row>
    <row r="200">
      <c r="K200" s="36">
        <f>IF(163&gt;$B$10,"",163)</f>
        <v/>
      </c>
      <c r="L200" s="37">
        <f>IF($K200="","",INDEX('سجل التحفيز'!$A$5:$A$2004,MATCH($K200,'سجل التحفيز'!$AB$5:$AB$2004,0)))</f>
        <v/>
      </c>
      <c r="M200" s="9">
        <f>IF($K200="","",INDEX('سجل التحفيز'!$B$5:$B$2004,MATCH($K200,'سجل التحفيز'!$AB$5:$AB$2004,0)))</f>
        <v/>
      </c>
      <c r="N200" s="9">
        <f>IF($K200="","",INDEX('سجل التحفيز'!$M$5:$M$2004,MATCH($K200,'سجل التحفيز'!$AB$5:$AB$2004,0)))</f>
        <v/>
      </c>
      <c r="O200" s="9">
        <f>IF($K200="","",INDEX('سجل التحفيز'!$C$5:$C$2004,MATCH($K200,'سجل التحفيز'!$AB$5:$AB$2004,0)))</f>
        <v/>
      </c>
      <c r="P200" s="36">
        <f>IF($K200="","",INDEX('سجل التحفيز'!$D$5:$D$2004,MATCH($K200,'سجل التحفيز'!$AB$5:$AB$2004,0)))</f>
        <v/>
      </c>
      <c r="Q200" s="9">
        <f>IF($K200="","",INDEX('سجل التحفيز'!$E$5:$E$2004,MATCH($K200,'سجل التحفيز'!$AB$5:$AB$2004,0)))</f>
        <v/>
      </c>
      <c r="R200" s="9">
        <f>IF($K200="","",INDEX('سجل التحفيز'!$F$5:$F$2004,MATCH($K200,'سجل التحفيز'!$AB$5:$AB$2004,0)))</f>
        <v/>
      </c>
      <c r="S200" s="35">
        <f>IF($K200="","",INDEX('سجل التحفيز'!$G$5:$G$2004,MATCH($K200,'سجل التحفيز'!$AB$5:$AB$2004,0)))</f>
        <v/>
      </c>
    </row>
    <row r="201">
      <c r="K201" s="36">
        <f>IF(164&gt;$B$10,"",164)</f>
        <v/>
      </c>
      <c r="L201" s="37">
        <f>IF($K201="","",INDEX('سجل التحفيز'!$A$5:$A$2004,MATCH($K201,'سجل التحفيز'!$AB$5:$AB$2004,0)))</f>
        <v/>
      </c>
      <c r="M201" s="9">
        <f>IF($K201="","",INDEX('سجل التحفيز'!$B$5:$B$2004,MATCH($K201,'سجل التحفيز'!$AB$5:$AB$2004,0)))</f>
        <v/>
      </c>
      <c r="N201" s="9">
        <f>IF($K201="","",INDEX('سجل التحفيز'!$M$5:$M$2004,MATCH($K201,'سجل التحفيز'!$AB$5:$AB$2004,0)))</f>
        <v/>
      </c>
      <c r="O201" s="9">
        <f>IF($K201="","",INDEX('سجل التحفيز'!$C$5:$C$2004,MATCH($K201,'سجل التحفيز'!$AB$5:$AB$2004,0)))</f>
        <v/>
      </c>
      <c r="P201" s="36">
        <f>IF($K201="","",INDEX('سجل التحفيز'!$D$5:$D$2004,MATCH($K201,'سجل التحفيز'!$AB$5:$AB$2004,0)))</f>
        <v/>
      </c>
      <c r="Q201" s="9">
        <f>IF($K201="","",INDEX('سجل التحفيز'!$E$5:$E$2004,MATCH($K201,'سجل التحفيز'!$AB$5:$AB$2004,0)))</f>
        <v/>
      </c>
      <c r="R201" s="9">
        <f>IF($K201="","",INDEX('سجل التحفيز'!$F$5:$F$2004,MATCH($K201,'سجل التحفيز'!$AB$5:$AB$2004,0)))</f>
        <v/>
      </c>
      <c r="S201" s="35">
        <f>IF($K201="","",INDEX('سجل التحفيز'!$G$5:$G$2004,MATCH($K201,'سجل التحفيز'!$AB$5:$AB$2004,0)))</f>
        <v/>
      </c>
    </row>
    <row r="202">
      <c r="K202" s="36">
        <f>IF(165&gt;$B$10,"",165)</f>
        <v/>
      </c>
      <c r="L202" s="37">
        <f>IF($K202="","",INDEX('سجل التحفيز'!$A$5:$A$2004,MATCH($K202,'سجل التحفيز'!$AB$5:$AB$2004,0)))</f>
        <v/>
      </c>
      <c r="M202" s="9">
        <f>IF($K202="","",INDEX('سجل التحفيز'!$B$5:$B$2004,MATCH($K202,'سجل التحفيز'!$AB$5:$AB$2004,0)))</f>
        <v/>
      </c>
      <c r="N202" s="9">
        <f>IF($K202="","",INDEX('سجل التحفيز'!$M$5:$M$2004,MATCH($K202,'سجل التحفيز'!$AB$5:$AB$2004,0)))</f>
        <v/>
      </c>
      <c r="O202" s="9">
        <f>IF($K202="","",INDEX('سجل التحفيز'!$C$5:$C$2004,MATCH($K202,'سجل التحفيز'!$AB$5:$AB$2004,0)))</f>
        <v/>
      </c>
      <c r="P202" s="36">
        <f>IF($K202="","",INDEX('سجل التحفيز'!$D$5:$D$2004,MATCH($K202,'سجل التحفيز'!$AB$5:$AB$2004,0)))</f>
        <v/>
      </c>
      <c r="Q202" s="9">
        <f>IF($K202="","",INDEX('سجل التحفيز'!$E$5:$E$2004,MATCH($K202,'سجل التحفيز'!$AB$5:$AB$2004,0)))</f>
        <v/>
      </c>
      <c r="R202" s="9">
        <f>IF($K202="","",INDEX('سجل التحفيز'!$F$5:$F$2004,MATCH($K202,'سجل التحفيز'!$AB$5:$AB$2004,0)))</f>
        <v/>
      </c>
      <c r="S202" s="35">
        <f>IF($K202="","",INDEX('سجل التحفيز'!$G$5:$G$2004,MATCH($K202,'سجل التحفيز'!$AB$5:$AB$2004,0)))</f>
        <v/>
      </c>
    </row>
    <row r="203">
      <c r="K203" s="36">
        <f>IF(166&gt;$B$10,"",166)</f>
        <v/>
      </c>
      <c r="L203" s="37">
        <f>IF($K203="","",INDEX('سجل التحفيز'!$A$5:$A$2004,MATCH($K203,'سجل التحفيز'!$AB$5:$AB$2004,0)))</f>
        <v/>
      </c>
      <c r="M203" s="9">
        <f>IF($K203="","",INDEX('سجل التحفيز'!$B$5:$B$2004,MATCH($K203,'سجل التحفيز'!$AB$5:$AB$2004,0)))</f>
        <v/>
      </c>
      <c r="N203" s="9">
        <f>IF($K203="","",INDEX('سجل التحفيز'!$M$5:$M$2004,MATCH($K203,'سجل التحفيز'!$AB$5:$AB$2004,0)))</f>
        <v/>
      </c>
      <c r="O203" s="9">
        <f>IF($K203="","",INDEX('سجل التحفيز'!$C$5:$C$2004,MATCH($K203,'سجل التحفيز'!$AB$5:$AB$2004,0)))</f>
        <v/>
      </c>
      <c r="P203" s="36">
        <f>IF($K203="","",INDEX('سجل التحفيز'!$D$5:$D$2004,MATCH($K203,'سجل التحفيز'!$AB$5:$AB$2004,0)))</f>
        <v/>
      </c>
      <c r="Q203" s="9">
        <f>IF($K203="","",INDEX('سجل التحفيز'!$E$5:$E$2004,MATCH($K203,'سجل التحفيز'!$AB$5:$AB$2004,0)))</f>
        <v/>
      </c>
      <c r="R203" s="9">
        <f>IF($K203="","",INDEX('سجل التحفيز'!$F$5:$F$2004,MATCH($K203,'سجل التحفيز'!$AB$5:$AB$2004,0)))</f>
        <v/>
      </c>
      <c r="S203" s="35">
        <f>IF($K203="","",INDEX('سجل التحفيز'!$G$5:$G$2004,MATCH($K203,'سجل التحفيز'!$AB$5:$AB$2004,0)))</f>
        <v/>
      </c>
    </row>
    <row r="204">
      <c r="K204" s="36">
        <f>IF(167&gt;$B$10,"",167)</f>
        <v/>
      </c>
      <c r="L204" s="37">
        <f>IF($K204="","",INDEX('سجل التحفيز'!$A$5:$A$2004,MATCH($K204,'سجل التحفيز'!$AB$5:$AB$2004,0)))</f>
        <v/>
      </c>
      <c r="M204" s="9">
        <f>IF($K204="","",INDEX('سجل التحفيز'!$B$5:$B$2004,MATCH($K204,'سجل التحفيز'!$AB$5:$AB$2004,0)))</f>
        <v/>
      </c>
      <c r="N204" s="9">
        <f>IF($K204="","",INDEX('سجل التحفيز'!$M$5:$M$2004,MATCH($K204,'سجل التحفيز'!$AB$5:$AB$2004,0)))</f>
        <v/>
      </c>
      <c r="O204" s="9">
        <f>IF($K204="","",INDEX('سجل التحفيز'!$C$5:$C$2004,MATCH($K204,'سجل التحفيز'!$AB$5:$AB$2004,0)))</f>
        <v/>
      </c>
      <c r="P204" s="36">
        <f>IF($K204="","",INDEX('سجل التحفيز'!$D$5:$D$2004,MATCH($K204,'سجل التحفيز'!$AB$5:$AB$2004,0)))</f>
        <v/>
      </c>
      <c r="Q204" s="9">
        <f>IF($K204="","",INDEX('سجل التحفيز'!$E$5:$E$2004,MATCH($K204,'سجل التحفيز'!$AB$5:$AB$2004,0)))</f>
        <v/>
      </c>
      <c r="R204" s="9">
        <f>IF($K204="","",INDEX('سجل التحفيز'!$F$5:$F$2004,MATCH($K204,'سجل التحفيز'!$AB$5:$AB$2004,0)))</f>
        <v/>
      </c>
      <c r="S204" s="35">
        <f>IF($K204="","",INDEX('سجل التحفيز'!$G$5:$G$2004,MATCH($K204,'سجل التحفيز'!$AB$5:$AB$2004,0)))</f>
        <v/>
      </c>
    </row>
    <row r="205">
      <c r="K205" s="36">
        <f>IF(168&gt;$B$10,"",168)</f>
        <v/>
      </c>
      <c r="L205" s="37">
        <f>IF($K205="","",INDEX('سجل التحفيز'!$A$5:$A$2004,MATCH($K205,'سجل التحفيز'!$AB$5:$AB$2004,0)))</f>
        <v/>
      </c>
      <c r="M205" s="9">
        <f>IF($K205="","",INDEX('سجل التحفيز'!$B$5:$B$2004,MATCH($K205,'سجل التحفيز'!$AB$5:$AB$2004,0)))</f>
        <v/>
      </c>
      <c r="N205" s="9">
        <f>IF($K205="","",INDEX('سجل التحفيز'!$M$5:$M$2004,MATCH($K205,'سجل التحفيز'!$AB$5:$AB$2004,0)))</f>
        <v/>
      </c>
      <c r="O205" s="9">
        <f>IF($K205="","",INDEX('سجل التحفيز'!$C$5:$C$2004,MATCH($K205,'سجل التحفيز'!$AB$5:$AB$2004,0)))</f>
        <v/>
      </c>
      <c r="P205" s="36">
        <f>IF($K205="","",INDEX('سجل التحفيز'!$D$5:$D$2004,MATCH($K205,'سجل التحفيز'!$AB$5:$AB$2004,0)))</f>
        <v/>
      </c>
      <c r="Q205" s="9">
        <f>IF($K205="","",INDEX('سجل التحفيز'!$E$5:$E$2004,MATCH($K205,'سجل التحفيز'!$AB$5:$AB$2004,0)))</f>
        <v/>
      </c>
      <c r="R205" s="9">
        <f>IF($K205="","",INDEX('سجل التحفيز'!$F$5:$F$2004,MATCH($K205,'سجل التحفيز'!$AB$5:$AB$2004,0)))</f>
        <v/>
      </c>
      <c r="S205" s="35">
        <f>IF($K205="","",INDEX('سجل التحفيز'!$G$5:$G$2004,MATCH($K205,'سجل التحفيز'!$AB$5:$AB$2004,0)))</f>
        <v/>
      </c>
    </row>
    <row r="206">
      <c r="K206" s="36">
        <f>IF(169&gt;$B$10,"",169)</f>
        <v/>
      </c>
      <c r="L206" s="37">
        <f>IF($K206="","",INDEX('سجل التحفيز'!$A$5:$A$2004,MATCH($K206,'سجل التحفيز'!$AB$5:$AB$2004,0)))</f>
        <v/>
      </c>
      <c r="M206" s="9">
        <f>IF($K206="","",INDEX('سجل التحفيز'!$B$5:$B$2004,MATCH($K206,'سجل التحفيز'!$AB$5:$AB$2004,0)))</f>
        <v/>
      </c>
      <c r="N206" s="9">
        <f>IF($K206="","",INDEX('سجل التحفيز'!$M$5:$M$2004,MATCH($K206,'سجل التحفيز'!$AB$5:$AB$2004,0)))</f>
        <v/>
      </c>
      <c r="O206" s="9">
        <f>IF($K206="","",INDEX('سجل التحفيز'!$C$5:$C$2004,MATCH($K206,'سجل التحفيز'!$AB$5:$AB$2004,0)))</f>
        <v/>
      </c>
      <c r="P206" s="36">
        <f>IF($K206="","",INDEX('سجل التحفيز'!$D$5:$D$2004,MATCH($K206,'سجل التحفيز'!$AB$5:$AB$2004,0)))</f>
        <v/>
      </c>
      <c r="Q206" s="9">
        <f>IF($K206="","",INDEX('سجل التحفيز'!$E$5:$E$2004,MATCH($K206,'سجل التحفيز'!$AB$5:$AB$2004,0)))</f>
        <v/>
      </c>
      <c r="R206" s="9">
        <f>IF($K206="","",INDEX('سجل التحفيز'!$F$5:$F$2004,MATCH($K206,'سجل التحفيز'!$AB$5:$AB$2004,0)))</f>
        <v/>
      </c>
      <c r="S206" s="35">
        <f>IF($K206="","",INDEX('سجل التحفيز'!$G$5:$G$2004,MATCH($K206,'سجل التحفيز'!$AB$5:$AB$2004,0)))</f>
        <v/>
      </c>
    </row>
    <row r="207">
      <c r="K207" s="36">
        <f>IF(170&gt;$B$10,"",170)</f>
        <v/>
      </c>
      <c r="L207" s="37">
        <f>IF($K207="","",INDEX('سجل التحفيز'!$A$5:$A$2004,MATCH($K207,'سجل التحفيز'!$AB$5:$AB$2004,0)))</f>
        <v/>
      </c>
      <c r="M207" s="9">
        <f>IF($K207="","",INDEX('سجل التحفيز'!$B$5:$B$2004,MATCH($K207,'سجل التحفيز'!$AB$5:$AB$2004,0)))</f>
        <v/>
      </c>
      <c r="N207" s="9">
        <f>IF($K207="","",INDEX('سجل التحفيز'!$M$5:$M$2004,MATCH($K207,'سجل التحفيز'!$AB$5:$AB$2004,0)))</f>
        <v/>
      </c>
      <c r="O207" s="9">
        <f>IF($K207="","",INDEX('سجل التحفيز'!$C$5:$C$2004,MATCH($K207,'سجل التحفيز'!$AB$5:$AB$2004,0)))</f>
        <v/>
      </c>
      <c r="P207" s="36">
        <f>IF($K207="","",INDEX('سجل التحفيز'!$D$5:$D$2004,MATCH($K207,'سجل التحفيز'!$AB$5:$AB$2004,0)))</f>
        <v/>
      </c>
      <c r="Q207" s="9">
        <f>IF($K207="","",INDEX('سجل التحفيز'!$E$5:$E$2004,MATCH($K207,'سجل التحفيز'!$AB$5:$AB$2004,0)))</f>
        <v/>
      </c>
      <c r="R207" s="9">
        <f>IF($K207="","",INDEX('سجل التحفيز'!$F$5:$F$2004,MATCH($K207,'سجل التحفيز'!$AB$5:$AB$2004,0)))</f>
        <v/>
      </c>
      <c r="S207" s="35">
        <f>IF($K207="","",INDEX('سجل التحفيز'!$G$5:$G$2004,MATCH($K207,'سجل التحفيز'!$AB$5:$AB$2004,0)))</f>
        <v/>
      </c>
    </row>
    <row r="208">
      <c r="K208" s="36">
        <f>IF(171&gt;$B$10,"",171)</f>
        <v/>
      </c>
      <c r="L208" s="37">
        <f>IF($K208="","",INDEX('سجل التحفيز'!$A$5:$A$2004,MATCH($K208,'سجل التحفيز'!$AB$5:$AB$2004,0)))</f>
        <v/>
      </c>
      <c r="M208" s="9">
        <f>IF($K208="","",INDEX('سجل التحفيز'!$B$5:$B$2004,MATCH($K208,'سجل التحفيز'!$AB$5:$AB$2004,0)))</f>
        <v/>
      </c>
      <c r="N208" s="9">
        <f>IF($K208="","",INDEX('سجل التحفيز'!$M$5:$M$2004,MATCH($K208,'سجل التحفيز'!$AB$5:$AB$2004,0)))</f>
        <v/>
      </c>
      <c r="O208" s="9">
        <f>IF($K208="","",INDEX('سجل التحفيز'!$C$5:$C$2004,MATCH($K208,'سجل التحفيز'!$AB$5:$AB$2004,0)))</f>
        <v/>
      </c>
      <c r="P208" s="36">
        <f>IF($K208="","",INDEX('سجل التحفيز'!$D$5:$D$2004,MATCH($K208,'سجل التحفيز'!$AB$5:$AB$2004,0)))</f>
        <v/>
      </c>
      <c r="Q208" s="9">
        <f>IF($K208="","",INDEX('سجل التحفيز'!$E$5:$E$2004,MATCH($K208,'سجل التحفيز'!$AB$5:$AB$2004,0)))</f>
        <v/>
      </c>
      <c r="R208" s="9">
        <f>IF($K208="","",INDEX('سجل التحفيز'!$F$5:$F$2004,MATCH($K208,'سجل التحفيز'!$AB$5:$AB$2004,0)))</f>
        <v/>
      </c>
      <c r="S208" s="35">
        <f>IF($K208="","",INDEX('سجل التحفيز'!$G$5:$G$2004,MATCH($K208,'سجل التحفيز'!$AB$5:$AB$2004,0)))</f>
        <v/>
      </c>
    </row>
    <row r="209">
      <c r="K209" s="36">
        <f>IF(172&gt;$B$10,"",172)</f>
        <v/>
      </c>
      <c r="L209" s="37">
        <f>IF($K209="","",INDEX('سجل التحفيز'!$A$5:$A$2004,MATCH($K209,'سجل التحفيز'!$AB$5:$AB$2004,0)))</f>
        <v/>
      </c>
      <c r="M209" s="9">
        <f>IF($K209="","",INDEX('سجل التحفيز'!$B$5:$B$2004,MATCH($K209,'سجل التحفيز'!$AB$5:$AB$2004,0)))</f>
        <v/>
      </c>
      <c r="N209" s="9">
        <f>IF($K209="","",INDEX('سجل التحفيز'!$M$5:$M$2004,MATCH($K209,'سجل التحفيز'!$AB$5:$AB$2004,0)))</f>
        <v/>
      </c>
      <c r="O209" s="9">
        <f>IF($K209="","",INDEX('سجل التحفيز'!$C$5:$C$2004,MATCH($K209,'سجل التحفيز'!$AB$5:$AB$2004,0)))</f>
        <v/>
      </c>
      <c r="P209" s="36">
        <f>IF($K209="","",INDEX('سجل التحفيز'!$D$5:$D$2004,MATCH($K209,'سجل التحفيز'!$AB$5:$AB$2004,0)))</f>
        <v/>
      </c>
      <c r="Q209" s="9">
        <f>IF($K209="","",INDEX('سجل التحفيز'!$E$5:$E$2004,MATCH($K209,'سجل التحفيز'!$AB$5:$AB$2004,0)))</f>
        <v/>
      </c>
      <c r="R209" s="9">
        <f>IF($K209="","",INDEX('سجل التحفيز'!$F$5:$F$2004,MATCH($K209,'سجل التحفيز'!$AB$5:$AB$2004,0)))</f>
        <v/>
      </c>
      <c r="S209" s="35">
        <f>IF($K209="","",INDEX('سجل التحفيز'!$G$5:$G$2004,MATCH($K209,'سجل التحفيز'!$AB$5:$AB$2004,0)))</f>
        <v/>
      </c>
    </row>
    <row r="210">
      <c r="K210" s="36">
        <f>IF(173&gt;$B$10,"",173)</f>
        <v/>
      </c>
      <c r="L210" s="37">
        <f>IF($K210="","",INDEX('سجل التحفيز'!$A$5:$A$2004,MATCH($K210,'سجل التحفيز'!$AB$5:$AB$2004,0)))</f>
        <v/>
      </c>
      <c r="M210" s="9">
        <f>IF($K210="","",INDEX('سجل التحفيز'!$B$5:$B$2004,MATCH($K210,'سجل التحفيز'!$AB$5:$AB$2004,0)))</f>
        <v/>
      </c>
      <c r="N210" s="9">
        <f>IF($K210="","",INDEX('سجل التحفيز'!$M$5:$M$2004,MATCH($K210,'سجل التحفيز'!$AB$5:$AB$2004,0)))</f>
        <v/>
      </c>
      <c r="O210" s="9">
        <f>IF($K210="","",INDEX('سجل التحفيز'!$C$5:$C$2004,MATCH($K210,'سجل التحفيز'!$AB$5:$AB$2004,0)))</f>
        <v/>
      </c>
      <c r="P210" s="36">
        <f>IF($K210="","",INDEX('سجل التحفيز'!$D$5:$D$2004,MATCH($K210,'سجل التحفيز'!$AB$5:$AB$2004,0)))</f>
        <v/>
      </c>
      <c r="Q210" s="9">
        <f>IF($K210="","",INDEX('سجل التحفيز'!$E$5:$E$2004,MATCH($K210,'سجل التحفيز'!$AB$5:$AB$2004,0)))</f>
        <v/>
      </c>
      <c r="R210" s="9">
        <f>IF($K210="","",INDEX('سجل التحفيز'!$F$5:$F$2004,MATCH($K210,'سجل التحفيز'!$AB$5:$AB$2004,0)))</f>
        <v/>
      </c>
      <c r="S210" s="35">
        <f>IF($K210="","",INDEX('سجل التحفيز'!$G$5:$G$2004,MATCH($K210,'سجل التحفيز'!$AB$5:$AB$2004,0)))</f>
        <v/>
      </c>
    </row>
    <row r="211">
      <c r="K211" s="36">
        <f>IF(174&gt;$B$10,"",174)</f>
        <v/>
      </c>
      <c r="L211" s="37">
        <f>IF($K211="","",INDEX('سجل التحفيز'!$A$5:$A$2004,MATCH($K211,'سجل التحفيز'!$AB$5:$AB$2004,0)))</f>
        <v/>
      </c>
      <c r="M211" s="9">
        <f>IF($K211="","",INDEX('سجل التحفيز'!$B$5:$B$2004,MATCH($K211,'سجل التحفيز'!$AB$5:$AB$2004,0)))</f>
        <v/>
      </c>
      <c r="N211" s="9">
        <f>IF($K211="","",INDEX('سجل التحفيز'!$M$5:$M$2004,MATCH($K211,'سجل التحفيز'!$AB$5:$AB$2004,0)))</f>
        <v/>
      </c>
      <c r="O211" s="9">
        <f>IF($K211="","",INDEX('سجل التحفيز'!$C$5:$C$2004,MATCH($K211,'سجل التحفيز'!$AB$5:$AB$2004,0)))</f>
        <v/>
      </c>
      <c r="P211" s="36">
        <f>IF($K211="","",INDEX('سجل التحفيز'!$D$5:$D$2004,MATCH($K211,'سجل التحفيز'!$AB$5:$AB$2004,0)))</f>
        <v/>
      </c>
      <c r="Q211" s="9">
        <f>IF($K211="","",INDEX('سجل التحفيز'!$E$5:$E$2004,MATCH($K211,'سجل التحفيز'!$AB$5:$AB$2004,0)))</f>
        <v/>
      </c>
      <c r="R211" s="9">
        <f>IF($K211="","",INDEX('سجل التحفيز'!$F$5:$F$2004,MATCH($K211,'سجل التحفيز'!$AB$5:$AB$2004,0)))</f>
        <v/>
      </c>
      <c r="S211" s="35">
        <f>IF($K211="","",INDEX('سجل التحفيز'!$G$5:$G$2004,MATCH($K211,'سجل التحفيز'!$AB$5:$AB$2004,0)))</f>
        <v/>
      </c>
    </row>
    <row r="212">
      <c r="K212" s="36">
        <f>IF(175&gt;$B$10,"",175)</f>
        <v/>
      </c>
      <c r="L212" s="37">
        <f>IF($K212="","",INDEX('سجل التحفيز'!$A$5:$A$2004,MATCH($K212,'سجل التحفيز'!$AB$5:$AB$2004,0)))</f>
        <v/>
      </c>
      <c r="M212" s="9">
        <f>IF($K212="","",INDEX('سجل التحفيز'!$B$5:$B$2004,MATCH($K212,'سجل التحفيز'!$AB$5:$AB$2004,0)))</f>
        <v/>
      </c>
      <c r="N212" s="9">
        <f>IF($K212="","",INDEX('سجل التحفيز'!$M$5:$M$2004,MATCH($K212,'سجل التحفيز'!$AB$5:$AB$2004,0)))</f>
        <v/>
      </c>
      <c r="O212" s="9">
        <f>IF($K212="","",INDEX('سجل التحفيز'!$C$5:$C$2004,MATCH($K212,'سجل التحفيز'!$AB$5:$AB$2004,0)))</f>
        <v/>
      </c>
      <c r="P212" s="36">
        <f>IF($K212="","",INDEX('سجل التحفيز'!$D$5:$D$2004,MATCH($K212,'سجل التحفيز'!$AB$5:$AB$2004,0)))</f>
        <v/>
      </c>
      <c r="Q212" s="9">
        <f>IF($K212="","",INDEX('سجل التحفيز'!$E$5:$E$2004,MATCH($K212,'سجل التحفيز'!$AB$5:$AB$2004,0)))</f>
        <v/>
      </c>
      <c r="R212" s="9">
        <f>IF($K212="","",INDEX('سجل التحفيز'!$F$5:$F$2004,MATCH($K212,'سجل التحفيز'!$AB$5:$AB$2004,0)))</f>
        <v/>
      </c>
      <c r="S212" s="35">
        <f>IF($K212="","",INDEX('سجل التحفيز'!$G$5:$G$2004,MATCH($K212,'سجل التحفيز'!$AB$5:$AB$2004,0)))</f>
        <v/>
      </c>
    </row>
    <row r="213">
      <c r="K213" s="36">
        <f>IF(176&gt;$B$10,"",176)</f>
        <v/>
      </c>
      <c r="L213" s="37">
        <f>IF($K213="","",INDEX('سجل التحفيز'!$A$5:$A$2004,MATCH($K213,'سجل التحفيز'!$AB$5:$AB$2004,0)))</f>
        <v/>
      </c>
      <c r="M213" s="9">
        <f>IF($K213="","",INDEX('سجل التحفيز'!$B$5:$B$2004,MATCH($K213,'سجل التحفيز'!$AB$5:$AB$2004,0)))</f>
        <v/>
      </c>
      <c r="N213" s="9">
        <f>IF($K213="","",INDEX('سجل التحفيز'!$M$5:$M$2004,MATCH($K213,'سجل التحفيز'!$AB$5:$AB$2004,0)))</f>
        <v/>
      </c>
      <c r="O213" s="9">
        <f>IF($K213="","",INDEX('سجل التحفيز'!$C$5:$C$2004,MATCH($K213,'سجل التحفيز'!$AB$5:$AB$2004,0)))</f>
        <v/>
      </c>
      <c r="P213" s="36">
        <f>IF($K213="","",INDEX('سجل التحفيز'!$D$5:$D$2004,MATCH($K213,'سجل التحفيز'!$AB$5:$AB$2004,0)))</f>
        <v/>
      </c>
      <c r="Q213" s="9">
        <f>IF($K213="","",INDEX('سجل التحفيز'!$E$5:$E$2004,MATCH($K213,'سجل التحفيز'!$AB$5:$AB$2004,0)))</f>
        <v/>
      </c>
      <c r="R213" s="9">
        <f>IF($K213="","",INDEX('سجل التحفيز'!$F$5:$F$2004,MATCH($K213,'سجل التحفيز'!$AB$5:$AB$2004,0)))</f>
        <v/>
      </c>
      <c r="S213" s="35">
        <f>IF($K213="","",INDEX('سجل التحفيز'!$G$5:$G$2004,MATCH($K213,'سجل التحفيز'!$AB$5:$AB$2004,0)))</f>
        <v/>
      </c>
    </row>
    <row r="214">
      <c r="K214" s="36">
        <f>IF(177&gt;$B$10,"",177)</f>
        <v/>
      </c>
      <c r="L214" s="37">
        <f>IF($K214="","",INDEX('سجل التحفيز'!$A$5:$A$2004,MATCH($K214,'سجل التحفيز'!$AB$5:$AB$2004,0)))</f>
        <v/>
      </c>
      <c r="M214" s="9">
        <f>IF($K214="","",INDEX('سجل التحفيز'!$B$5:$B$2004,MATCH($K214,'سجل التحفيز'!$AB$5:$AB$2004,0)))</f>
        <v/>
      </c>
      <c r="N214" s="9">
        <f>IF($K214="","",INDEX('سجل التحفيز'!$M$5:$M$2004,MATCH($K214,'سجل التحفيز'!$AB$5:$AB$2004,0)))</f>
        <v/>
      </c>
      <c r="O214" s="9">
        <f>IF($K214="","",INDEX('سجل التحفيز'!$C$5:$C$2004,MATCH($K214,'سجل التحفيز'!$AB$5:$AB$2004,0)))</f>
        <v/>
      </c>
      <c r="P214" s="36">
        <f>IF($K214="","",INDEX('سجل التحفيز'!$D$5:$D$2004,MATCH($K214,'سجل التحفيز'!$AB$5:$AB$2004,0)))</f>
        <v/>
      </c>
      <c r="Q214" s="9">
        <f>IF($K214="","",INDEX('سجل التحفيز'!$E$5:$E$2004,MATCH($K214,'سجل التحفيز'!$AB$5:$AB$2004,0)))</f>
        <v/>
      </c>
      <c r="R214" s="9">
        <f>IF($K214="","",INDEX('سجل التحفيز'!$F$5:$F$2004,MATCH($K214,'سجل التحفيز'!$AB$5:$AB$2004,0)))</f>
        <v/>
      </c>
      <c r="S214" s="35">
        <f>IF($K214="","",INDEX('سجل التحفيز'!$G$5:$G$2004,MATCH($K214,'سجل التحفيز'!$AB$5:$AB$2004,0)))</f>
        <v/>
      </c>
    </row>
    <row r="215">
      <c r="K215" s="36">
        <f>IF(178&gt;$B$10,"",178)</f>
        <v/>
      </c>
      <c r="L215" s="37">
        <f>IF($K215="","",INDEX('سجل التحفيز'!$A$5:$A$2004,MATCH($K215,'سجل التحفيز'!$AB$5:$AB$2004,0)))</f>
        <v/>
      </c>
      <c r="M215" s="9">
        <f>IF($K215="","",INDEX('سجل التحفيز'!$B$5:$B$2004,MATCH($K215,'سجل التحفيز'!$AB$5:$AB$2004,0)))</f>
        <v/>
      </c>
      <c r="N215" s="9">
        <f>IF($K215="","",INDEX('سجل التحفيز'!$M$5:$M$2004,MATCH($K215,'سجل التحفيز'!$AB$5:$AB$2004,0)))</f>
        <v/>
      </c>
      <c r="O215" s="9">
        <f>IF($K215="","",INDEX('سجل التحفيز'!$C$5:$C$2004,MATCH($K215,'سجل التحفيز'!$AB$5:$AB$2004,0)))</f>
        <v/>
      </c>
      <c r="P215" s="36">
        <f>IF($K215="","",INDEX('سجل التحفيز'!$D$5:$D$2004,MATCH($K215,'سجل التحفيز'!$AB$5:$AB$2004,0)))</f>
        <v/>
      </c>
      <c r="Q215" s="9">
        <f>IF($K215="","",INDEX('سجل التحفيز'!$E$5:$E$2004,MATCH($K215,'سجل التحفيز'!$AB$5:$AB$2004,0)))</f>
        <v/>
      </c>
      <c r="R215" s="9">
        <f>IF($K215="","",INDEX('سجل التحفيز'!$F$5:$F$2004,MATCH($K215,'سجل التحفيز'!$AB$5:$AB$2004,0)))</f>
        <v/>
      </c>
      <c r="S215" s="35">
        <f>IF($K215="","",INDEX('سجل التحفيز'!$G$5:$G$2004,MATCH($K215,'سجل التحفيز'!$AB$5:$AB$2004,0)))</f>
        <v/>
      </c>
    </row>
    <row r="216">
      <c r="K216" s="36">
        <f>IF(179&gt;$B$10,"",179)</f>
        <v/>
      </c>
      <c r="L216" s="37">
        <f>IF($K216="","",INDEX('سجل التحفيز'!$A$5:$A$2004,MATCH($K216,'سجل التحفيز'!$AB$5:$AB$2004,0)))</f>
        <v/>
      </c>
      <c r="M216" s="9">
        <f>IF($K216="","",INDEX('سجل التحفيز'!$B$5:$B$2004,MATCH($K216,'سجل التحفيز'!$AB$5:$AB$2004,0)))</f>
        <v/>
      </c>
      <c r="N216" s="9">
        <f>IF($K216="","",INDEX('سجل التحفيز'!$M$5:$M$2004,MATCH($K216,'سجل التحفيز'!$AB$5:$AB$2004,0)))</f>
        <v/>
      </c>
      <c r="O216" s="9">
        <f>IF($K216="","",INDEX('سجل التحفيز'!$C$5:$C$2004,MATCH($K216,'سجل التحفيز'!$AB$5:$AB$2004,0)))</f>
        <v/>
      </c>
      <c r="P216" s="36">
        <f>IF($K216="","",INDEX('سجل التحفيز'!$D$5:$D$2004,MATCH($K216,'سجل التحفيز'!$AB$5:$AB$2004,0)))</f>
        <v/>
      </c>
      <c r="Q216" s="9">
        <f>IF($K216="","",INDEX('سجل التحفيز'!$E$5:$E$2004,MATCH($K216,'سجل التحفيز'!$AB$5:$AB$2004,0)))</f>
        <v/>
      </c>
      <c r="R216" s="9">
        <f>IF($K216="","",INDEX('سجل التحفيز'!$F$5:$F$2004,MATCH($K216,'سجل التحفيز'!$AB$5:$AB$2004,0)))</f>
        <v/>
      </c>
      <c r="S216" s="35">
        <f>IF($K216="","",INDEX('سجل التحفيز'!$G$5:$G$2004,MATCH($K216,'سجل التحفيز'!$AB$5:$AB$2004,0)))</f>
        <v/>
      </c>
    </row>
    <row r="217">
      <c r="K217" s="36">
        <f>IF(180&gt;$B$10,"",180)</f>
        <v/>
      </c>
      <c r="L217" s="37">
        <f>IF($K217="","",INDEX('سجل التحفيز'!$A$5:$A$2004,MATCH($K217,'سجل التحفيز'!$AB$5:$AB$2004,0)))</f>
        <v/>
      </c>
      <c r="M217" s="9">
        <f>IF($K217="","",INDEX('سجل التحفيز'!$B$5:$B$2004,MATCH($K217,'سجل التحفيز'!$AB$5:$AB$2004,0)))</f>
        <v/>
      </c>
      <c r="N217" s="9">
        <f>IF($K217="","",INDEX('سجل التحفيز'!$M$5:$M$2004,MATCH($K217,'سجل التحفيز'!$AB$5:$AB$2004,0)))</f>
        <v/>
      </c>
      <c r="O217" s="9">
        <f>IF($K217="","",INDEX('سجل التحفيز'!$C$5:$C$2004,MATCH($K217,'سجل التحفيز'!$AB$5:$AB$2004,0)))</f>
        <v/>
      </c>
      <c r="P217" s="36">
        <f>IF($K217="","",INDEX('سجل التحفيز'!$D$5:$D$2004,MATCH($K217,'سجل التحفيز'!$AB$5:$AB$2004,0)))</f>
        <v/>
      </c>
      <c r="Q217" s="9">
        <f>IF($K217="","",INDEX('سجل التحفيز'!$E$5:$E$2004,MATCH($K217,'سجل التحفيز'!$AB$5:$AB$2004,0)))</f>
        <v/>
      </c>
      <c r="R217" s="9">
        <f>IF($K217="","",INDEX('سجل التحفيز'!$F$5:$F$2004,MATCH($K217,'سجل التحفيز'!$AB$5:$AB$2004,0)))</f>
        <v/>
      </c>
      <c r="S217" s="35">
        <f>IF($K217="","",INDEX('سجل التحفيز'!$G$5:$G$2004,MATCH($K217,'سجل التحفيز'!$AB$5:$AB$2004,0)))</f>
        <v/>
      </c>
    </row>
    <row r="218">
      <c r="K218" s="36">
        <f>IF(181&gt;$B$10,"",181)</f>
        <v/>
      </c>
      <c r="L218" s="37">
        <f>IF($K218="","",INDEX('سجل التحفيز'!$A$5:$A$2004,MATCH($K218,'سجل التحفيز'!$AB$5:$AB$2004,0)))</f>
        <v/>
      </c>
      <c r="M218" s="9">
        <f>IF($K218="","",INDEX('سجل التحفيز'!$B$5:$B$2004,MATCH($K218,'سجل التحفيز'!$AB$5:$AB$2004,0)))</f>
        <v/>
      </c>
      <c r="N218" s="9">
        <f>IF($K218="","",INDEX('سجل التحفيز'!$M$5:$M$2004,MATCH($K218,'سجل التحفيز'!$AB$5:$AB$2004,0)))</f>
        <v/>
      </c>
      <c r="O218" s="9">
        <f>IF($K218="","",INDEX('سجل التحفيز'!$C$5:$C$2004,MATCH($K218,'سجل التحفيز'!$AB$5:$AB$2004,0)))</f>
        <v/>
      </c>
      <c r="P218" s="36">
        <f>IF($K218="","",INDEX('سجل التحفيز'!$D$5:$D$2004,MATCH($K218,'سجل التحفيز'!$AB$5:$AB$2004,0)))</f>
        <v/>
      </c>
      <c r="Q218" s="9">
        <f>IF($K218="","",INDEX('سجل التحفيز'!$E$5:$E$2004,MATCH($K218,'سجل التحفيز'!$AB$5:$AB$2004,0)))</f>
        <v/>
      </c>
      <c r="R218" s="9">
        <f>IF($K218="","",INDEX('سجل التحفيز'!$F$5:$F$2004,MATCH($K218,'سجل التحفيز'!$AB$5:$AB$2004,0)))</f>
        <v/>
      </c>
      <c r="S218" s="35">
        <f>IF($K218="","",INDEX('سجل التحفيز'!$G$5:$G$2004,MATCH($K218,'سجل التحفيز'!$AB$5:$AB$2004,0)))</f>
        <v/>
      </c>
    </row>
    <row r="219">
      <c r="K219" s="36">
        <f>IF(182&gt;$B$10,"",182)</f>
        <v/>
      </c>
      <c r="L219" s="37">
        <f>IF($K219="","",INDEX('سجل التحفيز'!$A$5:$A$2004,MATCH($K219,'سجل التحفيز'!$AB$5:$AB$2004,0)))</f>
        <v/>
      </c>
      <c r="M219" s="9">
        <f>IF($K219="","",INDEX('سجل التحفيز'!$B$5:$B$2004,MATCH($K219,'سجل التحفيز'!$AB$5:$AB$2004,0)))</f>
        <v/>
      </c>
      <c r="N219" s="9">
        <f>IF($K219="","",INDEX('سجل التحفيز'!$M$5:$M$2004,MATCH($K219,'سجل التحفيز'!$AB$5:$AB$2004,0)))</f>
        <v/>
      </c>
      <c r="O219" s="9">
        <f>IF($K219="","",INDEX('سجل التحفيز'!$C$5:$C$2004,MATCH($K219,'سجل التحفيز'!$AB$5:$AB$2004,0)))</f>
        <v/>
      </c>
      <c r="P219" s="36">
        <f>IF($K219="","",INDEX('سجل التحفيز'!$D$5:$D$2004,MATCH($K219,'سجل التحفيز'!$AB$5:$AB$2004,0)))</f>
        <v/>
      </c>
      <c r="Q219" s="9">
        <f>IF($K219="","",INDEX('سجل التحفيز'!$E$5:$E$2004,MATCH($K219,'سجل التحفيز'!$AB$5:$AB$2004,0)))</f>
        <v/>
      </c>
      <c r="R219" s="9">
        <f>IF($K219="","",INDEX('سجل التحفيز'!$F$5:$F$2004,MATCH($K219,'سجل التحفيز'!$AB$5:$AB$2004,0)))</f>
        <v/>
      </c>
      <c r="S219" s="35">
        <f>IF($K219="","",INDEX('سجل التحفيز'!$G$5:$G$2004,MATCH($K219,'سجل التحفيز'!$AB$5:$AB$2004,0)))</f>
        <v/>
      </c>
    </row>
    <row r="220">
      <c r="K220" s="36">
        <f>IF(183&gt;$B$10,"",183)</f>
        <v/>
      </c>
      <c r="L220" s="37">
        <f>IF($K220="","",INDEX('سجل التحفيز'!$A$5:$A$2004,MATCH($K220,'سجل التحفيز'!$AB$5:$AB$2004,0)))</f>
        <v/>
      </c>
      <c r="M220" s="9">
        <f>IF($K220="","",INDEX('سجل التحفيز'!$B$5:$B$2004,MATCH($K220,'سجل التحفيز'!$AB$5:$AB$2004,0)))</f>
        <v/>
      </c>
      <c r="N220" s="9">
        <f>IF($K220="","",INDEX('سجل التحفيز'!$M$5:$M$2004,MATCH($K220,'سجل التحفيز'!$AB$5:$AB$2004,0)))</f>
        <v/>
      </c>
      <c r="O220" s="9">
        <f>IF($K220="","",INDEX('سجل التحفيز'!$C$5:$C$2004,MATCH($K220,'سجل التحفيز'!$AB$5:$AB$2004,0)))</f>
        <v/>
      </c>
      <c r="P220" s="36">
        <f>IF($K220="","",INDEX('سجل التحفيز'!$D$5:$D$2004,MATCH($K220,'سجل التحفيز'!$AB$5:$AB$2004,0)))</f>
        <v/>
      </c>
      <c r="Q220" s="9">
        <f>IF($K220="","",INDEX('سجل التحفيز'!$E$5:$E$2004,MATCH($K220,'سجل التحفيز'!$AB$5:$AB$2004,0)))</f>
        <v/>
      </c>
      <c r="R220" s="9">
        <f>IF($K220="","",INDEX('سجل التحفيز'!$F$5:$F$2004,MATCH($K220,'سجل التحفيز'!$AB$5:$AB$2004,0)))</f>
        <v/>
      </c>
      <c r="S220" s="35">
        <f>IF($K220="","",INDEX('سجل التحفيز'!$G$5:$G$2004,MATCH($K220,'سجل التحفيز'!$AB$5:$AB$2004,0)))</f>
        <v/>
      </c>
    </row>
    <row r="221">
      <c r="K221" s="36">
        <f>IF(184&gt;$B$10,"",184)</f>
        <v/>
      </c>
      <c r="L221" s="37">
        <f>IF($K221="","",INDEX('سجل التحفيز'!$A$5:$A$2004,MATCH($K221,'سجل التحفيز'!$AB$5:$AB$2004,0)))</f>
        <v/>
      </c>
      <c r="M221" s="9">
        <f>IF($K221="","",INDEX('سجل التحفيز'!$B$5:$B$2004,MATCH($K221,'سجل التحفيز'!$AB$5:$AB$2004,0)))</f>
        <v/>
      </c>
      <c r="N221" s="9">
        <f>IF($K221="","",INDEX('سجل التحفيز'!$M$5:$M$2004,MATCH($K221,'سجل التحفيز'!$AB$5:$AB$2004,0)))</f>
        <v/>
      </c>
      <c r="O221" s="9">
        <f>IF($K221="","",INDEX('سجل التحفيز'!$C$5:$C$2004,MATCH($K221,'سجل التحفيز'!$AB$5:$AB$2004,0)))</f>
        <v/>
      </c>
      <c r="P221" s="36">
        <f>IF($K221="","",INDEX('سجل التحفيز'!$D$5:$D$2004,MATCH($K221,'سجل التحفيز'!$AB$5:$AB$2004,0)))</f>
        <v/>
      </c>
      <c r="Q221" s="9">
        <f>IF($K221="","",INDEX('سجل التحفيز'!$E$5:$E$2004,MATCH($K221,'سجل التحفيز'!$AB$5:$AB$2004,0)))</f>
        <v/>
      </c>
      <c r="R221" s="9">
        <f>IF($K221="","",INDEX('سجل التحفيز'!$F$5:$F$2004,MATCH($K221,'سجل التحفيز'!$AB$5:$AB$2004,0)))</f>
        <v/>
      </c>
      <c r="S221" s="35">
        <f>IF($K221="","",INDEX('سجل التحفيز'!$G$5:$G$2004,MATCH($K221,'سجل التحفيز'!$AB$5:$AB$2004,0)))</f>
        <v/>
      </c>
    </row>
    <row r="222">
      <c r="K222" s="36">
        <f>IF(185&gt;$B$10,"",185)</f>
        <v/>
      </c>
      <c r="L222" s="37">
        <f>IF($K222="","",INDEX('سجل التحفيز'!$A$5:$A$2004,MATCH($K222,'سجل التحفيز'!$AB$5:$AB$2004,0)))</f>
        <v/>
      </c>
      <c r="M222" s="9">
        <f>IF($K222="","",INDEX('سجل التحفيز'!$B$5:$B$2004,MATCH($K222,'سجل التحفيز'!$AB$5:$AB$2004,0)))</f>
        <v/>
      </c>
      <c r="N222" s="9">
        <f>IF($K222="","",INDEX('سجل التحفيز'!$M$5:$M$2004,MATCH($K222,'سجل التحفيز'!$AB$5:$AB$2004,0)))</f>
        <v/>
      </c>
      <c r="O222" s="9">
        <f>IF($K222="","",INDEX('سجل التحفيز'!$C$5:$C$2004,MATCH($K222,'سجل التحفيز'!$AB$5:$AB$2004,0)))</f>
        <v/>
      </c>
      <c r="P222" s="36">
        <f>IF($K222="","",INDEX('سجل التحفيز'!$D$5:$D$2004,MATCH($K222,'سجل التحفيز'!$AB$5:$AB$2004,0)))</f>
        <v/>
      </c>
      <c r="Q222" s="9">
        <f>IF($K222="","",INDEX('سجل التحفيز'!$E$5:$E$2004,MATCH($K222,'سجل التحفيز'!$AB$5:$AB$2004,0)))</f>
        <v/>
      </c>
      <c r="R222" s="9">
        <f>IF($K222="","",INDEX('سجل التحفيز'!$F$5:$F$2004,MATCH($K222,'سجل التحفيز'!$AB$5:$AB$2004,0)))</f>
        <v/>
      </c>
      <c r="S222" s="35">
        <f>IF($K222="","",INDEX('سجل التحفيز'!$G$5:$G$2004,MATCH($K222,'سجل التحفيز'!$AB$5:$AB$2004,0)))</f>
        <v/>
      </c>
    </row>
    <row r="223">
      <c r="K223" s="36">
        <f>IF(186&gt;$B$10,"",186)</f>
        <v/>
      </c>
      <c r="L223" s="37">
        <f>IF($K223="","",INDEX('سجل التحفيز'!$A$5:$A$2004,MATCH($K223,'سجل التحفيز'!$AB$5:$AB$2004,0)))</f>
        <v/>
      </c>
      <c r="M223" s="9">
        <f>IF($K223="","",INDEX('سجل التحفيز'!$B$5:$B$2004,MATCH($K223,'سجل التحفيز'!$AB$5:$AB$2004,0)))</f>
        <v/>
      </c>
      <c r="N223" s="9">
        <f>IF($K223="","",INDEX('سجل التحفيز'!$M$5:$M$2004,MATCH($K223,'سجل التحفيز'!$AB$5:$AB$2004,0)))</f>
        <v/>
      </c>
      <c r="O223" s="9">
        <f>IF($K223="","",INDEX('سجل التحفيز'!$C$5:$C$2004,MATCH($K223,'سجل التحفيز'!$AB$5:$AB$2004,0)))</f>
        <v/>
      </c>
      <c r="P223" s="36">
        <f>IF($K223="","",INDEX('سجل التحفيز'!$D$5:$D$2004,MATCH($K223,'سجل التحفيز'!$AB$5:$AB$2004,0)))</f>
        <v/>
      </c>
      <c r="Q223" s="9">
        <f>IF($K223="","",INDEX('سجل التحفيز'!$E$5:$E$2004,MATCH($K223,'سجل التحفيز'!$AB$5:$AB$2004,0)))</f>
        <v/>
      </c>
      <c r="R223" s="9">
        <f>IF($K223="","",INDEX('سجل التحفيز'!$F$5:$F$2004,MATCH($K223,'سجل التحفيز'!$AB$5:$AB$2004,0)))</f>
        <v/>
      </c>
      <c r="S223" s="35">
        <f>IF($K223="","",INDEX('سجل التحفيز'!$G$5:$G$2004,MATCH($K223,'سجل التحفيز'!$AB$5:$AB$2004,0)))</f>
        <v/>
      </c>
    </row>
    <row r="224">
      <c r="K224" s="36">
        <f>IF(187&gt;$B$10,"",187)</f>
        <v/>
      </c>
      <c r="L224" s="37">
        <f>IF($K224="","",INDEX('سجل التحفيز'!$A$5:$A$2004,MATCH($K224,'سجل التحفيز'!$AB$5:$AB$2004,0)))</f>
        <v/>
      </c>
      <c r="M224" s="9">
        <f>IF($K224="","",INDEX('سجل التحفيز'!$B$5:$B$2004,MATCH($K224,'سجل التحفيز'!$AB$5:$AB$2004,0)))</f>
        <v/>
      </c>
      <c r="N224" s="9">
        <f>IF($K224="","",INDEX('سجل التحفيز'!$M$5:$M$2004,MATCH($K224,'سجل التحفيز'!$AB$5:$AB$2004,0)))</f>
        <v/>
      </c>
      <c r="O224" s="9">
        <f>IF($K224="","",INDEX('سجل التحفيز'!$C$5:$C$2004,MATCH($K224,'سجل التحفيز'!$AB$5:$AB$2004,0)))</f>
        <v/>
      </c>
      <c r="P224" s="36">
        <f>IF($K224="","",INDEX('سجل التحفيز'!$D$5:$D$2004,MATCH($K224,'سجل التحفيز'!$AB$5:$AB$2004,0)))</f>
        <v/>
      </c>
      <c r="Q224" s="9">
        <f>IF($K224="","",INDEX('سجل التحفيز'!$E$5:$E$2004,MATCH($K224,'سجل التحفيز'!$AB$5:$AB$2004,0)))</f>
        <v/>
      </c>
      <c r="R224" s="9">
        <f>IF($K224="","",INDEX('سجل التحفيز'!$F$5:$F$2004,MATCH($K224,'سجل التحفيز'!$AB$5:$AB$2004,0)))</f>
        <v/>
      </c>
      <c r="S224" s="35">
        <f>IF($K224="","",INDEX('سجل التحفيز'!$G$5:$G$2004,MATCH($K224,'سجل التحفيز'!$AB$5:$AB$2004,0)))</f>
        <v/>
      </c>
    </row>
    <row r="225">
      <c r="K225" s="36">
        <f>IF(188&gt;$B$10,"",188)</f>
        <v/>
      </c>
      <c r="L225" s="37">
        <f>IF($K225="","",INDEX('سجل التحفيز'!$A$5:$A$2004,MATCH($K225,'سجل التحفيز'!$AB$5:$AB$2004,0)))</f>
        <v/>
      </c>
      <c r="M225" s="9">
        <f>IF($K225="","",INDEX('سجل التحفيز'!$B$5:$B$2004,MATCH($K225,'سجل التحفيز'!$AB$5:$AB$2004,0)))</f>
        <v/>
      </c>
      <c r="N225" s="9">
        <f>IF($K225="","",INDEX('سجل التحفيز'!$M$5:$M$2004,MATCH($K225,'سجل التحفيز'!$AB$5:$AB$2004,0)))</f>
        <v/>
      </c>
      <c r="O225" s="9">
        <f>IF($K225="","",INDEX('سجل التحفيز'!$C$5:$C$2004,MATCH($K225,'سجل التحفيز'!$AB$5:$AB$2004,0)))</f>
        <v/>
      </c>
      <c r="P225" s="36">
        <f>IF($K225="","",INDEX('سجل التحفيز'!$D$5:$D$2004,MATCH($K225,'سجل التحفيز'!$AB$5:$AB$2004,0)))</f>
        <v/>
      </c>
      <c r="Q225" s="9">
        <f>IF($K225="","",INDEX('سجل التحفيز'!$E$5:$E$2004,MATCH($K225,'سجل التحفيز'!$AB$5:$AB$2004,0)))</f>
        <v/>
      </c>
      <c r="R225" s="9">
        <f>IF($K225="","",INDEX('سجل التحفيز'!$F$5:$F$2004,MATCH($K225,'سجل التحفيز'!$AB$5:$AB$2004,0)))</f>
        <v/>
      </c>
      <c r="S225" s="35">
        <f>IF($K225="","",INDEX('سجل التحفيز'!$G$5:$G$2004,MATCH($K225,'سجل التحفيز'!$AB$5:$AB$2004,0)))</f>
        <v/>
      </c>
    </row>
    <row r="226">
      <c r="K226" s="36">
        <f>IF(189&gt;$B$10,"",189)</f>
        <v/>
      </c>
      <c r="L226" s="37">
        <f>IF($K226="","",INDEX('سجل التحفيز'!$A$5:$A$2004,MATCH($K226,'سجل التحفيز'!$AB$5:$AB$2004,0)))</f>
        <v/>
      </c>
      <c r="M226" s="9">
        <f>IF($K226="","",INDEX('سجل التحفيز'!$B$5:$B$2004,MATCH($K226,'سجل التحفيز'!$AB$5:$AB$2004,0)))</f>
        <v/>
      </c>
      <c r="N226" s="9">
        <f>IF($K226="","",INDEX('سجل التحفيز'!$M$5:$M$2004,MATCH($K226,'سجل التحفيز'!$AB$5:$AB$2004,0)))</f>
        <v/>
      </c>
      <c r="O226" s="9">
        <f>IF($K226="","",INDEX('سجل التحفيز'!$C$5:$C$2004,MATCH($K226,'سجل التحفيز'!$AB$5:$AB$2004,0)))</f>
        <v/>
      </c>
      <c r="P226" s="36">
        <f>IF($K226="","",INDEX('سجل التحفيز'!$D$5:$D$2004,MATCH($K226,'سجل التحفيز'!$AB$5:$AB$2004,0)))</f>
        <v/>
      </c>
      <c r="Q226" s="9">
        <f>IF($K226="","",INDEX('سجل التحفيز'!$E$5:$E$2004,MATCH($K226,'سجل التحفيز'!$AB$5:$AB$2004,0)))</f>
        <v/>
      </c>
      <c r="R226" s="9">
        <f>IF($K226="","",INDEX('سجل التحفيز'!$F$5:$F$2004,MATCH($K226,'سجل التحفيز'!$AB$5:$AB$2004,0)))</f>
        <v/>
      </c>
      <c r="S226" s="35">
        <f>IF($K226="","",INDEX('سجل التحفيز'!$G$5:$G$2004,MATCH($K226,'سجل التحفيز'!$AB$5:$AB$2004,0)))</f>
        <v/>
      </c>
    </row>
    <row r="227">
      <c r="K227" s="36">
        <f>IF(190&gt;$B$10,"",190)</f>
        <v/>
      </c>
      <c r="L227" s="37">
        <f>IF($K227="","",INDEX('سجل التحفيز'!$A$5:$A$2004,MATCH($K227,'سجل التحفيز'!$AB$5:$AB$2004,0)))</f>
        <v/>
      </c>
      <c r="M227" s="9">
        <f>IF($K227="","",INDEX('سجل التحفيز'!$B$5:$B$2004,MATCH($K227,'سجل التحفيز'!$AB$5:$AB$2004,0)))</f>
        <v/>
      </c>
      <c r="N227" s="9">
        <f>IF($K227="","",INDEX('سجل التحفيز'!$M$5:$M$2004,MATCH($K227,'سجل التحفيز'!$AB$5:$AB$2004,0)))</f>
        <v/>
      </c>
      <c r="O227" s="9">
        <f>IF($K227="","",INDEX('سجل التحفيز'!$C$5:$C$2004,MATCH($K227,'سجل التحفيز'!$AB$5:$AB$2004,0)))</f>
        <v/>
      </c>
      <c r="P227" s="36">
        <f>IF($K227="","",INDEX('سجل التحفيز'!$D$5:$D$2004,MATCH($K227,'سجل التحفيز'!$AB$5:$AB$2004,0)))</f>
        <v/>
      </c>
      <c r="Q227" s="9">
        <f>IF($K227="","",INDEX('سجل التحفيز'!$E$5:$E$2004,MATCH($K227,'سجل التحفيز'!$AB$5:$AB$2004,0)))</f>
        <v/>
      </c>
      <c r="R227" s="9">
        <f>IF($K227="","",INDEX('سجل التحفيز'!$F$5:$F$2004,MATCH($K227,'سجل التحفيز'!$AB$5:$AB$2004,0)))</f>
        <v/>
      </c>
      <c r="S227" s="35">
        <f>IF($K227="","",INDEX('سجل التحفيز'!$G$5:$G$2004,MATCH($K227,'سجل التحفيز'!$AB$5:$AB$2004,0)))</f>
        <v/>
      </c>
    </row>
    <row r="228">
      <c r="K228" s="36">
        <f>IF(191&gt;$B$10,"",191)</f>
        <v/>
      </c>
      <c r="L228" s="37">
        <f>IF($K228="","",INDEX('سجل التحفيز'!$A$5:$A$2004,MATCH($K228,'سجل التحفيز'!$AB$5:$AB$2004,0)))</f>
        <v/>
      </c>
      <c r="M228" s="9">
        <f>IF($K228="","",INDEX('سجل التحفيز'!$B$5:$B$2004,MATCH($K228,'سجل التحفيز'!$AB$5:$AB$2004,0)))</f>
        <v/>
      </c>
      <c r="N228" s="9">
        <f>IF($K228="","",INDEX('سجل التحفيز'!$M$5:$M$2004,MATCH($K228,'سجل التحفيز'!$AB$5:$AB$2004,0)))</f>
        <v/>
      </c>
      <c r="O228" s="9">
        <f>IF($K228="","",INDEX('سجل التحفيز'!$C$5:$C$2004,MATCH($K228,'سجل التحفيز'!$AB$5:$AB$2004,0)))</f>
        <v/>
      </c>
      <c r="P228" s="36">
        <f>IF($K228="","",INDEX('سجل التحفيز'!$D$5:$D$2004,MATCH($K228,'سجل التحفيز'!$AB$5:$AB$2004,0)))</f>
        <v/>
      </c>
      <c r="Q228" s="9">
        <f>IF($K228="","",INDEX('سجل التحفيز'!$E$5:$E$2004,MATCH($K228,'سجل التحفيز'!$AB$5:$AB$2004,0)))</f>
        <v/>
      </c>
      <c r="R228" s="9">
        <f>IF($K228="","",INDEX('سجل التحفيز'!$F$5:$F$2004,MATCH($K228,'سجل التحفيز'!$AB$5:$AB$2004,0)))</f>
        <v/>
      </c>
      <c r="S228" s="35">
        <f>IF($K228="","",INDEX('سجل التحفيز'!$G$5:$G$2004,MATCH($K228,'سجل التحفيز'!$AB$5:$AB$2004,0)))</f>
        <v/>
      </c>
    </row>
    <row r="229">
      <c r="K229" s="36">
        <f>IF(192&gt;$B$10,"",192)</f>
        <v/>
      </c>
      <c r="L229" s="37">
        <f>IF($K229="","",INDEX('سجل التحفيز'!$A$5:$A$2004,MATCH($K229,'سجل التحفيز'!$AB$5:$AB$2004,0)))</f>
        <v/>
      </c>
      <c r="M229" s="9">
        <f>IF($K229="","",INDEX('سجل التحفيز'!$B$5:$B$2004,MATCH($K229,'سجل التحفيز'!$AB$5:$AB$2004,0)))</f>
        <v/>
      </c>
      <c r="N229" s="9">
        <f>IF($K229="","",INDEX('سجل التحفيز'!$M$5:$M$2004,MATCH($K229,'سجل التحفيز'!$AB$5:$AB$2004,0)))</f>
        <v/>
      </c>
      <c r="O229" s="9">
        <f>IF($K229="","",INDEX('سجل التحفيز'!$C$5:$C$2004,MATCH($K229,'سجل التحفيز'!$AB$5:$AB$2004,0)))</f>
        <v/>
      </c>
      <c r="P229" s="36">
        <f>IF($K229="","",INDEX('سجل التحفيز'!$D$5:$D$2004,MATCH($K229,'سجل التحفيز'!$AB$5:$AB$2004,0)))</f>
        <v/>
      </c>
      <c r="Q229" s="9">
        <f>IF($K229="","",INDEX('سجل التحفيز'!$E$5:$E$2004,MATCH($K229,'سجل التحفيز'!$AB$5:$AB$2004,0)))</f>
        <v/>
      </c>
      <c r="R229" s="9">
        <f>IF($K229="","",INDEX('سجل التحفيز'!$F$5:$F$2004,MATCH($K229,'سجل التحفيز'!$AB$5:$AB$2004,0)))</f>
        <v/>
      </c>
      <c r="S229" s="35">
        <f>IF($K229="","",INDEX('سجل التحفيز'!$G$5:$G$2004,MATCH($K229,'سجل التحفيز'!$AB$5:$AB$2004,0)))</f>
        <v/>
      </c>
    </row>
    <row r="230">
      <c r="K230" s="36">
        <f>IF(193&gt;$B$10,"",193)</f>
        <v/>
      </c>
      <c r="L230" s="37">
        <f>IF($K230="","",INDEX('سجل التحفيز'!$A$5:$A$2004,MATCH($K230,'سجل التحفيز'!$AB$5:$AB$2004,0)))</f>
        <v/>
      </c>
      <c r="M230" s="9">
        <f>IF($K230="","",INDEX('سجل التحفيز'!$B$5:$B$2004,MATCH($K230,'سجل التحفيز'!$AB$5:$AB$2004,0)))</f>
        <v/>
      </c>
      <c r="N230" s="9">
        <f>IF($K230="","",INDEX('سجل التحفيز'!$M$5:$M$2004,MATCH($K230,'سجل التحفيز'!$AB$5:$AB$2004,0)))</f>
        <v/>
      </c>
      <c r="O230" s="9">
        <f>IF($K230="","",INDEX('سجل التحفيز'!$C$5:$C$2004,MATCH($K230,'سجل التحفيز'!$AB$5:$AB$2004,0)))</f>
        <v/>
      </c>
      <c r="P230" s="36">
        <f>IF($K230="","",INDEX('سجل التحفيز'!$D$5:$D$2004,MATCH($K230,'سجل التحفيز'!$AB$5:$AB$2004,0)))</f>
        <v/>
      </c>
      <c r="Q230" s="9">
        <f>IF($K230="","",INDEX('سجل التحفيز'!$E$5:$E$2004,MATCH($K230,'سجل التحفيز'!$AB$5:$AB$2004,0)))</f>
        <v/>
      </c>
      <c r="R230" s="9">
        <f>IF($K230="","",INDEX('سجل التحفيز'!$F$5:$F$2004,MATCH($K230,'سجل التحفيز'!$AB$5:$AB$2004,0)))</f>
        <v/>
      </c>
      <c r="S230" s="35">
        <f>IF($K230="","",INDEX('سجل التحفيز'!$G$5:$G$2004,MATCH($K230,'سجل التحفيز'!$AB$5:$AB$2004,0)))</f>
        <v/>
      </c>
    </row>
    <row r="231">
      <c r="K231" s="36">
        <f>IF(194&gt;$B$10,"",194)</f>
        <v/>
      </c>
      <c r="L231" s="37">
        <f>IF($K231="","",INDEX('سجل التحفيز'!$A$5:$A$2004,MATCH($K231,'سجل التحفيز'!$AB$5:$AB$2004,0)))</f>
        <v/>
      </c>
      <c r="M231" s="9">
        <f>IF($K231="","",INDEX('سجل التحفيز'!$B$5:$B$2004,MATCH($K231,'سجل التحفيز'!$AB$5:$AB$2004,0)))</f>
        <v/>
      </c>
      <c r="N231" s="9">
        <f>IF($K231="","",INDEX('سجل التحفيز'!$M$5:$M$2004,MATCH($K231,'سجل التحفيز'!$AB$5:$AB$2004,0)))</f>
        <v/>
      </c>
      <c r="O231" s="9">
        <f>IF($K231="","",INDEX('سجل التحفيز'!$C$5:$C$2004,MATCH($K231,'سجل التحفيز'!$AB$5:$AB$2004,0)))</f>
        <v/>
      </c>
      <c r="P231" s="36">
        <f>IF($K231="","",INDEX('سجل التحفيز'!$D$5:$D$2004,MATCH($K231,'سجل التحفيز'!$AB$5:$AB$2004,0)))</f>
        <v/>
      </c>
      <c r="Q231" s="9">
        <f>IF($K231="","",INDEX('سجل التحفيز'!$E$5:$E$2004,MATCH($K231,'سجل التحفيز'!$AB$5:$AB$2004,0)))</f>
        <v/>
      </c>
      <c r="R231" s="9">
        <f>IF($K231="","",INDEX('سجل التحفيز'!$F$5:$F$2004,MATCH($K231,'سجل التحفيز'!$AB$5:$AB$2004,0)))</f>
        <v/>
      </c>
      <c r="S231" s="35">
        <f>IF($K231="","",INDEX('سجل التحفيز'!$G$5:$G$2004,MATCH($K231,'سجل التحفيز'!$AB$5:$AB$2004,0)))</f>
        <v/>
      </c>
    </row>
    <row r="232">
      <c r="K232" s="36">
        <f>IF(195&gt;$B$10,"",195)</f>
        <v/>
      </c>
      <c r="L232" s="37">
        <f>IF($K232="","",INDEX('سجل التحفيز'!$A$5:$A$2004,MATCH($K232,'سجل التحفيز'!$AB$5:$AB$2004,0)))</f>
        <v/>
      </c>
      <c r="M232" s="9">
        <f>IF($K232="","",INDEX('سجل التحفيز'!$B$5:$B$2004,MATCH($K232,'سجل التحفيز'!$AB$5:$AB$2004,0)))</f>
        <v/>
      </c>
      <c r="N232" s="9">
        <f>IF($K232="","",INDEX('سجل التحفيز'!$M$5:$M$2004,MATCH($K232,'سجل التحفيز'!$AB$5:$AB$2004,0)))</f>
        <v/>
      </c>
      <c r="O232" s="9">
        <f>IF($K232="","",INDEX('سجل التحفيز'!$C$5:$C$2004,MATCH($K232,'سجل التحفيز'!$AB$5:$AB$2004,0)))</f>
        <v/>
      </c>
      <c r="P232" s="36">
        <f>IF($K232="","",INDEX('سجل التحفيز'!$D$5:$D$2004,MATCH($K232,'سجل التحفيز'!$AB$5:$AB$2004,0)))</f>
        <v/>
      </c>
      <c r="Q232" s="9">
        <f>IF($K232="","",INDEX('سجل التحفيز'!$E$5:$E$2004,MATCH($K232,'سجل التحفيز'!$AB$5:$AB$2004,0)))</f>
        <v/>
      </c>
      <c r="R232" s="9">
        <f>IF($K232="","",INDEX('سجل التحفيز'!$F$5:$F$2004,MATCH($K232,'سجل التحفيز'!$AB$5:$AB$2004,0)))</f>
        <v/>
      </c>
      <c r="S232" s="35">
        <f>IF($K232="","",INDEX('سجل التحفيز'!$G$5:$G$2004,MATCH($K232,'سجل التحفيز'!$AB$5:$AB$2004,0)))</f>
        <v/>
      </c>
    </row>
    <row r="233">
      <c r="K233" s="36">
        <f>IF(196&gt;$B$10,"",196)</f>
        <v/>
      </c>
      <c r="L233" s="37">
        <f>IF($K233="","",INDEX('سجل التحفيز'!$A$5:$A$2004,MATCH($K233,'سجل التحفيز'!$AB$5:$AB$2004,0)))</f>
        <v/>
      </c>
      <c r="M233" s="9">
        <f>IF($K233="","",INDEX('سجل التحفيز'!$B$5:$B$2004,MATCH($K233,'سجل التحفيز'!$AB$5:$AB$2004,0)))</f>
        <v/>
      </c>
      <c r="N233" s="9">
        <f>IF($K233="","",INDEX('سجل التحفيز'!$M$5:$M$2004,MATCH($K233,'سجل التحفيز'!$AB$5:$AB$2004,0)))</f>
        <v/>
      </c>
      <c r="O233" s="9">
        <f>IF($K233="","",INDEX('سجل التحفيز'!$C$5:$C$2004,MATCH($K233,'سجل التحفيز'!$AB$5:$AB$2004,0)))</f>
        <v/>
      </c>
      <c r="P233" s="36">
        <f>IF($K233="","",INDEX('سجل التحفيز'!$D$5:$D$2004,MATCH($K233,'سجل التحفيز'!$AB$5:$AB$2004,0)))</f>
        <v/>
      </c>
      <c r="Q233" s="9">
        <f>IF($K233="","",INDEX('سجل التحفيز'!$E$5:$E$2004,MATCH($K233,'سجل التحفيز'!$AB$5:$AB$2004,0)))</f>
        <v/>
      </c>
      <c r="R233" s="9">
        <f>IF($K233="","",INDEX('سجل التحفيز'!$F$5:$F$2004,MATCH($K233,'سجل التحفيز'!$AB$5:$AB$2004,0)))</f>
        <v/>
      </c>
      <c r="S233" s="35">
        <f>IF($K233="","",INDEX('سجل التحفيز'!$G$5:$G$2004,MATCH($K233,'سجل التحفيز'!$AB$5:$AB$2004,0)))</f>
        <v/>
      </c>
    </row>
    <row r="234">
      <c r="K234" s="36">
        <f>IF(197&gt;$B$10,"",197)</f>
        <v/>
      </c>
      <c r="L234" s="37">
        <f>IF($K234="","",INDEX('سجل التحفيز'!$A$5:$A$2004,MATCH($K234,'سجل التحفيز'!$AB$5:$AB$2004,0)))</f>
        <v/>
      </c>
      <c r="M234" s="9">
        <f>IF($K234="","",INDEX('سجل التحفيز'!$B$5:$B$2004,MATCH($K234,'سجل التحفيز'!$AB$5:$AB$2004,0)))</f>
        <v/>
      </c>
      <c r="N234" s="9">
        <f>IF($K234="","",INDEX('سجل التحفيز'!$M$5:$M$2004,MATCH($K234,'سجل التحفيز'!$AB$5:$AB$2004,0)))</f>
        <v/>
      </c>
      <c r="O234" s="9">
        <f>IF($K234="","",INDEX('سجل التحفيز'!$C$5:$C$2004,MATCH($K234,'سجل التحفيز'!$AB$5:$AB$2004,0)))</f>
        <v/>
      </c>
      <c r="P234" s="36">
        <f>IF($K234="","",INDEX('سجل التحفيز'!$D$5:$D$2004,MATCH($K234,'سجل التحفيز'!$AB$5:$AB$2004,0)))</f>
        <v/>
      </c>
      <c r="Q234" s="9">
        <f>IF($K234="","",INDEX('سجل التحفيز'!$E$5:$E$2004,MATCH($K234,'سجل التحفيز'!$AB$5:$AB$2004,0)))</f>
        <v/>
      </c>
      <c r="R234" s="9">
        <f>IF($K234="","",INDEX('سجل التحفيز'!$F$5:$F$2004,MATCH($K234,'سجل التحفيز'!$AB$5:$AB$2004,0)))</f>
        <v/>
      </c>
      <c r="S234" s="35">
        <f>IF($K234="","",INDEX('سجل التحفيز'!$G$5:$G$2004,MATCH($K234,'سجل التحفيز'!$AB$5:$AB$2004,0)))</f>
        <v/>
      </c>
    </row>
    <row r="235">
      <c r="K235" s="36">
        <f>IF(198&gt;$B$10,"",198)</f>
        <v/>
      </c>
      <c r="L235" s="37">
        <f>IF($K235="","",INDEX('سجل التحفيز'!$A$5:$A$2004,MATCH($K235,'سجل التحفيز'!$AB$5:$AB$2004,0)))</f>
        <v/>
      </c>
      <c r="M235" s="9">
        <f>IF($K235="","",INDEX('سجل التحفيز'!$B$5:$B$2004,MATCH($K235,'سجل التحفيز'!$AB$5:$AB$2004,0)))</f>
        <v/>
      </c>
      <c r="N235" s="9">
        <f>IF($K235="","",INDEX('سجل التحفيز'!$M$5:$M$2004,MATCH($K235,'سجل التحفيز'!$AB$5:$AB$2004,0)))</f>
        <v/>
      </c>
      <c r="O235" s="9">
        <f>IF($K235="","",INDEX('سجل التحفيز'!$C$5:$C$2004,MATCH($K235,'سجل التحفيز'!$AB$5:$AB$2004,0)))</f>
        <v/>
      </c>
      <c r="P235" s="36">
        <f>IF($K235="","",INDEX('سجل التحفيز'!$D$5:$D$2004,MATCH($K235,'سجل التحفيز'!$AB$5:$AB$2004,0)))</f>
        <v/>
      </c>
      <c r="Q235" s="9">
        <f>IF($K235="","",INDEX('سجل التحفيز'!$E$5:$E$2004,MATCH($K235,'سجل التحفيز'!$AB$5:$AB$2004,0)))</f>
        <v/>
      </c>
      <c r="R235" s="9">
        <f>IF($K235="","",INDEX('سجل التحفيز'!$F$5:$F$2004,MATCH($K235,'سجل التحفيز'!$AB$5:$AB$2004,0)))</f>
        <v/>
      </c>
      <c r="S235" s="35">
        <f>IF($K235="","",INDEX('سجل التحفيز'!$G$5:$G$2004,MATCH($K235,'سجل التحفيز'!$AB$5:$AB$2004,0)))</f>
        <v/>
      </c>
    </row>
    <row r="236">
      <c r="K236" s="36">
        <f>IF(199&gt;$B$10,"",199)</f>
        <v/>
      </c>
      <c r="L236" s="37">
        <f>IF($K236="","",INDEX('سجل التحفيز'!$A$5:$A$2004,MATCH($K236,'سجل التحفيز'!$AB$5:$AB$2004,0)))</f>
        <v/>
      </c>
      <c r="M236" s="9">
        <f>IF($K236="","",INDEX('سجل التحفيز'!$B$5:$B$2004,MATCH($K236,'سجل التحفيز'!$AB$5:$AB$2004,0)))</f>
        <v/>
      </c>
      <c r="N236" s="9">
        <f>IF($K236="","",INDEX('سجل التحفيز'!$M$5:$M$2004,MATCH($K236,'سجل التحفيز'!$AB$5:$AB$2004,0)))</f>
        <v/>
      </c>
      <c r="O236" s="9">
        <f>IF($K236="","",INDEX('سجل التحفيز'!$C$5:$C$2004,MATCH($K236,'سجل التحفيز'!$AB$5:$AB$2004,0)))</f>
        <v/>
      </c>
      <c r="P236" s="36">
        <f>IF($K236="","",INDEX('سجل التحفيز'!$D$5:$D$2004,MATCH($K236,'سجل التحفيز'!$AB$5:$AB$2004,0)))</f>
        <v/>
      </c>
      <c r="Q236" s="9">
        <f>IF($K236="","",INDEX('سجل التحفيز'!$E$5:$E$2004,MATCH($K236,'سجل التحفيز'!$AB$5:$AB$2004,0)))</f>
        <v/>
      </c>
      <c r="R236" s="9">
        <f>IF($K236="","",INDEX('سجل التحفيز'!$F$5:$F$2004,MATCH($K236,'سجل التحفيز'!$AB$5:$AB$2004,0)))</f>
        <v/>
      </c>
      <c r="S236" s="35">
        <f>IF($K236="","",INDEX('سجل التحفيز'!$G$5:$G$2004,MATCH($K236,'سجل التحفيز'!$AB$5:$AB$2004,0)))</f>
        <v/>
      </c>
    </row>
    <row r="237">
      <c r="K237" s="36">
        <f>IF(200&gt;$B$10,"",200)</f>
        <v/>
      </c>
      <c r="L237" s="37">
        <f>IF($K237="","",INDEX('سجل التحفيز'!$A$5:$A$2004,MATCH($K237,'سجل التحفيز'!$AB$5:$AB$2004,0)))</f>
        <v/>
      </c>
      <c r="M237" s="9">
        <f>IF($K237="","",INDEX('سجل التحفيز'!$B$5:$B$2004,MATCH($K237,'سجل التحفيز'!$AB$5:$AB$2004,0)))</f>
        <v/>
      </c>
      <c r="N237" s="9">
        <f>IF($K237="","",INDEX('سجل التحفيز'!$M$5:$M$2004,MATCH($K237,'سجل التحفيز'!$AB$5:$AB$2004,0)))</f>
        <v/>
      </c>
      <c r="O237" s="9">
        <f>IF($K237="","",INDEX('سجل التحفيز'!$C$5:$C$2004,MATCH($K237,'سجل التحفيز'!$AB$5:$AB$2004,0)))</f>
        <v/>
      </c>
      <c r="P237" s="36">
        <f>IF($K237="","",INDEX('سجل التحفيز'!$D$5:$D$2004,MATCH($K237,'سجل التحفيز'!$AB$5:$AB$2004,0)))</f>
        <v/>
      </c>
      <c r="Q237" s="9">
        <f>IF($K237="","",INDEX('سجل التحفيز'!$E$5:$E$2004,MATCH($K237,'سجل التحفيز'!$AB$5:$AB$2004,0)))</f>
        <v/>
      </c>
      <c r="R237" s="9">
        <f>IF($K237="","",INDEX('سجل التحفيز'!$F$5:$F$2004,MATCH($K237,'سجل التحفيز'!$AB$5:$AB$2004,0)))</f>
        <v/>
      </c>
      <c r="S237" s="35">
        <f>IF($K237="","",INDEX('سجل التحفيز'!$G$5:$G$2004,MATCH($K237,'سجل التحفيز'!$AB$5:$AB$2004,0)))</f>
        <v/>
      </c>
    </row>
    <row r="238">
      <c r="K238" s="36">
        <f>IF(201&gt;$B$10,"",201)</f>
        <v/>
      </c>
      <c r="L238" s="37">
        <f>IF($K238="","",INDEX('سجل التحفيز'!$A$5:$A$2004,MATCH($K238,'سجل التحفيز'!$AB$5:$AB$2004,0)))</f>
        <v/>
      </c>
      <c r="M238" s="9">
        <f>IF($K238="","",INDEX('سجل التحفيز'!$B$5:$B$2004,MATCH($K238,'سجل التحفيز'!$AB$5:$AB$2004,0)))</f>
        <v/>
      </c>
      <c r="N238" s="9">
        <f>IF($K238="","",INDEX('سجل التحفيز'!$M$5:$M$2004,MATCH($K238,'سجل التحفيز'!$AB$5:$AB$2004,0)))</f>
        <v/>
      </c>
      <c r="O238" s="9">
        <f>IF($K238="","",INDEX('سجل التحفيز'!$C$5:$C$2004,MATCH($K238,'سجل التحفيز'!$AB$5:$AB$2004,0)))</f>
        <v/>
      </c>
      <c r="P238" s="36">
        <f>IF($K238="","",INDEX('سجل التحفيز'!$D$5:$D$2004,MATCH($K238,'سجل التحفيز'!$AB$5:$AB$2004,0)))</f>
        <v/>
      </c>
      <c r="Q238" s="9">
        <f>IF($K238="","",INDEX('سجل التحفيز'!$E$5:$E$2004,MATCH($K238,'سجل التحفيز'!$AB$5:$AB$2004,0)))</f>
        <v/>
      </c>
      <c r="R238" s="9">
        <f>IF($K238="","",INDEX('سجل التحفيز'!$F$5:$F$2004,MATCH($K238,'سجل التحفيز'!$AB$5:$AB$2004,0)))</f>
        <v/>
      </c>
      <c r="S238" s="35">
        <f>IF($K238="","",INDEX('سجل التحفيز'!$G$5:$G$2004,MATCH($K238,'سجل التحفيز'!$AB$5:$AB$2004,0)))</f>
        <v/>
      </c>
    </row>
    <row r="239">
      <c r="K239" s="36">
        <f>IF(202&gt;$B$10,"",202)</f>
        <v/>
      </c>
      <c r="L239" s="37">
        <f>IF($K239="","",INDEX('سجل التحفيز'!$A$5:$A$2004,MATCH($K239,'سجل التحفيز'!$AB$5:$AB$2004,0)))</f>
        <v/>
      </c>
      <c r="M239" s="9">
        <f>IF($K239="","",INDEX('سجل التحفيز'!$B$5:$B$2004,MATCH($K239,'سجل التحفيز'!$AB$5:$AB$2004,0)))</f>
        <v/>
      </c>
      <c r="N239" s="9">
        <f>IF($K239="","",INDEX('سجل التحفيز'!$M$5:$M$2004,MATCH($K239,'سجل التحفيز'!$AB$5:$AB$2004,0)))</f>
        <v/>
      </c>
      <c r="O239" s="9">
        <f>IF($K239="","",INDEX('سجل التحفيز'!$C$5:$C$2004,MATCH($K239,'سجل التحفيز'!$AB$5:$AB$2004,0)))</f>
        <v/>
      </c>
      <c r="P239" s="36">
        <f>IF($K239="","",INDEX('سجل التحفيز'!$D$5:$D$2004,MATCH($K239,'سجل التحفيز'!$AB$5:$AB$2004,0)))</f>
        <v/>
      </c>
      <c r="Q239" s="9">
        <f>IF($K239="","",INDEX('سجل التحفيز'!$E$5:$E$2004,MATCH($K239,'سجل التحفيز'!$AB$5:$AB$2004,0)))</f>
        <v/>
      </c>
      <c r="R239" s="9">
        <f>IF($K239="","",INDEX('سجل التحفيز'!$F$5:$F$2004,MATCH($K239,'سجل التحفيز'!$AB$5:$AB$2004,0)))</f>
        <v/>
      </c>
      <c r="S239" s="35">
        <f>IF($K239="","",INDEX('سجل التحفيز'!$G$5:$G$2004,MATCH($K239,'سجل التحفيز'!$AB$5:$AB$2004,0)))</f>
        <v/>
      </c>
    </row>
    <row r="240">
      <c r="K240" s="36">
        <f>IF(203&gt;$B$10,"",203)</f>
        <v/>
      </c>
      <c r="L240" s="37">
        <f>IF($K240="","",INDEX('سجل التحفيز'!$A$5:$A$2004,MATCH($K240,'سجل التحفيز'!$AB$5:$AB$2004,0)))</f>
        <v/>
      </c>
      <c r="M240" s="9">
        <f>IF($K240="","",INDEX('سجل التحفيز'!$B$5:$B$2004,MATCH($K240,'سجل التحفيز'!$AB$5:$AB$2004,0)))</f>
        <v/>
      </c>
      <c r="N240" s="9">
        <f>IF($K240="","",INDEX('سجل التحفيز'!$M$5:$M$2004,MATCH($K240,'سجل التحفيز'!$AB$5:$AB$2004,0)))</f>
        <v/>
      </c>
      <c r="O240" s="9">
        <f>IF($K240="","",INDEX('سجل التحفيز'!$C$5:$C$2004,MATCH($K240,'سجل التحفيز'!$AB$5:$AB$2004,0)))</f>
        <v/>
      </c>
      <c r="P240" s="36">
        <f>IF($K240="","",INDEX('سجل التحفيز'!$D$5:$D$2004,MATCH($K240,'سجل التحفيز'!$AB$5:$AB$2004,0)))</f>
        <v/>
      </c>
      <c r="Q240" s="9">
        <f>IF($K240="","",INDEX('سجل التحفيز'!$E$5:$E$2004,MATCH($K240,'سجل التحفيز'!$AB$5:$AB$2004,0)))</f>
        <v/>
      </c>
      <c r="R240" s="9">
        <f>IF($K240="","",INDEX('سجل التحفيز'!$F$5:$F$2004,MATCH($K240,'سجل التحفيز'!$AB$5:$AB$2004,0)))</f>
        <v/>
      </c>
      <c r="S240" s="35">
        <f>IF($K240="","",INDEX('سجل التحفيز'!$G$5:$G$2004,MATCH($K240,'سجل التحفيز'!$AB$5:$AB$2004,0)))</f>
        <v/>
      </c>
    </row>
    <row r="241">
      <c r="K241" s="36">
        <f>IF(204&gt;$B$10,"",204)</f>
        <v/>
      </c>
      <c r="L241" s="37">
        <f>IF($K241="","",INDEX('سجل التحفيز'!$A$5:$A$2004,MATCH($K241,'سجل التحفيز'!$AB$5:$AB$2004,0)))</f>
        <v/>
      </c>
      <c r="M241" s="9">
        <f>IF($K241="","",INDEX('سجل التحفيز'!$B$5:$B$2004,MATCH($K241,'سجل التحفيز'!$AB$5:$AB$2004,0)))</f>
        <v/>
      </c>
      <c r="N241" s="9">
        <f>IF($K241="","",INDEX('سجل التحفيز'!$M$5:$M$2004,MATCH($K241,'سجل التحفيز'!$AB$5:$AB$2004,0)))</f>
        <v/>
      </c>
      <c r="O241" s="9">
        <f>IF($K241="","",INDEX('سجل التحفيز'!$C$5:$C$2004,MATCH($K241,'سجل التحفيز'!$AB$5:$AB$2004,0)))</f>
        <v/>
      </c>
      <c r="P241" s="36">
        <f>IF($K241="","",INDEX('سجل التحفيز'!$D$5:$D$2004,MATCH($K241,'سجل التحفيز'!$AB$5:$AB$2004,0)))</f>
        <v/>
      </c>
      <c r="Q241" s="9">
        <f>IF($K241="","",INDEX('سجل التحفيز'!$E$5:$E$2004,MATCH($K241,'سجل التحفيز'!$AB$5:$AB$2004,0)))</f>
        <v/>
      </c>
      <c r="R241" s="9">
        <f>IF($K241="","",INDEX('سجل التحفيز'!$F$5:$F$2004,MATCH($K241,'سجل التحفيز'!$AB$5:$AB$2004,0)))</f>
        <v/>
      </c>
      <c r="S241" s="35">
        <f>IF($K241="","",INDEX('سجل التحفيز'!$G$5:$G$2004,MATCH($K241,'سجل التحفيز'!$AB$5:$AB$2004,0)))</f>
        <v/>
      </c>
    </row>
    <row r="242">
      <c r="K242" s="36">
        <f>IF(205&gt;$B$10,"",205)</f>
        <v/>
      </c>
      <c r="L242" s="37">
        <f>IF($K242="","",INDEX('سجل التحفيز'!$A$5:$A$2004,MATCH($K242,'سجل التحفيز'!$AB$5:$AB$2004,0)))</f>
        <v/>
      </c>
      <c r="M242" s="9">
        <f>IF($K242="","",INDEX('سجل التحفيز'!$B$5:$B$2004,MATCH($K242,'سجل التحفيز'!$AB$5:$AB$2004,0)))</f>
        <v/>
      </c>
      <c r="N242" s="9">
        <f>IF($K242="","",INDEX('سجل التحفيز'!$M$5:$M$2004,MATCH($K242,'سجل التحفيز'!$AB$5:$AB$2004,0)))</f>
        <v/>
      </c>
      <c r="O242" s="9">
        <f>IF($K242="","",INDEX('سجل التحفيز'!$C$5:$C$2004,MATCH($K242,'سجل التحفيز'!$AB$5:$AB$2004,0)))</f>
        <v/>
      </c>
      <c r="P242" s="36">
        <f>IF($K242="","",INDEX('سجل التحفيز'!$D$5:$D$2004,MATCH($K242,'سجل التحفيز'!$AB$5:$AB$2004,0)))</f>
        <v/>
      </c>
      <c r="Q242" s="9">
        <f>IF($K242="","",INDEX('سجل التحفيز'!$E$5:$E$2004,MATCH($K242,'سجل التحفيز'!$AB$5:$AB$2004,0)))</f>
        <v/>
      </c>
      <c r="R242" s="9">
        <f>IF($K242="","",INDEX('سجل التحفيز'!$F$5:$F$2004,MATCH($K242,'سجل التحفيز'!$AB$5:$AB$2004,0)))</f>
        <v/>
      </c>
      <c r="S242" s="35">
        <f>IF($K242="","",INDEX('سجل التحفيز'!$G$5:$G$2004,MATCH($K242,'سجل التحفيز'!$AB$5:$AB$2004,0)))</f>
        <v/>
      </c>
    </row>
    <row r="243">
      <c r="K243" s="36">
        <f>IF(206&gt;$B$10,"",206)</f>
        <v/>
      </c>
      <c r="L243" s="37">
        <f>IF($K243="","",INDEX('سجل التحفيز'!$A$5:$A$2004,MATCH($K243,'سجل التحفيز'!$AB$5:$AB$2004,0)))</f>
        <v/>
      </c>
      <c r="M243" s="9">
        <f>IF($K243="","",INDEX('سجل التحفيز'!$B$5:$B$2004,MATCH($K243,'سجل التحفيز'!$AB$5:$AB$2004,0)))</f>
        <v/>
      </c>
      <c r="N243" s="9">
        <f>IF($K243="","",INDEX('سجل التحفيز'!$M$5:$M$2004,MATCH($K243,'سجل التحفيز'!$AB$5:$AB$2004,0)))</f>
        <v/>
      </c>
      <c r="O243" s="9">
        <f>IF($K243="","",INDEX('سجل التحفيز'!$C$5:$C$2004,MATCH($K243,'سجل التحفيز'!$AB$5:$AB$2004,0)))</f>
        <v/>
      </c>
      <c r="P243" s="36">
        <f>IF($K243="","",INDEX('سجل التحفيز'!$D$5:$D$2004,MATCH($K243,'سجل التحفيز'!$AB$5:$AB$2004,0)))</f>
        <v/>
      </c>
      <c r="Q243" s="9">
        <f>IF($K243="","",INDEX('سجل التحفيز'!$E$5:$E$2004,MATCH($K243,'سجل التحفيز'!$AB$5:$AB$2004,0)))</f>
        <v/>
      </c>
      <c r="R243" s="9">
        <f>IF($K243="","",INDEX('سجل التحفيز'!$F$5:$F$2004,MATCH($K243,'سجل التحفيز'!$AB$5:$AB$2004,0)))</f>
        <v/>
      </c>
      <c r="S243" s="35">
        <f>IF($K243="","",INDEX('سجل التحفيز'!$G$5:$G$2004,MATCH($K243,'سجل التحفيز'!$AB$5:$AB$2004,0)))</f>
        <v/>
      </c>
    </row>
    <row r="244">
      <c r="K244" s="36">
        <f>IF(207&gt;$B$10,"",207)</f>
        <v/>
      </c>
      <c r="L244" s="37">
        <f>IF($K244="","",INDEX('سجل التحفيز'!$A$5:$A$2004,MATCH($K244,'سجل التحفيز'!$AB$5:$AB$2004,0)))</f>
        <v/>
      </c>
      <c r="M244" s="9">
        <f>IF($K244="","",INDEX('سجل التحفيز'!$B$5:$B$2004,MATCH($K244,'سجل التحفيز'!$AB$5:$AB$2004,0)))</f>
        <v/>
      </c>
      <c r="N244" s="9">
        <f>IF($K244="","",INDEX('سجل التحفيز'!$M$5:$M$2004,MATCH($K244,'سجل التحفيز'!$AB$5:$AB$2004,0)))</f>
        <v/>
      </c>
      <c r="O244" s="9">
        <f>IF($K244="","",INDEX('سجل التحفيز'!$C$5:$C$2004,MATCH($K244,'سجل التحفيز'!$AB$5:$AB$2004,0)))</f>
        <v/>
      </c>
      <c r="P244" s="36">
        <f>IF($K244="","",INDEX('سجل التحفيز'!$D$5:$D$2004,MATCH($K244,'سجل التحفيز'!$AB$5:$AB$2004,0)))</f>
        <v/>
      </c>
      <c r="Q244" s="9">
        <f>IF($K244="","",INDEX('سجل التحفيز'!$E$5:$E$2004,MATCH($K244,'سجل التحفيز'!$AB$5:$AB$2004,0)))</f>
        <v/>
      </c>
      <c r="R244" s="9">
        <f>IF($K244="","",INDEX('سجل التحفيز'!$F$5:$F$2004,MATCH($K244,'سجل التحفيز'!$AB$5:$AB$2004,0)))</f>
        <v/>
      </c>
      <c r="S244" s="35">
        <f>IF($K244="","",INDEX('سجل التحفيز'!$G$5:$G$2004,MATCH($K244,'سجل التحفيز'!$AB$5:$AB$2004,0)))</f>
        <v/>
      </c>
    </row>
    <row r="245">
      <c r="K245" s="36">
        <f>IF(208&gt;$B$10,"",208)</f>
        <v/>
      </c>
      <c r="L245" s="37">
        <f>IF($K245="","",INDEX('سجل التحفيز'!$A$5:$A$2004,MATCH($K245,'سجل التحفيز'!$AB$5:$AB$2004,0)))</f>
        <v/>
      </c>
      <c r="M245" s="9">
        <f>IF($K245="","",INDEX('سجل التحفيز'!$B$5:$B$2004,MATCH($K245,'سجل التحفيز'!$AB$5:$AB$2004,0)))</f>
        <v/>
      </c>
      <c r="N245" s="9">
        <f>IF($K245="","",INDEX('سجل التحفيز'!$M$5:$M$2004,MATCH($K245,'سجل التحفيز'!$AB$5:$AB$2004,0)))</f>
        <v/>
      </c>
      <c r="O245" s="9">
        <f>IF($K245="","",INDEX('سجل التحفيز'!$C$5:$C$2004,MATCH($K245,'سجل التحفيز'!$AB$5:$AB$2004,0)))</f>
        <v/>
      </c>
      <c r="P245" s="36">
        <f>IF($K245="","",INDEX('سجل التحفيز'!$D$5:$D$2004,MATCH($K245,'سجل التحفيز'!$AB$5:$AB$2004,0)))</f>
        <v/>
      </c>
      <c r="Q245" s="9">
        <f>IF($K245="","",INDEX('سجل التحفيز'!$E$5:$E$2004,MATCH($K245,'سجل التحفيز'!$AB$5:$AB$2004,0)))</f>
        <v/>
      </c>
      <c r="R245" s="9">
        <f>IF($K245="","",INDEX('سجل التحفيز'!$F$5:$F$2004,MATCH($K245,'سجل التحفيز'!$AB$5:$AB$2004,0)))</f>
        <v/>
      </c>
      <c r="S245" s="35">
        <f>IF($K245="","",INDEX('سجل التحفيز'!$G$5:$G$2004,MATCH($K245,'سجل التحفيز'!$AB$5:$AB$2004,0)))</f>
        <v/>
      </c>
    </row>
    <row r="246">
      <c r="K246" s="36">
        <f>IF(209&gt;$B$10,"",209)</f>
        <v/>
      </c>
      <c r="L246" s="37">
        <f>IF($K246="","",INDEX('سجل التحفيز'!$A$5:$A$2004,MATCH($K246,'سجل التحفيز'!$AB$5:$AB$2004,0)))</f>
        <v/>
      </c>
      <c r="M246" s="9">
        <f>IF($K246="","",INDEX('سجل التحفيز'!$B$5:$B$2004,MATCH($K246,'سجل التحفيز'!$AB$5:$AB$2004,0)))</f>
        <v/>
      </c>
      <c r="N246" s="9">
        <f>IF($K246="","",INDEX('سجل التحفيز'!$M$5:$M$2004,MATCH($K246,'سجل التحفيز'!$AB$5:$AB$2004,0)))</f>
        <v/>
      </c>
      <c r="O246" s="9">
        <f>IF($K246="","",INDEX('سجل التحفيز'!$C$5:$C$2004,MATCH($K246,'سجل التحفيز'!$AB$5:$AB$2004,0)))</f>
        <v/>
      </c>
      <c r="P246" s="36">
        <f>IF($K246="","",INDEX('سجل التحفيز'!$D$5:$D$2004,MATCH($K246,'سجل التحفيز'!$AB$5:$AB$2004,0)))</f>
        <v/>
      </c>
      <c r="Q246" s="9">
        <f>IF($K246="","",INDEX('سجل التحفيز'!$E$5:$E$2004,MATCH($K246,'سجل التحفيز'!$AB$5:$AB$2004,0)))</f>
        <v/>
      </c>
      <c r="R246" s="9">
        <f>IF($K246="","",INDEX('سجل التحفيز'!$F$5:$F$2004,MATCH($K246,'سجل التحفيز'!$AB$5:$AB$2004,0)))</f>
        <v/>
      </c>
      <c r="S246" s="35">
        <f>IF($K246="","",INDEX('سجل التحفيز'!$G$5:$G$2004,MATCH($K246,'سجل التحفيز'!$AB$5:$AB$2004,0)))</f>
        <v/>
      </c>
    </row>
    <row r="247">
      <c r="K247" s="36">
        <f>IF(210&gt;$B$10,"",210)</f>
        <v/>
      </c>
      <c r="L247" s="37">
        <f>IF($K247="","",INDEX('سجل التحفيز'!$A$5:$A$2004,MATCH($K247,'سجل التحفيز'!$AB$5:$AB$2004,0)))</f>
        <v/>
      </c>
      <c r="M247" s="9">
        <f>IF($K247="","",INDEX('سجل التحفيز'!$B$5:$B$2004,MATCH($K247,'سجل التحفيز'!$AB$5:$AB$2004,0)))</f>
        <v/>
      </c>
      <c r="N247" s="9">
        <f>IF($K247="","",INDEX('سجل التحفيز'!$M$5:$M$2004,MATCH($K247,'سجل التحفيز'!$AB$5:$AB$2004,0)))</f>
        <v/>
      </c>
      <c r="O247" s="9">
        <f>IF($K247="","",INDEX('سجل التحفيز'!$C$5:$C$2004,MATCH($K247,'سجل التحفيز'!$AB$5:$AB$2004,0)))</f>
        <v/>
      </c>
      <c r="P247" s="36">
        <f>IF($K247="","",INDEX('سجل التحفيز'!$D$5:$D$2004,MATCH($K247,'سجل التحفيز'!$AB$5:$AB$2004,0)))</f>
        <v/>
      </c>
      <c r="Q247" s="9">
        <f>IF($K247="","",INDEX('سجل التحفيز'!$E$5:$E$2004,MATCH($K247,'سجل التحفيز'!$AB$5:$AB$2004,0)))</f>
        <v/>
      </c>
      <c r="R247" s="9">
        <f>IF($K247="","",INDEX('سجل التحفيز'!$F$5:$F$2004,MATCH($K247,'سجل التحفيز'!$AB$5:$AB$2004,0)))</f>
        <v/>
      </c>
      <c r="S247" s="35">
        <f>IF($K247="","",INDEX('سجل التحفيز'!$G$5:$G$2004,MATCH($K247,'سجل التحفيز'!$AB$5:$AB$2004,0)))</f>
        <v/>
      </c>
    </row>
    <row r="248">
      <c r="K248" s="36">
        <f>IF(211&gt;$B$10,"",211)</f>
        <v/>
      </c>
      <c r="L248" s="37">
        <f>IF($K248="","",INDEX('سجل التحفيز'!$A$5:$A$2004,MATCH($K248,'سجل التحفيز'!$AB$5:$AB$2004,0)))</f>
        <v/>
      </c>
      <c r="M248" s="9">
        <f>IF($K248="","",INDEX('سجل التحفيز'!$B$5:$B$2004,MATCH($K248,'سجل التحفيز'!$AB$5:$AB$2004,0)))</f>
        <v/>
      </c>
      <c r="N248" s="9">
        <f>IF($K248="","",INDEX('سجل التحفيز'!$M$5:$M$2004,MATCH($K248,'سجل التحفيز'!$AB$5:$AB$2004,0)))</f>
        <v/>
      </c>
      <c r="O248" s="9">
        <f>IF($K248="","",INDEX('سجل التحفيز'!$C$5:$C$2004,MATCH($K248,'سجل التحفيز'!$AB$5:$AB$2004,0)))</f>
        <v/>
      </c>
      <c r="P248" s="36">
        <f>IF($K248="","",INDEX('سجل التحفيز'!$D$5:$D$2004,MATCH($K248,'سجل التحفيز'!$AB$5:$AB$2004,0)))</f>
        <v/>
      </c>
      <c r="Q248" s="9">
        <f>IF($K248="","",INDEX('سجل التحفيز'!$E$5:$E$2004,MATCH($K248,'سجل التحفيز'!$AB$5:$AB$2004,0)))</f>
        <v/>
      </c>
      <c r="R248" s="9">
        <f>IF($K248="","",INDEX('سجل التحفيز'!$F$5:$F$2004,MATCH($K248,'سجل التحفيز'!$AB$5:$AB$2004,0)))</f>
        <v/>
      </c>
      <c r="S248" s="35">
        <f>IF($K248="","",INDEX('سجل التحفيز'!$G$5:$G$2004,MATCH($K248,'سجل التحفيز'!$AB$5:$AB$2004,0)))</f>
        <v/>
      </c>
    </row>
    <row r="249">
      <c r="K249" s="36">
        <f>IF(212&gt;$B$10,"",212)</f>
        <v/>
      </c>
      <c r="L249" s="37">
        <f>IF($K249="","",INDEX('سجل التحفيز'!$A$5:$A$2004,MATCH($K249,'سجل التحفيز'!$AB$5:$AB$2004,0)))</f>
        <v/>
      </c>
      <c r="M249" s="9">
        <f>IF($K249="","",INDEX('سجل التحفيز'!$B$5:$B$2004,MATCH($K249,'سجل التحفيز'!$AB$5:$AB$2004,0)))</f>
        <v/>
      </c>
      <c r="N249" s="9">
        <f>IF($K249="","",INDEX('سجل التحفيز'!$M$5:$M$2004,MATCH($K249,'سجل التحفيز'!$AB$5:$AB$2004,0)))</f>
        <v/>
      </c>
      <c r="O249" s="9">
        <f>IF($K249="","",INDEX('سجل التحفيز'!$C$5:$C$2004,MATCH($K249,'سجل التحفيز'!$AB$5:$AB$2004,0)))</f>
        <v/>
      </c>
      <c r="P249" s="36">
        <f>IF($K249="","",INDEX('سجل التحفيز'!$D$5:$D$2004,MATCH($K249,'سجل التحفيز'!$AB$5:$AB$2004,0)))</f>
        <v/>
      </c>
      <c r="Q249" s="9">
        <f>IF($K249="","",INDEX('سجل التحفيز'!$E$5:$E$2004,MATCH($K249,'سجل التحفيز'!$AB$5:$AB$2004,0)))</f>
        <v/>
      </c>
      <c r="R249" s="9">
        <f>IF($K249="","",INDEX('سجل التحفيز'!$F$5:$F$2004,MATCH($K249,'سجل التحفيز'!$AB$5:$AB$2004,0)))</f>
        <v/>
      </c>
      <c r="S249" s="35">
        <f>IF($K249="","",INDEX('سجل التحفيز'!$G$5:$G$2004,MATCH($K249,'سجل التحفيز'!$AB$5:$AB$2004,0)))</f>
        <v/>
      </c>
    </row>
    <row r="250">
      <c r="K250" s="36">
        <f>IF(213&gt;$B$10,"",213)</f>
        <v/>
      </c>
      <c r="L250" s="37">
        <f>IF($K250="","",INDEX('سجل التحفيز'!$A$5:$A$2004,MATCH($K250,'سجل التحفيز'!$AB$5:$AB$2004,0)))</f>
        <v/>
      </c>
      <c r="M250" s="9">
        <f>IF($K250="","",INDEX('سجل التحفيز'!$B$5:$B$2004,MATCH($K250,'سجل التحفيز'!$AB$5:$AB$2004,0)))</f>
        <v/>
      </c>
      <c r="N250" s="9">
        <f>IF($K250="","",INDEX('سجل التحفيز'!$M$5:$M$2004,MATCH($K250,'سجل التحفيز'!$AB$5:$AB$2004,0)))</f>
        <v/>
      </c>
      <c r="O250" s="9">
        <f>IF($K250="","",INDEX('سجل التحفيز'!$C$5:$C$2004,MATCH($K250,'سجل التحفيز'!$AB$5:$AB$2004,0)))</f>
        <v/>
      </c>
      <c r="P250" s="36">
        <f>IF($K250="","",INDEX('سجل التحفيز'!$D$5:$D$2004,MATCH($K250,'سجل التحفيز'!$AB$5:$AB$2004,0)))</f>
        <v/>
      </c>
      <c r="Q250" s="9">
        <f>IF($K250="","",INDEX('سجل التحفيز'!$E$5:$E$2004,MATCH($K250,'سجل التحفيز'!$AB$5:$AB$2004,0)))</f>
        <v/>
      </c>
      <c r="R250" s="9">
        <f>IF($K250="","",INDEX('سجل التحفيز'!$F$5:$F$2004,MATCH($K250,'سجل التحفيز'!$AB$5:$AB$2004,0)))</f>
        <v/>
      </c>
      <c r="S250" s="35">
        <f>IF($K250="","",INDEX('سجل التحفيز'!$G$5:$G$2004,MATCH($K250,'سجل التحفيز'!$AB$5:$AB$2004,0)))</f>
        <v/>
      </c>
    </row>
    <row r="251">
      <c r="K251" s="36">
        <f>IF(214&gt;$B$10,"",214)</f>
        <v/>
      </c>
      <c r="L251" s="37">
        <f>IF($K251="","",INDEX('سجل التحفيز'!$A$5:$A$2004,MATCH($K251,'سجل التحفيز'!$AB$5:$AB$2004,0)))</f>
        <v/>
      </c>
      <c r="M251" s="9">
        <f>IF($K251="","",INDEX('سجل التحفيز'!$B$5:$B$2004,MATCH($K251,'سجل التحفيز'!$AB$5:$AB$2004,0)))</f>
        <v/>
      </c>
      <c r="N251" s="9">
        <f>IF($K251="","",INDEX('سجل التحفيز'!$M$5:$M$2004,MATCH($K251,'سجل التحفيز'!$AB$5:$AB$2004,0)))</f>
        <v/>
      </c>
      <c r="O251" s="9">
        <f>IF($K251="","",INDEX('سجل التحفيز'!$C$5:$C$2004,MATCH($K251,'سجل التحفيز'!$AB$5:$AB$2004,0)))</f>
        <v/>
      </c>
      <c r="P251" s="36">
        <f>IF($K251="","",INDEX('سجل التحفيز'!$D$5:$D$2004,MATCH($K251,'سجل التحفيز'!$AB$5:$AB$2004,0)))</f>
        <v/>
      </c>
      <c r="Q251" s="9">
        <f>IF($K251="","",INDEX('سجل التحفيز'!$E$5:$E$2004,MATCH($K251,'سجل التحفيز'!$AB$5:$AB$2004,0)))</f>
        <v/>
      </c>
      <c r="R251" s="9">
        <f>IF($K251="","",INDEX('سجل التحفيز'!$F$5:$F$2004,MATCH($K251,'سجل التحفيز'!$AB$5:$AB$2004,0)))</f>
        <v/>
      </c>
      <c r="S251" s="35">
        <f>IF($K251="","",INDEX('سجل التحفيز'!$G$5:$G$2004,MATCH($K251,'سجل التحفيز'!$AB$5:$AB$2004,0)))</f>
        <v/>
      </c>
    </row>
    <row r="252">
      <c r="K252" s="36">
        <f>IF(215&gt;$B$10,"",215)</f>
        <v/>
      </c>
      <c r="L252" s="37">
        <f>IF($K252="","",INDEX('سجل التحفيز'!$A$5:$A$2004,MATCH($K252,'سجل التحفيز'!$AB$5:$AB$2004,0)))</f>
        <v/>
      </c>
      <c r="M252" s="9">
        <f>IF($K252="","",INDEX('سجل التحفيز'!$B$5:$B$2004,MATCH($K252,'سجل التحفيز'!$AB$5:$AB$2004,0)))</f>
        <v/>
      </c>
      <c r="N252" s="9">
        <f>IF($K252="","",INDEX('سجل التحفيز'!$M$5:$M$2004,MATCH($K252,'سجل التحفيز'!$AB$5:$AB$2004,0)))</f>
        <v/>
      </c>
      <c r="O252" s="9">
        <f>IF($K252="","",INDEX('سجل التحفيز'!$C$5:$C$2004,MATCH($K252,'سجل التحفيز'!$AB$5:$AB$2004,0)))</f>
        <v/>
      </c>
      <c r="P252" s="36">
        <f>IF($K252="","",INDEX('سجل التحفيز'!$D$5:$D$2004,MATCH($K252,'سجل التحفيز'!$AB$5:$AB$2004,0)))</f>
        <v/>
      </c>
      <c r="Q252" s="9">
        <f>IF($K252="","",INDEX('سجل التحفيز'!$E$5:$E$2004,MATCH($K252,'سجل التحفيز'!$AB$5:$AB$2004,0)))</f>
        <v/>
      </c>
      <c r="R252" s="9">
        <f>IF($K252="","",INDEX('سجل التحفيز'!$F$5:$F$2004,MATCH($K252,'سجل التحفيز'!$AB$5:$AB$2004,0)))</f>
        <v/>
      </c>
      <c r="S252" s="35">
        <f>IF($K252="","",INDEX('سجل التحفيز'!$G$5:$G$2004,MATCH($K252,'سجل التحفيز'!$AB$5:$AB$2004,0)))</f>
        <v/>
      </c>
    </row>
    <row r="253">
      <c r="K253" s="36">
        <f>IF(216&gt;$B$10,"",216)</f>
        <v/>
      </c>
      <c r="L253" s="37">
        <f>IF($K253="","",INDEX('سجل التحفيز'!$A$5:$A$2004,MATCH($K253,'سجل التحفيز'!$AB$5:$AB$2004,0)))</f>
        <v/>
      </c>
      <c r="M253" s="9">
        <f>IF($K253="","",INDEX('سجل التحفيز'!$B$5:$B$2004,MATCH($K253,'سجل التحفيز'!$AB$5:$AB$2004,0)))</f>
        <v/>
      </c>
      <c r="N253" s="9">
        <f>IF($K253="","",INDEX('سجل التحفيز'!$M$5:$M$2004,MATCH($K253,'سجل التحفيز'!$AB$5:$AB$2004,0)))</f>
        <v/>
      </c>
      <c r="O253" s="9">
        <f>IF($K253="","",INDEX('سجل التحفيز'!$C$5:$C$2004,MATCH($K253,'سجل التحفيز'!$AB$5:$AB$2004,0)))</f>
        <v/>
      </c>
      <c r="P253" s="36">
        <f>IF($K253="","",INDEX('سجل التحفيز'!$D$5:$D$2004,MATCH($K253,'سجل التحفيز'!$AB$5:$AB$2004,0)))</f>
        <v/>
      </c>
      <c r="Q253" s="9">
        <f>IF($K253="","",INDEX('سجل التحفيز'!$E$5:$E$2004,MATCH($K253,'سجل التحفيز'!$AB$5:$AB$2004,0)))</f>
        <v/>
      </c>
      <c r="R253" s="9">
        <f>IF($K253="","",INDEX('سجل التحفيز'!$F$5:$F$2004,MATCH($K253,'سجل التحفيز'!$AB$5:$AB$2004,0)))</f>
        <v/>
      </c>
      <c r="S253" s="35">
        <f>IF($K253="","",INDEX('سجل التحفيز'!$G$5:$G$2004,MATCH($K253,'سجل التحفيز'!$AB$5:$AB$2004,0)))</f>
        <v/>
      </c>
    </row>
    <row r="254">
      <c r="K254" s="36">
        <f>IF(217&gt;$B$10,"",217)</f>
        <v/>
      </c>
      <c r="L254" s="37">
        <f>IF($K254="","",INDEX('سجل التحفيز'!$A$5:$A$2004,MATCH($K254,'سجل التحفيز'!$AB$5:$AB$2004,0)))</f>
        <v/>
      </c>
      <c r="M254" s="9">
        <f>IF($K254="","",INDEX('سجل التحفيز'!$B$5:$B$2004,MATCH($K254,'سجل التحفيز'!$AB$5:$AB$2004,0)))</f>
        <v/>
      </c>
      <c r="N254" s="9">
        <f>IF($K254="","",INDEX('سجل التحفيز'!$M$5:$M$2004,MATCH($K254,'سجل التحفيز'!$AB$5:$AB$2004,0)))</f>
        <v/>
      </c>
      <c r="O254" s="9">
        <f>IF($K254="","",INDEX('سجل التحفيز'!$C$5:$C$2004,MATCH($K254,'سجل التحفيز'!$AB$5:$AB$2004,0)))</f>
        <v/>
      </c>
      <c r="P254" s="36">
        <f>IF($K254="","",INDEX('سجل التحفيز'!$D$5:$D$2004,MATCH($K254,'سجل التحفيز'!$AB$5:$AB$2004,0)))</f>
        <v/>
      </c>
      <c r="Q254" s="9">
        <f>IF($K254="","",INDEX('سجل التحفيز'!$E$5:$E$2004,MATCH($K254,'سجل التحفيز'!$AB$5:$AB$2004,0)))</f>
        <v/>
      </c>
      <c r="R254" s="9">
        <f>IF($K254="","",INDEX('سجل التحفيز'!$F$5:$F$2004,MATCH($K254,'سجل التحفيز'!$AB$5:$AB$2004,0)))</f>
        <v/>
      </c>
      <c r="S254" s="35">
        <f>IF($K254="","",INDEX('سجل التحفيز'!$G$5:$G$2004,MATCH($K254,'سجل التحفيز'!$AB$5:$AB$2004,0)))</f>
        <v/>
      </c>
    </row>
    <row r="255">
      <c r="K255" s="36">
        <f>IF(218&gt;$B$10,"",218)</f>
        <v/>
      </c>
      <c r="L255" s="37">
        <f>IF($K255="","",INDEX('سجل التحفيز'!$A$5:$A$2004,MATCH($K255,'سجل التحفيز'!$AB$5:$AB$2004,0)))</f>
        <v/>
      </c>
      <c r="M255" s="9">
        <f>IF($K255="","",INDEX('سجل التحفيز'!$B$5:$B$2004,MATCH($K255,'سجل التحفيز'!$AB$5:$AB$2004,0)))</f>
        <v/>
      </c>
      <c r="N255" s="9">
        <f>IF($K255="","",INDEX('سجل التحفيز'!$M$5:$M$2004,MATCH($K255,'سجل التحفيز'!$AB$5:$AB$2004,0)))</f>
        <v/>
      </c>
      <c r="O255" s="9">
        <f>IF($K255="","",INDEX('سجل التحفيز'!$C$5:$C$2004,MATCH($K255,'سجل التحفيز'!$AB$5:$AB$2004,0)))</f>
        <v/>
      </c>
      <c r="P255" s="36">
        <f>IF($K255="","",INDEX('سجل التحفيز'!$D$5:$D$2004,MATCH($K255,'سجل التحفيز'!$AB$5:$AB$2004,0)))</f>
        <v/>
      </c>
      <c r="Q255" s="9">
        <f>IF($K255="","",INDEX('سجل التحفيز'!$E$5:$E$2004,MATCH($K255,'سجل التحفيز'!$AB$5:$AB$2004,0)))</f>
        <v/>
      </c>
      <c r="R255" s="9">
        <f>IF($K255="","",INDEX('سجل التحفيز'!$F$5:$F$2004,MATCH($K255,'سجل التحفيز'!$AB$5:$AB$2004,0)))</f>
        <v/>
      </c>
      <c r="S255" s="35">
        <f>IF($K255="","",INDEX('سجل التحفيز'!$G$5:$G$2004,MATCH($K255,'سجل التحفيز'!$AB$5:$AB$2004,0)))</f>
        <v/>
      </c>
    </row>
    <row r="256">
      <c r="K256" s="36">
        <f>IF(219&gt;$B$10,"",219)</f>
        <v/>
      </c>
      <c r="L256" s="37">
        <f>IF($K256="","",INDEX('سجل التحفيز'!$A$5:$A$2004,MATCH($K256,'سجل التحفيز'!$AB$5:$AB$2004,0)))</f>
        <v/>
      </c>
      <c r="M256" s="9">
        <f>IF($K256="","",INDEX('سجل التحفيز'!$B$5:$B$2004,MATCH($K256,'سجل التحفيز'!$AB$5:$AB$2004,0)))</f>
        <v/>
      </c>
      <c r="N256" s="9">
        <f>IF($K256="","",INDEX('سجل التحفيز'!$M$5:$M$2004,MATCH($K256,'سجل التحفيز'!$AB$5:$AB$2004,0)))</f>
        <v/>
      </c>
      <c r="O256" s="9">
        <f>IF($K256="","",INDEX('سجل التحفيز'!$C$5:$C$2004,MATCH($K256,'سجل التحفيز'!$AB$5:$AB$2004,0)))</f>
        <v/>
      </c>
      <c r="P256" s="36">
        <f>IF($K256="","",INDEX('سجل التحفيز'!$D$5:$D$2004,MATCH($K256,'سجل التحفيز'!$AB$5:$AB$2004,0)))</f>
        <v/>
      </c>
      <c r="Q256" s="9">
        <f>IF($K256="","",INDEX('سجل التحفيز'!$E$5:$E$2004,MATCH($K256,'سجل التحفيز'!$AB$5:$AB$2004,0)))</f>
        <v/>
      </c>
      <c r="R256" s="9">
        <f>IF($K256="","",INDEX('سجل التحفيز'!$F$5:$F$2004,MATCH($K256,'سجل التحفيز'!$AB$5:$AB$2004,0)))</f>
        <v/>
      </c>
      <c r="S256" s="35">
        <f>IF($K256="","",INDEX('سجل التحفيز'!$G$5:$G$2004,MATCH($K256,'سجل التحفيز'!$AB$5:$AB$2004,0)))</f>
        <v/>
      </c>
    </row>
    <row r="257">
      <c r="K257" s="36">
        <f>IF(220&gt;$B$10,"",220)</f>
        <v/>
      </c>
      <c r="L257" s="37">
        <f>IF($K257="","",INDEX('سجل التحفيز'!$A$5:$A$2004,MATCH($K257,'سجل التحفيز'!$AB$5:$AB$2004,0)))</f>
        <v/>
      </c>
      <c r="M257" s="9">
        <f>IF($K257="","",INDEX('سجل التحفيز'!$B$5:$B$2004,MATCH($K257,'سجل التحفيز'!$AB$5:$AB$2004,0)))</f>
        <v/>
      </c>
      <c r="N257" s="9">
        <f>IF($K257="","",INDEX('سجل التحفيز'!$M$5:$M$2004,MATCH($K257,'سجل التحفيز'!$AB$5:$AB$2004,0)))</f>
        <v/>
      </c>
      <c r="O257" s="9">
        <f>IF($K257="","",INDEX('سجل التحفيز'!$C$5:$C$2004,MATCH($K257,'سجل التحفيز'!$AB$5:$AB$2004,0)))</f>
        <v/>
      </c>
      <c r="P257" s="36">
        <f>IF($K257="","",INDEX('سجل التحفيز'!$D$5:$D$2004,MATCH($K257,'سجل التحفيز'!$AB$5:$AB$2004,0)))</f>
        <v/>
      </c>
      <c r="Q257" s="9">
        <f>IF($K257="","",INDEX('سجل التحفيز'!$E$5:$E$2004,MATCH($K257,'سجل التحفيز'!$AB$5:$AB$2004,0)))</f>
        <v/>
      </c>
      <c r="R257" s="9">
        <f>IF($K257="","",INDEX('سجل التحفيز'!$F$5:$F$2004,MATCH($K257,'سجل التحفيز'!$AB$5:$AB$2004,0)))</f>
        <v/>
      </c>
      <c r="S257" s="35">
        <f>IF($K257="","",INDEX('سجل التحفيز'!$G$5:$G$2004,MATCH($K257,'سجل التحفيز'!$AB$5:$AB$2004,0)))</f>
        <v/>
      </c>
    </row>
    <row r="258">
      <c r="K258" s="36">
        <f>IF(221&gt;$B$10,"",221)</f>
        <v/>
      </c>
      <c r="L258" s="37">
        <f>IF($K258="","",INDEX('سجل التحفيز'!$A$5:$A$2004,MATCH($K258,'سجل التحفيز'!$AB$5:$AB$2004,0)))</f>
        <v/>
      </c>
      <c r="M258" s="9">
        <f>IF($K258="","",INDEX('سجل التحفيز'!$B$5:$B$2004,MATCH($K258,'سجل التحفيز'!$AB$5:$AB$2004,0)))</f>
        <v/>
      </c>
      <c r="N258" s="9">
        <f>IF($K258="","",INDEX('سجل التحفيز'!$M$5:$M$2004,MATCH($K258,'سجل التحفيز'!$AB$5:$AB$2004,0)))</f>
        <v/>
      </c>
      <c r="O258" s="9">
        <f>IF($K258="","",INDEX('سجل التحفيز'!$C$5:$C$2004,MATCH($K258,'سجل التحفيز'!$AB$5:$AB$2004,0)))</f>
        <v/>
      </c>
      <c r="P258" s="36">
        <f>IF($K258="","",INDEX('سجل التحفيز'!$D$5:$D$2004,MATCH($K258,'سجل التحفيز'!$AB$5:$AB$2004,0)))</f>
        <v/>
      </c>
      <c r="Q258" s="9">
        <f>IF($K258="","",INDEX('سجل التحفيز'!$E$5:$E$2004,MATCH($K258,'سجل التحفيز'!$AB$5:$AB$2004,0)))</f>
        <v/>
      </c>
      <c r="R258" s="9">
        <f>IF($K258="","",INDEX('سجل التحفيز'!$F$5:$F$2004,MATCH($K258,'سجل التحفيز'!$AB$5:$AB$2004,0)))</f>
        <v/>
      </c>
      <c r="S258" s="35">
        <f>IF($K258="","",INDEX('سجل التحفيز'!$G$5:$G$2004,MATCH($K258,'سجل التحفيز'!$AB$5:$AB$2004,0)))</f>
        <v/>
      </c>
    </row>
    <row r="259">
      <c r="K259" s="36">
        <f>IF(222&gt;$B$10,"",222)</f>
        <v/>
      </c>
      <c r="L259" s="37">
        <f>IF($K259="","",INDEX('سجل التحفيز'!$A$5:$A$2004,MATCH($K259,'سجل التحفيز'!$AB$5:$AB$2004,0)))</f>
        <v/>
      </c>
      <c r="M259" s="9">
        <f>IF($K259="","",INDEX('سجل التحفيز'!$B$5:$B$2004,MATCH($K259,'سجل التحفيز'!$AB$5:$AB$2004,0)))</f>
        <v/>
      </c>
      <c r="N259" s="9">
        <f>IF($K259="","",INDEX('سجل التحفيز'!$M$5:$M$2004,MATCH($K259,'سجل التحفيز'!$AB$5:$AB$2004,0)))</f>
        <v/>
      </c>
      <c r="O259" s="9">
        <f>IF($K259="","",INDEX('سجل التحفيز'!$C$5:$C$2004,MATCH($K259,'سجل التحفيز'!$AB$5:$AB$2004,0)))</f>
        <v/>
      </c>
      <c r="P259" s="36">
        <f>IF($K259="","",INDEX('سجل التحفيز'!$D$5:$D$2004,MATCH($K259,'سجل التحفيز'!$AB$5:$AB$2004,0)))</f>
        <v/>
      </c>
      <c r="Q259" s="9">
        <f>IF($K259="","",INDEX('سجل التحفيز'!$E$5:$E$2004,MATCH($K259,'سجل التحفيز'!$AB$5:$AB$2004,0)))</f>
        <v/>
      </c>
      <c r="R259" s="9">
        <f>IF($K259="","",INDEX('سجل التحفيز'!$F$5:$F$2004,MATCH($K259,'سجل التحفيز'!$AB$5:$AB$2004,0)))</f>
        <v/>
      </c>
      <c r="S259" s="35">
        <f>IF($K259="","",INDEX('سجل التحفيز'!$G$5:$G$2004,MATCH($K259,'سجل التحفيز'!$AB$5:$AB$2004,0)))</f>
        <v/>
      </c>
    </row>
    <row r="260">
      <c r="K260" s="36">
        <f>IF(223&gt;$B$10,"",223)</f>
        <v/>
      </c>
      <c r="L260" s="37">
        <f>IF($K260="","",INDEX('سجل التحفيز'!$A$5:$A$2004,MATCH($K260,'سجل التحفيز'!$AB$5:$AB$2004,0)))</f>
        <v/>
      </c>
      <c r="M260" s="9">
        <f>IF($K260="","",INDEX('سجل التحفيز'!$B$5:$B$2004,MATCH($K260,'سجل التحفيز'!$AB$5:$AB$2004,0)))</f>
        <v/>
      </c>
      <c r="N260" s="9">
        <f>IF($K260="","",INDEX('سجل التحفيز'!$M$5:$M$2004,MATCH($K260,'سجل التحفيز'!$AB$5:$AB$2004,0)))</f>
        <v/>
      </c>
      <c r="O260" s="9">
        <f>IF($K260="","",INDEX('سجل التحفيز'!$C$5:$C$2004,MATCH($K260,'سجل التحفيز'!$AB$5:$AB$2004,0)))</f>
        <v/>
      </c>
      <c r="P260" s="36">
        <f>IF($K260="","",INDEX('سجل التحفيز'!$D$5:$D$2004,MATCH($K260,'سجل التحفيز'!$AB$5:$AB$2004,0)))</f>
        <v/>
      </c>
      <c r="Q260" s="9">
        <f>IF($K260="","",INDEX('سجل التحفيز'!$E$5:$E$2004,MATCH($K260,'سجل التحفيز'!$AB$5:$AB$2004,0)))</f>
        <v/>
      </c>
      <c r="R260" s="9">
        <f>IF($K260="","",INDEX('سجل التحفيز'!$F$5:$F$2004,MATCH($K260,'سجل التحفيز'!$AB$5:$AB$2004,0)))</f>
        <v/>
      </c>
      <c r="S260" s="35">
        <f>IF($K260="","",INDEX('سجل التحفيز'!$G$5:$G$2004,MATCH($K260,'سجل التحفيز'!$AB$5:$AB$2004,0)))</f>
        <v/>
      </c>
    </row>
    <row r="261">
      <c r="K261" s="36">
        <f>IF(224&gt;$B$10,"",224)</f>
        <v/>
      </c>
      <c r="L261" s="37">
        <f>IF($K261="","",INDEX('سجل التحفيز'!$A$5:$A$2004,MATCH($K261,'سجل التحفيز'!$AB$5:$AB$2004,0)))</f>
        <v/>
      </c>
      <c r="M261" s="9">
        <f>IF($K261="","",INDEX('سجل التحفيز'!$B$5:$B$2004,MATCH($K261,'سجل التحفيز'!$AB$5:$AB$2004,0)))</f>
        <v/>
      </c>
      <c r="N261" s="9">
        <f>IF($K261="","",INDEX('سجل التحفيز'!$M$5:$M$2004,MATCH($K261,'سجل التحفيز'!$AB$5:$AB$2004,0)))</f>
        <v/>
      </c>
      <c r="O261" s="9">
        <f>IF($K261="","",INDEX('سجل التحفيز'!$C$5:$C$2004,MATCH($K261,'سجل التحفيز'!$AB$5:$AB$2004,0)))</f>
        <v/>
      </c>
      <c r="P261" s="36">
        <f>IF($K261="","",INDEX('سجل التحفيز'!$D$5:$D$2004,MATCH($K261,'سجل التحفيز'!$AB$5:$AB$2004,0)))</f>
        <v/>
      </c>
      <c r="Q261" s="9">
        <f>IF($K261="","",INDEX('سجل التحفيز'!$E$5:$E$2004,MATCH($K261,'سجل التحفيز'!$AB$5:$AB$2004,0)))</f>
        <v/>
      </c>
      <c r="R261" s="9">
        <f>IF($K261="","",INDEX('سجل التحفيز'!$F$5:$F$2004,MATCH($K261,'سجل التحفيز'!$AB$5:$AB$2004,0)))</f>
        <v/>
      </c>
      <c r="S261" s="35">
        <f>IF($K261="","",INDEX('سجل التحفيز'!$G$5:$G$2004,MATCH($K261,'سجل التحفيز'!$AB$5:$AB$2004,0)))</f>
        <v/>
      </c>
    </row>
    <row r="262">
      <c r="K262" s="36">
        <f>IF(225&gt;$B$10,"",225)</f>
        <v/>
      </c>
      <c r="L262" s="37">
        <f>IF($K262="","",INDEX('سجل التحفيز'!$A$5:$A$2004,MATCH($K262,'سجل التحفيز'!$AB$5:$AB$2004,0)))</f>
        <v/>
      </c>
      <c r="M262" s="9">
        <f>IF($K262="","",INDEX('سجل التحفيز'!$B$5:$B$2004,MATCH($K262,'سجل التحفيز'!$AB$5:$AB$2004,0)))</f>
        <v/>
      </c>
      <c r="N262" s="9">
        <f>IF($K262="","",INDEX('سجل التحفيز'!$M$5:$M$2004,MATCH($K262,'سجل التحفيز'!$AB$5:$AB$2004,0)))</f>
        <v/>
      </c>
      <c r="O262" s="9">
        <f>IF($K262="","",INDEX('سجل التحفيز'!$C$5:$C$2004,MATCH($K262,'سجل التحفيز'!$AB$5:$AB$2004,0)))</f>
        <v/>
      </c>
      <c r="P262" s="36">
        <f>IF($K262="","",INDEX('سجل التحفيز'!$D$5:$D$2004,MATCH($K262,'سجل التحفيز'!$AB$5:$AB$2004,0)))</f>
        <v/>
      </c>
      <c r="Q262" s="9">
        <f>IF($K262="","",INDEX('سجل التحفيز'!$E$5:$E$2004,MATCH($K262,'سجل التحفيز'!$AB$5:$AB$2004,0)))</f>
        <v/>
      </c>
      <c r="R262" s="9">
        <f>IF($K262="","",INDEX('سجل التحفيز'!$F$5:$F$2004,MATCH($K262,'سجل التحفيز'!$AB$5:$AB$2004,0)))</f>
        <v/>
      </c>
      <c r="S262" s="35">
        <f>IF($K262="","",INDEX('سجل التحفيز'!$G$5:$G$2004,MATCH($K262,'سجل التحفيز'!$AB$5:$AB$2004,0)))</f>
        <v/>
      </c>
    </row>
    <row r="263">
      <c r="K263" s="36">
        <f>IF(226&gt;$B$10,"",226)</f>
        <v/>
      </c>
      <c r="L263" s="37">
        <f>IF($K263="","",INDEX('سجل التحفيز'!$A$5:$A$2004,MATCH($K263,'سجل التحفيز'!$AB$5:$AB$2004,0)))</f>
        <v/>
      </c>
      <c r="M263" s="9">
        <f>IF($K263="","",INDEX('سجل التحفيز'!$B$5:$B$2004,MATCH($K263,'سجل التحفيز'!$AB$5:$AB$2004,0)))</f>
        <v/>
      </c>
      <c r="N263" s="9">
        <f>IF($K263="","",INDEX('سجل التحفيز'!$M$5:$M$2004,MATCH($K263,'سجل التحفيز'!$AB$5:$AB$2004,0)))</f>
        <v/>
      </c>
      <c r="O263" s="9">
        <f>IF($K263="","",INDEX('سجل التحفيز'!$C$5:$C$2004,MATCH($K263,'سجل التحفيز'!$AB$5:$AB$2004,0)))</f>
        <v/>
      </c>
      <c r="P263" s="36">
        <f>IF($K263="","",INDEX('سجل التحفيز'!$D$5:$D$2004,MATCH($K263,'سجل التحفيز'!$AB$5:$AB$2004,0)))</f>
        <v/>
      </c>
      <c r="Q263" s="9">
        <f>IF($K263="","",INDEX('سجل التحفيز'!$E$5:$E$2004,MATCH($K263,'سجل التحفيز'!$AB$5:$AB$2004,0)))</f>
        <v/>
      </c>
      <c r="R263" s="9">
        <f>IF($K263="","",INDEX('سجل التحفيز'!$F$5:$F$2004,MATCH($K263,'سجل التحفيز'!$AB$5:$AB$2004,0)))</f>
        <v/>
      </c>
      <c r="S263" s="35">
        <f>IF($K263="","",INDEX('سجل التحفيز'!$G$5:$G$2004,MATCH($K263,'سجل التحفيز'!$AB$5:$AB$2004,0)))</f>
        <v/>
      </c>
    </row>
    <row r="264">
      <c r="K264" s="36">
        <f>IF(227&gt;$B$10,"",227)</f>
        <v/>
      </c>
      <c r="L264" s="37">
        <f>IF($K264="","",INDEX('سجل التحفيز'!$A$5:$A$2004,MATCH($K264,'سجل التحفيز'!$AB$5:$AB$2004,0)))</f>
        <v/>
      </c>
      <c r="M264" s="9">
        <f>IF($K264="","",INDEX('سجل التحفيز'!$B$5:$B$2004,MATCH($K264,'سجل التحفيز'!$AB$5:$AB$2004,0)))</f>
        <v/>
      </c>
      <c r="N264" s="9">
        <f>IF($K264="","",INDEX('سجل التحفيز'!$M$5:$M$2004,MATCH($K264,'سجل التحفيز'!$AB$5:$AB$2004,0)))</f>
        <v/>
      </c>
      <c r="O264" s="9">
        <f>IF($K264="","",INDEX('سجل التحفيز'!$C$5:$C$2004,MATCH($K264,'سجل التحفيز'!$AB$5:$AB$2004,0)))</f>
        <v/>
      </c>
      <c r="P264" s="36">
        <f>IF($K264="","",INDEX('سجل التحفيز'!$D$5:$D$2004,MATCH($K264,'سجل التحفيز'!$AB$5:$AB$2004,0)))</f>
        <v/>
      </c>
      <c r="Q264" s="9">
        <f>IF($K264="","",INDEX('سجل التحفيز'!$E$5:$E$2004,MATCH($K264,'سجل التحفيز'!$AB$5:$AB$2004,0)))</f>
        <v/>
      </c>
      <c r="R264" s="9">
        <f>IF($K264="","",INDEX('سجل التحفيز'!$F$5:$F$2004,MATCH($K264,'سجل التحفيز'!$AB$5:$AB$2004,0)))</f>
        <v/>
      </c>
      <c r="S264" s="35">
        <f>IF($K264="","",INDEX('سجل التحفيز'!$G$5:$G$2004,MATCH($K264,'سجل التحفيز'!$AB$5:$AB$2004,0)))</f>
        <v/>
      </c>
    </row>
    <row r="265">
      <c r="K265" s="36">
        <f>IF(228&gt;$B$10,"",228)</f>
        <v/>
      </c>
      <c r="L265" s="37">
        <f>IF($K265="","",INDEX('سجل التحفيز'!$A$5:$A$2004,MATCH($K265,'سجل التحفيز'!$AB$5:$AB$2004,0)))</f>
        <v/>
      </c>
      <c r="M265" s="9">
        <f>IF($K265="","",INDEX('سجل التحفيز'!$B$5:$B$2004,MATCH($K265,'سجل التحفيز'!$AB$5:$AB$2004,0)))</f>
        <v/>
      </c>
      <c r="N265" s="9">
        <f>IF($K265="","",INDEX('سجل التحفيز'!$M$5:$M$2004,MATCH($K265,'سجل التحفيز'!$AB$5:$AB$2004,0)))</f>
        <v/>
      </c>
      <c r="O265" s="9">
        <f>IF($K265="","",INDEX('سجل التحفيز'!$C$5:$C$2004,MATCH($K265,'سجل التحفيز'!$AB$5:$AB$2004,0)))</f>
        <v/>
      </c>
      <c r="P265" s="36">
        <f>IF($K265="","",INDEX('سجل التحفيز'!$D$5:$D$2004,MATCH($K265,'سجل التحفيز'!$AB$5:$AB$2004,0)))</f>
        <v/>
      </c>
      <c r="Q265" s="9">
        <f>IF($K265="","",INDEX('سجل التحفيز'!$E$5:$E$2004,MATCH($K265,'سجل التحفيز'!$AB$5:$AB$2004,0)))</f>
        <v/>
      </c>
      <c r="R265" s="9">
        <f>IF($K265="","",INDEX('سجل التحفيز'!$F$5:$F$2004,MATCH($K265,'سجل التحفيز'!$AB$5:$AB$2004,0)))</f>
        <v/>
      </c>
      <c r="S265" s="35">
        <f>IF($K265="","",INDEX('سجل التحفيز'!$G$5:$G$2004,MATCH($K265,'سجل التحفيز'!$AB$5:$AB$2004,0)))</f>
        <v/>
      </c>
    </row>
    <row r="266">
      <c r="K266" s="36">
        <f>IF(229&gt;$B$10,"",229)</f>
        <v/>
      </c>
      <c r="L266" s="37">
        <f>IF($K266="","",INDEX('سجل التحفيز'!$A$5:$A$2004,MATCH($K266,'سجل التحفيز'!$AB$5:$AB$2004,0)))</f>
        <v/>
      </c>
      <c r="M266" s="9">
        <f>IF($K266="","",INDEX('سجل التحفيز'!$B$5:$B$2004,MATCH($K266,'سجل التحفيز'!$AB$5:$AB$2004,0)))</f>
        <v/>
      </c>
      <c r="N266" s="9">
        <f>IF($K266="","",INDEX('سجل التحفيز'!$M$5:$M$2004,MATCH($K266,'سجل التحفيز'!$AB$5:$AB$2004,0)))</f>
        <v/>
      </c>
      <c r="O266" s="9">
        <f>IF($K266="","",INDEX('سجل التحفيز'!$C$5:$C$2004,MATCH($K266,'سجل التحفيز'!$AB$5:$AB$2004,0)))</f>
        <v/>
      </c>
      <c r="P266" s="36">
        <f>IF($K266="","",INDEX('سجل التحفيز'!$D$5:$D$2004,MATCH($K266,'سجل التحفيز'!$AB$5:$AB$2004,0)))</f>
        <v/>
      </c>
      <c r="Q266" s="9">
        <f>IF($K266="","",INDEX('سجل التحفيز'!$E$5:$E$2004,MATCH($K266,'سجل التحفيز'!$AB$5:$AB$2004,0)))</f>
        <v/>
      </c>
      <c r="R266" s="9">
        <f>IF($K266="","",INDEX('سجل التحفيز'!$F$5:$F$2004,MATCH($K266,'سجل التحفيز'!$AB$5:$AB$2004,0)))</f>
        <v/>
      </c>
      <c r="S266" s="35">
        <f>IF($K266="","",INDEX('سجل التحفيز'!$G$5:$G$2004,MATCH($K266,'سجل التحفيز'!$AB$5:$AB$2004,0)))</f>
        <v/>
      </c>
    </row>
    <row r="267">
      <c r="K267" s="36">
        <f>IF(230&gt;$B$10,"",230)</f>
        <v/>
      </c>
      <c r="L267" s="37">
        <f>IF($K267="","",INDEX('سجل التحفيز'!$A$5:$A$2004,MATCH($K267,'سجل التحفيز'!$AB$5:$AB$2004,0)))</f>
        <v/>
      </c>
      <c r="M267" s="9">
        <f>IF($K267="","",INDEX('سجل التحفيز'!$B$5:$B$2004,MATCH($K267,'سجل التحفيز'!$AB$5:$AB$2004,0)))</f>
        <v/>
      </c>
      <c r="N267" s="9">
        <f>IF($K267="","",INDEX('سجل التحفيز'!$M$5:$M$2004,MATCH($K267,'سجل التحفيز'!$AB$5:$AB$2004,0)))</f>
        <v/>
      </c>
      <c r="O267" s="9">
        <f>IF($K267="","",INDEX('سجل التحفيز'!$C$5:$C$2004,MATCH($K267,'سجل التحفيز'!$AB$5:$AB$2004,0)))</f>
        <v/>
      </c>
      <c r="P267" s="36">
        <f>IF($K267="","",INDEX('سجل التحفيز'!$D$5:$D$2004,MATCH($K267,'سجل التحفيز'!$AB$5:$AB$2004,0)))</f>
        <v/>
      </c>
      <c r="Q267" s="9">
        <f>IF($K267="","",INDEX('سجل التحفيز'!$E$5:$E$2004,MATCH($K267,'سجل التحفيز'!$AB$5:$AB$2004,0)))</f>
        <v/>
      </c>
      <c r="R267" s="9">
        <f>IF($K267="","",INDEX('سجل التحفيز'!$F$5:$F$2004,MATCH($K267,'سجل التحفيز'!$AB$5:$AB$2004,0)))</f>
        <v/>
      </c>
      <c r="S267" s="35">
        <f>IF($K267="","",INDEX('سجل التحفيز'!$G$5:$G$2004,MATCH($K267,'سجل التحفيز'!$AB$5:$AB$2004,0)))</f>
        <v/>
      </c>
    </row>
    <row r="268">
      <c r="K268" s="36">
        <f>IF(231&gt;$B$10,"",231)</f>
        <v/>
      </c>
      <c r="L268" s="37">
        <f>IF($K268="","",INDEX('سجل التحفيز'!$A$5:$A$2004,MATCH($K268,'سجل التحفيز'!$AB$5:$AB$2004,0)))</f>
        <v/>
      </c>
      <c r="M268" s="9">
        <f>IF($K268="","",INDEX('سجل التحفيز'!$B$5:$B$2004,MATCH($K268,'سجل التحفيز'!$AB$5:$AB$2004,0)))</f>
        <v/>
      </c>
      <c r="N268" s="9">
        <f>IF($K268="","",INDEX('سجل التحفيز'!$M$5:$M$2004,MATCH($K268,'سجل التحفيز'!$AB$5:$AB$2004,0)))</f>
        <v/>
      </c>
      <c r="O268" s="9">
        <f>IF($K268="","",INDEX('سجل التحفيز'!$C$5:$C$2004,MATCH($K268,'سجل التحفيز'!$AB$5:$AB$2004,0)))</f>
        <v/>
      </c>
      <c r="P268" s="36">
        <f>IF($K268="","",INDEX('سجل التحفيز'!$D$5:$D$2004,MATCH($K268,'سجل التحفيز'!$AB$5:$AB$2004,0)))</f>
        <v/>
      </c>
      <c r="Q268" s="9">
        <f>IF($K268="","",INDEX('سجل التحفيز'!$E$5:$E$2004,MATCH($K268,'سجل التحفيز'!$AB$5:$AB$2004,0)))</f>
        <v/>
      </c>
      <c r="R268" s="9">
        <f>IF($K268="","",INDEX('سجل التحفيز'!$F$5:$F$2004,MATCH($K268,'سجل التحفيز'!$AB$5:$AB$2004,0)))</f>
        <v/>
      </c>
      <c r="S268" s="35">
        <f>IF($K268="","",INDEX('سجل التحفيز'!$G$5:$G$2004,MATCH($K268,'سجل التحفيز'!$AB$5:$AB$2004,0)))</f>
        <v/>
      </c>
    </row>
    <row r="269">
      <c r="K269" s="36">
        <f>IF(232&gt;$B$10,"",232)</f>
        <v/>
      </c>
      <c r="L269" s="37">
        <f>IF($K269="","",INDEX('سجل التحفيز'!$A$5:$A$2004,MATCH($K269,'سجل التحفيز'!$AB$5:$AB$2004,0)))</f>
        <v/>
      </c>
      <c r="M269" s="9">
        <f>IF($K269="","",INDEX('سجل التحفيز'!$B$5:$B$2004,MATCH($K269,'سجل التحفيز'!$AB$5:$AB$2004,0)))</f>
        <v/>
      </c>
      <c r="N269" s="9">
        <f>IF($K269="","",INDEX('سجل التحفيز'!$M$5:$M$2004,MATCH($K269,'سجل التحفيز'!$AB$5:$AB$2004,0)))</f>
        <v/>
      </c>
      <c r="O269" s="9">
        <f>IF($K269="","",INDEX('سجل التحفيز'!$C$5:$C$2004,MATCH($K269,'سجل التحفيز'!$AB$5:$AB$2004,0)))</f>
        <v/>
      </c>
      <c r="P269" s="36">
        <f>IF($K269="","",INDEX('سجل التحفيز'!$D$5:$D$2004,MATCH($K269,'سجل التحفيز'!$AB$5:$AB$2004,0)))</f>
        <v/>
      </c>
      <c r="Q269" s="9">
        <f>IF($K269="","",INDEX('سجل التحفيز'!$E$5:$E$2004,MATCH($K269,'سجل التحفيز'!$AB$5:$AB$2004,0)))</f>
        <v/>
      </c>
      <c r="R269" s="9">
        <f>IF($K269="","",INDEX('سجل التحفيز'!$F$5:$F$2004,MATCH($K269,'سجل التحفيز'!$AB$5:$AB$2004,0)))</f>
        <v/>
      </c>
      <c r="S269" s="35">
        <f>IF($K269="","",INDEX('سجل التحفيز'!$G$5:$G$2004,MATCH($K269,'سجل التحفيز'!$AB$5:$AB$2004,0)))</f>
        <v/>
      </c>
    </row>
    <row r="270">
      <c r="K270" s="36">
        <f>IF(233&gt;$B$10,"",233)</f>
        <v/>
      </c>
      <c r="L270" s="37">
        <f>IF($K270="","",INDEX('سجل التحفيز'!$A$5:$A$2004,MATCH($K270,'سجل التحفيز'!$AB$5:$AB$2004,0)))</f>
        <v/>
      </c>
      <c r="M270" s="9">
        <f>IF($K270="","",INDEX('سجل التحفيز'!$B$5:$B$2004,MATCH($K270,'سجل التحفيز'!$AB$5:$AB$2004,0)))</f>
        <v/>
      </c>
      <c r="N270" s="9">
        <f>IF($K270="","",INDEX('سجل التحفيز'!$M$5:$M$2004,MATCH($K270,'سجل التحفيز'!$AB$5:$AB$2004,0)))</f>
        <v/>
      </c>
      <c r="O270" s="9">
        <f>IF($K270="","",INDEX('سجل التحفيز'!$C$5:$C$2004,MATCH($K270,'سجل التحفيز'!$AB$5:$AB$2004,0)))</f>
        <v/>
      </c>
      <c r="P270" s="36">
        <f>IF($K270="","",INDEX('سجل التحفيز'!$D$5:$D$2004,MATCH($K270,'سجل التحفيز'!$AB$5:$AB$2004,0)))</f>
        <v/>
      </c>
      <c r="Q270" s="9">
        <f>IF($K270="","",INDEX('سجل التحفيز'!$E$5:$E$2004,MATCH($K270,'سجل التحفيز'!$AB$5:$AB$2004,0)))</f>
        <v/>
      </c>
      <c r="R270" s="9">
        <f>IF($K270="","",INDEX('سجل التحفيز'!$F$5:$F$2004,MATCH($K270,'سجل التحفيز'!$AB$5:$AB$2004,0)))</f>
        <v/>
      </c>
      <c r="S270" s="35">
        <f>IF($K270="","",INDEX('سجل التحفيز'!$G$5:$G$2004,MATCH($K270,'سجل التحفيز'!$AB$5:$AB$2004,0)))</f>
        <v/>
      </c>
    </row>
    <row r="271">
      <c r="K271" s="36">
        <f>IF(234&gt;$B$10,"",234)</f>
        <v/>
      </c>
      <c r="L271" s="37">
        <f>IF($K271="","",INDEX('سجل التحفيز'!$A$5:$A$2004,MATCH($K271,'سجل التحفيز'!$AB$5:$AB$2004,0)))</f>
        <v/>
      </c>
      <c r="M271" s="9">
        <f>IF($K271="","",INDEX('سجل التحفيز'!$B$5:$B$2004,MATCH($K271,'سجل التحفيز'!$AB$5:$AB$2004,0)))</f>
        <v/>
      </c>
      <c r="N271" s="9">
        <f>IF($K271="","",INDEX('سجل التحفيز'!$M$5:$M$2004,MATCH($K271,'سجل التحفيز'!$AB$5:$AB$2004,0)))</f>
        <v/>
      </c>
      <c r="O271" s="9">
        <f>IF($K271="","",INDEX('سجل التحفيز'!$C$5:$C$2004,MATCH($K271,'سجل التحفيز'!$AB$5:$AB$2004,0)))</f>
        <v/>
      </c>
      <c r="P271" s="36">
        <f>IF($K271="","",INDEX('سجل التحفيز'!$D$5:$D$2004,MATCH($K271,'سجل التحفيز'!$AB$5:$AB$2004,0)))</f>
        <v/>
      </c>
      <c r="Q271" s="9">
        <f>IF($K271="","",INDEX('سجل التحفيز'!$E$5:$E$2004,MATCH($K271,'سجل التحفيز'!$AB$5:$AB$2004,0)))</f>
        <v/>
      </c>
      <c r="R271" s="9">
        <f>IF($K271="","",INDEX('سجل التحفيز'!$F$5:$F$2004,MATCH($K271,'سجل التحفيز'!$AB$5:$AB$2004,0)))</f>
        <v/>
      </c>
      <c r="S271" s="35">
        <f>IF($K271="","",INDEX('سجل التحفيز'!$G$5:$G$2004,MATCH($K271,'سجل التحفيز'!$AB$5:$AB$2004,0)))</f>
        <v/>
      </c>
    </row>
    <row r="272">
      <c r="K272" s="36">
        <f>IF(235&gt;$B$10,"",235)</f>
        <v/>
      </c>
      <c r="L272" s="37">
        <f>IF($K272="","",INDEX('سجل التحفيز'!$A$5:$A$2004,MATCH($K272,'سجل التحفيز'!$AB$5:$AB$2004,0)))</f>
        <v/>
      </c>
      <c r="M272" s="9">
        <f>IF($K272="","",INDEX('سجل التحفيز'!$B$5:$B$2004,MATCH($K272,'سجل التحفيز'!$AB$5:$AB$2004,0)))</f>
        <v/>
      </c>
      <c r="N272" s="9">
        <f>IF($K272="","",INDEX('سجل التحفيز'!$M$5:$M$2004,MATCH($K272,'سجل التحفيز'!$AB$5:$AB$2004,0)))</f>
        <v/>
      </c>
      <c r="O272" s="9">
        <f>IF($K272="","",INDEX('سجل التحفيز'!$C$5:$C$2004,MATCH($K272,'سجل التحفيز'!$AB$5:$AB$2004,0)))</f>
        <v/>
      </c>
      <c r="P272" s="36">
        <f>IF($K272="","",INDEX('سجل التحفيز'!$D$5:$D$2004,MATCH($K272,'سجل التحفيز'!$AB$5:$AB$2004,0)))</f>
        <v/>
      </c>
      <c r="Q272" s="9">
        <f>IF($K272="","",INDEX('سجل التحفيز'!$E$5:$E$2004,MATCH($K272,'سجل التحفيز'!$AB$5:$AB$2004,0)))</f>
        <v/>
      </c>
      <c r="R272" s="9">
        <f>IF($K272="","",INDEX('سجل التحفيز'!$F$5:$F$2004,MATCH($K272,'سجل التحفيز'!$AB$5:$AB$2004,0)))</f>
        <v/>
      </c>
      <c r="S272" s="35">
        <f>IF($K272="","",INDEX('سجل التحفيز'!$G$5:$G$2004,MATCH($K272,'سجل التحفيز'!$AB$5:$AB$2004,0)))</f>
        <v/>
      </c>
    </row>
    <row r="273">
      <c r="K273" s="36">
        <f>IF(236&gt;$B$10,"",236)</f>
        <v/>
      </c>
      <c r="L273" s="37">
        <f>IF($K273="","",INDEX('سجل التحفيز'!$A$5:$A$2004,MATCH($K273,'سجل التحفيز'!$AB$5:$AB$2004,0)))</f>
        <v/>
      </c>
      <c r="M273" s="9">
        <f>IF($K273="","",INDEX('سجل التحفيز'!$B$5:$B$2004,MATCH($K273,'سجل التحفيز'!$AB$5:$AB$2004,0)))</f>
        <v/>
      </c>
      <c r="N273" s="9">
        <f>IF($K273="","",INDEX('سجل التحفيز'!$M$5:$M$2004,MATCH($K273,'سجل التحفيز'!$AB$5:$AB$2004,0)))</f>
        <v/>
      </c>
      <c r="O273" s="9">
        <f>IF($K273="","",INDEX('سجل التحفيز'!$C$5:$C$2004,MATCH($K273,'سجل التحفيز'!$AB$5:$AB$2004,0)))</f>
        <v/>
      </c>
      <c r="P273" s="36">
        <f>IF($K273="","",INDEX('سجل التحفيز'!$D$5:$D$2004,MATCH($K273,'سجل التحفيز'!$AB$5:$AB$2004,0)))</f>
        <v/>
      </c>
      <c r="Q273" s="9">
        <f>IF($K273="","",INDEX('سجل التحفيز'!$E$5:$E$2004,MATCH($K273,'سجل التحفيز'!$AB$5:$AB$2004,0)))</f>
        <v/>
      </c>
      <c r="R273" s="9">
        <f>IF($K273="","",INDEX('سجل التحفيز'!$F$5:$F$2004,MATCH($K273,'سجل التحفيز'!$AB$5:$AB$2004,0)))</f>
        <v/>
      </c>
      <c r="S273" s="35">
        <f>IF($K273="","",INDEX('سجل التحفيز'!$G$5:$G$2004,MATCH($K273,'سجل التحفيز'!$AB$5:$AB$2004,0)))</f>
        <v/>
      </c>
    </row>
    <row r="274">
      <c r="K274" s="36">
        <f>IF(237&gt;$B$10,"",237)</f>
        <v/>
      </c>
      <c r="L274" s="37">
        <f>IF($K274="","",INDEX('سجل التحفيز'!$A$5:$A$2004,MATCH($K274,'سجل التحفيز'!$AB$5:$AB$2004,0)))</f>
        <v/>
      </c>
      <c r="M274" s="9">
        <f>IF($K274="","",INDEX('سجل التحفيز'!$B$5:$B$2004,MATCH($K274,'سجل التحفيز'!$AB$5:$AB$2004,0)))</f>
        <v/>
      </c>
      <c r="N274" s="9">
        <f>IF($K274="","",INDEX('سجل التحفيز'!$M$5:$M$2004,MATCH($K274,'سجل التحفيز'!$AB$5:$AB$2004,0)))</f>
        <v/>
      </c>
      <c r="O274" s="9">
        <f>IF($K274="","",INDEX('سجل التحفيز'!$C$5:$C$2004,MATCH($K274,'سجل التحفيز'!$AB$5:$AB$2004,0)))</f>
        <v/>
      </c>
      <c r="P274" s="36">
        <f>IF($K274="","",INDEX('سجل التحفيز'!$D$5:$D$2004,MATCH($K274,'سجل التحفيز'!$AB$5:$AB$2004,0)))</f>
        <v/>
      </c>
      <c r="Q274" s="9">
        <f>IF($K274="","",INDEX('سجل التحفيز'!$E$5:$E$2004,MATCH($K274,'سجل التحفيز'!$AB$5:$AB$2004,0)))</f>
        <v/>
      </c>
      <c r="R274" s="9">
        <f>IF($K274="","",INDEX('سجل التحفيز'!$F$5:$F$2004,MATCH($K274,'سجل التحفيز'!$AB$5:$AB$2004,0)))</f>
        <v/>
      </c>
      <c r="S274" s="35">
        <f>IF($K274="","",INDEX('سجل التحفيز'!$G$5:$G$2004,MATCH($K274,'سجل التحفيز'!$AB$5:$AB$2004,0)))</f>
        <v/>
      </c>
    </row>
    <row r="275">
      <c r="K275" s="36">
        <f>IF(238&gt;$B$10,"",238)</f>
        <v/>
      </c>
      <c r="L275" s="37">
        <f>IF($K275="","",INDEX('سجل التحفيز'!$A$5:$A$2004,MATCH($K275,'سجل التحفيز'!$AB$5:$AB$2004,0)))</f>
        <v/>
      </c>
      <c r="M275" s="9">
        <f>IF($K275="","",INDEX('سجل التحفيز'!$B$5:$B$2004,MATCH($K275,'سجل التحفيز'!$AB$5:$AB$2004,0)))</f>
        <v/>
      </c>
      <c r="N275" s="9">
        <f>IF($K275="","",INDEX('سجل التحفيز'!$M$5:$M$2004,MATCH($K275,'سجل التحفيز'!$AB$5:$AB$2004,0)))</f>
        <v/>
      </c>
      <c r="O275" s="9">
        <f>IF($K275="","",INDEX('سجل التحفيز'!$C$5:$C$2004,MATCH($K275,'سجل التحفيز'!$AB$5:$AB$2004,0)))</f>
        <v/>
      </c>
      <c r="P275" s="36">
        <f>IF($K275="","",INDEX('سجل التحفيز'!$D$5:$D$2004,MATCH($K275,'سجل التحفيز'!$AB$5:$AB$2004,0)))</f>
        <v/>
      </c>
      <c r="Q275" s="9">
        <f>IF($K275="","",INDEX('سجل التحفيز'!$E$5:$E$2004,MATCH($K275,'سجل التحفيز'!$AB$5:$AB$2004,0)))</f>
        <v/>
      </c>
      <c r="R275" s="9">
        <f>IF($K275="","",INDEX('سجل التحفيز'!$F$5:$F$2004,MATCH($K275,'سجل التحفيز'!$AB$5:$AB$2004,0)))</f>
        <v/>
      </c>
      <c r="S275" s="35">
        <f>IF($K275="","",INDEX('سجل التحفيز'!$G$5:$G$2004,MATCH($K275,'سجل التحفيز'!$AB$5:$AB$2004,0)))</f>
        <v/>
      </c>
    </row>
    <row r="276">
      <c r="K276" s="36">
        <f>IF(239&gt;$B$10,"",239)</f>
        <v/>
      </c>
      <c r="L276" s="37">
        <f>IF($K276="","",INDEX('سجل التحفيز'!$A$5:$A$2004,MATCH($K276,'سجل التحفيز'!$AB$5:$AB$2004,0)))</f>
        <v/>
      </c>
      <c r="M276" s="9">
        <f>IF($K276="","",INDEX('سجل التحفيز'!$B$5:$B$2004,MATCH($K276,'سجل التحفيز'!$AB$5:$AB$2004,0)))</f>
        <v/>
      </c>
      <c r="N276" s="9">
        <f>IF($K276="","",INDEX('سجل التحفيز'!$M$5:$M$2004,MATCH($K276,'سجل التحفيز'!$AB$5:$AB$2004,0)))</f>
        <v/>
      </c>
      <c r="O276" s="9">
        <f>IF($K276="","",INDEX('سجل التحفيز'!$C$5:$C$2004,MATCH($K276,'سجل التحفيز'!$AB$5:$AB$2004,0)))</f>
        <v/>
      </c>
      <c r="P276" s="36">
        <f>IF($K276="","",INDEX('سجل التحفيز'!$D$5:$D$2004,MATCH($K276,'سجل التحفيز'!$AB$5:$AB$2004,0)))</f>
        <v/>
      </c>
      <c r="Q276" s="9">
        <f>IF($K276="","",INDEX('سجل التحفيز'!$E$5:$E$2004,MATCH($K276,'سجل التحفيز'!$AB$5:$AB$2004,0)))</f>
        <v/>
      </c>
      <c r="R276" s="9">
        <f>IF($K276="","",INDEX('سجل التحفيز'!$F$5:$F$2004,MATCH($K276,'سجل التحفيز'!$AB$5:$AB$2004,0)))</f>
        <v/>
      </c>
      <c r="S276" s="35">
        <f>IF($K276="","",INDEX('سجل التحفيز'!$G$5:$G$2004,MATCH($K276,'سجل التحفيز'!$AB$5:$AB$2004,0)))</f>
        <v/>
      </c>
    </row>
    <row r="277">
      <c r="K277" s="36">
        <f>IF(240&gt;$B$10,"",240)</f>
        <v/>
      </c>
      <c r="L277" s="37">
        <f>IF($K277="","",INDEX('سجل التحفيز'!$A$5:$A$2004,MATCH($K277,'سجل التحفيز'!$AB$5:$AB$2004,0)))</f>
        <v/>
      </c>
      <c r="M277" s="9">
        <f>IF($K277="","",INDEX('سجل التحفيز'!$B$5:$B$2004,MATCH($K277,'سجل التحفيز'!$AB$5:$AB$2004,0)))</f>
        <v/>
      </c>
      <c r="N277" s="9">
        <f>IF($K277="","",INDEX('سجل التحفيز'!$M$5:$M$2004,MATCH($K277,'سجل التحفيز'!$AB$5:$AB$2004,0)))</f>
        <v/>
      </c>
      <c r="O277" s="9">
        <f>IF($K277="","",INDEX('سجل التحفيز'!$C$5:$C$2004,MATCH($K277,'سجل التحفيز'!$AB$5:$AB$2004,0)))</f>
        <v/>
      </c>
      <c r="P277" s="36">
        <f>IF($K277="","",INDEX('سجل التحفيز'!$D$5:$D$2004,MATCH($K277,'سجل التحفيز'!$AB$5:$AB$2004,0)))</f>
        <v/>
      </c>
      <c r="Q277" s="9">
        <f>IF($K277="","",INDEX('سجل التحفيز'!$E$5:$E$2004,MATCH($K277,'سجل التحفيز'!$AB$5:$AB$2004,0)))</f>
        <v/>
      </c>
      <c r="R277" s="9">
        <f>IF($K277="","",INDEX('سجل التحفيز'!$F$5:$F$2004,MATCH($K277,'سجل التحفيز'!$AB$5:$AB$2004,0)))</f>
        <v/>
      </c>
      <c r="S277" s="35">
        <f>IF($K277="","",INDEX('سجل التحفيز'!$G$5:$G$2004,MATCH($K277,'سجل التحفيز'!$AB$5:$AB$2004,0)))</f>
        <v/>
      </c>
    </row>
    <row r="278">
      <c r="K278" s="36">
        <f>IF(241&gt;$B$10,"",241)</f>
        <v/>
      </c>
      <c r="L278" s="37">
        <f>IF($K278="","",INDEX('سجل التحفيز'!$A$5:$A$2004,MATCH($K278,'سجل التحفيز'!$AB$5:$AB$2004,0)))</f>
        <v/>
      </c>
      <c r="M278" s="9">
        <f>IF($K278="","",INDEX('سجل التحفيز'!$B$5:$B$2004,MATCH($K278,'سجل التحفيز'!$AB$5:$AB$2004,0)))</f>
        <v/>
      </c>
      <c r="N278" s="9">
        <f>IF($K278="","",INDEX('سجل التحفيز'!$M$5:$M$2004,MATCH($K278,'سجل التحفيز'!$AB$5:$AB$2004,0)))</f>
        <v/>
      </c>
      <c r="O278" s="9">
        <f>IF($K278="","",INDEX('سجل التحفيز'!$C$5:$C$2004,MATCH($K278,'سجل التحفيز'!$AB$5:$AB$2004,0)))</f>
        <v/>
      </c>
      <c r="P278" s="36">
        <f>IF($K278="","",INDEX('سجل التحفيز'!$D$5:$D$2004,MATCH($K278,'سجل التحفيز'!$AB$5:$AB$2004,0)))</f>
        <v/>
      </c>
      <c r="Q278" s="9">
        <f>IF($K278="","",INDEX('سجل التحفيز'!$E$5:$E$2004,MATCH($K278,'سجل التحفيز'!$AB$5:$AB$2004,0)))</f>
        <v/>
      </c>
      <c r="R278" s="9">
        <f>IF($K278="","",INDEX('سجل التحفيز'!$F$5:$F$2004,MATCH($K278,'سجل التحفيز'!$AB$5:$AB$2004,0)))</f>
        <v/>
      </c>
      <c r="S278" s="35">
        <f>IF($K278="","",INDEX('سجل التحفيز'!$G$5:$G$2004,MATCH($K278,'سجل التحفيز'!$AB$5:$AB$2004,0)))</f>
        <v/>
      </c>
    </row>
    <row r="279">
      <c r="K279" s="36">
        <f>IF(242&gt;$B$10,"",242)</f>
        <v/>
      </c>
      <c r="L279" s="37">
        <f>IF($K279="","",INDEX('سجل التحفيز'!$A$5:$A$2004,MATCH($K279,'سجل التحفيز'!$AB$5:$AB$2004,0)))</f>
        <v/>
      </c>
      <c r="M279" s="9">
        <f>IF($K279="","",INDEX('سجل التحفيز'!$B$5:$B$2004,MATCH($K279,'سجل التحفيز'!$AB$5:$AB$2004,0)))</f>
        <v/>
      </c>
      <c r="N279" s="9">
        <f>IF($K279="","",INDEX('سجل التحفيز'!$M$5:$M$2004,MATCH($K279,'سجل التحفيز'!$AB$5:$AB$2004,0)))</f>
        <v/>
      </c>
      <c r="O279" s="9">
        <f>IF($K279="","",INDEX('سجل التحفيز'!$C$5:$C$2004,MATCH($K279,'سجل التحفيز'!$AB$5:$AB$2004,0)))</f>
        <v/>
      </c>
      <c r="P279" s="36">
        <f>IF($K279="","",INDEX('سجل التحفيز'!$D$5:$D$2004,MATCH($K279,'سجل التحفيز'!$AB$5:$AB$2004,0)))</f>
        <v/>
      </c>
      <c r="Q279" s="9">
        <f>IF($K279="","",INDEX('سجل التحفيز'!$E$5:$E$2004,MATCH($K279,'سجل التحفيز'!$AB$5:$AB$2004,0)))</f>
        <v/>
      </c>
      <c r="R279" s="9">
        <f>IF($K279="","",INDEX('سجل التحفيز'!$F$5:$F$2004,MATCH($K279,'سجل التحفيز'!$AB$5:$AB$2004,0)))</f>
        <v/>
      </c>
      <c r="S279" s="35">
        <f>IF($K279="","",INDEX('سجل التحفيز'!$G$5:$G$2004,MATCH($K279,'سجل التحفيز'!$AB$5:$AB$2004,0)))</f>
        <v/>
      </c>
    </row>
    <row r="280">
      <c r="K280" s="36">
        <f>IF(243&gt;$B$10,"",243)</f>
        <v/>
      </c>
      <c r="L280" s="37">
        <f>IF($K280="","",INDEX('سجل التحفيز'!$A$5:$A$2004,MATCH($K280,'سجل التحفيز'!$AB$5:$AB$2004,0)))</f>
        <v/>
      </c>
      <c r="M280" s="9">
        <f>IF($K280="","",INDEX('سجل التحفيز'!$B$5:$B$2004,MATCH($K280,'سجل التحفيز'!$AB$5:$AB$2004,0)))</f>
        <v/>
      </c>
      <c r="N280" s="9">
        <f>IF($K280="","",INDEX('سجل التحفيز'!$M$5:$M$2004,MATCH($K280,'سجل التحفيز'!$AB$5:$AB$2004,0)))</f>
        <v/>
      </c>
      <c r="O280" s="9">
        <f>IF($K280="","",INDEX('سجل التحفيز'!$C$5:$C$2004,MATCH($K280,'سجل التحفيز'!$AB$5:$AB$2004,0)))</f>
        <v/>
      </c>
      <c r="P280" s="36">
        <f>IF($K280="","",INDEX('سجل التحفيز'!$D$5:$D$2004,MATCH($K280,'سجل التحفيز'!$AB$5:$AB$2004,0)))</f>
        <v/>
      </c>
      <c r="Q280" s="9">
        <f>IF($K280="","",INDEX('سجل التحفيز'!$E$5:$E$2004,MATCH($K280,'سجل التحفيز'!$AB$5:$AB$2004,0)))</f>
        <v/>
      </c>
      <c r="R280" s="9">
        <f>IF($K280="","",INDEX('سجل التحفيز'!$F$5:$F$2004,MATCH($K280,'سجل التحفيز'!$AB$5:$AB$2004,0)))</f>
        <v/>
      </c>
      <c r="S280" s="35">
        <f>IF($K280="","",INDEX('سجل التحفيز'!$G$5:$G$2004,MATCH($K280,'سجل التحفيز'!$AB$5:$AB$2004,0)))</f>
        <v/>
      </c>
    </row>
    <row r="281">
      <c r="K281" s="36">
        <f>IF(244&gt;$B$10,"",244)</f>
        <v/>
      </c>
      <c r="L281" s="37">
        <f>IF($K281="","",INDEX('سجل التحفيز'!$A$5:$A$2004,MATCH($K281,'سجل التحفيز'!$AB$5:$AB$2004,0)))</f>
        <v/>
      </c>
      <c r="M281" s="9">
        <f>IF($K281="","",INDEX('سجل التحفيز'!$B$5:$B$2004,MATCH($K281,'سجل التحفيز'!$AB$5:$AB$2004,0)))</f>
        <v/>
      </c>
      <c r="N281" s="9">
        <f>IF($K281="","",INDEX('سجل التحفيز'!$M$5:$M$2004,MATCH($K281,'سجل التحفيز'!$AB$5:$AB$2004,0)))</f>
        <v/>
      </c>
      <c r="O281" s="9">
        <f>IF($K281="","",INDEX('سجل التحفيز'!$C$5:$C$2004,MATCH($K281,'سجل التحفيز'!$AB$5:$AB$2004,0)))</f>
        <v/>
      </c>
      <c r="P281" s="36">
        <f>IF($K281="","",INDEX('سجل التحفيز'!$D$5:$D$2004,MATCH($K281,'سجل التحفيز'!$AB$5:$AB$2004,0)))</f>
        <v/>
      </c>
      <c r="Q281" s="9">
        <f>IF($K281="","",INDEX('سجل التحفيز'!$E$5:$E$2004,MATCH($K281,'سجل التحفيز'!$AB$5:$AB$2004,0)))</f>
        <v/>
      </c>
      <c r="R281" s="9">
        <f>IF($K281="","",INDEX('سجل التحفيز'!$F$5:$F$2004,MATCH($K281,'سجل التحفيز'!$AB$5:$AB$2004,0)))</f>
        <v/>
      </c>
      <c r="S281" s="35">
        <f>IF($K281="","",INDEX('سجل التحفيز'!$G$5:$G$2004,MATCH($K281,'سجل التحفيز'!$AB$5:$AB$2004,0)))</f>
        <v/>
      </c>
    </row>
    <row r="282">
      <c r="K282" s="36">
        <f>IF(245&gt;$B$10,"",245)</f>
        <v/>
      </c>
      <c r="L282" s="37">
        <f>IF($K282="","",INDEX('سجل التحفيز'!$A$5:$A$2004,MATCH($K282,'سجل التحفيز'!$AB$5:$AB$2004,0)))</f>
        <v/>
      </c>
      <c r="M282" s="9">
        <f>IF($K282="","",INDEX('سجل التحفيز'!$B$5:$B$2004,MATCH($K282,'سجل التحفيز'!$AB$5:$AB$2004,0)))</f>
        <v/>
      </c>
      <c r="N282" s="9">
        <f>IF($K282="","",INDEX('سجل التحفيز'!$M$5:$M$2004,MATCH($K282,'سجل التحفيز'!$AB$5:$AB$2004,0)))</f>
        <v/>
      </c>
      <c r="O282" s="9">
        <f>IF($K282="","",INDEX('سجل التحفيز'!$C$5:$C$2004,MATCH($K282,'سجل التحفيز'!$AB$5:$AB$2004,0)))</f>
        <v/>
      </c>
      <c r="P282" s="36">
        <f>IF($K282="","",INDEX('سجل التحفيز'!$D$5:$D$2004,MATCH($K282,'سجل التحفيز'!$AB$5:$AB$2004,0)))</f>
        <v/>
      </c>
      <c r="Q282" s="9">
        <f>IF($K282="","",INDEX('سجل التحفيز'!$E$5:$E$2004,MATCH($K282,'سجل التحفيز'!$AB$5:$AB$2004,0)))</f>
        <v/>
      </c>
      <c r="R282" s="9">
        <f>IF($K282="","",INDEX('سجل التحفيز'!$F$5:$F$2004,MATCH($K282,'سجل التحفيز'!$AB$5:$AB$2004,0)))</f>
        <v/>
      </c>
      <c r="S282" s="35">
        <f>IF($K282="","",INDEX('سجل التحفيز'!$G$5:$G$2004,MATCH($K282,'سجل التحفيز'!$AB$5:$AB$2004,0)))</f>
        <v/>
      </c>
    </row>
    <row r="283">
      <c r="K283" s="36">
        <f>IF(246&gt;$B$10,"",246)</f>
        <v/>
      </c>
      <c r="L283" s="37">
        <f>IF($K283="","",INDEX('سجل التحفيز'!$A$5:$A$2004,MATCH($K283,'سجل التحفيز'!$AB$5:$AB$2004,0)))</f>
        <v/>
      </c>
      <c r="M283" s="9">
        <f>IF($K283="","",INDEX('سجل التحفيز'!$B$5:$B$2004,MATCH($K283,'سجل التحفيز'!$AB$5:$AB$2004,0)))</f>
        <v/>
      </c>
      <c r="N283" s="9">
        <f>IF($K283="","",INDEX('سجل التحفيز'!$M$5:$M$2004,MATCH($K283,'سجل التحفيز'!$AB$5:$AB$2004,0)))</f>
        <v/>
      </c>
      <c r="O283" s="9">
        <f>IF($K283="","",INDEX('سجل التحفيز'!$C$5:$C$2004,MATCH($K283,'سجل التحفيز'!$AB$5:$AB$2004,0)))</f>
        <v/>
      </c>
      <c r="P283" s="36">
        <f>IF($K283="","",INDEX('سجل التحفيز'!$D$5:$D$2004,MATCH($K283,'سجل التحفيز'!$AB$5:$AB$2004,0)))</f>
        <v/>
      </c>
      <c r="Q283" s="9">
        <f>IF($K283="","",INDEX('سجل التحفيز'!$E$5:$E$2004,MATCH($K283,'سجل التحفيز'!$AB$5:$AB$2004,0)))</f>
        <v/>
      </c>
      <c r="R283" s="9">
        <f>IF($K283="","",INDEX('سجل التحفيز'!$F$5:$F$2004,MATCH($K283,'سجل التحفيز'!$AB$5:$AB$2004,0)))</f>
        <v/>
      </c>
      <c r="S283" s="35">
        <f>IF($K283="","",INDEX('سجل التحفيز'!$G$5:$G$2004,MATCH($K283,'سجل التحفيز'!$AB$5:$AB$2004,0)))</f>
        <v/>
      </c>
    </row>
    <row r="284">
      <c r="K284" s="36">
        <f>IF(247&gt;$B$10,"",247)</f>
        <v/>
      </c>
      <c r="L284" s="37">
        <f>IF($K284="","",INDEX('سجل التحفيز'!$A$5:$A$2004,MATCH($K284,'سجل التحفيز'!$AB$5:$AB$2004,0)))</f>
        <v/>
      </c>
      <c r="M284" s="9">
        <f>IF($K284="","",INDEX('سجل التحفيز'!$B$5:$B$2004,MATCH($K284,'سجل التحفيز'!$AB$5:$AB$2004,0)))</f>
        <v/>
      </c>
      <c r="N284" s="9">
        <f>IF($K284="","",INDEX('سجل التحفيز'!$M$5:$M$2004,MATCH($K284,'سجل التحفيز'!$AB$5:$AB$2004,0)))</f>
        <v/>
      </c>
      <c r="O284" s="9">
        <f>IF($K284="","",INDEX('سجل التحفيز'!$C$5:$C$2004,MATCH($K284,'سجل التحفيز'!$AB$5:$AB$2004,0)))</f>
        <v/>
      </c>
      <c r="P284" s="36">
        <f>IF($K284="","",INDEX('سجل التحفيز'!$D$5:$D$2004,MATCH($K284,'سجل التحفيز'!$AB$5:$AB$2004,0)))</f>
        <v/>
      </c>
      <c r="Q284" s="9">
        <f>IF($K284="","",INDEX('سجل التحفيز'!$E$5:$E$2004,MATCH($K284,'سجل التحفيز'!$AB$5:$AB$2004,0)))</f>
        <v/>
      </c>
      <c r="R284" s="9">
        <f>IF($K284="","",INDEX('سجل التحفيز'!$F$5:$F$2004,MATCH($K284,'سجل التحفيز'!$AB$5:$AB$2004,0)))</f>
        <v/>
      </c>
      <c r="S284" s="35">
        <f>IF($K284="","",INDEX('سجل التحفيز'!$G$5:$G$2004,MATCH($K284,'سجل التحفيز'!$AB$5:$AB$2004,0)))</f>
        <v/>
      </c>
    </row>
    <row r="285">
      <c r="K285" s="36">
        <f>IF(248&gt;$B$10,"",248)</f>
        <v/>
      </c>
      <c r="L285" s="37">
        <f>IF($K285="","",INDEX('سجل التحفيز'!$A$5:$A$2004,MATCH($K285,'سجل التحفيز'!$AB$5:$AB$2004,0)))</f>
        <v/>
      </c>
      <c r="M285" s="9">
        <f>IF($K285="","",INDEX('سجل التحفيز'!$B$5:$B$2004,MATCH($K285,'سجل التحفيز'!$AB$5:$AB$2004,0)))</f>
        <v/>
      </c>
      <c r="N285" s="9">
        <f>IF($K285="","",INDEX('سجل التحفيز'!$M$5:$M$2004,MATCH($K285,'سجل التحفيز'!$AB$5:$AB$2004,0)))</f>
        <v/>
      </c>
      <c r="O285" s="9">
        <f>IF($K285="","",INDEX('سجل التحفيز'!$C$5:$C$2004,MATCH($K285,'سجل التحفيز'!$AB$5:$AB$2004,0)))</f>
        <v/>
      </c>
      <c r="P285" s="36">
        <f>IF($K285="","",INDEX('سجل التحفيز'!$D$5:$D$2004,MATCH($K285,'سجل التحفيز'!$AB$5:$AB$2004,0)))</f>
        <v/>
      </c>
      <c r="Q285" s="9">
        <f>IF($K285="","",INDEX('سجل التحفيز'!$E$5:$E$2004,MATCH($K285,'سجل التحفيز'!$AB$5:$AB$2004,0)))</f>
        <v/>
      </c>
      <c r="R285" s="9">
        <f>IF($K285="","",INDEX('سجل التحفيز'!$F$5:$F$2004,MATCH($K285,'سجل التحفيز'!$AB$5:$AB$2004,0)))</f>
        <v/>
      </c>
      <c r="S285" s="35">
        <f>IF($K285="","",INDEX('سجل التحفيز'!$G$5:$G$2004,MATCH($K285,'سجل التحفيز'!$AB$5:$AB$2004,0)))</f>
        <v/>
      </c>
    </row>
    <row r="286">
      <c r="K286" s="36">
        <f>IF(249&gt;$B$10,"",249)</f>
        <v/>
      </c>
      <c r="L286" s="37">
        <f>IF($K286="","",INDEX('سجل التحفيز'!$A$5:$A$2004,MATCH($K286,'سجل التحفيز'!$AB$5:$AB$2004,0)))</f>
        <v/>
      </c>
      <c r="M286" s="9">
        <f>IF($K286="","",INDEX('سجل التحفيز'!$B$5:$B$2004,MATCH($K286,'سجل التحفيز'!$AB$5:$AB$2004,0)))</f>
        <v/>
      </c>
      <c r="N286" s="9">
        <f>IF($K286="","",INDEX('سجل التحفيز'!$M$5:$M$2004,MATCH($K286,'سجل التحفيز'!$AB$5:$AB$2004,0)))</f>
        <v/>
      </c>
      <c r="O286" s="9">
        <f>IF($K286="","",INDEX('سجل التحفيز'!$C$5:$C$2004,MATCH($K286,'سجل التحفيز'!$AB$5:$AB$2004,0)))</f>
        <v/>
      </c>
      <c r="P286" s="36">
        <f>IF($K286="","",INDEX('سجل التحفيز'!$D$5:$D$2004,MATCH($K286,'سجل التحفيز'!$AB$5:$AB$2004,0)))</f>
        <v/>
      </c>
      <c r="Q286" s="9">
        <f>IF($K286="","",INDEX('سجل التحفيز'!$E$5:$E$2004,MATCH($K286,'سجل التحفيز'!$AB$5:$AB$2004,0)))</f>
        <v/>
      </c>
      <c r="R286" s="9">
        <f>IF($K286="","",INDEX('سجل التحفيز'!$F$5:$F$2004,MATCH($K286,'سجل التحفيز'!$AB$5:$AB$2004,0)))</f>
        <v/>
      </c>
      <c r="S286" s="35">
        <f>IF($K286="","",INDEX('سجل التحفيز'!$G$5:$G$2004,MATCH($K286,'سجل التحفيز'!$AB$5:$AB$2004,0)))</f>
        <v/>
      </c>
    </row>
    <row r="287">
      <c r="K287" s="36">
        <f>IF(250&gt;$B$10,"",250)</f>
        <v/>
      </c>
      <c r="L287" s="37">
        <f>IF($K287="","",INDEX('سجل التحفيز'!$A$5:$A$2004,MATCH($K287,'سجل التحفيز'!$AB$5:$AB$2004,0)))</f>
        <v/>
      </c>
      <c r="M287" s="9">
        <f>IF($K287="","",INDEX('سجل التحفيز'!$B$5:$B$2004,MATCH($K287,'سجل التحفيز'!$AB$5:$AB$2004,0)))</f>
        <v/>
      </c>
      <c r="N287" s="9">
        <f>IF($K287="","",INDEX('سجل التحفيز'!$M$5:$M$2004,MATCH($K287,'سجل التحفيز'!$AB$5:$AB$2004,0)))</f>
        <v/>
      </c>
      <c r="O287" s="9">
        <f>IF($K287="","",INDEX('سجل التحفيز'!$C$5:$C$2004,MATCH($K287,'سجل التحفيز'!$AB$5:$AB$2004,0)))</f>
        <v/>
      </c>
      <c r="P287" s="36">
        <f>IF($K287="","",INDEX('سجل التحفيز'!$D$5:$D$2004,MATCH($K287,'سجل التحفيز'!$AB$5:$AB$2004,0)))</f>
        <v/>
      </c>
      <c r="Q287" s="9">
        <f>IF($K287="","",INDEX('سجل التحفيز'!$E$5:$E$2004,MATCH($K287,'سجل التحفيز'!$AB$5:$AB$2004,0)))</f>
        <v/>
      </c>
      <c r="R287" s="9">
        <f>IF($K287="","",INDEX('سجل التحفيز'!$F$5:$F$2004,MATCH($K287,'سجل التحفيز'!$AB$5:$AB$2004,0)))</f>
        <v/>
      </c>
      <c r="S287" s="35">
        <f>IF($K287="","",INDEX('سجل التحفيز'!$G$5:$G$2004,MATCH($K287,'سجل التحفيز'!$AB$5:$AB$2004,0)))</f>
        <v/>
      </c>
    </row>
    <row r="288">
      <c r="K288" s="36">
        <f>IF(251&gt;$B$10,"",251)</f>
        <v/>
      </c>
      <c r="L288" s="37">
        <f>IF($K288="","",INDEX('سجل التحفيز'!$A$5:$A$2004,MATCH($K288,'سجل التحفيز'!$AB$5:$AB$2004,0)))</f>
        <v/>
      </c>
      <c r="M288" s="9">
        <f>IF($K288="","",INDEX('سجل التحفيز'!$B$5:$B$2004,MATCH($K288,'سجل التحفيز'!$AB$5:$AB$2004,0)))</f>
        <v/>
      </c>
      <c r="N288" s="9">
        <f>IF($K288="","",INDEX('سجل التحفيز'!$M$5:$M$2004,MATCH($K288,'سجل التحفيز'!$AB$5:$AB$2004,0)))</f>
        <v/>
      </c>
      <c r="O288" s="9">
        <f>IF($K288="","",INDEX('سجل التحفيز'!$C$5:$C$2004,MATCH($K288,'سجل التحفيز'!$AB$5:$AB$2004,0)))</f>
        <v/>
      </c>
      <c r="P288" s="36">
        <f>IF($K288="","",INDEX('سجل التحفيز'!$D$5:$D$2004,MATCH($K288,'سجل التحفيز'!$AB$5:$AB$2004,0)))</f>
        <v/>
      </c>
      <c r="Q288" s="9">
        <f>IF($K288="","",INDEX('سجل التحفيز'!$E$5:$E$2004,MATCH($K288,'سجل التحفيز'!$AB$5:$AB$2004,0)))</f>
        <v/>
      </c>
      <c r="R288" s="9">
        <f>IF($K288="","",INDEX('سجل التحفيز'!$F$5:$F$2004,MATCH($K288,'سجل التحفيز'!$AB$5:$AB$2004,0)))</f>
        <v/>
      </c>
      <c r="S288" s="35">
        <f>IF($K288="","",INDEX('سجل التحفيز'!$G$5:$G$2004,MATCH($K288,'سجل التحفيز'!$AB$5:$AB$2004,0)))</f>
        <v/>
      </c>
    </row>
    <row r="289">
      <c r="K289" s="36">
        <f>IF(252&gt;$B$10,"",252)</f>
        <v/>
      </c>
      <c r="L289" s="37">
        <f>IF($K289="","",INDEX('سجل التحفيز'!$A$5:$A$2004,MATCH($K289,'سجل التحفيز'!$AB$5:$AB$2004,0)))</f>
        <v/>
      </c>
      <c r="M289" s="9">
        <f>IF($K289="","",INDEX('سجل التحفيز'!$B$5:$B$2004,MATCH($K289,'سجل التحفيز'!$AB$5:$AB$2004,0)))</f>
        <v/>
      </c>
      <c r="N289" s="9">
        <f>IF($K289="","",INDEX('سجل التحفيز'!$M$5:$M$2004,MATCH($K289,'سجل التحفيز'!$AB$5:$AB$2004,0)))</f>
        <v/>
      </c>
      <c r="O289" s="9">
        <f>IF($K289="","",INDEX('سجل التحفيز'!$C$5:$C$2004,MATCH($K289,'سجل التحفيز'!$AB$5:$AB$2004,0)))</f>
        <v/>
      </c>
      <c r="P289" s="36">
        <f>IF($K289="","",INDEX('سجل التحفيز'!$D$5:$D$2004,MATCH($K289,'سجل التحفيز'!$AB$5:$AB$2004,0)))</f>
        <v/>
      </c>
      <c r="Q289" s="9">
        <f>IF($K289="","",INDEX('سجل التحفيز'!$E$5:$E$2004,MATCH($K289,'سجل التحفيز'!$AB$5:$AB$2004,0)))</f>
        <v/>
      </c>
      <c r="R289" s="9">
        <f>IF($K289="","",INDEX('سجل التحفيز'!$F$5:$F$2004,MATCH($K289,'سجل التحفيز'!$AB$5:$AB$2004,0)))</f>
        <v/>
      </c>
      <c r="S289" s="35">
        <f>IF($K289="","",INDEX('سجل التحفيز'!$G$5:$G$2004,MATCH($K289,'سجل التحفيز'!$AB$5:$AB$2004,0)))</f>
        <v/>
      </c>
    </row>
    <row r="290">
      <c r="K290" s="36">
        <f>IF(253&gt;$B$10,"",253)</f>
        <v/>
      </c>
      <c r="L290" s="37">
        <f>IF($K290="","",INDEX('سجل التحفيز'!$A$5:$A$2004,MATCH($K290,'سجل التحفيز'!$AB$5:$AB$2004,0)))</f>
        <v/>
      </c>
      <c r="M290" s="9">
        <f>IF($K290="","",INDEX('سجل التحفيز'!$B$5:$B$2004,MATCH($K290,'سجل التحفيز'!$AB$5:$AB$2004,0)))</f>
        <v/>
      </c>
      <c r="N290" s="9">
        <f>IF($K290="","",INDEX('سجل التحفيز'!$M$5:$M$2004,MATCH($K290,'سجل التحفيز'!$AB$5:$AB$2004,0)))</f>
        <v/>
      </c>
      <c r="O290" s="9">
        <f>IF($K290="","",INDEX('سجل التحفيز'!$C$5:$C$2004,MATCH($K290,'سجل التحفيز'!$AB$5:$AB$2004,0)))</f>
        <v/>
      </c>
      <c r="P290" s="36">
        <f>IF($K290="","",INDEX('سجل التحفيز'!$D$5:$D$2004,MATCH($K290,'سجل التحفيز'!$AB$5:$AB$2004,0)))</f>
        <v/>
      </c>
      <c r="Q290" s="9">
        <f>IF($K290="","",INDEX('سجل التحفيز'!$E$5:$E$2004,MATCH($K290,'سجل التحفيز'!$AB$5:$AB$2004,0)))</f>
        <v/>
      </c>
      <c r="R290" s="9">
        <f>IF($K290="","",INDEX('سجل التحفيز'!$F$5:$F$2004,MATCH($K290,'سجل التحفيز'!$AB$5:$AB$2004,0)))</f>
        <v/>
      </c>
      <c r="S290" s="35">
        <f>IF($K290="","",INDEX('سجل التحفيز'!$G$5:$G$2004,MATCH($K290,'سجل التحفيز'!$AB$5:$AB$2004,0)))</f>
        <v/>
      </c>
    </row>
    <row r="291">
      <c r="K291" s="36">
        <f>IF(254&gt;$B$10,"",254)</f>
        <v/>
      </c>
      <c r="L291" s="37">
        <f>IF($K291="","",INDEX('سجل التحفيز'!$A$5:$A$2004,MATCH($K291,'سجل التحفيز'!$AB$5:$AB$2004,0)))</f>
        <v/>
      </c>
      <c r="M291" s="9">
        <f>IF($K291="","",INDEX('سجل التحفيز'!$B$5:$B$2004,MATCH($K291,'سجل التحفيز'!$AB$5:$AB$2004,0)))</f>
        <v/>
      </c>
      <c r="N291" s="9">
        <f>IF($K291="","",INDEX('سجل التحفيز'!$M$5:$M$2004,MATCH($K291,'سجل التحفيز'!$AB$5:$AB$2004,0)))</f>
        <v/>
      </c>
      <c r="O291" s="9">
        <f>IF($K291="","",INDEX('سجل التحفيز'!$C$5:$C$2004,MATCH($K291,'سجل التحفيز'!$AB$5:$AB$2004,0)))</f>
        <v/>
      </c>
      <c r="P291" s="36">
        <f>IF($K291="","",INDEX('سجل التحفيز'!$D$5:$D$2004,MATCH($K291,'سجل التحفيز'!$AB$5:$AB$2004,0)))</f>
        <v/>
      </c>
      <c r="Q291" s="9">
        <f>IF($K291="","",INDEX('سجل التحفيز'!$E$5:$E$2004,MATCH($K291,'سجل التحفيز'!$AB$5:$AB$2004,0)))</f>
        <v/>
      </c>
      <c r="R291" s="9">
        <f>IF($K291="","",INDEX('سجل التحفيز'!$F$5:$F$2004,MATCH($K291,'سجل التحفيز'!$AB$5:$AB$2004,0)))</f>
        <v/>
      </c>
      <c r="S291" s="35">
        <f>IF($K291="","",INDEX('سجل التحفيز'!$G$5:$G$2004,MATCH($K291,'سجل التحفيز'!$AB$5:$AB$2004,0)))</f>
        <v/>
      </c>
    </row>
    <row r="292">
      <c r="K292" s="36">
        <f>IF(255&gt;$B$10,"",255)</f>
        <v/>
      </c>
      <c r="L292" s="37">
        <f>IF($K292="","",INDEX('سجل التحفيز'!$A$5:$A$2004,MATCH($K292,'سجل التحفيز'!$AB$5:$AB$2004,0)))</f>
        <v/>
      </c>
      <c r="M292" s="9">
        <f>IF($K292="","",INDEX('سجل التحفيز'!$B$5:$B$2004,MATCH($K292,'سجل التحفيز'!$AB$5:$AB$2004,0)))</f>
        <v/>
      </c>
      <c r="N292" s="9">
        <f>IF($K292="","",INDEX('سجل التحفيز'!$M$5:$M$2004,MATCH($K292,'سجل التحفيز'!$AB$5:$AB$2004,0)))</f>
        <v/>
      </c>
      <c r="O292" s="9">
        <f>IF($K292="","",INDEX('سجل التحفيز'!$C$5:$C$2004,MATCH($K292,'سجل التحفيز'!$AB$5:$AB$2004,0)))</f>
        <v/>
      </c>
      <c r="P292" s="36">
        <f>IF($K292="","",INDEX('سجل التحفيز'!$D$5:$D$2004,MATCH($K292,'سجل التحفيز'!$AB$5:$AB$2004,0)))</f>
        <v/>
      </c>
      <c r="Q292" s="9">
        <f>IF($K292="","",INDEX('سجل التحفيز'!$E$5:$E$2004,MATCH($K292,'سجل التحفيز'!$AB$5:$AB$2004,0)))</f>
        <v/>
      </c>
      <c r="R292" s="9">
        <f>IF($K292="","",INDEX('سجل التحفيز'!$F$5:$F$2004,MATCH($K292,'سجل التحفيز'!$AB$5:$AB$2004,0)))</f>
        <v/>
      </c>
      <c r="S292" s="35">
        <f>IF($K292="","",INDEX('سجل التحفيز'!$G$5:$G$2004,MATCH($K292,'سجل التحفيز'!$AB$5:$AB$2004,0)))</f>
        <v/>
      </c>
    </row>
    <row r="293">
      <c r="K293" s="36">
        <f>IF(256&gt;$B$10,"",256)</f>
        <v/>
      </c>
      <c r="L293" s="37">
        <f>IF($K293="","",INDEX('سجل التحفيز'!$A$5:$A$2004,MATCH($K293,'سجل التحفيز'!$AB$5:$AB$2004,0)))</f>
        <v/>
      </c>
      <c r="M293" s="9">
        <f>IF($K293="","",INDEX('سجل التحفيز'!$B$5:$B$2004,MATCH($K293,'سجل التحفيز'!$AB$5:$AB$2004,0)))</f>
        <v/>
      </c>
      <c r="N293" s="9">
        <f>IF($K293="","",INDEX('سجل التحفيز'!$M$5:$M$2004,MATCH($K293,'سجل التحفيز'!$AB$5:$AB$2004,0)))</f>
        <v/>
      </c>
      <c r="O293" s="9">
        <f>IF($K293="","",INDEX('سجل التحفيز'!$C$5:$C$2004,MATCH($K293,'سجل التحفيز'!$AB$5:$AB$2004,0)))</f>
        <v/>
      </c>
      <c r="P293" s="36">
        <f>IF($K293="","",INDEX('سجل التحفيز'!$D$5:$D$2004,MATCH($K293,'سجل التحفيز'!$AB$5:$AB$2004,0)))</f>
        <v/>
      </c>
      <c r="Q293" s="9">
        <f>IF($K293="","",INDEX('سجل التحفيز'!$E$5:$E$2004,MATCH($K293,'سجل التحفيز'!$AB$5:$AB$2004,0)))</f>
        <v/>
      </c>
      <c r="R293" s="9">
        <f>IF($K293="","",INDEX('سجل التحفيز'!$F$5:$F$2004,MATCH($K293,'سجل التحفيز'!$AB$5:$AB$2004,0)))</f>
        <v/>
      </c>
      <c r="S293" s="35">
        <f>IF($K293="","",INDEX('سجل التحفيز'!$G$5:$G$2004,MATCH($K293,'سجل التحفيز'!$AB$5:$AB$2004,0)))</f>
        <v/>
      </c>
    </row>
    <row r="294">
      <c r="K294" s="36">
        <f>IF(257&gt;$B$10,"",257)</f>
        <v/>
      </c>
      <c r="L294" s="37">
        <f>IF($K294="","",INDEX('سجل التحفيز'!$A$5:$A$2004,MATCH($K294,'سجل التحفيز'!$AB$5:$AB$2004,0)))</f>
        <v/>
      </c>
      <c r="M294" s="9">
        <f>IF($K294="","",INDEX('سجل التحفيز'!$B$5:$B$2004,MATCH($K294,'سجل التحفيز'!$AB$5:$AB$2004,0)))</f>
        <v/>
      </c>
      <c r="N294" s="9">
        <f>IF($K294="","",INDEX('سجل التحفيز'!$M$5:$M$2004,MATCH($K294,'سجل التحفيز'!$AB$5:$AB$2004,0)))</f>
        <v/>
      </c>
      <c r="O294" s="9">
        <f>IF($K294="","",INDEX('سجل التحفيز'!$C$5:$C$2004,MATCH($K294,'سجل التحفيز'!$AB$5:$AB$2004,0)))</f>
        <v/>
      </c>
      <c r="P294" s="36">
        <f>IF($K294="","",INDEX('سجل التحفيز'!$D$5:$D$2004,MATCH($K294,'سجل التحفيز'!$AB$5:$AB$2004,0)))</f>
        <v/>
      </c>
      <c r="Q294" s="9">
        <f>IF($K294="","",INDEX('سجل التحفيز'!$E$5:$E$2004,MATCH($K294,'سجل التحفيز'!$AB$5:$AB$2004,0)))</f>
        <v/>
      </c>
      <c r="R294" s="9">
        <f>IF($K294="","",INDEX('سجل التحفيز'!$F$5:$F$2004,MATCH($K294,'سجل التحفيز'!$AB$5:$AB$2004,0)))</f>
        <v/>
      </c>
      <c r="S294" s="35">
        <f>IF($K294="","",INDEX('سجل التحفيز'!$G$5:$G$2004,MATCH($K294,'سجل التحفيز'!$AB$5:$AB$2004,0)))</f>
        <v/>
      </c>
    </row>
    <row r="295">
      <c r="K295" s="36">
        <f>IF(258&gt;$B$10,"",258)</f>
        <v/>
      </c>
      <c r="L295" s="37">
        <f>IF($K295="","",INDEX('سجل التحفيز'!$A$5:$A$2004,MATCH($K295,'سجل التحفيز'!$AB$5:$AB$2004,0)))</f>
        <v/>
      </c>
      <c r="M295" s="9">
        <f>IF($K295="","",INDEX('سجل التحفيز'!$B$5:$B$2004,MATCH($K295,'سجل التحفيز'!$AB$5:$AB$2004,0)))</f>
        <v/>
      </c>
      <c r="N295" s="9">
        <f>IF($K295="","",INDEX('سجل التحفيز'!$M$5:$M$2004,MATCH($K295,'سجل التحفيز'!$AB$5:$AB$2004,0)))</f>
        <v/>
      </c>
      <c r="O295" s="9">
        <f>IF($K295="","",INDEX('سجل التحفيز'!$C$5:$C$2004,MATCH($K295,'سجل التحفيز'!$AB$5:$AB$2004,0)))</f>
        <v/>
      </c>
      <c r="P295" s="36">
        <f>IF($K295="","",INDEX('سجل التحفيز'!$D$5:$D$2004,MATCH($K295,'سجل التحفيز'!$AB$5:$AB$2004,0)))</f>
        <v/>
      </c>
      <c r="Q295" s="9">
        <f>IF($K295="","",INDEX('سجل التحفيز'!$E$5:$E$2004,MATCH($K295,'سجل التحفيز'!$AB$5:$AB$2004,0)))</f>
        <v/>
      </c>
      <c r="R295" s="9">
        <f>IF($K295="","",INDEX('سجل التحفيز'!$F$5:$F$2004,MATCH($K295,'سجل التحفيز'!$AB$5:$AB$2004,0)))</f>
        <v/>
      </c>
      <c r="S295" s="35">
        <f>IF($K295="","",INDEX('سجل التحفيز'!$G$5:$G$2004,MATCH($K295,'سجل التحفيز'!$AB$5:$AB$2004,0)))</f>
        <v/>
      </c>
    </row>
    <row r="296">
      <c r="K296" s="36">
        <f>IF(259&gt;$B$10,"",259)</f>
        <v/>
      </c>
      <c r="L296" s="37">
        <f>IF($K296="","",INDEX('سجل التحفيز'!$A$5:$A$2004,MATCH($K296,'سجل التحفيز'!$AB$5:$AB$2004,0)))</f>
        <v/>
      </c>
      <c r="M296" s="9">
        <f>IF($K296="","",INDEX('سجل التحفيز'!$B$5:$B$2004,MATCH($K296,'سجل التحفيز'!$AB$5:$AB$2004,0)))</f>
        <v/>
      </c>
      <c r="N296" s="9">
        <f>IF($K296="","",INDEX('سجل التحفيز'!$M$5:$M$2004,MATCH($K296,'سجل التحفيز'!$AB$5:$AB$2004,0)))</f>
        <v/>
      </c>
      <c r="O296" s="9">
        <f>IF($K296="","",INDEX('سجل التحفيز'!$C$5:$C$2004,MATCH($K296,'سجل التحفيز'!$AB$5:$AB$2004,0)))</f>
        <v/>
      </c>
      <c r="P296" s="36">
        <f>IF($K296="","",INDEX('سجل التحفيز'!$D$5:$D$2004,MATCH($K296,'سجل التحفيز'!$AB$5:$AB$2004,0)))</f>
        <v/>
      </c>
      <c r="Q296" s="9">
        <f>IF($K296="","",INDEX('سجل التحفيز'!$E$5:$E$2004,MATCH($K296,'سجل التحفيز'!$AB$5:$AB$2004,0)))</f>
        <v/>
      </c>
      <c r="R296" s="9">
        <f>IF($K296="","",INDEX('سجل التحفيز'!$F$5:$F$2004,MATCH($K296,'سجل التحفيز'!$AB$5:$AB$2004,0)))</f>
        <v/>
      </c>
      <c r="S296" s="35">
        <f>IF($K296="","",INDEX('سجل التحفيز'!$G$5:$G$2004,MATCH($K296,'سجل التحفيز'!$AB$5:$AB$2004,0)))</f>
        <v/>
      </c>
    </row>
    <row r="297">
      <c r="K297" s="36">
        <f>IF(260&gt;$B$10,"",260)</f>
        <v/>
      </c>
      <c r="L297" s="37">
        <f>IF($K297="","",INDEX('سجل التحفيز'!$A$5:$A$2004,MATCH($K297,'سجل التحفيز'!$AB$5:$AB$2004,0)))</f>
        <v/>
      </c>
      <c r="M297" s="9">
        <f>IF($K297="","",INDEX('سجل التحفيز'!$B$5:$B$2004,MATCH($K297,'سجل التحفيز'!$AB$5:$AB$2004,0)))</f>
        <v/>
      </c>
      <c r="N297" s="9">
        <f>IF($K297="","",INDEX('سجل التحفيز'!$M$5:$M$2004,MATCH($K297,'سجل التحفيز'!$AB$5:$AB$2004,0)))</f>
        <v/>
      </c>
      <c r="O297" s="9">
        <f>IF($K297="","",INDEX('سجل التحفيز'!$C$5:$C$2004,MATCH($K297,'سجل التحفيز'!$AB$5:$AB$2004,0)))</f>
        <v/>
      </c>
      <c r="P297" s="36">
        <f>IF($K297="","",INDEX('سجل التحفيز'!$D$5:$D$2004,MATCH($K297,'سجل التحفيز'!$AB$5:$AB$2004,0)))</f>
        <v/>
      </c>
      <c r="Q297" s="9">
        <f>IF($K297="","",INDEX('سجل التحفيز'!$E$5:$E$2004,MATCH($K297,'سجل التحفيز'!$AB$5:$AB$2004,0)))</f>
        <v/>
      </c>
      <c r="R297" s="9">
        <f>IF($K297="","",INDEX('سجل التحفيز'!$F$5:$F$2004,MATCH($K297,'سجل التحفيز'!$AB$5:$AB$2004,0)))</f>
        <v/>
      </c>
      <c r="S297" s="35">
        <f>IF($K297="","",INDEX('سجل التحفيز'!$G$5:$G$2004,MATCH($K297,'سجل التحفيز'!$AB$5:$AB$2004,0)))</f>
        <v/>
      </c>
    </row>
    <row r="298">
      <c r="K298" s="36">
        <f>IF(261&gt;$B$10,"",261)</f>
        <v/>
      </c>
      <c r="L298" s="37">
        <f>IF($K298="","",INDEX('سجل التحفيز'!$A$5:$A$2004,MATCH($K298,'سجل التحفيز'!$AB$5:$AB$2004,0)))</f>
        <v/>
      </c>
      <c r="M298" s="9">
        <f>IF($K298="","",INDEX('سجل التحفيز'!$B$5:$B$2004,MATCH($K298,'سجل التحفيز'!$AB$5:$AB$2004,0)))</f>
        <v/>
      </c>
      <c r="N298" s="9">
        <f>IF($K298="","",INDEX('سجل التحفيز'!$M$5:$M$2004,MATCH($K298,'سجل التحفيز'!$AB$5:$AB$2004,0)))</f>
        <v/>
      </c>
      <c r="O298" s="9">
        <f>IF($K298="","",INDEX('سجل التحفيز'!$C$5:$C$2004,MATCH($K298,'سجل التحفيز'!$AB$5:$AB$2004,0)))</f>
        <v/>
      </c>
      <c r="P298" s="36">
        <f>IF($K298="","",INDEX('سجل التحفيز'!$D$5:$D$2004,MATCH($K298,'سجل التحفيز'!$AB$5:$AB$2004,0)))</f>
        <v/>
      </c>
      <c r="Q298" s="9">
        <f>IF($K298="","",INDEX('سجل التحفيز'!$E$5:$E$2004,MATCH($K298,'سجل التحفيز'!$AB$5:$AB$2004,0)))</f>
        <v/>
      </c>
      <c r="R298" s="9">
        <f>IF($K298="","",INDEX('سجل التحفيز'!$F$5:$F$2004,MATCH($K298,'سجل التحفيز'!$AB$5:$AB$2004,0)))</f>
        <v/>
      </c>
      <c r="S298" s="35">
        <f>IF($K298="","",INDEX('سجل التحفيز'!$G$5:$G$2004,MATCH($K298,'سجل التحفيز'!$AB$5:$AB$2004,0)))</f>
        <v/>
      </c>
    </row>
    <row r="299">
      <c r="K299" s="36">
        <f>IF(262&gt;$B$10,"",262)</f>
        <v/>
      </c>
      <c r="L299" s="37">
        <f>IF($K299="","",INDEX('سجل التحفيز'!$A$5:$A$2004,MATCH($K299,'سجل التحفيز'!$AB$5:$AB$2004,0)))</f>
        <v/>
      </c>
      <c r="M299" s="9">
        <f>IF($K299="","",INDEX('سجل التحفيز'!$B$5:$B$2004,MATCH($K299,'سجل التحفيز'!$AB$5:$AB$2004,0)))</f>
        <v/>
      </c>
      <c r="N299" s="9">
        <f>IF($K299="","",INDEX('سجل التحفيز'!$M$5:$M$2004,MATCH($K299,'سجل التحفيز'!$AB$5:$AB$2004,0)))</f>
        <v/>
      </c>
      <c r="O299" s="9">
        <f>IF($K299="","",INDEX('سجل التحفيز'!$C$5:$C$2004,MATCH($K299,'سجل التحفيز'!$AB$5:$AB$2004,0)))</f>
        <v/>
      </c>
      <c r="P299" s="36">
        <f>IF($K299="","",INDEX('سجل التحفيز'!$D$5:$D$2004,MATCH($K299,'سجل التحفيز'!$AB$5:$AB$2004,0)))</f>
        <v/>
      </c>
      <c r="Q299" s="9">
        <f>IF($K299="","",INDEX('سجل التحفيز'!$E$5:$E$2004,MATCH($K299,'سجل التحفيز'!$AB$5:$AB$2004,0)))</f>
        <v/>
      </c>
      <c r="R299" s="9">
        <f>IF($K299="","",INDEX('سجل التحفيز'!$F$5:$F$2004,MATCH($K299,'سجل التحفيز'!$AB$5:$AB$2004,0)))</f>
        <v/>
      </c>
      <c r="S299" s="35">
        <f>IF($K299="","",INDEX('سجل التحفيز'!$G$5:$G$2004,MATCH($K299,'سجل التحفيز'!$AB$5:$AB$2004,0)))</f>
        <v/>
      </c>
    </row>
    <row r="300">
      <c r="K300" s="36">
        <f>IF(263&gt;$B$10,"",263)</f>
        <v/>
      </c>
      <c r="L300" s="37">
        <f>IF($K300="","",INDEX('سجل التحفيز'!$A$5:$A$2004,MATCH($K300,'سجل التحفيز'!$AB$5:$AB$2004,0)))</f>
        <v/>
      </c>
      <c r="M300" s="9">
        <f>IF($K300="","",INDEX('سجل التحفيز'!$B$5:$B$2004,MATCH($K300,'سجل التحفيز'!$AB$5:$AB$2004,0)))</f>
        <v/>
      </c>
      <c r="N300" s="9">
        <f>IF($K300="","",INDEX('سجل التحفيز'!$M$5:$M$2004,MATCH($K300,'سجل التحفيز'!$AB$5:$AB$2004,0)))</f>
        <v/>
      </c>
      <c r="O300" s="9">
        <f>IF($K300="","",INDEX('سجل التحفيز'!$C$5:$C$2004,MATCH($K300,'سجل التحفيز'!$AB$5:$AB$2004,0)))</f>
        <v/>
      </c>
      <c r="P300" s="36">
        <f>IF($K300="","",INDEX('سجل التحفيز'!$D$5:$D$2004,MATCH($K300,'سجل التحفيز'!$AB$5:$AB$2004,0)))</f>
        <v/>
      </c>
      <c r="Q300" s="9">
        <f>IF($K300="","",INDEX('سجل التحفيز'!$E$5:$E$2004,MATCH($K300,'سجل التحفيز'!$AB$5:$AB$2004,0)))</f>
        <v/>
      </c>
      <c r="R300" s="9">
        <f>IF($K300="","",INDEX('سجل التحفيز'!$F$5:$F$2004,MATCH($K300,'سجل التحفيز'!$AB$5:$AB$2004,0)))</f>
        <v/>
      </c>
      <c r="S300" s="35">
        <f>IF($K300="","",INDEX('سجل التحفيز'!$G$5:$G$2004,MATCH($K300,'سجل التحفيز'!$AB$5:$AB$2004,0)))</f>
        <v/>
      </c>
    </row>
    <row r="301">
      <c r="K301" s="36">
        <f>IF(264&gt;$B$10,"",264)</f>
        <v/>
      </c>
      <c r="L301" s="37">
        <f>IF($K301="","",INDEX('سجل التحفيز'!$A$5:$A$2004,MATCH($K301,'سجل التحفيز'!$AB$5:$AB$2004,0)))</f>
        <v/>
      </c>
      <c r="M301" s="9">
        <f>IF($K301="","",INDEX('سجل التحفيز'!$B$5:$B$2004,MATCH($K301,'سجل التحفيز'!$AB$5:$AB$2004,0)))</f>
        <v/>
      </c>
      <c r="N301" s="9">
        <f>IF($K301="","",INDEX('سجل التحفيز'!$M$5:$M$2004,MATCH($K301,'سجل التحفيز'!$AB$5:$AB$2004,0)))</f>
        <v/>
      </c>
      <c r="O301" s="9">
        <f>IF($K301="","",INDEX('سجل التحفيز'!$C$5:$C$2004,MATCH($K301,'سجل التحفيز'!$AB$5:$AB$2004,0)))</f>
        <v/>
      </c>
      <c r="P301" s="36">
        <f>IF($K301="","",INDEX('سجل التحفيز'!$D$5:$D$2004,MATCH($K301,'سجل التحفيز'!$AB$5:$AB$2004,0)))</f>
        <v/>
      </c>
      <c r="Q301" s="9">
        <f>IF($K301="","",INDEX('سجل التحفيز'!$E$5:$E$2004,MATCH($K301,'سجل التحفيز'!$AB$5:$AB$2004,0)))</f>
        <v/>
      </c>
      <c r="R301" s="9">
        <f>IF($K301="","",INDEX('سجل التحفيز'!$F$5:$F$2004,MATCH($K301,'سجل التحفيز'!$AB$5:$AB$2004,0)))</f>
        <v/>
      </c>
      <c r="S301" s="35">
        <f>IF($K301="","",INDEX('سجل التحفيز'!$G$5:$G$2004,MATCH($K301,'سجل التحفيز'!$AB$5:$AB$2004,0)))</f>
        <v/>
      </c>
    </row>
    <row r="302">
      <c r="K302" s="36">
        <f>IF(265&gt;$B$10,"",265)</f>
        <v/>
      </c>
      <c r="L302" s="37">
        <f>IF($K302="","",INDEX('سجل التحفيز'!$A$5:$A$2004,MATCH($K302,'سجل التحفيز'!$AB$5:$AB$2004,0)))</f>
        <v/>
      </c>
      <c r="M302" s="9">
        <f>IF($K302="","",INDEX('سجل التحفيز'!$B$5:$B$2004,MATCH($K302,'سجل التحفيز'!$AB$5:$AB$2004,0)))</f>
        <v/>
      </c>
      <c r="N302" s="9">
        <f>IF($K302="","",INDEX('سجل التحفيز'!$M$5:$M$2004,MATCH($K302,'سجل التحفيز'!$AB$5:$AB$2004,0)))</f>
        <v/>
      </c>
      <c r="O302" s="9">
        <f>IF($K302="","",INDEX('سجل التحفيز'!$C$5:$C$2004,MATCH($K302,'سجل التحفيز'!$AB$5:$AB$2004,0)))</f>
        <v/>
      </c>
      <c r="P302" s="36">
        <f>IF($K302="","",INDEX('سجل التحفيز'!$D$5:$D$2004,MATCH($K302,'سجل التحفيز'!$AB$5:$AB$2004,0)))</f>
        <v/>
      </c>
      <c r="Q302" s="9">
        <f>IF($K302="","",INDEX('سجل التحفيز'!$E$5:$E$2004,MATCH($K302,'سجل التحفيز'!$AB$5:$AB$2004,0)))</f>
        <v/>
      </c>
      <c r="R302" s="9">
        <f>IF($K302="","",INDEX('سجل التحفيز'!$F$5:$F$2004,MATCH($K302,'سجل التحفيز'!$AB$5:$AB$2004,0)))</f>
        <v/>
      </c>
      <c r="S302" s="35">
        <f>IF($K302="","",INDEX('سجل التحفيز'!$G$5:$G$2004,MATCH($K302,'سجل التحفيز'!$AB$5:$AB$2004,0)))</f>
        <v/>
      </c>
    </row>
    <row r="303">
      <c r="K303" s="36">
        <f>IF(266&gt;$B$10,"",266)</f>
        <v/>
      </c>
      <c r="L303" s="37">
        <f>IF($K303="","",INDEX('سجل التحفيز'!$A$5:$A$2004,MATCH($K303,'سجل التحفيز'!$AB$5:$AB$2004,0)))</f>
        <v/>
      </c>
      <c r="M303" s="9">
        <f>IF($K303="","",INDEX('سجل التحفيز'!$B$5:$B$2004,MATCH($K303,'سجل التحفيز'!$AB$5:$AB$2004,0)))</f>
        <v/>
      </c>
      <c r="N303" s="9">
        <f>IF($K303="","",INDEX('سجل التحفيز'!$M$5:$M$2004,MATCH($K303,'سجل التحفيز'!$AB$5:$AB$2004,0)))</f>
        <v/>
      </c>
      <c r="O303" s="9">
        <f>IF($K303="","",INDEX('سجل التحفيز'!$C$5:$C$2004,MATCH($K303,'سجل التحفيز'!$AB$5:$AB$2004,0)))</f>
        <v/>
      </c>
      <c r="P303" s="36">
        <f>IF($K303="","",INDEX('سجل التحفيز'!$D$5:$D$2004,MATCH($K303,'سجل التحفيز'!$AB$5:$AB$2004,0)))</f>
        <v/>
      </c>
      <c r="Q303" s="9">
        <f>IF($K303="","",INDEX('سجل التحفيز'!$E$5:$E$2004,MATCH($K303,'سجل التحفيز'!$AB$5:$AB$2004,0)))</f>
        <v/>
      </c>
      <c r="R303" s="9">
        <f>IF($K303="","",INDEX('سجل التحفيز'!$F$5:$F$2004,MATCH($K303,'سجل التحفيز'!$AB$5:$AB$2004,0)))</f>
        <v/>
      </c>
      <c r="S303" s="35">
        <f>IF($K303="","",INDEX('سجل التحفيز'!$G$5:$G$2004,MATCH($K303,'سجل التحفيز'!$AB$5:$AB$2004,0)))</f>
        <v/>
      </c>
    </row>
    <row r="304">
      <c r="K304" s="36">
        <f>IF(267&gt;$B$10,"",267)</f>
        <v/>
      </c>
      <c r="L304" s="37">
        <f>IF($K304="","",INDEX('سجل التحفيز'!$A$5:$A$2004,MATCH($K304,'سجل التحفيز'!$AB$5:$AB$2004,0)))</f>
        <v/>
      </c>
      <c r="M304" s="9">
        <f>IF($K304="","",INDEX('سجل التحفيز'!$B$5:$B$2004,MATCH($K304,'سجل التحفيز'!$AB$5:$AB$2004,0)))</f>
        <v/>
      </c>
      <c r="N304" s="9">
        <f>IF($K304="","",INDEX('سجل التحفيز'!$M$5:$M$2004,MATCH($K304,'سجل التحفيز'!$AB$5:$AB$2004,0)))</f>
        <v/>
      </c>
      <c r="O304" s="9">
        <f>IF($K304="","",INDEX('سجل التحفيز'!$C$5:$C$2004,MATCH($K304,'سجل التحفيز'!$AB$5:$AB$2004,0)))</f>
        <v/>
      </c>
      <c r="P304" s="36">
        <f>IF($K304="","",INDEX('سجل التحفيز'!$D$5:$D$2004,MATCH($K304,'سجل التحفيز'!$AB$5:$AB$2004,0)))</f>
        <v/>
      </c>
      <c r="Q304" s="9">
        <f>IF($K304="","",INDEX('سجل التحفيز'!$E$5:$E$2004,MATCH($K304,'سجل التحفيز'!$AB$5:$AB$2004,0)))</f>
        <v/>
      </c>
      <c r="R304" s="9">
        <f>IF($K304="","",INDEX('سجل التحفيز'!$F$5:$F$2004,MATCH($K304,'سجل التحفيز'!$AB$5:$AB$2004,0)))</f>
        <v/>
      </c>
      <c r="S304" s="35">
        <f>IF($K304="","",INDEX('سجل التحفيز'!$G$5:$G$2004,MATCH($K304,'سجل التحفيز'!$AB$5:$AB$2004,0)))</f>
        <v/>
      </c>
    </row>
    <row r="305">
      <c r="K305" s="36">
        <f>IF(268&gt;$B$10,"",268)</f>
        <v/>
      </c>
      <c r="L305" s="37">
        <f>IF($K305="","",INDEX('سجل التحفيز'!$A$5:$A$2004,MATCH($K305,'سجل التحفيز'!$AB$5:$AB$2004,0)))</f>
        <v/>
      </c>
      <c r="M305" s="9">
        <f>IF($K305="","",INDEX('سجل التحفيز'!$B$5:$B$2004,MATCH($K305,'سجل التحفيز'!$AB$5:$AB$2004,0)))</f>
        <v/>
      </c>
      <c r="N305" s="9">
        <f>IF($K305="","",INDEX('سجل التحفيز'!$M$5:$M$2004,MATCH($K305,'سجل التحفيز'!$AB$5:$AB$2004,0)))</f>
        <v/>
      </c>
      <c r="O305" s="9">
        <f>IF($K305="","",INDEX('سجل التحفيز'!$C$5:$C$2004,MATCH($K305,'سجل التحفيز'!$AB$5:$AB$2004,0)))</f>
        <v/>
      </c>
      <c r="P305" s="36">
        <f>IF($K305="","",INDEX('سجل التحفيز'!$D$5:$D$2004,MATCH($K305,'سجل التحفيز'!$AB$5:$AB$2004,0)))</f>
        <v/>
      </c>
      <c r="Q305" s="9">
        <f>IF($K305="","",INDEX('سجل التحفيز'!$E$5:$E$2004,MATCH($K305,'سجل التحفيز'!$AB$5:$AB$2004,0)))</f>
        <v/>
      </c>
      <c r="R305" s="9">
        <f>IF($K305="","",INDEX('سجل التحفيز'!$F$5:$F$2004,MATCH($K305,'سجل التحفيز'!$AB$5:$AB$2004,0)))</f>
        <v/>
      </c>
      <c r="S305" s="35">
        <f>IF($K305="","",INDEX('سجل التحفيز'!$G$5:$G$2004,MATCH($K305,'سجل التحفيز'!$AB$5:$AB$2004,0)))</f>
        <v/>
      </c>
    </row>
    <row r="306">
      <c r="K306" s="36">
        <f>IF(269&gt;$B$10,"",269)</f>
        <v/>
      </c>
      <c r="L306" s="37">
        <f>IF($K306="","",INDEX('سجل التحفيز'!$A$5:$A$2004,MATCH($K306,'سجل التحفيز'!$AB$5:$AB$2004,0)))</f>
        <v/>
      </c>
      <c r="M306" s="9">
        <f>IF($K306="","",INDEX('سجل التحفيز'!$B$5:$B$2004,MATCH($K306,'سجل التحفيز'!$AB$5:$AB$2004,0)))</f>
        <v/>
      </c>
      <c r="N306" s="9">
        <f>IF($K306="","",INDEX('سجل التحفيز'!$M$5:$M$2004,MATCH($K306,'سجل التحفيز'!$AB$5:$AB$2004,0)))</f>
        <v/>
      </c>
      <c r="O306" s="9">
        <f>IF($K306="","",INDEX('سجل التحفيز'!$C$5:$C$2004,MATCH($K306,'سجل التحفيز'!$AB$5:$AB$2004,0)))</f>
        <v/>
      </c>
      <c r="P306" s="36">
        <f>IF($K306="","",INDEX('سجل التحفيز'!$D$5:$D$2004,MATCH($K306,'سجل التحفيز'!$AB$5:$AB$2004,0)))</f>
        <v/>
      </c>
      <c r="Q306" s="9">
        <f>IF($K306="","",INDEX('سجل التحفيز'!$E$5:$E$2004,MATCH($K306,'سجل التحفيز'!$AB$5:$AB$2004,0)))</f>
        <v/>
      </c>
      <c r="R306" s="9">
        <f>IF($K306="","",INDEX('سجل التحفيز'!$F$5:$F$2004,MATCH($K306,'سجل التحفيز'!$AB$5:$AB$2004,0)))</f>
        <v/>
      </c>
      <c r="S306" s="35">
        <f>IF($K306="","",INDEX('سجل التحفيز'!$G$5:$G$2004,MATCH($K306,'سجل التحفيز'!$AB$5:$AB$2004,0)))</f>
        <v/>
      </c>
    </row>
    <row r="307">
      <c r="K307" s="36">
        <f>IF(270&gt;$B$10,"",270)</f>
        <v/>
      </c>
      <c r="L307" s="37">
        <f>IF($K307="","",INDEX('سجل التحفيز'!$A$5:$A$2004,MATCH($K307,'سجل التحفيز'!$AB$5:$AB$2004,0)))</f>
        <v/>
      </c>
      <c r="M307" s="9">
        <f>IF($K307="","",INDEX('سجل التحفيز'!$B$5:$B$2004,MATCH($K307,'سجل التحفيز'!$AB$5:$AB$2004,0)))</f>
        <v/>
      </c>
      <c r="N307" s="9">
        <f>IF($K307="","",INDEX('سجل التحفيز'!$M$5:$M$2004,MATCH($K307,'سجل التحفيز'!$AB$5:$AB$2004,0)))</f>
        <v/>
      </c>
      <c r="O307" s="9">
        <f>IF($K307="","",INDEX('سجل التحفيز'!$C$5:$C$2004,MATCH($K307,'سجل التحفيز'!$AB$5:$AB$2004,0)))</f>
        <v/>
      </c>
      <c r="P307" s="36">
        <f>IF($K307="","",INDEX('سجل التحفيز'!$D$5:$D$2004,MATCH($K307,'سجل التحفيز'!$AB$5:$AB$2004,0)))</f>
        <v/>
      </c>
      <c r="Q307" s="9">
        <f>IF($K307="","",INDEX('سجل التحفيز'!$E$5:$E$2004,MATCH($K307,'سجل التحفيز'!$AB$5:$AB$2004,0)))</f>
        <v/>
      </c>
      <c r="R307" s="9">
        <f>IF($K307="","",INDEX('سجل التحفيز'!$F$5:$F$2004,MATCH($K307,'سجل التحفيز'!$AB$5:$AB$2004,0)))</f>
        <v/>
      </c>
      <c r="S307" s="35">
        <f>IF($K307="","",INDEX('سجل التحفيز'!$G$5:$G$2004,MATCH($K307,'سجل التحفيز'!$AB$5:$AB$2004,0)))</f>
        <v/>
      </c>
    </row>
    <row r="308">
      <c r="K308" s="36">
        <f>IF(271&gt;$B$10,"",271)</f>
        <v/>
      </c>
      <c r="L308" s="37">
        <f>IF($K308="","",INDEX('سجل التحفيز'!$A$5:$A$2004,MATCH($K308,'سجل التحفيز'!$AB$5:$AB$2004,0)))</f>
        <v/>
      </c>
      <c r="M308" s="9">
        <f>IF($K308="","",INDEX('سجل التحفيز'!$B$5:$B$2004,MATCH($K308,'سجل التحفيز'!$AB$5:$AB$2004,0)))</f>
        <v/>
      </c>
      <c r="N308" s="9">
        <f>IF($K308="","",INDEX('سجل التحفيز'!$M$5:$M$2004,MATCH($K308,'سجل التحفيز'!$AB$5:$AB$2004,0)))</f>
        <v/>
      </c>
      <c r="O308" s="9">
        <f>IF($K308="","",INDEX('سجل التحفيز'!$C$5:$C$2004,MATCH($K308,'سجل التحفيز'!$AB$5:$AB$2004,0)))</f>
        <v/>
      </c>
      <c r="P308" s="36">
        <f>IF($K308="","",INDEX('سجل التحفيز'!$D$5:$D$2004,MATCH($K308,'سجل التحفيز'!$AB$5:$AB$2004,0)))</f>
        <v/>
      </c>
      <c r="Q308" s="9">
        <f>IF($K308="","",INDEX('سجل التحفيز'!$E$5:$E$2004,MATCH($K308,'سجل التحفيز'!$AB$5:$AB$2004,0)))</f>
        <v/>
      </c>
      <c r="R308" s="9">
        <f>IF($K308="","",INDEX('سجل التحفيز'!$F$5:$F$2004,MATCH($K308,'سجل التحفيز'!$AB$5:$AB$2004,0)))</f>
        <v/>
      </c>
      <c r="S308" s="35">
        <f>IF($K308="","",INDEX('سجل التحفيز'!$G$5:$G$2004,MATCH($K308,'سجل التحفيز'!$AB$5:$AB$2004,0)))</f>
        <v/>
      </c>
    </row>
    <row r="309">
      <c r="K309" s="36">
        <f>IF(272&gt;$B$10,"",272)</f>
        <v/>
      </c>
      <c r="L309" s="37">
        <f>IF($K309="","",INDEX('سجل التحفيز'!$A$5:$A$2004,MATCH($K309,'سجل التحفيز'!$AB$5:$AB$2004,0)))</f>
        <v/>
      </c>
      <c r="M309" s="9">
        <f>IF($K309="","",INDEX('سجل التحفيز'!$B$5:$B$2004,MATCH($K309,'سجل التحفيز'!$AB$5:$AB$2004,0)))</f>
        <v/>
      </c>
      <c r="N309" s="9">
        <f>IF($K309="","",INDEX('سجل التحفيز'!$M$5:$M$2004,MATCH($K309,'سجل التحفيز'!$AB$5:$AB$2004,0)))</f>
        <v/>
      </c>
      <c r="O309" s="9">
        <f>IF($K309="","",INDEX('سجل التحفيز'!$C$5:$C$2004,MATCH($K309,'سجل التحفيز'!$AB$5:$AB$2004,0)))</f>
        <v/>
      </c>
      <c r="P309" s="36">
        <f>IF($K309="","",INDEX('سجل التحفيز'!$D$5:$D$2004,MATCH($K309,'سجل التحفيز'!$AB$5:$AB$2004,0)))</f>
        <v/>
      </c>
      <c r="Q309" s="9">
        <f>IF($K309="","",INDEX('سجل التحفيز'!$E$5:$E$2004,MATCH($K309,'سجل التحفيز'!$AB$5:$AB$2004,0)))</f>
        <v/>
      </c>
      <c r="R309" s="9">
        <f>IF($K309="","",INDEX('سجل التحفيز'!$F$5:$F$2004,MATCH($K309,'سجل التحفيز'!$AB$5:$AB$2004,0)))</f>
        <v/>
      </c>
      <c r="S309" s="35">
        <f>IF($K309="","",INDEX('سجل التحفيز'!$G$5:$G$2004,MATCH($K309,'سجل التحفيز'!$AB$5:$AB$2004,0)))</f>
        <v/>
      </c>
    </row>
    <row r="310">
      <c r="K310" s="36">
        <f>IF(273&gt;$B$10,"",273)</f>
        <v/>
      </c>
      <c r="L310" s="37">
        <f>IF($K310="","",INDEX('سجل التحفيز'!$A$5:$A$2004,MATCH($K310,'سجل التحفيز'!$AB$5:$AB$2004,0)))</f>
        <v/>
      </c>
      <c r="M310" s="9">
        <f>IF($K310="","",INDEX('سجل التحفيز'!$B$5:$B$2004,MATCH($K310,'سجل التحفيز'!$AB$5:$AB$2004,0)))</f>
        <v/>
      </c>
      <c r="N310" s="9">
        <f>IF($K310="","",INDEX('سجل التحفيز'!$M$5:$M$2004,MATCH($K310,'سجل التحفيز'!$AB$5:$AB$2004,0)))</f>
        <v/>
      </c>
      <c r="O310" s="9">
        <f>IF($K310="","",INDEX('سجل التحفيز'!$C$5:$C$2004,MATCH($K310,'سجل التحفيز'!$AB$5:$AB$2004,0)))</f>
        <v/>
      </c>
      <c r="P310" s="36">
        <f>IF($K310="","",INDEX('سجل التحفيز'!$D$5:$D$2004,MATCH($K310,'سجل التحفيز'!$AB$5:$AB$2004,0)))</f>
        <v/>
      </c>
      <c r="Q310" s="9">
        <f>IF($K310="","",INDEX('سجل التحفيز'!$E$5:$E$2004,MATCH($K310,'سجل التحفيز'!$AB$5:$AB$2004,0)))</f>
        <v/>
      </c>
      <c r="R310" s="9">
        <f>IF($K310="","",INDEX('سجل التحفيز'!$F$5:$F$2004,MATCH($K310,'سجل التحفيز'!$AB$5:$AB$2004,0)))</f>
        <v/>
      </c>
      <c r="S310" s="35">
        <f>IF($K310="","",INDEX('سجل التحفيز'!$G$5:$G$2004,MATCH($K310,'سجل التحفيز'!$AB$5:$AB$2004,0)))</f>
        <v/>
      </c>
    </row>
    <row r="311">
      <c r="K311" s="36">
        <f>IF(274&gt;$B$10,"",274)</f>
        <v/>
      </c>
      <c r="L311" s="37">
        <f>IF($K311="","",INDEX('سجل التحفيز'!$A$5:$A$2004,MATCH($K311,'سجل التحفيز'!$AB$5:$AB$2004,0)))</f>
        <v/>
      </c>
      <c r="M311" s="9">
        <f>IF($K311="","",INDEX('سجل التحفيز'!$B$5:$B$2004,MATCH($K311,'سجل التحفيز'!$AB$5:$AB$2004,0)))</f>
        <v/>
      </c>
      <c r="N311" s="9">
        <f>IF($K311="","",INDEX('سجل التحفيز'!$M$5:$M$2004,MATCH($K311,'سجل التحفيز'!$AB$5:$AB$2004,0)))</f>
        <v/>
      </c>
      <c r="O311" s="9">
        <f>IF($K311="","",INDEX('سجل التحفيز'!$C$5:$C$2004,MATCH($K311,'سجل التحفيز'!$AB$5:$AB$2004,0)))</f>
        <v/>
      </c>
      <c r="P311" s="36">
        <f>IF($K311="","",INDEX('سجل التحفيز'!$D$5:$D$2004,MATCH($K311,'سجل التحفيز'!$AB$5:$AB$2004,0)))</f>
        <v/>
      </c>
      <c r="Q311" s="9">
        <f>IF($K311="","",INDEX('سجل التحفيز'!$E$5:$E$2004,MATCH($K311,'سجل التحفيز'!$AB$5:$AB$2004,0)))</f>
        <v/>
      </c>
      <c r="R311" s="9">
        <f>IF($K311="","",INDEX('سجل التحفيز'!$F$5:$F$2004,MATCH($K311,'سجل التحفيز'!$AB$5:$AB$2004,0)))</f>
        <v/>
      </c>
      <c r="S311" s="35">
        <f>IF($K311="","",INDEX('سجل التحفيز'!$G$5:$G$2004,MATCH($K311,'سجل التحفيز'!$AB$5:$AB$2004,0)))</f>
        <v/>
      </c>
    </row>
    <row r="312">
      <c r="K312" s="36">
        <f>IF(275&gt;$B$10,"",275)</f>
        <v/>
      </c>
      <c r="L312" s="37">
        <f>IF($K312="","",INDEX('سجل التحفيز'!$A$5:$A$2004,MATCH($K312,'سجل التحفيز'!$AB$5:$AB$2004,0)))</f>
        <v/>
      </c>
      <c r="M312" s="9">
        <f>IF($K312="","",INDEX('سجل التحفيز'!$B$5:$B$2004,MATCH($K312,'سجل التحفيز'!$AB$5:$AB$2004,0)))</f>
        <v/>
      </c>
      <c r="N312" s="9">
        <f>IF($K312="","",INDEX('سجل التحفيز'!$M$5:$M$2004,MATCH($K312,'سجل التحفيز'!$AB$5:$AB$2004,0)))</f>
        <v/>
      </c>
      <c r="O312" s="9">
        <f>IF($K312="","",INDEX('سجل التحفيز'!$C$5:$C$2004,MATCH($K312,'سجل التحفيز'!$AB$5:$AB$2004,0)))</f>
        <v/>
      </c>
      <c r="P312" s="36">
        <f>IF($K312="","",INDEX('سجل التحفيز'!$D$5:$D$2004,MATCH($K312,'سجل التحفيز'!$AB$5:$AB$2004,0)))</f>
        <v/>
      </c>
      <c r="Q312" s="9">
        <f>IF($K312="","",INDEX('سجل التحفيز'!$E$5:$E$2004,MATCH($K312,'سجل التحفيز'!$AB$5:$AB$2004,0)))</f>
        <v/>
      </c>
      <c r="R312" s="9">
        <f>IF($K312="","",INDEX('سجل التحفيز'!$F$5:$F$2004,MATCH($K312,'سجل التحفيز'!$AB$5:$AB$2004,0)))</f>
        <v/>
      </c>
      <c r="S312" s="35">
        <f>IF($K312="","",INDEX('سجل التحفيز'!$G$5:$G$2004,MATCH($K312,'سجل التحفيز'!$AB$5:$AB$2004,0)))</f>
        <v/>
      </c>
    </row>
    <row r="313">
      <c r="K313" s="36">
        <f>IF(276&gt;$B$10,"",276)</f>
        <v/>
      </c>
      <c r="L313" s="37">
        <f>IF($K313="","",INDEX('سجل التحفيز'!$A$5:$A$2004,MATCH($K313,'سجل التحفيز'!$AB$5:$AB$2004,0)))</f>
        <v/>
      </c>
      <c r="M313" s="9">
        <f>IF($K313="","",INDEX('سجل التحفيز'!$B$5:$B$2004,MATCH($K313,'سجل التحفيز'!$AB$5:$AB$2004,0)))</f>
        <v/>
      </c>
      <c r="N313" s="9">
        <f>IF($K313="","",INDEX('سجل التحفيز'!$M$5:$M$2004,MATCH($K313,'سجل التحفيز'!$AB$5:$AB$2004,0)))</f>
        <v/>
      </c>
      <c r="O313" s="9">
        <f>IF($K313="","",INDEX('سجل التحفيز'!$C$5:$C$2004,MATCH($K313,'سجل التحفيز'!$AB$5:$AB$2004,0)))</f>
        <v/>
      </c>
      <c r="P313" s="36">
        <f>IF($K313="","",INDEX('سجل التحفيز'!$D$5:$D$2004,MATCH($K313,'سجل التحفيز'!$AB$5:$AB$2004,0)))</f>
        <v/>
      </c>
      <c r="Q313" s="9">
        <f>IF($K313="","",INDEX('سجل التحفيز'!$E$5:$E$2004,MATCH($K313,'سجل التحفيز'!$AB$5:$AB$2004,0)))</f>
        <v/>
      </c>
      <c r="R313" s="9">
        <f>IF($K313="","",INDEX('سجل التحفيز'!$F$5:$F$2004,MATCH($K313,'سجل التحفيز'!$AB$5:$AB$2004,0)))</f>
        <v/>
      </c>
      <c r="S313" s="35">
        <f>IF($K313="","",INDEX('سجل التحفيز'!$G$5:$G$2004,MATCH($K313,'سجل التحفيز'!$AB$5:$AB$2004,0)))</f>
        <v/>
      </c>
    </row>
    <row r="314">
      <c r="K314" s="36">
        <f>IF(277&gt;$B$10,"",277)</f>
        <v/>
      </c>
      <c r="L314" s="37">
        <f>IF($K314="","",INDEX('سجل التحفيز'!$A$5:$A$2004,MATCH($K314,'سجل التحفيز'!$AB$5:$AB$2004,0)))</f>
        <v/>
      </c>
      <c r="M314" s="9">
        <f>IF($K314="","",INDEX('سجل التحفيز'!$B$5:$B$2004,MATCH($K314,'سجل التحفيز'!$AB$5:$AB$2004,0)))</f>
        <v/>
      </c>
      <c r="N314" s="9">
        <f>IF($K314="","",INDEX('سجل التحفيز'!$M$5:$M$2004,MATCH($K314,'سجل التحفيز'!$AB$5:$AB$2004,0)))</f>
        <v/>
      </c>
      <c r="O314" s="9">
        <f>IF($K314="","",INDEX('سجل التحفيز'!$C$5:$C$2004,MATCH($K314,'سجل التحفيز'!$AB$5:$AB$2004,0)))</f>
        <v/>
      </c>
      <c r="P314" s="36">
        <f>IF($K314="","",INDEX('سجل التحفيز'!$D$5:$D$2004,MATCH($K314,'سجل التحفيز'!$AB$5:$AB$2004,0)))</f>
        <v/>
      </c>
      <c r="Q314" s="9">
        <f>IF($K314="","",INDEX('سجل التحفيز'!$E$5:$E$2004,MATCH($K314,'سجل التحفيز'!$AB$5:$AB$2004,0)))</f>
        <v/>
      </c>
      <c r="R314" s="9">
        <f>IF($K314="","",INDEX('سجل التحفيز'!$F$5:$F$2004,MATCH($K314,'سجل التحفيز'!$AB$5:$AB$2004,0)))</f>
        <v/>
      </c>
      <c r="S314" s="35">
        <f>IF($K314="","",INDEX('سجل التحفيز'!$G$5:$G$2004,MATCH($K314,'سجل التحفيز'!$AB$5:$AB$2004,0)))</f>
        <v/>
      </c>
    </row>
    <row r="315">
      <c r="K315" s="36">
        <f>IF(278&gt;$B$10,"",278)</f>
        <v/>
      </c>
      <c r="L315" s="37">
        <f>IF($K315="","",INDEX('سجل التحفيز'!$A$5:$A$2004,MATCH($K315,'سجل التحفيز'!$AB$5:$AB$2004,0)))</f>
        <v/>
      </c>
      <c r="M315" s="9">
        <f>IF($K315="","",INDEX('سجل التحفيز'!$B$5:$B$2004,MATCH($K315,'سجل التحفيز'!$AB$5:$AB$2004,0)))</f>
        <v/>
      </c>
      <c r="N315" s="9">
        <f>IF($K315="","",INDEX('سجل التحفيز'!$M$5:$M$2004,MATCH($K315,'سجل التحفيز'!$AB$5:$AB$2004,0)))</f>
        <v/>
      </c>
      <c r="O315" s="9">
        <f>IF($K315="","",INDEX('سجل التحفيز'!$C$5:$C$2004,MATCH($K315,'سجل التحفيز'!$AB$5:$AB$2004,0)))</f>
        <v/>
      </c>
      <c r="P315" s="36">
        <f>IF($K315="","",INDEX('سجل التحفيز'!$D$5:$D$2004,MATCH($K315,'سجل التحفيز'!$AB$5:$AB$2004,0)))</f>
        <v/>
      </c>
      <c r="Q315" s="9">
        <f>IF($K315="","",INDEX('سجل التحفيز'!$E$5:$E$2004,MATCH($K315,'سجل التحفيز'!$AB$5:$AB$2004,0)))</f>
        <v/>
      </c>
      <c r="R315" s="9">
        <f>IF($K315="","",INDEX('سجل التحفيز'!$F$5:$F$2004,MATCH($K315,'سجل التحفيز'!$AB$5:$AB$2004,0)))</f>
        <v/>
      </c>
      <c r="S315" s="35">
        <f>IF($K315="","",INDEX('سجل التحفيز'!$G$5:$G$2004,MATCH($K315,'سجل التحفيز'!$AB$5:$AB$2004,0)))</f>
        <v/>
      </c>
    </row>
    <row r="316">
      <c r="K316" s="36">
        <f>IF(279&gt;$B$10,"",279)</f>
        <v/>
      </c>
      <c r="L316" s="37">
        <f>IF($K316="","",INDEX('سجل التحفيز'!$A$5:$A$2004,MATCH($K316,'سجل التحفيز'!$AB$5:$AB$2004,0)))</f>
        <v/>
      </c>
      <c r="M316" s="9">
        <f>IF($K316="","",INDEX('سجل التحفيز'!$B$5:$B$2004,MATCH($K316,'سجل التحفيز'!$AB$5:$AB$2004,0)))</f>
        <v/>
      </c>
      <c r="N316" s="9">
        <f>IF($K316="","",INDEX('سجل التحفيز'!$M$5:$M$2004,MATCH($K316,'سجل التحفيز'!$AB$5:$AB$2004,0)))</f>
        <v/>
      </c>
      <c r="O316" s="9">
        <f>IF($K316="","",INDEX('سجل التحفيز'!$C$5:$C$2004,MATCH($K316,'سجل التحفيز'!$AB$5:$AB$2004,0)))</f>
        <v/>
      </c>
      <c r="P316" s="36">
        <f>IF($K316="","",INDEX('سجل التحفيز'!$D$5:$D$2004,MATCH($K316,'سجل التحفيز'!$AB$5:$AB$2004,0)))</f>
        <v/>
      </c>
      <c r="Q316" s="9">
        <f>IF($K316="","",INDEX('سجل التحفيز'!$E$5:$E$2004,MATCH($K316,'سجل التحفيز'!$AB$5:$AB$2004,0)))</f>
        <v/>
      </c>
      <c r="R316" s="9">
        <f>IF($K316="","",INDEX('سجل التحفيز'!$F$5:$F$2004,MATCH($K316,'سجل التحفيز'!$AB$5:$AB$2004,0)))</f>
        <v/>
      </c>
      <c r="S316" s="35">
        <f>IF($K316="","",INDEX('سجل التحفيز'!$G$5:$G$2004,MATCH($K316,'سجل التحفيز'!$AB$5:$AB$2004,0)))</f>
        <v/>
      </c>
    </row>
    <row r="317">
      <c r="K317" s="36">
        <f>IF(280&gt;$B$10,"",280)</f>
        <v/>
      </c>
      <c r="L317" s="37">
        <f>IF($K317="","",INDEX('سجل التحفيز'!$A$5:$A$2004,MATCH($K317,'سجل التحفيز'!$AB$5:$AB$2004,0)))</f>
        <v/>
      </c>
      <c r="M317" s="9">
        <f>IF($K317="","",INDEX('سجل التحفيز'!$B$5:$B$2004,MATCH($K317,'سجل التحفيز'!$AB$5:$AB$2004,0)))</f>
        <v/>
      </c>
      <c r="N317" s="9">
        <f>IF($K317="","",INDEX('سجل التحفيز'!$M$5:$M$2004,MATCH($K317,'سجل التحفيز'!$AB$5:$AB$2004,0)))</f>
        <v/>
      </c>
      <c r="O317" s="9">
        <f>IF($K317="","",INDEX('سجل التحفيز'!$C$5:$C$2004,MATCH($K317,'سجل التحفيز'!$AB$5:$AB$2004,0)))</f>
        <v/>
      </c>
      <c r="P317" s="36">
        <f>IF($K317="","",INDEX('سجل التحفيز'!$D$5:$D$2004,MATCH($K317,'سجل التحفيز'!$AB$5:$AB$2004,0)))</f>
        <v/>
      </c>
      <c r="Q317" s="9">
        <f>IF($K317="","",INDEX('سجل التحفيز'!$E$5:$E$2004,MATCH($K317,'سجل التحفيز'!$AB$5:$AB$2004,0)))</f>
        <v/>
      </c>
      <c r="R317" s="9">
        <f>IF($K317="","",INDEX('سجل التحفيز'!$F$5:$F$2004,MATCH($K317,'سجل التحفيز'!$AB$5:$AB$2004,0)))</f>
        <v/>
      </c>
      <c r="S317" s="35">
        <f>IF($K317="","",INDEX('سجل التحفيز'!$G$5:$G$2004,MATCH($K317,'سجل التحفيز'!$AB$5:$AB$2004,0)))</f>
        <v/>
      </c>
    </row>
    <row r="318">
      <c r="K318" s="36">
        <f>IF(281&gt;$B$10,"",281)</f>
        <v/>
      </c>
      <c r="L318" s="37">
        <f>IF($K318="","",INDEX('سجل التحفيز'!$A$5:$A$2004,MATCH($K318,'سجل التحفيز'!$AB$5:$AB$2004,0)))</f>
        <v/>
      </c>
      <c r="M318" s="9">
        <f>IF($K318="","",INDEX('سجل التحفيز'!$B$5:$B$2004,MATCH($K318,'سجل التحفيز'!$AB$5:$AB$2004,0)))</f>
        <v/>
      </c>
      <c r="N318" s="9">
        <f>IF($K318="","",INDEX('سجل التحفيز'!$M$5:$M$2004,MATCH($K318,'سجل التحفيز'!$AB$5:$AB$2004,0)))</f>
        <v/>
      </c>
      <c r="O318" s="9">
        <f>IF($K318="","",INDEX('سجل التحفيز'!$C$5:$C$2004,MATCH($K318,'سجل التحفيز'!$AB$5:$AB$2004,0)))</f>
        <v/>
      </c>
      <c r="P318" s="36">
        <f>IF($K318="","",INDEX('سجل التحفيز'!$D$5:$D$2004,MATCH($K318,'سجل التحفيز'!$AB$5:$AB$2004,0)))</f>
        <v/>
      </c>
      <c r="Q318" s="9">
        <f>IF($K318="","",INDEX('سجل التحفيز'!$E$5:$E$2004,MATCH($K318,'سجل التحفيز'!$AB$5:$AB$2004,0)))</f>
        <v/>
      </c>
      <c r="R318" s="9">
        <f>IF($K318="","",INDEX('سجل التحفيز'!$F$5:$F$2004,MATCH($K318,'سجل التحفيز'!$AB$5:$AB$2004,0)))</f>
        <v/>
      </c>
      <c r="S318" s="35">
        <f>IF($K318="","",INDEX('سجل التحفيز'!$G$5:$G$2004,MATCH($K318,'سجل التحفيز'!$AB$5:$AB$2004,0)))</f>
        <v/>
      </c>
    </row>
    <row r="319">
      <c r="K319" s="36">
        <f>IF(282&gt;$B$10,"",282)</f>
        <v/>
      </c>
      <c r="L319" s="37">
        <f>IF($K319="","",INDEX('سجل التحفيز'!$A$5:$A$2004,MATCH($K319,'سجل التحفيز'!$AB$5:$AB$2004,0)))</f>
        <v/>
      </c>
      <c r="M319" s="9">
        <f>IF($K319="","",INDEX('سجل التحفيز'!$B$5:$B$2004,MATCH($K319,'سجل التحفيز'!$AB$5:$AB$2004,0)))</f>
        <v/>
      </c>
      <c r="N319" s="9">
        <f>IF($K319="","",INDEX('سجل التحفيز'!$M$5:$M$2004,MATCH($K319,'سجل التحفيز'!$AB$5:$AB$2004,0)))</f>
        <v/>
      </c>
      <c r="O319" s="9">
        <f>IF($K319="","",INDEX('سجل التحفيز'!$C$5:$C$2004,MATCH($K319,'سجل التحفيز'!$AB$5:$AB$2004,0)))</f>
        <v/>
      </c>
      <c r="P319" s="36">
        <f>IF($K319="","",INDEX('سجل التحفيز'!$D$5:$D$2004,MATCH($K319,'سجل التحفيز'!$AB$5:$AB$2004,0)))</f>
        <v/>
      </c>
      <c r="Q319" s="9">
        <f>IF($K319="","",INDEX('سجل التحفيز'!$E$5:$E$2004,MATCH($K319,'سجل التحفيز'!$AB$5:$AB$2004,0)))</f>
        <v/>
      </c>
      <c r="R319" s="9">
        <f>IF($K319="","",INDEX('سجل التحفيز'!$F$5:$F$2004,MATCH($K319,'سجل التحفيز'!$AB$5:$AB$2004,0)))</f>
        <v/>
      </c>
      <c r="S319" s="35">
        <f>IF($K319="","",INDEX('سجل التحفيز'!$G$5:$G$2004,MATCH($K319,'سجل التحفيز'!$AB$5:$AB$2004,0)))</f>
        <v/>
      </c>
    </row>
    <row r="320">
      <c r="K320" s="36">
        <f>IF(283&gt;$B$10,"",283)</f>
        <v/>
      </c>
      <c r="L320" s="37">
        <f>IF($K320="","",INDEX('سجل التحفيز'!$A$5:$A$2004,MATCH($K320,'سجل التحفيز'!$AB$5:$AB$2004,0)))</f>
        <v/>
      </c>
      <c r="M320" s="9">
        <f>IF($K320="","",INDEX('سجل التحفيز'!$B$5:$B$2004,MATCH($K320,'سجل التحفيز'!$AB$5:$AB$2004,0)))</f>
        <v/>
      </c>
      <c r="N320" s="9">
        <f>IF($K320="","",INDEX('سجل التحفيز'!$M$5:$M$2004,MATCH($K320,'سجل التحفيز'!$AB$5:$AB$2004,0)))</f>
        <v/>
      </c>
      <c r="O320" s="9">
        <f>IF($K320="","",INDEX('سجل التحفيز'!$C$5:$C$2004,MATCH($K320,'سجل التحفيز'!$AB$5:$AB$2004,0)))</f>
        <v/>
      </c>
      <c r="P320" s="36">
        <f>IF($K320="","",INDEX('سجل التحفيز'!$D$5:$D$2004,MATCH($K320,'سجل التحفيز'!$AB$5:$AB$2004,0)))</f>
        <v/>
      </c>
      <c r="Q320" s="9">
        <f>IF($K320="","",INDEX('سجل التحفيز'!$E$5:$E$2004,MATCH($K320,'سجل التحفيز'!$AB$5:$AB$2004,0)))</f>
        <v/>
      </c>
      <c r="R320" s="9">
        <f>IF($K320="","",INDEX('سجل التحفيز'!$F$5:$F$2004,MATCH($K320,'سجل التحفيز'!$AB$5:$AB$2004,0)))</f>
        <v/>
      </c>
      <c r="S320" s="35">
        <f>IF($K320="","",INDEX('سجل التحفيز'!$G$5:$G$2004,MATCH($K320,'سجل التحفيز'!$AB$5:$AB$2004,0)))</f>
        <v/>
      </c>
    </row>
    <row r="321">
      <c r="K321" s="36">
        <f>IF(284&gt;$B$10,"",284)</f>
        <v/>
      </c>
      <c r="L321" s="37">
        <f>IF($K321="","",INDEX('سجل التحفيز'!$A$5:$A$2004,MATCH($K321,'سجل التحفيز'!$AB$5:$AB$2004,0)))</f>
        <v/>
      </c>
      <c r="M321" s="9">
        <f>IF($K321="","",INDEX('سجل التحفيز'!$B$5:$B$2004,MATCH($K321,'سجل التحفيز'!$AB$5:$AB$2004,0)))</f>
        <v/>
      </c>
      <c r="N321" s="9">
        <f>IF($K321="","",INDEX('سجل التحفيز'!$M$5:$M$2004,MATCH($K321,'سجل التحفيز'!$AB$5:$AB$2004,0)))</f>
        <v/>
      </c>
      <c r="O321" s="9">
        <f>IF($K321="","",INDEX('سجل التحفيز'!$C$5:$C$2004,MATCH($K321,'سجل التحفيز'!$AB$5:$AB$2004,0)))</f>
        <v/>
      </c>
      <c r="P321" s="36">
        <f>IF($K321="","",INDEX('سجل التحفيز'!$D$5:$D$2004,MATCH($K321,'سجل التحفيز'!$AB$5:$AB$2004,0)))</f>
        <v/>
      </c>
      <c r="Q321" s="9">
        <f>IF($K321="","",INDEX('سجل التحفيز'!$E$5:$E$2004,MATCH($K321,'سجل التحفيز'!$AB$5:$AB$2004,0)))</f>
        <v/>
      </c>
      <c r="R321" s="9">
        <f>IF($K321="","",INDEX('سجل التحفيز'!$F$5:$F$2004,MATCH($K321,'سجل التحفيز'!$AB$5:$AB$2004,0)))</f>
        <v/>
      </c>
      <c r="S321" s="35">
        <f>IF($K321="","",INDEX('سجل التحفيز'!$G$5:$G$2004,MATCH($K321,'سجل التحفيز'!$AB$5:$AB$2004,0)))</f>
        <v/>
      </c>
    </row>
    <row r="322">
      <c r="K322" s="36">
        <f>IF(285&gt;$B$10,"",285)</f>
        <v/>
      </c>
      <c r="L322" s="37">
        <f>IF($K322="","",INDEX('سجل التحفيز'!$A$5:$A$2004,MATCH($K322,'سجل التحفيز'!$AB$5:$AB$2004,0)))</f>
        <v/>
      </c>
      <c r="M322" s="9">
        <f>IF($K322="","",INDEX('سجل التحفيز'!$B$5:$B$2004,MATCH($K322,'سجل التحفيز'!$AB$5:$AB$2004,0)))</f>
        <v/>
      </c>
      <c r="N322" s="9">
        <f>IF($K322="","",INDEX('سجل التحفيز'!$M$5:$M$2004,MATCH($K322,'سجل التحفيز'!$AB$5:$AB$2004,0)))</f>
        <v/>
      </c>
      <c r="O322" s="9">
        <f>IF($K322="","",INDEX('سجل التحفيز'!$C$5:$C$2004,MATCH($K322,'سجل التحفيز'!$AB$5:$AB$2004,0)))</f>
        <v/>
      </c>
      <c r="P322" s="36">
        <f>IF($K322="","",INDEX('سجل التحفيز'!$D$5:$D$2004,MATCH($K322,'سجل التحفيز'!$AB$5:$AB$2004,0)))</f>
        <v/>
      </c>
      <c r="Q322" s="9">
        <f>IF($K322="","",INDEX('سجل التحفيز'!$E$5:$E$2004,MATCH($K322,'سجل التحفيز'!$AB$5:$AB$2004,0)))</f>
        <v/>
      </c>
      <c r="R322" s="9">
        <f>IF($K322="","",INDEX('سجل التحفيز'!$F$5:$F$2004,MATCH($K322,'سجل التحفيز'!$AB$5:$AB$2004,0)))</f>
        <v/>
      </c>
      <c r="S322" s="35">
        <f>IF($K322="","",INDEX('سجل التحفيز'!$G$5:$G$2004,MATCH($K322,'سجل التحفيز'!$AB$5:$AB$2004,0)))</f>
        <v/>
      </c>
    </row>
    <row r="323">
      <c r="K323" s="36">
        <f>IF(286&gt;$B$10,"",286)</f>
        <v/>
      </c>
      <c r="L323" s="37">
        <f>IF($K323="","",INDEX('سجل التحفيز'!$A$5:$A$2004,MATCH($K323,'سجل التحفيز'!$AB$5:$AB$2004,0)))</f>
        <v/>
      </c>
      <c r="M323" s="9">
        <f>IF($K323="","",INDEX('سجل التحفيز'!$B$5:$B$2004,MATCH($K323,'سجل التحفيز'!$AB$5:$AB$2004,0)))</f>
        <v/>
      </c>
      <c r="N323" s="9">
        <f>IF($K323="","",INDEX('سجل التحفيز'!$M$5:$M$2004,MATCH($K323,'سجل التحفيز'!$AB$5:$AB$2004,0)))</f>
        <v/>
      </c>
      <c r="O323" s="9">
        <f>IF($K323="","",INDEX('سجل التحفيز'!$C$5:$C$2004,MATCH($K323,'سجل التحفيز'!$AB$5:$AB$2004,0)))</f>
        <v/>
      </c>
      <c r="P323" s="36">
        <f>IF($K323="","",INDEX('سجل التحفيز'!$D$5:$D$2004,MATCH($K323,'سجل التحفيز'!$AB$5:$AB$2004,0)))</f>
        <v/>
      </c>
      <c r="Q323" s="9">
        <f>IF($K323="","",INDEX('سجل التحفيز'!$E$5:$E$2004,MATCH($K323,'سجل التحفيز'!$AB$5:$AB$2004,0)))</f>
        <v/>
      </c>
      <c r="R323" s="9">
        <f>IF($K323="","",INDEX('سجل التحفيز'!$F$5:$F$2004,MATCH($K323,'سجل التحفيز'!$AB$5:$AB$2004,0)))</f>
        <v/>
      </c>
      <c r="S323" s="35">
        <f>IF($K323="","",INDEX('سجل التحفيز'!$G$5:$G$2004,MATCH($K323,'سجل التحفيز'!$AB$5:$AB$2004,0)))</f>
        <v/>
      </c>
    </row>
    <row r="324">
      <c r="K324" s="36">
        <f>IF(287&gt;$B$10,"",287)</f>
        <v/>
      </c>
      <c r="L324" s="37">
        <f>IF($K324="","",INDEX('سجل التحفيز'!$A$5:$A$2004,MATCH($K324,'سجل التحفيز'!$AB$5:$AB$2004,0)))</f>
        <v/>
      </c>
      <c r="M324" s="9">
        <f>IF($K324="","",INDEX('سجل التحفيز'!$B$5:$B$2004,MATCH($K324,'سجل التحفيز'!$AB$5:$AB$2004,0)))</f>
        <v/>
      </c>
      <c r="N324" s="9">
        <f>IF($K324="","",INDEX('سجل التحفيز'!$M$5:$M$2004,MATCH($K324,'سجل التحفيز'!$AB$5:$AB$2004,0)))</f>
        <v/>
      </c>
      <c r="O324" s="9">
        <f>IF($K324="","",INDEX('سجل التحفيز'!$C$5:$C$2004,MATCH($K324,'سجل التحفيز'!$AB$5:$AB$2004,0)))</f>
        <v/>
      </c>
      <c r="P324" s="36">
        <f>IF($K324="","",INDEX('سجل التحفيز'!$D$5:$D$2004,MATCH($K324,'سجل التحفيز'!$AB$5:$AB$2004,0)))</f>
        <v/>
      </c>
      <c r="Q324" s="9">
        <f>IF($K324="","",INDEX('سجل التحفيز'!$E$5:$E$2004,MATCH($K324,'سجل التحفيز'!$AB$5:$AB$2004,0)))</f>
        <v/>
      </c>
      <c r="R324" s="9">
        <f>IF($K324="","",INDEX('سجل التحفيز'!$F$5:$F$2004,MATCH($K324,'سجل التحفيز'!$AB$5:$AB$2004,0)))</f>
        <v/>
      </c>
      <c r="S324" s="35">
        <f>IF($K324="","",INDEX('سجل التحفيز'!$G$5:$G$2004,MATCH($K324,'سجل التحفيز'!$AB$5:$AB$2004,0)))</f>
        <v/>
      </c>
    </row>
    <row r="325">
      <c r="K325" s="36">
        <f>IF(288&gt;$B$10,"",288)</f>
        <v/>
      </c>
      <c r="L325" s="37">
        <f>IF($K325="","",INDEX('سجل التحفيز'!$A$5:$A$2004,MATCH($K325,'سجل التحفيز'!$AB$5:$AB$2004,0)))</f>
        <v/>
      </c>
      <c r="M325" s="9">
        <f>IF($K325="","",INDEX('سجل التحفيز'!$B$5:$B$2004,MATCH($K325,'سجل التحفيز'!$AB$5:$AB$2004,0)))</f>
        <v/>
      </c>
      <c r="N325" s="9">
        <f>IF($K325="","",INDEX('سجل التحفيز'!$M$5:$M$2004,MATCH($K325,'سجل التحفيز'!$AB$5:$AB$2004,0)))</f>
        <v/>
      </c>
      <c r="O325" s="9">
        <f>IF($K325="","",INDEX('سجل التحفيز'!$C$5:$C$2004,MATCH($K325,'سجل التحفيز'!$AB$5:$AB$2004,0)))</f>
        <v/>
      </c>
      <c r="P325" s="36">
        <f>IF($K325="","",INDEX('سجل التحفيز'!$D$5:$D$2004,MATCH($K325,'سجل التحفيز'!$AB$5:$AB$2004,0)))</f>
        <v/>
      </c>
      <c r="Q325" s="9">
        <f>IF($K325="","",INDEX('سجل التحفيز'!$E$5:$E$2004,MATCH($K325,'سجل التحفيز'!$AB$5:$AB$2004,0)))</f>
        <v/>
      </c>
      <c r="R325" s="9">
        <f>IF($K325="","",INDEX('سجل التحفيز'!$F$5:$F$2004,MATCH($K325,'سجل التحفيز'!$AB$5:$AB$2004,0)))</f>
        <v/>
      </c>
      <c r="S325" s="35">
        <f>IF($K325="","",INDEX('سجل التحفيز'!$G$5:$G$2004,MATCH($K325,'سجل التحفيز'!$AB$5:$AB$2004,0)))</f>
        <v/>
      </c>
    </row>
    <row r="326">
      <c r="K326" s="36">
        <f>IF(289&gt;$B$10,"",289)</f>
        <v/>
      </c>
      <c r="L326" s="37">
        <f>IF($K326="","",INDEX('سجل التحفيز'!$A$5:$A$2004,MATCH($K326,'سجل التحفيز'!$AB$5:$AB$2004,0)))</f>
        <v/>
      </c>
      <c r="M326" s="9">
        <f>IF($K326="","",INDEX('سجل التحفيز'!$B$5:$B$2004,MATCH($K326,'سجل التحفيز'!$AB$5:$AB$2004,0)))</f>
        <v/>
      </c>
      <c r="N326" s="9">
        <f>IF($K326="","",INDEX('سجل التحفيز'!$M$5:$M$2004,MATCH($K326,'سجل التحفيز'!$AB$5:$AB$2004,0)))</f>
        <v/>
      </c>
      <c r="O326" s="9">
        <f>IF($K326="","",INDEX('سجل التحفيز'!$C$5:$C$2004,MATCH($K326,'سجل التحفيز'!$AB$5:$AB$2004,0)))</f>
        <v/>
      </c>
      <c r="P326" s="36">
        <f>IF($K326="","",INDEX('سجل التحفيز'!$D$5:$D$2004,MATCH($K326,'سجل التحفيز'!$AB$5:$AB$2004,0)))</f>
        <v/>
      </c>
      <c r="Q326" s="9">
        <f>IF($K326="","",INDEX('سجل التحفيز'!$E$5:$E$2004,MATCH($K326,'سجل التحفيز'!$AB$5:$AB$2004,0)))</f>
        <v/>
      </c>
      <c r="R326" s="9">
        <f>IF($K326="","",INDEX('سجل التحفيز'!$F$5:$F$2004,MATCH($K326,'سجل التحفيز'!$AB$5:$AB$2004,0)))</f>
        <v/>
      </c>
      <c r="S326" s="35">
        <f>IF($K326="","",INDEX('سجل التحفيز'!$G$5:$G$2004,MATCH($K326,'سجل التحفيز'!$AB$5:$AB$2004,0)))</f>
        <v/>
      </c>
    </row>
    <row r="327">
      <c r="K327" s="36">
        <f>IF(290&gt;$B$10,"",290)</f>
        <v/>
      </c>
      <c r="L327" s="37">
        <f>IF($K327="","",INDEX('سجل التحفيز'!$A$5:$A$2004,MATCH($K327,'سجل التحفيز'!$AB$5:$AB$2004,0)))</f>
        <v/>
      </c>
      <c r="M327" s="9">
        <f>IF($K327="","",INDEX('سجل التحفيز'!$B$5:$B$2004,MATCH($K327,'سجل التحفيز'!$AB$5:$AB$2004,0)))</f>
        <v/>
      </c>
      <c r="N327" s="9">
        <f>IF($K327="","",INDEX('سجل التحفيز'!$M$5:$M$2004,MATCH($K327,'سجل التحفيز'!$AB$5:$AB$2004,0)))</f>
        <v/>
      </c>
      <c r="O327" s="9">
        <f>IF($K327="","",INDEX('سجل التحفيز'!$C$5:$C$2004,MATCH($K327,'سجل التحفيز'!$AB$5:$AB$2004,0)))</f>
        <v/>
      </c>
      <c r="P327" s="36">
        <f>IF($K327="","",INDEX('سجل التحفيز'!$D$5:$D$2004,MATCH($K327,'سجل التحفيز'!$AB$5:$AB$2004,0)))</f>
        <v/>
      </c>
      <c r="Q327" s="9">
        <f>IF($K327="","",INDEX('سجل التحفيز'!$E$5:$E$2004,MATCH($K327,'سجل التحفيز'!$AB$5:$AB$2004,0)))</f>
        <v/>
      </c>
      <c r="R327" s="9">
        <f>IF($K327="","",INDEX('سجل التحفيز'!$F$5:$F$2004,MATCH($K327,'سجل التحفيز'!$AB$5:$AB$2004,0)))</f>
        <v/>
      </c>
      <c r="S327" s="35">
        <f>IF($K327="","",INDEX('سجل التحفيز'!$G$5:$G$2004,MATCH($K327,'سجل التحفيز'!$AB$5:$AB$2004,0)))</f>
        <v/>
      </c>
    </row>
    <row r="328">
      <c r="K328" s="36">
        <f>IF(291&gt;$B$10,"",291)</f>
        <v/>
      </c>
      <c r="L328" s="37">
        <f>IF($K328="","",INDEX('سجل التحفيز'!$A$5:$A$2004,MATCH($K328,'سجل التحفيز'!$AB$5:$AB$2004,0)))</f>
        <v/>
      </c>
      <c r="M328" s="9">
        <f>IF($K328="","",INDEX('سجل التحفيز'!$B$5:$B$2004,MATCH($K328,'سجل التحفيز'!$AB$5:$AB$2004,0)))</f>
        <v/>
      </c>
      <c r="N328" s="9">
        <f>IF($K328="","",INDEX('سجل التحفيز'!$M$5:$M$2004,MATCH($K328,'سجل التحفيز'!$AB$5:$AB$2004,0)))</f>
        <v/>
      </c>
      <c r="O328" s="9">
        <f>IF($K328="","",INDEX('سجل التحفيز'!$C$5:$C$2004,MATCH($K328,'سجل التحفيز'!$AB$5:$AB$2004,0)))</f>
        <v/>
      </c>
      <c r="P328" s="36">
        <f>IF($K328="","",INDEX('سجل التحفيز'!$D$5:$D$2004,MATCH($K328,'سجل التحفيز'!$AB$5:$AB$2004,0)))</f>
        <v/>
      </c>
      <c r="Q328" s="9">
        <f>IF($K328="","",INDEX('سجل التحفيز'!$E$5:$E$2004,MATCH($K328,'سجل التحفيز'!$AB$5:$AB$2004,0)))</f>
        <v/>
      </c>
      <c r="R328" s="9">
        <f>IF($K328="","",INDEX('سجل التحفيز'!$F$5:$F$2004,MATCH($K328,'سجل التحفيز'!$AB$5:$AB$2004,0)))</f>
        <v/>
      </c>
      <c r="S328" s="35">
        <f>IF($K328="","",INDEX('سجل التحفيز'!$G$5:$G$2004,MATCH($K328,'سجل التحفيز'!$AB$5:$AB$2004,0)))</f>
        <v/>
      </c>
    </row>
    <row r="329">
      <c r="K329" s="36">
        <f>IF(292&gt;$B$10,"",292)</f>
        <v/>
      </c>
      <c r="L329" s="37">
        <f>IF($K329="","",INDEX('سجل التحفيز'!$A$5:$A$2004,MATCH($K329,'سجل التحفيز'!$AB$5:$AB$2004,0)))</f>
        <v/>
      </c>
      <c r="M329" s="9">
        <f>IF($K329="","",INDEX('سجل التحفيز'!$B$5:$B$2004,MATCH($K329,'سجل التحفيز'!$AB$5:$AB$2004,0)))</f>
        <v/>
      </c>
      <c r="N329" s="9">
        <f>IF($K329="","",INDEX('سجل التحفيز'!$M$5:$M$2004,MATCH($K329,'سجل التحفيز'!$AB$5:$AB$2004,0)))</f>
        <v/>
      </c>
      <c r="O329" s="9">
        <f>IF($K329="","",INDEX('سجل التحفيز'!$C$5:$C$2004,MATCH($K329,'سجل التحفيز'!$AB$5:$AB$2004,0)))</f>
        <v/>
      </c>
      <c r="P329" s="36">
        <f>IF($K329="","",INDEX('سجل التحفيز'!$D$5:$D$2004,MATCH($K329,'سجل التحفيز'!$AB$5:$AB$2004,0)))</f>
        <v/>
      </c>
      <c r="Q329" s="9">
        <f>IF($K329="","",INDEX('سجل التحفيز'!$E$5:$E$2004,MATCH($K329,'سجل التحفيز'!$AB$5:$AB$2004,0)))</f>
        <v/>
      </c>
      <c r="R329" s="9">
        <f>IF($K329="","",INDEX('سجل التحفيز'!$F$5:$F$2004,MATCH($K329,'سجل التحفيز'!$AB$5:$AB$2004,0)))</f>
        <v/>
      </c>
      <c r="S329" s="35">
        <f>IF($K329="","",INDEX('سجل التحفيز'!$G$5:$G$2004,MATCH($K329,'سجل التحفيز'!$AB$5:$AB$2004,0)))</f>
        <v/>
      </c>
    </row>
    <row r="330">
      <c r="K330" s="36">
        <f>IF(293&gt;$B$10,"",293)</f>
        <v/>
      </c>
      <c r="L330" s="37">
        <f>IF($K330="","",INDEX('سجل التحفيز'!$A$5:$A$2004,MATCH($K330,'سجل التحفيز'!$AB$5:$AB$2004,0)))</f>
        <v/>
      </c>
      <c r="M330" s="9">
        <f>IF($K330="","",INDEX('سجل التحفيز'!$B$5:$B$2004,MATCH($K330,'سجل التحفيز'!$AB$5:$AB$2004,0)))</f>
        <v/>
      </c>
      <c r="N330" s="9">
        <f>IF($K330="","",INDEX('سجل التحفيز'!$M$5:$M$2004,MATCH($K330,'سجل التحفيز'!$AB$5:$AB$2004,0)))</f>
        <v/>
      </c>
      <c r="O330" s="9">
        <f>IF($K330="","",INDEX('سجل التحفيز'!$C$5:$C$2004,MATCH($K330,'سجل التحفيز'!$AB$5:$AB$2004,0)))</f>
        <v/>
      </c>
      <c r="P330" s="36">
        <f>IF($K330="","",INDEX('سجل التحفيز'!$D$5:$D$2004,MATCH($K330,'سجل التحفيز'!$AB$5:$AB$2004,0)))</f>
        <v/>
      </c>
      <c r="Q330" s="9">
        <f>IF($K330="","",INDEX('سجل التحفيز'!$E$5:$E$2004,MATCH($K330,'سجل التحفيز'!$AB$5:$AB$2004,0)))</f>
        <v/>
      </c>
      <c r="R330" s="9">
        <f>IF($K330="","",INDEX('سجل التحفيز'!$F$5:$F$2004,MATCH($K330,'سجل التحفيز'!$AB$5:$AB$2004,0)))</f>
        <v/>
      </c>
      <c r="S330" s="35">
        <f>IF($K330="","",INDEX('سجل التحفيز'!$G$5:$G$2004,MATCH($K330,'سجل التحفيز'!$AB$5:$AB$2004,0)))</f>
        <v/>
      </c>
    </row>
    <row r="331">
      <c r="K331" s="36">
        <f>IF(294&gt;$B$10,"",294)</f>
        <v/>
      </c>
      <c r="L331" s="37">
        <f>IF($K331="","",INDEX('سجل التحفيز'!$A$5:$A$2004,MATCH($K331,'سجل التحفيز'!$AB$5:$AB$2004,0)))</f>
        <v/>
      </c>
      <c r="M331" s="9">
        <f>IF($K331="","",INDEX('سجل التحفيز'!$B$5:$B$2004,MATCH($K331,'سجل التحفيز'!$AB$5:$AB$2004,0)))</f>
        <v/>
      </c>
      <c r="N331" s="9">
        <f>IF($K331="","",INDEX('سجل التحفيز'!$M$5:$M$2004,MATCH($K331,'سجل التحفيز'!$AB$5:$AB$2004,0)))</f>
        <v/>
      </c>
      <c r="O331" s="9">
        <f>IF($K331="","",INDEX('سجل التحفيز'!$C$5:$C$2004,MATCH($K331,'سجل التحفيز'!$AB$5:$AB$2004,0)))</f>
        <v/>
      </c>
      <c r="P331" s="36">
        <f>IF($K331="","",INDEX('سجل التحفيز'!$D$5:$D$2004,MATCH($K331,'سجل التحفيز'!$AB$5:$AB$2004,0)))</f>
        <v/>
      </c>
      <c r="Q331" s="9">
        <f>IF($K331="","",INDEX('سجل التحفيز'!$E$5:$E$2004,MATCH($K331,'سجل التحفيز'!$AB$5:$AB$2004,0)))</f>
        <v/>
      </c>
      <c r="R331" s="9">
        <f>IF($K331="","",INDEX('سجل التحفيز'!$F$5:$F$2004,MATCH($K331,'سجل التحفيز'!$AB$5:$AB$2004,0)))</f>
        <v/>
      </c>
      <c r="S331" s="35">
        <f>IF($K331="","",INDEX('سجل التحفيز'!$G$5:$G$2004,MATCH($K331,'سجل التحفيز'!$AB$5:$AB$2004,0)))</f>
        <v/>
      </c>
    </row>
    <row r="332">
      <c r="K332" s="36">
        <f>IF(295&gt;$B$10,"",295)</f>
        <v/>
      </c>
      <c r="L332" s="37">
        <f>IF($K332="","",INDEX('سجل التحفيز'!$A$5:$A$2004,MATCH($K332,'سجل التحفيز'!$AB$5:$AB$2004,0)))</f>
        <v/>
      </c>
      <c r="M332" s="9">
        <f>IF($K332="","",INDEX('سجل التحفيز'!$B$5:$B$2004,MATCH($K332,'سجل التحفيز'!$AB$5:$AB$2004,0)))</f>
        <v/>
      </c>
      <c r="N332" s="9">
        <f>IF($K332="","",INDEX('سجل التحفيز'!$M$5:$M$2004,MATCH($K332,'سجل التحفيز'!$AB$5:$AB$2004,0)))</f>
        <v/>
      </c>
      <c r="O332" s="9">
        <f>IF($K332="","",INDEX('سجل التحفيز'!$C$5:$C$2004,MATCH($K332,'سجل التحفيز'!$AB$5:$AB$2004,0)))</f>
        <v/>
      </c>
      <c r="P332" s="36">
        <f>IF($K332="","",INDEX('سجل التحفيز'!$D$5:$D$2004,MATCH($K332,'سجل التحفيز'!$AB$5:$AB$2004,0)))</f>
        <v/>
      </c>
      <c r="Q332" s="9">
        <f>IF($K332="","",INDEX('سجل التحفيز'!$E$5:$E$2004,MATCH($K332,'سجل التحفيز'!$AB$5:$AB$2004,0)))</f>
        <v/>
      </c>
      <c r="R332" s="9">
        <f>IF($K332="","",INDEX('سجل التحفيز'!$F$5:$F$2004,MATCH($K332,'سجل التحفيز'!$AB$5:$AB$2004,0)))</f>
        <v/>
      </c>
      <c r="S332" s="35">
        <f>IF($K332="","",INDEX('سجل التحفيز'!$G$5:$G$2004,MATCH($K332,'سجل التحفيز'!$AB$5:$AB$2004,0)))</f>
        <v/>
      </c>
    </row>
    <row r="333">
      <c r="K333" s="36">
        <f>IF(296&gt;$B$10,"",296)</f>
        <v/>
      </c>
      <c r="L333" s="37">
        <f>IF($K333="","",INDEX('سجل التحفيز'!$A$5:$A$2004,MATCH($K333,'سجل التحفيز'!$AB$5:$AB$2004,0)))</f>
        <v/>
      </c>
      <c r="M333" s="9">
        <f>IF($K333="","",INDEX('سجل التحفيز'!$B$5:$B$2004,MATCH($K333,'سجل التحفيز'!$AB$5:$AB$2004,0)))</f>
        <v/>
      </c>
      <c r="N333" s="9">
        <f>IF($K333="","",INDEX('سجل التحفيز'!$M$5:$M$2004,MATCH($K333,'سجل التحفيز'!$AB$5:$AB$2004,0)))</f>
        <v/>
      </c>
      <c r="O333" s="9">
        <f>IF($K333="","",INDEX('سجل التحفيز'!$C$5:$C$2004,MATCH($K333,'سجل التحفيز'!$AB$5:$AB$2004,0)))</f>
        <v/>
      </c>
      <c r="P333" s="36">
        <f>IF($K333="","",INDEX('سجل التحفيز'!$D$5:$D$2004,MATCH($K333,'سجل التحفيز'!$AB$5:$AB$2004,0)))</f>
        <v/>
      </c>
      <c r="Q333" s="9">
        <f>IF($K333="","",INDEX('سجل التحفيز'!$E$5:$E$2004,MATCH($K333,'سجل التحفيز'!$AB$5:$AB$2004,0)))</f>
        <v/>
      </c>
      <c r="R333" s="9">
        <f>IF($K333="","",INDEX('سجل التحفيز'!$F$5:$F$2004,MATCH($K333,'سجل التحفيز'!$AB$5:$AB$2004,0)))</f>
        <v/>
      </c>
      <c r="S333" s="35">
        <f>IF($K333="","",INDEX('سجل التحفيز'!$G$5:$G$2004,MATCH($K333,'سجل التحفيز'!$AB$5:$AB$2004,0)))</f>
        <v/>
      </c>
    </row>
    <row r="334">
      <c r="K334" s="36">
        <f>IF(297&gt;$B$10,"",297)</f>
        <v/>
      </c>
      <c r="L334" s="37">
        <f>IF($K334="","",INDEX('سجل التحفيز'!$A$5:$A$2004,MATCH($K334,'سجل التحفيز'!$AB$5:$AB$2004,0)))</f>
        <v/>
      </c>
      <c r="M334" s="9">
        <f>IF($K334="","",INDEX('سجل التحفيز'!$B$5:$B$2004,MATCH($K334,'سجل التحفيز'!$AB$5:$AB$2004,0)))</f>
        <v/>
      </c>
      <c r="N334" s="9">
        <f>IF($K334="","",INDEX('سجل التحفيز'!$M$5:$M$2004,MATCH($K334,'سجل التحفيز'!$AB$5:$AB$2004,0)))</f>
        <v/>
      </c>
      <c r="O334" s="9">
        <f>IF($K334="","",INDEX('سجل التحفيز'!$C$5:$C$2004,MATCH($K334,'سجل التحفيز'!$AB$5:$AB$2004,0)))</f>
        <v/>
      </c>
      <c r="P334" s="36">
        <f>IF($K334="","",INDEX('سجل التحفيز'!$D$5:$D$2004,MATCH($K334,'سجل التحفيز'!$AB$5:$AB$2004,0)))</f>
        <v/>
      </c>
      <c r="Q334" s="9">
        <f>IF($K334="","",INDEX('سجل التحفيز'!$E$5:$E$2004,MATCH($K334,'سجل التحفيز'!$AB$5:$AB$2004,0)))</f>
        <v/>
      </c>
      <c r="R334" s="9">
        <f>IF($K334="","",INDEX('سجل التحفيز'!$F$5:$F$2004,MATCH($K334,'سجل التحفيز'!$AB$5:$AB$2004,0)))</f>
        <v/>
      </c>
      <c r="S334" s="35">
        <f>IF($K334="","",INDEX('سجل التحفيز'!$G$5:$G$2004,MATCH($K334,'سجل التحفيز'!$AB$5:$AB$2004,0)))</f>
        <v/>
      </c>
    </row>
    <row r="335">
      <c r="K335" s="36">
        <f>IF(298&gt;$B$10,"",298)</f>
        <v/>
      </c>
      <c r="L335" s="37">
        <f>IF($K335="","",INDEX('سجل التحفيز'!$A$5:$A$2004,MATCH($K335,'سجل التحفيز'!$AB$5:$AB$2004,0)))</f>
        <v/>
      </c>
      <c r="M335" s="9">
        <f>IF($K335="","",INDEX('سجل التحفيز'!$B$5:$B$2004,MATCH($K335,'سجل التحفيز'!$AB$5:$AB$2004,0)))</f>
        <v/>
      </c>
      <c r="N335" s="9">
        <f>IF($K335="","",INDEX('سجل التحفيز'!$M$5:$M$2004,MATCH($K335,'سجل التحفيز'!$AB$5:$AB$2004,0)))</f>
        <v/>
      </c>
      <c r="O335" s="9">
        <f>IF($K335="","",INDEX('سجل التحفيز'!$C$5:$C$2004,MATCH($K335,'سجل التحفيز'!$AB$5:$AB$2004,0)))</f>
        <v/>
      </c>
      <c r="P335" s="36">
        <f>IF($K335="","",INDEX('سجل التحفيز'!$D$5:$D$2004,MATCH($K335,'سجل التحفيز'!$AB$5:$AB$2004,0)))</f>
        <v/>
      </c>
      <c r="Q335" s="9">
        <f>IF($K335="","",INDEX('سجل التحفيز'!$E$5:$E$2004,MATCH($K335,'سجل التحفيز'!$AB$5:$AB$2004,0)))</f>
        <v/>
      </c>
      <c r="R335" s="9">
        <f>IF($K335="","",INDEX('سجل التحفيز'!$F$5:$F$2004,MATCH($K335,'سجل التحفيز'!$AB$5:$AB$2004,0)))</f>
        <v/>
      </c>
      <c r="S335" s="35">
        <f>IF($K335="","",INDEX('سجل التحفيز'!$G$5:$G$2004,MATCH($K335,'سجل التحفيز'!$AB$5:$AB$2004,0)))</f>
        <v/>
      </c>
    </row>
    <row r="336">
      <c r="K336" s="36">
        <f>IF(299&gt;$B$10,"",299)</f>
        <v/>
      </c>
      <c r="L336" s="37">
        <f>IF($K336="","",INDEX('سجل التحفيز'!$A$5:$A$2004,MATCH($K336,'سجل التحفيز'!$AB$5:$AB$2004,0)))</f>
        <v/>
      </c>
      <c r="M336" s="9">
        <f>IF($K336="","",INDEX('سجل التحفيز'!$B$5:$B$2004,MATCH($K336,'سجل التحفيز'!$AB$5:$AB$2004,0)))</f>
        <v/>
      </c>
      <c r="N336" s="9">
        <f>IF($K336="","",INDEX('سجل التحفيز'!$M$5:$M$2004,MATCH($K336,'سجل التحفيز'!$AB$5:$AB$2004,0)))</f>
        <v/>
      </c>
      <c r="O336" s="9">
        <f>IF($K336="","",INDEX('سجل التحفيز'!$C$5:$C$2004,MATCH($K336,'سجل التحفيز'!$AB$5:$AB$2004,0)))</f>
        <v/>
      </c>
      <c r="P336" s="36">
        <f>IF($K336="","",INDEX('سجل التحفيز'!$D$5:$D$2004,MATCH($K336,'سجل التحفيز'!$AB$5:$AB$2004,0)))</f>
        <v/>
      </c>
      <c r="Q336" s="9">
        <f>IF($K336="","",INDEX('سجل التحفيز'!$E$5:$E$2004,MATCH($K336,'سجل التحفيز'!$AB$5:$AB$2004,0)))</f>
        <v/>
      </c>
      <c r="R336" s="9">
        <f>IF($K336="","",INDEX('سجل التحفيز'!$F$5:$F$2004,MATCH($K336,'سجل التحفيز'!$AB$5:$AB$2004,0)))</f>
        <v/>
      </c>
      <c r="S336" s="35">
        <f>IF($K336="","",INDEX('سجل التحفيز'!$G$5:$G$2004,MATCH($K336,'سجل التحفيز'!$AB$5:$AB$2004,0)))</f>
        <v/>
      </c>
    </row>
    <row r="337">
      <c r="K337" s="36">
        <f>IF(300&gt;$B$10,"",300)</f>
        <v/>
      </c>
      <c r="L337" s="37">
        <f>IF($K337="","",INDEX('سجل التحفيز'!$A$5:$A$2004,MATCH($K337,'سجل التحفيز'!$AB$5:$AB$2004,0)))</f>
        <v/>
      </c>
      <c r="M337" s="9">
        <f>IF($K337="","",INDEX('سجل التحفيز'!$B$5:$B$2004,MATCH($K337,'سجل التحفيز'!$AB$5:$AB$2004,0)))</f>
        <v/>
      </c>
      <c r="N337" s="9">
        <f>IF($K337="","",INDEX('سجل التحفيز'!$M$5:$M$2004,MATCH($K337,'سجل التحفيز'!$AB$5:$AB$2004,0)))</f>
        <v/>
      </c>
      <c r="O337" s="9">
        <f>IF($K337="","",INDEX('سجل التحفيز'!$C$5:$C$2004,MATCH($K337,'سجل التحفيز'!$AB$5:$AB$2004,0)))</f>
        <v/>
      </c>
      <c r="P337" s="36">
        <f>IF($K337="","",INDEX('سجل التحفيز'!$D$5:$D$2004,MATCH($K337,'سجل التحفيز'!$AB$5:$AB$2004,0)))</f>
        <v/>
      </c>
      <c r="Q337" s="9">
        <f>IF($K337="","",INDEX('سجل التحفيز'!$E$5:$E$2004,MATCH($K337,'سجل التحفيز'!$AB$5:$AB$2004,0)))</f>
        <v/>
      </c>
      <c r="R337" s="9">
        <f>IF($K337="","",INDEX('سجل التحفيز'!$F$5:$F$2004,MATCH($K337,'سجل التحفيز'!$AB$5:$AB$2004,0)))</f>
        <v/>
      </c>
      <c r="S337" s="35">
        <f>IF($K337="","",INDEX('سجل التحفيز'!$G$5:$G$2004,MATCH($K337,'سجل التحفيز'!$AB$5:$AB$2004,0)))</f>
        <v/>
      </c>
    </row>
    <row r="339">
      <c r="K339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38:H187">
    <cfRule type="expression" priority="1" dxfId="3">
      <formula>$B38&lt;&gt;""</formula>
    </cfRule>
    <cfRule type="expression" priority="2" dxfId="1">
      <formula>AND($B38&lt;&gt;"",$G38=1)</formula>
    </cfRule>
  </conditionalFormatting>
  <conditionalFormatting sqref="K38:S337">
    <cfRule type="expression" priority="3" dxfId="3">
      <formula>$K38&lt;&gt;""</formula>
    </cfRule>
    <cfRule type="expression" priority="4" dxfId="4">
      <formula>AND($K38&lt;&gt;"",$P38="ذهبي")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S33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التقرير الشهري — مارس</t>
        </is>
      </c>
    </row>
    <row r="2" ht="30" customHeight="1">
      <c r="A2" s="2" t="inlineStr">
        <is>
          <t>تقرير ثابت لهذا الشهر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شهري</t>
        </is>
      </c>
    </row>
    <row r="6">
      <c r="B6" s="22" t="inlineStr">
        <is>
          <t>الشهر</t>
        </is>
      </c>
      <c r="C6" s="25" t="inlineStr">
        <is>
          <t>مارس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—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التحفيز'!$AC$5:$AC$2004)</f>
        <v/>
      </c>
      <c r="C10" s="28">
        <f>COUNT(الموظفات!$W$5:$W$304)</f>
        <v/>
      </c>
      <c r="D10" s="28">
        <f>COUNTIFS('سجل التحفيز'!$AC$5:$AC$2004,"&gt;0",'سجل التحفيز'!$D$5:$D$2004,"ذهبي")</f>
        <v/>
      </c>
      <c r="E10" s="28">
        <f>COUNTIFS('سجل التحفيز'!$AC$5:$AC$2004,"&gt;0",'سجل التحفيز'!$D$5:$D$2004,"أساسي")</f>
        <v/>
      </c>
      <c r="F10" s="28">
        <f>SUMIFS('سجل التحفيز'!$G$5:$G$2004,'سجل التحفيز'!$AC$5:$AC$2004,"&gt;0")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التحفيز'!$AC$5:$AC$2004,"&gt;0",'سجل التحفيز'!$C$5:$C$2004,B14,'سجل التحفيز'!$D$5:$D$2004,"أساسي")</f>
        <v/>
      </c>
      <c r="D14" s="31">
        <f>COUNTIFS('سجل التحفيز'!$AC$5:$AC$2004,"&gt;0",'سجل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التحفيز'!$AC$5:$AC$2004,"&gt;0",'سجل التحفيز'!$C$5:$C$2004,B14)</f>
        <v/>
      </c>
    </row>
    <row r="15">
      <c r="B15" s="30">
        <f>الإعدادات!A8</f>
        <v/>
      </c>
      <c r="C15" s="31">
        <f>COUNTIFS('سجل التحفيز'!$AC$5:$AC$2004,"&gt;0",'سجل التحفيز'!$C$5:$C$2004,B15,'سجل التحفيز'!$D$5:$D$2004,"أساسي")</f>
        <v/>
      </c>
      <c r="D15" s="31">
        <f>COUNTIFS('سجل التحفيز'!$AC$5:$AC$2004,"&gt;0",'سجل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التحفيز'!$AC$5:$AC$2004,"&gt;0",'سجل التحفيز'!$C$5:$C$2004,B15)</f>
        <v/>
      </c>
    </row>
    <row r="16">
      <c r="B16" s="30">
        <f>الإعدادات!A9</f>
        <v/>
      </c>
      <c r="C16" s="31">
        <f>COUNTIFS('سجل التحفيز'!$AC$5:$AC$2004,"&gt;0",'سجل التحفيز'!$C$5:$C$2004,B16,'سجل التحفيز'!$D$5:$D$2004,"أساسي")</f>
        <v/>
      </c>
      <c r="D16" s="31">
        <f>COUNTIFS('سجل التحفيز'!$AC$5:$AC$2004,"&gt;0",'سجل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التحفيز'!$AC$5:$AC$2004,"&gt;0",'سجل التحفيز'!$C$5:$C$2004,B16)</f>
        <v/>
      </c>
    </row>
    <row r="17">
      <c r="B17" s="30">
        <f>الإعدادات!A10</f>
        <v/>
      </c>
      <c r="C17" s="31">
        <f>COUNTIFS('سجل التحفيز'!$AC$5:$AC$2004,"&gt;0",'سجل التحفيز'!$C$5:$C$2004,B17,'سجل التحفيز'!$D$5:$D$2004,"أساسي")</f>
        <v/>
      </c>
      <c r="D17" s="31">
        <f>COUNTIFS('سجل التحفيز'!$AC$5:$AC$2004,"&gt;0",'سجل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التحفيز'!$AC$5:$AC$2004,"&gt;0",'سجل التحفيز'!$C$5:$C$2004,B17)</f>
        <v/>
      </c>
    </row>
    <row r="18">
      <c r="B18" s="30">
        <f>الإعدادات!A11</f>
        <v/>
      </c>
      <c r="C18" s="31">
        <f>COUNTIFS('سجل التحفيز'!$AC$5:$AC$2004,"&gt;0",'سجل التحفيز'!$C$5:$C$2004,B18,'سجل التحفيز'!$D$5:$D$2004,"أساسي")</f>
        <v/>
      </c>
      <c r="D18" s="31">
        <f>COUNTIFS('سجل التحفيز'!$AC$5:$AC$2004,"&gt;0",'سجل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التحفيز'!$AC$5:$AC$2004,"&gt;0",'سجل التحفيز'!$C$5:$C$2004,B18)</f>
        <v/>
      </c>
    </row>
    <row r="19">
      <c r="B19" s="30">
        <f>الإعدادات!A12</f>
        <v/>
      </c>
      <c r="C19" s="31">
        <f>COUNTIFS('سجل التحفيز'!$AC$5:$AC$2004,"&gt;0",'سجل التحفيز'!$C$5:$C$2004,B19,'سجل التحفيز'!$D$5:$D$2004,"أساسي")</f>
        <v/>
      </c>
      <c r="D19" s="31">
        <f>COUNTIFS('سجل التحفيز'!$AC$5:$AC$2004,"&gt;0",'سجل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التحفيز'!$AC$5:$AC$2004,"&gt;0",'سجل التحفيز'!$C$5:$C$2004,B19)</f>
        <v/>
      </c>
    </row>
    <row r="20">
      <c r="B20" s="30">
        <f>الإعدادات!A13</f>
        <v/>
      </c>
      <c r="C20" s="31">
        <f>COUNTIFS('سجل التحفيز'!$AC$5:$AC$2004,"&gt;0",'سجل التحفيز'!$C$5:$C$2004,B20,'سجل التحفيز'!$D$5:$D$2004,"أساسي")</f>
        <v/>
      </c>
      <c r="D20" s="31">
        <f>COUNTIFS('سجل التحفيز'!$AC$5:$AC$2004,"&gt;0",'سجل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التحفيز'!$AC$5:$AC$2004,"&gt;0",'سجل التحفيز'!$C$5:$C$2004,B20)</f>
        <v/>
      </c>
    </row>
    <row r="21">
      <c r="B21" s="30">
        <f>الإعدادات!A14</f>
        <v/>
      </c>
      <c r="C21" s="31">
        <f>COUNTIFS('سجل التحفيز'!$AC$5:$AC$2004,"&gt;0",'سجل التحفيز'!$C$5:$C$2004,B21,'سجل التحفيز'!$D$5:$D$2004,"أساسي")</f>
        <v/>
      </c>
      <c r="D21" s="31">
        <f>COUNTIFS('سجل التحفيز'!$AC$5:$AC$2004,"&gt;0",'سجل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التحفيز'!$AC$5:$AC$2004,"&gt;0",'سجل التحفيز'!$C$5:$C$2004,B21)</f>
        <v/>
      </c>
    </row>
    <row r="22">
      <c r="B22" s="30">
        <f>الإعدادات!A15</f>
        <v/>
      </c>
      <c r="C22" s="31">
        <f>COUNTIFS('سجل التحفيز'!$AC$5:$AC$2004,"&gt;0",'سجل التحفيز'!$C$5:$C$2004,B22,'سجل التحفيز'!$D$5:$D$2004,"أساسي")</f>
        <v/>
      </c>
      <c r="D22" s="31">
        <f>COUNTIFS('سجل التحفيز'!$AC$5:$AC$2004,"&gt;0",'سجل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التحفيز'!$AC$5:$AC$2004,"&gt;0",'سجل التحفيز'!$C$5:$C$2004,B22)</f>
        <v/>
      </c>
    </row>
    <row r="23">
      <c r="B23" s="30">
        <f>الإعدادات!A16</f>
        <v/>
      </c>
      <c r="C23" s="31">
        <f>COUNTIFS('سجل التحفيز'!$AC$5:$AC$2004,"&gt;0",'سجل التحفيز'!$C$5:$C$2004,B23,'سجل التحفيز'!$D$5:$D$2004,"أساسي")</f>
        <v/>
      </c>
      <c r="D23" s="31">
        <f>COUNTIFS('سجل التحفيز'!$AC$5:$AC$2004,"&gt;0",'سجل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التحفيز'!$AC$5:$AC$2004,"&gt;0",'سجل التحفيز'!$C$5:$C$2004,B23)</f>
        <v/>
      </c>
    </row>
    <row r="24">
      <c r="B24" s="30">
        <f>الإعدادات!A17</f>
        <v/>
      </c>
      <c r="C24" s="31">
        <f>COUNTIFS('سجل التحفيز'!$AC$5:$AC$2004,"&gt;0",'سجل التحفيز'!$C$5:$C$2004,B24,'سجل التحفيز'!$D$5:$D$2004,"أساسي")</f>
        <v/>
      </c>
      <c r="D24" s="31">
        <f>COUNTIFS('سجل التحفيز'!$AC$5:$AC$2004,"&gt;0",'سجل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التحفيز'!$AC$5:$AC$2004,"&gt;0",'سجل التحفيز'!$C$5:$C$2004,B24)</f>
        <v/>
      </c>
    </row>
    <row r="25">
      <c r="B25" s="30">
        <f>الإعدادات!A18</f>
        <v/>
      </c>
      <c r="C25" s="31">
        <f>COUNTIFS('سجل التحفيز'!$AC$5:$AC$2004,"&gt;0",'سجل التحفيز'!$C$5:$C$2004,B25,'سجل التحفيز'!$D$5:$D$2004,"أساسي")</f>
        <v/>
      </c>
      <c r="D25" s="31">
        <f>COUNTIFS('سجل التحفيز'!$AC$5:$AC$2004,"&gt;0",'سجل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التحفيز'!$AC$5:$AC$2004,"&gt;0",'سجل التحفيز'!$C$5:$C$2004,B25)</f>
        <v/>
      </c>
    </row>
    <row r="26">
      <c r="B26" s="30">
        <f>الإعدادات!A19</f>
        <v/>
      </c>
      <c r="C26" s="31">
        <f>COUNTIFS('سجل التحفيز'!$AC$5:$AC$2004,"&gt;0",'سجل التحفيز'!$C$5:$C$2004,B26,'سجل التحفيز'!$D$5:$D$2004,"أساسي")</f>
        <v/>
      </c>
      <c r="D26" s="31">
        <f>COUNTIFS('سجل التحفيز'!$AC$5:$AC$2004,"&gt;0",'سجل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التحفيز'!$AC$5:$AC$2004,"&gt;0",'سجل التحفيز'!$C$5:$C$2004,B26)</f>
        <v/>
      </c>
    </row>
    <row r="27">
      <c r="B27" s="30">
        <f>الإعدادات!A20</f>
        <v/>
      </c>
      <c r="C27" s="31">
        <f>COUNTIFS('سجل التحفيز'!$AC$5:$AC$2004,"&gt;0",'سجل التحفيز'!$C$5:$C$2004,B27,'سجل التحفيز'!$D$5:$D$2004,"أساسي")</f>
        <v/>
      </c>
      <c r="D27" s="31">
        <f>COUNTIFS('سجل التحفيز'!$AC$5:$AC$2004,"&gt;0",'سجل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التحفيز'!$AC$5:$AC$2004,"&gt;0",'سجل التحفيز'!$C$5:$C$2004,B27)</f>
        <v/>
      </c>
    </row>
    <row r="28">
      <c r="B28" s="30">
        <f>الإعدادات!A21</f>
        <v/>
      </c>
      <c r="C28" s="31">
        <f>COUNTIFS('سجل التحفيز'!$AC$5:$AC$2004,"&gt;0",'سجل التحفيز'!$C$5:$C$2004,B28,'سجل التحفيز'!$D$5:$D$2004,"أساسي")</f>
        <v/>
      </c>
      <c r="D28" s="31">
        <f>COUNTIFS('سجل التحفيز'!$AC$5:$AC$2004,"&gt;0",'سجل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التحفيز'!$AC$5:$AC$2004,"&gt;0",'سجل التحفيز'!$C$5:$C$2004,B28)</f>
        <v/>
      </c>
    </row>
    <row r="29">
      <c r="B29" s="30">
        <f>الإعدادات!A22</f>
        <v/>
      </c>
      <c r="C29" s="31">
        <f>COUNTIFS('سجل التحفيز'!$AC$5:$AC$2004,"&gt;0",'سجل التحفيز'!$C$5:$C$2004,B29,'سجل التحفيز'!$D$5:$D$2004,"أساسي")</f>
        <v/>
      </c>
      <c r="D29" s="31">
        <f>COUNTIFS('سجل التحفيز'!$AC$5:$AC$2004,"&gt;0",'سجل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التحفيز'!$AC$5:$AC$2004,"&gt;0",'سجل التحفيز'!$C$5:$C$2004,B29)</f>
        <v/>
      </c>
    </row>
    <row r="30">
      <c r="B30" s="30">
        <f>الإعدادات!A23</f>
        <v/>
      </c>
      <c r="C30" s="31">
        <f>COUNTIFS('سجل التحفيز'!$AC$5:$AC$2004,"&gt;0",'سجل التحفيز'!$C$5:$C$2004,B30,'سجل التحفيز'!$D$5:$D$2004,"أساسي")</f>
        <v/>
      </c>
      <c r="D30" s="31">
        <f>COUNTIFS('سجل التحفيز'!$AC$5:$AC$2004,"&gt;0",'سجل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التحفيز'!$AC$5:$AC$2004,"&gt;0",'سجل التحفيز'!$C$5:$C$2004,B30)</f>
        <v/>
      </c>
    </row>
    <row r="31">
      <c r="B31" s="30">
        <f>الإعدادات!A24</f>
        <v/>
      </c>
      <c r="C31" s="31">
        <f>COUNTIFS('سجل التحفيز'!$AC$5:$AC$2004,"&gt;0",'سجل التحفيز'!$C$5:$C$2004,B31,'سجل التحفيز'!$D$5:$D$2004,"أساسي")</f>
        <v/>
      </c>
      <c r="D31" s="31">
        <f>COUNTIFS('سجل التحفيز'!$AC$5:$AC$2004,"&gt;0",'سجل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التحفيز'!$AC$5:$AC$2004,"&gt;0",'سجل التحفيز'!$C$5:$C$2004,B31)</f>
        <v/>
      </c>
    </row>
    <row r="32">
      <c r="B32" s="30">
        <f>الإعدادات!A25</f>
        <v/>
      </c>
      <c r="C32" s="31">
        <f>COUNTIFS('سجل التحفيز'!$AC$5:$AC$2004,"&gt;0",'سجل التحفيز'!$C$5:$C$2004,B32,'سجل التحفيز'!$D$5:$D$2004,"أساسي")</f>
        <v/>
      </c>
      <c r="D32" s="31">
        <f>COUNTIFS('سجل التحفيز'!$AC$5:$AC$2004,"&gt;0",'سجل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التحفيز'!$AC$5:$AC$2004,"&gt;0",'سجل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الموظفات المُكرَّمات ضمن فترة التقرير</t>
        </is>
      </c>
      <c r="K36" s="29" t="inlineStr">
        <is>
          <t>تفاصيل التكريمات ضمن فترة التقرير</t>
        </is>
      </c>
    </row>
    <row r="37">
      <c r="B37" s="13" t="inlineStr">
        <is>
          <t>اسم الموظفة</t>
        </is>
      </c>
      <c r="C37" s="13" t="inlineStr">
        <is>
          <t>القسم</t>
        </is>
      </c>
      <c r="D37" s="13" t="inlineStr">
        <is>
          <t>عدد التكريمات</t>
        </is>
      </c>
      <c r="E37" s="13" t="inlineStr">
        <is>
          <t>معايير ذهبية</t>
        </is>
      </c>
      <c r="F37" s="13" t="inlineStr">
        <is>
          <t>القيمة (ر.ق)</t>
        </is>
      </c>
      <c r="G37" s="13" t="inlineStr">
        <is>
          <t>الترتيب</t>
        </is>
      </c>
      <c r="H37" s="13" t="inlineStr">
        <is>
          <t>أمري تدللي (السنة)</t>
        </is>
      </c>
      <c r="K37" s="13" t="inlineStr">
        <is>
          <t>م</t>
        </is>
      </c>
      <c r="L37" s="13" t="inlineStr">
        <is>
          <t>التاريخ</t>
        </is>
      </c>
      <c r="M37" s="13" t="inlineStr">
        <is>
          <t>اسم الموظفة</t>
        </is>
      </c>
      <c r="N37" s="13" t="inlineStr">
        <is>
          <t>القسم</t>
        </is>
      </c>
      <c r="O37" s="13" t="inlineStr">
        <is>
          <t>المجال</t>
        </is>
      </c>
      <c r="P37" s="13" t="inlineStr">
        <is>
          <t>المستوى</t>
        </is>
      </c>
      <c r="Q37" s="13" t="inlineStr">
        <is>
          <t>المعيار المحقق</t>
        </is>
      </c>
      <c r="R37" s="13" t="inlineStr">
        <is>
          <t>المكافأة الممنوحة</t>
        </is>
      </c>
      <c r="S37" s="13" t="inlineStr">
        <is>
          <t>القيمة (ر.ق)</t>
        </is>
      </c>
    </row>
    <row r="38">
      <c r="B38" s="34">
        <f>IFERROR(INDEX(الموظفات!$B$5:$B$304,MATCH(1,الموظفات!$W$5:$W$304,0)),"")</f>
        <v/>
      </c>
      <c r="C38" s="34">
        <f>IF(B38="","",INDEX(الموظفات!$D$5:$D$304,MATCH(B38,الموظفات!$B$5:$B$304,0))&amp;"")</f>
        <v/>
      </c>
      <c r="D38" s="35">
        <f>IF(B38="","",COUNTIFS('سجل التحفيز'!$AC$5:$AC$2004,"&gt;0",'سجل التحفيز'!$B$5:$B$2004,B38))</f>
        <v/>
      </c>
      <c r="E38" s="35">
        <f>IF(B38="","",COUNTIFS('سجل التحفيز'!$AC$5:$AC$2004,"&gt;0",'سجل التحفيز'!$B$5:$B$2004,B38,'سجل التحفيز'!$D$5:$D$2004,"ذهبي"))</f>
        <v/>
      </c>
      <c r="F38" s="35">
        <f>IF(B38="","",SUMIFS('سجل التحفيز'!$G$5:$G$2004,'سجل التحفيز'!$AC$5:$AC$2004,"&gt;0",'سجل التحفيز'!$B$5:$B$2004,B38))</f>
        <v/>
      </c>
      <c r="G38" s="35">
        <f>IF(B38="","",COUNTIF($D$38:$D$187,"&gt;"&amp;D38)+1)</f>
        <v/>
      </c>
      <c r="H38" s="35">
        <f>IF(B38="","",INDEX(الموظفات!$L$5:$L$304,MATCH(B38,الموظفات!$B$5:$B$304,0)))</f>
        <v/>
      </c>
      <c r="K38" s="36">
        <f>IF(1&gt;$B$10,"",1)</f>
        <v/>
      </c>
      <c r="L38" s="37">
        <f>IF($K38="","",INDEX('سجل التحفيز'!$A$5:$A$2004,MATCH($K38,'سجل التحفيز'!$AC$5:$AC$2004,0)))</f>
        <v/>
      </c>
      <c r="M38" s="9">
        <f>IF($K38="","",INDEX('سجل التحفيز'!$B$5:$B$2004,MATCH($K38,'سجل التحفيز'!$AC$5:$AC$2004,0)))</f>
        <v/>
      </c>
      <c r="N38" s="9">
        <f>IF($K38="","",INDEX('سجل التحفيز'!$M$5:$M$2004,MATCH($K38,'سجل التحفيز'!$AC$5:$AC$2004,0)))</f>
        <v/>
      </c>
      <c r="O38" s="9">
        <f>IF($K38="","",INDEX('سجل التحفيز'!$C$5:$C$2004,MATCH($K38,'سجل التحفيز'!$AC$5:$AC$2004,0)))</f>
        <v/>
      </c>
      <c r="P38" s="36">
        <f>IF($K38="","",INDEX('سجل التحفيز'!$D$5:$D$2004,MATCH($K38,'سجل التحفيز'!$AC$5:$AC$2004,0)))</f>
        <v/>
      </c>
      <c r="Q38" s="9">
        <f>IF($K38="","",INDEX('سجل التحفيز'!$E$5:$E$2004,MATCH($K38,'سجل التحفيز'!$AC$5:$AC$2004,0)))</f>
        <v/>
      </c>
      <c r="R38" s="9">
        <f>IF($K38="","",INDEX('سجل التحفيز'!$F$5:$F$2004,MATCH($K38,'سجل التحفيز'!$AC$5:$AC$2004,0)))</f>
        <v/>
      </c>
      <c r="S38" s="35">
        <f>IF($K38="","",INDEX('سجل التحفيز'!$G$5:$G$2004,MATCH($K38,'سجل التحفيز'!$AC$5:$AC$2004,0)))</f>
        <v/>
      </c>
    </row>
    <row r="39">
      <c r="B39" s="34">
        <f>IFERROR(INDEX(الموظفات!$B$5:$B$304,MATCH(2,الموظفات!$W$5:$W$304,0)),"")</f>
        <v/>
      </c>
      <c r="C39" s="34">
        <f>IF(B39="","",INDEX(الموظفات!$D$5:$D$304,MATCH(B39,الموظفات!$B$5:$B$304,0))&amp;"")</f>
        <v/>
      </c>
      <c r="D39" s="35">
        <f>IF(B39="","",COUNTIFS('سجل التحفيز'!$AC$5:$AC$2004,"&gt;0",'سجل التحفيز'!$B$5:$B$2004,B39))</f>
        <v/>
      </c>
      <c r="E39" s="35">
        <f>IF(B39="","",COUNTIFS('سجل التحفيز'!$AC$5:$AC$2004,"&gt;0",'سجل التحفيز'!$B$5:$B$2004,B39,'سجل التحفيز'!$D$5:$D$2004,"ذهبي"))</f>
        <v/>
      </c>
      <c r="F39" s="35">
        <f>IF(B39="","",SUMIFS('سجل التحفيز'!$G$5:$G$2004,'سجل التحفيز'!$AC$5:$AC$2004,"&gt;0",'سجل التحفيز'!$B$5:$B$2004,B39))</f>
        <v/>
      </c>
      <c r="G39" s="35">
        <f>IF(B39="","",COUNTIF($D$38:$D$187,"&gt;"&amp;D39)+1)</f>
        <v/>
      </c>
      <c r="H39" s="35">
        <f>IF(B39="","",INDEX(الموظفات!$L$5:$L$304,MATCH(B39,الموظفات!$B$5:$B$304,0)))</f>
        <v/>
      </c>
      <c r="K39" s="36">
        <f>IF(2&gt;$B$10,"",2)</f>
        <v/>
      </c>
      <c r="L39" s="37">
        <f>IF($K39="","",INDEX('سجل التحفيز'!$A$5:$A$2004,MATCH($K39,'سجل التحفيز'!$AC$5:$AC$2004,0)))</f>
        <v/>
      </c>
      <c r="M39" s="9">
        <f>IF($K39="","",INDEX('سجل التحفيز'!$B$5:$B$2004,MATCH($K39,'سجل التحفيز'!$AC$5:$AC$2004,0)))</f>
        <v/>
      </c>
      <c r="N39" s="9">
        <f>IF($K39="","",INDEX('سجل التحفيز'!$M$5:$M$2004,MATCH($K39,'سجل التحفيز'!$AC$5:$AC$2004,0)))</f>
        <v/>
      </c>
      <c r="O39" s="9">
        <f>IF($K39="","",INDEX('سجل التحفيز'!$C$5:$C$2004,MATCH($K39,'سجل التحفيز'!$AC$5:$AC$2004,0)))</f>
        <v/>
      </c>
      <c r="P39" s="36">
        <f>IF($K39="","",INDEX('سجل التحفيز'!$D$5:$D$2004,MATCH($K39,'سجل التحفيز'!$AC$5:$AC$2004,0)))</f>
        <v/>
      </c>
      <c r="Q39" s="9">
        <f>IF($K39="","",INDEX('سجل التحفيز'!$E$5:$E$2004,MATCH($K39,'سجل التحفيز'!$AC$5:$AC$2004,0)))</f>
        <v/>
      </c>
      <c r="R39" s="9">
        <f>IF($K39="","",INDEX('سجل التحفيز'!$F$5:$F$2004,MATCH($K39,'سجل التحفيز'!$AC$5:$AC$2004,0)))</f>
        <v/>
      </c>
      <c r="S39" s="35">
        <f>IF($K39="","",INDEX('سجل التحفيز'!$G$5:$G$2004,MATCH($K39,'سجل التحفيز'!$AC$5:$AC$2004,0)))</f>
        <v/>
      </c>
    </row>
    <row r="40">
      <c r="B40" s="34">
        <f>IFERROR(INDEX(الموظفات!$B$5:$B$304,MATCH(3,الموظفات!$W$5:$W$304,0)),"")</f>
        <v/>
      </c>
      <c r="C40" s="34">
        <f>IF(B40="","",INDEX(الموظفات!$D$5:$D$304,MATCH(B40,الموظفات!$B$5:$B$304,0))&amp;"")</f>
        <v/>
      </c>
      <c r="D40" s="35">
        <f>IF(B40="","",COUNTIFS('سجل التحفيز'!$AC$5:$AC$2004,"&gt;0",'سجل التحفيز'!$B$5:$B$2004,B40))</f>
        <v/>
      </c>
      <c r="E40" s="35">
        <f>IF(B40="","",COUNTIFS('سجل التحفيز'!$AC$5:$AC$2004,"&gt;0",'سجل التحفيز'!$B$5:$B$2004,B40,'سجل التحفيز'!$D$5:$D$2004,"ذهبي"))</f>
        <v/>
      </c>
      <c r="F40" s="35">
        <f>IF(B40="","",SUMIFS('سجل التحفيز'!$G$5:$G$2004,'سجل التحفيز'!$AC$5:$AC$2004,"&gt;0",'سجل التحفيز'!$B$5:$B$2004,B40))</f>
        <v/>
      </c>
      <c r="G40" s="35">
        <f>IF(B40="","",COUNTIF($D$38:$D$187,"&gt;"&amp;D40)+1)</f>
        <v/>
      </c>
      <c r="H40" s="35">
        <f>IF(B40="","",INDEX(الموظفات!$L$5:$L$304,MATCH(B40,الموظفات!$B$5:$B$304,0)))</f>
        <v/>
      </c>
      <c r="K40" s="36">
        <f>IF(3&gt;$B$10,"",3)</f>
        <v/>
      </c>
      <c r="L40" s="37">
        <f>IF($K40="","",INDEX('سجل التحفيز'!$A$5:$A$2004,MATCH($K40,'سجل التحفيز'!$AC$5:$AC$2004,0)))</f>
        <v/>
      </c>
      <c r="M40" s="9">
        <f>IF($K40="","",INDEX('سجل التحفيز'!$B$5:$B$2004,MATCH($K40,'سجل التحفيز'!$AC$5:$AC$2004,0)))</f>
        <v/>
      </c>
      <c r="N40" s="9">
        <f>IF($K40="","",INDEX('سجل التحفيز'!$M$5:$M$2004,MATCH($K40,'سجل التحفيز'!$AC$5:$AC$2004,0)))</f>
        <v/>
      </c>
      <c r="O40" s="9">
        <f>IF($K40="","",INDEX('سجل التحفيز'!$C$5:$C$2004,MATCH($K40,'سجل التحفيز'!$AC$5:$AC$2004,0)))</f>
        <v/>
      </c>
      <c r="P40" s="36">
        <f>IF($K40="","",INDEX('سجل التحفيز'!$D$5:$D$2004,MATCH($K40,'سجل التحفيز'!$AC$5:$AC$2004,0)))</f>
        <v/>
      </c>
      <c r="Q40" s="9">
        <f>IF($K40="","",INDEX('سجل التحفيز'!$E$5:$E$2004,MATCH($K40,'سجل التحفيز'!$AC$5:$AC$2004,0)))</f>
        <v/>
      </c>
      <c r="R40" s="9">
        <f>IF($K40="","",INDEX('سجل التحفيز'!$F$5:$F$2004,MATCH($K40,'سجل التحفيز'!$AC$5:$AC$2004,0)))</f>
        <v/>
      </c>
      <c r="S40" s="35">
        <f>IF($K40="","",INDEX('سجل التحفيز'!$G$5:$G$2004,MATCH($K40,'سجل التحفيز'!$AC$5:$AC$2004,0)))</f>
        <v/>
      </c>
    </row>
    <row r="41">
      <c r="B41" s="34">
        <f>IFERROR(INDEX(الموظفات!$B$5:$B$304,MATCH(4,الموظفات!$W$5:$W$304,0)),"")</f>
        <v/>
      </c>
      <c r="C41" s="34">
        <f>IF(B41="","",INDEX(الموظفات!$D$5:$D$304,MATCH(B41,الموظفات!$B$5:$B$304,0))&amp;"")</f>
        <v/>
      </c>
      <c r="D41" s="35">
        <f>IF(B41="","",COUNTIFS('سجل التحفيز'!$AC$5:$AC$2004,"&gt;0",'سجل التحفيز'!$B$5:$B$2004,B41))</f>
        <v/>
      </c>
      <c r="E41" s="35">
        <f>IF(B41="","",COUNTIFS('سجل التحفيز'!$AC$5:$AC$2004,"&gt;0",'سجل التحفيز'!$B$5:$B$2004,B41,'سجل التحفيز'!$D$5:$D$2004,"ذهبي"))</f>
        <v/>
      </c>
      <c r="F41" s="35">
        <f>IF(B41="","",SUMIFS('سجل التحفيز'!$G$5:$G$2004,'سجل التحفيز'!$AC$5:$AC$2004,"&gt;0",'سجل التحفيز'!$B$5:$B$2004,B41))</f>
        <v/>
      </c>
      <c r="G41" s="35">
        <f>IF(B41="","",COUNTIF($D$38:$D$187,"&gt;"&amp;D41)+1)</f>
        <v/>
      </c>
      <c r="H41" s="35">
        <f>IF(B41="","",INDEX(الموظفات!$L$5:$L$304,MATCH(B41,الموظفات!$B$5:$B$304,0)))</f>
        <v/>
      </c>
      <c r="K41" s="36">
        <f>IF(4&gt;$B$10,"",4)</f>
        <v/>
      </c>
      <c r="L41" s="37">
        <f>IF($K41="","",INDEX('سجل التحفيز'!$A$5:$A$2004,MATCH($K41,'سجل التحفيز'!$AC$5:$AC$2004,0)))</f>
        <v/>
      </c>
      <c r="M41" s="9">
        <f>IF($K41="","",INDEX('سجل التحفيز'!$B$5:$B$2004,MATCH($K41,'سجل التحفيز'!$AC$5:$AC$2004,0)))</f>
        <v/>
      </c>
      <c r="N41" s="9">
        <f>IF($K41="","",INDEX('سجل التحفيز'!$M$5:$M$2004,MATCH($K41,'سجل التحفيز'!$AC$5:$AC$2004,0)))</f>
        <v/>
      </c>
      <c r="O41" s="9">
        <f>IF($K41="","",INDEX('سجل التحفيز'!$C$5:$C$2004,MATCH($K41,'سجل التحفيز'!$AC$5:$AC$2004,0)))</f>
        <v/>
      </c>
      <c r="P41" s="36">
        <f>IF($K41="","",INDEX('سجل التحفيز'!$D$5:$D$2004,MATCH($K41,'سجل التحفيز'!$AC$5:$AC$2004,0)))</f>
        <v/>
      </c>
      <c r="Q41" s="9">
        <f>IF($K41="","",INDEX('سجل التحفيز'!$E$5:$E$2004,MATCH($K41,'سجل التحفيز'!$AC$5:$AC$2004,0)))</f>
        <v/>
      </c>
      <c r="R41" s="9">
        <f>IF($K41="","",INDEX('سجل التحفيز'!$F$5:$F$2004,MATCH($K41,'سجل التحفيز'!$AC$5:$AC$2004,0)))</f>
        <v/>
      </c>
      <c r="S41" s="35">
        <f>IF($K41="","",INDEX('سجل التحفيز'!$G$5:$G$2004,MATCH($K41,'سجل التحفيز'!$AC$5:$AC$2004,0)))</f>
        <v/>
      </c>
    </row>
    <row r="42">
      <c r="B42" s="34">
        <f>IFERROR(INDEX(الموظفات!$B$5:$B$304,MATCH(5,الموظفات!$W$5:$W$304,0)),"")</f>
        <v/>
      </c>
      <c r="C42" s="34">
        <f>IF(B42="","",INDEX(الموظفات!$D$5:$D$304,MATCH(B42,الموظفات!$B$5:$B$304,0))&amp;"")</f>
        <v/>
      </c>
      <c r="D42" s="35">
        <f>IF(B42="","",COUNTIFS('سجل التحفيز'!$AC$5:$AC$2004,"&gt;0",'سجل التحفيز'!$B$5:$B$2004,B42))</f>
        <v/>
      </c>
      <c r="E42" s="35">
        <f>IF(B42="","",COUNTIFS('سجل التحفيز'!$AC$5:$AC$2004,"&gt;0",'سجل التحفيز'!$B$5:$B$2004,B42,'سجل التحفيز'!$D$5:$D$2004,"ذهبي"))</f>
        <v/>
      </c>
      <c r="F42" s="35">
        <f>IF(B42="","",SUMIFS('سجل التحفيز'!$G$5:$G$2004,'سجل التحفيز'!$AC$5:$AC$2004,"&gt;0",'سجل التحفيز'!$B$5:$B$2004,B42))</f>
        <v/>
      </c>
      <c r="G42" s="35">
        <f>IF(B42="","",COUNTIF($D$38:$D$187,"&gt;"&amp;D42)+1)</f>
        <v/>
      </c>
      <c r="H42" s="35">
        <f>IF(B42="","",INDEX(الموظفات!$L$5:$L$304,MATCH(B42,الموظفات!$B$5:$B$304,0)))</f>
        <v/>
      </c>
      <c r="K42" s="36">
        <f>IF(5&gt;$B$10,"",5)</f>
        <v/>
      </c>
      <c r="L42" s="37">
        <f>IF($K42="","",INDEX('سجل التحفيز'!$A$5:$A$2004,MATCH($K42,'سجل التحفيز'!$AC$5:$AC$2004,0)))</f>
        <v/>
      </c>
      <c r="M42" s="9">
        <f>IF($K42="","",INDEX('سجل التحفيز'!$B$5:$B$2004,MATCH($K42,'سجل التحفيز'!$AC$5:$AC$2004,0)))</f>
        <v/>
      </c>
      <c r="N42" s="9">
        <f>IF($K42="","",INDEX('سجل التحفيز'!$M$5:$M$2004,MATCH($K42,'سجل التحفيز'!$AC$5:$AC$2004,0)))</f>
        <v/>
      </c>
      <c r="O42" s="9">
        <f>IF($K42="","",INDEX('سجل التحفيز'!$C$5:$C$2004,MATCH($K42,'سجل التحفيز'!$AC$5:$AC$2004,0)))</f>
        <v/>
      </c>
      <c r="P42" s="36">
        <f>IF($K42="","",INDEX('سجل التحفيز'!$D$5:$D$2004,MATCH($K42,'سجل التحفيز'!$AC$5:$AC$2004,0)))</f>
        <v/>
      </c>
      <c r="Q42" s="9">
        <f>IF($K42="","",INDEX('سجل التحفيز'!$E$5:$E$2004,MATCH($K42,'سجل التحفيز'!$AC$5:$AC$2004,0)))</f>
        <v/>
      </c>
      <c r="R42" s="9">
        <f>IF($K42="","",INDEX('سجل التحفيز'!$F$5:$F$2004,MATCH($K42,'سجل التحفيز'!$AC$5:$AC$2004,0)))</f>
        <v/>
      </c>
      <c r="S42" s="35">
        <f>IF($K42="","",INDEX('سجل التحفيز'!$G$5:$G$2004,MATCH($K42,'سجل التحفيز'!$AC$5:$AC$2004,0)))</f>
        <v/>
      </c>
    </row>
    <row r="43">
      <c r="B43" s="34">
        <f>IFERROR(INDEX(الموظفات!$B$5:$B$304,MATCH(6,الموظفات!$W$5:$W$304,0)),"")</f>
        <v/>
      </c>
      <c r="C43" s="34">
        <f>IF(B43="","",INDEX(الموظفات!$D$5:$D$304,MATCH(B43,الموظفات!$B$5:$B$304,0))&amp;"")</f>
        <v/>
      </c>
      <c r="D43" s="35">
        <f>IF(B43="","",COUNTIFS('سجل التحفيز'!$AC$5:$AC$2004,"&gt;0",'سجل التحفيز'!$B$5:$B$2004,B43))</f>
        <v/>
      </c>
      <c r="E43" s="35">
        <f>IF(B43="","",COUNTIFS('سجل التحفيز'!$AC$5:$AC$2004,"&gt;0",'سجل التحفيز'!$B$5:$B$2004,B43,'سجل التحفيز'!$D$5:$D$2004,"ذهبي"))</f>
        <v/>
      </c>
      <c r="F43" s="35">
        <f>IF(B43="","",SUMIFS('سجل التحفيز'!$G$5:$G$2004,'سجل التحفيز'!$AC$5:$AC$2004,"&gt;0",'سجل التحفيز'!$B$5:$B$2004,B43))</f>
        <v/>
      </c>
      <c r="G43" s="35">
        <f>IF(B43="","",COUNTIF($D$38:$D$187,"&gt;"&amp;D43)+1)</f>
        <v/>
      </c>
      <c r="H43" s="35">
        <f>IF(B43="","",INDEX(الموظفات!$L$5:$L$304,MATCH(B43,الموظفات!$B$5:$B$304,0)))</f>
        <v/>
      </c>
      <c r="K43" s="36">
        <f>IF(6&gt;$B$10,"",6)</f>
        <v/>
      </c>
      <c r="L43" s="37">
        <f>IF($K43="","",INDEX('سجل التحفيز'!$A$5:$A$2004,MATCH($K43,'سجل التحفيز'!$AC$5:$AC$2004,0)))</f>
        <v/>
      </c>
      <c r="M43" s="9">
        <f>IF($K43="","",INDEX('سجل التحفيز'!$B$5:$B$2004,MATCH($K43,'سجل التحفيز'!$AC$5:$AC$2004,0)))</f>
        <v/>
      </c>
      <c r="N43" s="9">
        <f>IF($K43="","",INDEX('سجل التحفيز'!$M$5:$M$2004,MATCH($K43,'سجل التحفيز'!$AC$5:$AC$2004,0)))</f>
        <v/>
      </c>
      <c r="O43" s="9">
        <f>IF($K43="","",INDEX('سجل التحفيز'!$C$5:$C$2004,MATCH($K43,'سجل التحفيز'!$AC$5:$AC$2004,0)))</f>
        <v/>
      </c>
      <c r="P43" s="36">
        <f>IF($K43="","",INDEX('سجل التحفيز'!$D$5:$D$2004,MATCH($K43,'سجل التحفيز'!$AC$5:$AC$2004,0)))</f>
        <v/>
      </c>
      <c r="Q43" s="9">
        <f>IF($K43="","",INDEX('سجل التحفيز'!$E$5:$E$2004,MATCH($K43,'سجل التحفيز'!$AC$5:$AC$2004,0)))</f>
        <v/>
      </c>
      <c r="R43" s="9">
        <f>IF($K43="","",INDEX('سجل التحفيز'!$F$5:$F$2004,MATCH($K43,'سجل التحفيز'!$AC$5:$AC$2004,0)))</f>
        <v/>
      </c>
      <c r="S43" s="35">
        <f>IF($K43="","",INDEX('سجل التحفيز'!$G$5:$G$2004,MATCH($K43,'سجل التحفيز'!$AC$5:$AC$2004,0)))</f>
        <v/>
      </c>
    </row>
    <row r="44">
      <c r="B44" s="34">
        <f>IFERROR(INDEX(الموظفات!$B$5:$B$304,MATCH(7,الموظفات!$W$5:$W$304,0)),"")</f>
        <v/>
      </c>
      <c r="C44" s="34">
        <f>IF(B44="","",INDEX(الموظفات!$D$5:$D$304,MATCH(B44,الموظفات!$B$5:$B$304,0))&amp;"")</f>
        <v/>
      </c>
      <c r="D44" s="35">
        <f>IF(B44="","",COUNTIFS('سجل التحفيز'!$AC$5:$AC$2004,"&gt;0",'سجل التحفيز'!$B$5:$B$2004,B44))</f>
        <v/>
      </c>
      <c r="E44" s="35">
        <f>IF(B44="","",COUNTIFS('سجل التحفيز'!$AC$5:$AC$2004,"&gt;0",'سجل التحفيز'!$B$5:$B$2004,B44,'سجل التحفيز'!$D$5:$D$2004,"ذهبي"))</f>
        <v/>
      </c>
      <c r="F44" s="35">
        <f>IF(B44="","",SUMIFS('سجل التحفيز'!$G$5:$G$2004,'سجل التحفيز'!$AC$5:$AC$2004,"&gt;0",'سجل التحفيز'!$B$5:$B$2004,B44))</f>
        <v/>
      </c>
      <c r="G44" s="35">
        <f>IF(B44="","",COUNTIF($D$38:$D$187,"&gt;"&amp;D44)+1)</f>
        <v/>
      </c>
      <c r="H44" s="35">
        <f>IF(B44="","",INDEX(الموظفات!$L$5:$L$304,MATCH(B44,الموظفات!$B$5:$B$304,0)))</f>
        <v/>
      </c>
      <c r="K44" s="36">
        <f>IF(7&gt;$B$10,"",7)</f>
        <v/>
      </c>
      <c r="L44" s="37">
        <f>IF($K44="","",INDEX('سجل التحفيز'!$A$5:$A$2004,MATCH($K44,'سجل التحفيز'!$AC$5:$AC$2004,0)))</f>
        <v/>
      </c>
      <c r="M44" s="9">
        <f>IF($K44="","",INDEX('سجل التحفيز'!$B$5:$B$2004,MATCH($K44,'سجل التحفيز'!$AC$5:$AC$2004,0)))</f>
        <v/>
      </c>
      <c r="N44" s="9">
        <f>IF($K44="","",INDEX('سجل التحفيز'!$M$5:$M$2004,MATCH($K44,'سجل التحفيز'!$AC$5:$AC$2004,0)))</f>
        <v/>
      </c>
      <c r="O44" s="9">
        <f>IF($K44="","",INDEX('سجل التحفيز'!$C$5:$C$2004,MATCH($K44,'سجل التحفيز'!$AC$5:$AC$2004,0)))</f>
        <v/>
      </c>
      <c r="P44" s="36">
        <f>IF($K44="","",INDEX('سجل التحفيز'!$D$5:$D$2004,MATCH($K44,'سجل التحفيز'!$AC$5:$AC$2004,0)))</f>
        <v/>
      </c>
      <c r="Q44" s="9">
        <f>IF($K44="","",INDEX('سجل التحفيز'!$E$5:$E$2004,MATCH($K44,'سجل التحفيز'!$AC$5:$AC$2004,0)))</f>
        <v/>
      </c>
      <c r="R44" s="9">
        <f>IF($K44="","",INDEX('سجل التحفيز'!$F$5:$F$2004,MATCH($K44,'سجل التحفيز'!$AC$5:$AC$2004,0)))</f>
        <v/>
      </c>
      <c r="S44" s="35">
        <f>IF($K44="","",INDEX('سجل التحفيز'!$G$5:$G$2004,MATCH($K44,'سجل التحفيز'!$AC$5:$AC$2004,0)))</f>
        <v/>
      </c>
    </row>
    <row r="45">
      <c r="B45" s="34">
        <f>IFERROR(INDEX(الموظفات!$B$5:$B$304,MATCH(8,الموظفات!$W$5:$W$304,0)),"")</f>
        <v/>
      </c>
      <c r="C45" s="34">
        <f>IF(B45="","",INDEX(الموظفات!$D$5:$D$304,MATCH(B45,الموظفات!$B$5:$B$304,0))&amp;"")</f>
        <v/>
      </c>
      <c r="D45" s="35">
        <f>IF(B45="","",COUNTIFS('سجل التحفيز'!$AC$5:$AC$2004,"&gt;0",'سجل التحفيز'!$B$5:$B$2004,B45))</f>
        <v/>
      </c>
      <c r="E45" s="35">
        <f>IF(B45="","",COUNTIFS('سجل التحفيز'!$AC$5:$AC$2004,"&gt;0",'سجل التحفيز'!$B$5:$B$2004,B45,'سجل التحفيز'!$D$5:$D$2004,"ذهبي"))</f>
        <v/>
      </c>
      <c r="F45" s="35">
        <f>IF(B45="","",SUMIFS('سجل التحفيز'!$G$5:$G$2004,'سجل التحفيز'!$AC$5:$AC$2004,"&gt;0",'سجل التحفيز'!$B$5:$B$2004,B45))</f>
        <v/>
      </c>
      <c r="G45" s="35">
        <f>IF(B45="","",COUNTIF($D$38:$D$187,"&gt;"&amp;D45)+1)</f>
        <v/>
      </c>
      <c r="H45" s="35">
        <f>IF(B45="","",INDEX(الموظفات!$L$5:$L$304,MATCH(B45,الموظفات!$B$5:$B$304,0)))</f>
        <v/>
      </c>
      <c r="K45" s="36">
        <f>IF(8&gt;$B$10,"",8)</f>
        <v/>
      </c>
      <c r="L45" s="37">
        <f>IF($K45="","",INDEX('سجل التحفيز'!$A$5:$A$2004,MATCH($K45,'سجل التحفيز'!$AC$5:$AC$2004,0)))</f>
        <v/>
      </c>
      <c r="M45" s="9">
        <f>IF($K45="","",INDEX('سجل التحفيز'!$B$5:$B$2004,MATCH($K45,'سجل التحفيز'!$AC$5:$AC$2004,0)))</f>
        <v/>
      </c>
      <c r="N45" s="9">
        <f>IF($K45="","",INDEX('سجل التحفيز'!$M$5:$M$2004,MATCH($K45,'سجل التحفيز'!$AC$5:$AC$2004,0)))</f>
        <v/>
      </c>
      <c r="O45" s="9">
        <f>IF($K45="","",INDEX('سجل التحفيز'!$C$5:$C$2004,MATCH($K45,'سجل التحفيز'!$AC$5:$AC$2004,0)))</f>
        <v/>
      </c>
      <c r="P45" s="36">
        <f>IF($K45="","",INDEX('سجل التحفيز'!$D$5:$D$2004,MATCH($K45,'سجل التحفيز'!$AC$5:$AC$2004,0)))</f>
        <v/>
      </c>
      <c r="Q45" s="9">
        <f>IF($K45="","",INDEX('سجل التحفيز'!$E$5:$E$2004,MATCH($K45,'سجل التحفيز'!$AC$5:$AC$2004,0)))</f>
        <v/>
      </c>
      <c r="R45" s="9">
        <f>IF($K45="","",INDEX('سجل التحفيز'!$F$5:$F$2004,MATCH($K45,'سجل التحفيز'!$AC$5:$AC$2004,0)))</f>
        <v/>
      </c>
      <c r="S45" s="35">
        <f>IF($K45="","",INDEX('سجل التحفيز'!$G$5:$G$2004,MATCH($K45,'سجل التحفيز'!$AC$5:$AC$2004,0)))</f>
        <v/>
      </c>
    </row>
    <row r="46">
      <c r="B46" s="34">
        <f>IFERROR(INDEX(الموظفات!$B$5:$B$304,MATCH(9,الموظفات!$W$5:$W$304,0)),"")</f>
        <v/>
      </c>
      <c r="C46" s="34">
        <f>IF(B46="","",INDEX(الموظفات!$D$5:$D$304,MATCH(B46,الموظفات!$B$5:$B$304,0))&amp;"")</f>
        <v/>
      </c>
      <c r="D46" s="35">
        <f>IF(B46="","",COUNTIFS('سجل التحفيز'!$AC$5:$AC$2004,"&gt;0",'سجل التحفيز'!$B$5:$B$2004,B46))</f>
        <v/>
      </c>
      <c r="E46" s="35">
        <f>IF(B46="","",COUNTIFS('سجل التحفيز'!$AC$5:$AC$2004,"&gt;0",'سجل التحفيز'!$B$5:$B$2004,B46,'سجل التحفيز'!$D$5:$D$2004,"ذهبي"))</f>
        <v/>
      </c>
      <c r="F46" s="35">
        <f>IF(B46="","",SUMIFS('سجل التحفيز'!$G$5:$G$2004,'سجل التحفيز'!$AC$5:$AC$2004,"&gt;0",'سجل التحفيز'!$B$5:$B$2004,B46))</f>
        <v/>
      </c>
      <c r="G46" s="35">
        <f>IF(B46="","",COUNTIF($D$38:$D$187,"&gt;"&amp;D46)+1)</f>
        <v/>
      </c>
      <c r="H46" s="35">
        <f>IF(B46="","",INDEX(الموظفات!$L$5:$L$304,MATCH(B46,الموظفات!$B$5:$B$304,0)))</f>
        <v/>
      </c>
      <c r="K46" s="36">
        <f>IF(9&gt;$B$10,"",9)</f>
        <v/>
      </c>
      <c r="L46" s="37">
        <f>IF($K46="","",INDEX('سجل التحفيز'!$A$5:$A$2004,MATCH($K46,'سجل التحفيز'!$AC$5:$AC$2004,0)))</f>
        <v/>
      </c>
      <c r="M46" s="9">
        <f>IF($K46="","",INDEX('سجل التحفيز'!$B$5:$B$2004,MATCH($K46,'سجل التحفيز'!$AC$5:$AC$2004,0)))</f>
        <v/>
      </c>
      <c r="N46" s="9">
        <f>IF($K46="","",INDEX('سجل التحفيز'!$M$5:$M$2004,MATCH($K46,'سجل التحفيز'!$AC$5:$AC$2004,0)))</f>
        <v/>
      </c>
      <c r="O46" s="9">
        <f>IF($K46="","",INDEX('سجل التحفيز'!$C$5:$C$2004,MATCH($K46,'سجل التحفيز'!$AC$5:$AC$2004,0)))</f>
        <v/>
      </c>
      <c r="P46" s="36">
        <f>IF($K46="","",INDEX('سجل التحفيز'!$D$5:$D$2004,MATCH($K46,'سجل التحفيز'!$AC$5:$AC$2004,0)))</f>
        <v/>
      </c>
      <c r="Q46" s="9">
        <f>IF($K46="","",INDEX('سجل التحفيز'!$E$5:$E$2004,MATCH($K46,'سجل التحفيز'!$AC$5:$AC$2004,0)))</f>
        <v/>
      </c>
      <c r="R46" s="9">
        <f>IF($K46="","",INDEX('سجل التحفيز'!$F$5:$F$2004,MATCH($K46,'سجل التحفيز'!$AC$5:$AC$2004,0)))</f>
        <v/>
      </c>
      <c r="S46" s="35">
        <f>IF($K46="","",INDEX('سجل التحفيز'!$G$5:$G$2004,MATCH($K46,'سجل التحفيز'!$AC$5:$AC$2004,0)))</f>
        <v/>
      </c>
    </row>
    <row r="47">
      <c r="B47" s="34">
        <f>IFERROR(INDEX(الموظفات!$B$5:$B$304,MATCH(10,الموظفات!$W$5:$W$304,0)),"")</f>
        <v/>
      </c>
      <c r="C47" s="34">
        <f>IF(B47="","",INDEX(الموظفات!$D$5:$D$304,MATCH(B47,الموظفات!$B$5:$B$304,0))&amp;"")</f>
        <v/>
      </c>
      <c r="D47" s="35">
        <f>IF(B47="","",COUNTIFS('سجل التحفيز'!$AC$5:$AC$2004,"&gt;0",'سجل التحفيز'!$B$5:$B$2004,B47))</f>
        <v/>
      </c>
      <c r="E47" s="35">
        <f>IF(B47="","",COUNTIFS('سجل التحفيز'!$AC$5:$AC$2004,"&gt;0",'سجل التحفيز'!$B$5:$B$2004,B47,'سجل التحفيز'!$D$5:$D$2004,"ذهبي"))</f>
        <v/>
      </c>
      <c r="F47" s="35">
        <f>IF(B47="","",SUMIFS('سجل التحفيز'!$G$5:$G$2004,'سجل التحفيز'!$AC$5:$AC$2004,"&gt;0",'سجل التحفيز'!$B$5:$B$2004,B47))</f>
        <v/>
      </c>
      <c r="G47" s="35">
        <f>IF(B47="","",COUNTIF($D$38:$D$187,"&gt;"&amp;D47)+1)</f>
        <v/>
      </c>
      <c r="H47" s="35">
        <f>IF(B47="","",INDEX(الموظفات!$L$5:$L$304,MATCH(B47,الموظفات!$B$5:$B$304,0)))</f>
        <v/>
      </c>
      <c r="K47" s="36">
        <f>IF(10&gt;$B$10,"",10)</f>
        <v/>
      </c>
      <c r="L47" s="37">
        <f>IF($K47="","",INDEX('سجل التحفيز'!$A$5:$A$2004,MATCH($K47,'سجل التحفيز'!$AC$5:$AC$2004,0)))</f>
        <v/>
      </c>
      <c r="M47" s="9">
        <f>IF($K47="","",INDEX('سجل التحفيز'!$B$5:$B$2004,MATCH($K47,'سجل التحفيز'!$AC$5:$AC$2004,0)))</f>
        <v/>
      </c>
      <c r="N47" s="9">
        <f>IF($K47="","",INDEX('سجل التحفيز'!$M$5:$M$2004,MATCH($K47,'سجل التحفيز'!$AC$5:$AC$2004,0)))</f>
        <v/>
      </c>
      <c r="O47" s="9">
        <f>IF($K47="","",INDEX('سجل التحفيز'!$C$5:$C$2004,MATCH($K47,'سجل التحفيز'!$AC$5:$AC$2004,0)))</f>
        <v/>
      </c>
      <c r="P47" s="36">
        <f>IF($K47="","",INDEX('سجل التحفيز'!$D$5:$D$2004,MATCH($K47,'سجل التحفيز'!$AC$5:$AC$2004,0)))</f>
        <v/>
      </c>
      <c r="Q47" s="9">
        <f>IF($K47="","",INDEX('سجل التحفيز'!$E$5:$E$2004,MATCH($K47,'سجل التحفيز'!$AC$5:$AC$2004,0)))</f>
        <v/>
      </c>
      <c r="R47" s="9">
        <f>IF($K47="","",INDEX('سجل التحفيز'!$F$5:$F$2004,MATCH($K47,'سجل التحفيز'!$AC$5:$AC$2004,0)))</f>
        <v/>
      </c>
      <c r="S47" s="35">
        <f>IF($K47="","",INDEX('سجل التحفيز'!$G$5:$G$2004,MATCH($K47,'سجل التحفيز'!$AC$5:$AC$2004,0)))</f>
        <v/>
      </c>
    </row>
    <row r="48">
      <c r="B48" s="34">
        <f>IFERROR(INDEX(الموظفات!$B$5:$B$304,MATCH(11,الموظفات!$W$5:$W$304,0)),"")</f>
        <v/>
      </c>
      <c r="C48" s="34">
        <f>IF(B48="","",INDEX(الموظفات!$D$5:$D$304,MATCH(B48,الموظفات!$B$5:$B$304,0))&amp;"")</f>
        <v/>
      </c>
      <c r="D48" s="35">
        <f>IF(B48="","",COUNTIFS('سجل التحفيز'!$AC$5:$AC$2004,"&gt;0",'سجل التحفيز'!$B$5:$B$2004,B48))</f>
        <v/>
      </c>
      <c r="E48" s="35">
        <f>IF(B48="","",COUNTIFS('سجل التحفيز'!$AC$5:$AC$2004,"&gt;0",'سجل التحفيز'!$B$5:$B$2004,B48,'سجل التحفيز'!$D$5:$D$2004,"ذهبي"))</f>
        <v/>
      </c>
      <c r="F48" s="35">
        <f>IF(B48="","",SUMIFS('سجل التحفيز'!$G$5:$G$2004,'سجل التحفيز'!$AC$5:$AC$2004,"&gt;0",'سجل التحفيز'!$B$5:$B$2004,B48))</f>
        <v/>
      </c>
      <c r="G48" s="35">
        <f>IF(B48="","",COUNTIF($D$38:$D$187,"&gt;"&amp;D48)+1)</f>
        <v/>
      </c>
      <c r="H48" s="35">
        <f>IF(B48="","",INDEX(الموظفات!$L$5:$L$304,MATCH(B48,الموظفات!$B$5:$B$304,0)))</f>
        <v/>
      </c>
      <c r="K48" s="36">
        <f>IF(11&gt;$B$10,"",11)</f>
        <v/>
      </c>
      <c r="L48" s="37">
        <f>IF($K48="","",INDEX('سجل التحفيز'!$A$5:$A$2004,MATCH($K48,'سجل التحفيز'!$AC$5:$AC$2004,0)))</f>
        <v/>
      </c>
      <c r="M48" s="9">
        <f>IF($K48="","",INDEX('سجل التحفيز'!$B$5:$B$2004,MATCH($K48,'سجل التحفيز'!$AC$5:$AC$2004,0)))</f>
        <v/>
      </c>
      <c r="N48" s="9">
        <f>IF($K48="","",INDEX('سجل التحفيز'!$M$5:$M$2004,MATCH($K48,'سجل التحفيز'!$AC$5:$AC$2004,0)))</f>
        <v/>
      </c>
      <c r="O48" s="9">
        <f>IF($K48="","",INDEX('سجل التحفيز'!$C$5:$C$2004,MATCH($K48,'سجل التحفيز'!$AC$5:$AC$2004,0)))</f>
        <v/>
      </c>
      <c r="P48" s="36">
        <f>IF($K48="","",INDEX('سجل التحفيز'!$D$5:$D$2004,MATCH($K48,'سجل التحفيز'!$AC$5:$AC$2004,0)))</f>
        <v/>
      </c>
      <c r="Q48" s="9">
        <f>IF($K48="","",INDEX('سجل التحفيز'!$E$5:$E$2004,MATCH($K48,'سجل التحفيز'!$AC$5:$AC$2004,0)))</f>
        <v/>
      </c>
      <c r="R48" s="9">
        <f>IF($K48="","",INDEX('سجل التحفيز'!$F$5:$F$2004,MATCH($K48,'سجل التحفيز'!$AC$5:$AC$2004,0)))</f>
        <v/>
      </c>
      <c r="S48" s="35">
        <f>IF($K48="","",INDEX('سجل التحفيز'!$G$5:$G$2004,MATCH($K48,'سجل التحفيز'!$AC$5:$AC$2004,0)))</f>
        <v/>
      </c>
    </row>
    <row r="49">
      <c r="B49" s="34">
        <f>IFERROR(INDEX(الموظفات!$B$5:$B$304,MATCH(12,الموظفات!$W$5:$W$304,0)),"")</f>
        <v/>
      </c>
      <c r="C49" s="34">
        <f>IF(B49="","",INDEX(الموظفات!$D$5:$D$304,MATCH(B49,الموظفات!$B$5:$B$304,0))&amp;"")</f>
        <v/>
      </c>
      <c r="D49" s="35">
        <f>IF(B49="","",COUNTIFS('سجل التحفيز'!$AC$5:$AC$2004,"&gt;0",'سجل التحفيز'!$B$5:$B$2004,B49))</f>
        <v/>
      </c>
      <c r="E49" s="35">
        <f>IF(B49="","",COUNTIFS('سجل التحفيز'!$AC$5:$AC$2004,"&gt;0",'سجل التحفيز'!$B$5:$B$2004,B49,'سجل التحفيز'!$D$5:$D$2004,"ذهبي"))</f>
        <v/>
      </c>
      <c r="F49" s="35">
        <f>IF(B49="","",SUMIFS('سجل التحفيز'!$G$5:$G$2004,'سجل التحفيز'!$AC$5:$AC$2004,"&gt;0",'سجل التحفيز'!$B$5:$B$2004,B49))</f>
        <v/>
      </c>
      <c r="G49" s="35">
        <f>IF(B49="","",COUNTIF($D$38:$D$187,"&gt;"&amp;D49)+1)</f>
        <v/>
      </c>
      <c r="H49" s="35">
        <f>IF(B49="","",INDEX(الموظفات!$L$5:$L$304,MATCH(B49,الموظفات!$B$5:$B$304,0)))</f>
        <v/>
      </c>
      <c r="K49" s="36">
        <f>IF(12&gt;$B$10,"",12)</f>
        <v/>
      </c>
      <c r="L49" s="37">
        <f>IF($K49="","",INDEX('سجل التحفيز'!$A$5:$A$2004,MATCH($K49,'سجل التحفيز'!$AC$5:$AC$2004,0)))</f>
        <v/>
      </c>
      <c r="M49" s="9">
        <f>IF($K49="","",INDEX('سجل التحفيز'!$B$5:$B$2004,MATCH($K49,'سجل التحفيز'!$AC$5:$AC$2004,0)))</f>
        <v/>
      </c>
      <c r="N49" s="9">
        <f>IF($K49="","",INDEX('سجل التحفيز'!$M$5:$M$2004,MATCH($K49,'سجل التحفيز'!$AC$5:$AC$2004,0)))</f>
        <v/>
      </c>
      <c r="O49" s="9">
        <f>IF($K49="","",INDEX('سجل التحفيز'!$C$5:$C$2004,MATCH($K49,'سجل التحفيز'!$AC$5:$AC$2004,0)))</f>
        <v/>
      </c>
      <c r="P49" s="36">
        <f>IF($K49="","",INDEX('سجل التحفيز'!$D$5:$D$2004,MATCH($K49,'سجل التحفيز'!$AC$5:$AC$2004,0)))</f>
        <v/>
      </c>
      <c r="Q49" s="9">
        <f>IF($K49="","",INDEX('سجل التحفيز'!$E$5:$E$2004,MATCH($K49,'سجل التحفيز'!$AC$5:$AC$2004,0)))</f>
        <v/>
      </c>
      <c r="R49" s="9">
        <f>IF($K49="","",INDEX('سجل التحفيز'!$F$5:$F$2004,MATCH($K49,'سجل التحفيز'!$AC$5:$AC$2004,0)))</f>
        <v/>
      </c>
      <c r="S49" s="35">
        <f>IF($K49="","",INDEX('سجل التحفيز'!$G$5:$G$2004,MATCH($K49,'سجل التحفيز'!$AC$5:$AC$2004,0)))</f>
        <v/>
      </c>
    </row>
    <row r="50">
      <c r="B50" s="34">
        <f>IFERROR(INDEX(الموظفات!$B$5:$B$304,MATCH(13,الموظفات!$W$5:$W$304,0)),"")</f>
        <v/>
      </c>
      <c r="C50" s="34">
        <f>IF(B50="","",INDEX(الموظفات!$D$5:$D$304,MATCH(B50,الموظفات!$B$5:$B$304,0))&amp;"")</f>
        <v/>
      </c>
      <c r="D50" s="35">
        <f>IF(B50="","",COUNTIFS('سجل التحفيز'!$AC$5:$AC$2004,"&gt;0",'سجل التحفيز'!$B$5:$B$2004,B50))</f>
        <v/>
      </c>
      <c r="E50" s="35">
        <f>IF(B50="","",COUNTIFS('سجل التحفيز'!$AC$5:$AC$2004,"&gt;0",'سجل التحفيز'!$B$5:$B$2004,B50,'سجل التحفيز'!$D$5:$D$2004,"ذهبي"))</f>
        <v/>
      </c>
      <c r="F50" s="35">
        <f>IF(B50="","",SUMIFS('سجل التحفيز'!$G$5:$G$2004,'سجل التحفيز'!$AC$5:$AC$2004,"&gt;0",'سجل التحفيز'!$B$5:$B$2004,B50))</f>
        <v/>
      </c>
      <c r="G50" s="35">
        <f>IF(B50="","",COUNTIF($D$38:$D$187,"&gt;"&amp;D50)+1)</f>
        <v/>
      </c>
      <c r="H50" s="35">
        <f>IF(B50="","",INDEX(الموظفات!$L$5:$L$304,MATCH(B50,الموظفات!$B$5:$B$304,0)))</f>
        <v/>
      </c>
      <c r="K50" s="36">
        <f>IF(13&gt;$B$10,"",13)</f>
        <v/>
      </c>
      <c r="L50" s="37">
        <f>IF($K50="","",INDEX('سجل التحفيز'!$A$5:$A$2004,MATCH($K50,'سجل التحفيز'!$AC$5:$AC$2004,0)))</f>
        <v/>
      </c>
      <c r="M50" s="9">
        <f>IF($K50="","",INDEX('سجل التحفيز'!$B$5:$B$2004,MATCH($K50,'سجل التحفيز'!$AC$5:$AC$2004,0)))</f>
        <v/>
      </c>
      <c r="N50" s="9">
        <f>IF($K50="","",INDEX('سجل التحفيز'!$M$5:$M$2004,MATCH($K50,'سجل التحفيز'!$AC$5:$AC$2004,0)))</f>
        <v/>
      </c>
      <c r="O50" s="9">
        <f>IF($K50="","",INDEX('سجل التحفيز'!$C$5:$C$2004,MATCH($K50,'سجل التحفيز'!$AC$5:$AC$2004,0)))</f>
        <v/>
      </c>
      <c r="P50" s="36">
        <f>IF($K50="","",INDEX('سجل التحفيز'!$D$5:$D$2004,MATCH($K50,'سجل التحفيز'!$AC$5:$AC$2004,0)))</f>
        <v/>
      </c>
      <c r="Q50" s="9">
        <f>IF($K50="","",INDEX('سجل التحفيز'!$E$5:$E$2004,MATCH($K50,'سجل التحفيز'!$AC$5:$AC$2004,0)))</f>
        <v/>
      </c>
      <c r="R50" s="9">
        <f>IF($K50="","",INDEX('سجل التحفيز'!$F$5:$F$2004,MATCH($K50,'سجل التحفيز'!$AC$5:$AC$2004,0)))</f>
        <v/>
      </c>
      <c r="S50" s="35">
        <f>IF($K50="","",INDEX('سجل التحفيز'!$G$5:$G$2004,MATCH($K50,'سجل التحفيز'!$AC$5:$AC$2004,0)))</f>
        <v/>
      </c>
    </row>
    <row r="51">
      <c r="B51" s="34">
        <f>IFERROR(INDEX(الموظفات!$B$5:$B$304,MATCH(14,الموظفات!$W$5:$W$304,0)),"")</f>
        <v/>
      </c>
      <c r="C51" s="34">
        <f>IF(B51="","",INDEX(الموظفات!$D$5:$D$304,MATCH(B51,الموظفات!$B$5:$B$304,0))&amp;"")</f>
        <v/>
      </c>
      <c r="D51" s="35">
        <f>IF(B51="","",COUNTIFS('سجل التحفيز'!$AC$5:$AC$2004,"&gt;0",'سجل التحفيز'!$B$5:$B$2004,B51))</f>
        <v/>
      </c>
      <c r="E51" s="35">
        <f>IF(B51="","",COUNTIFS('سجل التحفيز'!$AC$5:$AC$2004,"&gt;0",'سجل التحفيز'!$B$5:$B$2004,B51,'سجل التحفيز'!$D$5:$D$2004,"ذهبي"))</f>
        <v/>
      </c>
      <c r="F51" s="35">
        <f>IF(B51="","",SUMIFS('سجل التحفيز'!$G$5:$G$2004,'سجل التحفيز'!$AC$5:$AC$2004,"&gt;0",'سجل التحفيز'!$B$5:$B$2004,B51))</f>
        <v/>
      </c>
      <c r="G51" s="35">
        <f>IF(B51="","",COUNTIF($D$38:$D$187,"&gt;"&amp;D51)+1)</f>
        <v/>
      </c>
      <c r="H51" s="35">
        <f>IF(B51="","",INDEX(الموظفات!$L$5:$L$304,MATCH(B51,الموظفات!$B$5:$B$304,0)))</f>
        <v/>
      </c>
      <c r="K51" s="36">
        <f>IF(14&gt;$B$10,"",14)</f>
        <v/>
      </c>
      <c r="L51" s="37">
        <f>IF($K51="","",INDEX('سجل التحفيز'!$A$5:$A$2004,MATCH($K51,'سجل التحفيز'!$AC$5:$AC$2004,0)))</f>
        <v/>
      </c>
      <c r="M51" s="9">
        <f>IF($K51="","",INDEX('سجل التحفيز'!$B$5:$B$2004,MATCH($K51,'سجل التحفيز'!$AC$5:$AC$2004,0)))</f>
        <v/>
      </c>
      <c r="N51" s="9">
        <f>IF($K51="","",INDEX('سجل التحفيز'!$M$5:$M$2004,MATCH($K51,'سجل التحفيز'!$AC$5:$AC$2004,0)))</f>
        <v/>
      </c>
      <c r="O51" s="9">
        <f>IF($K51="","",INDEX('سجل التحفيز'!$C$5:$C$2004,MATCH($K51,'سجل التحفيز'!$AC$5:$AC$2004,0)))</f>
        <v/>
      </c>
      <c r="P51" s="36">
        <f>IF($K51="","",INDEX('سجل التحفيز'!$D$5:$D$2004,MATCH($K51,'سجل التحفيز'!$AC$5:$AC$2004,0)))</f>
        <v/>
      </c>
      <c r="Q51" s="9">
        <f>IF($K51="","",INDEX('سجل التحفيز'!$E$5:$E$2004,MATCH($K51,'سجل التحفيز'!$AC$5:$AC$2004,0)))</f>
        <v/>
      </c>
      <c r="R51" s="9">
        <f>IF($K51="","",INDEX('سجل التحفيز'!$F$5:$F$2004,MATCH($K51,'سجل التحفيز'!$AC$5:$AC$2004,0)))</f>
        <v/>
      </c>
      <c r="S51" s="35">
        <f>IF($K51="","",INDEX('سجل التحفيز'!$G$5:$G$2004,MATCH($K51,'سجل التحفيز'!$AC$5:$AC$2004,0)))</f>
        <v/>
      </c>
    </row>
    <row r="52">
      <c r="B52" s="34">
        <f>IFERROR(INDEX(الموظفات!$B$5:$B$304,MATCH(15,الموظفات!$W$5:$W$304,0)),"")</f>
        <v/>
      </c>
      <c r="C52" s="34">
        <f>IF(B52="","",INDEX(الموظفات!$D$5:$D$304,MATCH(B52,الموظفات!$B$5:$B$304,0))&amp;"")</f>
        <v/>
      </c>
      <c r="D52" s="35">
        <f>IF(B52="","",COUNTIFS('سجل التحفيز'!$AC$5:$AC$2004,"&gt;0",'سجل التحفيز'!$B$5:$B$2004,B52))</f>
        <v/>
      </c>
      <c r="E52" s="35">
        <f>IF(B52="","",COUNTIFS('سجل التحفيز'!$AC$5:$AC$2004,"&gt;0",'سجل التحفيز'!$B$5:$B$2004,B52,'سجل التحفيز'!$D$5:$D$2004,"ذهبي"))</f>
        <v/>
      </c>
      <c r="F52" s="35">
        <f>IF(B52="","",SUMIFS('سجل التحفيز'!$G$5:$G$2004,'سجل التحفيز'!$AC$5:$AC$2004,"&gt;0",'سجل التحفيز'!$B$5:$B$2004,B52))</f>
        <v/>
      </c>
      <c r="G52" s="35">
        <f>IF(B52="","",COUNTIF($D$38:$D$187,"&gt;"&amp;D52)+1)</f>
        <v/>
      </c>
      <c r="H52" s="35">
        <f>IF(B52="","",INDEX(الموظفات!$L$5:$L$304,MATCH(B52,الموظفات!$B$5:$B$304,0)))</f>
        <v/>
      </c>
      <c r="K52" s="36">
        <f>IF(15&gt;$B$10,"",15)</f>
        <v/>
      </c>
      <c r="L52" s="37">
        <f>IF($K52="","",INDEX('سجل التحفيز'!$A$5:$A$2004,MATCH($K52,'سجل التحفيز'!$AC$5:$AC$2004,0)))</f>
        <v/>
      </c>
      <c r="M52" s="9">
        <f>IF($K52="","",INDEX('سجل التحفيز'!$B$5:$B$2004,MATCH($K52,'سجل التحفيز'!$AC$5:$AC$2004,0)))</f>
        <v/>
      </c>
      <c r="N52" s="9">
        <f>IF($K52="","",INDEX('سجل التحفيز'!$M$5:$M$2004,MATCH($K52,'سجل التحفيز'!$AC$5:$AC$2004,0)))</f>
        <v/>
      </c>
      <c r="O52" s="9">
        <f>IF($K52="","",INDEX('سجل التحفيز'!$C$5:$C$2004,MATCH($K52,'سجل التحفيز'!$AC$5:$AC$2004,0)))</f>
        <v/>
      </c>
      <c r="P52" s="36">
        <f>IF($K52="","",INDEX('سجل التحفيز'!$D$5:$D$2004,MATCH($K52,'سجل التحفيز'!$AC$5:$AC$2004,0)))</f>
        <v/>
      </c>
      <c r="Q52" s="9">
        <f>IF($K52="","",INDEX('سجل التحفيز'!$E$5:$E$2004,MATCH($K52,'سجل التحفيز'!$AC$5:$AC$2004,0)))</f>
        <v/>
      </c>
      <c r="R52" s="9">
        <f>IF($K52="","",INDEX('سجل التحفيز'!$F$5:$F$2004,MATCH($K52,'سجل التحفيز'!$AC$5:$AC$2004,0)))</f>
        <v/>
      </c>
      <c r="S52" s="35">
        <f>IF($K52="","",INDEX('سجل التحفيز'!$G$5:$G$2004,MATCH($K52,'سجل التحفيز'!$AC$5:$AC$2004,0)))</f>
        <v/>
      </c>
    </row>
    <row r="53">
      <c r="B53" s="34">
        <f>IFERROR(INDEX(الموظفات!$B$5:$B$304,MATCH(16,الموظفات!$W$5:$W$304,0)),"")</f>
        <v/>
      </c>
      <c r="C53" s="34">
        <f>IF(B53="","",INDEX(الموظفات!$D$5:$D$304,MATCH(B53,الموظفات!$B$5:$B$304,0))&amp;"")</f>
        <v/>
      </c>
      <c r="D53" s="35">
        <f>IF(B53="","",COUNTIFS('سجل التحفيز'!$AC$5:$AC$2004,"&gt;0",'سجل التحفيز'!$B$5:$B$2004,B53))</f>
        <v/>
      </c>
      <c r="E53" s="35">
        <f>IF(B53="","",COUNTIFS('سجل التحفيز'!$AC$5:$AC$2004,"&gt;0",'سجل التحفيز'!$B$5:$B$2004,B53,'سجل التحفيز'!$D$5:$D$2004,"ذهبي"))</f>
        <v/>
      </c>
      <c r="F53" s="35">
        <f>IF(B53="","",SUMIFS('سجل التحفيز'!$G$5:$G$2004,'سجل التحفيز'!$AC$5:$AC$2004,"&gt;0",'سجل التحفيز'!$B$5:$B$2004,B53))</f>
        <v/>
      </c>
      <c r="G53" s="35">
        <f>IF(B53="","",COUNTIF($D$38:$D$187,"&gt;"&amp;D53)+1)</f>
        <v/>
      </c>
      <c r="H53" s="35">
        <f>IF(B53="","",INDEX(الموظفات!$L$5:$L$304,MATCH(B53,الموظفات!$B$5:$B$304,0)))</f>
        <v/>
      </c>
      <c r="K53" s="36">
        <f>IF(16&gt;$B$10,"",16)</f>
        <v/>
      </c>
      <c r="L53" s="37">
        <f>IF($K53="","",INDEX('سجل التحفيز'!$A$5:$A$2004,MATCH($K53,'سجل التحفيز'!$AC$5:$AC$2004,0)))</f>
        <v/>
      </c>
      <c r="M53" s="9">
        <f>IF($K53="","",INDEX('سجل التحفيز'!$B$5:$B$2004,MATCH($K53,'سجل التحفيز'!$AC$5:$AC$2004,0)))</f>
        <v/>
      </c>
      <c r="N53" s="9">
        <f>IF($K53="","",INDEX('سجل التحفيز'!$M$5:$M$2004,MATCH($K53,'سجل التحفيز'!$AC$5:$AC$2004,0)))</f>
        <v/>
      </c>
      <c r="O53" s="9">
        <f>IF($K53="","",INDEX('سجل التحفيز'!$C$5:$C$2004,MATCH($K53,'سجل التحفيز'!$AC$5:$AC$2004,0)))</f>
        <v/>
      </c>
      <c r="P53" s="36">
        <f>IF($K53="","",INDEX('سجل التحفيز'!$D$5:$D$2004,MATCH($K53,'سجل التحفيز'!$AC$5:$AC$2004,0)))</f>
        <v/>
      </c>
      <c r="Q53" s="9">
        <f>IF($K53="","",INDEX('سجل التحفيز'!$E$5:$E$2004,MATCH($K53,'سجل التحفيز'!$AC$5:$AC$2004,0)))</f>
        <v/>
      </c>
      <c r="R53" s="9">
        <f>IF($K53="","",INDEX('سجل التحفيز'!$F$5:$F$2004,MATCH($K53,'سجل التحفيز'!$AC$5:$AC$2004,0)))</f>
        <v/>
      </c>
      <c r="S53" s="35">
        <f>IF($K53="","",INDEX('سجل التحفيز'!$G$5:$G$2004,MATCH($K53,'سجل التحفيز'!$AC$5:$AC$2004,0)))</f>
        <v/>
      </c>
    </row>
    <row r="54">
      <c r="B54" s="34">
        <f>IFERROR(INDEX(الموظفات!$B$5:$B$304,MATCH(17,الموظفات!$W$5:$W$304,0)),"")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التحفيز'!$AC$5:$AC$2004,"&gt;0",'سجل التحفيز'!$B$5:$B$2004,B54))</f>
        <v/>
      </c>
      <c r="E54" s="35">
        <f>IF(B54="","",COUNTIFS('سجل التحفيز'!$AC$5:$AC$2004,"&gt;0",'سجل التحفيز'!$B$5:$B$2004,B54,'سجل التحفيز'!$D$5:$D$2004,"ذهبي"))</f>
        <v/>
      </c>
      <c r="F54" s="35">
        <f>IF(B54="","",SUMIFS('سجل التحفيز'!$G$5:$G$2004,'سجل التحفيز'!$AC$5:$AC$2004,"&gt;0",'سجل التحفيز'!$B$5:$B$2004,B54))</f>
        <v/>
      </c>
      <c r="G54" s="35">
        <f>IF(B54="","",COUNTIF($D$38:$D$187,"&gt;"&amp;D54)+1)</f>
        <v/>
      </c>
      <c r="H54" s="35">
        <f>IF(B54="","",INDEX(الموظفات!$L$5:$L$304,MATCH(B54,الموظفات!$B$5:$B$304,0)))</f>
        <v/>
      </c>
      <c r="K54" s="36">
        <f>IF(17&gt;$B$10,"",17)</f>
        <v/>
      </c>
      <c r="L54" s="37">
        <f>IF($K54="","",INDEX('سجل التحفيز'!$A$5:$A$2004,MATCH($K54,'سجل التحفيز'!$AC$5:$AC$2004,0)))</f>
        <v/>
      </c>
      <c r="M54" s="9">
        <f>IF($K54="","",INDEX('سجل التحفيز'!$B$5:$B$2004,MATCH($K54,'سجل التحفيز'!$AC$5:$AC$2004,0)))</f>
        <v/>
      </c>
      <c r="N54" s="9">
        <f>IF($K54="","",INDEX('سجل التحفيز'!$M$5:$M$2004,MATCH($K54,'سجل التحفيز'!$AC$5:$AC$2004,0)))</f>
        <v/>
      </c>
      <c r="O54" s="9">
        <f>IF($K54="","",INDEX('سجل التحفيز'!$C$5:$C$2004,MATCH($K54,'سجل التحفيز'!$AC$5:$AC$2004,0)))</f>
        <v/>
      </c>
      <c r="P54" s="36">
        <f>IF($K54="","",INDEX('سجل التحفيز'!$D$5:$D$2004,MATCH($K54,'سجل التحفيز'!$AC$5:$AC$2004,0)))</f>
        <v/>
      </c>
      <c r="Q54" s="9">
        <f>IF($K54="","",INDEX('سجل التحفيز'!$E$5:$E$2004,MATCH($K54,'سجل التحفيز'!$AC$5:$AC$2004,0)))</f>
        <v/>
      </c>
      <c r="R54" s="9">
        <f>IF($K54="","",INDEX('سجل التحفيز'!$F$5:$F$2004,MATCH($K54,'سجل التحفيز'!$AC$5:$AC$2004,0)))</f>
        <v/>
      </c>
      <c r="S54" s="35">
        <f>IF($K54="","",INDEX('سجل التحفيز'!$G$5:$G$2004,MATCH($K54,'سجل التحفيز'!$AC$5:$AC$2004,0)))</f>
        <v/>
      </c>
    </row>
    <row r="55">
      <c r="B55" s="34">
        <f>IFERROR(INDEX(الموظفات!$B$5:$B$304,MATCH(18,الموظفات!$W$5:$W$304,0)),"")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التحفيز'!$AC$5:$AC$2004,"&gt;0",'سجل التحفيز'!$B$5:$B$2004,B55))</f>
        <v/>
      </c>
      <c r="E55" s="35">
        <f>IF(B55="","",COUNTIFS('سجل التحفيز'!$AC$5:$AC$2004,"&gt;0",'سجل التحفيز'!$B$5:$B$2004,B55,'سجل التحفيز'!$D$5:$D$2004,"ذهبي"))</f>
        <v/>
      </c>
      <c r="F55" s="35">
        <f>IF(B55="","",SUMIFS('سجل التحفيز'!$G$5:$G$2004,'سجل التحفيز'!$AC$5:$AC$2004,"&gt;0",'سجل التحفيز'!$B$5:$B$2004,B55))</f>
        <v/>
      </c>
      <c r="G55" s="35">
        <f>IF(B55="","",COUNTIF($D$38:$D$187,"&gt;"&amp;D55)+1)</f>
        <v/>
      </c>
      <c r="H55" s="35">
        <f>IF(B55="","",INDEX(الموظفات!$L$5:$L$304,MATCH(B55,الموظفات!$B$5:$B$304,0)))</f>
        <v/>
      </c>
      <c r="K55" s="36">
        <f>IF(18&gt;$B$10,"",18)</f>
        <v/>
      </c>
      <c r="L55" s="37">
        <f>IF($K55="","",INDEX('سجل التحفيز'!$A$5:$A$2004,MATCH($K55,'سجل التحفيز'!$AC$5:$AC$2004,0)))</f>
        <v/>
      </c>
      <c r="M55" s="9">
        <f>IF($K55="","",INDEX('سجل التحفيز'!$B$5:$B$2004,MATCH($K55,'سجل التحفيز'!$AC$5:$AC$2004,0)))</f>
        <v/>
      </c>
      <c r="N55" s="9">
        <f>IF($K55="","",INDEX('سجل التحفيز'!$M$5:$M$2004,MATCH($K55,'سجل التحفيز'!$AC$5:$AC$2004,0)))</f>
        <v/>
      </c>
      <c r="O55" s="9">
        <f>IF($K55="","",INDEX('سجل التحفيز'!$C$5:$C$2004,MATCH($K55,'سجل التحفيز'!$AC$5:$AC$2004,0)))</f>
        <v/>
      </c>
      <c r="P55" s="36">
        <f>IF($K55="","",INDEX('سجل التحفيز'!$D$5:$D$2004,MATCH($K55,'سجل التحفيز'!$AC$5:$AC$2004,0)))</f>
        <v/>
      </c>
      <c r="Q55" s="9">
        <f>IF($K55="","",INDEX('سجل التحفيز'!$E$5:$E$2004,MATCH($K55,'سجل التحفيز'!$AC$5:$AC$2004,0)))</f>
        <v/>
      </c>
      <c r="R55" s="9">
        <f>IF($K55="","",INDEX('سجل التحفيز'!$F$5:$F$2004,MATCH($K55,'سجل التحفيز'!$AC$5:$AC$2004,0)))</f>
        <v/>
      </c>
      <c r="S55" s="35">
        <f>IF($K55="","",INDEX('سجل التحفيز'!$G$5:$G$2004,MATCH($K55,'سجل التحفيز'!$AC$5:$AC$2004,0)))</f>
        <v/>
      </c>
    </row>
    <row r="56">
      <c r="B56" s="34">
        <f>IFERROR(INDEX(الموظفات!$B$5:$B$304,MATCH(19,الموظفات!$W$5:$W$304,0)),"")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التحفيز'!$AC$5:$AC$2004,"&gt;0",'سجل التحفيز'!$B$5:$B$2004,B56))</f>
        <v/>
      </c>
      <c r="E56" s="35">
        <f>IF(B56="","",COUNTIFS('سجل التحفيز'!$AC$5:$AC$2004,"&gt;0",'سجل التحفيز'!$B$5:$B$2004,B56,'سجل التحفيز'!$D$5:$D$2004,"ذهبي"))</f>
        <v/>
      </c>
      <c r="F56" s="35">
        <f>IF(B56="","",SUMIFS('سجل التحفيز'!$G$5:$G$2004,'سجل التحفيز'!$AC$5:$AC$2004,"&gt;0",'سجل التحفيز'!$B$5:$B$2004,B56))</f>
        <v/>
      </c>
      <c r="G56" s="35">
        <f>IF(B56="","",COUNTIF($D$38:$D$187,"&gt;"&amp;D56)+1)</f>
        <v/>
      </c>
      <c r="H56" s="35">
        <f>IF(B56="","",INDEX(الموظفات!$L$5:$L$304,MATCH(B56,الموظفات!$B$5:$B$304,0)))</f>
        <v/>
      </c>
      <c r="K56" s="36">
        <f>IF(19&gt;$B$10,"",19)</f>
        <v/>
      </c>
      <c r="L56" s="37">
        <f>IF($K56="","",INDEX('سجل التحفيز'!$A$5:$A$2004,MATCH($K56,'سجل التحفيز'!$AC$5:$AC$2004,0)))</f>
        <v/>
      </c>
      <c r="M56" s="9">
        <f>IF($K56="","",INDEX('سجل التحفيز'!$B$5:$B$2004,MATCH($K56,'سجل التحفيز'!$AC$5:$AC$2004,0)))</f>
        <v/>
      </c>
      <c r="N56" s="9">
        <f>IF($K56="","",INDEX('سجل التحفيز'!$M$5:$M$2004,MATCH($K56,'سجل التحفيز'!$AC$5:$AC$2004,0)))</f>
        <v/>
      </c>
      <c r="O56" s="9">
        <f>IF($K56="","",INDEX('سجل التحفيز'!$C$5:$C$2004,MATCH($K56,'سجل التحفيز'!$AC$5:$AC$2004,0)))</f>
        <v/>
      </c>
      <c r="P56" s="36">
        <f>IF($K56="","",INDEX('سجل التحفيز'!$D$5:$D$2004,MATCH($K56,'سجل التحفيز'!$AC$5:$AC$2004,0)))</f>
        <v/>
      </c>
      <c r="Q56" s="9">
        <f>IF($K56="","",INDEX('سجل التحفيز'!$E$5:$E$2004,MATCH($K56,'سجل التحفيز'!$AC$5:$AC$2004,0)))</f>
        <v/>
      </c>
      <c r="R56" s="9">
        <f>IF($K56="","",INDEX('سجل التحفيز'!$F$5:$F$2004,MATCH($K56,'سجل التحفيز'!$AC$5:$AC$2004,0)))</f>
        <v/>
      </c>
      <c r="S56" s="35">
        <f>IF($K56="","",INDEX('سجل التحفيز'!$G$5:$G$2004,MATCH($K56,'سجل التحفيز'!$AC$5:$AC$2004,0)))</f>
        <v/>
      </c>
    </row>
    <row r="57">
      <c r="B57" s="34">
        <f>IFERROR(INDEX(الموظفات!$B$5:$B$304,MATCH(20,الموظفات!$W$5:$W$304,0)),"")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التحفيز'!$AC$5:$AC$2004,"&gt;0",'سجل التحفيز'!$B$5:$B$2004,B57))</f>
        <v/>
      </c>
      <c r="E57" s="35">
        <f>IF(B57="","",COUNTIFS('سجل التحفيز'!$AC$5:$AC$2004,"&gt;0",'سجل التحفيز'!$B$5:$B$2004,B57,'سجل التحفيز'!$D$5:$D$2004,"ذهبي"))</f>
        <v/>
      </c>
      <c r="F57" s="35">
        <f>IF(B57="","",SUMIFS('سجل التحفيز'!$G$5:$G$2004,'سجل التحفيز'!$AC$5:$AC$2004,"&gt;0",'سجل التحفيز'!$B$5:$B$2004,B57))</f>
        <v/>
      </c>
      <c r="G57" s="35">
        <f>IF(B57="","",COUNTIF($D$38:$D$187,"&gt;"&amp;D57)+1)</f>
        <v/>
      </c>
      <c r="H57" s="35">
        <f>IF(B57="","",INDEX(الموظفات!$L$5:$L$304,MATCH(B57,الموظفات!$B$5:$B$304,0)))</f>
        <v/>
      </c>
      <c r="K57" s="36">
        <f>IF(20&gt;$B$10,"",20)</f>
        <v/>
      </c>
      <c r="L57" s="37">
        <f>IF($K57="","",INDEX('سجل التحفيز'!$A$5:$A$2004,MATCH($K57,'سجل التحفيز'!$AC$5:$AC$2004,0)))</f>
        <v/>
      </c>
      <c r="M57" s="9">
        <f>IF($K57="","",INDEX('سجل التحفيز'!$B$5:$B$2004,MATCH($K57,'سجل التحفيز'!$AC$5:$AC$2004,0)))</f>
        <v/>
      </c>
      <c r="N57" s="9">
        <f>IF($K57="","",INDEX('سجل التحفيز'!$M$5:$M$2004,MATCH($K57,'سجل التحفيز'!$AC$5:$AC$2004,0)))</f>
        <v/>
      </c>
      <c r="O57" s="9">
        <f>IF($K57="","",INDEX('سجل التحفيز'!$C$5:$C$2004,MATCH($K57,'سجل التحفيز'!$AC$5:$AC$2004,0)))</f>
        <v/>
      </c>
      <c r="P57" s="36">
        <f>IF($K57="","",INDEX('سجل التحفيز'!$D$5:$D$2004,MATCH($K57,'سجل التحفيز'!$AC$5:$AC$2004,0)))</f>
        <v/>
      </c>
      <c r="Q57" s="9">
        <f>IF($K57="","",INDEX('سجل التحفيز'!$E$5:$E$2004,MATCH($K57,'سجل التحفيز'!$AC$5:$AC$2004,0)))</f>
        <v/>
      </c>
      <c r="R57" s="9">
        <f>IF($K57="","",INDEX('سجل التحفيز'!$F$5:$F$2004,MATCH($K57,'سجل التحفيز'!$AC$5:$AC$2004,0)))</f>
        <v/>
      </c>
      <c r="S57" s="35">
        <f>IF($K57="","",INDEX('سجل التحفيز'!$G$5:$G$2004,MATCH($K57,'سجل التحفيز'!$AC$5:$AC$2004,0)))</f>
        <v/>
      </c>
    </row>
    <row r="58">
      <c r="B58" s="34">
        <f>IFERROR(INDEX(الموظفات!$B$5:$B$304,MATCH(21,الموظفات!$W$5:$W$304,0)),"")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التحفيز'!$AC$5:$AC$2004,"&gt;0",'سجل التحفيز'!$B$5:$B$2004,B58))</f>
        <v/>
      </c>
      <c r="E58" s="35">
        <f>IF(B58="","",COUNTIFS('سجل التحفيز'!$AC$5:$AC$2004,"&gt;0",'سجل التحفيز'!$B$5:$B$2004,B58,'سجل التحفيز'!$D$5:$D$2004,"ذهبي"))</f>
        <v/>
      </c>
      <c r="F58" s="35">
        <f>IF(B58="","",SUMIFS('سجل التحفيز'!$G$5:$G$2004,'سجل التحفيز'!$AC$5:$AC$2004,"&gt;0",'سجل التحفيز'!$B$5:$B$2004,B58))</f>
        <v/>
      </c>
      <c r="G58" s="35">
        <f>IF(B58="","",COUNTIF($D$38:$D$187,"&gt;"&amp;D58)+1)</f>
        <v/>
      </c>
      <c r="H58" s="35">
        <f>IF(B58="","",INDEX(الموظفات!$L$5:$L$304,MATCH(B58,الموظفات!$B$5:$B$304,0)))</f>
        <v/>
      </c>
      <c r="K58" s="36">
        <f>IF(21&gt;$B$10,"",21)</f>
        <v/>
      </c>
      <c r="L58" s="37">
        <f>IF($K58="","",INDEX('سجل التحفيز'!$A$5:$A$2004,MATCH($K58,'سجل التحفيز'!$AC$5:$AC$2004,0)))</f>
        <v/>
      </c>
      <c r="M58" s="9">
        <f>IF($K58="","",INDEX('سجل التحفيز'!$B$5:$B$2004,MATCH($K58,'سجل التحفيز'!$AC$5:$AC$2004,0)))</f>
        <v/>
      </c>
      <c r="N58" s="9">
        <f>IF($K58="","",INDEX('سجل التحفيز'!$M$5:$M$2004,MATCH($K58,'سجل التحفيز'!$AC$5:$AC$2004,0)))</f>
        <v/>
      </c>
      <c r="O58" s="9">
        <f>IF($K58="","",INDEX('سجل التحفيز'!$C$5:$C$2004,MATCH($K58,'سجل التحفيز'!$AC$5:$AC$2004,0)))</f>
        <v/>
      </c>
      <c r="P58" s="36">
        <f>IF($K58="","",INDEX('سجل التحفيز'!$D$5:$D$2004,MATCH($K58,'سجل التحفيز'!$AC$5:$AC$2004,0)))</f>
        <v/>
      </c>
      <c r="Q58" s="9">
        <f>IF($K58="","",INDEX('سجل التحفيز'!$E$5:$E$2004,MATCH($K58,'سجل التحفيز'!$AC$5:$AC$2004,0)))</f>
        <v/>
      </c>
      <c r="R58" s="9">
        <f>IF($K58="","",INDEX('سجل التحفيز'!$F$5:$F$2004,MATCH($K58,'سجل التحفيز'!$AC$5:$AC$2004,0)))</f>
        <v/>
      </c>
      <c r="S58" s="35">
        <f>IF($K58="","",INDEX('سجل التحفيز'!$G$5:$G$2004,MATCH($K58,'سجل التحفيز'!$AC$5:$AC$2004,0)))</f>
        <v/>
      </c>
    </row>
    <row r="59">
      <c r="B59" s="34">
        <f>IFERROR(INDEX(الموظفات!$B$5:$B$304,MATCH(22,الموظفات!$W$5:$W$304,0)),"")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التحفيز'!$AC$5:$AC$2004,"&gt;0",'سجل التحفيز'!$B$5:$B$2004,B59))</f>
        <v/>
      </c>
      <c r="E59" s="35">
        <f>IF(B59="","",COUNTIFS('سجل التحفيز'!$AC$5:$AC$2004,"&gt;0",'سجل التحفيز'!$B$5:$B$2004,B59,'سجل التحفيز'!$D$5:$D$2004,"ذهبي"))</f>
        <v/>
      </c>
      <c r="F59" s="35">
        <f>IF(B59="","",SUMIFS('سجل التحفيز'!$G$5:$G$2004,'سجل التحفيز'!$AC$5:$AC$2004,"&gt;0",'سجل التحفيز'!$B$5:$B$2004,B59))</f>
        <v/>
      </c>
      <c r="G59" s="35">
        <f>IF(B59="","",COUNTIF($D$38:$D$187,"&gt;"&amp;D59)+1)</f>
        <v/>
      </c>
      <c r="H59" s="35">
        <f>IF(B59="","",INDEX(الموظفات!$L$5:$L$304,MATCH(B59,الموظفات!$B$5:$B$304,0)))</f>
        <v/>
      </c>
      <c r="K59" s="36">
        <f>IF(22&gt;$B$10,"",22)</f>
        <v/>
      </c>
      <c r="L59" s="37">
        <f>IF($K59="","",INDEX('سجل التحفيز'!$A$5:$A$2004,MATCH($K59,'سجل التحفيز'!$AC$5:$AC$2004,0)))</f>
        <v/>
      </c>
      <c r="M59" s="9">
        <f>IF($K59="","",INDEX('سجل التحفيز'!$B$5:$B$2004,MATCH($K59,'سجل التحفيز'!$AC$5:$AC$2004,0)))</f>
        <v/>
      </c>
      <c r="N59" s="9">
        <f>IF($K59="","",INDEX('سجل التحفيز'!$M$5:$M$2004,MATCH($K59,'سجل التحفيز'!$AC$5:$AC$2004,0)))</f>
        <v/>
      </c>
      <c r="O59" s="9">
        <f>IF($K59="","",INDEX('سجل التحفيز'!$C$5:$C$2004,MATCH($K59,'سجل التحفيز'!$AC$5:$AC$2004,0)))</f>
        <v/>
      </c>
      <c r="P59" s="36">
        <f>IF($K59="","",INDEX('سجل التحفيز'!$D$5:$D$2004,MATCH($K59,'سجل التحفيز'!$AC$5:$AC$2004,0)))</f>
        <v/>
      </c>
      <c r="Q59" s="9">
        <f>IF($K59="","",INDEX('سجل التحفيز'!$E$5:$E$2004,MATCH($K59,'سجل التحفيز'!$AC$5:$AC$2004,0)))</f>
        <v/>
      </c>
      <c r="R59" s="9">
        <f>IF($K59="","",INDEX('سجل التحفيز'!$F$5:$F$2004,MATCH($K59,'سجل التحفيز'!$AC$5:$AC$2004,0)))</f>
        <v/>
      </c>
      <c r="S59" s="35">
        <f>IF($K59="","",INDEX('سجل التحفيز'!$G$5:$G$2004,MATCH($K59,'سجل التحفيز'!$AC$5:$AC$2004,0)))</f>
        <v/>
      </c>
    </row>
    <row r="60">
      <c r="B60" s="34">
        <f>IFERROR(INDEX(الموظفات!$B$5:$B$304,MATCH(23,الموظفات!$W$5:$W$304,0)),"")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التحفيز'!$AC$5:$AC$2004,"&gt;0",'سجل التحفيز'!$B$5:$B$2004,B60))</f>
        <v/>
      </c>
      <c r="E60" s="35">
        <f>IF(B60="","",COUNTIFS('سجل التحفيز'!$AC$5:$AC$2004,"&gt;0",'سجل التحفيز'!$B$5:$B$2004,B60,'سجل التحفيز'!$D$5:$D$2004,"ذهبي"))</f>
        <v/>
      </c>
      <c r="F60" s="35">
        <f>IF(B60="","",SUMIFS('سجل التحفيز'!$G$5:$G$2004,'سجل التحفيز'!$AC$5:$AC$2004,"&gt;0",'سجل التحفيز'!$B$5:$B$2004,B60))</f>
        <v/>
      </c>
      <c r="G60" s="35">
        <f>IF(B60="","",COUNTIF($D$38:$D$187,"&gt;"&amp;D60)+1)</f>
        <v/>
      </c>
      <c r="H60" s="35">
        <f>IF(B60="","",INDEX(الموظفات!$L$5:$L$304,MATCH(B60,الموظفات!$B$5:$B$304,0)))</f>
        <v/>
      </c>
      <c r="K60" s="36">
        <f>IF(23&gt;$B$10,"",23)</f>
        <v/>
      </c>
      <c r="L60" s="37">
        <f>IF($K60="","",INDEX('سجل التحفيز'!$A$5:$A$2004,MATCH($K60,'سجل التحفيز'!$AC$5:$AC$2004,0)))</f>
        <v/>
      </c>
      <c r="M60" s="9">
        <f>IF($K60="","",INDEX('سجل التحفيز'!$B$5:$B$2004,MATCH($K60,'سجل التحفيز'!$AC$5:$AC$2004,0)))</f>
        <v/>
      </c>
      <c r="N60" s="9">
        <f>IF($K60="","",INDEX('سجل التحفيز'!$M$5:$M$2004,MATCH($K60,'سجل التحفيز'!$AC$5:$AC$2004,0)))</f>
        <v/>
      </c>
      <c r="O60" s="9">
        <f>IF($K60="","",INDEX('سجل التحفيز'!$C$5:$C$2004,MATCH($K60,'سجل التحفيز'!$AC$5:$AC$2004,0)))</f>
        <v/>
      </c>
      <c r="P60" s="36">
        <f>IF($K60="","",INDEX('سجل التحفيز'!$D$5:$D$2004,MATCH($K60,'سجل التحفيز'!$AC$5:$AC$2004,0)))</f>
        <v/>
      </c>
      <c r="Q60" s="9">
        <f>IF($K60="","",INDEX('سجل التحفيز'!$E$5:$E$2004,MATCH($K60,'سجل التحفيز'!$AC$5:$AC$2004,0)))</f>
        <v/>
      </c>
      <c r="R60" s="9">
        <f>IF($K60="","",INDEX('سجل التحفيز'!$F$5:$F$2004,MATCH($K60,'سجل التحفيز'!$AC$5:$AC$2004,0)))</f>
        <v/>
      </c>
      <c r="S60" s="35">
        <f>IF($K60="","",INDEX('سجل التحفيز'!$G$5:$G$2004,MATCH($K60,'سجل التحفيز'!$AC$5:$AC$2004,0)))</f>
        <v/>
      </c>
    </row>
    <row r="61">
      <c r="B61" s="34">
        <f>IFERROR(INDEX(الموظفات!$B$5:$B$304,MATCH(24,الموظفات!$W$5:$W$304,0)),"")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التحفيز'!$AC$5:$AC$2004,"&gt;0",'سجل التحفيز'!$B$5:$B$2004,B61))</f>
        <v/>
      </c>
      <c r="E61" s="35">
        <f>IF(B61="","",COUNTIFS('سجل التحفيز'!$AC$5:$AC$2004,"&gt;0",'سجل التحفيز'!$B$5:$B$2004,B61,'سجل التحفيز'!$D$5:$D$2004,"ذهبي"))</f>
        <v/>
      </c>
      <c r="F61" s="35">
        <f>IF(B61="","",SUMIFS('سجل التحفيز'!$G$5:$G$2004,'سجل التحفيز'!$AC$5:$AC$2004,"&gt;0",'سجل التحفيز'!$B$5:$B$2004,B61))</f>
        <v/>
      </c>
      <c r="G61" s="35">
        <f>IF(B61="","",COUNTIF($D$38:$D$187,"&gt;"&amp;D61)+1)</f>
        <v/>
      </c>
      <c r="H61" s="35">
        <f>IF(B61="","",INDEX(الموظفات!$L$5:$L$304,MATCH(B61,الموظفات!$B$5:$B$304,0)))</f>
        <v/>
      </c>
      <c r="K61" s="36">
        <f>IF(24&gt;$B$10,"",24)</f>
        <v/>
      </c>
      <c r="L61" s="37">
        <f>IF($K61="","",INDEX('سجل التحفيز'!$A$5:$A$2004,MATCH($K61,'سجل التحفيز'!$AC$5:$AC$2004,0)))</f>
        <v/>
      </c>
      <c r="M61" s="9">
        <f>IF($K61="","",INDEX('سجل التحفيز'!$B$5:$B$2004,MATCH($K61,'سجل التحفيز'!$AC$5:$AC$2004,0)))</f>
        <v/>
      </c>
      <c r="N61" s="9">
        <f>IF($K61="","",INDEX('سجل التحفيز'!$M$5:$M$2004,MATCH($K61,'سجل التحفيز'!$AC$5:$AC$2004,0)))</f>
        <v/>
      </c>
      <c r="O61" s="9">
        <f>IF($K61="","",INDEX('سجل التحفيز'!$C$5:$C$2004,MATCH($K61,'سجل التحفيز'!$AC$5:$AC$2004,0)))</f>
        <v/>
      </c>
      <c r="P61" s="36">
        <f>IF($K61="","",INDEX('سجل التحفيز'!$D$5:$D$2004,MATCH($K61,'سجل التحفيز'!$AC$5:$AC$2004,0)))</f>
        <v/>
      </c>
      <c r="Q61" s="9">
        <f>IF($K61="","",INDEX('سجل التحفيز'!$E$5:$E$2004,MATCH($K61,'سجل التحفيز'!$AC$5:$AC$2004,0)))</f>
        <v/>
      </c>
      <c r="R61" s="9">
        <f>IF($K61="","",INDEX('سجل التحفيز'!$F$5:$F$2004,MATCH($K61,'سجل التحفيز'!$AC$5:$AC$2004,0)))</f>
        <v/>
      </c>
      <c r="S61" s="35">
        <f>IF($K61="","",INDEX('سجل التحفيز'!$G$5:$G$2004,MATCH($K61,'سجل التحفيز'!$AC$5:$AC$2004,0)))</f>
        <v/>
      </c>
    </row>
    <row r="62">
      <c r="B62" s="34">
        <f>IFERROR(INDEX(الموظفات!$B$5:$B$304,MATCH(25,الموظفات!$W$5:$W$304,0)),"")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التحفيز'!$AC$5:$AC$2004,"&gt;0",'سجل التحفيز'!$B$5:$B$2004,B62))</f>
        <v/>
      </c>
      <c r="E62" s="35">
        <f>IF(B62="","",COUNTIFS('سجل التحفيز'!$AC$5:$AC$2004,"&gt;0",'سجل التحفيز'!$B$5:$B$2004,B62,'سجل التحفيز'!$D$5:$D$2004,"ذهبي"))</f>
        <v/>
      </c>
      <c r="F62" s="35">
        <f>IF(B62="","",SUMIFS('سجل التحفيز'!$G$5:$G$2004,'سجل التحفيز'!$AC$5:$AC$2004,"&gt;0",'سجل التحفيز'!$B$5:$B$2004,B62))</f>
        <v/>
      </c>
      <c r="G62" s="35">
        <f>IF(B62="","",COUNTIF($D$38:$D$187,"&gt;"&amp;D62)+1)</f>
        <v/>
      </c>
      <c r="H62" s="35">
        <f>IF(B62="","",INDEX(الموظفات!$L$5:$L$304,MATCH(B62,الموظفات!$B$5:$B$304,0)))</f>
        <v/>
      </c>
      <c r="K62" s="36">
        <f>IF(25&gt;$B$10,"",25)</f>
        <v/>
      </c>
      <c r="L62" s="37">
        <f>IF($K62="","",INDEX('سجل التحفيز'!$A$5:$A$2004,MATCH($K62,'سجل التحفيز'!$AC$5:$AC$2004,0)))</f>
        <v/>
      </c>
      <c r="M62" s="9">
        <f>IF($K62="","",INDEX('سجل التحفيز'!$B$5:$B$2004,MATCH($K62,'سجل التحفيز'!$AC$5:$AC$2004,0)))</f>
        <v/>
      </c>
      <c r="N62" s="9">
        <f>IF($K62="","",INDEX('سجل التحفيز'!$M$5:$M$2004,MATCH($K62,'سجل التحفيز'!$AC$5:$AC$2004,0)))</f>
        <v/>
      </c>
      <c r="O62" s="9">
        <f>IF($K62="","",INDEX('سجل التحفيز'!$C$5:$C$2004,MATCH($K62,'سجل التحفيز'!$AC$5:$AC$2004,0)))</f>
        <v/>
      </c>
      <c r="P62" s="36">
        <f>IF($K62="","",INDEX('سجل التحفيز'!$D$5:$D$2004,MATCH($K62,'سجل التحفيز'!$AC$5:$AC$2004,0)))</f>
        <v/>
      </c>
      <c r="Q62" s="9">
        <f>IF($K62="","",INDEX('سجل التحفيز'!$E$5:$E$2004,MATCH($K62,'سجل التحفيز'!$AC$5:$AC$2004,0)))</f>
        <v/>
      </c>
      <c r="R62" s="9">
        <f>IF($K62="","",INDEX('سجل التحفيز'!$F$5:$F$2004,MATCH($K62,'سجل التحفيز'!$AC$5:$AC$2004,0)))</f>
        <v/>
      </c>
      <c r="S62" s="35">
        <f>IF($K62="","",INDEX('سجل التحفيز'!$G$5:$G$2004,MATCH($K62,'سجل التحفيز'!$AC$5:$AC$2004,0)))</f>
        <v/>
      </c>
    </row>
    <row r="63">
      <c r="B63" s="34">
        <f>IFERROR(INDEX(الموظفات!$B$5:$B$304,MATCH(26,الموظفات!$W$5:$W$304,0)),"")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التحفيز'!$AC$5:$AC$2004,"&gt;0",'سجل التحفيز'!$B$5:$B$2004,B63))</f>
        <v/>
      </c>
      <c r="E63" s="35">
        <f>IF(B63="","",COUNTIFS('سجل التحفيز'!$AC$5:$AC$2004,"&gt;0",'سجل التحفيز'!$B$5:$B$2004,B63,'سجل التحفيز'!$D$5:$D$2004,"ذهبي"))</f>
        <v/>
      </c>
      <c r="F63" s="35">
        <f>IF(B63="","",SUMIFS('سجل التحفيز'!$G$5:$G$2004,'سجل التحفيز'!$AC$5:$AC$2004,"&gt;0",'سجل التحفيز'!$B$5:$B$2004,B63))</f>
        <v/>
      </c>
      <c r="G63" s="35">
        <f>IF(B63="","",COUNTIF($D$38:$D$187,"&gt;"&amp;D63)+1)</f>
        <v/>
      </c>
      <c r="H63" s="35">
        <f>IF(B63="","",INDEX(الموظفات!$L$5:$L$304,MATCH(B63,الموظفات!$B$5:$B$304,0)))</f>
        <v/>
      </c>
      <c r="K63" s="36">
        <f>IF(26&gt;$B$10,"",26)</f>
        <v/>
      </c>
      <c r="L63" s="37">
        <f>IF($K63="","",INDEX('سجل التحفيز'!$A$5:$A$2004,MATCH($K63,'سجل التحفيز'!$AC$5:$AC$2004,0)))</f>
        <v/>
      </c>
      <c r="M63" s="9">
        <f>IF($K63="","",INDEX('سجل التحفيز'!$B$5:$B$2004,MATCH($K63,'سجل التحفيز'!$AC$5:$AC$2004,0)))</f>
        <v/>
      </c>
      <c r="N63" s="9">
        <f>IF($K63="","",INDEX('سجل التحفيز'!$M$5:$M$2004,MATCH($K63,'سجل التحفيز'!$AC$5:$AC$2004,0)))</f>
        <v/>
      </c>
      <c r="O63" s="9">
        <f>IF($K63="","",INDEX('سجل التحفيز'!$C$5:$C$2004,MATCH($K63,'سجل التحفيز'!$AC$5:$AC$2004,0)))</f>
        <v/>
      </c>
      <c r="P63" s="36">
        <f>IF($K63="","",INDEX('سجل التحفيز'!$D$5:$D$2004,MATCH($K63,'سجل التحفيز'!$AC$5:$AC$2004,0)))</f>
        <v/>
      </c>
      <c r="Q63" s="9">
        <f>IF($K63="","",INDEX('سجل التحفيز'!$E$5:$E$2004,MATCH($K63,'سجل التحفيز'!$AC$5:$AC$2004,0)))</f>
        <v/>
      </c>
      <c r="R63" s="9">
        <f>IF($K63="","",INDEX('سجل التحفيز'!$F$5:$F$2004,MATCH($K63,'سجل التحفيز'!$AC$5:$AC$2004,0)))</f>
        <v/>
      </c>
      <c r="S63" s="35">
        <f>IF($K63="","",INDEX('سجل التحفيز'!$G$5:$G$2004,MATCH($K63,'سجل التحفيز'!$AC$5:$AC$2004,0)))</f>
        <v/>
      </c>
    </row>
    <row r="64">
      <c r="B64" s="34">
        <f>IFERROR(INDEX(الموظفات!$B$5:$B$304,MATCH(27,الموظفات!$W$5:$W$304,0)),"")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التحفيز'!$AC$5:$AC$2004,"&gt;0",'سجل التحفيز'!$B$5:$B$2004,B64))</f>
        <v/>
      </c>
      <c r="E64" s="35">
        <f>IF(B64="","",COUNTIFS('سجل التحفيز'!$AC$5:$AC$2004,"&gt;0",'سجل التحفيز'!$B$5:$B$2004,B64,'سجل التحفيز'!$D$5:$D$2004,"ذهبي"))</f>
        <v/>
      </c>
      <c r="F64" s="35">
        <f>IF(B64="","",SUMIFS('سجل التحفيز'!$G$5:$G$2004,'سجل التحفيز'!$AC$5:$AC$2004,"&gt;0",'سجل التحفيز'!$B$5:$B$2004,B64))</f>
        <v/>
      </c>
      <c r="G64" s="35">
        <f>IF(B64="","",COUNTIF($D$38:$D$187,"&gt;"&amp;D64)+1)</f>
        <v/>
      </c>
      <c r="H64" s="35">
        <f>IF(B64="","",INDEX(الموظفات!$L$5:$L$304,MATCH(B64,الموظفات!$B$5:$B$304,0)))</f>
        <v/>
      </c>
      <c r="K64" s="36">
        <f>IF(27&gt;$B$10,"",27)</f>
        <v/>
      </c>
      <c r="L64" s="37">
        <f>IF($K64="","",INDEX('سجل التحفيز'!$A$5:$A$2004,MATCH($K64,'سجل التحفيز'!$AC$5:$AC$2004,0)))</f>
        <v/>
      </c>
      <c r="M64" s="9">
        <f>IF($K64="","",INDEX('سجل التحفيز'!$B$5:$B$2004,MATCH($K64,'سجل التحفيز'!$AC$5:$AC$2004,0)))</f>
        <v/>
      </c>
      <c r="N64" s="9">
        <f>IF($K64="","",INDEX('سجل التحفيز'!$M$5:$M$2004,MATCH($K64,'سجل التحفيز'!$AC$5:$AC$2004,0)))</f>
        <v/>
      </c>
      <c r="O64" s="9">
        <f>IF($K64="","",INDEX('سجل التحفيز'!$C$5:$C$2004,MATCH($K64,'سجل التحفيز'!$AC$5:$AC$2004,0)))</f>
        <v/>
      </c>
      <c r="P64" s="36">
        <f>IF($K64="","",INDEX('سجل التحفيز'!$D$5:$D$2004,MATCH($K64,'سجل التحفيز'!$AC$5:$AC$2004,0)))</f>
        <v/>
      </c>
      <c r="Q64" s="9">
        <f>IF($K64="","",INDEX('سجل التحفيز'!$E$5:$E$2004,MATCH($K64,'سجل التحفيز'!$AC$5:$AC$2004,0)))</f>
        <v/>
      </c>
      <c r="R64" s="9">
        <f>IF($K64="","",INDEX('سجل التحفيز'!$F$5:$F$2004,MATCH($K64,'سجل التحفيز'!$AC$5:$AC$2004,0)))</f>
        <v/>
      </c>
      <c r="S64" s="35">
        <f>IF($K64="","",INDEX('سجل التحفيز'!$G$5:$G$2004,MATCH($K64,'سجل التحفيز'!$AC$5:$AC$2004,0)))</f>
        <v/>
      </c>
    </row>
    <row r="65">
      <c r="B65" s="34">
        <f>IFERROR(INDEX(الموظفات!$B$5:$B$304,MATCH(28,الموظفات!$W$5:$W$304,0)),"")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التحفيز'!$AC$5:$AC$2004,"&gt;0",'سجل التحفيز'!$B$5:$B$2004,B65))</f>
        <v/>
      </c>
      <c r="E65" s="35">
        <f>IF(B65="","",COUNTIFS('سجل التحفيز'!$AC$5:$AC$2004,"&gt;0",'سجل التحفيز'!$B$5:$B$2004,B65,'سجل التحفيز'!$D$5:$D$2004,"ذهبي"))</f>
        <v/>
      </c>
      <c r="F65" s="35">
        <f>IF(B65="","",SUMIFS('سجل التحفيز'!$G$5:$G$2004,'سجل التحفيز'!$AC$5:$AC$2004,"&gt;0",'سجل التحفيز'!$B$5:$B$2004,B65))</f>
        <v/>
      </c>
      <c r="G65" s="35">
        <f>IF(B65="","",COUNTIF($D$38:$D$187,"&gt;"&amp;D65)+1)</f>
        <v/>
      </c>
      <c r="H65" s="35">
        <f>IF(B65="","",INDEX(الموظفات!$L$5:$L$304,MATCH(B65,الموظفات!$B$5:$B$304,0)))</f>
        <v/>
      </c>
      <c r="K65" s="36">
        <f>IF(28&gt;$B$10,"",28)</f>
        <v/>
      </c>
      <c r="L65" s="37">
        <f>IF($K65="","",INDEX('سجل التحفيز'!$A$5:$A$2004,MATCH($K65,'سجل التحفيز'!$AC$5:$AC$2004,0)))</f>
        <v/>
      </c>
      <c r="M65" s="9">
        <f>IF($K65="","",INDEX('سجل التحفيز'!$B$5:$B$2004,MATCH($K65,'سجل التحفيز'!$AC$5:$AC$2004,0)))</f>
        <v/>
      </c>
      <c r="N65" s="9">
        <f>IF($K65="","",INDEX('سجل التحفيز'!$M$5:$M$2004,MATCH($K65,'سجل التحفيز'!$AC$5:$AC$2004,0)))</f>
        <v/>
      </c>
      <c r="O65" s="9">
        <f>IF($K65="","",INDEX('سجل التحفيز'!$C$5:$C$2004,MATCH($K65,'سجل التحفيز'!$AC$5:$AC$2004,0)))</f>
        <v/>
      </c>
      <c r="P65" s="36">
        <f>IF($K65="","",INDEX('سجل التحفيز'!$D$5:$D$2004,MATCH($K65,'سجل التحفيز'!$AC$5:$AC$2004,0)))</f>
        <v/>
      </c>
      <c r="Q65" s="9">
        <f>IF($K65="","",INDEX('سجل التحفيز'!$E$5:$E$2004,MATCH($K65,'سجل التحفيز'!$AC$5:$AC$2004,0)))</f>
        <v/>
      </c>
      <c r="R65" s="9">
        <f>IF($K65="","",INDEX('سجل التحفيز'!$F$5:$F$2004,MATCH($K65,'سجل التحفيز'!$AC$5:$AC$2004,0)))</f>
        <v/>
      </c>
      <c r="S65" s="35">
        <f>IF($K65="","",INDEX('سجل التحفيز'!$G$5:$G$2004,MATCH($K65,'سجل التحفيز'!$AC$5:$AC$2004,0)))</f>
        <v/>
      </c>
    </row>
    <row r="66">
      <c r="B66" s="34">
        <f>IFERROR(INDEX(الموظفات!$B$5:$B$304,MATCH(29,الموظفات!$W$5:$W$304,0)),"")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التحفيز'!$AC$5:$AC$2004,"&gt;0",'سجل التحفيز'!$B$5:$B$2004,B66))</f>
        <v/>
      </c>
      <c r="E66" s="35">
        <f>IF(B66="","",COUNTIFS('سجل التحفيز'!$AC$5:$AC$2004,"&gt;0",'سجل التحفيز'!$B$5:$B$2004,B66,'سجل التحفيز'!$D$5:$D$2004,"ذهبي"))</f>
        <v/>
      </c>
      <c r="F66" s="35">
        <f>IF(B66="","",SUMIFS('سجل التحفيز'!$G$5:$G$2004,'سجل التحفيز'!$AC$5:$AC$2004,"&gt;0",'سجل التحفيز'!$B$5:$B$2004,B66))</f>
        <v/>
      </c>
      <c r="G66" s="35">
        <f>IF(B66="","",COUNTIF($D$38:$D$187,"&gt;"&amp;D66)+1)</f>
        <v/>
      </c>
      <c r="H66" s="35">
        <f>IF(B66="","",INDEX(الموظفات!$L$5:$L$304,MATCH(B66,الموظفات!$B$5:$B$304,0)))</f>
        <v/>
      </c>
      <c r="K66" s="36">
        <f>IF(29&gt;$B$10,"",29)</f>
        <v/>
      </c>
      <c r="L66" s="37">
        <f>IF($K66="","",INDEX('سجل التحفيز'!$A$5:$A$2004,MATCH($K66,'سجل التحفيز'!$AC$5:$AC$2004,0)))</f>
        <v/>
      </c>
      <c r="M66" s="9">
        <f>IF($K66="","",INDEX('سجل التحفيز'!$B$5:$B$2004,MATCH($K66,'سجل التحفيز'!$AC$5:$AC$2004,0)))</f>
        <v/>
      </c>
      <c r="N66" s="9">
        <f>IF($K66="","",INDEX('سجل التحفيز'!$M$5:$M$2004,MATCH($K66,'سجل التحفيز'!$AC$5:$AC$2004,0)))</f>
        <v/>
      </c>
      <c r="O66" s="9">
        <f>IF($K66="","",INDEX('سجل التحفيز'!$C$5:$C$2004,MATCH($K66,'سجل التحفيز'!$AC$5:$AC$2004,0)))</f>
        <v/>
      </c>
      <c r="P66" s="36">
        <f>IF($K66="","",INDEX('سجل التحفيز'!$D$5:$D$2004,MATCH($K66,'سجل التحفيز'!$AC$5:$AC$2004,0)))</f>
        <v/>
      </c>
      <c r="Q66" s="9">
        <f>IF($K66="","",INDEX('سجل التحفيز'!$E$5:$E$2004,MATCH($K66,'سجل التحفيز'!$AC$5:$AC$2004,0)))</f>
        <v/>
      </c>
      <c r="R66" s="9">
        <f>IF($K66="","",INDEX('سجل التحفيز'!$F$5:$F$2004,MATCH($K66,'سجل التحفيز'!$AC$5:$AC$2004,0)))</f>
        <v/>
      </c>
      <c r="S66" s="35">
        <f>IF($K66="","",INDEX('سجل التحفيز'!$G$5:$G$2004,MATCH($K66,'سجل التحفيز'!$AC$5:$AC$2004,0)))</f>
        <v/>
      </c>
    </row>
    <row r="67">
      <c r="B67" s="34">
        <f>IFERROR(INDEX(الموظفات!$B$5:$B$304,MATCH(30,الموظفات!$W$5:$W$304,0)),"")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التحفيز'!$AC$5:$AC$2004,"&gt;0",'سجل التحفيز'!$B$5:$B$2004,B67))</f>
        <v/>
      </c>
      <c r="E67" s="35">
        <f>IF(B67="","",COUNTIFS('سجل التحفيز'!$AC$5:$AC$2004,"&gt;0",'سجل التحفيز'!$B$5:$B$2004,B67,'سجل التحفيز'!$D$5:$D$2004,"ذهبي"))</f>
        <v/>
      </c>
      <c r="F67" s="35">
        <f>IF(B67="","",SUMIFS('سجل التحفيز'!$G$5:$G$2004,'سجل التحفيز'!$AC$5:$AC$2004,"&gt;0",'سجل التحفيز'!$B$5:$B$2004,B67))</f>
        <v/>
      </c>
      <c r="G67" s="35">
        <f>IF(B67="","",COUNTIF($D$38:$D$187,"&gt;"&amp;D67)+1)</f>
        <v/>
      </c>
      <c r="H67" s="35">
        <f>IF(B67="","",INDEX(الموظفات!$L$5:$L$304,MATCH(B67,الموظفات!$B$5:$B$304,0)))</f>
        <v/>
      </c>
      <c r="K67" s="36">
        <f>IF(30&gt;$B$10,"",30)</f>
        <v/>
      </c>
      <c r="L67" s="37">
        <f>IF($K67="","",INDEX('سجل التحفيز'!$A$5:$A$2004,MATCH($K67,'سجل التحفيز'!$AC$5:$AC$2004,0)))</f>
        <v/>
      </c>
      <c r="M67" s="9">
        <f>IF($K67="","",INDEX('سجل التحفيز'!$B$5:$B$2004,MATCH($K67,'سجل التحفيز'!$AC$5:$AC$2004,0)))</f>
        <v/>
      </c>
      <c r="N67" s="9">
        <f>IF($K67="","",INDEX('سجل التحفيز'!$M$5:$M$2004,MATCH($K67,'سجل التحفيز'!$AC$5:$AC$2004,0)))</f>
        <v/>
      </c>
      <c r="O67" s="9">
        <f>IF($K67="","",INDEX('سجل التحفيز'!$C$5:$C$2004,MATCH($K67,'سجل التحفيز'!$AC$5:$AC$2004,0)))</f>
        <v/>
      </c>
      <c r="P67" s="36">
        <f>IF($K67="","",INDEX('سجل التحفيز'!$D$5:$D$2004,MATCH($K67,'سجل التحفيز'!$AC$5:$AC$2004,0)))</f>
        <v/>
      </c>
      <c r="Q67" s="9">
        <f>IF($K67="","",INDEX('سجل التحفيز'!$E$5:$E$2004,MATCH($K67,'سجل التحفيز'!$AC$5:$AC$2004,0)))</f>
        <v/>
      </c>
      <c r="R67" s="9">
        <f>IF($K67="","",INDEX('سجل التحفيز'!$F$5:$F$2004,MATCH($K67,'سجل التحفيز'!$AC$5:$AC$2004,0)))</f>
        <v/>
      </c>
      <c r="S67" s="35">
        <f>IF($K67="","",INDEX('سجل التحفيز'!$G$5:$G$2004,MATCH($K67,'سجل التحفيز'!$AC$5:$AC$2004,0)))</f>
        <v/>
      </c>
    </row>
    <row r="68">
      <c r="B68" s="34">
        <f>IFERROR(INDEX(الموظفات!$B$5:$B$304,MATCH(31,الموظفات!$W$5:$W$304,0)),"")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التحفيز'!$AC$5:$AC$2004,"&gt;0",'سجل التحفيز'!$B$5:$B$2004,B68))</f>
        <v/>
      </c>
      <c r="E68" s="35">
        <f>IF(B68="","",COUNTIFS('سجل التحفيز'!$AC$5:$AC$2004,"&gt;0",'سجل التحفيز'!$B$5:$B$2004,B68,'سجل التحفيز'!$D$5:$D$2004,"ذهبي"))</f>
        <v/>
      </c>
      <c r="F68" s="35">
        <f>IF(B68="","",SUMIFS('سجل التحفيز'!$G$5:$G$2004,'سجل التحفيز'!$AC$5:$AC$2004,"&gt;0",'سجل التحفيز'!$B$5:$B$2004,B68))</f>
        <v/>
      </c>
      <c r="G68" s="35">
        <f>IF(B68="","",COUNTIF($D$38:$D$187,"&gt;"&amp;D68)+1)</f>
        <v/>
      </c>
      <c r="H68" s="35">
        <f>IF(B68="","",INDEX(الموظفات!$L$5:$L$304,MATCH(B68,الموظفات!$B$5:$B$304,0)))</f>
        <v/>
      </c>
      <c r="K68" s="36">
        <f>IF(31&gt;$B$10,"",31)</f>
        <v/>
      </c>
      <c r="L68" s="37">
        <f>IF($K68="","",INDEX('سجل التحفيز'!$A$5:$A$2004,MATCH($K68,'سجل التحفيز'!$AC$5:$AC$2004,0)))</f>
        <v/>
      </c>
      <c r="M68" s="9">
        <f>IF($K68="","",INDEX('سجل التحفيز'!$B$5:$B$2004,MATCH($K68,'سجل التحفيز'!$AC$5:$AC$2004,0)))</f>
        <v/>
      </c>
      <c r="N68" s="9">
        <f>IF($K68="","",INDEX('سجل التحفيز'!$M$5:$M$2004,MATCH($K68,'سجل التحفيز'!$AC$5:$AC$2004,0)))</f>
        <v/>
      </c>
      <c r="O68" s="9">
        <f>IF($K68="","",INDEX('سجل التحفيز'!$C$5:$C$2004,MATCH($K68,'سجل التحفيز'!$AC$5:$AC$2004,0)))</f>
        <v/>
      </c>
      <c r="P68" s="36">
        <f>IF($K68="","",INDEX('سجل التحفيز'!$D$5:$D$2004,MATCH($K68,'سجل التحفيز'!$AC$5:$AC$2004,0)))</f>
        <v/>
      </c>
      <c r="Q68" s="9">
        <f>IF($K68="","",INDEX('سجل التحفيز'!$E$5:$E$2004,MATCH($K68,'سجل التحفيز'!$AC$5:$AC$2004,0)))</f>
        <v/>
      </c>
      <c r="R68" s="9">
        <f>IF($K68="","",INDEX('سجل التحفيز'!$F$5:$F$2004,MATCH($K68,'سجل التحفيز'!$AC$5:$AC$2004,0)))</f>
        <v/>
      </c>
      <c r="S68" s="35">
        <f>IF($K68="","",INDEX('سجل التحفيز'!$G$5:$G$2004,MATCH($K68,'سجل التحفيز'!$AC$5:$AC$2004,0)))</f>
        <v/>
      </c>
    </row>
    <row r="69">
      <c r="B69" s="34">
        <f>IFERROR(INDEX(الموظفات!$B$5:$B$304,MATCH(32,الموظفات!$W$5:$W$304,0)),"")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التحفيز'!$AC$5:$AC$2004,"&gt;0",'سجل التحفيز'!$B$5:$B$2004,B69))</f>
        <v/>
      </c>
      <c r="E69" s="35">
        <f>IF(B69="","",COUNTIFS('سجل التحفيز'!$AC$5:$AC$2004,"&gt;0",'سجل التحفيز'!$B$5:$B$2004,B69,'سجل التحفيز'!$D$5:$D$2004,"ذهبي"))</f>
        <v/>
      </c>
      <c r="F69" s="35">
        <f>IF(B69="","",SUMIFS('سجل التحفيز'!$G$5:$G$2004,'سجل التحفيز'!$AC$5:$AC$2004,"&gt;0",'سجل التحفيز'!$B$5:$B$2004,B69))</f>
        <v/>
      </c>
      <c r="G69" s="35">
        <f>IF(B69="","",COUNTIF($D$38:$D$187,"&gt;"&amp;D69)+1)</f>
        <v/>
      </c>
      <c r="H69" s="35">
        <f>IF(B69="","",INDEX(الموظفات!$L$5:$L$304,MATCH(B69,الموظفات!$B$5:$B$304,0)))</f>
        <v/>
      </c>
      <c r="K69" s="36">
        <f>IF(32&gt;$B$10,"",32)</f>
        <v/>
      </c>
      <c r="L69" s="37">
        <f>IF($K69="","",INDEX('سجل التحفيز'!$A$5:$A$2004,MATCH($K69,'سجل التحفيز'!$AC$5:$AC$2004,0)))</f>
        <v/>
      </c>
      <c r="M69" s="9">
        <f>IF($K69="","",INDEX('سجل التحفيز'!$B$5:$B$2004,MATCH($K69,'سجل التحفيز'!$AC$5:$AC$2004,0)))</f>
        <v/>
      </c>
      <c r="N69" s="9">
        <f>IF($K69="","",INDEX('سجل التحفيز'!$M$5:$M$2004,MATCH($K69,'سجل التحفيز'!$AC$5:$AC$2004,0)))</f>
        <v/>
      </c>
      <c r="O69" s="9">
        <f>IF($K69="","",INDEX('سجل التحفيز'!$C$5:$C$2004,MATCH($K69,'سجل التحفيز'!$AC$5:$AC$2004,0)))</f>
        <v/>
      </c>
      <c r="P69" s="36">
        <f>IF($K69="","",INDEX('سجل التحفيز'!$D$5:$D$2004,MATCH($K69,'سجل التحفيز'!$AC$5:$AC$2004,0)))</f>
        <v/>
      </c>
      <c r="Q69" s="9">
        <f>IF($K69="","",INDEX('سجل التحفيز'!$E$5:$E$2004,MATCH($K69,'سجل التحفيز'!$AC$5:$AC$2004,0)))</f>
        <v/>
      </c>
      <c r="R69" s="9">
        <f>IF($K69="","",INDEX('سجل التحفيز'!$F$5:$F$2004,MATCH($K69,'سجل التحفيز'!$AC$5:$AC$2004,0)))</f>
        <v/>
      </c>
      <c r="S69" s="35">
        <f>IF($K69="","",INDEX('سجل التحفيز'!$G$5:$G$2004,MATCH($K69,'سجل التحفيز'!$AC$5:$AC$2004,0)))</f>
        <v/>
      </c>
    </row>
    <row r="70">
      <c r="B70" s="34">
        <f>IFERROR(INDEX(الموظفات!$B$5:$B$304,MATCH(33,الموظفات!$W$5:$W$304,0)),"")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التحفيز'!$AC$5:$AC$2004,"&gt;0",'سجل التحفيز'!$B$5:$B$2004,B70))</f>
        <v/>
      </c>
      <c r="E70" s="35">
        <f>IF(B70="","",COUNTIFS('سجل التحفيز'!$AC$5:$AC$2004,"&gt;0",'سجل التحفيز'!$B$5:$B$2004,B70,'سجل التحفيز'!$D$5:$D$2004,"ذهبي"))</f>
        <v/>
      </c>
      <c r="F70" s="35">
        <f>IF(B70="","",SUMIFS('سجل التحفيز'!$G$5:$G$2004,'سجل التحفيز'!$AC$5:$AC$2004,"&gt;0",'سجل التحفيز'!$B$5:$B$2004,B70))</f>
        <v/>
      </c>
      <c r="G70" s="35">
        <f>IF(B70="","",COUNTIF($D$38:$D$187,"&gt;"&amp;D70)+1)</f>
        <v/>
      </c>
      <c r="H70" s="35">
        <f>IF(B70="","",INDEX(الموظفات!$L$5:$L$304,MATCH(B70,الموظفات!$B$5:$B$304,0)))</f>
        <v/>
      </c>
      <c r="K70" s="36">
        <f>IF(33&gt;$B$10,"",33)</f>
        <v/>
      </c>
      <c r="L70" s="37">
        <f>IF($K70="","",INDEX('سجل التحفيز'!$A$5:$A$2004,MATCH($K70,'سجل التحفيز'!$AC$5:$AC$2004,0)))</f>
        <v/>
      </c>
      <c r="M70" s="9">
        <f>IF($K70="","",INDEX('سجل التحفيز'!$B$5:$B$2004,MATCH($K70,'سجل التحفيز'!$AC$5:$AC$2004,0)))</f>
        <v/>
      </c>
      <c r="N70" s="9">
        <f>IF($K70="","",INDEX('سجل التحفيز'!$M$5:$M$2004,MATCH($K70,'سجل التحفيز'!$AC$5:$AC$2004,0)))</f>
        <v/>
      </c>
      <c r="O70" s="9">
        <f>IF($K70="","",INDEX('سجل التحفيز'!$C$5:$C$2004,MATCH($K70,'سجل التحفيز'!$AC$5:$AC$2004,0)))</f>
        <v/>
      </c>
      <c r="P70" s="36">
        <f>IF($K70="","",INDEX('سجل التحفيز'!$D$5:$D$2004,MATCH($K70,'سجل التحفيز'!$AC$5:$AC$2004,0)))</f>
        <v/>
      </c>
      <c r="Q70" s="9">
        <f>IF($K70="","",INDEX('سجل التحفيز'!$E$5:$E$2004,MATCH($K70,'سجل التحفيز'!$AC$5:$AC$2004,0)))</f>
        <v/>
      </c>
      <c r="R70" s="9">
        <f>IF($K70="","",INDEX('سجل التحفيز'!$F$5:$F$2004,MATCH($K70,'سجل التحفيز'!$AC$5:$AC$2004,0)))</f>
        <v/>
      </c>
      <c r="S70" s="35">
        <f>IF($K70="","",INDEX('سجل التحفيز'!$G$5:$G$2004,MATCH($K70,'سجل التحفيز'!$AC$5:$AC$2004,0)))</f>
        <v/>
      </c>
    </row>
    <row r="71">
      <c r="B71" s="34">
        <f>IFERROR(INDEX(الموظفات!$B$5:$B$304,MATCH(34,الموظفات!$W$5:$W$304,0)),"")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التحفيز'!$AC$5:$AC$2004,"&gt;0",'سجل التحفيز'!$B$5:$B$2004,B71))</f>
        <v/>
      </c>
      <c r="E71" s="35">
        <f>IF(B71="","",COUNTIFS('سجل التحفيز'!$AC$5:$AC$2004,"&gt;0",'سجل التحفيز'!$B$5:$B$2004,B71,'سجل التحفيز'!$D$5:$D$2004,"ذهبي"))</f>
        <v/>
      </c>
      <c r="F71" s="35">
        <f>IF(B71="","",SUMIFS('سجل التحفيز'!$G$5:$G$2004,'سجل التحفيز'!$AC$5:$AC$2004,"&gt;0",'سجل التحفيز'!$B$5:$B$2004,B71))</f>
        <v/>
      </c>
      <c r="G71" s="35">
        <f>IF(B71="","",COUNTIF($D$38:$D$187,"&gt;"&amp;D71)+1)</f>
        <v/>
      </c>
      <c r="H71" s="35">
        <f>IF(B71="","",INDEX(الموظفات!$L$5:$L$304,MATCH(B71,الموظفات!$B$5:$B$304,0)))</f>
        <v/>
      </c>
      <c r="K71" s="36">
        <f>IF(34&gt;$B$10,"",34)</f>
        <v/>
      </c>
      <c r="L71" s="37">
        <f>IF($K71="","",INDEX('سجل التحفيز'!$A$5:$A$2004,MATCH($K71,'سجل التحفيز'!$AC$5:$AC$2004,0)))</f>
        <v/>
      </c>
      <c r="M71" s="9">
        <f>IF($K71="","",INDEX('سجل التحفيز'!$B$5:$B$2004,MATCH($K71,'سجل التحفيز'!$AC$5:$AC$2004,0)))</f>
        <v/>
      </c>
      <c r="N71" s="9">
        <f>IF($K71="","",INDEX('سجل التحفيز'!$M$5:$M$2004,MATCH($K71,'سجل التحفيز'!$AC$5:$AC$2004,0)))</f>
        <v/>
      </c>
      <c r="O71" s="9">
        <f>IF($K71="","",INDEX('سجل التحفيز'!$C$5:$C$2004,MATCH($K71,'سجل التحفيز'!$AC$5:$AC$2004,0)))</f>
        <v/>
      </c>
      <c r="P71" s="36">
        <f>IF($K71="","",INDEX('سجل التحفيز'!$D$5:$D$2004,MATCH($K71,'سجل التحفيز'!$AC$5:$AC$2004,0)))</f>
        <v/>
      </c>
      <c r="Q71" s="9">
        <f>IF($K71="","",INDEX('سجل التحفيز'!$E$5:$E$2004,MATCH($K71,'سجل التحفيز'!$AC$5:$AC$2004,0)))</f>
        <v/>
      </c>
      <c r="R71" s="9">
        <f>IF($K71="","",INDEX('سجل التحفيز'!$F$5:$F$2004,MATCH($K71,'سجل التحفيز'!$AC$5:$AC$2004,0)))</f>
        <v/>
      </c>
      <c r="S71" s="35">
        <f>IF($K71="","",INDEX('سجل التحفيز'!$G$5:$G$2004,MATCH($K71,'سجل التحفيز'!$AC$5:$AC$2004,0)))</f>
        <v/>
      </c>
    </row>
    <row r="72">
      <c r="B72" s="34">
        <f>IFERROR(INDEX(الموظفات!$B$5:$B$304,MATCH(35,الموظفات!$W$5:$W$304,0)),"")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التحفيز'!$AC$5:$AC$2004,"&gt;0",'سجل التحفيز'!$B$5:$B$2004,B72))</f>
        <v/>
      </c>
      <c r="E72" s="35">
        <f>IF(B72="","",COUNTIFS('سجل التحفيز'!$AC$5:$AC$2004,"&gt;0",'سجل التحفيز'!$B$5:$B$2004,B72,'سجل التحفيز'!$D$5:$D$2004,"ذهبي"))</f>
        <v/>
      </c>
      <c r="F72" s="35">
        <f>IF(B72="","",SUMIFS('سجل التحفيز'!$G$5:$G$2004,'سجل التحفيز'!$AC$5:$AC$2004,"&gt;0",'سجل التحفيز'!$B$5:$B$2004,B72))</f>
        <v/>
      </c>
      <c r="G72" s="35">
        <f>IF(B72="","",COUNTIF($D$38:$D$187,"&gt;"&amp;D72)+1)</f>
        <v/>
      </c>
      <c r="H72" s="35">
        <f>IF(B72="","",INDEX(الموظفات!$L$5:$L$304,MATCH(B72,الموظفات!$B$5:$B$304,0)))</f>
        <v/>
      </c>
      <c r="K72" s="36">
        <f>IF(35&gt;$B$10,"",35)</f>
        <v/>
      </c>
      <c r="L72" s="37">
        <f>IF($K72="","",INDEX('سجل التحفيز'!$A$5:$A$2004,MATCH($K72,'سجل التحفيز'!$AC$5:$AC$2004,0)))</f>
        <v/>
      </c>
      <c r="M72" s="9">
        <f>IF($K72="","",INDEX('سجل التحفيز'!$B$5:$B$2004,MATCH($K72,'سجل التحفيز'!$AC$5:$AC$2004,0)))</f>
        <v/>
      </c>
      <c r="N72" s="9">
        <f>IF($K72="","",INDEX('سجل التحفيز'!$M$5:$M$2004,MATCH($K72,'سجل التحفيز'!$AC$5:$AC$2004,0)))</f>
        <v/>
      </c>
      <c r="O72" s="9">
        <f>IF($K72="","",INDEX('سجل التحفيز'!$C$5:$C$2004,MATCH($K72,'سجل التحفيز'!$AC$5:$AC$2004,0)))</f>
        <v/>
      </c>
      <c r="P72" s="36">
        <f>IF($K72="","",INDEX('سجل التحفيز'!$D$5:$D$2004,MATCH($K72,'سجل التحفيز'!$AC$5:$AC$2004,0)))</f>
        <v/>
      </c>
      <c r="Q72" s="9">
        <f>IF($K72="","",INDEX('سجل التحفيز'!$E$5:$E$2004,MATCH($K72,'سجل التحفيز'!$AC$5:$AC$2004,0)))</f>
        <v/>
      </c>
      <c r="R72" s="9">
        <f>IF($K72="","",INDEX('سجل التحفيز'!$F$5:$F$2004,MATCH($K72,'سجل التحفيز'!$AC$5:$AC$2004,0)))</f>
        <v/>
      </c>
      <c r="S72" s="35">
        <f>IF($K72="","",INDEX('سجل التحفيز'!$G$5:$G$2004,MATCH($K72,'سجل التحفيز'!$AC$5:$AC$2004,0)))</f>
        <v/>
      </c>
    </row>
    <row r="73">
      <c r="B73" s="34">
        <f>IFERROR(INDEX(الموظفات!$B$5:$B$304,MATCH(36,الموظفات!$W$5:$W$304,0)),"")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التحفيز'!$AC$5:$AC$2004,"&gt;0",'سجل التحفيز'!$B$5:$B$2004,B73))</f>
        <v/>
      </c>
      <c r="E73" s="35">
        <f>IF(B73="","",COUNTIFS('سجل التحفيز'!$AC$5:$AC$2004,"&gt;0",'سجل التحفيز'!$B$5:$B$2004,B73,'سجل التحفيز'!$D$5:$D$2004,"ذهبي"))</f>
        <v/>
      </c>
      <c r="F73" s="35">
        <f>IF(B73="","",SUMIFS('سجل التحفيز'!$G$5:$G$2004,'سجل التحفيز'!$AC$5:$AC$2004,"&gt;0",'سجل التحفيز'!$B$5:$B$2004,B73))</f>
        <v/>
      </c>
      <c r="G73" s="35">
        <f>IF(B73="","",COUNTIF($D$38:$D$187,"&gt;"&amp;D73)+1)</f>
        <v/>
      </c>
      <c r="H73" s="35">
        <f>IF(B73="","",INDEX(الموظفات!$L$5:$L$304,MATCH(B73,الموظفات!$B$5:$B$304,0)))</f>
        <v/>
      </c>
      <c r="K73" s="36">
        <f>IF(36&gt;$B$10,"",36)</f>
        <v/>
      </c>
      <c r="L73" s="37">
        <f>IF($K73="","",INDEX('سجل التحفيز'!$A$5:$A$2004,MATCH($K73,'سجل التحفيز'!$AC$5:$AC$2004,0)))</f>
        <v/>
      </c>
      <c r="M73" s="9">
        <f>IF($K73="","",INDEX('سجل التحفيز'!$B$5:$B$2004,MATCH($K73,'سجل التحفيز'!$AC$5:$AC$2004,0)))</f>
        <v/>
      </c>
      <c r="N73" s="9">
        <f>IF($K73="","",INDEX('سجل التحفيز'!$M$5:$M$2004,MATCH($K73,'سجل التحفيز'!$AC$5:$AC$2004,0)))</f>
        <v/>
      </c>
      <c r="O73" s="9">
        <f>IF($K73="","",INDEX('سجل التحفيز'!$C$5:$C$2004,MATCH($K73,'سجل التحفيز'!$AC$5:$AC$2004,0)))</f>
        <v/>
      </c>
      <c r="P73" s="36">
        <f>IF($K73="","",INDEX('سجل التحفيز'!$D$5:$D$2004,MATCH($K73,'سجل التحفيز'!$AC$5:$AC$2004,0)))</f>
        <v/>
      </c>
      <c r="Q73" s="9">
        <f>IF($K73="","",INDEX('سجل التحفيز'!$E$5:$E$2004,MATCH($K73,'سجل التحفيز'!$AC$5:$AC$2004,0)))</f>
        <v/>
      </c>
      <c r="R73" s="9">
        <f>IF($K73="","",INDEX('سجل التحفيز'!$F$5:$F$2004,MATCH($K73,'سجل التحفيز'!$AC$5:$AC$2004,0)))</f>
        <v/>
      </c>
      <c r="S73" s="35">
        <f>IF($K73="","",INDEX('سجل التحفيز'!$G$5:$G$2004,MATCH($K73,'سجل التحفيز'!$AC$5:$AC$2004,0)))</f>
        <v/>
      </c>
    </row>
    <row r="74">
      <c r="B74" s="34">
        <f>IFERROR(INDEX(الموظفات!$B$5:$B$304,MATCH(37,الموظفات!$W$5:$W$304,0)),"")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التحفيز'!$AC$5:$AC$2004,"&gt;0",'سجل التحفيز'!$B$5:$B$2004,B74))</f>
        <v/>
      </c>
      <c r="E74" s="35">
        <f>IF(B74="","",COUNTIFS('سجل التحفيز'!$AC$5:$AC$2004,"&gt;0",'سجل التحفيز'!$B$5:$B$2004,B74,'سجل التحفيز'!$D$5:$D$2004,"ذهبي"))</f>
        <v/>
      </c>
      <c r="F74" s="35">
        <f>IF(B74="","",SUMIFS('سجل التحفيز'!$G$5:$G$2004,'سجل التحفيز'!$AC$5:$AC$2004,"&gt;0",'سجل التحفيز'!$B$5:$B$2004,B74))</f>
        <v/>
      </c>
      <c r="G74" s="35">
        <f>IF(B74="","",COUNTIF($D$38:$D$187,"&gt;"&amp;D74)+1)</f>
        <v/>
      </c>
      <c r="H74" s="35">
        <f>IF(B74="","",INDEX(الموظفات!$L$5:$L$304,MATCH(B74,الموظفات!$B$5:$B$304,0)))</f>
        <v/>
      </c>
      <c r="K74" s="36">
        <f>IF(37&gt;$B$10,"",37)</f>
        <v/>
      </c>
      <c r="L74" s="37">
        <f>IF($K74="","",INDEX('سجل التحفيز'!$A$5:$A$2004,MATCH($K74,'سجل التحفيز'!$AC$5:$AC$2004,0)))</f>
        <v/>
      </c>
      <c r="M74" s="9">
        <f>IF($K74="","",INDEX('سجل التحفيز'!$B$5:$B$2004,MATCH($K74,'سجل التحفيز'!$AC$5:$AC$2004,0)))</f>
        <v/>
      </c>
      <c r="N74" s="9">
        <f>IF($K74="","",INDEX('سجل التحفيز'!$M$5:$M$2004,MATCH($K74,'سجل التحفيز'!$AC$5:$AC$2004,0)))</f>
        <v/>
      </c>
      <c r="O74" s="9">
        <f>IF($K74="","",INDEX('سجل التحفيز'!$C$5:$C$2004,MATCH($K74,'سجل التحفيز'!$AC$5:$AC$2004,0)))</f>
        <v/>
      </c>
      <c r="P74" s="36">
        <f>IF($K74="","",INDEX('سجل التحفيز'!$D$5:$D$2004,MATCH($K74,'سجل التحفيز'!$AC$5:$AC$2004,0)))</f>
        <v/>
      </c>
      <c r="Q74" s="9">
        <f>IF($K74="","",INDEX('سجل التحفيز'!$E$5:$E$2004,MATCH($K74,'سجل التحفيز'!$AC$5:$AC$2004,0)))</f>
        <v/>
      </c>
      <c r="R74" s="9">
        <f>IF($K74="","",INDEX('سجل التحفيز'!$F$5:$F$2004,MATCH($K74,'سجل التحفيز'!$AC$5:$AC$2004,0)))</f>
        <v/>
      </c>
      <c r="S74" s="35">
        <f>IF($K74="","",INDEX('سجل التحفيز'!$G$5:$G$2004,MATCH($K74,'سجل التحفيز'!$AC$5:$AC$2004,0)))</f>
        <v/>
      </c>
    </row>
    <row r="75">
      <c r="B75" s="34">
        <f>IFERROR(INDEX(الموظفات!$B$5:$B$304,MATCH(38,الموظفات!$W$5:$W$304,0)),"")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التحفيز'!$AC$5:$AC$2004,"&gt;0",'سجل التحفيز'!$B$5:$B$2004,B75))</f>
        <v/>
      </c>
      <c r="E75" s="35">
        <f>IF(B75="","",COUNTIFS('سجل التحفيز'!$AC$5:$AC$2004,"&gt;0",'سجل التحفيز'!$B$5:$B$2004,B75,'سجل التحفيز'!$D$5:$D$2004,"ذهبي"))</f>
        <v/>
      </c>
      <c r="F75" s="35">
        <f>IF(B75="","",SUMIFS('سجل التحفيز'!$G$5:$G$2004,'سجل التحفيز'!$AC$5:$AC$2004,"&gt;0",'سجل التحفيز'!$B$5:$B$2004,B75))</f>
        <v/>
      </c>
      <c r="G75" s="35">
        <f>IF(B75="","",COUNTIF($D$38:$D$187,"&gt;"&amp;D75)+1)</f>
        <v/>
      </c>
      <c r="H75" s="35">
        <f>IF(B75="","",INDEX(الموظفات!$L$5:$L$304,MATCH(B75,الموظفات!$B$5:$B$304,0)))</f>
        <v/>
      </c>
      <c r="K75" s="36">
        <f>IF(38&gt;$B$10,"",38)</f>
        <v/>
      </c>
      <c r="L75" s="37">
        <f>IF($K75="","",INDEX('سجل التحفيز'!$A$5:$A$2004,MATCH($K75,'سجل التحفيز'!$AC$5:$AC$2004,0)))</f>
        <v/>
      </c>
      <c r="M75" s="9">
        <f>IF($K75="","",INDEX('سجل التحفيز'!$B$5:$B$2004,MATCH($K75,'سجل التحفيز'!$AC$5:$AC$2004,0)))</f>
        <v/>
      </c>
      <c r="N75" s="9">
        <f>IF($K75="","",INDEX('سجل التحفيز'!$M$5:$M$2004,MATCH($K75,'سجل التحفيز'!$AC$5:$AC$2004,0)))</f>
        <v/>
      </c>
      <c r="O75" s="9">
        <f>IF($K75="","",INDEX('سجل التحفيز'!$C$5:$C$2004,MATCH($K75,'سجل التحفيز'!$AC$5:$AC$2004,0)))</f>
        <v/>
      </c>
      <c r="P75" s="36">
        <f>IF($K75="","",INDEX('سجل التحفيز'!$D$5:$D$2004,MATCH($K75,'سجل التحفيز'!$AC$5:$AC$2004,0)))</f>
        <v/>
      </c>
      <c r="Q75" s="9">
        <f>IF($K75="","",INDEX('سجل التحفيز'!$E$5:$E$2004,MATCH($K75,'سجل التحفيز'!$AC$5:$AC$2004,0)))</f>
        <v/>
      </c>
      <c r="R75" s="9">
        <f>IF($K75="","",INDEX('سجل التحفيز'!$F$5:$F$2004,MATCH($K75,'سجل التحفيز'!$AC$5:$AC$2004,0)))</f>
        <v/>
      </c>
      <c r="S75" s="35">
        <f>IF($K75="","",INDEX('سجل التحفيز'!$G$5:$G$2004,MATCH($K75,'سجل التحفيز'!$AC$5:$AC$2004,0)))</f>
        <v/>
      </c>
    </row>
    <row r="76">
      <c r="B76" s="34">
        <f>IFERROR(INDEX(الموظفات!$B$5:$B$304,MATCH(39,الموظفات!$W$5:$W$304,0)),"")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التحفيز'!$AC$5:$AC$2004,"&gt;0",'سجل التحفيز'!$B$5:$B$2004,B76))</f>
        <v/>
      </c>
      <c r="E76" s="35">
        <f>IF(B76="","",COUNTIFS('سجل التحفيز'!$AC$5:$AC$2004,"&gt;0",'سجل التحفيز'!$B$5:$B$2004,B76,'سجل التحفيز'!$D$5:$D$2004,"ذهبي"))</f>
        <v/>
      </c>
      <c r="F76" s="35">
        <f>IF(B76="","",SUMIFS('سجل التحفيز'!$G$5:$G$2004,'سجل التحفيز'!$AC$5:$AC$2004,"&gt;0",'سجل التحفيز'!$B$5:$B$2004,B76))</f>
        <v/>
      </c>
      <c r="G76" s="35">
        <f>IF(B76="","",COUNTIF($D$38:$D$187,"&gt;"&amp;D76)+1)</f>
        <v/>
      </c>
      <c r="H76" s="35">
        <f>IF(B76="","",INDEX(الموظفات!$L$5:$L$304,MATCH(B76,الموظفات!$B$5:$B$304,0)))</f>
        <v/>
      </c>
      <c r="K76" s="36">
        <f>IF(39&gt;$B$10,"",39)</f>
        <v/>
      </c>
      <c r="L76" s="37">
        <f>IF($K76="","",INDEX('سجل التحفيز'!$A$5:$A$2004,MATCH($K76,'سجل التحفيز'!$AC$5:$AC$2004,0)))</f>
        <v/>
      </c>
      <c r="M76" s="9">
        <f>IF($K76="","",INDEX('سجل التحفيز'!$B$5:$B$2004,MATCH($K76,'سجل التحفيز'!$AC$5:$AC$2004,0)))</f>
        <v/>
      </c>
      <c r="N76" s="9">
        <f>IF($K76="","",INDEX('سجل التحفيز'!$M$5:$M$2004,MATCH($K76,'سجل التحفيز'!$AC$5:$AC$2004,0)))</f>
        <v/>
      </c>
      <c r="O76" s="9">
        <f>IF($K76="","",INDEX('سجل التحفيز'!$C$5:$C$2004,MATCH($K76,'سجل التحفيز'!$AC$5:$AC$2004,0)))</f>
        <v/>
      </c>
      <c r="P76" s="36">
        <f>IF($K76="","",INDEX('سجل التحفيز'!$D$5:$D$2004,MATCH($K76,'سجل التحفيز'!$AC$5:$AC$2004,0)))</f>
        <v/>
      </c>
      <c r="Q76" s="9">
        <f>IF($K76="","",INDEX('سجل التحفيز'!$E$5:$E$2004,MATCH($K76,'سجل التحفيز'!$AC$5:$AC$2004,0)))</f>
        <v/>
      </c>
      <c r="R76" s="9">
        <f>IF($K76="","",INDEX('سجل التحفيز'!$F$5:$F$2004,MATCH($K76,'سجل التحفيز'!$AC$5:$AC$2004,0)))</f>
        <v/>
      </c>
      <c r="S76" s="35">
        <f>IF($K76="","",INDEX('سجل التحفيز'!$G$5:$G$2004,MATCH($K76,'سجل التحفيز'!$AC$5:$AC$2004,0)))</f>
        <v/>
      </c>
    </row>
    <row r="77">
      <c r="B77" s="34">
        <f>IFERROR(INDEX(الموظفات!$B$5:$B$304,MATCH(40,الموظفات!$W$5:$W$304,0)),"")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التحفيز'!$AC$5:$AC$2004,"&gt;0",'سجل التحفيز'!$B$5:$B$2004,B77))</f>
        <v/>
      </c>
      <c r="E77" s="35">
        <f>IF(B77="","",COUNTIFS('سجل التحفيز'!$AC$5:$AC$2004,"&gt;0",'سجل التحفيز'!$B$5:$B$2004,B77,'سجل التحفيز'!$D$5:$D$2004,"ذهبي"))</f>
        <v/>
      </c>
      <c r="F77" s="35">
        <f>IF(B77="","",SUMIFS('سجل التحفيز'!$G$5:$G$2004,'سجل التحفيز'!$AC$5:$AC$2004,"&gt;0",'سجل التحفيز'!$B$5:$B$2004,B77))</f>
        <v/>
      </c>
      <c r="G77" s="35">
        <f>IF(B77="","",COUNTIF($D$38:$D$187,"&gt;"&amp;D77)+1)</f>
        <v/>
      </c>
      <c r="H77" s="35">
        <f>IF(B77="","",INDEX(الموظفات!$L$5:$L$304,MATCH(B77,الموظفات!$B$5:$B$304,0)))</f>
        <v/>
      </c>
      <c r="K77" s="36">
        <f>IF(40&gt;$B$10,"",40)</f>
        <v/>
      </c>
      <c r="L77" s="37">
        <f>IF($K77="","",INDEX('سجل التحفيز'!$A$5:$A$2004,MATCH($K77,'سجل التحفيز'!$AC$5:$AC$2004,0)))</f>
        <v/>
      </c>
      <c r="M77" s="9">
        <f>IF($K77="","",INDEX('سجل التحفيز'!$B$5:$B$2004,MATCH($K77,'سجل التحفيز'!$AC$5:$AC$2004,0)))</f>
        <v/>
      </c>
      <c r="N77" s="9">
        <f>IF($K77="","",INDEX('سجل التحفيز'!$M$5:$M$2004,MATCH($K77,'سجل التحفيز'!$AC$5:$AC$2004,0)))</f>
        <v/>
      </c>
      <c r="O77" s="9">
        <f>IF($K77="","",INDEX('سجل التحفيز'!$C$5:$C$2004,MATCH($K77,'سجل التحفيز'!$AC$5:$AC$2004,0)))</f>
        <v/>
      </c>
      <c r="P77" s="36">
        <f>IF($K77="","",INDEX('سجل التحفيز'!$D$5:$D$2004,MATCH($K77,'سجل التحفيز'!$AC$5:$AC$2004,0)))</f>
        <v/>
      </c>
      <c r="Q77" s="9">
        <f>IF($K77="","",INDEX('سجل التحفيز'!$E$5:$E$2004,MATCH($K77,'سجل التحفيز'!$AC$5:$AC$2004,0)))</f>
        <v/>
      </c>
      <c r="R77" s="9">
        <f>IF($K77="","",INDEX('سجل التحفيز'!$F$5:$F$2004,MATCH($K77,'سجل التحفيز'!$AC$5:$AC$2004,0)))</f>
        <v/>
      </c>
      <c r="S77" s="35">
        <f>IF($K77="","",INDEX('سجل التحفيز'!$G$5:$G$2004,MATCH($K77,'سجل التحفيز'!$AC$5:$AC$2004,0)))</f>
        <v/>
      </c>
    </row>
    <row r="78">
      <c r="B78" s="34">
        <f>IFERROR(INDEX(الموظفات!$B$5:$B$304,MATCH(41,الموظفات!$W$5:$W$304,0)),"")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التحفيز'!$AC$5:$AC$2004,"&gt;0",'سجل التحفيز'!$B$5:$B$2004,B78))</f>
        <v/>
      </c>
      <c r="E78" s="35">
        <f>IF(B78="","",COUNTIFS('سجل التحفيز'!$AC$5:$AC$2004,"&gt;0",'سجل التحفيز'!$B$5:$B$2004,B78,'سجل التحفيز'!$D$5:$D$2004,"ذهبي"))</f>
        <v/>
      </c>
      <c r="F78" s="35">
        <f>IF(B78="","",SUMIFS('سجل التحفيز'!$G$5:$G$2004,'سجل التحفيز'!$AC$5:$AC$2004,"&gt;0",'سجل التحفيز'!$B$5:$B$2004,B78))</f>
        <v/>
      </c>
      <c r="G78" s="35">
        <f>IF(B78="","",COUNTIF($D$38:$D$187,"&gt;"&amp;D78)+1)</f>
        <v/>
      </c>
      <c r="H78" s="35">
        <f>IF(B78="","",INDEX(الموظفات!$L$5:$L$304,MATCH(B78,الموظفات!$B$5:$B$304,0)))</f>
        <v/>
      </c>
      <c r="K78" s="36">
        <f>IF(41&gt;$B$10,"",41)</f>
        <v/>
      </c>
      <c r="L78" s="37">
        <f>IF($K78="","",INDEX('سجل التحفيز'!$A$5:$A$2004,MATCH($K78,'سجل التحفيز'!$AC$5:$AC$2004,0)))</f>
        <v/>
      </c>
      <c r="M78" s="9">
        <f>IF($K78="","",INDEX('سجل التحفيز'!$B$5:$B$2004,MATCH($K78,'سجل التحفيز'!$AC$5:$AC$2004,0)))</f>
        <v/>
      </c>
      <c r="N78" s="9">
        <f>IF($K78="","",INDEX('سجل التحفيز'!$M$5:$M$2004,MATCH($K78,'سجل التحفيز'!$AC$5:$AC$2004,0)))</f>
        <v/>
      </c>
      <c r="O78" s="9">
        <f>IF($K78="","",INDEX('سجل التحفيز'!$C$5:$C$2004,MATCH($K78,'سجل التحفيز'!$AC$5:$AC$2004,0)))</f>
        <v/>
      </c>
      <c r="P78" s="36">
        <f>IF($K78="","",INDEX('سجل التحفيز'!$D$5:$D$2004,MATCH($K78,'سجل التحفيز'!$AC$5:$AC$2004,0)))</f>
        <v/>
      </c>
      <c r="Q78" s="9">
        <f>IF($K78="","",INDEX('سجل التحفيز'!$E$5:$E$2004,MATCH($K78,'سجل التحفيز'!$AC$5:$AC$2004,0)))</f>
        <v/>
      </c>
      <c r="R78" s="9">
        <f>IF($K78="","",INDEX('سجل التحفيز'!$F$5:$F$2004,MATCH($K78,'سجل التحفيز'!$AC$5:$AC$2004,0)))</f>
        <v/>
      </c>
      <c r="S78" s="35">
        <f>IF($K78="","",INDEX('سجل التحفيز'!$G$5:$G$2004,MATCH($K78,'سجل التحفيز'!$AC$5:$AC$2004,0)))</f>
        <v/>
      </c>
    </row>
    <row r="79">
      <c r="B79" s="34">
        <f>IFERROR(INDEX(الموظفات!$B$5:$B$304,MATCH(42,الموظفات!$W$5:$W$304,0)),"")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التحفيز'!$AC$5:$AC$2004,"&gt;0",'سجل التحفيز'!$B$5:$B$2004,B79))</f>
        <v/>
      </c>
      <c r="E79" s="35">
        <f>IF(B79="","",COUNTIFS('سجل التحفيز'!$AC$5:$AC$2004,"&gt;0",'سجل التحفيز'!$B$5:$B$2004,B79,'سجل التحفيز'!$D$5:$D$2004,"ذهبي"))</f>
        <v/>
      </c>
      <c r="F79" s="35">
        <f>IF(B79="","",SUMIFS('سجل التحفيز'!$G$5:$G$2004,'سجل التحفيز'!$AC$5:$AC$2004,"&gt;0",'سجل التحفيز'!$B$5:$B$2004,B79))</f>
        <v/>
      </c>
      <c r="G79" s="35">
        <f>IF(B79="","",COUNTIF($D$38:$D$187,"&gt;"&amp;D79)+1)</f>
        <v/>
      </c>
      <c r="H79" s="35">
        <f>IF(B79="","",INDEX(الموظفات!$L$5:$L$304,MATCH(B79,الموظفات!$B$5:$B$304,0)))</f>
        <v/>
      </c>
      <c r="K79" s="36">
        <f>IF(42&gt;$B$10,"",42)</f>
        <v/>
      </c>
      <c r="L79" s="37">
        <f>IF($K79="","",INDEX('سجل التحفيز'!$A$5:$A$2004,MATCH($K79,'سجل التحفيز'!$AC$5:$AC$2004,0)))</f>
        <v/>
      </c>
      <c r="M79" s="9">
        <f>IF($K79="","",INDEX('سجل التحفيز'!$B$5:$B$2004,MATCH($K79,'سجل التحفيز'!$AC$5:$AC$2004,0)))</f>
        <v/>
      </c>
      <c r="N79" s="9">
        <f>IF($K79="","",INDEX('سجل التحفيز'!$M$5:$M$2004,MATCH($K79,'سجل التحفيز'!$AC$5:$AC$2004,0)))</f>
        <v/>
      </c>
      <c r="O79" s="9">
        <f>IF($K79="","",INDEX('سجل التحفيز'!$C$5:$C$2004,MATCH($K79,'سجل التحفيز'!$AC$5:$AC$2004,0)))</f>
        <v/>
      </c>
      <c r="P79" s="36">
        <f>IF($K79="","",INDEX('سجل التحفيز'!$D$5:$D$2004,MATCH($K79,'سجل التحفيز'!$AC$5:$AC$2004,0)))</f>
        <v/>
      </c>
      <c r="Q79" s="9">
        <f>IF($K79="","",INDEX('سجل التحفيز'!$E$5:$E$2004,MATCH($K79,'سجل التحفيز'!$AC$5:$AC$2004,0)))</f>
        <v/>
      </c>
      <c r="R79" s="9">
        <f>IF($K79="","",INDEX('سجل التحفيز'!$F$5:$F$2004,MATCH($K79,'سجل التحفيز'!$AC$5:$AC$2004,0)))</f>
        <v/>
      </c>
      <c r="S79" s="35">
        <f>IF($K79="","",INDEX('سجل التحفيز'!$G$5:$G$2004,MATCH($K79,'سجل التحفيز'!$AC$5:$AC$2004,0)))</f>
        <v/>
      </c>
    </row>
    <row r="80">
      <c r="B80" s="34">
        <f>IFERROR(INDEX(الموظفات!$B$5:$B$304,MATCH(43,الموظفات!$W$5:$W$304,0)),"")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التحفيز'!$AC$5:$AC$2004,"&gt;0",'سجل التحفيز'!$B$5:$B$2004,B80))</f>
        <v/>
      </c>
      <c r="E80" s="35">
        <f>IF(B80="","",COUNTIFS('سجل التحفيز'!$AC$5:$AC$2004,"&gt;0",'سجل التحفيز'!$B$5:$B$2004,B80,'سجل التحفيز'!$D$5:$D$2004,"ذهبي"))</f>
        <v/>
      </c>
      <c r="F80" s="35">
        <f>IF(B80="","",SUMIFS('سجل التحفيز'!$G$5:$G$2004,'سجل التحفيز'!$AC$5:$AC$2004,"&gt;0",'سجل التحفيز'!$B$5:$B$2004,B80))</f>
        <v/>
      </c>
      <c r="G80" s="35">
        <f>IF(B80="","",COUNTIF($D$38:$D$187,"&gt;"&amp;D80)+1)</f>
        <v/>
      </c>
      <c r="H80" s="35">
        <f>IF(B80="","",INDEX(الموظفات!$L$5:$L$304,MATCH(B80,الموظفات!$B$5:$B$304,0)))</f>
        <v/>
      </c>
      <c r="K80" s="36">
        <f>IF(43&gt;$B$10,"",43)</f>
        <v/>
      </c>
      <c r="L80" s="37">
        <f>IF($K80="","",INDEX('سجل التحفيز'!$A$5:$A$2004,MATCH($K80,'سجل التحفيز'!$AC$5:$AC$2004,0)))</f>
        <v/>
      </c>
      <c r="M80" s="9">
        <f>IF($K80="","",INDEX('سجل التحفيز'!$B$5:$B$2004,MATCH($K80,'سجل التحفيز'!$AC$5:$AC$2004,0)))</f>
        <v/>
      </c>
      <c r="N80" s="9">
        <f>IF($K80="","",INDEX('سجل التحفيز'!$M$5:$M$2004,MATCH($K80,'سجل التحفيز'!$AC$5:$AC$2004,0)))</f>
        <v/>
      </c>
      <c r="O80" s="9">
        <f>IF($K80="","",INDEX('سجل التحفيز'!$C$5:$C$2004,MATCH($K80,'سجل التحفيز'!$AC$5:$AC$2004,0)))</f>
        <v/>
      </c>
      <c r="P80" s="36">
        <f>IF($K80="","",INDEX('سجل التحفيز'!$D$5:$D$2004,MATCH($K80,'سجل التحفيز'!$AC$5:$AC$2004,0)))</f>
        <v/>
      </c>
      <c r="Q80" s="9">
        <f>IF($K80="","",INDEX('سجل التحفيز'!$E$5:$E$2004,MATCH($K80,'سجل التحفيز'!$AC$5:$AC$2004,0)))</f>
        <v/>
      </c>
      <c r="R80" s="9">
        <f>IF($K80="","",INDEX('سجل التحفيز'!$F$5:$F$2004,MATCH($K80,'سجل التحفيز'!$AC$5:$AC$2004,0)))</f>
        <v/>
      </c>
      <c r="S80" s="35">
        <f>IF($K80="","",INDEX('سجل التحفيز'!$G$5:$G$2004,MATCH($K80,'سجل التحفيز'!$AC$5:$AC$2004,0)))</f>
        <v/>
      </c>
    </row>
    <row r="81">
      <c r="B81" s="34">
        <f>IFERROR(INDEX(الموظفات!$B$5:$B$304,MATCH(44,الموظفات!$W$5:$W$304,0)),"")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التحفيز'!$AC$5:$AC$2004,"&gt;0",'سجل التحفيز'!$B$5:$B$2004,B81))</f>
        <v/>
      </c>
      <c r="E81" s="35">
        <f>IF(B81="","",COUNTIFS('سجل التحفيز'!$AC$5:$AC$2004,"&gt;0",'سجل التحفيز'!$B$5:$B$2004,B81,'سجل التحفيز'!$D$5:$D$2004,"ذهبي"))</f>
        <v/>
      </c>
      <c r="F81" s="35">
        <f>IF(B81="","",SUMIFS('سجل التحفيز'!$G$5:$G$2004,'سجل التحفيز'!$AC$5:$AC$2004,"&gt;0",'سجل التحفيز'!$B$5:$B$2004,B81))</f>
        <v/>
      </c>
      <c r="G81" s="35">
        <f>IF(B81="","",COUNTIF($D$38:$D$187,"&gt;"&amp;D81)+1)</f>
        <v/>
      </c>
      <c r="H81" s="35">
        <f>IF(B81="","",INDEX(الموظفات!$L$5:$L$304,MATCH(B81,الموظفات!$B$5:$B$304,0)))</f>
        <v/>
      </c>
      <c r="K81" s="36">
        <f>IF(44&gt;$B$10,"",44)</f>
        <v/>
      </c>
      <c r="L81" s="37">
        <f>IF($K81="","",INDEX('سجل التحفيز'!$A$5:$A$2004,MATCH($K81,'سجل التحفيز'!$AC$5:$AC$2004,0)))</f>
        <v/>
      </c>
      <c r="M81" s="9">
        <f>IF($K81="","",INDEX('سجل التحفيز'!$B$5:$B$2004,MATCH($K81,'سجل التحفيز'!$AC$5:$AC$2004,0)))</f>
        <v/>
      </c>
      <c r="N81" s="9">
        <f>IF($K81="","",INDEX('سجل التحفيز'!$M$5:$M$2004,MATCH($K81,'سجل التحفيز'!$AC$5:$AC$2004,0)))</f>
        <v/>
      </c>
      <c r="O81" s="9">
        <f>IF($K81="","",INDEX('سجل التحفيز'!$C$5:$C$2004,MATCH($K81,'سجل التحفيز'!$AC$5:$AC$2004,0)))</f>
        <v/>
      </c>
      <c r="P81" s="36">
        <f>IF($K81="","",INDEX('سجل التحفيز'!$D$5:$D$2004,MATCH($K81,'سجل التحفيز'!$AC$5:$AC$2004,0)))</f>
        <v/>
      </c>
      <c r="Q81" s="9">
        <f>IF($K81="","",INDEX('سجل التحفيز'!$E$5:$E$2004,MATCH($K81,'سجل التحفيز'!$AC$5:$AC$2004,0)))</f>
        <v/>
      </c>
      <c r="R81" s="9">
        <f>IF($K81="","",INDEX('سجل التحفيز'!$F$5:$F$2004,MATCH($K81,'سجل التحفيز'!$AC$5:$AC$2004,0)))</f>
        <v/>
      </c>
      <c r="S81" s="35">
        <f>IF($K81="","",INDEX('سجل التحفيز'!$G$5:$G$2004,MATCH($K81,'سجل التحفيز'!$AC$5:$AC$2004,0)))</f>
        <v/>
      </c>
    </row>
    <row r="82">
      <c r="B82" s="34">
        <f>IFERROR(INDEX(الموظفات!$B$5:$B$304,MATCH(45,الموظفات!$W$5:$W$304,0)),"")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التحفيز'!$AC$5:$AC$2004,"&gt;0",'سجل التحفيز'!$B$5:$B$2004,B82))</f>
        <v/>
      </c>
      <c r="E82" s="35">
        <f>IF(B82="","",COUNTIFS('سجل التحفيز'!$AC$5:$AC$2004,"&gt;0",'سجل التحفيز'!$B$5:$B$2004,B82,'سجل التحفيز'!$D$5:$D$2004,"ذهبي"))</f>
        <v/>
      </c>
      <c r="F82" s="35">
        <f>IF(B82="","",SUMIFS('سجل التحفيز'!$G$5:$G$2004,'سجل التحفيز'!$AC$5:$AC$2004,"&gt;0",'سجل التحفيز'!$B$5:$B$2004,B82))</f>
        <v/>
      </c>
      <c r="G82" s="35">
        <f>IF(B82="","",COUNTIF($D$38:$D$187,"&gt;"&amp;D82)+1)</f>
        <v/>
      </c>
      <c r="H82" s="35">
        <f>IF(B82="","",INDEX(الموظفات!$L$5:$L$304,MATCH(B82,الموظفات!$B$5:$B$304,0)))</f>
        <v/>
      </c>
      <c r="K82" s="36">
        <f>IF(45&gt;$B$10,"",45)</f>
        <v/>
      </c>
      <c r="L82" s="37">
        <f>IF($K82="","",INDEX('سجل التحفيز'!$A$5:$A$2004,MATCH($K82,'سجل التحفيز'!$AC$5:$AC$2004,0)))</f>
        <v/>
      </c>
      <c r="M82" s="9">
        <f>IF($K82="","",INDEX('سجل التحفيز'!$B$5:$B$2004,MATCH($K82,'سجل التحفيز'!$AC$5:$AC$2004,0)))</f>
        <v/>
      </c>
      <c r="N82" s="9">
        <f>IF($K82="","",INDEX('سجل التحفيز'!$M$5:$M$2004,MATCH($K82,'سجل التحفيز'!$AC$5:$AC$2004,0)))</f>
        <v/>
      </c>
      <c r="O82" s="9">
        <f>IF($K82="","",INDEX('سجل التحفيز'!$C$5:$C$2004,MATCH($K82,'سجل التحفيز'!$AC$5:$AC$2004,0)))</f>
        <v/>
      </c>
      <c r="P82" s="36">
        <f>IF($K82="","",INDEX('سجل التحفيز'!$D$5:$D$2004,MATCH($K82,'سجل التحفيز'!$AC$5:$AC$2004,0)))</f>
        <v/>
      </c>
      <c r="Q82" s="9">
        <f>IF($K82="","",INDEX('سجل التحفيز'!$E$5:$E$2004,MATCH($K82,'سجل التحفيز'!$AC$5:$AC$2004,0)))</f>
        <v/>
      </c>
      <c r="R82" s="9">
        <f>IF($K82="","",INDEX('سجل التحفيز'!$F$5:$F$2004,MATCH($K82,'سجل التحفيز'!$AC$5:$AC$2004,0)))</f>
        <v/>
      </c>
      <c r="S82" s="35">
        <f>IF($K82="","",INDEX('سجل التحفيز'!$G$5:$G$2004,MATCH($K82,'سجل التحفيز'!$AC$5:$AC$2004,0)))</f>
        <v/>
      </c>
    </row>
    <row r="83">
      <c r="B83" s="34">
        <f>IFERROR(INDEX(الموظفات!$B$5:$B$304,MATCH(46,الموظفات!$W$5:$W$304,0)),"")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التحفيز'!$AC$5:$AC$2004,"&gt;0",'سجل التحفيز'!$B$5:$B$2004,B83))</f>
        <v/>
      </c>
      <c r="E83" s="35">
        <f>IF(B83="","",COUNTIFS('سجل التحفيز'!$AC$5:$AC$2004,"&gt;0",'سجل التحفيز'!$B$5:$B$2004,B83,'سجل التحفيز'!$D$5:$D$2004,"ذهبي"))</f>
        <v/>
      </c>
      <c r="F83" s="35">
        <f>IF(B83="","",SUMIFS('سجل التحفيز'!$G$5:$G$2004,'سجل التحفيز'!$AC$5:$AC$2004,"&gt;0",'سجل التحفيز'!$B$5:$B$2004,B83))</f>
        <v/>
      </c>
      <c r="G83" s="35">
        <f>IF(B83="","",COUNTIF($D$38:$D$187,"&gt;"&amp;D83)+1)</f>
        <v/>
      </c>
      <c r="H83" s="35">
        <f>IF(B83="","",INDEX(الموظفات!$L$5:$L$304,MATCH(B83,الموظفات!$B$5:$B$304,0)))</f>
        <v/>
      </c>
      <c r="K83" s="36">
        <f>IF(46&gt;$B$10,"",46)</f>
        <v/>
      </c>
      <c r="L83" s="37">
        <f>IF($K83="","",INDEX('سجل التحفيز'!$A$5:$A$2004,MATCH($K83,'سجل التحفيز'!$AC$5:$AC$2004,0)))</f>
        <v/>
      </c>
      <c r="M83" s="9">
        <f>IF($K83="","",INDEX('سجل التحفيز'!$B$5:$B$2004,MATCH($K83,'سجل التحفيز'!$AC$5:$AC$2004,0)))</f>
        <v/>
      </c>
      <c r="N83" s="9">
        <f>IF($K83="","",INDEX('سجل التحفيز'!$M$5:$M$2004,MATCH($K83,'سجل التحفيز'!$AC$5:$AC$2004,0)))</f>
        <v/>
      </c>
      <c r="O83" s="9">
        <f>IF($K83="","",INDEX('سجل التحفيز'!$C$5:$C$2004,MATCH($K83,'سجل التحفيز'!$AC$5:$AC$2004,0)))</f>
        <v/>
      </c>
      <c r="P83" s="36">
        <f>IF($K83="","",INDEX('سجل التحفيز'!$D$5:$D$2004,MATCH($K83,'سجل التحفيز'!$AC$5:$AC$2004,0)))</f>
        <v/>
      </c>
      <c r="Q83" s="9">
        <f>IF($K83="","",INDEX('سجل التحفيز'!$E$5:$E$2004,MATCH($K83,'سجل التحفيز'!$AC$5:$AC$2004,0)))</f>
        <v/>
      </c>
      <c r="R83" s="9">
        <f>IF($K83="","",INDEX('سجل التحفيز'!$F$5:$F$2004,MATCH($K83,'سجل التحفيز'!$AC$5:$AC$2004,0)))</f>
        <v/>
      </c>
      <c r="S83" s="35">
        <f>IF($K83="","",INDEX('سجل التحفيز'!$G$5:$G$2004,MATCH($K83,'سجل التحفيز'!$AC$5:$AC$2004,0)))</f>
        <v/>
      </c>
    </row>
    <row r="84">
      <c r="B84" s="34">
        <f>IFERROR(INDEX(الموظفات!$B$5:$B$304,MATCH(47,الموظفات!$W$5:$W$304,0)),"")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التحفيز'!$AC$5:$AC$2004,"&gt;0",'سجل التحفيز'!$B$5:$B$2004,B84))</f>
        <v/>
      </c>
      <c r="E84" s="35">
        <f>IF(B84="","",COUNTIFS('سجل التحفيز'!$AC$5:$AC$2004,"&gt;0",'سجل التحفيز'!$B$5:$B$2004,B84,'سجل التحفيز'!$D$5:$D$2004,"ذهبي"))</f>
        <v/>
      </c>
      <c r="F84" s="35">
        <f>IF(B84="","",SUMIFS('سجل التحفيز'!$G$5:$G$2004,'سجل التحفيز'!$AC$5:$AC$2004,"&gt;0",'سجل التحفيز'!$B$5:$B$2004,B84))</f>
        <v/>
      </c>
      <c r="G84" s="35">
        <f>IF(B84="","",COUNTIF($D$38:$D$187,"&gt;"&amp;D84)+1)</f>
        <v/>
      </c>
      <c r="H84" s="35">
        <f>IF(B84="","",INDEX(الموظفات!$L$5:$L$304,MATCH(B84,الموظفات!$B$5:$B$304,0)))</f>
        <v/>
      </c>
      <c r="K84" s="36">
        <f>IF(47&gt;$B$10,"",47)</f>
        <v/>
      </c>
      <c r="L84" s="37">
        <f>IF($K84="","",INDEX('سجل التحفيز'!$A$5:$A$2004,MATCH($K84,'سجل التحفيز'!$AC$5:$AC$2004,0)))</f>
        <v/>
      </c>
      <c r="M84" s="9">
        <f>IF($K84="","",INDEX('سجل التحفيز'!$B$5:$B$2004,MATCH($K84,'سجل التحفيز'!$AC$5:$AC$2004,0)))</f>
        <v/>
      </c>
      <c r="N84" s="9">
        <f>IF($K84="","",INDEX('سجل التحفيز'!$M$5:$M$2004,MATCH($K84,'سجل التحفيز'!$AC$5:$AC$2004,0)))</f>
        <v/>
      </c>
      <c r="O84" s="9">
        <f>IF($K84="","",INDEX('سجل التحفيز'!$C$5:$C$2004,MATCH($K84,'سجل التحفيز'!$AC$5:$AC$2004,0)))</f>
        <v/>
      </c>
      <c r="P84" s="36">
        <f>IF($K84="","",INDEX('سجل التحفيز'!$D$5:$D$2004,MATCH($K84,'سجل التحفيز'!$AC$5:$AC$2004,0)))</f>
        <v/>
      </c>
      <c r="Q84" s="9">
        <f>IF($K84="","",INDEX('سجل التحفيز'!$E$5:$E$2004,MATCH($K84,'سجل التحفيز'!$AC$5:$AC$2004,0)))</f>
        <v/>
      </c>
      <c r="R84" s="9">
        <f>IF($K84="","",INDEX('سجل التحفيز'!$F$5:$F$2004,MATCH($K84,'سجل التحفيز'!$AC$5:$AC$2004,0)))</f>
        <v/>
      </c>
      <c r="S84" s="35">
        <f>IF($K84="","",INDEX('سجل التحفيز'!$G$5:$G$2004,MATCH($K84,'سجل التحفيز'!$AC$5:$AC$2004,0)))</f>
        <v/>
      </c>
    </row>
    <row r="85">
      <c r="B85" s="34">
        <f>IFERROR(INDEX(الموظفات!$B$5:$B$304,MATCH(48,الموظفات!$W$5:$W$304,0)),"")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التحفيز'!$AC$5:$AC$2004,"&gt;0",'سجل التحفيز'!$B$5:$B$2004,B85))</f>
        <v/>
      </c>
      <c r="E85" s="35">
        <f>IF(B85="","",COUNTIFS('سجل التحفيز'!$AC$5:$AC$2004,"&gt;0",'سجل التحفيز'!$B$5:$B$2004,B85,'سجل التحفيز'!$D$5:$D$2004,"ذهبي"))</f>
        <v/>
      </c>
      <c r="F85" s="35">
        <f>IF(B85="","",SUMIFS('سجل التحفيز'!$G$5:$G$2004,'سجل التحفيز'!$AC$5:$AC$2004,"&gt;0",'سجل التحفيز'!$B$5:$B$2004,B85))</f>
        <v/>
      </c>
      <c r="G85" s="35">
        <f>IF(B85="","",COUNTIF($D$38:$D$187,"&gt;"&amp;D85)+1)</f>
        <v/>
      </c>
      <c r="H85" s="35">
        <f>IF(B85="","",INDEX(الموظفات!$L$5:$L$304,MATCH(B85,الموظفات!$B$5:$B$304,0)))</f>
        <v/>
      </c>
      <c r="K85" s="36">
        <f>IF(48&gt;$B$10,"",48)</f>
        <v/>
      </c>
      <c r="L85" s="37">
        <f>IF($K85="","",INDEX('سجل التحفيز'!$A$5:$A$2004,MATCH($K85,'سجل التحفيز'!$AC$5:$AC$2004,0)))</f>
        <v/>
      </c>
      <c r="M85" s="9">
        <f>IF($K85="","",INDEX('سجل التحفيز'!$B$5:$B$2004,MATCH($K85,'سجل التحفيز'!$AC$5:$AC$2004,0)))</f>
        <v/>
      </c>
      <c r="N85" s="9">
        <f>IF($K85="","",INDEX('سجل التحفيز'!$M$5:$M$2004,MATCH($K85,'سجل التحفيز'!$AC$5:$AC$2004,0)))</f>
        <v/>
      </c>
      <c r="O85" s="9">
        <f>IF($K85="","",INDEX('سجل التحفيز'!$C$5:$C$2004,MATCH($K85,'سجل التحفيز'!$AC$5:$AC$2004,0)))</f>
        <v/>
      </c>
      <c r="P85" s="36">
        <f>IF($K85="","",INDEX('سجل التحفيز'!$D$5:$D$2004,MATCH($K85,'سجل التحفيز'!$AC$5:$AC$2004,0)))</f>
        <v/>
      </c>
      <c r="Q85" s="9">
        <f>IF($K85="","",INDEX('سجل التحفيز'!$E$5:$E$2004,MATCH($K85,'سجل التحفيز'!$AC$5:$AC$2004,0)))</f>
        <v/>
      </c>
      <c r="R85" s="9">
        <f>IF($K85="","",INDEX('سجل التحفيز'!$F$5:$F$2004,MATCH($K85,'سجل التحفيز'!$AC$5:$AC$2004,0)))</f>
        <v/>
      </c>
      <c r="S85" s="35">
        <f>IF($K85="","",INDEX('سجل التحفيز'!$G$5:$G$2004,MATCH($K85,'سجل التحفيز'!$AC$5:$AC$2004,0)))</f>
        <v/>
      </c>
    </row>
    <row r="86">
      <c r="B86" s="34">
        <f>IFERROR(INDEX(الموظفات!$B$5:$B$304,MATCH(49,الموظفات!$W$5:$W$304,0)),"")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التحفيز'!$AC$5:$AC$2004,"&gt;0",'سجل التحفيز'!$B$5:$B$2004,B86))</f>
        <v/>
      </c>
      <c r="E86" s="35">
        <f>IF(B86="","",COUNTIFS('سجل التحفيز'!$AC$5:$AC$2004,"&gt;0",'سجل التحفيز'!$B$5:$B$2004,B86,'سجل التحفيز'!$D$5:$D$2004,"ذهبي"))</f>
        <v/>
      </c>
      <c r="F86" s="35">
        <f>IF(B86="","",SUMIFS('سجل التحفيز'!$G$5:$G$2004,'سجل التحفيز'!$AC$5:$AC$2004,"&gt;0",'سجل التحفيز'!$B$5:$B$2004,B86))</f>
        <v/>
      </c>
      <c r="G86" s="35">
        <f>IF(B86="","",COUNTIF($D$38:$D$187,"&gt;"&amp;D86)+1)</f>
        <v/>
      </c>
      <c r="H86" s="35">
        <f>IF(B86="","",INDEX(الموظفات!$L$5:$L$304,MATCH(B86,الموظفات!$B$5:$B$304,0)))</f>
        <v/>
      </c>
      <c r="K86" s="36">
        <f>IF(49&gt;$B$10,"",49)</f>
        <v/>
      </c>
      <c r="L86" s="37">
        <f>IF($K86="","",INDEX('سجل التحفيز'!$A$5:$A$2004,MATCH($K86,'سجل التحفيز'!$AC$5:$AC$2004,0)))</f>
        <v/>
      </c>
      <c r="M86" s="9">
        <f>IF($K86="","",INDEX('سجل التحفيز'!$B$5:$B$2004,MATCH($K86,'سجل التحفيز'!$AC$5:$AC$2004,0)))</f>
        <v/>
      </c>
      <c r="N86" s="9">
        <f>IF($K86="","",INDEX('سجل التحفيز'!$M$5:$M$2004,MATCH($K86,'سجل التحفيز'!$AC$5:$AC$2004,0)))</f>
        <v/>
      </c>
      <c r="O86" s="9">
        <f>IF($K86="","",INDEX('سجل التحفيز'!$C$5:$C$2004,MATCH($K86,'سجل التحفيز'!$AC$5:$AC$2004,0)))</f>
        <v/>
      </c>
      <c r="P86" s="36">
        <f>IF($K86="","",INDEX('سجل التحفيز'!$D$5:$D$2004,MATCH($K86,'سجل التحفيز'!$AC$5:$AC$2004,0)))</f>
        <v/>
      </c>
      <c r="Q86" s="9">
        <f>IF($K86="","",INDEX('سجل التحفيز'!$E$5:$E$2004,MATCH($K86,'سجل التحفيز'!$AC$5:$AC$2004,0)))</f>
        <v/>
      </c>
      <c r="R86" s="9">
        <f>IF($K86="","",INDEX('سجل التحفيز'!$F$5:$F$2004,MATCH($K86,'سجل التحفيز'!$AC$5:$AC$2004,0)))</f>
        <v/>
      </c>
      <c r="S86" s="35">
        <f>IF($K86="","",INDEX('سجل التحفيز'!$G$5:$G$2004,MATCH($K86,'سجل التحفيز'!$AC$5:$AC$2004,0)))</f>
        <v/>
      </c>
    </row>
    <row r="87">
      <c r="B87" s="34">
        <f>IFERROR(INDEX(الموظفات!$B$5:$B$304,MATCH(50,الموظفات!$W$5:$W$304,0)),"")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التحفيز'!$AC$5:$AC$2004,"&gt;0",'سجل التحفيز'!$B$5:$B$2004,B87))</f>
        <v/>
      </c>
      <c r="E87" s="35">
        <f>IF(B87="","",COUNTIFS('سجل التحفيز'!$AC$5:$AC$2004,"&gt;0",'سجل التحفيز'!$B$5:$B$2004,B87,'سجل التحفيز'!$D$5:$D$2004,"ذهبي"))</f>
        <v/>
      </c>
      <c r="F87" s="35">
        <f>IF(B87="","",SUMIFS('سجل التحفيز'!$G$5:$G$2004,'سجل التحفيز'!$AC$5:$AC$2004,"&gt;0",'سجل التحفيز'!$B$5:$B$2004,B87))</f>
        <v/>
      </c>
      <c r="G87" s="35">
        <f>IF(B87="","",COUNTIF($D$38:$D$187,"&gt;"&amp;D87)+1)</f>
        <v/>
      </c>
      <c r="H87" s="35">
        <f>IF(B87="","",INDEX(الموظفات!$L$5:$L$304,MATCH(B87,الموظفات!$B$5:$B$304,0)))</f>
        <v/>
      </c>
      <c r="K87" s="36">
        <f>IF(50&gt;$B$10,"",50)</f>
        <v/>
      </c>
      <c r="L87" s="37">
        <f>IF($K87="","",INDEX('سجل التحفيز'!$A$5:$A$2004,MATCH($K87,'سجل التحفيز'!$AC$5:$AC$2004,0)))</f>
        <v/>
      </c>
      <c r="M87" s="9">
        <f>IF($K87="","",INDEX('سجل التحفيز'!$B$5:$B$2004,MATCH($K87,'سجل التحفيز'!$AC$5:$AC$2004,0)))</f>
        <v/>
      </c>
      <c r="N87" s="9">
        <f>IF($K87="","",INDEX('سجل التحفيز'!$M$5:$M$2004,MATCH($K87,'سجل التحفيز'!$AC$5:$AC$2004,0)))</f>
        <v/>
      </c>
      <c r="O87" s="9">
        <f>IF($K87="","",INDEX('سجل التحفيز'!$C$5:$C$2004,MATCH($K87,'سجل التحفيز'!$AC$5:$AC$2004,0)))</f>
        <v/>
      </c>
      <c r="P87" s="36">
        <f>IF($K87="","",INDEX('سجل التحفيز'!$D$5:$D$2004,MATCH($K87,'سجل التحفيز'!$AC$5:$AC$2004,0)))</f>
        <v/>
      </c>
      <c r="Q87" s="9">
        <f>IF($K87="","",INDEX('سجل التحفيز'!$E$5:$E$2004,MATCH($K87,'سجل التحفيز'!$AC$5:$AC$2004,0)))</f>
        <v/>
      </c>
      <c r="R87" s="9">
        <f>IF($K87="","",INDEX('سجل التحفيز'!$F$5:$F$2004,MATCH($K87,'سجل التحفيز'!$AC$5:$AC$2004,0)))</f>
        <v/>
      </c>
      <c r="S87" s="35">
        <f>IF($K87="","",INDEX('سجل التحفيز'!$G$5:$G$2004,MATCH($K87,'سجل التحفيز'!$AC$5:$AC$2004,0)))</f>
        <v/>
      </c>
    </row>
    <row r="88">
      <c r="B88" s="34">
        <f>IFERROR(INDEX(الموظفات!$B$5:$B$304,MATCH(51,الموظفات!$W$5:$W$304,0)),"")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التحفيز'!$AC$5:$AC$2004,"&gt;0",'سجل التحفيز'!$B$5:$B$2004,B88))</f>
        <v/>
      </c>
      <c r="E88" s="35">
        <f>IF(B88="","",COUNTIFS('سجل التحفيز'!$AC$5:$AC$2004,"&gt;0",'سجل التحفيز'!$B$5:$B$2004,B88,'سجل التحفيز'!$D$5:$D$2004,"ذهبي"))</f>
        <v/>
      </c>
      <c r="F88" s="35">
        <f>IF(B88="","",SUMIFS('سجل التحفيز'!$G$5:$G$2004,'سجل التحفيز'!$AC$5:$AC$2004,"&gt;0",'سجل التحفيز'!$B$5:$B$2004,B88))</f>
        <v/>
      </c>
      <c r="G88" s="35">
        <f>IF(B88="","",COUNTIF($D$38:$D$187,"&gt;"&amp;D88)+1)</f>
        <v/>
      </c>
      <c r="H88" s="35">
        <f>IF(B88="","",INDEX(الموظفات!$L$5:$L$304,MATCH(B88,الموظفات!$B$5:$B$304,0)))</f>
        <v/>
      </c>
      <c r="K88" s="36">
        <f>IF(51&gt;$B$10,"",51)</f>
        <v/>
      </c>
      <c r="L88" s="37">
        <f>IF($K88="","",INDEX('سجل التحفيز'!$A$5:$A$2004,MATCH($K88,'سجل التحفيز'!$AC$5:$AC$2004,0)))</f>
        <v/>
      </c>
      <c r="M88" s="9">
        <f>IF($K88="","",INDEX('سجل التحفيز'!$B$5:$B$2004,MATCH($K88,'سجل التحفيز'!$AC$5:$AC$2004,0)))</f>
        <v/>
      </c>
      <c r="N88" s="9">
        <f>IF($K88="","",INDEX('سجل التحفيز'!$M$5:$M$2004,MATCH($K88,'سجل التحفيز'!$AC$5:$AC$2004,0)))</f>
        <v/>
      </c>
      <c r="O88" s="9">
        <f>IF($K88="","",INDEX('سجل التحفيز'!$C$5:$C$2004,MATCH($K88,'سجل التحفيز'!$AC$5:$AC$2004,0)))</f>
        <v/>
      </c>
      <c r="P88" s="36">
        <f>IF($K88="","",INDEX('سجل التحفيز'!$D$5:$D$2004,MATCH($K88,'سجل التحفيز'!$AC$5:$AC$2004,0)))</f>
        <v/>
      </c>
      <c r="Q88" s="9">
        <f>IF($K88="","",INDEX('سجل التحفيز'!$E$5:$E$2004,MATCH($K88,'سجل التحفيز'!$AC$5:$AC$2004,0)))</f>
        <v/>
      </c>
      <c r="R88" s="9">
        <f>IF($K88="","",INDEX('سجل التحفيز'!$F$5:$F$2004,MATCH($K88,'سجل التحفيز'!$AC$5:$AC$2004,0)))</f>
        <v/>
      </c>
      <c r="S88" s="35">
        <f>IF($K88="","",INDEX('سجل التحفيز'!$G$5:$G$2004,MATCH($K88,'سجل التحفيز'!$AC$5:$AC$2004,0)))</f>
        <v/>
      </c>
    </row>
    <row r="89">
      <c r="B89" s="34">
        <f>IFERROR(INDEX(الموظفات!$B$5:$B$304,MATCH(52,الموظفات!$W$5:$W$304,0)),"")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التحفيز'!$AC$5:$AC$2004,"&gt;0",'سجل التحفيز'!$B$5:$B$2004,B89))</f>
        <v/>
      </c>
      <c r="E89" s="35">
        <f>IF(B89="","",COUNTIFS('سجل التحفيز'!$AC$5:$AC$2004,"&gt;0",'سجل التحفيز'!$B$5:$B$2004,B89,'سجل التحفيز'!$D$5:$D$2004,"ذهبي"))</f>
        <v/>
      </c>
      <c r="F89" s="35">
        <f>IF(B89="","",SUMIFS('سجل التحفيز'!$G$5:$G$2004,'سجل التحفيز'!$AC$5:$AC$2004,"&gt;0",'سجل التحفيز'!$B$5:$B$2004,B89))</f>
        <v/>
      </c>
      <c r="G89" s="35">
        <f>IF(B89="","",COUNTIF($D$38:$D$187,"&gt;"&amp;D89)+1)</f>
        <v/>
      </c>
      <c r="H89" s="35">
        <f>IF(B89="","",INDEX(الموظفات!$L$5:$L$304,MATCH(B89,الموظفات!$B$5:$B$304,0)))</f>
        <v/>
      </c>
      <c r="K89" s="36">
        <f>IF(52&gt;$B$10,"",52)</f>
        <v/>
      </c>
      <c r="L89" s="37">
        <f>IF($K89="","",INDEX('سجل التحفيز'!$A$5:$A$2004,MATCH($K89,'سجل التحفيز'!$AC$5:$AC$2004,0)))</f>
        <v/>
      </c>
      <c r="M89" s="9">
        <f>IF($K89="","",INDEX('سجل التحفيز'!$B$5:$B$2004,MATCH($K89,'سجل التحفيز'!$AC$5:$AC$2004,0)))</f>
        <v/>
      </c>
      <c r="N89" s="9">
        <f>IF($K89="","",INDEX('سجل التحفيز'!$M$5:$M$2004,MATCH($K89,'سجل التحفيز'!$AC$5:$AC$2004,0)))</f>
        <v/>
      </c>
      <c r="O89" s="9">
        <f>IF($K89="","",INDEX('سجل التحفيز'!$C$5:$C$2004,MATCH($K89,'سجل التحفيز'!$AC$5:$AC$2004,0)))</f>
        <v/>
      </c>
      <c r="P89" s="36">
        <f>IF($K89="","",INDEX('سجل التحفيز'!$D$5:$D$2004,MATCH($K89,'سجل التحفيز'!$AC$5:$AC$2004,0)))</f>
        <v/>
      </c>
      <c r="Q89" s="9">
        <f>IF($K89="","",INDEX('سجل التحفيز'!$E$5:$E$2004,MATCH($K89,'سجل التحفيز'!$AC$5:$AC$2004,0)))</f>
        <v/>
      </c>
      <c r="R89" s="9">
        <f>IF($K89="","",INDEX('سجل التحفيز'!$F$5:$F$2004,MATCH($K89,'سجل التحفيز'!$AC$5:$AC$2004,0)))</f>
        <v/>
      </c>
      <c r="S89" s="35">
        <f>IF($K89="","",INDEX('سجل التحفيز'!$G$5:$G$2004,MATCH($K89,'سجل التحفيز'!$AC$5:$AC$2004,0)))</f>
        <v/>
      </c>
    </row>
    <row r="90">
      <c r="B90" s="34">
        <f>IFERROR(INDEX(الموظفات!$B$5:$B$304,MATCH(53,الموظفات!$W$5:$W$304,0)),"")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التحفيز'!$AC$5:$AC$2004,"&gt;0",'سجل التحفيز'!$B$5:$B$2004,B90))</f>
        <v/>
      </c>
      <c r="E90" s="35">
        <f>IF(B90="","",COUNTIFS('سجل التحفيز'!$AC$5:$AC$2004,"&gt;0",'سجل التحفيز'!$B$5:$B$2004,B90,'سجل التحفيز'!$D$5:$D$2004,"ذهبي"))</f>
        <v/>
      </c>
      <c r="F90" s="35">
        <f>IF(B90="","",SUMIFS('سجل التحفيز'!$G$5:$G$2004,'سجل التحفيز'!$AC$5:$AC$2004,"&gt;0",'سجل التحفيز'!$B$5:$B$2004,B90))</f>
        <v/>
      </c>
      <c r="G90" s="35">
        <f>IF(B90="","",COUNTIF($D$38:$D$187,"&gt;"&amp;D90)+1)</f>
        <v/>
      </c>
      <c r="H90" s="35">
        <f>IF(B90="","",INDEX(الموظفات!$L$5:$L$304,MATCH(B90,الموظفات!$B$5:$B$304,0)))</f>
        <v/>
      </c>
      <c r="K90" s="36">
        <f>IF(53&gt;$B$10,"",53)</f>
        <v/>
      </c>
      <c r="L90" s="37">
        <f>IF($K90="","",INDEX('سجل التحفيز'!$A$5:$A$2004,MATCH($K90,'سجل التحفيز'!$AC$5:$AC$2004,0)))</f>
        <v/>
      </c>
      <c r="M90" s="9">
        <f>IF($K90="","",INDEX('سجل التحفيز'!$B$5:$B$2004,MATCH($K90,'سجل التحفيز'!$AC$5:$AC$2004,0)))</f>
        <v/>
      </c>
      <c r="N90" s="9">
        <f>IF($K90="","",INDEX('سجل التحفيز'!$M$5:$M$2004,MATCH($K90,'سجل التحفيز'!$AC$5:$AC$2004,0)))</f>
        <v/>
      </c>
      <c r="O90" s="9">
        <f>IF($K90="","",INDEX('سجل التحفيز'!$C$5:$C$2004,MATCH($K90,'سجل التحفيز'!$AC$5:$AC$2004,0)))</f>
        <v/>
      </c>
      <c r="P90" s="36">
        <f>IF($K90="","",INDEX('سجل التحفيز'!$D$5:$D$2004,MATCH($K90,'سجل التحفيز'!$AC$5:$AC$2004,0)))</f>
        <v/>
      </c>
      <c r="Q90" s="9">
        <f>IF($K90="","",INDEX('سجل التحفيز'!$E$5:$E$2004,MATCH($K90,'سجل التحفيز'!$AC$5:$AC$2004,0)))</f>
        <v/>
      </c>
      <c r="R90" s="9">
        <f>IF($K90="","",INDEX('سجل التحفيز'!$F$5:$F$2004,MATCH($K90,'سجل التحفيز'!$AC$5:$AC$2004,0)))</f>
        <v/>
      </c>
      <c r="S90" s="35">
        <f>IF($K90="","",INDEX('سجل التحفيز'!$G$5:$G$2004,MATCH($K90,'سجل التحفيز'!$AC$5:$AC$2004,0)))</f>
        <v/>
      </c>
    </row>
    <row r="91">
      <c r="B91" s="34">
        <f>IFERROR(INDEX(الموظفات!$B$5:$B$304,MATCH(54,الموظفات!$W$5:$W$304,0)),"")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التحفيز'!$AC$5:$AC$2004,"&gt;0",'سجل التحفيز'!$B$5:$B$2004,B91))</f>
        <v/>
      </c>
      <c r="E91" s="35">
        <f>IF(B91="","",COUNTIFS('سجل التحفيز'!$AC$5:$AC$2004,"&gt;0",'سجل التحفيز'!$B$5:$B$2004,B91,'سجل التحفيز'!$D$5:$D$2004,"ذهبي"))</f>
        <v/>
      </c>
      <c r="F91" s="35">
        <f>IF(B91="","",SUMIFS('سجل التحفيز'!$G$5:$G$2004,'سجل التحفيز'!$AC$5:$AC$2004,"&gt;0",'سجل التحفيز'!$B$5:$B$2004,B91))</f>
        <v/>
      </c>
      <c r="G91" s="35">
        <f>IF(B91="","",COUNTIF($D$38:$D$187,"&gt;"&amp;D91)+1)</f>
        <v/>
      </c>
      <c r="H91" s="35">
        <f>IF(B91="","",INDEX(الموظفات!$L$5:$L$304,MATCH(B91,الموظفات!$B$5:$B$304,0)))</f>
        <v/>
      </c>
      <c r="K91" s="36">
        <f>IF(54&gt;$B$10,"",54)</f>
        <v/>
      </c>
      <c r="L91" s="37">
        <f>IF($K91="","",INDEX('سجل التحفيز'!$A$5:$A$2004,MATCH($K91,'سجل التحفيز'!$AC$5:$AC$2004,0)))</f>
        <v/>
      </c>
      <c r="M91" s="9">
        <f>IF($K91="","",INDEX('سجل التحفيز'!$B$5:$B$2004,MATCH($K91,'سجل التحفيز'!$AC$5:$AC$2004,0)))</f>
        <v/>
      </c>
      <c r="N91" s="9">
        <f>IF($K91="","",INDEX('سجل التحفيز'!$M$5:$M$2004,MATCH($K91,'سجل التحفيز'!$AC$5:$AC$2004,0)))</f>
        <v/>
      </c>
      <c r="O91" s="9">
        <f>IF($K91="","",INDEX('سجل التحفيز'!$C$5:$C$2004,MATCH($K91,'سجل التحفيز'!$AC$5:$AC$2004,0)))</f>
        <v/>
      </c>
      <c r="P91" s="36">
        <f>IF($K91="","",INDEX('سجل التحفيز'!$D$5:$D$2004,MATCH($K91,'سجل التحفيز'!$AC$5:$AC$2004,0)))</f>
        <v/>
      </c>
      <c r="Q91" s="9">
        <f>IF($K91="","",INDEX('سجل التحفيز'!$E$5:$E$2004,MATCH($K91,'سجل التحفيز'!$AC$5:$AC$2004,0)))</f>
        <v/>
      </c>
      <c r="R91" s="9">
        <f>IF($K91="","",INDEX('سجل التحفيز'!$F$5:$F$2004,MATCH($K91,'سجل التحفيز'!$AC$5:$AC$2004,0)))</f>
        <v/>
      </c>
      <c r="S91" s="35">
        <f>IF($K91="","",INDEX('سجل التحفيز'!$G$5:$G$2004,MATCH($K91,'سجل التحفيز'!$AC$5:$AC$2004,0)))</f>
        <v/>
      </c>
    </row>
    <row r="92">
      <c r="B92" s="34">
        <f>IFERROR(INDEX(الموظفات!$B$5:$B$304,MATCH(55,الموظفات!$W$5:$W$304,0)),"")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التحفيز'!$AC$5:$AC$2004,"&gt;0",'سجل التحفيز'!$B$5:$B$2004,B92))</f>
        <v/>
      </c>
      <c r="E92" s="35">
        <f>IF(B92="","",COUNTIFS('سجل التحفيز'!$AC$5:$AC$2004,"&gt;0",'سجل التحفيز'!$B$5:$B$2004,B92,'سجل التحفيز'!$D$5:$D$2004,"ذهبي"))</f>
        <v/>
      </c>
      <c r="F92" s="35">
        <f>IF(B92="","",SUMIFS('سجل التحفيز'!$G$5:$G$2004,'سجل التحفيز'!$AC$5:$AC$2004,"&gt;0",'سجل التحفيز'!$B$5:$B$2004,B92))</f>
        <v/>
      </c>
      <c r="G92" s="35">
        <f>IF(B92="","",COUNTIF($D$38:$D$187,"&gt;"&amp;D92)+1)</f>
        <v/>
      </c>
      <c r="H92" s="35">
        <f>IF(B92="","",INDEX(الموظفات!$L$5:$L$304,MATCH(B92,الموظفات!$B$5:$B$304,0)))</f>
        <v/>
      </c>
      <c r="K92" s="36">
        <f>IF(55&gt;$B$10,"",55)</f>
        <v/>
      </c>
      <c r="L92" s="37">
        <f>IF($K92="","",INDEX('سجل التحفيز'!$A$5:$A$2004,MATCH($K92,'سجل التحفيز'!$AC$5:$AC$2004,0)))</f>
        <v/>
      </c>
      <c r="M92" s="9">
        <f>IF($K92="","",INDEX('سجل التحفيز'!$B$5:$B$2004,MATCH($K92,'سجل التحفيز'!$AC$5:$AC$2004,0)))</f>
        <v/>
      </c>
      <c r="N92" s="9">
        <f>IF($K92="","",INDEX('سجل التحفيز'!$M$5:$M$2004,MATCH($K92,'سجل التحفيز'!$AC$5:$AC$2004,0)))</f>
        <v/>
      </c>
      <c r="O92" s="9">
        <f>IF($K92="","",INDEX('سجل التحفيز'!$C$5:$C$2004,MATCH($K92,'سجل التحفيز'!$AC$5:$AC$2004,0)))</f>
        <v/>
      </c>
      <c r="P92" s="36">
        <f>IF($K92="","",INDEX('سجل التحفيز'!$D$5:$D$2004,MATCH($K92,'سجل التحفيز'!$AC$5:$AC$2004,0)))</f>
        <v/>
      </c>
      <c r="Q92" s="9">
        <f>IF($K92="","",INDEX('سجل التحفيز'!$E$5:$E$2004,MATCH($K92,'سجل التحفيز'!$AC$5:$AC$2004,0)))</f>
        <v/>
      </c>
      <c r="R92" s="9">
        <f>IF($K92="","",INDEX('سجل التحفيز'!$F$5:$F$2004,MATCH($K92,'سجل التحفيز'!$AC$5:$AC$2004,0)))</f>
        <v/>
      </c>
      <c r="S92" s="35">
        <f>IF($K92="","",INDEX('سجل التحفيز'!$G$5:$G$2004,MATCH($K92,'سجل التحفيز'!$AC$5:$AC$2004,0)))</f>
        <v/>
      </c>
    </row>
    <row r="93">
      <c r="B93" s="34">
        <f>IFERROR(INDEX(الموظفات!$B$5:$B$304,MATCH(56,الموظفات!$W$5:$W$304,0)),"")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التحفيز'!$AC$5:$AC$2004,"&gt;0",'سجل التحفيز'!$B$5:$B$2004,B93))</f>
        <v/>
      </c>
      <c r="E93" s="35">
        <f>IF(B93="","",COUNTIFS('سجل التحفيز'!$AC$5:$AC$2004,"&gt;0",'سجل التحفيز'!$B$5:$B$2004,B93,'سجل التحفيز'!$D$5:$D$2004,"ذهبي"))</f>
        <v/>
      </c>
      <c r="F93" s="35">
        <f>IF(B93="","",SUMIFS('سجل التحفيز'!$G$5:$G$2004,'سجل التحفيز'!$AC$5:$AC$2004,"&gt;0",'سجل التحفيز'!$B$5:$B$2004,B93))</f>
        <v/>
      </c>
      <c r="G93" s="35">
        <f>IF(B93="","",COUNTIF($D$38:$D$187,"&gt;"&amp;D93)+1)</f>
        <v/>
      </c>
      <c r="H93" s="35">
        <f>IF(B93="","",INDEX(الموظفات!$L$5:$L$304,MATCH(B93,الموظفات!$B$5:$B$304,0)))</f>
        <v/>
      </c>
      <c r="K93" s="36">
        <f>IF(56&gt;$B$10,"",56)</f>
        <v/>
      </c>
      <c r="L93" s="37">
        <f>IF($K93="","",INDEX('سجل التحفيز'!$A$5:$A$2004,MATCH($K93,'سجل التحفيز'!$AC$5:$AC$2004,0)))</f>
        <v/>
      </c>
      <c r="M93" s="9">
        <f>IF($K93="","",INDEX('سجل التحفيز'!$B$5:$B$2004,MATCH($K93,'سجل التحفيز'!$AC$5:$AC$2004,0)))</f>
        <v/>
      </c>
      <c r="N93" s="9">
        <f>IF($K93="","",INDEX('سجل التحفيز'!$M$5:$M$2004,MATCH($K93,'سجل التحفيز'!$AC$5:$AC$2004,0)))</f>
        <v/>
      </c>
      <c r="O93" s="9">
        <f>IF($K93="","",INDEX('سجل التحفيز'!$C$5:$C$2004,MATCH($K93,'سجل التحفيز'!$AC$5:$AC$2004,0)))</f>
        <v/>
      </c>
      <c r="P93" s="36">
        <f>IF($K93="","",INDEX('سجل التحفيز'!$D$5:$D$2004,MATCH($K93,'سجل التحفيز'!$AC$5:$AC$2004,0)))</f>
        <v/>
      </c>
      <c r="Q93" s="9">
        <f>IF($K93="","",INDEX('سجل التحفيز'!$E$5:$E$2004,MATCH($K93,'سجل التحفيز'!$AC$5:$AC$2004,0)))</f>
        <v/>
      </c>
      <c r="R93" s="9">
        <f>IF($K93="","",INDEX('سجل التحفيز'!$F$5:$F$2004,MATCH($K93,'سجل التحفيز'!$AC$5:$AC$2004,0)))</f>
        <v/>
      </c>
      <c r="S93" s="35">
        <f>IF($K93="","",INDEX('سجل التحفيز'!$G$5:$G$2004,MATCH($K93,'سجل التحفيز'!$AC$5:$AC$2004,0)))</f>
        <v/>
      </c>
    </row>
    <row r="94">
      <c r="B94" s="34">
        <f>IFERROR(INDEX(الموظفات!$B$5:$B$304,MATCH(57,الموظفات!$W$5:$W$304,0)),"")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التحفيز'!$AC$5:$AC$2004,"&gt;0",'سجل التحفيز'!$B$5:$B$2004,B94))</f>
        <v/>
      </c>
      <c r="E94" s="35">
        <f>IF(B94="","",COUNTIFS('سجل التحفيز'!$AC$5:$AC$2004,"&gt;0",'سجل التحفيز'!$B$5:$B$2004,B94,'سجل التحفيز'!$D$5:$D$2004,"ذهبي"))</f>
        <v/>
      </c>
      <c r="F94" s="35">
        <f>IF(B94="","",SUMIFS('سجل التحفيز'!$G$5:$G$2004,'سجل التحفيز'!$AC$5:$AC$2004,"&gt;0",'سجل التحفيز'!$B$5:$B$2004,B94))</f>
        <v/>
      </c>
      <c r="G94" s="35">
        <f>IF(B94="","",COUNTIF($D$38:$D$187,"&gt;"&amp;D94)+1)</f>
        <v/>
      </c>
      <c r="H94" s="35">
        <f>IF(B94="","",INDEX(الموظفات!$L$5:$L$304,MATCH(B94,الموظفات!$B$5:$B$304,0)))</f>
        <v/>
      </c>
      <c r="K94" s="36">
        <f>IF(57&gt;$B$10,"",57)</f>
        <v/>
      </c>
      <c r="L94" s="37">
        <f>IF($K94="","",INDEX('سجل التحفيز'!$A$5:$A$2004,MATCH($K94,'سجل التحفيز'!$AC$5:$AC$2004,0)))</f>
        <v/>
      </c>
      <c r="M94" s="9">
        <f>IF($K94="","",INDEX('سجل التحفيز'!$B$5:$B$2004,MATCH($K94,'سجل التحفيز'!$AC$5:$AC$2004,0)))</f>
        <v/>
      </c>
      <c r="N94" s="9">
        <f>IF($K94="","",INDEX('سجل التحفيز'!$M$5:$M$2004,MATCH($K94,'سجل التحفيز'!$AC$5:$AC$2004,0)))</f>
        <v/>
      </c>
      <c r="O94" s="9">
        <f>IF($K94="","",INDEX('سجل التحفيز'!$C$5:$C$2004,MATCH($K94,'سجل التحفيز'!$AC$5:$AC$2004,0)))</f>
        <v/>
      </c>
      <c r="P94" s="36">
        <f>IF($K94="","",INDEX('سجل التحفيز'!$D$5:$D$2004,MATCH($K94,'سجل التحفيز'!$AC$5:$AC$2004,0)))</f>
        <v/>
      </c>
      <c r="Q94" s="9">
        <f>IF($K94="","",INDEX('سجل التحفيز'!$E$5:$E$2004,MATCH($K94,'سجل التحفيز'!$AC$5:$AC$2004,0)))</f>
        <v/>
      </c>
      <c r="R94" s="9">
        <f>IF($K94="","",INDEX('سجل التحفيز'!$F$5:$F$2004,MATCH($K94,'سجل التحفيز'!$AC$5:$AC$2004,0)))</f>
        <v/>
      </c>
      <c r="S94" s="35">
        <f>IF($K94="","",INDEX('سجل التحفيز'!$G$5:$G$2004,MATCH($K94,'سجل التحفيز'!$AC$5:$AC$2004,0)))</f>
        <v/>
      </c>
    </row>
    <row r="95">
      <c r="B95" s="34">
        <f>IFERROR(INDEX(الموظفات!$B$5:$B$304,MATCH(58,الموظفات!$W$5:$W$304,0)),"")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التحفيز'!$AC$5:$AC$2004,"&gt;0",'سجل التحفيز'!$B$5:$B$2004,B95))</f>
        <v/>
      </c>
      <c r="E95" s="35">
        <f>IF(B95="","",COUNTIFS('سجل التحفيز'!$AC$5:$AC$2004,"&gt;0",'سجل التحفيز'!$B$5:$B$2004,B95,'سجل التحفيز'!$D$5:$D$2004,"ذهبي"))</f>
        <v/>
      </c>
      <c r="F95" s="35">
        <f>IF(B95="","",SUMIFS('سجل التحفيز'!$G$5:$G$2004,'سجل التحفيز'!$AC$5:$AC$2004,"&gt;0",'سجل التحفيز'!$B$5:$B$2004,B95))</f>
        <v/>
      </c>
      <c r="G95" s="35">
        <f>IF(B95="","",COUNTIF($D$38:$D$187,"&gt;"&amp;D95)+1)</f>
        <v/>
      </c>
      <c r="H95" s="35">
        <f>IF(B95="","",INDEX(الموظفات!$L$5:$L$304,MATCH(B95,الموظفات!$B$5:$B$304,0)))</f>
        <v/>
      </c>
      <c r="K95" s="36">
        <f>IF(58&gt;$B$10,"",58)</f>
        <v/>
      </c>
      <c r="L95" s="37">
        <f>IF($K95="","",INDEX('سجل التحفيز'!$A$5:$A$2004,MATCH($K95,'سجل التحفيز'!$AC$5:$AC$2004,0)))</f>
        <v/>
      </c>
      <c r="M95" s="9">
        <f>IF($K95="","",INDEX('سجل التحفيز'!$B$5:$B$2004,MATCH($K95,'سجل التحفيز'!$AC$5:$AC$2004,0)))</f>
        <v/>
      </c>
      <c r="N95" s="9">
        <f>IF($K95="","",INDEX('سجل التحفيز'!$M$5:$M$2004,MATCH($K95,'سجل التحفيز'!$AC$5:$AC$2004,0)))</f>
        <v/>
      </c>
      <c r="O95" s="9">
        <f>IF($K95="","",INDEX('سجل التحفيز'!$C$5:$C$2004,MATCH($K95,'سجل التحفيز'!$AC$5:$AC$2004,0)))</f>
        <v/>
      </c>
      <c r="P95" s="36">
        <f>IF($K95="","",INDEX('سجل التحفيز'!$D$5:$D$2004,MATCH($K95,'سجل التحفيز'!$AC$5:$AC$2004,0)))</f>
        <v/>
      </c>
      <c r="Q95" s="9">
        <f>IF($K95="","",INDEX('سجل التحفيز'!$E$5:$E$2004,MATCH($K95,'سجل التحفيز'!$AC$5:$AC$2004,0)))</f>
        <v/>
      </c>
      <c r="R95" s="9">
        <f>IF($K95="","",INDEX('سجل التحفيز'!$F$5:$F$2004,MATCH($K95,'سجل التحفيز'!$AC$5:$AC$2004,0)))</f>
        <v/>
      </c>
      <c r="S95" s="35">
        <f>IF($K95="","",INDEX('سجل التحفيز'!$G$5:$G$2004,MATCH($K95,'سجل التحفيز'!$AC$5:$AC$2004,0)))</f>
        <v/>
      </c>
    </row>
    <row r="96">
      <c r="B96" s="34">
        <f>IFERROR(INDEX(الموظفات!$B$5:$B$304,MATCH(59,الموظفات!$W$5:$W$304,0)),"")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التحفيز'!$AC$5:$AC$2004,"&gt;0",'سجل التحفيز'!$B$5:$B$2004,B96))</f>
        <v/>
      </c>
      <c r="E96" s="35">
        <f>IF(B96="","",COUNTIFS('سجل التحفيز'!$AC$5:$AC$2004,"&gt;0",'سجل التحفيز'!$B$5:$B$2004,B96,'سجل التحفيز'!$D$5:$D$2004,"ذهبي"))</f>
        <v/>
      </c>
      <c r="F96" s="35">
        <f>IF(B96="","",SUMIFS('سجل التحفيز'!$G$5:$G$2004,'سجل التحفيز'!$AC$5:$AC$2004,"&gt;0",'سجل التحفيز'!$B$5:$B$2004,B96))</f>
        <v/>
      </c>
      <c r="G96" s="35">
        <f>IF(B96="","",COUNTIF($D$38:$D$187,"&gt;"&amp;D96)+1)</f>
        <v/>
      </c>
      <c r="H96" s="35">
        <f>IF(B96="","",INDEX(الموظفات!$L$5:$L$304,MATCH(B96,الموظفات!$B$5:$B$304,0)))</f>
        <v/>
      </c>
      <c r="K96" s="36">
        <f>IF(59&gt;$B$10,"",59)</f>
        <v/>
      </c>
      <c r="L96" s="37">
        <f>IF($K96="","",INDEX('سجل التحفيز'!$A$5:$A$2004,MATCH($K96,'سجل التحفيز'!$AC$5:$AC$2004,0)))</f>
        <v/>
      </c>
      <c r="M96" s="9">
        <f>IF($K96="","",INDEX('سجل التحفيز'!$B$5:$B$2004,MATCH($K96,'سجل التحفيز'!$AC$5:$AC$2004,0)))</f>
        <v/>
      </c>
      <c r="N96" s="9">
        <f>IF($K96="","",INDEX('سجل التحفيز'!$M$5:$M$2004,MATCH($K96,'سجل التحفيز'!$AC$5:$AC$2004,0)))</f>
        <v/>
      </c>
      <c r="O96" s="9">
        <f>IF($K96="","",INDEX('سجل التحفيز'!$C$5:$C$2004,MATCH($K96,'سجل التحفيز'!$AC$5:$AC$2004,0)))</f>
        <v/>
      </c>
      <c r="P96" s="36">
        <f>IF($K96="","",INDEX('سجل التحفيز'!$D$5:$D$2004,MATCH($K96,'سجل التحفيز'!$AC$5:$AC$2004,0)))</f>
        <v/>
      </c>
      <c r="Q96" s="9">
        <f>IF($K96="","",INDEX('سجل التحفيز'!$E$5:$E$2004,MATCH($K96,'سجل التحفيز'!$AC$5:$AC$2004,0)))</f>
        <v/>
      </c>
      <c r="R96" s="9">
        <f>IF($K96="","",INDEX('سجل التحفيز'!$F$5:$F$2004,MATCH($K96,'سجل التحفيز'!$AC$5:$AC$2004,0)))</f>
        <v/>
      </c>
      <c r="S96" s="35">
        <f>IF($K96="","",INDEX('سجل التحفيز'!$G$5:$G$2004,MATCH($K96,'سجل التحفيز'!$AC$5:$AC$2004,0)))</f>
        <v/>
      </c>
    </row>
    <row r="97">
      <c r="B97" s="34">
        <f>IFERROR(INDEX(الموظفات!$B$5:$B$304,MATCH(60,الموظفات!$W$5:$W$304,0)),"")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التحفيز'!$AC$5:$AC$2004,"&gt;0",'سجل التحفيز'!$B$5:$B$2004,B97))</f>
        <v/>
      </c>
      <c r="E97" s="35">
        <f>IF(B97="","",COUNTIFS('سجل التحفيز'!$AC$5:$AC$2004,"&gt;0",'سجل التحفيز'!$B$5:$B$2004,B97,'سجل التحفيز'!$D$5:$D$2004,"ذهبي"))</f>
        <v/>
      </c>
      <c r="F97" s="35">
        <f>IF(B97="","",SUMIFS('سجل التحفيز'!$G$5:$G$2004,'سجل التحفيز'!$AC$5:$AC$2004,"&gt;0",'سجل التحفيز'!$B$5:$B$2004,B97))</f>
        <v/>
      </c>
      <c r="G97" s="35">
        <f>IF(B97="","",COUNTIF($D$38:$D$187,"&gt;"&amp;D97)+1)</f>
        <v/>
      </c>
      <c r="H97" s="35">
        <f>IF(B97="","",INDEX(الموظفات!$L$5:$L$304,MATCH(B97,الموظفات!$B$5:$B$304,0)))</f>
        <v/>
      </c>
      <c r="K97" s="36">
        <f>IF(60&gt;$B$10,"",60)</f>
        <v/>
      </c>
      <c r="L97" s="37">
        <f>IF($K97="","",INDEX('سجل التحفيز'!$A$5:$A$2004,MATCH($K97,'سجل التحفيز'!$AC$5:$AC$2004,0)))</f>
        <v/>
      </c>
      <c r="M97" s="9">
        <f>IF($K97="","",INDEX('سجل التحفيز'!$B$5:$B$2004,MATCH($K97,'سجل التحفيز'!$AC$5:$AC$2004,0)))</f>
        <v/>
      </c>
      <c r="N97" s="9">
        <f>IF($K97="","",INDEX('سجل التحفيز'!$M$5:$M$2004,MATCH($K97,'سجل التحفيز'!$AC$5:$AC$2004,0)))</f>
        <v/>
      </c>
      <c r="O97" s="9">
        <f>IF($K97="","",INDEX('سجل التحفيز'!$C$5:$C$2004,MATCH($K97,'سجل التحفيز'!$AC$5:$AC$2004,0)))</f>
        <v/>
      </c>
      <c r="P97" s="36">
        <f>IF($K97="","",INDEX('سجل التحفيز'!$D$5:$D$2004,MATCH($K97,'سجل التحفيز'!$AC$5:$AC$2004,0)))</f>
        <v/>
      </c>
      <c r="Q97" s="9">
        <f>IF($K97="","",INDEX('سجل التحفيز'!$E$5:$E$2004,MATCH($K97,'سجل التحفيز'!$AC$5:$AC$2004,0)))</f>
        <v/>
      </c>
      <c r="R97" s="9">
        <f>IF($K97="","",INDEX('سجل التحفيز'!$F$5:$F$2004,MATCH($K97,'سجل التحفيز'!$AC$5:$AC$2004,0)))</f>
        <v/>
      </c>
      <c r="S97" s="35">
        <f>IF($K97="","",INDEX('سجل التحفيز'!$G$5:$G$2004,MATCH($K97,'سجل التحفيز'!$AC$5:$AC$2004,0)))</f>
        <v/>
      </c>
    </row>
    <row r="98">
      <c r="B98" s="34">
        <f>IFERROR(INDEX(الموظفات!$B$5:$B$304,MATCH(61,الموظفات!$W$5:$W$304,0)),"")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التحفيز'!$AC$5:$AC$2004,"&gt;0",'سجل التحفيز'!$B$5:$B$2004,B98))</f>
        <v/>
      </c>
      <c r="E98" s="35">
        <f>IF(B98="","",COUNTIFS('سجل التحفيز'!$AC$5:$AC$2004,"&gt;0",'سجل التحفيز'!$B$5:$B$2004,B98,'سجل التحفيز'!$D$5:$D$2004,"ذهبي"))</f>
        <v/>
      </c>
      <c r="F98" s="35">
        <f>IF(B98="","",SUMIFS('سجل التحفيز'!$G$5:$G$2004,'سجل التحفيز'!$AC$5:$AC$2004,"&gt;0",'سجل التحفيز'!$B$5:$B$2004,B98))</f>
        <v/>
      </c>
      <c r="G98" s="35">
        <f>IF(B98="","",COUNTIF($D$38:$D$187,"&gt;"&amp;D98)+1)</f>
        <v/>
      </c>
      <c r="H98" s="35">
        <f>IF(B98="","",INDEX(الموظفات!$L$5:$L$304,MATCH(B98,الموظفات!$B$5:$B$304,0)))</f>
        <v/>
      </c>
      <c r="K98" s="36">
        <f>IF(61&gt;$B$10,"",61)</f>
        <v/>
      </c>
      <c r="L98" s="37">
        <f>IF($K98="","",INDEX('سجل التحفيز'!$A$5:$A$2004,MATCH($K98,'سجل التحفيز'!$AC$5:$AC$2004,0)))</f>
        <v/>
      </c>
      <c r="M98" s="9">
        <f>IF($K98="","",INDEX('سجل التحفيز'!$B$5:$B$2004,MATCH($K98,'سجل التحفيز'!$AC$5:$AC$2004,0)))</f>
        <v/>
      </c>
      <c r="N98" s="9">
        <f>IF($K98="","",INDEX('سجل التحفيز'!$M$5:$M$2004,MATCH($K98,'سجل التحفيز'!$AC$5:$AC$2004,0)))</f>
        <v/>
      </c>
      <c r="O98" s="9">
        <f>IF($K98="","",INDEX('سجل التحفيز'!$C$5:$C$2004,MATCH($K98,'سجل التحفيز'!$AC$5:$AC$2004,0)))</f>
        <v/>
      </c>
      <c r="P98" s="36">
        <f>IF($K98="","",INDEX('سجل التحفيز'!$D$5:$D$2004,MATCH($K98,'سجل التحفيز'!$AC$5:$AC$2004,0)))</f>
        <v/>
      </c>
      <c r="Q98" s="9">
        <f>IF($K98="","",INDEX('سجل التحفيز'!$E$5:$E$2004,MATCH($K98,'سجل التحفيز'!$AC$5:$AC$2004,0)))</f>
        <v/>
      </c>
      <c r="R98" s="9">
        <f>IF($K98="","",INDEX('سجل التحفيز'!$F$5:$F$2004,MATCH($K98,'سجل التحفيز'!$AC$5:$AC$2004,0)))</f>
        <v/>
      </c>
      <c r="S98" s="35">
        <f>IF($K98="","",INDEX('سجل التحفيز'!$G$5:$G$2004,MATCH($K98,'سجل التحفيز'!$AC$5:$AC$2004,0)))</f>
        <v/>
      </c>
    </row>
    <row r="99">
      <c r="B99" s="34">
        <f>IFERROR(INDEX(الموظفات!$B$5:$B$304,MATCH(62,الموظفات!$W$5:$W$304,0)),"")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التحفيز'!$AC$5:$AC$2004,"&gt;0",'سجل التحفيز'!$B$5:$B$2004,B99))</f>
        <v/>
      </c>
      <c r="E99" s="35">
        <f>IF(B99="","",COUNTIFS('سجل التحفيز'!$AC$5:$AC$2004,"&gt;0",'سجل التحفيز'!$B$5:$B$2004,B99,'سجل التحفيز'!$D$5:$D$2004,"ذهبي"))</f>
        <v/>
      </c>
      <c r="F99" s="35">
        <f>IF(B99="","",SUMIFS('سجل التحفيز'!$G$5:$G$2004,'سجل التحفيز'!$AC$5:$AC$2004,"&gt;0",'سجل التحفيز'!$B$5:$B$2004,B99))</f>
        <v/>
      </c>
      <c r="G99" s="35">
        <f>IF(B99="","",COUNTIF($D$38:$D$187,"&gt;"&amp;D99)+1)</f>
        <v/>
      </c>
      <c r="H99" s="35">
        <f>IF(B99="","",INDEX(الموظفات!$L$5:$L$304,MATCH(B99,الموظفات!$B$5:$B$304,0)))</f>
        <v/>
      </c>
      <c r="K99" s="36">
        <f>IF(62&gt;$B$10,"",62)</f>
        <v/>
      </c>
      <c r="L99" s="37">
        <f>IF($K99="","",INDEX('سجل التحفيز'!$A$5:$A$2004,MATCH($K99,'سجل التحفيز'!$AC$5:$AC$2004,0)))</f>
        <v/>
      </c>
      <c r="M99" s="9">
        <f>IF($K99="","",INDEX('سجل التحفيز'!$B$5:$B$2004,MATCH($K99,'سجل التحفيز'!$AC$5:$AC$2004,0)))</f>
        <v/>
      </c>
      <c r="N99" s="9">
        <f>IF($K99="","",INDEX('سجل التحفيز'!$M$5:$M$2004,MATCH($K99,'سجل التحفيز'!$AC$5:$AC$2004,0)))</f>
        <v/>
      </c>
      <c r="O99" s="9">
        <f>IF($K99="","",INDEX('سجل التحفيز'!$C$5:$C$2004,MATCH($K99,'سجل التحفيز'!$AC$5:$AC$2004,0)))</f>
        <v/>
      </c>
      <c r="P99" s="36">
        <f>IF($K99="","",INDEX('سجل التحفيز'!$D$5:$D$2004,MATCH($K99,'سجل التحفيز'!$AC$5:$AC$2004,0)))</f>
        <v/>
      </c>
      <c r="Q99" s="9">
        <f>IF($K99="","",INDEX('سجل التحفيز'!$E$5:$E$2004,MATCH($K99,'سجل التحفيز'!$AC$5:$AC$2004,0)))</f>
        <v/>
      </c>
      <c r="R99" s="9">
        <f>IF($K99="","",INDEX('سجل التحفيز'!$F$5:$F$2004,MATCH($K99,'سجل التحفيز'!$AC$5:$AC$2004,0)))</f>
        <v/>
      </c>
      <c r="S99" s="35">
        <f>IF($K99="","",INDEX('سجل التحفيز'!$G$5:$G$2004,MATCH($K99,'سجل التحفيز'!$AC$5:$AC$2004,0)))</f>
        <v/>
      </c>
    </row>
    <row r="100">
      <c r="B100" s="34">
        <f>IFERROR(INDEX(الموظفات!$B$5:$B$304,MATCH(63,الموظفات!$W$5:$W$304,0)),"")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التحفيز'!$AC$5:$AC$2004,"&gt;0",'سجل التحفيز'!$B$5:$B$2004,B100))</f>
        <v/>
      </c>
      <c r="E100" s="35">
        <f>IF(B100="","",COUNTIFS('سجل التحفيز'!$AC$5:$AC$2004,"&gt;0",'سجل التحفيز'!$B$5:$B$2004,B100,'سجل التحفيز'!$D$5:$D$2004,"ذهبي"))</f>
        <v/>
      </c>
      <c r="F100" s="35">
        <f>IF(B100="","",SUMIFS('سجل التحفيز'!$G$5:$G$2004,'سجل التحفيز'!$AC$5:$AC$2004,"&gt;0",'سجل التحفيز'!$B$5:$B$2004,B100))</f>
        <v/>
      </c>
      <c r="G100" s="35">
        <f>IF(B100="","",COUNTIF($D$38:$D$187,"&gt;"&amp;D100)+1)</f>
        <v/>
      </c>
      <c r="H100" s="35">
        <f>IF(B100="","",INDEX(الموظفات!$L$5:$L$304,MATCH(B100,الموظفات!$B$5:$B$304,0)))</f>
        <v/>
      </c>
      <c r="K100" s="36">
        <f>IF(63&gt;$B$10,"",63)</f>
        <v/>
      </c>
      <c r="L100" s="37">
        <f>IF($K100="","",INDEX('سجل التحفيز'!$A$5:$A$2004,MATCH($K100,'سجل التحفيز'!$AC$5:$AC$2004,0)))</f>
        <v/>
      </c>
      <c r="M100" s="9">
        <f>IF($K100="","",INDEX('سجل التحفيز'!$B$5:$B$2004,MATCH($K100,'سجل التحفيز'!$AC$5:$AC$2004,0)))</f>
        <v/>
      </c>
      <c r="N100" s="9">
        <f>IF($K100="","",INDEX('سجل التحفيز'!$M$5:$M$2004,MATCH($K100,'سجل التحفيز'!$AC$5:$AC$2004,0)))</f>
        <v/>
      </c>
      <c r="O100" s="9">
        <f>IF($K100="","",INDEX('سجل التحفيز'!$C$5:$C$2004,MATCH($K100,'سجل التحفيز'!$AC$5:$AC$2004,0)))</f>
        <v/>
      </c>
      <c r="P100" s="36">
        <f>IF($K100="","",INDEX('سجل التحفيز'!$D$5:$D$2004,MATCH($K100,'سجل التحفيز'!$AC$5:$AC$2004,0)))</f>
        <v/>
      </c>
      <c r="Q100" s="9">
        <f>IF($K100="","",INDEX('سجل التحفيز'!$E$5:$E$2004,MATCH($K100,'سجل التحفيز'!$AC$5:$AC$2004,0)))</f>
        <v/>
      </c>
      <c r="R100" s="9">
        <f>IF($K100="","",INDEX('سجل التحفيز'!$F$5:$F$2004,MATCH($K100,'سجل التحفيز'!$AC$5:$AC$2004,0)))</f>
        <v/>
      </c>
      <c r="S100" s="35">
        <f>IF($K100="","",INDEX('سجل التحفيز'!$G$5:$G$2004,MATCH($K100,'سجل التحفيز'!$AC$5:$AC$2004,0)))</f>
        <v/>
      </c>
    </row>
    <row r="101">
      <c r="B101" s="34">
        <f>IFERROR(INDEX(الموظفات!$B$5:$B$304,MATCH(64,الموظفات!$W$5:$W$304,0)),"")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التحفيز'!$AC$5:$AC$2004,"&gt;0",'سجل التحفيز'!$B$5:$B$2004,B101))</f>
        <v/>
      </c>
      <c r="E101" s="35">
        <f>IF(B101="","",COUNTIFS('سجل التحفيز'!$AC$5:$AC$2004,"&gt;0",'سجل التحفيز'!$B$5:$B$2004,B101,'سجل التحفيز'!$D$5:$D$2004,"ذهبي"))</f>
        <v/>
      </c>
      <c r="F101" s="35">
        <f>IF(B101="","",SUMIFS('سجل التحفيز'!$G$5:$G$2004,'سجل التحفيز'!$AC$5:$AC$2004,"&gt;0",'سجل التحفيز'!$B$5:$B$2004,B101))</f>
        <v/>
      </c>
      <c r="G101" s="35">
        <f>IF(B101="","",COUNTIF($D$38:$D$187,"&gt;"&amp;D101)+1)</f>
        <v/>
      </c>
      <c r="H101" s="35">
        <f>IF(B101="","",INDEX(الموظفات!$L$5:$L$304,MATCH(B101,الموظفات!$B$5:$B$304,0)))</f>
        <v/>
      </c>
      <c r="K101" s="36">
        <f>IF(64&gt;$B$10,"",64)</f>
        <v/>
      </c>
      <c r="L101" s="37">
        <f>IF($K101="","",INDEX('سجل التحفيز'!$A$5:$A$2004,MATCH($K101,'سجل التحفيز'!$AC$5:$AC$2004,0)))</f>
        <v/>
      </c>
      <c r="M101" s="9">
        <f>IF($K101="","",INDEX('سجل التحفيز'!$B$5:$B$2004,MATCH($K101,'سجل التحفيز'!$AC$5:$AC$2004,0)))</f>
        <v/>
      </c>
      <c r="N101" s="9">
        <f>IF($K101="","",INDEX('سجل التحفيز'!$M$5:$M$2004,MATCH($K101,'سجل التحفيز'!$AC$5:$AC$2004,0)))</f>
        <v/>
      </c>
      <c r="O101" s="9">
        <f>IF($K101="","",INDEX('سجل التحفيز'!$C$5:$C$2004,MATCH($K101,'سجل التحفيز'!$AC$5:$AC$2004,0)))</f>
        <v/>
      </c>
      <c r="P101" s="36">
        <f>IF($K101="","",INDEX('سجل التحفيز'!$D$5:$D$2004,MATCH($K101,'سجل التحفيز'!$AC$5:$AC$2004,0)))</f>
        <v/>
      </c>
      <c r="Q101" s="9">
        <f>IF($K101="","",INDEX('سجل التحفيز'!$E$5:$E$2004,MATCH($K101,'سجل التحفيز'!$AC$5:$AC$2004,0)))</f>
        <v/>
      </c>
      <c r="R101" s="9">
        <f>IF($K101="","",INDEX('سجل التحفيز'!$F$5:$F$2004,MATCH($K101,'سجل التحفيز'!$AC$5:$AC$2004,0)))</f>
        <v/>
      </c>
      <c r="S101" s="35">
        <f>IF($K101="","",INDEX('سجل التحفيز'!$G$5:$G$2004,MATCH($K101,'سجل التحفيز'!$AC$5:$AC$2004,0)))</f>
        <v/>
      </c>
    </row>
    <row r="102">
      <c r="B102" s="34">
        <f>IFERROR(INDEX(الموظفات!$B$5:$B$304,MATCH(65,الموظفات!$W$5:$W$304,0)),"")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التحفيز'!$AC$5:$AC$2004,"&gt;0",'سجل التحفيز'!$B$5:$B$2004,B102))</f>
        <v/>
      </c>
      <c r="E102" s="35">
        <f>IF(B102="","",COUNTIFS('سجل التحفيز'!$AC$5:$AC$2004,"&gt;0",'سجل التحفيز'!$B$5:$B$2004,B102,'سجل التحفيز'!$D$5:$D$2004,"ذهبي"))</f>
        <v/>
      </c>
      <c r="F102" s="35">
        <f>IF(B102="","",SUMIFS('سجل التحفيز'!$G$5:$G$2004,'سجل التحفيز'!$AC$5:$AC$2004,"&gt;0",'سجل التحفيز'!$B$5:$B$2004,B102))</f>
        <v/>
      </c>
      <c r="G102" s="35">
        <f>IF(B102="","",COUNTIF($D$38:$D$187,"&gt;"&amp;D102)+1)</f>
        <v/>
      </c>
      <c r="H102" s="35">
        <f>IF(B102="","",INDEX(الموظفات!$L$5:$L$304,MATCH(B102,الموظفات!$B$5:$B$304,0)))</f>
        <v/>
      </c>
      <c r="K102" s="36">
        <f>IF(65&gt;$B$10,"",65)</f>
        <v/>
      </c>
      <c r="L102" s="37">
        <f>IF($K102="","",INDEX('سجل التحفيز'!$A$5:$A$2004,MATCH($K102,'سجل التحفيز'!$AC$5:$AC$2004,0)))</f>
        <v/>
      </c>
      <c r="M102" s="9">
        <f>IF($K102="","",INDEX('سجل التحفيز'!$B$5:$B$2004,MATCH($K102,'سجل التحفيز'!$AC$5:$AC$2004,0)))</f>
        <v/>
      </c>
      <c r="N102" s="9">
        <f>IF($K102="","",INDEX('سجل التحفيز'!$M$5:$M$2004,MATCH($K102,'سجل التحفيز'!$AC$5:$AC$2004,0)))</f>
        <v/>
      </c>
      <c r="O102" s="9">
        <f>IF($K102="","",INDEX('سجل التحفيز'!$C$5:$C$2004,MATCH($K102,'سجل التحفيز'!$AC$5:$AC$2004,0)))</f>
        <v/>
      </c>
      <c r="P102" s="36">
        <f>IF($K102="","",INDEX('سجل التحفيز'!$D$5:$D$2004,MATCH($K102,'سجل التحفيز'!$AC$5:$AC$2004,0)))</f>
        <v/>
      </c>
      <c r="Q102" s="9">
        <f>IF($K102="","",INDEX('سجل التحفيز'!$E$5:$E$2004,MATCH($K102,'سجل التحفيز'!$AC$5:$AC$2004,0)))</f>
        <v/>
      </c>
      <c r="R102" s="9">
        <f>IF($K102="","",INDEX('سجل التحفيز'!$F$5:$F$2004,MATCH($K102,'سجل التحفيز'!$AC$5:$AC$2004,0)))</f>
        <v/>
      </c>
      <c r="S102" s="35">
        <f>IF($K102="","",INDEX('سجل التحفيز'!$G$5:$G$2004,MATCH($K102,'سجل التحفيز'!$AC$5:$AC$2004,0)))</f>
        <v/>
      </c>
    </row>
    <row r="103">
      <c r="B103" s="34">
        <f>IFERROR(INDEX(الموظفات!$B$5:$B$304,MATCH(66,الموظفات!$W$5:$W$304,0)),"")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التحفيز'!$AC$5:$AC$2004,"&gt;0",'سجل التحفيز'!$B$5:$B$2004,B103))</f>
        <v/>
      </c>
      <c r="E103" s="35">
        <f>IF(B103="","",COUNTIFS('سجل التحفيز'!$AC$5:$AC$2004,"&gt;0",'سجل التحفيز'!$B$5:$B$2004,B103,'سجل التحفيز'!$D$5:$D$2004,"ذهبي"))</f>
        <v/>
      </c>
      <c r="F103" s="35">
        <f>IF(B103="","",SUMIFS('سجل التحفيز'!$G$5:$G$2004,'سجل التحفيز'!$AC$5:$AC$2004,"&gt;0",'سجل التحفيز'!$B$5:$B$2004,B103))</f>
        <v/>
      </c>
      <c r="G103" s="35">
        <f>IF(B103="","",COUNTIF($D$38:$D$187,"&gt;"&amp;D103)+1)</f>
        <v/>
      </c>
      <c r="H103" s="35">
        <f>IF(B103="","",INDEX(الموظفات!$L$5:$L$304,MATCH(B103,الموظفات!$B$5:$B$304,0)))</f>
        <v/>
      </c>
      <c r="K103" s="36">
        <f>IF(66&gt;$B$10,"",66)</f>
        <v/>
      </c>
      <c r="L103" s="37">
        <f>IF($K103="","",INDEX('سجل التحفيز'!$A$5:$A$2004,MATCH($K103,'سجل التحفيز'!$AC$5:$AC$2004,0)))</f>
        <v/>
      </c>
      <c r="M103" s="9">
        <f>IF($K103="","",INDEX('سجل التحفيز'!$B$5:$B$2004,MATCH($K103,'سجل التحفيز'!$AC$5:$AC$2004,0)))</f>
        <v/>
      </c>
      <c r="N103" s="9">
        <f>IF($K103="","",INDEX('سجل التحفيز'!$M$5:$M$2004,MATCH($K103,'سجل التحفيز'!$AC$5:$AC$2004,0)))</f>
        <v/>
      </c>
      <c r="O103" s="9">
        <f>IF($K103="","",INDEX('سجل التحفيز'!$C$5:$C$2004,MATCH($K103,'سجل التحفيز'!$AC$5:$AC$2004,0)))</f>
        <v/>
      </c>
      <c r="P103" s="36">
        <f>IF($K103="","",INDEX('سجل التحفيز'!$D$5:$D$2004,MATCH($K103,'سجل التحفيز'!$AC$5:$AC$2004,0)))</f>
        <v/>
      </c>
      <c r="Q103" s="9">
        <f>IF($K103="","",INDEX('سجل التحفيز'!$E$5:$E$2004,MATCH($K103,'سجل التحفيز'!$AC$5:$AC$2004,0)))</f>
        <v/>
      </c>
      <c r="R103" s="9">
        <f>IF($K103="","",INDEX('سجل التحفيز'!$F$5:$F$2004,MATCH($K103,'سجل التحفيز'!$AC$5:$AC$2004,0)))</f>
        <v/>
      </c>
      <c r="S103" s="35">
        <f>IF($K103="","",INDEX('سجل التحفيز'!$G$5:$G$2004,MATCH($K103,'سجل التحفيز'!$AC$5:$AC$2004,0)))</f>
        <v/>
      </c>
    </row>
    <row r="104">
      <c r="B104" s="34">
        <f>IFERROR(INDEX(الموظفات!$B$5:$B$304,MATCH(67,الموظفات!$W$5:$W$304,0)),"")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التحفيز'!$AC$5:$AC$2004,"&gt;0",'سجل التحفيز'!$B$5:$B$2004,B104))</f>
        <v/>
      </c>
      <c r="E104" s="35">
        <f>IF(B104="","",COUNTIFS('سجل التحفيز'!$AC$5:$AC$2004,"&gt;0",'سجل التحفيز'!$B$5:$B$2004,B104,'سجل التحفيز'!$D$5:$D$2004,"ذهبي"))</f>
        <v/>
      </c>
      <c r="F104" s="35">
        <f>IF(B104="","",SUMIFS('سجل التحفيز'!$G$5:$G$2004,'سجل التحفيز'!$AC$5:$AC$2004,"&gt;0",'سجل التحفيز'!$B$5:$B$2004,B104))</f>
        <v/>
      </c>
      <c r="G104" s="35">
        <f>IF(B104="","",COUNTIF($D$38:$D$187,"&gt;"&amp;D104)+1)</f>
        <v/>
      </c>
      <c r="H104" s="35">
        <f>IF(B104="","",INDEX(الموظفات!$L$5:$L$304,MATCH(B104,الموظفات!$B$5:$B$304,0)))</f>
        <v/>
      </c>
      <c r="K104" s="36">
        <f>IF(67&gt;$B$10,"",67)</f>
        <v/>
      </c>
      <c r="L104" s="37">
        <f>IF($K104="","",INDEX('سجل التحفيز'!$A$5:$A$2004,MATCH($K104,'سجل التحفيز'!$AC$5:$AC$2004,0)))</f>
        <v/>
      </c>
      <c r="M104" s="9">
        <f>IF($K104="","",INDEX('سجل التحفيز'!$B$5:$B$2004,MATCH($K104,'سجل التحفيز'!$AC$5:$AC$2004,0)))</f>
        <v/>
      </c>
      <c r="N104" s="9">
        <f>IF($K104="","",INDEX('سجل التحفيز'!$M$5:$M$2004,MATCH($K104,'سجل التحفيز'!$AC$5:$AC$2004,0)))</f>
        <v/>
      </c>
      <c r="O104" s="9">
        <f>IF($K104="","",INDEX('سجل التحفيز'!$C$5:$C$2004,MATCH($K104,'سجل التحفيز'!$AC$5:$AC$2004,0)))</f>
        <v/>
      </c>
      <c r="P104" s="36">
        <f>IF($K104="","",INDEX('سجل التحفيز'!$D$5:$D$2004,MATCH($K104,'سجل التحفيز'!$AC$5:$AC$2004,0)))</f>
        <v/>
      </c>
      <c r="Q104" s="9">
        <f>IF($K104="","",INDEX('سجل التحفيز'!$E$5:$E$2004,MATCH($K104,'سجل التحفيز'!$AC$5:$AC$2004,0)))</f>
        <v/>
      </c>
      <c r="R104" s="9">
        <f>IF($K104="","",INDEX('سجل التحفيز'!$F$5:$F$2004,MATCH($K104,'سجل التحفيز'!$AC$5:$AC$2004,0)))</f>
        <v/>
      </c>
      <c r="S104" s="35">
        <f>IF($K104="","",INDEX('سجل التحفيز'!$G$5:$G$2004,MATCH($K104,'سجل التحفيز'!$AC$5:$AC$2004,0)))</f>
        <v/>
      </c>
    </row>
    <row r="105">
      <c r="B105" s="34">
        <f>IFERROR(INDEX(الموظفات!$B$5:$B$304,MATCH(68,الموظفات!$W$5:$W$304,0)),"")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التحفيز'!$AC$5:$AC$2004,"&gt;0",'سجل التحفيز'!$B$5:$B$2004,B105))</f>
        <v/>
      </c>
      <c r="E105" s="35">
        <f>IF(B105="","",COUNTIFS('سجل التحفيز'!$AC$5:$AC$2004,"&gt;0",'سجل التحفيز'!$B$5:$B$2004,B105,'سجل التحفيز'!$D$5:$D$2004,"ذهبي"))</f>
        <v/>
      </c>
      <c r="F105" s="35">
        <f>IF(B105="","",SUMIFS('سجل التحفيز'!$G$5:$G$2004,'سجل التحفيز'!$AC$5:$AC$2004,"&gt;0",'سجل التحفيز'!$B$5:$B$2004,B105))</f>
        <v/>
      </c>
      <c r="G105" s="35">
        <f>IF(B105="","",COUNTIF($D$38:$D$187,"&gt;"&amp;D105)+1)</f>
        <v/>
      </c>
      <c r="H105" s="35">
        <f>IF(B105="","",INDEX(الموظفات!$L$5:$L$304,MATCH(B105,الموظفات!$B$5:$B$304,0)))</f>
        <v/>
      </c>
      <c r="K105" s="36">
        <f>IF(68&gt;$B$10,"",68)</f>
        <v/>
      </c>
      <c r="L105" s="37">
        <f>IF($K105="","",INDEX('سجل التحفيز'!$A$5:$A$2004,MATCH($K105,'سجل التحفيز'!$AC$5:$AC$2004,0)))</f>
        <v/>
      </c>
      <c r="M105" s="9">
        <f>IF($K105="","",INDEX('سجل التحفيز'!$B$5:$B$2004,MATCH($K105,'سجل التحفيز'!$AC$5:$AC$2004,0)))</f>
        <v/>
      </c>
      <c r="N105" s="9">
        <f>IF($K105="","",INDEX('سجل التحفيز'!$M$5:$M$2004,MATCH($K105,'سجل التحفيز'!$AC$5:$AC$2004,0)))</f>
        <v/>
      </c>
      <c r="O105" s="9">
        <f>IF($K105="","",INDEX('سجل التحفيز'!$C$5:$C$2004,MATCH($K105,'سجل التحفيز'!$AC$5:$AC$2004,0)))</f>
        <v/>
      </c>
      <c r="P105" s="36">
        <f>IF($K105="","",INDEX('سجل التحفيز'!$D$5:$D$2004,MATCH($K105,'سجل التحفيز'!$AC$5:$AC$2004,0)))</f>
        <v/>
      </c>
      <c r="Q105" s="9">
        <f>IF($K105="","",INDEX('سجل التحفيز'!$E$5:$E$2004,MATCH($K105,'سجل التحفيز'!$AC$5:$AC$2004,0)))</f>
        <v/>
      </c>
      <c r="R105" s="9">
        <f>IF($K105="","",INDEX('سجل التحفيز'!$F$5:$F$2004,MATCH($K105,'سجل التحفيز'!$AC$5:$AC$2004,0)))</f>
        <v/>
      </c>
      <c r="S105" s="35">
        <f>IF($K105="","",INDEX('سجل التحفيز'!$G$5:$G$2004,MATCH($K105,'سجل التحفيز'!$AC$5:$AC$2004,0)))</f>
        <v/>
      </c>
    </row>
    <row r="106">
      <c r="B106" s="34">
        <f>IFERROR(INDEX(الموظفات!$B$5:$B$304,MATCH(69,الموظفات!$W$5:$W$304,0)),"")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التحفيز'!$AC$5:$AC$2004,"&gt;0",'سجل التحفيز'!$B$5:$B$2004,B106))</f>
        <v/>
      </c>
      <c r="E106" s="35">
        <f>IF(B106="","",COUNTIFS('سجل التحفيز'!$AC$5:$AC$2004,"&gt;0",'سجل التحفيز'!$B$5:$B$2004,B106,'سجل التحفيز'!$D$5:$D$2004,"ذهبي"))</f>
        <v/>
      </c>
      <c r="F106" s="35">
        <f>IF(B106="","",SUMIFS('سجل التحفيز'!$G$5:$G$2004,'سجل التحفيز'!$AC$5:$AC$2004,"&gt;0",'سجل التحفيز'!$B$5:$B$2004,B106))</f>
        <v/>
      </c>
      <c r="G106" s="35">
        <f>IF(B106="","",COUNTIF($D$38:$D$187,"&gt;"&amp;D106)+1)</f>
        <v/>
      </c>
      <c r="H106" s="35">
        <f>IF(B106="","",INDEX(الموظفات!$L$5:$L$304,MATCH(B106,الموظفات!$B$5:$B$304,0)))</f>
        <v/>
      </c>
      <c r="K106" s="36">
        <f>IF(69&gt;$B$10,"",69)</f>
        <v/>
      </c>
      <c r="L106" s="37">
        <f>IF($K106="","",INDEX('سجل التحفيز'!$A$5:$A$2004,MATCH($K106,'سجل التحفيز'!$AC$5:$AC$2004,0)))</f>
        <v/>
      </c>
      <c r="M106" s="9">
        <f>IF($K106="","",INDEX('سجل التحفيز'!$B$5:$B$2004,MATCH($K106,'سجل التحفيز'!$AC$5:$AC$2004,0)))</f>
        <v/>
      </c>
      <c r="N106" s="9">
        <f>IF($K106="","",INDEX('سجل التحفيز'!$M$5:$M$2004,MATCH($K106,'سجل التحفيز'!$AC$5:$AC$2004,0)))</f>
        <v/>
      </c>
      <c r="O106" s="9">
        <f>IF($K106="","",INDEX('سجل التحفيز'!$C$5:$C$2004,MATCH($K106,'سجل التحفيز'!$AC$5:$AC$2004,0)))</f>
        <v/>
      </c>
      <c r="P106" s="36">
        <f>IF($K106="","",INDEX('سجل التحفيز'!$D$5:$D$2004,MATCH($K106,'سجل التحفيز'!$AC$5:$AC$2004,0)))</f>
        <v/>
      </c>
      <c r="Q106" s="9">
        <f>IF($K106="","",INDEX('سجل التحفيز'!$E$5:$E$2004,MATCH($K106,'سجل التحفيز'!$AC$5:$AC$2004,0)))</f>
        <v/>
      </c>
      <c r="R106" s="9">
        <f>IF($K106="","",INDEX('سجل التحفيز'!$F$5:$F$2004,MATCH($K106,'سجل التحفيز'!$AC$5:$AC$2004,0)))</f>
        <v/>
      </c>
      <c r="S106" s="35">
        <f>IF($K106="","",INDEX('سجل التحفيز'!$G$5:$G$2004,MATCH($K106,'سجل التحفيز'!$AC$5:$AC$2004,0)))</f>
        <v/>
      </c>
    </row>
    <row r="107">
      <c r="B107" s="34">
        <f>IFERROR(INDEX(الموظفات!$B$5:$B$304,MATCH(70,الموظفات!$W$5:$W$304,0)),"")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التحفيز'!$AC$5:$AC$2004,"&gt;0",'سجل التحفيز'!$B$5:$B$2004,B107))</f>
        <v/>
      </c>
      <c r="E107" s="35">
        <f>IF(B107="","",COUNTIFS('سجل التحفيز'!$AC$5:$AC$2004,"&gt;0",'سجل التحفيز'!$B$5:$B$2004,B107,'سجل التحفيز'!$D$5:$D$2004,"ذهبي"))</f>
        <v/>
      </c>
      <c r="F107" s="35">
        <f>IF(B107="","",SUMIFS('سجل التحفيز'!$G$5:$G$2004,'سجل التحفيز'!$AC$5:$AC$2004,"&gt;0",'سجل التحفيز'!$B$5:$B$2004,B107))</f>
        <v/>
      </c>
      <c r="G107" s="35">
        <f>IF(B107="","",COUNTIF($D$38:$D$187,"&gt;"&amp;D107)+1)</f>
        <v/>
      </c>
      <c r="H107" s="35">
        <f>IF(B107="","",INDEX(الموظفات!$L$5:$L$304,MATCH(B107,الموظفات!$B$5:$B$304,0)))</f>
        <v/>
      </c>
      <c r="K107" s="36">
        <f>IF(70&gt;$B$10,"",70)</f>
        <v/>
      </c>
      <c r="L107" s="37">
        <f>IF($K107="","",INDEX('سجل التحفيز'!$A$5:$A$2004,MATCH($K107,'سجل التحفيز'!$AC$5:$AC$2004,0)))</f>
        <v/>
      </c>
      <c r="M107" s="9">
        <f>IF($K107="","",INDEX('سجل التحفيز'!$B$5:$B$2004,MATCH($K107,'سجل التحفيز'!$AC$5:$AC$2004,0)))</f>
        <v/>
      </c>
      <c r="N107" s="9">
        <f>IF($K107="","",INDEX('سجل التحفيز'!$M$5:$M$2004,MATCH($K107,'سجل التحفيز'!$AC$5:$AC$2004,0)))</f>
        <v/>
      </c>
      <c r="O107" s="9">
        <f>IF($K107="","",INDEX('سجل التحفيز'!$C$5:$C$2004,MATCH($K107,'سجل التحفيز'!$AC$5:$AC$2004,0)))</f>
        <v/>
      </c>
      <c r="P107" s="36">
        <f>IF($K107="","",INDEX('سجل التحفيز'!$D$5:$D$2004,MATCH($K107,'سجل التحفيز'!$AC$5:$AC$2004,0)))</f>
        <v/>
      </c>
      <c r="Q107" s="9">
        <f>IF($K107="","",INDEX('سجل التحفيز'!$E$5:$E$2004,MATCH($K107,'سجل التحفيز'!$AC$5:$AC$2004,0)))</f>
        <v/>
      </c>
      <c r="R107" s="9">
        <f>IF($K107="","",INDEX('سجل التحفيز'!$F$5:$F$2004,MATCH($K107,'سجل التحفيز'!$AC$5:$AC$2004,0)))</f>
        <v/>
      </c>
      <c r="S107" s="35">
        <f>IF($K107="","",INDEX('سجل التحفيز'!$G$5:$G$2004,MATCH($K107,'سجل التحفيز'!$AC$5:$AC$2004,0)))</f>
        <v/>
      </c>
    </row>
    <row r="108">
      <c r="B108" s="34">
        <f>IFERROR(INDEX(الموظفات!$B$5:$B$304,MATCH(71,الموظفات!$W$5:$W$304,0)),"")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التحفيز'!$AC$5:$AC$2004,"&gt;0",'سجل التحفيز'!$B$5:$B$2004,B108))</f>
        <v/>
      </c>
      <c r="E108" s="35">
        <f>IF(B108="","",COUNTIFS('سجل التحفيز'!$AC$5:$AC$2004,"&gt;0",'سجل التحفيز'!$B$5:$B$2004,B108,'سجل التحفيز'!$D$5:$D$2004,"ذهبي"))</f>
        <v/>
      </c>
      <c r="F108" s="35">
        <f>IF(B108="","",SUMIFS('سجل التحفيز'!$G$5:$G$2004,'سجل التحفيز'!$AC$5:$AC$2004,"&gt;0",'سجل التحفيز'!$B$5:$B$2004,B108))</f>
        <v/>
      </c>
      <c r="G108" s="35">
        <f>IF(B108="","",COUNTIF($D$38:$D$187,"&gt;"&amp;D108)+1)</f>
        <v/>
      </c>
      <c r="H108" s="35">
        <f>IF(B108="","",INDEX(الموظفات!$L$5:$L$304,MATCH(B108,الموظفات!$B$5:$B$304,0)))</f>
        <v/>
      </c>
      <c r="K108" s="36">
        <f>IF(71&gt;$B$10,"",71)</f>
        <v/>
      </c>
      <c r="L108" s="37">
        <f>IF($K108="","",INDEX('سجل التحفيز'!$A$5:$A$2004,MATCH($K108,'سجل التحفيز'!$AC$5:$AC$2004,0)))</f>
        <v/>
      </c>
      <c r="M108" s="9">
        <f>IF($K108="","",INDEX('سجل التحفيز'!$B$5:$B$2004,MATCH($K108,'سجل التحفيز'!$AC$5:$AC$2004,0)))</f>
        <v/>
      </c>
      <c r="N108" s="9">
        <f>IF($K108="","",INDEX('سجل التحفيز'!$M$5:$M$2004,MATCH($K108,'سجل التحفيز'!$AC$5:$AC$2004,0)))</f>
        <v/>
      </c>
      <c r="O108" s="9">
        <f>IF($K108="","",INDEX('سجل التحفيز'!$C$5:$C$2004,MATCH($K108,'سجل التحفيز'!$AC$5:$AC$2004,0)))</f>
        <v/>
      </c>
      <c r="P108" s="36">
        <f>IF($K108="","",INDEX('سجل التحفيز'!$D$5:$D$2004,MATCH($K108,'سجل التحفيز'!$AC$5:$AC$2004,0)))</f>
        <v/>
      </c>
      <c r="Q108" s="9">
        <f>IF($K108="","",INDEX('سجل التحفيز'!$E$5:$E$2004,MATCH($K108,'سجل التحفيز'!$AC$5:$AC$2004,0)))</f>
        <v/>
      </c>
      <c r="R108" s="9">
        <f>IF($K108="","",INDEX('سجل التحفيز'!$F$5:$F$2004,MATCH($K108,'سجل التحفيز'!$AC$5:$AC$2004,0)))</f>
        <v/>
      </c>
      <c r="S108" s="35">
        <f>IF($K108="","",INDEX('سجل التحفيز'!$G$5:$G$2004,MATCH($K108,'سجل التحفيز'!$AC$5:$AC$2004,0)))</f>
        <v/>
      </c>
    </row>
    <row r="109">
      <c r="B109" s="34">
        <f>IFERROR(INDEX(الموظفات!$B$5:$B$304,MATCH(72,الموظفات!$W$5:$W$304,0)),"")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التحفيز'!$AC$5:$AC$2004,"&gt;0",'سجل التحفيز'!$B$5:$B$2004,B109))</f>
        <v/>
      </c>
      <c r="E109" s="35">
        <f>IF(B109="","",COUNTIFS('سجل التحفيز'!$AC$5:$AC$2004,"&gt;0",'سجل التحفيز'!$B$5:$B$2004,B109,'سجل التحفيز'!$D$5:$D$2004,"ذهبي"))</f>
        <v/>
      </c>
      <c r="F109" s="35">
        <f>IF(B109="","",SUMIFS('سجل التحفيز'!$G$5:$G$2004,'سجل التحفيز'!$AC$5:$AC$2004,"&gt;0",'سجل التحفيز'!$B$5:$B$2004,B109))</f>
        <v/>
      </c>
      <c r="G109" s="35">
        <f>IF(B109="","",COUNTIF($D$38:$D$187,"&gt;"&amp;D109)+1)</f>
        <v/>
      </c>
      <c r="H109" s="35">
        <f>IF(B109="","",INDEX(الموظفات!$L$5:$L$304,MATCH(B109,الموظفات!$B$5:$B$304,0)))</f>
        <v/>
      </c>
      <c r="K109" s="36">
        <f>IF(72&gt;$B$10,"",72)</f>
        <v/>
      </c>
      <c r="L109" s="37">
        <f>IF($K109="","",INDEX('سجل التحفيز'!$A$5:$A$2004,MATCH($K109,'سجل التحفيز'!$AC$5:$AC$2004,0)))</f>
        <v/>
      </c>
      <c r="M109" s="9">
        <f>IF($K109="","",INDEX('سجل التحفيز'!$B$5:$B$2004,MATCH($K109,'سجل التحفيز'!$AC$5:$AC$2004,0)))</f>
        <v/>
      </c>
      <c r="N109" s="9">
        <f>IF($K109="","",INDEX('سجل التحفيز'!$M$5:$M$2004,MATCH($K109,'سجل التحفيز'!$AC$5:$AC$2004,0)))</f>
        <v/>
      </c>
      <c r="O109" s="9">
        <f>IF($K109="","",INDEX('سجل التحفيز'!$C$5:$C$2004,MATCH($K109,'سجل التحفيز'!$AC$5:$AC$2004,0)))</f>
        <v/>
      </c>
      <c r="P109" s="36">
        <f>IF($K109="","",INDEX('سجل التحفيز'!$D$5:$D$2004,MATCH($K109,'سجل التحفيز'!$AC$5:$AC$2004,0)))</f>
        <v/>
      </c>
      <c r="Q109" s="9">
        <f>IF($K109="","",INDEX('سجل التحفيز'!$E$5:$E$2004,MATCH($K109,'سجل التحفيز'!$AC$5:$AC$2004,0)))</f>
        <v/>
      </c>
      <c r="R109" s="9">
        <f>IF($K109="","",INDEX('سجل التحفيز'!$F$5:$F$2004,MATCH($K109,'سجل التحفيز'!$AC$5:$AC$2004,0)))</f>
        <v/>
      </c>
      <c r="S109" s="35">
        <f>IF($K109="","",INDEX('سجل التحفيز'!$G$5:$G$2004,MATCH($K109,'سجل التحفيز'!$AC$5:$AC$2004,0)))</f>
        <v/>
      </c>
    </row>
    <row r="110">
      <c r="B110" s="34">
        <f>IFERROR(INDEX(الموظفات!$B$5:$B$304,MATCH(73,الموظفات!$W$5:$W$304,0)),"")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التحفيز'!$AC$5:$AC$2004,"&gt;0",'سجل التحفيز'!$B$5:$B$2004,B110))</f>
        <v/>
      </c>
      <c r="E110" s="35">
        <f>IF(B110="","",COUNTIFS('سجل التحفيز'!$AC$5:$AC$2004,"&gt;0",'سجل التحفيز'!$B$5:$B$2004,B110,'سجل التحفيز'!$D$5:$D$2004,"ذهبي"))</f>
        <v/>
      </c>
      <c r="F110" s="35">
        <f>IF(B110="","",SUMIFS('سجل التحفيز'!$G$5:$G$2004,'سجل التحفيز'!$AC$5:$AC$2004,"&gt;0",'سجل التحفيز'!$B$5:$B$2004,B110))</f>
        <v/>
      </c>
      <c r="G110" s="35">
        <f>IF(B110="","",COUNTIF($D$38:$D$187,"&gt;"&amp;D110)+1)</f>
        <v/>
      </c>
      <c r="H110" s="35">
        <f>IF(B110="","",INDEX(الموظفات!$L$5:$L$304,MATCH(B110,الموظفات!$B$5:$B$304,0)))</f>
        <v/>
      </c>
      <c r="K110" s="36">
        <f>IF(73&gt;$B$10,"",73)</f>
        <v/>
      </c>
      <c r="L110" s="37">
        <f>IF($K110="","",INDEX('سجل التحفيز'!$A$5:$A$2004,MATCH($K110,'سجل التحفيز'!$AC$5:$AC$2004,0)))</f>
        <v/>
      </c>
      <c r="M110" s="9">
        <f>IF($K110="","",INDEX('سجل التحفيز'!$B$5:$B$2004,MATCH($K110,'سجل التحفيز'!$AC$5:$AC$2004,0)))</f>
        <v/>
      </c>
      <c r="N110" s="9">
        <f>IF($K110="","",INDEX('سجل التحفيز'!$M$5:$M$2004,MATCH($K110,'سجل التحفيز'!$AC$5:$AC$2004,0)))</f>
        <v/>
      </c>
      <c r="O110" s="9">
        <f>IF($K110="","",INDEX('سجل التحفيز'!$C$5:$C$2004,MATCH($K110,'سجل التحفيز'!$AC$5:$AC$2004,0)))</f>
        <v/>
      </c>
      <c r="P110" s="36">
        <f>IF($K110="","",INDEX('سجل التحفيز'!$D$5:$D$2004,MATCH($K110,'سجل التحفيز'!$AC$5:$AC$2004,0)))</f>
        <v/>
      </c>
      <c r="Q110" s="9">
        <f>IF($K110="","",INDEX('سجل التحفيز'!$E$5:$E$2004,MATCH($K110,'سجل التحفيز'!$AC$5:$AC$2004,0)))</f>
        <v/>
      </c>
      <c r="R110" s="9">
        <f>IF($K110="","",INDEX('سجل التحفيز'!$F$5:$F$2004,MATCH($K110,'سجل التحفيز'!$AC$5:$AC$2004,0)))</f>
        <v/>
      </c>
      <c r="S110" s="35">
        <f>IF($K110="","",INDEX('سجل التحفيز'!$G$5:$G$2004,MATCH($K110,'سجل التحفيز'!$AC$5:$AC$2004,0)))</f>
        <v/>
      </c>
    </row>
    <row r="111">
      <c r="B111" s="34">
        <f>IFERROR(INDEX(الموظفات!$B$5:$B$304,MATCH(74,الموظفات!$W$5:$W$304,0)),"")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التحفيز'!$AC$5:$AC$2004,"&gt;0",'سجل التحفيز'!$B$5:$B$2004,B111))</f>
        <v/>
      </c>
      <c r="E111" s="35">
        <f>IF(B111="","",COUNTIFS('سجل التحفيز'!$AC$5:$AC$2004,"&gt;0",'سجل التحفيز'!$B$5:$B$2004,B111,'سجل التحفيز'!$D$5:$D$2004,"ذهبي"))</f>
        <v/>
      </c>
      <c r="F111" s="35">
        <f>IF(B111="","",SUMIFS('سجل التحفيز'!$G$5:$G$2004,'سجل التحفيز'!$AC$5:$AC$2004,"&gt;0",'سجل التحفيز'!$B$5:$B$2004,B111))</f>
        <v/>
      </c>
      <c r="G111" s="35">
        <f>IF(B111="","",COUNTIF($D$38:$D$187,"&gt;"&amp;D111)+1)</f>
        <v/>
      </c>
      <c r="H111" s="35">
        <f>IF(B111="","",INDEX(الموظفات!$L$5:$L$304,MATCH(B111,الموظفات!$B$5:$B$304,0)))</f>
        <v/>
      </c>
      <c r="K111" s="36">
        <f>IF(74&gt;$B$10,"",74)</f>
        <v/>
      </c>
      <c r="L111" s="37">
        <f>IF($K111="","",INDEX('سجل التحفيز'!$A$5:$A$2004,MATCH($K111,'سجل التحفيز'!$AC$5:$AC$2004,0)))</f>
        <v/>
      </c>
      <c r="M111" s="9">
        <f>IF($K111="","",INDEX('سجل التحفيز'!$B$5:$B$2004,MATCH($K111,'سجل التحفيز'!$AC$5:$AC$2004,0)))</f>
        <v/>
      </c>
      <c r="N111" s="9">
        <f>IF($K111="","",INDEX('سجل التحفيز'!$M$5:$M$2004,MATCH($K111,'سجل التحفيز'!$AC$5:$AC$2004,0)))</f>
        <v/>
      </c>
      <c r="O111" s="9">
        <f>IF($K111="","",INDEX('سجل التحفيز'!$C$5:$C$2004,MATCH($K111,'سجل التحفيز'!$AC$5:$AC$2004,0)))</f>
        <v/>
      </c>
      <c r="P111" s="36">
        <f>IF($K111="","",INDEX('سجل التحفيز'!$D$5:$D$2004,MATCH($K111,'سجل التحفيز'!$AC$5:$AC$2004,0)))</f>
        <v/>
      </c>
      <c r="Q111" s="9">
        <f>IF($K111="","",INDEX('سجل التحفيز'!$E$5:$E$2004,MATCH($K111,'سجل التحفيز'!$AC$5:$AC$2004,0)))</f>
        <v/>
      </c>
      <c r="R111" s="9">
        <f>IF($K111="","",INDEX('سجل التحفيز'!$F$5:$F$2004,MATCH($K111,'سجل التحفيز'!$AC$5:$AC$2004,0)))</f>
        <v/>
      </c>
      <c r="S111" s="35">
        <f>IF($K111="","",INDEX('سجل التحفيز'!$G$5:$G$2004,MATCH($K111,'سجل التحفيز'!$AC$5:$AC$2004,0)))</f>
        <v/>
      </c>
    </row>
    <row r="112">
      <c r="B112" s="34">
        <f>IFERROR(INDEX(الموظفات!$B$5:$B$304,MATCH(75,الموظفات!$W$5:$W$304,0)),"")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التحفيز'!$AC$5:$AC$2004,"&gt;0",'سجل التحفيز'!$B$5:$B$2004,B112))</f>
        <v/>
      </c>
      <c r="E112" s="35">
        <f>IF(B112="","",COUNTIFS('سجل التحفيز'!$AC$5:$AC$2004,"&gt;0",'سجل التحفيز'!$B$5:$B$2004,B112,'سجل التحفيز'!$D$5:$D$2004,"ذهبي"))</f>
        <v/>
      </c>
      <c r="F112" s="35">
        <f>IF(B112="","",SUMIFS('سجل التحفيز'!$G$5:$G$2004,'سجل التحفيز'!$AC$5:$AC$2004,"&gt;0",'سجل التحفيز'!$B$5:$B$2004,B112))</f>
        <v/>
      </c>
      <c r="G112" s="35">
        <f>IF(B112="","",COUNTIF($D$38:$D$187,"&gt;"&amp;D112)+1)</f>
        <v/>
      </c>
      <c r="H112" s="35">
        <f>IF(B112="","",INDEX(الموظفات!$L$5:$L$304,MATCH(B112,الموظفات!$B$5:$B$304,0)))</f>
        <v/>
      </c>
      <c r="K112" s="36">
        <f>IF(75&gt;$B$10,"",75)</f>
        <v/>
      </c>
      <c r="L112" s="37">
        <f>IF($K112="","",INDEX('سجل التحفيز'!$A$5:$A$2004,MATCH($K112,'سجل التحفيز'!$AC$5:$AC$2004,0)))</f>
        <v/>
      </c>
      <c r="M112" s="9">
        <f>IF($K112="","",INDEX('سجل التحفيز'!$B$5:$B$2004,MATCH($K112,'سجل التحفيز'!$AC$5:$AC$2004,0)))</f>
        <v/>
      </c>
      <c r="N112" s="9">
        <f>IF($K112="","",INDEX('سجل التحفيز'!$M$5:$M$2004,MATCH($K112,'سجل التحفيز'!$AC$5:$AC$2004,0)))</f>
        <v/>
      </c>
      <c r="O112" s="9">
        <f>IF($K112="","",INDEX('سجل التحفيز'!$C$5:$C$2004,MATCH($K112,'سجل التحفيز'!$AC$5:$AC$2004,0)))</f>
        <v/>
      </c>
      <c r="P112" s="36">
        <f>IF($K112="","",INDEX('سجل التحفيز'!$D$5:$D$2004,MATCH($K112,'سجل التحفيز'!$AC$5:$AC$2004,0)))</f>
        <v/>
      </c>
      <c r="Q112" s="9">
        <f>IF($K112="","",INDEX('سجل التحفيز'!$E$5:$E$2004,MATCH($K112,'سجل التحفيز'!$AC$5:$AC$2004,0)))</f>
        <v/>
      </c>
      <c r="R112" s="9">
        <f>IF($K112="","",INDEX('سجل التحفيز'!$F$5:$F$2004,MATCH($K112,'سجل التحفيز'!$AC$5:$AC$2004,0)))</f>
        <v/>
      </c>
      <c r="S112" s="35">
        <f>IF($K112="","",INDEX('سجل التحفيز'!$G$5:$G$2004,MATCH($K112,'سجل التحفيز'!$AC$5:$AC$2004,0)))</f>
        <v/>
      </c>
    </row>
    <row r="113">
      <c r="B113" s="34">
        <f>IFERROR(INDEX(الموظفات!$B$5:$B$304,MATCH(76,الموظفات!$W$5:$W$304,0)),"")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التحفيز'!$AC$5:$AC$2004,"&gt;0",'سجل التحفيز'!$B$5:$B$2004,B113))</f>
        <v/>
      </c>
      <c r="E113" s="35">
        <f>IF(B113="","",COUNTIFS('سجل التحفيز'!$AC$5:$AC$2004,"&gt;0",'سجل التحفيز'!$B$5:$B$2004,B113,'سجل التحفيز'!$D$5:$D$2004,"ذهبي"))</f>
        <v/>
      </c>
      <c r="F113" s="35">
        <f>IF(B113="","",SUMIFS('سجل التحفيز'!$G$5:$G$2004,'سجل التحفيز'!$AC$5:$AC$2004,"&gt;0",'سجل التحفيز'!$B$5:$B$2004,B113))</f>
        <v/>
      </c>
      <c r="G113" s="35">
        <f>IF(B113="","",COUNTIF($D$38:$D$187,"&gt;"&amp;D113)+1)</f>
        <v/>
      </c>
      <c r="H113" s="35">
        <f>IF(B113="","",INDEX(الموظفات!$L$5:$L$304,MATCH(B113,الموظفات!$B$5:$B$304,0)))</f>
        <v/>
      </c>
      <c r="K113" s="36">
        <f>IF(76&gt;$B$10,"",76)</f>
        <v/>
      </c>
      <c r="L113" s="37">
        <f>IF($K113="","",INDEX('سجل التحفيز'!$A$5:$A$2004,MATCH($K113,'سجل التحفيز'!$AC$5:$AC$2004,0)))</f>
        <v/>
      </c>
      <c r="M113" s="9">
        <f>IF($K113="","",INDEX('سجل التحفيز'!$B$5:$B$2004,MATCH($K113,'سجل التحفيز'!$AC$5:$AC$2004,0)))</f>
        <v/>
      </c>
      <c r="N113" s="9">
        <f>IF($K113="","",INDEX('سجل التحفيز'!$M$5:$M$2004,MATCH($K113,'سجل التحفيز'!$AC$5:$AC$2004,0)))</f>
        <v/>
      </c>
      <c r="O113" s="9">
        <f>IF($K113="","",INDEX('سجل التحفيز'!$C$5:$C$2004,MATCH($K113,'سجل التحفيز'!$AC$5:$AC$2004,0)))</f>
        <v/>
      </c>
      <c r="P113" s="36">
        <f>IF($K113="","",INDEX('سجل التحفيز'!$D$5:$D$2004,MATCH($K113,'سجل التحفيز'!$AC$5:$AC$2004,0)))</f>
        <v/>
      </c>
      <c r="Q113" s="9">
        <f>IF($K113="","",INDEX('سجل التحفيز'!$E$5:$E$2004,MATCH($K113,'سجل التحفيز'!$AC$5:$AC$2004,0)))</f>
        <v/>
      </c>
      <c r="R113" s="9">
        <f>IF($K113="","",INDEX('سجل التحفيز'!$F$5:$F$2004,MATCH($K113,'سجل التحفيز'!$AC$5:$AC$2004,0)))</f>
        <v/>
      </c>
      <c r="S113" s="35">
        <f>IF($K113="","",INDEX('سجل التحفيز'!$G$5:$G$2004,MATCH($K113,'سجل التحفيز'!$AC$5:$AC$2004,0)))</f>
        <v/>
      </c>
    </row>
    <row r="114">
      <c r="B114" s="34">
        <f>IFERROR(INDEX(الموظفات!$B$5:$B$304,MATCH(77,الموظفات!$W$5:$W$304,0)),"")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التحفيز'!$AC$5:$AC$2004,"&gt;0",'سجل التحفيز'!$B$5:$B$2004,B114))</f>
        <v/>
      </c>
      <c r="E114" s="35">
        <f>IF(B114="","",COUNTIFS('سجل التحفيز'!$AC$5:$AC$2004,"&gt;0",'سجل التحفيز'!$B$5:$B$2004,B114,'سجل التحفيز'!$D$5:$D$2004,"ذهبي"))</f>
        <v/>
      </c>
      <c r="F114" s="35">
        <f>IF(B114="","",SUMIFS('سجل التحفيز'!$G$5:$G$2004,'سجل التحفيز'!$AC$5:$AC$2004,"&gt;0",'سجل التحفيز'!$B$5:$B$2004,B114))</f>
        <v/>
      </c>
      <c r="G114" s="35">
        <f>IF(B114="","",COUNTIF($D$38:$D$187,"&gt;"&amp;D114)+1)</f>
        <v/>
      </c>
      <c r="H114" s="35">
        <f>IF(B114="","",INDEX(الموظفات!$L$5:$L$304,MATCH(B114,الموظفات!$B$5:$B$304,0)))</f>
        <v/>
      </c>
      <c r="K114" s="36">
        <f>IF(77&gt;$B$10,"",77)</f>
        <v/>
      </c>
      <c r="L114" s="37">
        <f>IF($K114="","",INDEX('سجل التحفيز'!$A$5:$A$2004,MATCH($K114,'سجل التحفيز'!$AC$5:$AC$2004,0)))</f>
        <v/>
      </c>
      <c r="M114" s="9">
        <f>IF($K114="","",INDEX('سجل التحفيز'!$B$5:$B$2004,MATCH($K114,'سجل التحفيز'!$AC$5:$AC$2004,0)))</f>
        <v/>
      </c>
      <c r="N114" s="9">
        <f>IF($K114="","",INDEX('سجل التحفيز'!$M$5:$M$2004,MATCH($K114,'سجل التحفيز'!$AC$5:$AC$2004,0)))</f>
        <v/>
      </c>
      <c r="O114" s="9">
        <f>IF($K114="","",INDEX('سجل التحفيز'!$C$5:$C$2004,MATCH($K114,'سجل التحفيز'!$AC$5:$AC$2004,0)))</f>
        <v/>
      </c>
      <c r="P114" s="36">
        <f>IF($K114="","",INDEX('سجل التحفيز'!$D$5:$D$2004,MATCH($K114,'سجل التحفيز'!$AC$5:$AC$2004,0)))</f>
        <v/>
      </c>
      <c r="Q114" s="9">
        <f>IF($K114="","",INDEX('سجل التحفيز'!$E$5:$E$2004,MATCH($K114,'سجل التحفيز'!$AC$5:$AC$2004,0)))</f>
        <v/>
      </c>
      <c r="R114" s="9">
        <f>IF($K114="","",INDEX('سجل التحفيز'!$F$5:$F$2004,MATCH($K114,'سجل التحفيز'!$AC$5:$AC$2004,0)))</f>
        <v/>
      </c>
      <c r="S114" s="35">
        <f>IF($K114="","",INDEX('سجل التحفيز'!$G$5:$G$2004,MATCH($K114,'سجل التحفيز'!$AC$5:$AC$2004,0)))</f>
        <v/>
      </c>
    </row>
    <row r="115">
      <c r="B115" s="34">
        <f>IFERROR(INDEX(الموظفات!$B$5:$B$304,MATCH(78,الموظفات!$W$5:$W$304,0)),"")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التحفيز'!$AC$5:$AC$2004,"&gt;0",'سجل التحفيز'!$B$5:$B$2004,B115))</f>
        <v/>
      </c>
      <c r="E115" s="35">
        <f>IF(B115="","",COUNTIFS('سجل التحفيز'!$AC$5:$AC$2004,"&gt;0",'سجل التحفيز'!$B$5:$B$2004,B115,'سجل التحفيز'!$D$5:$D$2004,"ذهبي"))</f>
        <v/>
      </c>
      <c r="F115" s="35">
        <f>IF(B115="","",SUMIFS('سجل التحفيز'!$G$5:$G$2004,'سجل التحفيز'!$AC$5:$AC$2004,"&gt;0",'سجل التحفيز'!$B$5:$B$2004,B115))</f>
        <v/>
      </c>
      <c r="G115" s="35">
        <f>IF(B115="","",COUNTIF($D$38:$D$187,"&gt;"&amp;D115)+1)</f>
        <v/>
      </c>
      <c r="H115" s="35">
        <f>IF(B115="","",INDEX(الموظفات!$L$5:$L$304,MATCH(B115,الموظفات!$B$5:$B$304,0)))</f>
        <v/>
      </c>
      <c r="K115" s="36">
        <f>IF(78&gt;$B$10,"",78)</f>
        <v/>
      </c>
      <c r="L115" s="37">
        <f>IF($K115="","",INDEX('سجل التحفيز'!$A$5:$A$2004,MATCH($K115,'سجل التحفيز'!$AC$5:$AC$2004,0)))</f>
        <v/>
      </c>
      <c r="M115" s="9">
        <f>IF($K115="","",INDEX('سجل التحفيز'!$B$5:$B$2004,MATCH($K115,'سجل التحفيز'!$AC$5:$AC$2004,0)))</f>
        <v/>
      </c>
      <c r="N115" s="9">
        <f>IF($K115="","",INDEX('سجل التحفيز'!$M$5:$M$2004,MATCH($K115,'سجل التحفيز'!$AC$5:$AC$2004,0)))</f>
        <v/>
      </c>
      <c r="O115" s="9">
        <f>IF($K115="","",INDEX('سجل التحفيز'!$C$5:$C$2004,MATCH($K115,'سجل التحفيز'!$AC$5:$AC$2004,0)))</f>
        <v/>
      </c>
      <c r="P115" s="36">
        <f>IF($K115="","",INDEX('سجل التحفيز'!$D$5:$D$2004,MATCH($K115,'سجل التحفيز'!$AC$5:$AC$2004,0)))</f>
        <v/>
      </c>
      <c r="Q115" s="9">
        <f>IF($K115="","",INDEX('سجل التحفيز'!$E$5:$E$2004,MATCH($K115,'سجل التحفيز'!$AC$5:$AC$2004,0)))</f>
        <v/>
      </c>
      <c r="R115" s="9">
        <f>IF($K115="","",INDEX('سجل التحفيز'!$F$5:$F$2004,MATCH($K115,'سجل التحفيز'!$AC$5:$AC$2004,0)))</f>
        <v/>
      </c>
      <c r="S115" s="35">
        <f>IF($K115="","",INDEX('سجل التحفيز'!$G$5:$G$2004,MATCH($K115,'سجل التحفيز'!$AC$5:$AC$2004,0)))</f>
        <v/>
      </c>
    </row>
    <row r="116">
      <c r="B116" s="34">
        <f>IFERROR(INDEX(الموظفات!$B$5:$B$304,MATCH(79,الموظفات!$W$5:$W$304,0)),"")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التحفيز'!$AC$5:$AC$2004,"&gt;0",'سجل التحفيز'!$B$5:$B$2004,B116))</f>
        <v/>
      </c>
      <c r="E116" s="35">
        <f>IF(B116="","",COUNTIFS('سجل التحفيز'!$AC$5:$AC$2004,"&gt;0",'سجل التحفيز'!$B$5:$B$2004,B116,'سجل التحفيز'!$D$5:$D$2004,"ذهبي"))</f>
        <v/>
      </c>
      <c r="F116" s="35">
        <f>IF(B116="","",SUMIFS('سجل التحفيز'!$G$5:$G$2004,'سجل التحفيز'!$AC$5:$AC$2004,"&gt;0",'سجل التحفيز'!$B$5:$B$2004,B116))</f>
        <v/>
      </c>
      <c r="G116" s="35">
        <f>IF(B116="","",COUNTIF($D$38:$D$187,"&gt;"&amp;D116)+1)</f>
        <v/>
      </c>
      <c r="H116" s="35">
        <f>IF(B116="","",INDEX(الموظفات!$L$5:$L$304,MATCH(B116,الموظفات!$B$5:$B$304,0)))</f>
        <v/>
      </c>
      <c r="K116" s="36">
        <f>IF(79&gt;$B$10,"",79)</f>
        <v/>
      </c>
      <c r="L116" s="37">
        <f>IF($K116="","",INDEX('سجل التحفيز'!$A$5:$A$2004,MATCH($K116,'سجل التحفيز'!$AC$5:$AC$2004,0)))</f>
        <v/>
      </c>
      <c r="M116" s="9">
        <f>IF($K116="","",INDEX('سجل التحفيز'!$B$5:$B$2004,MATCH($K116,'سجل التحفيز'!$AC$5:$AC$2004,0)))</f>
        <v/>
      </c>
      <c r="N116" s="9">
        <f>IF($K116="","",INDEX('سجل التحفيز'!$M$5:$M$2004,MATCH($K116,'سجل التحفيز'!$AC$5:$AC$2004,0)))</f>
        <v/>
      </c>
      <c r="O116" s="9">
        <f>IF($K116="","",INDEX('سجل التحفيز'!$C$5:$C$2004,MATCH($K116,'سجل التحفيز'!$AC$5:$AC$2004,0)))</f>
        <v/>
      </c>
      <c r="P116" s="36">
        <f>IF($K116="","",INDEX('سجل التحفيز'!$D$5:$D$2004,MATCH($K116,'سجل التحفيز'!$AC$5:$AC$2004,0)))</f>
        <v/>
      </c>
      <c r="Q116" s="9">
        <f>IF($K116="","",INDEX('سجل التحفيز'!$E$5:$E$2004,MATCH($K116,'سجل التحفيز'!$AC$5:$AC$2004,0)))</f>
        <v/>
      </c>
      <c r="R116" s="9">
        <f>IF($K116="","",INDEX('سجل التحفيز'!$F$5:$F$2004,MATCH($K116,'سجل التحفيز'!$AC$5:$AC$2004,0)))</f>
        <v/>
      </c>
      <c r="S116" s="35">
        <f>IF($K116="","",INDEX('سجل التحفيز'!$G$5:$G$2004,MATCH($K116,'سجل التحفيز'!$AC$5:$AC$2004,0)))</f>
        <v/>
      </c>
    </row>
    <row r="117">
      <c r="B117" s="34">
        <f>IFERROR(INDEX(الموظفات!$B$5:$B$304,MATCH(80,الموظفات!$W$5:$W$304,0)),"")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التحفيز'!$AC$5:$AC$2004,"&gt;0",'سجل التحفيز'!$B$5:$B$2004,B117))</f>
        <v/>
      </c>
      <c r="E117" s="35">
        <f>IF(B117="","",COUNTIFS('سجل التحفيز'!$AC$5:$AC$2004,"&gt;0",'سجل التحفيز'!$B$5:$B$2004,B117,'سجل التحفيز'!$D$5:$D$2004,"ذهبي"))</f>
        <v/>
      </c>
      <c r="F117" s="35">
        <f>IF(B117="","",SUMIFS('سجل التحفيز'!$G$5:$G$2004,'سجل التحفيز'!$AC$5:$AC$2004,"&gt;0",'سجل التحفيز'!$B$5:$B$2004,B117))</f>
        <v/>
      </c>
      <c r="G117" s="35">
        <f>IF(B117="","",COUNTIF($D$38:$D$187,"&gt;"&amp;D117)+1)</f>
        <v/>
      </c>
      <c r="H117" s="35">
        <f>IF(B117="","",INDEX(الموظفات!$L$5:$L$304,MATCH(B117,الموظفات!$B$5:$B$304,0)))</f>
        <v/>
      </c>
      <c r="K117" s="36">
        <f>IF(80&gt;$B$10,"",80)</f>
        <v/>
      </c>
      <c r="L117" s="37">
        <f>IF($K117="","",INDEX('سجل التحفيز'!$A$5:$A$2004,MATCH($K117,'سجل التحفيز'!$AC$5:$AC$2004,0)))</f>
        <v/>
      </c>
      <c r="M117" s="9">
        <f>IF($K117="","",INDEX('سجل التحفيز'!$B$5:$B$2004,MATCH($K117,'سجل التحفيز'!$AC$5:$AC$2004,0)))</f>
        <v/>
      </c>
      <c r="N117" s="9">
        <f>IF($K117="","",INDEX('سجل التحفيز'!$M$5:$M$2004,MATCH($K117,'سجل التحفيز'!$AC$5:$AC$2004,0)))</f>
        <v/>
      </c>
      <c r="O117" s="9">
        <f>IF($K117="","",INDEX('سجل التحفيز'!$C$5:$C$2004,MATCH($K117,'سجل التحفيز'!$AC$5:$AC$2004,0)))</f>
        <v/>
      </c>
      <c r="P117" s="36">
        <f>IF($K117="","",INDEX('سجل التحفيز'!$D$5:$D$2004,MATCH($K117,'سجل التحفيز'!$AC$5:$AC$2004,0)))</f>
        <v/>
      </c>
      <c r="Q117" s="9">
        <f>IF($K117="","",INDEX('سجل التحفيز'!$E$5:$E$2004,MATCH($K117,'سجل التحفيز'!$AC$5:$AC$2004,0)))</f>
        <v/>
      </c>
      <c r="R117" s="9">
        <f>IF($K117="","",INDEX('سجل التحفيز'!$F$5:$F$2004,MATCH($K117,'سجل التحفيز'!$AC$5:$AC$2004,0)))</f>
        <v/>
      </c>
      <c r="S117" s="35">
        <f>IF($K117="","",INDEX('سجل التحفيز'!$G$5:$G$2004,MATCH($K117,'سجل التحفيز'!$AC$5:$AC$2004,0)))</f>
        <v/>
      </c>
    </row>
    <row r="118">
      <c r="B118" s="34">
        <f>IFERROR(INDEX(الموظفات!$B$5:$B$304,MATCH(81,الموظفات!$W$5:$W$304,0)),"")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التحفيز'!$AC$5:$AC$2004,"&gt;0",'سجل التحفيز'!$B$5:$B$2004,B118))</f>
        <v/>
      </c>
      <c r="E118" s="35">
        <f>IF(B118="","",COUNTIFS('سجل التحفيز'!$AC$5:$AC$2004,"&gt;0",'سجل التحفيز'!$B$5:$B$2004,B118,'سجل التحفيز'!$D$5:$D$2004,"ذهبي"))</f>
        <v/>
      </c>
      <c r="F118" s="35">
        <f>IF(B118="","",SUMIFS('سجل التحفيز'!$G$5:$G$2004,'سجل التحفيز'!$AC$5:$AC$2004,"&gt;0",'سجل التحفيز'!$B$5:$B$2004,B118))</f>
        <v/>
      </c>
      <c r="G118" s="35">
        <f>IF(B118="","",COUNTIF($D$38:$D$187,"&gt;"&amp;D118)+1)</f>
        <v/>
      </c>
      <c r="H118" s="35">
        <f>IF(B118="","",INDEX(الموظفات!$L$5:$L$304,MATCH(B118,الموظفات!$B$5:$B$304,0)))</f>
        <v/>
      </c>
      <c r="K118" s="36">
        <f>IF(81&gt;$B$10,"",81)</f>
        <v/>
      </c>
      <c r="L118" s="37">
        <f>IF($K118="","",INDEX('سجل التحفيز'!$A$5:$A$2004,MATCH($K118,'سجل التحفيز'!$AC$5:$AC$2004,0)))</f>
        <v/>
      </c>
      <c r="M118" s="9">
        <f>IF($K118="","",INDEX('سجل التحفيز'!$B$5:$B$2004,MATCH($K118,'سجل التحفيز'!$AC$5:$AC$2004,0)))</f>
        <v/>
      </c>
      <c r="N118" s="9">
        <f>IF($K118="","",INDEX('سجل التحفيز'!$M$5:$M$2004,MATCH($K118,'سجل التحفيز'!$AC$5:$AC$2004,0)))</f>
        <v/>
      </c>
      <c r="O118" s="9">
        <f>IF($K118="","",INDEX('سجل التحفيز'!$C$5:$C$2004,MATCH($K118,'سجل التحفيز'!$AC$5:$AC$2004,0)))</f>
        <v/>
      </c>
      <c r="P118" s="36">
        <f>IF($K118="","",INDEX('سجل التحفيز'!$D$5:$D$2004,MATCH($K118,'سجل التحفيز'!$AC$5:$AC$2004,0)))</f>
        <v/>
      </c>
      <c r="Q118" s="9">
        <f>IF($K118="","",INDEX('سجل التحفيز'!$E$5:$E$2004,MATCH($K118,'سجل التحفيز'!$AC$5:$AC$2004,0)))</f>
        <v/>
      </c>
      <c r="R118" s="9">
        <f>IF($K118="","",INDEX('سجل التحفيز'!$F$5:$F$2004,MATCH($K118,'سجل التحفيز'!$AC$5:$AC$2004,0)))</f>
        <v/>
      </c>
      <c r="S118" s="35">
        <f>IF($K118="","",INDEX('سجل التحفيز'!$G$5:$G$2004,MATCH($K118,'سجل التحفيز'!$AC$5:$AC$2004,0)))</f>
        <v/>
      </c>
    </row>
    <row r="119">
      <c r="B119" s="34">
        <f>IFERROR(INDEX(الموظفات!$B$5:$B$304,MATCH(82,الموظفات!$W$5:$W$304,0)),"")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التحفيز'!$AC$5:$AC$2004,"&gt;0",'سجل التحفيز'!$B$5:$B$2004,B119))</f>
        <v/>
      </c>
      <c r="E119" s="35">
        <f>IF(B119="","",COUNTIFS('سجل التحفيز'!$AC$5:$AC$2004,"&gt;0",'سجل التحفيز'!$B$5:$B$2004,B119,'سجل التحفيز'!$D$5:$D$2004,"ذهبي"))</f>
        <v/>
      </c>
      <c r="F119" s="35">
        <f>IF(B119="","",SUMIFS('سجل التحفيز'!$G$5:$G$2004,'سجل التحفيز'!$AC$5:$AC$2004,"&gt;0",'سجل التحفيز'!$B$5:$B$2004,B119))</f>
        <v/>
      </c>
      <c r="G119" s="35">
        <f>IF(B119="","",COUNTIF($D$38:$D$187,"&gt;"&amp;D119)+1)</f>
        <v/>
      </c>
      <c r="H119" s="35">
        <f>IF(B119="","",INDEX(الموظفات!$L$5:$L$304,MATCH(B119,الموظفات!$B$5:$B$304,0)))</f>
        <v/>
      </c>
      <c r="K119" s="36">
        <f>IF(82&gt;$B$10,"",82)</f>
        <v/>
      </c>
      <c r="L119" s="37">
        <f>IF($K119="","",INDEX('سجل التحفيز'!$A$5:$A$2004,MATCH($K119,'سجل التحفيز'!$AC$5:$AC$2004,0)))</f>
        <v/>
      </c>
      <c r="M119" s="9">
        <f>IF($K119="","",INDEX('سجل التحفيز'!$B$5:$B$2004,MATCH($K119,'سجل التحفيز'!$AC$5:$AC$2004,0)))</f>
        <v/>
      </c>
      <c r="N119" s="9">
        <f>IF($K119="","",INDEX('سجل التحفيز'!$M$5:$M$2004,MATCH($K119,'سجل التحفيز'!$AC$5:$AC$2004,0)))</f>
        <v/>
      </c>
      <c r="O119" s="9">
        <f>IF($K119="","",INDEX('سجل التحفيز'!$C$5:$C$2004,MATCH($K119,'سجل التحفيز'!$AC$5:$AC$2004,0)))</f>
        <v/>
      </c>
      <c r="P119" s="36">
        <f>IF($K119="","",INDEX('سجل التحفيز'!$D$5:$D$2004,MATCH($K119,'سجل التحفيز'!$AC$5:$AC$2004,0)))</f>
        <v/>
      </c>
      <c r="Q119" s="9">
        <f>IF($K119="","",INDEX('سجل التحفيز'!$E$5:$E$2004,MATCH($K119,'سجل التحفيز'!$AC$5:$AC$2004,0)))</f>
        <v/>
      </c>
      <c r="R119" s="9">
        <f>IF($K119="","",INDEX('سجل التحفيز'!$F$5:$F$2004,MATCH($K119,'سجل التحفيز'!$AC$5:$AC$2004,0)))</f>
        <v/>
      </c>
      <c r="S119" s="35">
        <f>IF($K119="","",INDEX('سجل التحفيز'!$G$5:$G$2004,MATCH($K119,'سجل التحفيز'!$AC$5:$AC$2004,0)))</f>
        <v/>
      </c>
    </row>
    <row r="120">
      <c r="B120" s="34">
        <f>IFERROR(INDEX(الموظفات!$B$5:$B$304,MATCH(83,الموظفات!$W$5:$W$304,0)),"")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التحفيز'!$AC$5:$AC$2004,"&gt;0",'سجل التحفيز'!$B$5:$B$2004,B120))</f>
        <v/>
      </c>
      <c r="E120" s="35">
        <f>IF(B120="","",COUNTIFS('سجل التحفيز'!$AC$5:$AC$2004,"&gt;0",'سجل التحفيز'!$B$5:$B$2004,B120,'سجل التحفيز'!$D$5:$D$2004,"ذهبي"))</f>
        <v/>
      </c>
      <c r="F120" s="35">
        <f>IF(B120="","",SUMIFS('سجل التحفيز'!$G$5:$G$2004,'سجل التحفيز'!$AC$5:$AC$2004,"&gt;0",'سجل التحفيز'!$B$5:$B$2004,B120))</f>
        <v/>
      </c>
      <c r="G120" s="35">
        <f>IF(B120="","",COUNTIF($D$38:$D$187,"&gt;"&amp;D120)+1)</f>
        <v/>
      </c>
      <c r="H120" s="35">
        <f>IF(B120="","",INDEX(الموظفات!$L$5:$L$304,MATCH(B120,الموظفات!$B$5:$B$304,0)))</f>
        <v/>
      </c>
      <c r="K120" s="36">
        <f>IF(83&gt;$B$10,"",83)</f>
        <v/>
      </c>
      <c r="L120" s="37">
        <f>IF($K120="","",INDEX('سجل التحفيز'!$A$5:$A$2004,MATCH($K120,'سجل التحفيز'!$AC$5:$AC$2004,0)))</f>
        <v/>
      </c>
      <c r="M120" s="9">
        <f>IF($K120="","",INDEX('سجل التحفيز'!$B$5:$B$2004,MATCH($K120,'سجل التحفيز'!$AC$5:$AC$2004,0)))</f>
        <v/>
      </c>
      <c r="N120" s="9">
        <f>IF($K120="","",INDEX('سجل التحفيز'!$M$5:$M$2004,MATCH($K120,'سجل التحفيز'!$AC$5:$AC$2004,0)))</f>
        <v/>
      </c>
      <c r="O120" s="9">
        <f>IF($K120="","",INDEX('سجل التحفيز'!$C$5:$C$2004,MATCH($K120,'سجل التحفيز'!$AC$5:$AC$2004,0)))</f>
        <v/>
      </c>
      <c r="P120" s="36">
        <f>IF($K120="","",INDEX('سجل التحفيز'!$D$5:$D$2004,MATCH($K120,'سجل التحفيز'!$AC$5:$AC$2004,0)))</f>
        <v/>
      </c>
      <c r="Q120" s="9">
        <f>IF($K120="","",INDEX('سجل التحفيز'!$E$5:$E$2004,MATCH($K120,'سجل التحفيز'!$AC$5:$AC$2004,0)))</f>
        <v/>
      </c>
      <c r="R120" s="9">
        <f>IF($K120="","",INDEX('سجل التحفيز'!$F$5:$F$2004,MATCH($K120,'سجل التحفيز'!$AC$5:$AC$2004,0)))</f>
        <v/>
      </c>
      <c r="S120" s="35">
        <f>IF($K120="","",INDEX('سجل التحفيز'!$G$5:$G$2004,MATCH($K120,'سجل التحفيز'!$AC$5:$AC$2004,0)))</f>
        <v/>
      </c>
    </row>
    <row r="121">
      <c r="B121" s="34">
        <f>IFERROR(INDEX(الموظفات!$B$5:$B$304,MATCH(84,الموظفات!$W$5:$W$304,0)),"")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التحفيز'!$AC$5:$AC$2004,"&gt;0",'سجل التحفيز'!$B$5:$B$2004,B121))</f>
        <v/>
      </c>
      <c r="E121" s="35">
        <f>IF(B121="","",COUNTIFS('سجل التحفيز'!$AC$5:$AC$2004,"&gt;0",'سجل التحفيز'!$B$5:$B$2004,B121,'سجل التحفيز'!$D$5:$D$2004,"ذهبي"))</f>
        <v/>
      </c>
      <c r="F121" s="35">
        <f>IF(B121="","",SUMIFS('سجل التحفيز'!$G$5:$G$2004,'سجل التحفيز'!$AC$5:$AC$2004,"&gt;0",'سجل التحفيز'!$B$5:$B$2004,B121))</f>
        <v/>
      </c>
      <c r="G121" s="35">
        <f>IF(B121="","",COUNTIF($D$38:$D$187,"&gt;"&amp;D121)+1)</f>
        <v/>
      </c>
      <c r="H121" s="35">
        <f>IF(B121="","",INDEX(الموظفات!$L$5:$L$304,MATCH(B121,الموظفات!$B$5:$B$304,0)))</f>
        <v/>
      </c>
      <c r="K121" s="36">
        <f>IF(84&gt;$B$10,"",84)</f>
        <v/>
      </c>
      <c r="L121" s="37">
        <f>IF($K121="","",INDEX('سجل التحفيز'!$A$5:$A$2004,MATCH($K121,'سجل التحفيز'!$AC$5:$AC$2004,0)))</f>
        <v/>
      </c>
      <c r="M121" s="9">
        <f>IF($K121="","",INDEX('سجل التحفيز'!$B$5:$B$2004,MATCH($K121,'سجل التحفيز'!$AC$5:$AC$2004,0)))</f>
        <v/>
      </c>
      <c r="N121" s="9">
        <f>IF($K121="","",INDEX('سجل التحفيز'!$M$5:$M$2004,MATCH($K121,'سجل التحفيز'!$AC$5:$AC$2004,0)))</f>
        <v/>
      </c>
      <c r="O121" s="9">
        <f>IF($K121="","",INDEX('سجل التحفيز'!$C$5:$C$2004,MATCH($K121,'سجل التحفيز'!$AC$5:$AC$2004,0)))</f>
        <v/>
      </c>
      <c r="P121" s="36">
        <f>IF($K121="","",INDEX('سجل التحفيز'!$D$5:$D$2004,MATCH($K121,'سجل التحفيز'!$AC$5:$AC$2004,0)))</f>
        <v/>
      </c>
      <c r="Q121" s="9">
        <f>IF($K121="","",INDEX('سجل التحفيز'!$E$5:$E$2004,MATCH($K121,'سجل التحفيز'!$AC$5:$AC$2004,0)))</f>
        <v/>
      </c>
      <c r="R121" s="9">
        <f>IF($K121="","",INDEX('سجل التحفيز'!$F$5:$F$2004,MATCH($K121,'سجل التحفيز'!$AC$5:$AC$2004,0)))</f>
        <v/>
      </c>
      <c r="S121" s="35">
        <f>IF($K121="","",INDEX('سجل التحفيز'!$G$5:$G$2004,MATCH($K121,'سجل التحفيز'!$AC$5:$AC$2004,0)))</f>
        <v/>
      </c>
    </row>
    <row r="122">
      <c r="B122" s="34">
        <f>IFERROR(INDEX(الموظفات!$B$5:$B$304,MATCH(85,الموظفات!$W$5:$W$304,0)),"")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التحفيز'!$AC$5:$AC$2004,"&gt;0",'سجل التحفيز'!$B$5:$B$2004,B122))</f>
        <v/>
      </c>
      <c r="E122" s="35">
        <f>IF(B122="","",COUNTIFS('سجل التحفيز'!$AC$5:$AC$2004,"&gt;0",'سجل التحفيز'!$B$5:$B$2004,B122,'سجل التحفيز'!$D$5:$D$2004,"ذهبي"))</f>
        <v/>
      </c>
      <c r="F122" s="35">
        <f>IF(B122="","",SUMIFS('سجل التحفيز'!$G$5:$G$2004,'سجل التحفيز'!$AC$5:$AC$2004,"&gt;0",'سجل التحفيز'!$B$5:$B$2004,B122))</f>
        <v/>
      </c>
      <c r="G122" s="35">
        <f>IF(B122="","",COUNTIF($D$38:$D$187,"&gt;"&amp;D122)+1)</f>
        <v/>
      </c>
      <c r="H122" s="35">
        <f>IF(B122="","",INDEX(الموظفات!$L$5:$L$304,MATCH(B122,الموظفات!$B$5:$B$304,0)))</f>
        <v/>
      </c>
      <c r="K122" s="36">
        <f>IF(85&gt;$B$10,"",85)</f>
        <v/>
      </c>
      <c r="L122" s="37">
        <f>IF($K122="","",INDEX('سجل التحفيز'!$A$5:$A$2004,MATCH($K122,'سجل التحفيز'!$AC$5:$AC$2004,0)))</f>
        <v/>
      </c>
      <c r="M122" s="9">
        <f>IF($K122="","",INDEX('سجل التحفيز'!$B$5:$B$2004,MATCH($K122,'سجل التحفيز'!$AC$5:$AC$2004,0)))</f>
        <v/>
      </c>
      <c r="N122" s="9">
        <f>IF($K122="","",INDEX('سجل التحفيز'!$M$5:$M$2004,MATCH($K122,'سجل التحفيز'!$AC$5:$AC$2004,0)))</f>
        <v/>
      </c>
      <c r="O122" s="9">
        <f>IF($K122="","",INDEX('سجل التحفيز'!$C$5:$C$2004,MATCH($K122,'سجل التحفيز'!$AC$5:$AC$2004,0)))</f>
        <v/>
      </c>
      <c r="P122" s="36">
        <f>IF($K122="","",INDEX('سجل التحفيز'!$D$5:$D$2004,MATCH($K122,'سجل التحفيز'!$AC$5:$AC$2004,0)))</f>
        <v/>
      </c>
      <c r="Q122" s="9">
        <f>IF($K122="","",INDEX('سجل التحفيز'!$E$5:$E$2004,MATCH($K122,'سجل التحفيز'!$AC$5:$AC$2004,0)))</f>
        <v/>
      </c>
      <c r="R122" s="9">
        <f>IF($K122="","",INDEX('سجل التحفيز'!$F$5:$F$2004,MATCH($K122,'سجل التحفيز'!$AC$5:$AC$2004,0)))</f>
        <v/>
      </c>
      <c r="S122" s="35">
        <f>IF($K122="","",INDEX('سجل التحفيز'!$G$5:$G$2004,MATCH($K122,'سجل التحفيز'!$AC$5:$AC$2004,0)))</f>
        <v/>
      </c>
    </row>
    <row r="123">
      <c r="B123" s="34">
        <f>IFERROR(INDEX(الموظفات!$B$5:$B$304,MATCH(86,الموظفات!$W$5:$W$304,0)),"")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التحفيز'!$AC$5:$AC$2004,"&gt;0",'سجل التحفيز'!$B$5:$B$2004,B123))</f>
        <v/>
      </c>
      <c r="E123" s="35">
        <f>IF(B123="","",COUNTIFS('سجل التحفيز'!$AC$5:$AC$2004,"&gt;0",'سجل التحفيز'!$B$5:$B$2004,B123,'سجل التحفيز'!$D$5:$D$2004,"ذهبي"))</f>
        <v/>
      </c>
      <c r="F123" s="35">
        <f>IF(B123="","",SUMIFS('سجل التحفيز'!$G$5:$G$2004,'سجل التحفيز'!$AC$5:$AC$2004,"&gt;0",'سجل التحفيز'!$B$5:$B$2004,B123))</f>
        <v/>
      </c>
      <c r="G123" s="35">
        <f>IF(B123="","",COUNTIF($D$38:$D$187,"&gt;"&amp;D123)+1)</f>
        <v/>
      </c>
      <c r="H123" s="35">
        <f>IF(B123="","",INDEX(الموظفات!$L$5:$L$304,MATCH(B123,الموظفات!$B$5:$B$304,0)))</f>
        <v/>
      </c>
      <c r="K123" s="36">
        <f>IF(86&gt;$B$10,"",86)</f>
        <v/>
      </c>
      <c r="L123" s="37">
        <f>IF($K123="","",INDEX('سجل التحفيز'!$A$5:$A$2004,MATCH($K123,'سجل التحفيز'!$AC$5:$AC$2004,0)))</f>
        <v/>
      </c>
      <c r="M123" s="9">
        <f>IF($K123="","",INDEX('سجل التحفيز'!$B$5:$B$2004,MATCH($K123,'سجل التحفيز'!$AC$5:$AC$2004,0)))</f>
        <v/>
      </c>
      <c r="N123" s="9">
        <f>IF($K123="","",INDEX('سجل التحفيز'!$M$5:$M$2004,MATCH($K123,'سجل التحفيز'!$AC$5:$AC$2004,0)))</f>
        <v/>
      </c>
      <c r="O123" s="9">
        <f>IF($K123="","",INDEX('سجل التحفيز'!$C$5:$C$2004,MATCH($K123,'سجل التحفيز'!$AC$5:$AC$2004,0)))</f>
        <v/>
      </c>
      <c r="P123" s="36">
        <f>IF($K123="","",INDEX('سجل التحفيز'!$D$5:$D$2004,MATCH($K123,'سجل التحفيز'!$AC$5:$AC$2004,0)))</f>
        <v/>
      </c>
      <c r="Q123" s="9">
        <f>IF($K123="","",INDEX('سجل التحفيز'!$E$5:$E$2004,MATCH($K123,'سجل التحفيز'!$AC$5:$AC$2004,0)))</f>
        <v/>
      </c>
      <c r="R123" s="9">
        <f>IF($K123="","",INDEX('سجل التحفيز'!$F$5:$F$2004,MATCH($K123,'سجل التحفيز'!$AC$5:$AC$2004,0)))</f>
        <v/>
      </c>
      <c r="S123" s="35">
        <f>IF($K123="","",INDEX('سجل التحفيز'!$G$5:$G$2004,MATCH($K123,'سجل التحفيز'!$AC$5:$AC$2004,0)))</f>
        <v/>
      </c>
    </row>
    <row r="124">
      <c r="B124" s="34">
        <f>IFERROR(INDEX(الموظفات!$B$5:$B$304,MATCH(87,الموظفات!$W$5:$W$304,0)),"")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التحفيز'!$AC$5:$AC$2004,"&gt;0",'سجل التحفيز'!$B$5:$B$2004,B124))</f>
        <v/>
      </c>
      <c r="E124" s="35">
        <f>IF(B124="","",COUNTIFS('سجل التحفيز'!$AC$5:$AC$2004,"&gt;0",'سجل التحفيز'!$B$5:$B$2004,B124,'سجل التحفيز'!$D$5:$D$2004,"ذهبي"))</f>
        <v/>
      </c>
      <c r="F124" s="35">
        <f>IF(B124="","",SUMIFS('سجل التحفيز'!$G$5:$G$2004,'سجل التحفيز'!$AC$5:$AC$2004,"&gt;0",'سجل التحفيز'!$B$5:$B$2004,B124))</f>
        <v/>
      </c>
      <c r="G124" s="35">
        <f>IF(B124="","",COUNTIF($D$38:$D$187,"&gt;"&amp;D124)+1)</f>
        <v/>
      </c>
      <c r="H124" s="35">
        <f>IF(B124="","",INDEX(الموظفات!$L$5:$L$304,MATCH(B124,الموظفات!$B$5:$B$304,0)))</f>
        <v/>
      </c>
      <c r="K124" s="36">
        <f>IF(87&gt;$B$10,"",87)</f>
        <v/>
      </c>
      <c r="L124" s="37">
        <f>IF($K124="","",INDEX('سجل التحفيز'!$A$5:$A$2004,MATCH($K124,'سجل التحفيز'!$AC$5:$AC$2004,0)))</f>
        <v/>
      </c>
      <c r="M124" s="9">
        <f>IF($K124="","",INDEX('سجل التحفيز'!$B$5:$B$2004,MATCH($K124,'سجل التحفيز'!$AC$5:$AC$2004,0)))</f>
        <v/>
      </c>
      <c r="N124" s="9">
        <f>IF($K124="","",INDEX('سجل التحفيز'!$M$5:$M$2004,MATCH($K124,'سجل التحفيز'!$AC$5:$AC$2004,0)))</f>
        <v/>
      </c>
      <c r="O124" s="9">
        <f>IF($K124="","",INDEX('سجل التحفيز'!$C$5:$C$2004,MATCH($K124,'سجل التحفيز'!$AC$5:$AC$2004,0)))</f>
        <v/>
      </c>
      <c r="P124" s="36">
        <f>IF($K124="","",INDEX('سجل التحفيز'!$D$5:$D$2004,MATCH($K124,'سجل التحفيز'!$AC$5:$AC$2004,0)))</f>
        <v/>
      </c>
      <c r="Q124" s="9">
        <f>IF($K124="","",INDEX('سجل التحفيز'!$E$5:$E$2004,MATCH($K124,'سجل التحفيز'!$AC$5:$AC$2004,0)))</f>
        <v/>
      </c>
      <c r="R124" s="9">
        <f>IF($K124="","",INDEX('سجل التحفيز'!$F$5:$F$2004,MATCH($K124,'سجل التحفيز'!$AC$5:$AC$2004,0)))</f>
        <v/>
      </c>
      <c r="S124" s="35">
        <f>IF($K124="","",INDEX('سجل التحفيز'!$G$5:$G$2004,MATCH($K124,'سجل التحفيز'!$AC$5:$AC$2004,0)))</f>
        <v/>
      </c>
    </row>
    <row r="125">
      <c r="B125" s="34">
        <f>IFERROR(INDEX(الموظفات!$B$5:$B$304,MATCH(88,الموظفات!$W$5:$W$304,0)),"")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التحفيز'!$AC$5:$AC$2004,"&gt;0",'سجل التحفيز'!$B$5:$B$2004,B125))</f>
        <v/>
      </c>
      <c r="E125" s="35">
        <f>IF(B125="","",COUNTIFS('سجل التحفيز'!$AC$5:$AC$2004,"&gt;0",'سجل التحفيز'!$B$5:$B$2004,B125,'سجل التحفيز'!$D$5:$D$2004,"ذهبي"))</f>
        <v/>
      </c>
      <c r="F125" s="35">
        <f>IF(B125="","",SUMIFS('سجل التحفيز'!$G$5:$G$2004,'سجل التحفيز'!$AC$5:$AC$2004,"&gt;0",'سجل التحفيز'!$B$5:$B$2004,B125))</f>
        <v/>
      </c>
      <c r="G125" s="35">
        <f>IF(B125="","",COUNTIF($D$38:$D$187,"&gt;"&amp;D125)+1)</f>
        <v/>
      </c>
      <c r="H125" s="35">
        <f>IF(B125="","",INDEX(الموظفات!$L$5:$L$304,MATCH(B125,الموظفات!$B$5:$B$304,0)))</f>
        <v/>
      </c>
      <c r="K125" s="36">
        <f>IF(88&gt;$B$10,"",88)</f>
        <v/>
      </c>
      <c r="L125" s="37">
        <f>IF($K125="","",INDEX('سجل التحفيز'!$A$5:$A$2004,MATCH($K125,'سجل التحفيز'!$AC$5:$AC$2004,0)))</f>
        <v/>
      </c>
      <c r="M125" s="9">
        <f>IF($K125="","",INDEX('سجل التحفيز'!$B$5:$B$2004,MATCH($K125,'سجل التحفيز'!$AC$5:$AC$2004,0)))</f>
        <v/>
      </c>
      <c r="N125" s="9">
        <f>IF($K125="","",INDEX('سجل التحفيز'!$M$5:$M$2004,MATCH($K125,'سجل التحفيز'!$AC$5:$AC$2004,0)))</f>
        <v/>
      </c>
      <c r="O125" s="9">
        <f>IF($K125="","",INDEX('سجل التحفيز'!$C$5:$C$2004,MATCH($K125,'سجل التحفيز'!$AC$5:$AC$2004,0)))</f>
        <v/>
      </c>
      <c r="P125" s="36">
        <f>IF($K125="","",INDEX('سجل التحفيز'!$D$5:$D$2004,MATCH($K125,'سجل التحفيز'!$AC$5:$AC$2004,0)))</f>
        <v/>
      </c>
      <c r="Q125" s="9">
        <f>IF($K125="","",INDEX('سجل التحفيز'!$E$5:$E$2004,MATCH($K125,'سجل التحفيز'!$AC$5:$AC$2004,0)))</f>
        <v/>
      </c>
      <c r="R125" s="9">
        <f>IF($K125="","",INDEX('سجل التحفيز'!$F$5:$F$2004,MATCH($K125,'سجل التحفيز'!$AC$5:$AC$2004,0)))</f>
        <v/>
      </c>
      <c r="S125" s="35">
        <f>IF($K125="","",INDEX('سجل التحفيز'!$G$5:$G$2004,MATCH($K125,'سجل التحفيز'!$AC$5:$AC$2004,0)))</f>
        <v/>
      </c>
    </row>
    <row r="126">
      <c r="B126" s="34">
        <f>IFERROR(INDEX(الموظفات!$B$5:$B$304,MATCH(89,الموظفات!$W$5:$W$304,0)),"")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التحفيز'!$AC$5:$AC$2004,"&gt;0",'سجل التحفيز'!$B$5:$B$2004,B126))</f>
        <v/>
      </c>
      <c r="E126" s="35">
        <f>IF(B126="","",COUNTIFS('سجل التحفيز'!$AC$5:$AC$2004,"&gt;0",'سجل التحفيز'!$B$5:$B$2004,B126,'سجل التحفيز'!$D$5:$D$2004,"ذهبي"))</f>
        <v/>
      </c>
      <c r="F126" s="35">
        <f>IF(B126="","",SUMIFS('سجل التحفيز'!$G$5:$G$2004,'سجل التحفيز'!$AC$5:$AC$2004,"&gt;0",'سجل التحفيز'!$B$5:$B$2004,B126))</f>
        <v/>
      </c>
      <c r="G126" s="35">
        <f>IF(B126="","",COUNTIF($D$38:$D$187,"&gt;"&amp;D126)+1)</f>
        <v/>
      </c>
      <c r="H126" s="35">
        <f>IF(B126="","",INDEX(الموظفات!$L$5:$L$304,MATCH(B126,الموظفات!$B$5:$B$304,0)))</f>
        <v/>
      </c>
      <c r="K126" s="36">
        <f>IF(89&gt;$B$10,"",89)</f>
        <v/>
      </c>
      <c r="L126" s="37">
        <f>IF($K126="","",INDEX('سجل التحفيز'!$A$5:$A$2004,MATCH($K126,'سجل التحفيز'!$AC$5:$AC$2004,0)))</f>
        <v/>
      </c>
      <c r="M126" s="9">
        <f>IF($K126="","",INDEX('سجل التحفيز'!$B$5:$B$2004,MATCH($K126,'سجل التحفيز'!$AC$5:$AC$2004,0)))</f>
        <v/>
      </c>
      <c r="N126" s="9">
        <f>IF($K126="","",INDEX('سجل التحفيز'!$M$5:$M$2004,MATCH($K126,'سجل التحفيز'!$AC$5:$AC$2004,0)))</f>
        <v/>
      </c>
      <c r="O126" s="9">
        <f>IF($K126="","",INDEX('سجل التحفيز'!$C$5:$C$2004,MATCH($K126,'سجل التحفيز'!$AC$5:$AC$2004,0)))</f>
        <v/>
      </c>
      <c r="P126" s="36">
        <f>IF($K126="","",INDEX('سجل التحفيز'!$D$5:$D$2004,MATCH($K126,'سجل التحفيز'!$AC$5:$AC$2004,0)))</f>
        <v/>
      </c>
      <c r="Q126" s="9">
        <f>IF($K126="","",INDEX('سجل التحفيز'!$E$5:$E$2004,MATCH($K126,'سجل التحفيز'!$AC$5:$AC$2004,0)))</f>
        <v/>
      </c>
      <c r="R126" s="9">
        <f>IF($K126="","",INDEX('سجل التحفيز'!$F$5:$F$2004,MATCH($K126,'سجل التحفيز'!$AC$5:$AC$2004,0)))</f>
        <v/>
      </c>
      <c r="S126" s="35">
        <f>IF($K126="","",INDEX('سجل التحفيز'!$G$5:$G$2004,MATCH($K126,'سجل التحفيز'!$AC$5:$AC$2004,0)))</f>
        <v/>
      </c>
    </row>
    <row r="127">
      <c r="B127" s="34">
        <f>IFERROR(INDEX(الموظفات!$B$5:$B$304,MATCH(90,الموظفات!$W$5:$W$304,0)),"")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التحفيز'!$AC$5:$AC$2004,"&gt;0",'سجل التحفيز'!$B$5:$B$2004,B127))</f>
        <v/>
      </c>
      <c r="E127" s="35">
        <f>IF(B127="","",COUNTIFS('سجل التحفيز'!$AC$5:$AC$2004,"&gt;0",'سجل التحفيز'!$B$5:$B$2004,B127,'سجل التحفيز'!$D$5:$D$2004,"ذهبي"))</f>
        <v/>
      </c>
      <c r="F127" s="35">
        <f>IF(B127="","",SUMIFS('سجل التحفيز'!$G$5:$G$2004,'سجل التحفيز'!$AC$5:$AC$2004,"&gt;0",'سجل التحفيز'!$B$5:$B$2004,B127))</f>
        <v/>
      </c>
      <c r="G127" s="35">
        <f>IF(B127="","",COUNTIF($D$38:$D$187,"&gt;"&amp;D127)+1)</f>
        <v/>
      </c>
      <c r="H127" s="35">
        <f>IF(B127="","",INDEX(الموظفات!$L$5:$L$304,MATCH(B127,الموظفات!$B$5:$B$304,0)))</f>
        <v/>
      </c>
      <c r="K127" s="36">
        <f>IF(90&gt;$B$10,"",90)</f>
        <v/>
      </c>
      <c r="L127" s="37">
        <f>IF($K127="","",INDEX('سجل التحفيز'!$A$5:$A$2004,MATCH($K127,'سجل التحفيز'!$AC$5:$AC$2004,0)))</f>
        <v/>
      </c>
      <c r="M127" s="9">
        <f>IF($K127="","",INDEX('سجل التحفيز'!$B$5:$B$2004,MATCH($K127,'سجل التحفيز'!$AC$5:$AC$2004,0)))</f>
        <v/>
      </c>
      <c r="N127" s="9">
        <f>IF($K127="","",INDEX('سجل التحفيز'!$M$5:$M$2004,MATCH($K127,'سجل التحفيز'!$AC$5:$AC$2004,0)))</f>
        <v/>
      </c>
      <c r="O127" s="9">
        <f>IF($K127="","",INDEX('سجل التحفيز'!$C$5:$C$2004,MATCH($K127,'سجل التحفيز'!$AC$5:$AC$2004,0)))</f>
        <v/>
      </c>
      <c r="P127" s="36">
        <f>IF($K127="","",INDEX('سجل التحفيز'!$D$5:$D$2004,MATCH($K127,'سجل التحفيز'!$AC$5:$AC$2004,0)))</f>
        <v/>
      </c>
      <c r="Q127" s="9">
        <f>IF($K127="","",INDEX('سجل التحفيز'!$E$5:$E$2004,MATCH($K127,'سجل التحفيز'!$AC$5:$AC$2004,0)))</f>
        <v/>
      </c>
      <c r="R127" s="9">
        <f>IF($K127="","",INDEX('سجل التحفيز'!$F$5:$F$2004,MATCH($K127,'سجل التحفيز'!$AC$5:$AC$2004,0)))</f>
        <v/>
      </c>
      <c r="S127" s="35">
        <f>IF($K127="","",INDEX('سجل التحفيز'!$G$5:$G$2004,MATCH($K127,'سجل التحفيز'!$AC$5:$AC$2004,0)))</f>
        <v/>
      </c>
    </row>
    <row r="128">
      <c r="B128" s="34">
        <f>IFERROR(INDEX(الموظفات!$B$5:$B$304,MATCH(91,الموظفات!$W$5:$W$304,0)),"")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التحفيز'!$AC$5:$AC$2004,"&gt;0",'سجل التحفيز'!$B$5:$B$2004,B128))</f>
        <v/>
      </c>
      <c r="E128" s="35">
        <f>IF(B128="","",COUNTIFS('سجل التحفيز'!$AC$5:$AC$2004,"&gt;0",'سجل التحفيز'!$B$5:$B$2004,B128,'سجل التحفيز'!$D$5:$D$2004,"ذهبي"))</f>
        <v/>
      </c>
      <c r="F128" s="35">
        <f>IF(B128="","",SUMIFS('سجل التحفيز'!$G$5:$G$2004,'سجل التحفيز'!$AC$5:$AC$2004,"&gt;0",'سجل التحفيز'!$B$5:$B$2004,B128))</f>
        <v/>
      </c>
      <c r="G128" s="35">
        <f>IF(B128="","",COUNTIF($D$38:$D$187,"&gt;"&amp;D128)+1)</f>
        <v/>
      </c>
      <c r="H128" s="35">
        <f>IF(B128="","",INDEX(الموظفات!$L$5:$L$304,MATCH(B128,الموظفات!$B$5:$B$304,0)))</f>
        <v/>
      </c>
      <c r="K128" s="36">
        <f>IF(91&gt;$B$10,"",91)</f>
        <v/>
      </c>
      <c r="L128" s="37">
        <f>IF($K128="","",INDEX('سجل التحفيز'!$A$5:$A$2004,MATCH($K128,'سجل التحفيز'!$AC$5:$AC$2004,0)))</f>
        <v/>
      </c>
      <c r="M128" s="9">
        <f>IF($K128="","",INDEX('سجل التحفيز'!$B$5:$B$2004,MATCH($K128,'سجل التحفيز'!$AC$5:$AC$2004,0)))</f>
        <v/>
      </c>
      <c r="N128" s="9">
        <f>IF($K128="","",INDEX('سجل التحفيز'!$M$5:$M$2004,MATCH($K128,'سجل التحفيز'!$AC$5:$AC$2004,0)))</f>
        <v/>
      </c>
      <c r="O128" s="9">
        <f>IF($K128="","",INDEX('سجل التحفيز'!$C$5:$C$2004,MATCH($K128,'سجل التحفيز'!$AC$5:$AC$2004,0)))</f>
        <v/>
      </c>
      <c r="P128" s="36">
        <f>IF($K128="","",INDEX('سجل التحفيز'!$D$5:$D$2004,MATCH($K128,'سجل التحفيز'!$AC$5:$AC$2004,0)))</f>
        <v/>
      </c>
      <c r="Q128" s="9">
        <f>IF($K128="","",INDEX('سجل التحفيز'!$E$5:$E$2004,MATCH($K128,'سجل التحفيز'!$AC$5:$AC$2004,0)))</f>
        <v/>
      </c>
      <c r="R128" s="9">
        <f>IF($K128="","",INDEX('سجل التحفيز'!$F$5:$F$2004,MATCH($K128,'سجل التحفيز'!$AC$5:$AC$2004,0)))</f>
        <v/>
      </c>
      <c r="S128" s="35">
        <f>IF($K128="","",INDEX('سجل التحفيز'!$G$5:$G$2004,MATCH($K128,'سجل التحفيز'!$AC$5:$AC$2004,0)))</f>
        <v/>
      </c>
    </row>
    <row r="129">
      <c r="B129" s="34">
        <f>IFERROR(INDEX(الموظفات!$B$5:$B$304,MATCH(92,الموظفات!$W$5:$W$304,0)),"")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التحفيز'!$AC$5:$AC$2004,"&gt;0",'سجل التحفيز'!$B$5:$B$2004,B129))</f>
        <v/>
      </c>
      <c r="E129" s="35">
        <f>IF(B129="","",COUNTIFS('سجل التحفيز'!$AC$5:$AC$2004,"&gt;0",'سجل التحفيز'!$B$5:$B$2004,B129,'سجل التحفيز'!$D$5:$D$2004,"ذهبي"))</f>
        <v/>
      </c>
      <c r="F129" s="35">
        <f>IF(B129="","",SUMIFS('سجل التحفيز'!$G$5:$G$2004,'سجل التحفيز'!$AC$5:$AC$2004,"&gt;0",'سجل التحفيز'!$B$5:$B$2004,B129))</f>
        <v/>
      </c>
      <c r="G129" s="35">
        <f>IF(B129="","",COUNTIF($D$38:$D$187,"&gt;"&amp;D129)+1)</f>
        <v/>
      </c>
      <c r="H129" s="35">
        <f>IF(B129="","",INDEX(الموظفات!$L$5:$L$304,MATCH(B129,الموظفات!$B$5:$B$304,0)))</f>
        <v/>
      </c>
      <c r="K129" s="36">
        <f>IF(92&gt;$B$10,"",92)</f>
        <v/>
      </c>
      <c r="L129" s="37">
        <f>IF($K129="","",INDEX('سجل التحفيز'!$A$5:$A$2004,MATCH($K129,'سجل التحفيز'!$AC$5:$AC$2004,0)))</f>
        <v/>
      </c>
      <c r="M129" s="9">
        <f>IF($K129="","",INDEX('سجل التحفيز'!$B$5:$B$2004,MATCH($K129,'سجل التحفيز'!$AC$5:$AC$2004,0)))</f>
        <v/>
      </c>
      <c r="N129" s="9">
        <f>IF($K129="","",INDEX('سجل التحفيز'!$M$5:$M$2004,MATCH($K129,'سجل التحفيز'!$AC$5:$AC$2004,0)))</f>
        <v/>
      </c>
      <c r="O129" s="9">
        <f>IF($K129="","",INDEX('سجل التحفيز'!$C$5:$C$2004,MATCH($K129,'سجل التحفيز'!$AC$5:$AC$2004,0)))</f>
        <v/>
      </c>
      <c r="P129" s="36">
        <f>IF($K129="","",INDEX('سجل التحفيز'!$D$5:$D$2004,MATCH($K129,'سجل التحفيز'!$AC$5:$AC$2004,0)))</f>
        <v/>
      </c>
      <c r="Q129" s="9">
        <f>IF($K129="","",INDEX('سجل التحفيز'!$E$5:$E$2004,MATCH($K129,'سجل التحفيز'!$AC$5:$AC$2004,0)))</f>
        <v/>
      </c>
      <c r="R129" s="9">
        <f>IF($K129="","",INDEX('سجل التحفيز'!$F$5:$F$2004,MATCH($K129,'سجل التحفيز'!$AC$5:$AC$2004,0)))</f>
        <v/>
      </c>
      <c r="S129" s="35">
        <f>IF($K129="","",INDEX('سجل التحفيز'!$G$5:$G$2004,MATCH($K129,'سجل التحفيز'!$AC$5:$AC$2004,0)))</f>
        <v/>
      </c>
    </row>
    <row r="130">
      <c r="B130" s="34">
        <f>IFERROR(INDEX(الموظفات!$B$5:$B$304,MATCH(93,الموظفات!$W$5:$W$304,0)),"")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التحفيز'!$AC$5:$AC$2004,"&gt;0",'سجل التحفيز'!$B$5:$B$2004,B130))</f>
        <v/>
      </c>
      <c r="E130" s="35">
        <f>IF(B130="","",COUNTIFS('سجل التحفيز'!$AC$5:$AC$2004,"&gt;0",'سجل التحفيز'!$B$5:$B$2004,B130,'سجل التحفيز'!$D$5:$D$2004,"ذهبي"))</f>
        <v/>
      </c>
      <c r="F130" s="35">
        <f>IF(B130="","",SUMIFS('سجل التحفيز'!$G$5:$G$2004,'سجل التحفيز'!$AC$5:$AC$2004,"&gt;0",'سجل التحفيز'!$B$5:$B$2004,B130))</f>
        <v/>
      </c>
      <c r="G130" s="35">
        <f>IF(B130="","",COUNTIF($D$38:$D$187,"&gt;"&amp;D130)+1)</f>
        <v/>
      </c>
      <c r="H130" s="35">
        <f>IF(B130="","",INDEX(الموظفات!$L$5:$L$304,MATCH(B130,الموظفات!$B$5:$B$304,0)))</f>
        <v/>
      </c>
      <c r="K130" s="36">
        <f>IF(93&gt;$B$10,"",93)</f>
        <v/>
      </c>
      <c r="L130" s="37">
        <f>IF($K130="","",INDEX('سجل التحفيز'!$A$5:$A$2004,MATCH($K130,'سجل التحفيز'!$AC$5:$AC$2004,0)))</f>
        <v/>
      </c>
      <c r="M130" s="9">
        <f>IF($K130="","",INDEX('سجل التحفيز'!$B$5:$B$2004,MATCH($K130,'سجل التحفيز'!$AC$5:$AC$2004,0)))</f>
        <v/>
      </c>
      <c r="N130" s="9">
        <f>IF($K130="","",INDEX('سجل التحفيز'!$M$5:$M$2004,MATCH($K130,'سجل التحفيز'!$AC$5:$AC$2004,0)))</f>
        <v/>
      </c>
      <c r="O130" s="9">
        <f>IF($K130="","",INDEX('سجل التحفيز'!$C$5:$C$2004,MATCH($K130,'سجل التحفيز'!$AC$5:$AC$2004,0)))</f>
        <v/>
      </c>
      <c r="P130" s="36">
        <f>IF($K130="","",INDEX('سجل التحفيز'!$D$5:$D$2004,MATCH($K130,'سجل التحفيز'!$AC$5:$AC$2004,0)))</f>
        <v/>
      </c>
      <c r="Q130" s="9">
        <f>IF($K130="","",INDEX('سجل التحفيز'!$E$5:$E$2004,MATCH($K130,'سجل التحفيز'!$AC$5:$AC$2004,0)))</f>
        <v/>
      </c>
      <c r="R130" s="9">
        <f>IF($K130="","",INDEX('سجل التحفيز'!$F$5:$F$2004,MATCH($K130,'سجل التحفيز'!$AC$5:$AC$2004,0)))</f>
        <v/>
      </c>
      <c r="S130" s="35">
        <f>IF($K130="","",INDEX('سجل التحفيز'!$G$5:$G$2004,MATCH($K130,'سجل التحفيز'!$AC$5:$AC$2004,0)))</f>
        <v/>
      </c>
    </row>
    <row r="131">
      <c r="B131" s="34">
        <f>IFERROR(INDEX(الموظفات!$B$5:$B$304,MATCH(94,الموظفات!$W$5:$W$304,0)),"")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التحفيز'!$AC$5:$AC$2004,"&gt;0",'سجل التحفيز'!$B$5:$B$2004,B131))</f>
        <v/>
      </c>
      <c r="E131" s="35">
        <f>IF(B131="","",COUNTIFS('سجل التحفيز'!$AC$5:$AC$2004,"&gt;0",'سجل التحفيز'!$B$5:$B$2004,B131,'سجل التحفيز'!$D$5:$D$2004,"ذهبي"))</f>
        <v/>
      </c>
      <c r="F131" s="35">
        <f>IF(B131="","",SUMIFS('سجل التحفيز'!$G$5:$G$2004,'سجل التحفيز'!$AC$5:$AC$2004,"&gt;0",'سجل التحفيز'!$B$5:$B$2004,B131))</f>
        <v/>
      </c>
      <c r="G131" s="35">
        <f>IF(B131="","",COUNTIF($D$38:$D$187,"&gt;"&amp;D131)+1)</f>
        <v/>
      </c>
      <c r="H131" s="35">
        <f>IF(B131="","",INDEX(الموظفات!$L$5:$L$304,MATCH(B131,الموظفات!$B$5:$B$304,0)))</f>
        <v/>
      </c>
      <c r="K131" s="36">
        <f>IF(94&gt;$B$10,"",94)</f>
        <v/>
      </c>
      <c r="L131" s="37">
        <f>IF($K131="","",INDEX('سجل التحفيز'!$A$5:$A$2004,MATCH($K131,'سجل التحفيز'!$AC$5:$AC$2004,0)))</f>
        <v/>
      </c>
      <c r="M131" s="9">
        <f>IF($K131="","",INDEX('سجل التحفيز'!$B$5:$B$2004,MATCH($K131,'سجل التحفيز'!$AC$5:$AC$2004,0)))</f>
        <v/>
      </c>
      <c r="N131" s="9">
        <f>IF($K131="","",INDEX('سجل التحفيز'!$M$5:$M$2004,MATCH($K131,'سجل التحفيز'!$AC$5:$AC$2004,0)))</f>
        <v/>
      </c>
      <c r="O131" s="9">
        <f>IF($K131="","",INDEX('سجل التحفيز'!$C$5:$C$2004,MATCH($K131,'سجل التحفيز'!$AC$5:$AC$2004,0)))</f>
        <v/>
      </c>
      <c r="P131" s="36">
        <f>IF($K131="","",INDEX('سجل التحفيز'!$D$5:$D$2004,MATCH($K131,'سجل التحفيز'!$AC$5:$AC$2004,0)))</f>
        <v/>
      </c>
      <c r="Q131" s="9">
        <f>IF($K131="","",INDEX('سجل التحفيز'!$E$5:$E$2004,MATCH($K131,'سجل التحفيز'!$AC$5:$AC$2004,0)))</f>
        <v/>
      </c>
      <c r="R131" s="9">
        <f>IF($K131="","",INDEX('سجل التحفيز'!$F$5:$F$2004,MATCH($K131,'سجل التحفيز'!$AC$5:$AC$2004,0)))</f>
        <v/>
      </c>
      <c r="S131" s="35">
        <f>IF($K131="","",INDEX('سجل التحفيز'!$G$5:$G$2004,MATCH($K131,'سجل التحفيز'!$AC$5:$AC$2004,0)))</f>
        <v/>
      </c>
    </row>
    <row r="132">
      <c r="B132" s="34">
        <f>IFERROR(INDEX(الموظفات!$B$5:$B$304,MATCH(95,الموظفات!$W$5:$W$304,0)),"")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التحفيز'!$AC$5:$AC$2004,"&gt;0",'سجل التحفيز'!$B$5:$B$2004,B132))</f>
        <v/>
      </c>
      <c r="E132" s="35">
        <f>IF(B132="","",COUNTIFS('سجل التحفيز'!$AC$5:$AC$2004,"&gt;0",'سجل التحفيز'!$B$5:$B$2004,B132,'سجل التحفيز'!$D$5:$D$2004,"ذهبي"))</f>
        <v/>
      </c>
      <c r="F132" s="35">
        <f>IF(B132="","",SUMIFS('سجل التحفيز'!$G$5:$G$2004,'سجل التحفيز'!$AC$5:$AC$2004,"&gt;0",'سجل التحفيز'!$B$5:$B$2004,B132))</f>
        <v/>
      </c>
      <c r="G132" s="35">
        <f>IF(B132="","",COUNTIF($D$38:$D$187,"&gt;"&amp;D132)+1)</f>
        <v/>
      </c>
      <c r="H132" s="35">
        <f>IF(B132="","",INDEX(الموظفات!$L$5:$L$304,MATCH(B132,الموظفات!$B$5:$B$304,0)))</f>
        <v/>
      </c>
      <c r="K132" s="36">
        <f>IF(95&gt;$B$10,"",95)</f>
        <v/>
      </c>
      <c r="L132" s="37">
        <f>IF($K132="","",INDEX('سجل التحفيز'!$A$5:$A$2004,MATCH($K132,'سجل التحفيز'!$AC$5:$AC$2004,0)))</f>
        <v/>
      </c>
      <c r="M132" s="9">
        <f>IF($K132="","",INDEX('سجل التحفيز'!$B$5:$B$2004,MATCH($K132,'سجل التحفيز'!$AC$5:$AC$2004,0)))</f>
        <v/>
      </c>
      <c r="N132" s="9">
        <f>IF($K132="","",INDEX('سجل التحفيز'!$M$5:$M$2004,MATCH($K132,'سجل التحفيز'!$AC$5:$AC$2004,0)))</f>
        <v/>
      </c>
      <c r="O132" s="9">
        <f>IF($K132="","",INDEX('سجل التحفيز'!$C$5:$C$2004,MATCH($K132,'سجل التحفيز'!$AC$5:$AC$2004,0)))</f>
        <v/>
      </c>
      <c r="P132" s="36">
        <f>IF($K132="","",INDEX('سجل التحفيز'!$D$5:$D$2004,MATCH($K132,'سجل التحفيز'!$AC$5:$AC$2004,0)))</f>
        <v/>
      </c>
      <c r="Q132" s="9">
        <f>IF($K132="","",INDEX('سجل التحفيز'!$E$5:$E$2004,MATCH($K132,'سجل التحفيز'!$AC$5:$AC$2004,0)))</f>
        <v/>
      </c>
      <c r="R132" s="9">
        <f>IF($K132="","",INDEX('سجل التحفيز'!$F$5:$F$2004,MATCH($K132,'سجل التحفيز'!$AC$5:$AC$2004,0)))</f>
        <v/>
      </c>
      <c r="S132" s="35">
        <f>IF($K132="","",INDEX('سجل التحفيز'!$G$5:$G$2004,MATCH($K132,'سجل التحفيز'!$AC$5:$AC$2004,0)))</f>
        <v/>
      </c>
    </row>
    <row r="133">
      <c r="B133" s="34">
        <f>IFERROR(INDEX(الموظفات!$B$5:$B$304,MATCH(96,الموظفات!$W$5:$W$304,0)),"")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التحفيز'!$AC$5:$AC$2004,"&gt;0",'سجل التحفيز'!$B$5:$B$2004,B133))</f>
        <v/>
      </c>
      <c r="E133" s="35">
        <f>IF(B133="","",COUNTIFS('سجل التحفيز'!$AC$5:$AC$2004,"&gt;0",'سجل التحفيز'!$B$5:$B$2004,B133,'سجل التحفيز'!$D$5:$D$2004,"ذهبي"))</f>
        <v/>
      </c>
      <c r="F133" s="35">
        <f>IF(B133="","",SUMIFS('سجل التحفيز'!$G$5:$G$2004,'سجل التحفيز'!$AC$5:$AC$2004,"&gt;0",'سجل التحفيز'!$B$5:$B$2004,B133))</f>
        <v/>
      </c>
      <c r="G133" s="35">
        <f>IF(B133="","",COUNTIF($D$38:$D$187,"&gt;"&amp;D133)+1)</f>
        <v/>
      </c>
      <c r="H133" s="35">
        <f>IF(B133="","",INDEX(الموظفات!$L$5:$L$304,MATCH(B133,الموظفات!$B$5:$B$304,0)))</f>
        <v/>
      </c>
      <c r="K133" s="36">
        <f>IF(96&gt;$B$10,"",96)</f>
        <v/>
      </c>
      <c r="L133" s="37">
        <f>IF($K133="","",INDEX('سجل التحفيز'!$A$5:$A$2004,MATCH($K133,'سجل التحفيز'!$AC$5:$AC$2004,0)))</f>
        <v/>
      </c>
      <c r="M133" s="9">
        <f>IF($K133="","",INDEX('سجل التحفيز'!$B$5:$B$2004,MATCH($K133,'سجل التحفيز'!$AC$5:$AC$2004,0)))</f>
        <v/>
      </c>
      <c r="N133" s="9">
        <f>IF($K133="","",INDEX('سجل التحفيز'!$M$5:$M$2004,MATCH($K133,'سجل التحفيز'!$AC$5:$AC$2004,0)))</f>
        <v/>
      </c>
      <c r="O133" s="9">
        <f>IF($K133="","",INDEX('سجل التحفيز'!$C$5:$C$2004,MATCH($K133,'سجل التحفيز'!$AC$5:$AC$2004,0)))</f>
        <v/>
      </c>
      <c r="P133" s="36">
        <f>IF($K133="","",INDEX('سجل التحفيز'!$D$5:$D$2004,MATCH($K133,'سجل التحفيز'!$AC$5:$AC$2004,0)))</f>
        <v/>
      </c>
      <c r="Q133" s="9">
        <f>IF($K133="","",INDEX('سجل التحفيز'!$E$5:$E$2004,MATCH($K133,'سجل التحفيز'!$AC$5:$AC$2004,0)))</f>
        <v/>
      </c>
      <c r="R133" s="9">
        <f>IF($K133="","",INDEX('سجل التحفيز'!$F$5:$F$2004,MATCH($K133,'سجل التحفيز'!$AC$5:$AC$2004,0)))</f>
        <v/>
      </c>
      <c r="S133" s="35">
        <f>IF($K133="","",INDEX('سجل التحفيز'!$G$5:$G$2004,MATCH($K133,'سجل التحفيز'!$AC$5:$AC$2004,0)))</f>
        <v/>
      </c>
    </row>
    <row r="134">
      <c r="B134" s="34">
        <f>IFERROR(INDEX(الموظفات!$B$5:$B$304,MATCH(97,الموظفات!$W$5:$W$304,0)),"")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التحفيز'!$AC$5:$AC$2004,"&gt;0",'سجل التحفيز'!$B$5:$B$2004,B134))</f>
        <v/>
      </c>
      <c r="E134" s="35">
        <f>IF(B134="","",COUNTIFS('سجل التحفيز'!$AC$5:$AC$2004,"&gt;0",'سجل التحفيز'!$B$5:$B$2004,B134,'سجل التحفيز'!$D$5:$D$2004,"ذهبي"))</f>
        <v/>
      </c>
      <c r="F134" s="35">
        <f>IF(B134="","",SUMIFS('سجل التحفيز'!$G$5:$G$2004,'سجل التحفيز'!$AC$5:$AC$2004,"&gt;0",'سجل التحفيز'!$B$5:$B$2004,B134))</f>
        <v/>
      </c>
      <c r="G134" s="35">
        <f>IF(B134="","",COUNTIF($D$38:$D$187,"&gt;"&amp;D134)+1)</f>
        <v/>
      </c>
      <c r="H134" s="35">
        <f>IF(B134="","",INDEX(الموظفات!$L$5:$L$304,MATCH(B134,الموظفات!$B$5:$B$304,0)))</f>
        <v/>
      </c>
      <c r="K134" s="36">
        <f>IF(97&gt;$B$10,"",97)</f>
        <v/>
      </c>
      <c r="L134" s="37">
        <f>IF($K134="","",INDEX('سجل التحفيز'!$A$5:$A$2004,MATCH($K134,'سجل التحفيز'!$AC$5:$AC$2004,0)))</f>
        <v/>
      </c>
      <c r="M134" s="9">
        <f>IF($K134="","",INDEX('سجل التحفيز'!$B$5:$B$2004,MATCH($K134,'سجل التحفيز'!$AC$5:$AC$2004,0)))</f>
        <v/>
      </c>
      <c r="N134" s="9">
        <f>IF($K134="","",INDEX('سجل التحفيز'!$M$5:$M$2004,MATCH($K134,'سجل التحفيز'!$AC$5:$AC$2004,0)))</f>
        <v/>
      </c>
      <c r="O134" s="9">
        <f>IF($K134="","",INDEX('سجل التحفيز'!$C$5:$C$2004,MATCH($K134,'سجل التحفيز'!$AC$5:$AC$2004,0)))</f>
        <v/>
      </c>
      <c r="P134" s="36">
        <f>IF($K134="","",INDEX('سجل التحفيز'!$D$5:$D$2004,MATCH($K134,'سجل التحفيز'!$AC$5:$AC$2004,0)))</f>
        <v/>
      </c>
      <c r="Q134" s="9">
        <f>IF($K134="","",INDEX('سجل التحفيز'!$E$5:$E$2004,MATCH($K134,'سجل التحفيز'!$AC$5:$AC$2004,0)))</f>
        <v/>
      </c>
      <c r="R134" s="9">
        <f>IF($K134="","",INDEX('سجل التحفيز'!$F$5:$F$2004,MATCH($K134,'سجل التحفيز'!$AC$5:$AC$2004,0)))</f>
        <v/>
      </c>
      <c r="S134" s="35">
        <f>IF($K134="","",INDEX('سجل التحفيز'!$G$5:$G$2004,MATCH($K134,'سجل التحفيز'!$AC$5:$AC$2004,0)))</f>
        <v/>
      </c>
    </row>
    <row r="135">
      <c r="B135" s="34">
        <f>IFERROR(INDEX(الموظفات!$B$5:$B$304,MATCH(98,الموظفات!$W$5:$W$304,0)),"")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التحفيز'!$AC$5:$AC$2004,"&gt;0",'سجل التحفيز'!$B$5:$B$2004,B135))</f>
        <v/>
      </c>
      <c r="E135" s="35">
        <f>IF(B135="","",COUNTIFS('سجل التحفيز'!$AC$5:$AC$2004,"&gt;0",'سجل التحفيز'!$B$5:$B$2004,B135,'سجل التحفيز'!$D$5:$D$2004,"ذهبي"))</f>
        <v/>
      </c>
      <c r="F135" s="35">
        <f>IF(B135="","",SUMIFS('سجل التحفيز'!$G$5:$G$2004,'سجل التحفيز'!$AC$5:$AC$2004,"&gt;0",'سجل التحفيز'!$B$5:$B$2004,B135))</f>
        <v/>
      </c>
      <c r="G135" s="35">
        <f>IF(B135="","",COUNTIF($D$38:$D$187,"&gt;"&amp;D135)+1)</f>
        <v/>
      </c>
      <c r="H135" s="35">
        <f>IF(B135="","",INDEX(الموظفات!$L$5:$L$304,MATCH(B135,الموظفات!$B$5:$B$304,0)))</f>
        <v/>
      </c>
      <c r="K135" s="36">
        <f>IF(98&gt;$B$10,"",98)</f>
        <v/>
      </c>
      <c r="L135" s="37">
        <f>IF($K135="","",INDEX('سجل التحفيز'!$A$5:$A$2004,MATCH($K135,'سجل التحفيز'!$AC$5:$AC$2004,0)))</f>
        <v/>
      </c>
      <c r="M135" s="9">
        <f>IF($K135="","",INDEX('سجل التحفيز'!$B$5:$B$2004,MATCH($K135,'سجل التحفيز'!$AC$5:$AC$2004,0)))</f>
        <v/>
      </c>
      <c r="N135" s="9">
        <f>IF($K135="","",INDEX('سجل التحفيز'!$M$5:$M$2004,MATCH($K135,'سجل التحفيز'!$AC$5:$AC$2004,0)))</f>
        <v/>
      </c>
      <c r="O135" s="9">
        <f>IF($K135="","",INDEX('سجل التحفيز'!$C$5:$C$2004,MATCH($K135,'سجل التحفيز'!$AC$5:$AC$2004,0)))</f>
        <v/>
      </c>
      <c r="P135" s="36">
        <f>IF($K135="","",INDEX('سجل التحفيز'!$D$5:$D$2004,MATCH($K135,'سجل التحفيز'!$AC$5:$AC$2004,0)))</f>
        <v/>
      </c>
      <c r="Q135" s="9">
        <f>IF($K135="","",INDEX('سجل التحفيز'!$E$5:$E$2004,MATCH($K135,'سجل التحفيز'!$AC$5:$AC$2004,0)))</f>
        <v/>
      </c>
      <c r="R135" s="9">
        <f>IF($K135="","",INDEX('سجل التحفيز'!$F$5:$F$2004,MATCH($K135,'سجل التحفيز'!$AC$5:$AC$2004,0)))</f>
        <v/>
      </c>
      <c r="S135" s="35">
        <f>IF($K135="","",INDEX('سجل التحفيز'!$G$5:$G$2004,MATCH($K135,'سجل التحفيز'!$AC$5:$AC$2004,0)))</f>
        <v/>
      </c>
    </row>
    <row r="136">
      <c r="B136" s="34">
        <f>IFERROR(INDEX(الموظفات!$B$5:$B$304,MATCH(99,الموظفات!$W$5:$W$304,0)),"")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التحفيز'!$AC$5:$AC$2004,"&gt;0",'سجل التحفيز'!$B$5:$B$2004,B136))</f>
        <v/>
      </c>
      <c r="E136" s="35">
        <f>IF(B136="","",COUNTIFS('سجل التحفيز'!$AC$5:$AC$2004,"&gt;0",'سجل التحفيز'!$B$5:$B$2004,B136,'سجل التحفيز'!$D$5:$D$2004,"ذهبي"))</f>
        <v/>
      </c>
      <c r="F136" s="35">
        <f>IF(B136="","",SUMIFS('سجل التحفيز'!$G$5:$G$2004,'سجل التحفيز'!$AC$5:$AC$2004,"&gt;0",'سجل التحفيز'!$B$5:$B$2004,B136))</f>
        <v/>
      </c>
      <c r="G136" s="35">
        <f>IF(B136="","",COUNTIF($D$38:$D$187,"&gt;"&amp;D136)+1)</f>
        <v/>
      </c>
      <c r="H136" s="35">
        <f>IF(B136="","",INDEX(الموظفات!$L$5:$L$304,MATCH(B136,الموظفات!$B$5:$B$304,0)))</f>
        <v/>
      </c>
      <c r="K136" s="36">
        <f>IF(99&gt;$B$10,"",99)</f>
        <v/>
      </c>
      <c r="L136" s="37">
        <f>IF($K136="","",INDEX('سجل التحفيز'!$A$5:$A$2004,MATCH($K136,'سجل التحفيز'!$AC$5:$AC$2004,0)))</f>
        <v/>
      </c>
      <c r="M136" s="9">
        <f>IF($K136="","",INDEX('سجل التحفيز'!$B$5:$B$2004,MATCH($K136,'سجل التحفيز'!$AC$5:$AC$2004,0)))</f>
        <v/>
      </c>
      <c r="N136" s="9">
        <f>IF($K136="","",INDEX('سجل التحفيز'!$M$5:$M$2004,MATCH($K136,'سجل التحفيز'!$AC$5:$AC$2004,0)))</f>
        <v/>
      </c>
      <c r="O136" s="9">
        <f>IF($K136="","",INDEX('سجل التحفيز'!$C$5:$C$2004,MATCH($K136,'سجل التحفيز'!$AC$5:$AC$2004,0)))</f>
        <v/>
      </c>
      <c r="P136" s="36">
        <f>IF($K136="","",INDEX('سجل التحفيز'!$D$5:$D$2004,MATCH($K136,'سجل التحفيز'!$AC$5:$AC$2004,0)))</f>
        <v/>
      </c>
      <c r="Q136" s="9">
        <f>IF($K136="","",INDEX('سجل التحفيز'!$E$5:$E$2004,MATCH($K136,'سجل التحفيز'!$AC$5:$AC$2004,0)))</f>
        <v/>
      </c>
      <c r="R136" s="9">
        <f>IF($K136="","",INDEX('سجل التحفيز'!$F$5:$F$2004,MATCH($K136,'سجل التحفيز'!$AC$5:$AC$2004,0)))</f>
        <v/>
      </c>
      <c r="S136" s="35">
        <f>IF($K136="","",INDEX('سجل التحفيز'!$G$5:$G$2004,MATCH($K136,'سجل التحفيز'!$AC$5:$AC$2004,0)))</f>
        <v/>
      </c>
    </row>
    <row r="137">
      <c r="B137" s="34">
        <f>IFERROR(INDEX(الموظفات!$B$5:$B$304,MATCH(100,الموظفات!$W$5:$W$304,0)),"")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التحفيز'!$AC$5:$AC$2004,"&gt;0",'سجل التحفيز'!$B$5:$B$2004,B137))</f>
        <v/>
      </c>
      <c r="E137" s="35">
        <f>IF(B137="","",COUNTIFS('سجل التحفيز'!$AC$5:$AC$2004,"&gt;0",'سجل التحفيز'!$B$5:$B$2004,B137,'سجل التحفيز'!$D$5:$D$2004,"ذهبي"))</f>
        <v/>
      </c>
      <c r="F137" s="35">
        <f>IF(B137="","",SUMIFS('سجل التحفيز'!$G$5:$G$2004,'سجل التحفيز'!$AC$5:$AC$2004,"&gt;0",'سجل التحفيز'!$B$5:$B$2004,B137))</f>
        <v/>
      </c>
      <c r="G137" s="35">
        <f>IF(B137="","",COUNTIF($D$38:$D$187,"&gt;"&amp;D137)+1)</f>
        <v/>
      </c>
      <c r="H137" s="35">
        <f>IF(B137="","",INDEX(الموظفات!$L$5:$L$304,MATCH(B137,الموظفات!$B$5:$B$304,0)))</f>
        <v/>
      </c>
      <c r="K137" s="36">
        <f>IF(100&gt;$B$10,"",100)</f>
        <v/>
      </c>
      <c r="L137" s="37">
        <f>IF($K137="","",INDEX('سجل التحفيز'!$A$5:$A$2004,MATCH($K137,'سجل التحفيز'!$AC$5:$AC$2004,0)))</f>
        <v/>
      </c>
      <c r="M137" s="9">
        <f>IF($K137="","",INDEX('سجل التحفيز'!$B$5:$B$2004,MATCH($K137,'سجل التحفيز'!$AC$5:$AC$2004,0)))</f>
        <v/>
      </c>
      <c r="N137" s="9">
        <f>IF($K137="","",INDEX('سجل التحفيز'!$M$5:$M$2004,MATCH($K137,'سجل التحفيز'!$AC$5:$AC$2004,0)))</f>
        <v/>
      </c>
      <c r="O137" s="9">
        <f>IF($K137="","",INDEX('سجل التحفيز'!$C$5:$C$2004,MATCH($K137,'سجل التحفيز'!$AC$5:$AC$2004,0)))</f>
        <v/>
      </c>
      <c r="P137" s="36">
        <f>IF($K137="","",INDEX('سجل التحفيز'!$D$5:$D$2004,MATCH($K137,'سجل التحفيز'!$AC$5:$AC$2004,0)))</f>
        <v/>
      </c>
      <c r="Q137" s="9">
        <f>IF($K137="","",INDEX('سجل التحفيز'!$E$5:$E$2004,MATCH($K137,'سجل التحفيز'!$AC$5:$AC$2004,0)))</f>
        <v/>
      </c>
      <c r="R137" s="9">
        <f>IF($K137="","",INDEX('سجل التحفيز'!$F$5:$F$2004,MATCH($K137,'سجل التحفيز'!$AC$5:$AC$2004,0)))</f>
        <v/>
      </c>
      <c r="S137" s="35">
        <f>IF($K137="","",INDEX('سجل التحفيز'!$G$5:$G$2004,MATCH($K137,'سجل التحفيز'!$AC$5:$AC$2004,0)))</f>
        <v/>
      </c>
    </row>
    <row r="138">
      <c r="B138" s="34">
        <f>IFERROR(INDEX(الموظفات!$B$5:$B$304,MATCH(101,الموظفات!$W$5:$W$304,0)),"")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التحفيز'!$AC$5:$AC$2004,"&gt;0",'سجل التحفيز'!$B$5:$B$2004,B138))</f>
        <v/>
      </c>
      <c r="E138" s="35">
        <f>IF(B138="","",COUNTIFS('سجل التحفيز'!$AC$5:$AC$2004,"&gt;0",'سجل التحفيز'!$B$5:$B$2004,B138,'سجل التحفيز'!$D$5:$D$2004,"ذهبي"))</f>
        <v/>
      </c>
      <c r="F138" s="35">
        <f>IF(B138="","",SUMIFS('سجل التحفيز'!$G$5:$G$2004,'سجل التحفيز'!$AC$5:$AC$2004,"&gt;0",'سجل التحفيز'!$B$5:$B$2004,B138))</f>
        <v/>
      </c>
      <c r="G138" s="35">
        <f>IF(B138="","",COUNTIF($D$38:$D$187,"&gt;"&amp;D138)+1)</f>
        <v/>
      </c>
      <c r="H138" s="35">
        <f>IF(B138="","",INDEX(الموظفات!$L$5:$L$304,MATCH(B138,الموظفات!$B$5:$B$304,0)))</f>
        <v/>
      </c>
      <c r="K138" s="36">
        <f>IF(101&gt;$B$10,"",101)</f>
        <v/>
      </c>
      <c r="L138" s="37">
        <f>IF($K138="","",INDEX('سجل التحفيز'!$A$5:$A$2004,MATCH($K138,'سجل التحفيز'!$AC$5:$AC$2004,0)))</f>
        <v/>
      </c>
      <c r="M138" s="9">
        <f>IF($K138="","",INDEX('سجل التحفيز'!$B$5:$B$2004,MATCH($K138,'سجل التحفيز'!$AC$5:$AC$2004,0)))</f>
        <v/>
      </c>
      <c r="N138" s="9">
        <f>IF($K138="","",INDEX('سجل التحفيز'!$M$5:$M$2004,MATCH($K138,'سجل التحفيز'!$AC$5:$AC$2004,0)))</f>
        <v/>
      </c>
      <c r="O138" s="9">
        <f>IF($K138="","",INDEX('سجل التحفيز'!$C$5:$C$2004,MATCH($K138,'سجل التحفيز'!$AC$5:$AC$2004,0)))</f>
        <v/>
      </c>
      <c r="P138" s="36">
        <f>IF($K138="","",INDEX('سجل التحفيز'!$D$5:$D$2004,MATCH($K138,'سجل التحفيز'!$AC$5:$AC$2004,0)))</f>
        <v/>
      </c>
      <c r="Q138" s="9">
        <f>IF($K138="","",INDEX('سجل التحفيز'!$E$5:$E$2004,MATCH($K138,'سجل التحفيز'!$AC$5:$AC$2004,0)))</f>
        <v/>
      </c>
      <c r="R138" s="9">
        <f>IF($K138="","",INDEX('سجل التحفيز'!$F$5:$F$2004,MATCH($K138,'سجل التحفيز'!$AC$5:$AC$2004,0)))</f>
        <v/>
      </c>
      <c r="S138" s="35">
        <f>IF($K138="","",INDEX('سجل التحفيز'!$G$5:$G$2004,MATCH($K138,'سجل التحفيز'!$AC$5:$AC$2004,0)))</f>
        <v/>
      </c>
    </row>
    <row r="139">
      <c r="B139" s="34">
        <f>IFERROR(INDEX(الموظفات!$B$5:$B$304,MATCH(102,الموظفات!$W$5:$W$304,0)),"")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التحفيز'!$AC$5:$AC$2004,"&gt;0",'سجل التحفيز'!$B$5:$B$2004,B139))</f>
        <v/>
      </c>
      <c r="E139" s="35">
        <f>IF(B139="","",COUNTIFS('سجل التحفيز'!$AC$5:$AC$2004,"&gt;0",'سجل التحفيز'!$B$5:$B$2004,B139,'سجل التحفيز'!$D$5:$D$2004,"ذهبي"))</f>
        <v/>
      </c>
      <c r="F139" s="35">
        <f>IF(B139="","",SUMIFS('سجل التحفيز'!$G$5:$G$2004,'سجل التحفيز'!$AC$5:$AC$2004,"&gt;0",'سجل التحفيز'!$B$5:$B$2004,B139))</f>
        <v/>
      </c>
      <c r="G139" s="35">
        <f>IF(B139="","",COUNTIF($D$38:$D$187,"&gt;"&amp;D139)+1)</f>
        <v/>
      </c>
      <c r="H139" s="35">
        <f>IF(B139="","",INDEX(الموظفات!$L$5:$L$304,MATCH(B139,الموظفات!$B$5:$B$304,0)))</f>
        <v/>
      </c>
      <c r="K139" s="36">
        <f>IF(102&gt;$B$10,"",102)</f>
        <v/>
      </c>
      <c r="L139" s="37">
        <f>IF($K139="","",INDEX('سجل التحفيز'!$A$5:$A$2004,MATCH($K139,'سجل التحفيز'!$AC$5:$AC$2004,0)))</f>
        <v/>
      </c>
      <c r="M139" s="9">
        <f>IF($K139="","",INDEX('سجل التحفيز'!$B$5:$B$2004,MATCH($K139,'سجل التحفيز'!$AC$5:$AC$2004,0)))</f>
        <v/>
      </c>
      <c r="N139" s="9">
        <f>IF($K139="","",INDEX('سجل التحفيز'!$M$5:$M$2004,MATCH($K139,'سجل التحفيز'!$AC$5:$AC$2004,0)))</f>
        <v/>
      </c>
      <c r="O139" s="9">
        <f>IF($K139="","",INDEX('سجل التحفيز'!$C$5:$C$2004,MATCH($K139,'سجل التحفيز'!$AC$5:$AC$2004,0)))</f>
        <v/>
      </c>
      <c r="P139" s="36">
        <f>IF($K139="","",INDEX('سجل التحفيز'!$D$5:$D$2004,MATCH($K139,'سجل التحفيز'!$AC$5:$AC$2004,0)))</f>
        <v/>
      </c>
      <c r="Q139" s="9">
        <f>IF($K139="","",INDEX('سجل التحفيز'!$E$5:$E$2004,MATCH($K139,'سجل التحفيز'!$AC$5:$AC$2004,0)))</f>
        <v/>
      </c>
      <c r="R139" s="9">
        <f>IF($K139="","",INDEX('سجل التحفيز'!$F$5:$F$2004,MATCH($K139,'سجل التحفيز'!$AC$5:$AC$2004,0)))</f>
        <v/>
      </c>
      <c r="S139" s="35">
        <f>IF($K139="","",INDEX('سجل التحفيز'!$G$5:$G$2004,MATCH($K139,'سجل التحفيز'!$AC$5:$AC$2004,0)))</f>
        <v/>
      </c>
    </row>
    <row r="140">
      <c r="B140" s="34">
        <f>IFERROR(INDEX(الموظفات!$B$5:$B$304,MATCH(103,الموظفات!$W$5:$W$304,0)),"")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التحفيز'!$AC$5:$AC$2004,"&gt;0",'سجل التحفيز'!$B$5:$B$2004,B140))</f>
        <v/>
      </c>
      <c r="E140" s="35">
        <f>IF(B140="","",COUNTIFS('سجل التحفيز'!$AC$5:$AC$2004,"&gt;0",'سجل التحفيز'!$B$5:$B$2004,B140,'سجل التحفيز'!$D$5:$D$2004,"ذهبي"))</f>
        <v/>
      </c>
      <c r="F140" s="35">
        <f>IF(B140="","",SUMIFS('سجل التحفيز'!$G$5:$G$2004,'سجل التحفيز'!$AC$5:$AC$2004,"&gt;0",'سجل التحفيز'!$B$5:$B$2004,B140))</f>
        <v/>
      </c>
      <c r="G140" s="35">
        <f>IF(B140="","",COUNTIF($D$38:$D$187,"&gt;"&amp;D140)+1)</f>
        <v/>
      </c>
      <c r="H140" s="35">
        <f>IF(B140="","",INDEX(الموظفات!$L$5:$L$304,MATCH(B140,الموظفات!$B$5:$B$304,0)))</f>
        <v/>
      </c>
      <c r="K140" s="36">
        <f>IF(103&gt;$B$10,"",103)</f>
        <v/>
      </c>
      <c r="L140" s="37">
        <f>IF($K140="","",INDEX('سجل التحفيز'!$A$5:$A$2004,MATCH($K140,'سجل التحفيز'!$AC$5:$AC$2004,0)))</f>
        <v/>
      </c>
      <c r="M140" s="9">
        <f>IF($K140="","",INDEX('سجل التحفيز'!$B$5:$B$2004,MATCH($K140,'سجل التحفيز'!$AC$5:$AC$2004,0)))</f>
        <v/>
      </c>
      <c r="N140" s="9">
        <f>IF($K140="","",INDEX('سجل التحفيز'!$M$5:$M$2004,MATCH($K140,'سجل التحفيز'!$AC$5:$AC$2004,0)))</f>
        <v/>
      </c>
      <c r="O140" s="9">
        <f>IF($K140="","",INDEX('سجل التحفيز'!$C$5:$C$2004,MATCH($K140,'سجل التحفيز'!$AC$5:$AC$2004,0)))</f>
        <v/>
      </c>
      <c r="P140" s="36">
        <f>IF($K140="","",INDEX('سجل التحفيز'!$D$5:$D$2004,MATCH($K140,'سجل التحفيز'!$AC$5:$AC$2004,0)))</f>
        <v/>
      </c>
      <c r="Q140" s="9">
        <f>IF($K140="","",INDEX('سجل التحفيز'!$E$5:$E$2004,MATCH($K140,'سجل التحفيز'!$AC$5:$AC$2004,0)))</f>
        <v/>
      </c>
      <c r="R140" s="9">
        <f>IF($K140="","",INDEX('سجل التحفيز'!$F$5:$F$2004,MATCH($K140,'سجل التحفيز'!$AC$5:$AC$2004,0)))</f>
        <v/>
      </c>
      <c r="S140" s="35">
        <f>IF($K140="","",INDEX('سجل التحفيز'!$G$5:$G$2004,MATCH($K140,'سجل التحفيز'!$AC$5:$AC$2004,0)))</f>
        <v/>
      </c>
    </row>
    <row r="141">
      <c r="B141" s="34">
        <f>IFERROR(INDEX(الموظفات!$B$5:$B$304,MATCH(104,الموظفات!$W$5:$W$304,0)),"")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التحفيز'!$AC$5:$AC$2004,"&gt;0",'سجل التحفيز'!$B$5:$B$2004,B141))</f>
        <v/>
      </c>
      <c r="E141" s="35">
        <f>IF(B141="","",COUNTIFS('سجل التحفيز'!$AC$5:$AC$2004,"&gt;0",'سجل التحفيز'!$B$5:$B$2004,B141,'سجل التحفيز'!$D$5:$D$2004,"ذهبي"))</f>
        <v/>
      </c>
      <c r="F141" s="35">
        <f>IF(B141="","",SUMIFS('سجل التحفيز'!$G$5:$G$2004,'سجل التحفيز'!$AC$5:$AC$2004,"&gt;0",'سجل التحفيز'!$B$5:$B$2004,B141))</f>
        <v/>
      </c>
      <c r="G141" s="35">
        <f>IF(B141="","",COUNTIF($D$38:$D$187,"&gt;"&amp;D141)+1)</f>
        <v/>
      </c>
      <c r="H141" s="35">
        <f>IF(B141="","",INDEX(الموظفات!$L$5:$L$304,MATCH(B141,الموظفات!$B$5:$B$304,0)))</f>
        <v/>
      </c>
      <c r="K141" s="36">
        <f>IF(104&gt;$B$10,"",104)</f>
        <v/>
      </c>
      <c r="L141" s="37">
        <f>IF($K141="","",INDEX('سجل التحفيز'!$A$5:$A$2004,MATCH($K141,'سجل التحفيز'!$AC$5:$AC$2004,0)))</f>
        <v/>
      </c>
      <c r="M141" s="9">
        <f>IF($K141="","",INDEX('سجل التحفيز'!$B$5:$B$2004,MATCH($K141,'سجل التحفيز'!$AC$5:$AC$2004,0)))</f>
        <v/>
      </c>
      <c r="N141" s="9">
        <f>IF($K141="","",INDEX('سجل التحفيز'!$M$5:$M$2004,MATCH($K141,'سجل التحفيز'!$AC$5:$AC$2004,0)))</f>
        <v/>
      </c>
      <c r="O141" s="9">
        <f>IF($K141="","",INDEX('سجل التحفيز'!$C$5:$C$2004,MATCH($K141,'سجل التحفيز'!$AC$5:$AC$2004,0)))</f>
        <v/>
      </c>
      <c r="P141" s="36">
        <f>IF($K141="","",INDEX('سجل التحفيز'!$D$5:$D$2004,MATCH($K141,'سجل التحفيز'!$AC$5:$AC$2004,0)))</f>
        <v/>
      </c>
      <c r="Q141" s="9">
        <f>IF($K141="","",INDEX('سجل التحفيز'!$E$5:$E$2004,MATCH($K141,'سجل التحفيز'!$AC$5:$AC$2004,0)))</f>
        <v/>
      </c>
      <c r="R141" s="9">
        <f>IF($K141="","",INDEX('سجل التحفيز'!$F$5:$F$2004,MATCH($K141,'سجل التحفيز'!$AC$5:$AC$2004,0)))</f>
        <v/>
      </c>
      <c r="S141" s="35">
        <f>IF($K141="","",INDEX('سجل التحفيز'!$G$5:$G$2004,MATCH($K141,'سجل التحفيز'!$AC$5:$AC$2004,0)))</f>
        <v/>
      </c>
    </row>
    <row r="142">
      <c r="B142" s="34">
        <f>IFERROR(INDEX(الموظفات!$B$5:$B$304,MATCH(105,الموظفات!$W$5:$W$304,0)),"")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التحفيز'!$AC$5:$AC$2004,"&gt;0",'سجل التحفيز'!$B$5:$B$2004,B142))</f>
        <v/>
      </c>
      <c r="E142" s="35">
        <f>IF(B142="","",COUNTIFS('سجل التحفيز'!$AC$5:$AC$2004,"&gt;0",'سجل التحفيز'!$B$5:$B$2004,B142,'سجل التحفيز'!$D$5:$D$2004,"ذهبي"))</f>
        <v/>
      </c>
      <c r="F142" s="35">
        <f>IF(B142="","",SUMIFS('سجل التحفيز'!$G$5:$G$2004,'سجل التحفيز'!$AC$5:$AC$2004,"&gt;0",'سجل التحفيز'!$B$5:$B$2004,B142))</f>
        <v/>
      </c>
      <c r="G142" s="35">
        <f>IF(B142="","",COUNTIF($D$38:$D$187,"&gt;"&amp;D142)+1)</f>
        <v/>
      </c>
      <c r="H142" s="35">
        <f>IF(B142="","",INDEX(الموظفات!$L$5:$L$304,MATCH(B142,الموظفات!$B$5:$B$304,0)))</f>
        <v/>
      </c>
      <c r="K142" s="36">
        <f>IF(105&gt;$B$10,"",105)</f>
        <v/>
      </c>
      <c r="L142" s="37">
        <f>IF($K142="","",INDEX('سجل التحفيز'!$A$5:$A$2004,MATCH($K142,'سجل التحفيز'!$AC$5:$AC$2004,0)))</f>
        <v/>
      </c>
      <c r="M142" s="9">
        <f>IF($K142="","",INDEX('سجل التحفيز'!$B$5:$B$2004,MATCH($K142,'سجل التحفيز'!$AC$5:$AC$2004,0)))</f>
        <v/>
      </c>
      <c r="N142" s="9">
        <f>IF($K142="","",INDEX('سجل التحفيز'!$M$5:$M$2004,MATCH($K142,'سجل التحفيز'!$AC$5:$AC$2004,0)))</f>
        <v/>
      </c>
      <c r="O142" s="9">
        <f>IF($K142="","",INDEX('سجل التحفيز'!$C$5:$C$2004,MATCH($K142,'سجل التحفيز'!$AC$5:$AC$2004,0)))</f>
        <v/>
      </c>
      <c r="P142" s="36">
        <f>IF($K142="","",INDEX('سجل التحفيز'!$D$5:$D$2004,MATCH($K142,'سجل التحفيز'!$AC$5:$AC$2004,0)))</f>
        <v/>
      </c>
      <c r="Q142" s="9">
        <f>IF($K142="","",INDEX('سجل التحفيز'!$E$5:$E$2004,MATCH($K142,'سجل التحفيز'!$AC$5:$AC$2004,0)))</f>
        <v/>
      </c>
      <c r="R142" s="9">
        <f>IF($K142="","",INDEX('سجل التحفيز'!$F$5:$F$2004,MATCH($K142,'سجل التحفيز'!$AC$5:$AC$2004,0)))</f>
        <v/>
      </c>
      <c r="S142" s="35">
        <f>IF($K142="","",INDEX('سجل التحفيز'!$G$5:$G$2004,MATCH($K142,'سجل التحفيز'!$AC$5:$AC$2004,0)))</f>
        <v/>
      </c>
    </row>
    <row r="143">
      <c r="B143" s="34">
        <f>IFERROR(INDEX(الموظفات!$B$5:$B$304,MATCH(106,الموظفات!$W$5:$W$304,0)),"")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التحفيز'!$AC$5:$AC$2004,"&gt;0",'سجل التحفيز'!$B$5:$B$2004,B143))</f>
        <v/>
      </c>
      <c r="E143" s="35">
        <f>IF(B143="","",COUNTIFS('سجل التحفيز'!$AC$5:$AC$2004,"&gt;0",'سجل التحفيز'!$B$5:$B$2004,B143,'سجل التحفيز'!$D$5:$D$2004,"ذهبي"))</f>
        <v/>
      </c>
      <c r="F143" s="35">
        <f>IF(B143="","",SUMIFS('سجل التحفيز'!$G$5:$G$2004,'سجل التحفيز'!$AC$5:$AC$2004,"&gt;0",'سجل التحفيز'!$B$5:$B$2004,B143))</f>
        <v/>
      </c>
      <c r="G143" s="35">
        <f>IF(B143="","",COUNTIF($D$38:$D$187,"&gt;"&amp;D143)+1)</f>
        <v/>
      </c>
      <c r="H143" s="35">
        <f>IF(B143="","",INDEX(الموظفات!$L$5:$L$304,MATCH(B143,الموظفات!$B$5:$B$304,0)))</f>
        <v/>
      </c>
      <c r="K143" s="36">
        <f>IF(106&gt;$B$10,"",106)</f>
        <v/>
      </c>
      <c r="L143" s="37">
        <f>IF($K143="","",INDEX('سجل التحفيز'!$A$5:$A$2004,MATCH($K143,'سجل التحفيز'!$AC$5:$AC$2004,0)))</f>
        <v/>
      </c>
      <c r="M143" s="9">
        <f>IF($K143="","",INDEX('سجل التحفيز'!$B$5:$B$2004,MATCH($K143,'سجل التحفيز'!$AC$5:$AC$2004,0)))</f>
        <v/>
      </c>
      <c r="N143" s="9">
        <f>IF($K143="","",INDEX('سجل التحفيز'!$M$5:$M$2004,MATCH($K143,'سجل التحفيز'!$AC$5:$AC$2004,0)))</f>
        <v/>
      </c>
      <c r="O143" s="9">
        <f>IF($K143="","",INDEX('سجل التحفيز'!$C$5:$C$2004,MATCH($K143,'سجل التحفيز'!$AC$5:$AC$2004,0)))</f>
        <v/>
      </c>
      <c r="P143" s="36">
        <f>IF($K143="","",INDEX('سجل التحفيز'!$D$5:$D$2004,MATCH($K143,'سجل التحفيز'!$AC$5:$AC$2004,0)))</f>
        <v/>
      </c>
      <c r="Q143" s="9">
        <f>IF($K143="","",INDEX('سجل التحفيز'!$E$5:$E$2004,MATCH($K143,'سجل التحفيز'!$AC$5:$AC$2004,0)))</f>
        <v/>
      </c>
      <c r="R143" s="9">
        <f>IF($K143="","",INDEX('سجل التحفيز'!$F$5:$F$2004,MATCH($K143,'سجل التحفيز'!$AC$5:$AC$2004,0)))</f>
        <v/>
      </c>
      <c r="S143" s="35">
        <f>IF($K143="","",INDEX('سجل التحفيز'!$G$5:$G$2004,MATCH($K143,'سجل التحفيز'!$AC$5:$AC$2004,0)))</f>
        <v/>
      </c>
    </row>
    <row r="144">
      <c r="B144" s="34">
        <f>IFERROR(INDEX(الموظفات!$B$5:$B$304,MATCH(107,الموظفات!$W$5:$W$304,0)),"")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التحفيز'!$AC$5:$AC$2004,"&gt;0",'سجل التحفيز'!$B$5:$B$2004,B144))</f>
        <v/>
      </c>
      <c r="E144" s="35">
        <f>IF(B144="","",COUNTIFS('سجل التحفيز'!$AC$5:$AC$2004,"&gt;0",'سجل التحفيز'!$B$5:$B$2004,B144,'سجل التحفيز'!$D$5:$D$2004,"ذهبي"))</f>
        <v/>
      </c>
      <c r="F144" s="35">
        <f>IF(B144="","",SUMIFS('سجل التحفيز'!$G$5:$G$2004,'سجل التحفيز'!$AC$5:$AC$2004,"&gt;0",'سجل التحفيز'!$B$5:$B$2004,B144))</f>
        <v/>
      </c>
      <c r="G144" s="35">
        <f>IF(B144="","",COUNTIF($D$38:$D$187,"&gt;"&amp;D144)+1)</f>
        <v/>
      </c>
      <c r="H144" s="35">
        <f>IF(B144="","",INDEX(الموظفات!$L$5:$L$304,MATCH(B144,الموظفات!$B$5:$B$304,0)))</f>
        <v/>
      </c>
      <c r="K144" s="36">
        <f>IF(107&gt;$B$10,"",107)</f>
        <v/>
      </c>
      <c r="L144" s="37">
        <f>IF($K144="","",INDEX('سجل التحفيز'!$A$5:$A$2004,MATCH($K144,'سجل التحفيز'!$AC$5:$AC$2004,0)))</f>
        <v/>
      </c>
      <c r="M144" s="9">
        <f>IF($K144="","",INDEX('سجل التحفيز'!$B$5:$B$2004,MATCH($K144,'سجل التحفيز'!$AC$5:$AC$2004,0)))</f>
        <v/>
      </c>
      <c r="N144" s="9">
        <f>IF($K144="","",INDEX('سجل التحفيز'!$M$5:$M$2004,MATCH($K144,'سجل التحفيز'!$AC$5:$AC$2004,0)))</f>
        <v/>
      </c>
      <c r="O144" s="9">
        <f>IF($K144="","",INDEX('سجل التحفيز'!$C$5:$C$2004,MATCH($K144,'سجل التحفيز'!$AC$5:$AC$2004,0)))</f>
        <v/>
      </c>
      <c r="P144" s="36">
        <f>IF($K144="","",INDEX('سجل التحفيز'!$D$5:$D$2004,MATCH($K144,'سجل التحفيز'!$AC$5:$AC$2004,0)))</f>
        <v/>
      </c>
      <c r="Q144" s="9">
        <f>IF($K144="","",INDEX('سجل التحفيز'!$E$5:$E$2004,MATCH($K144,'سجل التحفيز'!$AC$5:$AC$2004,0)))</f>
        <v/>
      </c>
      <c r="R144" s="9">
        <f>IF($K144="","",INDEX('سجل التحفيز'!$F$5:$F$2004,MATCH($K144,'سجل التحفيز'!$AC$5:$AC$2004,0)))</f>
        <v/>
      </c>
      <c r="S144" s="35">
        <f>IF($K144="","",INDEX('سجل التحفيز'!$G$5:$G$2004,MATCH($K144,'سجل التحفيز'!$AC$5:$AC$2004,0)))</f>
        <v/>
      </c>
    </row>
    <row r="145">
      <c r="B145" s="34">
        <f>IFERROR(INDEX(الموظفات!$B$5:$B$304,MATCH(108,الموظفات!$W$5:$W$304,0)),"")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التحفيز'!$AC$5:$AC$2004,"&gt;0",'سجل التحفيز'!$B$5:$B$2004,B145))</f>
        <v/>
      </c>
      <c r="E145" s="35">
        <f>IF(B145="","",COUNTIFS('سجل التحفيز'!$AC$5:$AC$2004,"&gt;0",'سجل التحفيز'!$B$5:$B$2004,B145,'سجل التحفيز'!$D$5:$D$2004,"ذهبي"))</f>
        <v/>
      </c>
      <c r="F145" s="35">
        <f>IF(B145="","",SUMIFS('سجل التحفيز'!$G$5:$G$2004,'سجل التحفيز'!$AC$5:$AC$2004,"&gt;0",'سجل التحفيز'!$B$5:$B$2004,B145))</f>
        <v/>
      </c>
      <c r="G145" s="35">
        <f>IF(B145="","",COUNTIF($D$38:$D$187,"&gt;"&amp;D145)+1)</f>
        <v/>
      </c>
      <c r="H145" s="35">
        <f>IF(B145="","",INDEX(الموظفات!$L$5:$L$304,MATCH(B145,الموظفات!$B$5:$B$304,0)))</f>
        <v/>
      </c>
      <c r="K145" s="36">
        <f>IF(108&gt;$B$10,"",108)</f>
        <v/>
      </c>
      <c r="L145" s="37">
        <f>IF($K145="","",INDEX('سجل التحفيز'!$A$5:$A$2004,MATCH($K145,'سجل التحفيز'!$AC$5:$AC$2004,0)))</f>
        <v/>
      </c>
      <c r="M145" s="9">
        <f>IF($K145="","",INDEX('سجل التحفيز'!$B$5:$B$2004,MATCH($K145,'سجل التحفيز'!$AC$5:$AC$2004,0)))</f>
        <v/>
      </c>
      <c r="N145" s="9">
        <f>IF($K145="","",INDEX('سجل التحفيز'!$M$5:$M$2004,MATCH($K145,'سجل التحفيز'!$AC$5:$AC$2004,0)))</f>
        <v/>
      </c>
      <c r="O145" s="9">
        <f>IF($K145="","",INDEX('سجل التحفيز'!$C$5:$C$2004,MATCH($K145,'سجل التحفيز'!$AC$5:$AC$2004,0)))</f>
        <v/>
      </c>
      <c r="P145" s="36">
        <f>IF($K145="","",INDEX('سجل التحفيز'!$D$5:$D$2004,MATCH($K145,'سجل التحفيز'!$AC$5:$AC$2004,0)))</f>
        <v/>
      </c>
      <c r="Q145" s="9">
        <f>IF($K145="","",INDEX('سجل التحفيز'!$E$5:$E$2004,MATCH($K145,'سجل التحفيز'!$AC$5:$AC$2004,0)))</f>
        <v/>
      </c>
      <c r="R145" s="9">
        <f>IF($K145="","",INDEX('سجل التحفيز'!$F$5:$F$2004,MATCH($K145,'سجل التحفيز'!$AC$5:$AC$2004,0)))</f>
        <v/>
      </c>
      <c r="S145" s="35">
        <f>IF($K145="","",INDEX('سجل التحفيز'!$G$5:$G$2004,MATCH($K145,'سجل التحفيز'!$AC$5:$AC$2004,0)))</f>
        <v/>
      </c>
    </row>
    <row r="146">
      <c r="B146" s="34">
        <f>IFERROR(INDEX(الموظفات!$B$5:$B$304,MATCH(109,الموظفات!$W$5:$W$304,0)),"")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التحفيز'!$AC$5:$AC$2004,"&gt;0",'سجل التحفيز'!$B$5:$B$2004,B146))</f>
        <v/>
      </c>
      <c r="E146" s="35">
        <f>IF(B146="","",COUNTIFS('سجل التحفيز'!$AC$5:$AC$2004,"&gt;0",'سجل التحفيز'!$B$5:$B$2004,B146,'سجل التحفيز'!$D$5:$D$2004,"ذهبي"))</f>
        <v/>
      </c>
      <c r="F146" s="35">
        <f>IF(B146="","",SUMIFS('سجل التحفيز'!$G$5:$G$2004,'سجل التحفيز'!$AC$5:$AC$2004,"&gt;0",'سجل التحفيز'!$B$5:$B$2004,B146))</f>
        <v/>
      </c>
      <c r="G146" s="35">
        <f>IF(B146="","",COUNTIF($D$38:$D$187,"&gt;"&amp;D146)+1)</f>
        <v/>
      </c>
      <c r="H146" s="35">
        <f>IF(B146="","",INDEX(الموظفات!$L$5:$L$304,MATCH(B146,الموظفات!$B$5:$B$304,0)))</f>
        <v/>
      </c>
      <c r="K146" s="36">
        <f>IF(109&gt;$B$10,"",109)</f>
        <v/>
      </c>
      <c r="L146" s="37">
        <f>IF($K146="","",INDEX('سجل التحفيز'!$A$5:$A$2004,MATCH($K146,'سجل التحفيز'!$AC$5:$AC$2004,0)))</f>
        <v/>
      </c>
      <c r="M146" s="9">
        <f>IF($K146="","",INDEX('سجل التحفيز'!$B$5:$B$2004,MATCH($K146,'سجل التحفيز'!$AC$5:$AC$2004,0)))</f>
        <v/>
      </c>
      <c r="N146" s="9">
        <f>IF($K146="","",INDEX('سجل التحفيز'!$M$5:$M$2004,MATCH($K146,'سجل التحفيز'!$AC$5:$AC$2004,0)))</f>
        <v/>
      </c>
      <c r="O146" s="9">
        <f>IF($K146="","",INDEX('سجل التحفيز'!$C$5:$C$2004,MATCH($K146,'سجل التحفيز'!$AC$5:$AC$2004,0)))</f>
        <v/>
      </c>
      <c r="P146" s="36">
        <f>IF($K146="","",INDEX('سجل التحفيز'!$D$5:$D$2004,MATCH($K146,'سجل التحفيز'!$AC$5:$AC$2004,0)))</f>
        <v/>
      </c>
      <c r="Q146" s="9">
        <f>IF($K146="","",INDEX('سجل التحفيز'!$E$5:$E$2004,MATCH($K146,'سجل التحفيز'!$AC$5:$AC$2004,0)))</f>
        <v/>
      </c>
      <c r="R146" s="9">
        <f>IF($K146="","",INDEX('سجل التحفيز'!$F$5:$F$2004,MATCH($K146,'سجل التحفيز'!$AC$5:$AC$2004,0)))</f>
        <v/>
      </c>
      <c r="S146" s="35">
        <f>IF($K146="","",INDEX('سجل التحفيز'!$G$5:$G$2004,MATCH($K146,'سجل التحفيز'!$AC$5:$AC$2004,0)))</f>
        <v/>
      </c>
    </row>
    <row r="147">
      <c r="B147" s="34">
        <f>IFERROR(INDEX(الموظفات!$B$5:$B$304,MATCH(110,الموظفات!$W$5:$W$304,0)),"")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التحفيز'!$AC$5:$AC$2004,"&gt;0",'سجل التحفيز'!$B$5:$B$2004,B147))</f>
        <v/>
      </c>
      <c r="E147" s="35">
        <f>IF(B147="","",COUNTIFS('سجل التحفيز'!$AC$5:$AC$2004,"&gt;0",'سجل التحفيز'!$B$5:$B$2004,B147,'سجل التحفيز'!$D$5:$D$2004,"ذهبي"))</f>
        <v/>
      </c>
      <c r="F147" s="35">
        <f>IF(B147="","",SUMIFS('سجل التحفيز'!$G$5:$G$2004,'سجل التحفيز'!$AC$5:$AC$2004,"&gt;0",'سجل التحفيز'!$B$5:$B$2004,B147))</f>
        <v/>
      </c>
      <c r="G147" s="35">
        <f>IF(B147="","",COUNTIF($D$38:$D$187,"&gt;"&amp;D147)+1)</f>
        <v/>
      </c>
      <c r="H147" s="35">
        <f>IF(B147="","",INDEX(الموظفات!$L$5:$L$304,MATCH(B147,الموظفات!$B$5:$B$304,0)))</f>
        <v/>
      </c>
      <c r="K147" s="36">
        <f>IF(110&gt;$B$10,"",110)</f>
        <v/>
      </c>
      <c r="L147" s="37">
        <f>IF($K147="","",INDEX('سجل التحفيز'!$A$5:$A$2004,MATCH($K147,'سجل التحفيز'!$AC$5:$AC$2004,0)))</f>
        <v/>
      </c>
      <c r="M147" s="9">
        <f>IF($K147="","",INDEX('سجل التحفيز'!$B$5:$B$2004,MATCH($K147,'سجل التحفيز'!$AC$5:$AC$2004,0)))</f>
        <v/>
      </c>
      <c r="N147" s="9">
        <f>IF($K147="","",INDEX('سجل التحفيز'!$M$5:$M$2004,MATCH($K147,'سجل التحفيز'!$AC$5:$AC$2004,0)))</f>
        <v/>
      </c>
      <c r="O147" s="9">
        <f>IF($K147="","",INDEX('سجل التحفيز'!$C$5:$C$2004,MATCH($K147,'سجل التحفيز'!$AC$5:$AC$2004,0)))</f>
        <v/>
      </c>
      <c r="P147" s="36">
        <f>IF($K147="","",INDEX('سجل التحفيز'!$D$5:$D$2004,MATCH($K147,'سجل التحفيز'!$AC$5:$AC$2004,0)))</f>
        <v/>
      </c>
      <c r="Q147" s="9">
        <f>IF($K147="","",INDEX('سجل التحفيز'!$E$5:$E$2004,MATCH($K147,'سجل التحفيز'!$AC$5:$AC$2004,0)))</f>
        <v/>
      </c>
      <c r="R147" s="9">
        <f>IF($K147="","",INDEX('سجل التحفيز'!$F$5:$F$2004,MATCH($K147,'سجل التحفيز'!$AC$5:$AC$2004,0)))</f>
        <v/>
      </c>
      <c r="S147" s="35">
        <f>IF($K147="","",INDEX('سجل التحفيز'!$G$5:$G$2004,MATCH($K147,'سجل التحفيز'!$AC$5:$AC$2004,0)))</f>
        <v/>
      </c>
    </row>
    <row r="148">
      <c r="B148" s="34">
        <f>IFERROR(INDEX(الموظفات!$B$5:$B$304,MATCH(111,الموظفات!$W$5:$W$304,0)),"")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التحفيز'!$AC$5:$AC$2004,"&gt;0",'سجل التحفيز'!$B$5:$B$2004,B148))</f>
        <v/>
      </c>
      <c r="E148" s="35">
        <f>IF(B148="","",COUNTIFS('سجل التحفيز'!$AC$5:$AC$2004,"&gt;0",'سجل التحفيز'!$B$5:$B$2004,B148,'سجل التحفيز'!$D$5:$D$2004,"ذهبي"))</f>
        <v/>
      </c>
      <c r="F148" s="35">
        <f>IF(B148="","",SUMIFS('سجل التحفيز'!$G$5:$G$2004,'سجل التحفيز'!$AC$5:$AC$2004,"&gt;0",'سجل التحفيز'!$B$5:$B$2004,B148))</f>
        <v/>
      </c>
      <c r="G148" s="35">
        <f>IF(B148="","",COUNTIF($D$38:$D$187,"&gt;"&amp;D148)+1)</f>
        <v/>
      </c>
      <c r="H148" s="35">
        <f>IF(B148="","",INDEX(الموظفات!$L$5:$L$304,MATCH(B148,الموظفات!$B$5:$B$304,0)))</f>
        <v/>
      </c>
      <c r="K148" s="36">
        <f>IF(111&gt;$B$10,"",111)</f>
        <v/>
      </c>
      <c r="L148" s="37">
        <f>IF($K148="","",INDEX('سجل التحفيز'!$A$5:$A$2004,MATCH($K148,'سجل التحفيز'!$AC$5:$AC$2004,0)))</f>
        <v/>
      </c>
      <c r="M148" s="9">
        <f>IF($K148="","",INDEX('سجل التحفيز'!$B$5:$B$2004,MATCH($K148,'سجل التحفيز'!$AC$5:$AC$2004,0)))</f>
        <v/>
      </c>
      <c r="N148" s="9">
        <f>IF($K148="","",INDEX('سجل التحفيز'!$M$5:$M$2004,MATCH($K148,'سجل التحفيز'!$AC$5:$AC$2004,0)))</f>
        <v/>
      </c>
      <c r="O148" s="9">
        <f>IF($K148="","",INDEX('سجل التحفيز'!$C$5:$C$2004,MATCH($K148,'سجل التحفيز'!$AC$5:$AC$2004,0)))</f>
        <v/>
      </c>
      <c r="P148" s="36">
        <f>IF($K148="","",INDEX('سجل التحفيز'!$D$5:$D$2004,MATCH($K148,'سجل التحفيز'!$AC$5:$AC$2004,0)))</f>
        <v/>
      </c>
      <c r="Q148" s="9">
        <f>IF($K148="","",INDEX('سجل التحفيز'!$E$5:$E$2004,MATCH($K148,'سجل التحفيز'!$AC$5:$AC$2004,0)))</f>
        <v/>
      </c>
      <c r="R148" s="9">
        <f>IF($K148="","",INDEX('سجل التحفيز'!$F$5:$F$2004,MATCH($K148,'سجل التحفيز'!$AC$5:$AC$2004,0)))</f>
        <v/>
      </c>
      <c r="S148" s="35">
        <f>IF($K148="","",INDEX('سجل التحفيز'!$G$5:$G$2004,MATCH($K148,'سجل التحفيز'!$AC$5:$AC$2004,0)))</f>
        <v/>
      </c>
    </row>
    <row r="149">
      <c r="B149" s="34">
        <f>IFERROR(INDEX(الموظفات!$B$5:$B$304,MATCH(112,الموظفات!$W$5:$W$304,0)),"")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التحفيز'!$AC$5:$AC$2004,"&gt;0",'سجل التحفيز'!$B$5:$B$2004,B149))</f>
        <v/>
      </c>
      <c r="E149" s="35">
        <f>IF(B149="","",COUNTIFS('سجل التحفيز'!$AC$5:$AC$2004,"&gt;0",'سجل التحفيز'!$B$5:$B$2004,B149,'سجل التحفيز'!$D$5:$D$2004,"ذهبي"))</f>
        <v/>
      </c>
      <c r="F149" s="35">
        <f>IF(B149="","",SUMIFS('سجل التحفيز'!$G$5:$G$2004,'سجل التحفيز'!$AC$5:$AC$2004,"&gt;0",'سجل التحفيز'!$B$5:$B$2004,B149))</f>
        <v/>
      </c>
      <c r="G149" s="35">
        <f>IF(B149="","",COUNTIF($D$38:$D$187,"&gt;"&amp;D149)+1)</f>
        <v/>
      </c>
      <c r="H149" s="35">
        <f>IF(B149="","",INDEX(الموظفات!$L$5:$L$304,MATCH(B149,الموظفات!$B$5:$B$304,0)))</f>
        <v/>
      </c>
      <c r="K149" s="36">
        <f>IF(112&gt;$B$10,"",112)</f>
        <v/>
      </c>
      <c r="L149" s="37">
        <f>IF($K149="","",INDEX('سجل التحفيز'!$A$5:$A$2004,MATCH($K149,'سجل التحفيز'!$AC$5:$AC$2004,0)))</f>
        <v/>
      </c>
      <c r="M149" s="9">
        <f>IF($K149="","",INDEX('سجل التحفيز'!$B$5:$B$2004,MATCH($K149,'سجل التحفيز'!$AC$5:$AC$2004,0)))</f>
        <v/>
      </c>
      <c r="N149" s="9">
        <f>IF($K149="","",INDEX('سجل التحفيز'!$M$5:$M$2004,MATCH($K149,'سجل التحفيز'!$AC$5:$AC$2004,0)))</f>
        <v/>
      </c>
      <c r="O149" s="9">
        <f>IF($K149="","",INDEX('سجل التحفيز'!$C$5:$C$2004,MATCH($K149,'سجل التحفيز'!$AC$5:$AC$2004,0)))</f>
        <v/>
      </c>
      <c r="P149" s="36">
        <f>IF($K149="","",INDEX('سجل التحفيز'!$D$5:$D$2004,MATCH($K149,'سجل التحفيز'!$AC$5:$AC$2004,0)))</f>
        <v/>
      </c>
      <c r="Q149" s="9">
        <f>IF($K149="","",INDEX('سجل التحفيز'!$E$5:$E$2004,MATCH($K149,'سجل التحفيز'!$AC$5:$AC$2004,0)))</f>
        <v/>
      </c>
      <c r="R149" s="9">
        <f>IF($K149="","",INDEX('سجل التحفيز'!$F$5:$F$2004,MATCH($K149,'سجل التحفيز'!$AC$5:$AC$2004,0)))</f>
        <v/>
      </c>
      <c r="S149" s="35">
        <f>IF($K149="","",INDEX('سجل التحفيز'!$G$5:$G$2004,MATCH($K149,'سجل التحفيز'!$AC$5:$AC$2004,0)))</f>
        <v/>
      </c>
    </row>
    <row r="150">
      <c r="B150" s="34">
        <f>IFERROR(INDEX(الموظفات!$B$5:$B$304,MATCH(113,الموظفات!$W$5:$W$304,0)),"")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التحفيز'!$AC$5:$AC$2004,"&gt;0",'سجل التحفيز'!$B$5:$B$2004,B150))</f>
        <v/>
      </c>
      <c r="E150" s="35">
        <f>IF(B150="","",COUNTIFS('سجل التحفيز'!$AC$5:$AC$2004,"&gt;0",'سجل التحفيز'!$B$5:$B$2004,B150,'سجل التحفيز'!$D$5:$D$2004,"ذهبي"))</f>
        <v/>
      </c>
      <c r="F150" s="35">
        <f>IF(B150="","",SUMIFS('سجل التحفيز'!$G$5:$G$2004,'سجل التحفيز'!$AC$5:$AC$2004,"&gt;0",'سجل التحفيز'!$B$5:$B$2004,B150))</f>
        <v/>
      </c>
      <c r="G150" s="35">
        <f>IF(B150="","",COUNTIF($D$38:$D$187,"&gt;"&amp;D150)+1)</f>
        <v/>
      </c>
      <c r="H150" s="35">
        <f>IF(B150="","",INDEX(الموظفات!$L$5:$L$304,MATCH(B150,الموظفات!$B$5:$B$304,0)))</f>
        <v/>
      </c>
      <c r="K150" s="36">
        <f>IF(113&gt;$B$10,"",113)</f>
        <v/>
      </c>
      <c r="L150" s="37">
        <f>IF($K150="","",INDEX('سجل التحفيز'!$A$5:$A$2004,MATCH($K150,'سجل التحفيز'!$AC$5:$AC$2004,0)))</f>
        <v/>
      </c>
      <c r="M150" s="9">
        <f>IF($K150="","",INDEX('سجل التحفيز'!$B$5:$B$2004,MATCH($K150,'سجل التحفيز'!$AC$5:$AC$2004,0)))</f>
        <v/>
      </c>
      <c r="N150" s="9">
        <f>IF($K150="","",INDEX('سجل التحفيز'!$M$5:$M$2004,MATCH($K150,'سجل التحفيز'!$AC$5:$AC$2004,0)))</f>
        <v/>
      </c>
      <c r="O150" s="9">
        <f>IF($K150="","",INDEX('سجل التحفيز'!$C$5:$C$2004,MATCH($K150,'سجل التحفيز'!$AC$5:$AC$2004,0)))</f>
        <v/>
      </c>
      <c r="P150" s="36">
        <f>IF($K150="","",INDEX('سجل التحفيز'!$D$5:$D$2004,MATCH($K150,'سجل التحفيز'!$AC$5:$AC$2004,0)))</f>
        <v/>
      </c>
      <c r="Q150" s="9">
        <f>IF($K150="","",INDEX('سجل التحفيز'!$E$5:$E$2004,MATCH($K150,'سجل التحفيز'!$AC$5:$AC$2004,0)))</f>
        <v/>
      </c>
      <c r="R150" s="9">
        <f>IF($K150="","",INDEX('سجل التحفيز'!$F$5:$F$2004,MATCH($K150,'سجل التحفيز'!$AC$5:$AC$2004,0)))</f>
        <v/>
      </c>
      <c r="S150" s="35">
        <f>IF($K150="","",INDEX('سجل التحفيز'!$G$5:$G$2004,MATCH($K150,'سجل التحفيز'!$AC$5:$AC$2004,0)))</f>
        <v/>
      </c>
    </row>
    <row r="151">
      <c r="B151" s="34">
        <f>IFERROR(INDEX(الموظفات!$B$5:$B$304,MATCH(114,الموظفات!$W$5:$W$304,0)),"")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التحفيز'!$AC$5:$AC$2004,"&gt;0",'سجل التحفيز'!$B$5:$B$2004,B151))</f>
        <v/>
      </c>
      <c r="E151" s="35">
        <f>IF(B151="","",COUNTIFS('سجل التحفيز'!$AC$5:$AC$2004,"&gt;0",'سجل التحفيز'!$B$5:$B$2004,B151,'سجل التحفيز'!$D$5:$D$2004,"ذهبي"))</f>
        <v/>
      </c>
      <c r="F151" s="35">
        <f>IF(B151="","",SUMIFS('سجل التحفيز'!$G$5:$G$2004,'سجل التحفيز'!$AC$5:$AC$2004,"&gt;0",'سجل التحفيز'!$B$5:$B$2004,B151))</f>
        <v/>
      </c>
      <c r="G151" s="35">
        <f>IF(B151="","",COUNTIF($D$38:$D$187,"&gt;"&amp;D151)+1)</f>
        <v/>
      </c>
      <c r="H151" s="35">
        <f>IF(B151="","",INDEX(الموظفات!$L$5:$L$304,MATCH(B151,الموظفات!$B$5:$B$304,0)))</f>
        <v/>
      </c>
      <c r="K151" s="36">
        <f>IF(114&gt;$B$10,"",114)</f>
        <v/>
      </c>
      <c r="L151" s="37">
        <f>IF($K151="","",INDEX('سجل التحفيز'!$A$5:$A$2004,MATCH($K151,'سجل التحفيز'!$AC$5:$AC$2004,0)))</f>
        <v/>
      </c>
      <c r="M151" s="9">
        <f>IF($K151="","",INDEX('سجل التحفيز'!$B$5:$B$2004,MATCH($K151,'سجل التحفيز'!$AC$5:$AC$2004,0)))</f>
        <v/>
      </c>
      <c r="N151" s="9">
        <f>IF($K151="","",INDEX('سجل التحفيز'!$M$5:$M$2004,MATCH($K151,'سجل التحفيز'!$AC$5:$AC$2004,0)))</f>
        <v/>
      </c>
      <c r="O151" s="9">
        <f>IF($K151="","",INDEX('سجل التحفيز'!$C$5:$C$2004,MATCH($K151,'سجل التحفيز'!$AC$5:$AC$2004,0)))</f>
        <v/>
      </c>
      <c r="P151" s="36">
        <f>IF($K151="","",INDEX('سجل التحفيز'!$D$5:$D$2004,MATCH($K151,'سجل التحفيز'!$AC$5:$AC$2004,0)))</f>
        <v/>
      </c>
      <c r="Q151" s="9">
        <f>IF($K151="","",INDEX('سجل التحفيز'!$E$5:$E$2004,MATCH($K151,'سجل التحفيز'!$AC$5:$AC$2004,0)))</f>
        <v/>
      </c>
      <c r="R151" s="9">
        <f>IF($K151="","",INDEX('سجل التحفيز'!$F$5:$F$2004,MATCH($K151,'سجل التحفيز'!$AC$5:$AC$2004,0)))</f>
        <v/>
      </c>
      <c r="S151" s="35">
        <f>IF($K151="","",INDEX('سجل التحفيز'!$G$5:$G$2004,MATCH($K151,'سجل التحفيز'!$AC$5:$AC$2004,0)))</f>
        <v/>
      </c>
    </row>
    <row r="152">
      <c r="B152" s="34">
        <f>IFERROR(INDEX(الموظفات!$B$5:$B$304,MATCH(115,الموظفات!$W$5:$W$304,0)),"")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التحفيز'!$AC$5:$AC$2004,"&gt;0",'سجل التحفيز'!$B$5:$B$2004,B152))</f>
        <v/>
      </c>
      <c r="E152" s="35">
        <f>IF(B152="","",COUNTIFS('سجل التحفيز'!$AC$5:$AC$2004,"&gt;0",'سجل التحفيز'!$B$5:$B$2004,B152,'سجل التحفيز'!$D$5:$D$2004,"ذهبي"))</f>
        <v/>
      </c>
      <c r="F152" s="35">
        <f>IF(B152="","",SUMIFS('سجل التحفيز'!$G$5:$G$2004,'سجل التحفيز'!$AC$5:$AC$2004,"&gt;0",'سجل التحفيز'!$B$5:$B$2004,B152))</f>
        <v/>
      </c>
      <c r="G152" s="35">
        <f>IF(B152="","",COUNTIF($D$38:$D$187,"&gt;"&amp;D152)+1)</f>
        <v/>
      </c>
      <c r="H152" s="35">
        <f>IF(B152="","",INDEX(الموظفات!$L$5:$L$304,MATCH(B152,الموظفات!$B$5:$B$304,0)))</f>
        <v/>
      </c>
      <c r="K152" s="36">
        <f>IF(115&gt;$B$10,"",115)</f>
        <v/>
      </c>
      <c r="L152" s="37">
        <f>IF($K152="","",INDEX('سجل التحفيز'!$A$5:$A$2004,MATCH($K152,'سجل التحفيز'!$AC$5:$AC$2004,0)))</f>
        <v/>
      </c>
      <c r="M152" s="9">
        <f>IF($K152="","",INDEX('سجل التحفيز'!$B$5:$B$2004,MATCH($K152,'سجل التحفيز'!$AC$5:$AC$2004,0)))</f>
        <v/>
      </c>
      <c r="N152" s="9">
        <f>IF($K152="","",INDEX('سجل التحفيز'!$M$5:$M$2004,MATCH($K152,'سجل التحفيز'!$AC$5:$AC$2004,0)))</f>
        <v/>
      </c>
      <c r="O152" s="9">
        <f>IF($K152="","",INDEX('سجل التحفيز'!$C$5:$C$2004,MATCH($K152,'سجل التحفيز'!$AC$5:$AC$2004,0)))</f>
        <v/>
      </c>
      <c r="P152" s="36">
        <f>IF($K152="","",INDEX('سجل التحفيز'!$D$5:$D$2004,MATCH($K152,'سجل التحفيز'!$AC$5:$AC$2004,0)))</f>
        <v/>
      </c>
      <c r="Q152" s="9">
        <f>IF($K152="","",INDEX('سجل التحفيز'!$E$5:$E$2004,MATCH($K152,'سجل التحفيز'!$AC$5:$AC$2004,0)))</f>
        <v/>
      </c>
      <c r="R152" s="9">
        <f>IF($K152="","",INDEX('سجل التحفيز'!$F$5:$F$2004,MATCH($K152,'سجل التحفيز'!$AC$5:$AC$2004,0)))</f>
        <v/>
      </c>
      <c r="S152" s="35">
        <f>IF($K152="","",INDEX('سجل التحفيز'!$G$5:$G$2004,MATCH($K152,'سجل التحفيز'!$AC$5:$AC$2004,0)))</f>
        <v/>
      </c>
    </row>
    <row r="153">
      <c r="B153" s="34">
        <f>IFERROR(INDEX(الموظفات!$B$5:$B$304,MATCH(116,الموظفات!$W$5:$W$304,0)),"")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التحفيز'!$AC$5:$AC$2004,"&gt;0",'سجل التحفيز'!$B$5:$B$2004,B153))</f>
        <v/>
      </c>
      <c r="E153" s="35">
        <f>IF(B153="","",COUNTIFS('سجل التحفيز'!$AC$5:$AC$2004,"&gt;0",'سجل التحفيز'!$B$5:$B$2004,B153,'سجل التحفيز'!$D$5:$D$2004,"ذهبي"))</f>
        <v/>
      </c>
      <c r="F153" s="35">
        <f>IF(B153="","",SUMIFS('سجل التحفيز'!$G$5:$G$2004,'سجل التحفيز'!$AC$5:$AC$2004,"&gt;0",'سجل التحفيز'!$B$5:$B$2004,B153))</f>
        <v/>
      </c>
      <c r="G153" s="35">
        <f>IF(B153="","",COUNTIF($D$38:$D$187,"&gt;"&amp;D153)+1)</f>
        <v/>
      </c>
      <c r="H153" s="35">
        <f>IF(B153="","",INDEX(الموظفات!$L$5:$L$304,MATCH(B153,الموظفات!$B$5:$B$304,0)))</f>
        <v/>
      </c>
      <c r="K153" s="36">
        <f>IF(116&gt;$B$10,"",116)</f>
        <v/>
      </c>
      <c r="L153" s="37">
        <f>IF($K153="","",INDEX('سجل التحفيز'!$A$5:$A$2004,MATCH($K153,'سجل التحفيز'!$AC$5:$AC$2004,0)))</f>
        <v/>
      </c>
      <c r="M153" s="9">
        <f>IF($K153="","",INDEX('سجل التحفيز'!$B$5:$B$2004,MATCH($K153,'سجل التحفيز'!$AC$5:$AC$2004,0)))</f>
        <v/>
      </c>
      <c r="N153" s="9">
        <f>IF($K153="","",INDEX('سجل التحفيز'!$M$5:$M$2004,MATCH($K153,'سجل التحفيز'!$AC$5:$AC$2004,0)))</f>
        <v/>
      </c>
      <c r="O153" s="9">
        <f>IF($K153="","",INDEX('سجل التحفيز'!$C$5:$C$2004,MATCH($K153,'سجل التحفيز'!$AC$5:$AC$2004,0)))</f>
        <v/>
      </c>
      <c r="P153" s="36">
        <f>IF($K153="","",INDEX('سجل التحفيز'!$D$5:$D$2004,MATCH($K153,'سجل التحفيز'!$AC$5:$AC$2004,0)))</f>
        <v/>
      </c>
      <c r="Q153" s="9">
        <f>IF($K153="","",INDEX('سجل التحفيز'!$E$5:$E$2004,MATCH($K153,'سجل التحفيز'!$AC$5:$AC$2004,0)))</f>
        <v/>
      </c>
      <c r="R153" s="9">
        <f>IF($K153="","",INDEX('سجل التحفيز'!$F$5:$F$2004,MATCH($K153,'سجل التحفيز'!$AC$5:$AC$2004,0)))</f>
        <v/>
      </c>
      <c r="S153" s="35">
        <f>IF($K153="","",INDEX('سجل التحفيز'!$G$5:$G$2004,MATCH($K153,'سجل التحفيز'!$AC$5:$AC$2004,0)))</f>
        <v/>
      </c>
    </row>
    <row r="154">
      <c r="B154" s="34">
        <f>IFERROR(INDEX(الموظفات!$B$5:$B$304,MATCH(117,الموظفات!$W$5:$W$304,0)),"")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التحفيز'!$AC$5:$AC$2004,"&gt;0",'سجل التحفيز'!$B$5:$B$2004,B154))</f>
        <v/>
      </c>
      <c r="E154" s="35">
        <f>IF(B154="","",COUNTIFS('سجل التحفيز'!$AC$5:$AC$2004,"&gt;0",'سجل التحفيز'!$B$5:$B$2004,B154,'سجل التحفيز'!$D$5:$D$2004,"ذهبي"))</f>
        <v/>
      </c>
      <c r="F154" s="35">
        <f>IF(B154="","",SUMIFS('سجل التحفيز'!$G$5:$G$2004,'سجل التحفيز'!$AC$5:$AC$2004,"&gt;0",'سجل التحفيز'!$B$5:$B$2004,B154))</f>
        <v/>
      </c>
      <c r="G154" s="35">
        <f>IF(B154="","",COUNTIF($D$38:$D$187,"&gt;"&amp;D154)+1)</f>
        <v/>
      </c>
      <c r="H154" s="35">
        <f>IF(B154="","",INDEX(الموظفات!$L$5:$L$304,MATCH(B154,الموظفات!$B$5:$B$304,0)))</f>
        <v/>
      </c>
      <c r="K154" s="36">
        <f>IF(117&gt;$B$10,"",117)</f>
        <v/>
      </c>
      <c r="L154" s="37">
        <f>IF($K154="","",INDEX('سجل التحفيز'!$A$5:$A$2004,MATCH($K154,'سجل التحفيز'!$AC$5:$AC$2004,0)))</f>
        <v/>
      </c>
      <c r="M154" s="9">
        <f>IF($K154="","",INDEX('سجل التحفيز'!$B$5:$B$2004,MATCH($K154,'سجل التحفيز'!$AC$5:$AC$2004,0)))</f>
        <v/>
      </c>
      <c r="N154" s="9">
        <f>IF($K154="","",INDEX('سجل التحفيز'!$M$5:$M$2004,MATCH($K154,'سجل التحفيز'!$AC$5:$AC$2004,0)))</f>
        <v/>
      </c>
      <c r="O154" s="9">
        <f>IF($K154="","",INDEX('سجل التحفيز'!$C$5:$C$2004,MATCH($K154,'سجل التحفيز'!$AC$5:$AC$2004,0)))</f>
        <v/>
      </c>
      <c r="P154" s="36">
        <f>IF($K154="","",INDEX('سجل التحفيز'!$D$5:$D$2004,MATCH($K154,'سجل التحفيز'!$AC$5:$AC$2004,0)))</f>
        <v/>
      </c>
      <c r="Q154" s="9">
        <f>IF($K154="","",INDEX('سجل التحفيز'!$E$5:$E$2004,MATCH($K154,'سجل التحفيز'!$AC$5:$AC$2004,0)))</f>
        <v/>
      </c>
      <c r="R154" s="9">
        <f>IF($K154="","",INDEX('سجل التحفيز'!$F$5:$F$2004,MATCH($K154,'سجل التحفيز'!$AC$5:$AC$2004,0)))</f>
        <v/>
      </c>
      <c r="S154" s="35">
        <f>IF($K154="","",INDEX('سجل التحفيز'!$G$5:$G$2004,MATCH($K154,'سجل التحفيز'!$AC$5:$AC$2004,0)))</f>
        <v/>
      </c>
    </row>
    <row r="155">
      <c r="B155" s="34">
        <f>IFERROR(INDEX(الموظفات!$B$5:$B$304,MATCH(118,الموظفات!$W$5:$W$304,0)),"")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التحفيز'!$AC$5:$AC$2004,"&gt;0",'سجل التحفيز'!$B$5:$B$2004,B155))</f>
        <v/>
      </c>
      <c r="E155" s="35">
        <f>IF(B155="","",COUNTIFS('سجل التحفيز'!$AC$5:$AC$2004,"&gt;0",'سجل التحفيز'!$B$5:$B$2004,B155,'سجل التحفيز'!$D$5:$D$2004,"ذهبي"))</f>
        <v/>
      </c>
      <c r="F155" s="35">
        <f>IF(B155="","",SUMIFS('سجل التحفيز'!$G$5:$G$2004,'سجل التحفيز'!$AC$5:$AC$2004,"&gt;0",'سجل التحفيز'!$B$5:$B$2004,B155))</f>
        <v/>
      </c>
      <c r="G155" s="35">
        <f>IF(B155="","",COUNTIF($D$38:$D$187,"&gt;"&amp;D155)+1)</f>
        <v/>
      </c>
      <c r="H155" s="35">
        <f>IF(B155="","",INDEX(الموظفات!$L$5:$L$304,MATCH(B155,الموظفات!$B$5:$B$304,0)))</f>
        <v/>
      </c>
      <c r="K155" s="36">
        <f>IF(118&gt;$B$10,"",118)</f>
        <v/>
      </c>
      <c r="L155" s="37">
        <f>IF($K155="","",INDEX('سجل التحفيز'!$A$5:$A$2004,MATCH($K155,'سجل التحفيز'!$AC$5:$AC$2004,0)))</f>
        <v/>
      </c>
      <c r="M155" s="9">
        <f>IF($K155="","",INDEX('سجل التحفيز'!$B$5:$B$2004,MATCH($K155,'سجل التحفيز'!$AC$5:$AC$2004,0)))</f>
        <v/>
      </c>
      <c r="N155" s="9">
        <f>IF($K155="","",INDEX('سجل التحفيز'!$M$5:$M$2004,MATCH($K155,'سجل التحفيز'!$AC$5:$AC$2004,0)))</f>
        <v/>
      </c>
      <c r="O155" s="9">
        <f>IF($K155="","",INDEX('سجل التحفيز'!$C$5:$C$2004,MATCH($K155,'سجل التحفيز'!$AC$5:$AC$2004,0)))</f>
        <v/>
      </c>
      <c r="P155" s="36">
        <f>IF($K155="","",INDEX('سجل التحفيز'!$D$5:$D$2004,MATCH($K155,'سجل التحفيز'!$AC$5:$AC$2004,0)))</f>
        <v/>
      </c>
      <c r="Q155" s="9">
        <f>IF($K155="","",INDEX('سجل التحفيز'!$E$5:$E$2004,MATCH($K155,'سجل التحفيز'!$AC$5:$AC$2004,0)))</f>
        <v/>
      </c>
      <c r="R155" s="9">
        <f>IF($K155="","",INDEX('سجل التحفيز'!$F$5:$F$2004,MATCH($K155,'سجل التحفيز'!$AC$5:$AC$2004,0)))</f>
        <v/>
      </c>
      <c r="S155" s="35">
        <f>IF($K155="","",INDEX('سجل التحفيز'!$G$5:$G$2004,MATCH($K155,'سجل التحفيز'!$AC$5:$AC$2004,0)))</f>
        <v/>
      </c>
    </row>
    <row r="156">
      <c r="B156" s="34">
        <f>IFERROR(INDEX(الموظفات!$B$5:$B$304,MATCH(119,الموظفات!$W$5:$W$304,0)),"")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التحفيز'!$AC$5:$AC$2004,"&gt;0",'سجل التحفيز'!$B$5:$B$2004,B156))</f>
        <v/>
      </c>
      <c r="E156" s="35">
        <f>IF(B156="","",COUNTIFS('سجل التحفيز'!$AC$5:$AC$2004,"&gt;0",'سجل التحفيز'!$B$5:$B$2004,B156,'سجل التحفيز'!$D$5:$D$2004,"ذهبي"))</f>
        <v/>
      </c>
      <c r="F156" s="35">
        <f>IF(B156="","",SUMIFS('سجل التحفيز'!$G$5:$G$2004,'سجل التحفيز'!$AC$5:$AC$2004,"&gt;0",'سجل التحفيز'!$B$5:$B$2004,B156))</f>
        <v/>
      </c>
      <c r="G156" s="35">
        <f>IF(B156="","",COUNTIF($D$38:$D$187,"&gt;"&amp;D156)+1)</f>
        <v/>
      </c>
      <c r="H156" s="35">
        <f>IF(B156="","",INDEX(الموظفات!$L$5:$L$304,MATCH(B156,الموظفات!$B$5:$B$304,0)))</f>
        <v/>
      </c>
      <c r="K156" s="36">
        <f>IF(119&gt;$B$10,"",119)</f>
        <v/>
      </c>
      <c r="L156" s="37">
        <f>IF($K156="","",INDEX('سجل التحفيز'!$A$5:$A$2004,MATCH($K156,'سجل التحفيز'!$AC$5:$AC$2004,0)))</f>
        <v/>
      </c>
      <c r="M156" s="9">
        <f>IF($K156="","",INDEX('سجل التحفيز'!$B$5:$B$2004,MATCH($K156,'سجل التحفيز'!$AC$5:$AC$2004,0)))</f>
        <v/>
      </c>
      <c r="N156" s="9">
        <f>IF($K156="","",INDEX('سجل التحفيز'!$M$5:$M$2004,MATCH($K156,'سجل التحفيز'!$AC$5:$AC$2004,0)))</f>
        <v/>
      </c>
      <c r="O156" s="9">
        <f>IF($K156="","",INDEX('سجل التحفيز'!$C$5:$C$2004,MATCH($K156,'سجل التحفيز'!$AC$5:$AC$2004,0)))</f>
        <v/>
      </c>
      <c r="P156" s="36">
        <f>IF($K156="","",INDEX('سجل التحفيز'!$D$5:$D$2004,MATCH($K156,'سجل التحفيز'!$AC$5:$AC$2004,0)))</f>
        <v/>
      </c>
      <c r="Q156" s="9">
        <f>IF($K156="","",INDEX('سجل التحفيز'!$E$5:$E$2004,MATCH($K156,'سجل التحفيز'!$AC$5:$AC$2004,0)))</f>
        <v/>
      </c>
      <c r="R156" s="9">
        <f>IF($K156="","",INDEX('سجل التحفيز'!$F$5:$F$2004,MATCH($K156,'سجل التحفيز'!$AC$5:$AC$2004,0)))</f>
        <v/>
      </c>
      <c r="S156" s="35">
        <f>IF($K156="","",INDEX('سجل التحفيز'!$G$5:$G$2004,MATCH($K156,'سجل التحفيز'!$AC$5:$AC$2004,0)))</f>
        <v/>
      </c>
    </row>
    <row r="157">
      <c r="B157" s="34">
        <f>IFERROR(INDEX(الموظفات!$B$5:$B$304,MATCH(120,الموظفات!$W$5:$W$304,0)),"")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التحفيز'!$AC$5:$AC$2004,"&gt;0",'سجل التحفيز'!$B$5:$B$2004,B157))</f>
        <v/>
      </c>
      <c r="E157" s="35">
        <f>IF(B157="","",COUNTIFS('سجل التحفيز'!$AC$5:$AC$2004,"&gt;0",'سجل التحفيز'!$B$5:$B$2004,B157,'سجل التحفيز'!$D$5:$D$2004,"ذهبي"))</f>
        <v/>
      </c>
      <c r="F157" s="35">
        <f>IF(B157="","",SUMIFS('سجل التحفيز'!$G$5:$G$2004,'سجل التحفيز'!$AC$5:$AC$2004,"&gt;0",'سجل التحفيز'!$B$5:$B$2004,B157))</f>
        <v/>
      </c>
      <c r="G157" s="35">
        <f>IF(B157="","",COUNTIF($D$38:$D$187,"&gt;"&amp;D157)+1)</f>
        <v/>
      </c>
      <c r="H157" s="35">
        <f>IF(B157="","",INDEX(الموظفات!$L$5:$L$304,MATCH(B157,الموظفات!$B$5:$B$304,0)))</f>
        <v/>
      </c>
      <c r="K157" s="36">
        <f>IF(120&gt;$B$10,"",120)</f>
        <v/>
      </c>
      <c r="L157" s="37">
        <f>IF($K157="","",INDEX('سجل التحفيز'!$A$5:$A$2004,MATCH($K157,'سجل التحفيز'!$AC$5:$AC$2004,0)))</f>
        <v/>
      </c>
      <c r="M157" s="9">
        <f>IF($K157="","",INDEX('سجل التحفيز'!$B$5:$B$2004,MATCH($K157,'سجل التحفيز'!$AC$5:$AC$2004,0)))</f>
        <v/>
      </c>
      <c r="N157" s="9">
        <f>IF($K157="","",INDEX('سجل التحفيز'!$M$5:$M$2004,MATCH($K157,'سجل التحفيز'!$AC$5:$AC$2004,0)))</f>
        <v/>
      </c>
      <c r="O157" s="9">
        <f>IF($K157="","",INDEX('سجل التحفيز'!$C$5:$C$2004,MATCH($K157,'سجل التحفيز'!$AC$5:$AC$2004,0)))</f>
        <v/>
      </c>
      <c r="P157" s="36">
        <f>IF($K157="","",INDEX('سجل التحفيز'!$D$5:$D$2004,MATCH($K157,'سجل التحفيز'!$AC$5:$AC$2004,0)))</f>
        <v/>
      </c>
      <c r="Q157" s="9">
        <f>IF($K157="","",INDEX('سجل التحفيز'!$E$5:$E$2004,MATCH($K157,'سجل التحفيز'!$AC$5:$AC$2004,0)))</f>
        <v/>
      </c>
      <c r="R157" s="9">
        <f>IF($K157="","",INDEX('سجل التحفيز'!$F$5:$F$2004,MATCH($K157,'سجل التحفيز'!$AC$5:$AC$2004,0)))</f>
        <v/>
      </c>
      <c r="S157" s="35">
        <f>IF($K157="","",INDEX('سجل التحفيز'!$G$5:$G$2004,MATCH($K157,'سجل التحفيز'!$AC$5:$AC$2004,0)))</f>
        <v/>
      </c>
    </row>
    <row r="158">
      <c r="B158" s="34">
        <f>IFERROR(INDEX(الموظفات!$B$5:$B$304,MATCH(121,الموظفات!$W$5:$W$304,0)),"")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التحفيز'!$AC$5:$AC$2004,"&gt;0",'سجل التحفيز'!$B$5:$B$2004,B158))</f>
        <v/>
      </c>
      <c r="E158" s="35">
        <f>IF(B158="","",COUNTIFS('سجل التحفيز'!$AC$5:$AC$2004,"&gt;0",'سجل التحفيز'!$B$5:$B$2004,B158,'سجل التحفيز'!$D$5:$D$2004,"ذهبي"))</f>
        <v/>
      </c>
      <c r="F158" s="35">
        <f>IF(B158="","",SUMIFS('سجل التحفيز'!$G$5:$G$2004,'سجل التحفيز'!$AC$5:$AC$2004,"&gt;0",'سجل التحفيز'!$B$5:$B$2004,B158))</f>
        <v/>
      </c>
      <c r="G158" s="35">
        <f>IF(B158="","",COUNTIF($D$38:$D$187,"&gt;"&amp;D158)+1)</f>
        <v/>
      </c>
      <c r="H158" s="35">
        <f>IF(B158="","",INDEX(الموظفات!$L$5:$L$304,MATCH(B158,الموظفات!$B$5:$B$304,0)))</f>
        <v/>
      </c>
      <c r="K158" s="36">
        <f>IF(121&gt;$B$10,"",121)</f>
        <v/>
      </c>
      <c r="L158" s="37">
        <f>IF($K158="","",INDEX('سجل التحفيز'!$A$5:$A$2004,MATCH($K158,'سجل التحفيز'!$AC$5:$AC$2004,0)))</f>
        <v/>
      </c>
      <c r="M158" s="9">
        <f>IF($K158="","",INDEX('سجل التحفيز'!$B$5:$B$2004,MATCH($K158,'سجل التحفيز'!$AC$5:$AC$2004,0)))</f>
        <v/>
      </c>
      <c r="N158" s="9">
        <f>IF($K158="","",INDEX('سجل التحفيز'!$M$5:$M$2004,MATCH($K158,'سجل التحفيز'!$AC$5:$AC$2004,0)))</f>
        <v/>
      </c>
      <c r="O158" s="9">
        <f>IF($K158="","",INDEX('سجل التحفيز'!$C$5:$C$2004,MATCH($K158,'سجل التحفيز'!$AC$5:$AC$2004,0)))</f>
        <v/>
      </c>
      <c r="P158" s="36">
        <f>IF($K158="","",INDEX('سجل التحفيز'!$D$5:$D$2004,MATCH($K158,'سجل التحفيز'!$AC$5:$AC$2004,0)))</f>
        <v/>
      </c>
      <c r="Q158" s="9">
        <f>IF($K158="","",INDEX('سجل التحفيز'!$E$5:$E$2004,MATCH($K158,'سجل التحفيز'!$AC$5:$AC$2004,0)))</f>
        <v/>
      </c>
      <c r="R158" s="9">
        <f>IF($K158="","",INDEX('سجل التحفيز'!$F$5:$F$2004,MATCH($K158,'سجل التحفيز'!$AC$5:$AC$2004,0)))</f>
        <v/>
      </c>
      <c r="S158" s="35">
        <f>IF($K158="","",INDEX('سجل التحفيز'!$G$5:$G$2004,MATCH($K158,'سجل التحفيز'!$AC$5:$AC$2004,0)))</f>
        <v/>
      </c>
    </row>
    <row r="159">
      <c r="B159" s="34">
        <f>IFERROR(INDEX(الموظفات!$B$5:$B$304,MATCH(122,الموظفات!$W$5:$W$304,0)),"")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التحفيز'!$AC$5:$AC$2004,"&gt;0",'سجل التحفيز'!$B$5:$B$2004,B159))</f>
        <v/>
      </c>
      <c r="E159" s="35">
        <f>IF(B159="","",COUNTIFS('سجل التحفيز'!$AC$5:$AC$2004,"&gt;0",'سجل التحفيز'!$B$5:$B$2004,B159,'سجل التحفيز'!$D$5:$D$2004,"ذهبي"))</f>
        <v/>
      </c>
      <c r="F159" s="35">
        <f>IF(B159="","",SUMIFS('سجل التحفيز'!$G$5:$G$2004,'سجل التحفيز'!$AC$5:$AC$2004,"&gt;0",'سجل التحفيز'!$B$5:$B$2004,B159))</f>
        <v/>
      </c>
      <c r="G159" s="35">
        <f>IF(B159="","",COUNTIF($D$38:$D$187,"&gt;"&amp;D159)+1)</f>
        <v/>
      </c>
      <c r="H159" s="35">
        <f>IF(B159="","",INDEX(الموظفات!$L$5:$L$304,MATCH(B159,الموظفات!$B$5:$B$304,0)))</f>
        <v/>
      </c>
      <c r="K159" s="36">
        <f>IF(122&gt;$B$10,"",122)</f>
        <v/>
      </c>
      <c r="L159" s="37">
        <f>IF($K159="","",INDEX('سجل التحفيز'!$A$5:$A$2004,MATCH($K159,'سجل التحفيز'!$AC$5:$AC$2004,0)))</f>
        <v/>
      </c>
      <c r="M159" s="9">
        <f>IF($K159="","",INDEX('سجل التحفيز'!$B$5:$B$2004,MATCH($K159,'سجل التحفيز'!$AC$5:$AC$2004,0)))</f>
        <v/>
      </c>
      <c r="N159" s="9">
        <f>IF($K159="","",INDEX('سجل التحفيز'!$M$5:$M$2004,MATCH($K159,'سجل التحفيز'!$AC$5:$AC$2004,0)))</f>
        <v/>
      </c>
      <c r="O159" s="9">
        <f>IF($K159="","",INDEX('سجل التحفيز'!$C$5:$C$2004,MATCH($K159,'سجل التحفيز'!$AC$5:$AC$2004,0)))</f>
        <v/>
      </c>
      <c r="P159" s="36">
        <f>IF($K159="","",INDEX('سجل التحفيز'!$D$5:$D$2004,MATCH($K159,'سجل التحفيز'!$AC$5:$AC$2004,0)))</f>
        <v/>
      </c>
      <c r="Q159" s="9">
        <f>IF($K159="","",INDEX('سجل التحفيز'!$E$5:$E$2004,MATCH($K159,'سجل التحفيز'!$AC$5:$AC$2004,0)))</f>
        <v/>
      </c>
      <c r="R159" s="9">
        <f>IF($K159="","",INDEX('سجل التحفيز'!$F$5:$F$2004,MATCH($K159,'سجل التحفيز'!$AC$5:$AC$2004,0)))</f>
        <v/>
      </c>
      <c r="S159" s="35">
        <f>IF($K159="","",INDEX('سجل التحفيز'!$G$5:$G$2004,MATCH($K159,'سجل التحفيز'!$AC$5:$AC$2004,0)))</f>
        <v/>
      </c>
    </row>
    <row r="160">
      <c r="B160" s="34">
        <f>IFERROR(INDEX(الموظفات!$B$5:$B$304,MATCH(123,الموظفات!$W$5:$W$304,0)),"")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التحفيز'!$AC$5:$AC$2004,"&gt;0",'سجل التحفيز'!$B$5:$B$2004,B160))</f>
        <v/>
      </c>
      <c r="E160" s="35">
        <f>IF(B160="","",COUNTIFS('سجل التحفيز'!$AC$5:$AC$2004,"&gt;0",'سجل التحفيز'!$B$5:$B$2004,B160,'سجل التحفيز'!$D$5:$D$2004,"ذهبي"))</f>
        <v/>
      </c>
      <c r="F160" s="35">
        <f>IF(B160="","",SUMIFS('سجل التحفيز'!$G$5:$G$2004,'سجل التحفيز'!$AC$5:$AC$2004,"&gt;0",'سجل التحفيز'!$B$5:$B$2004,B160))</f>
        <v/>
      </c>
      <c r="G160" s="35">
        <f>IF(B160="","",COUNTIF($D$38:$D$187,"&gt;"&amp;D160)+1)</f>
        <v/>
      </c>
      <c r="H160" s="35">
        <f>IF(B160="","",INDEX(الموظفات!$L$5:$L$304,MATCH(B160,الموظفات!$B$5:$B$304,0)))</f>
        <v/>
      </c>
      <c r="K160" s="36">
        <f>IF(123&gt;$B$10,"",123)</f>
        <v/>
      </c>
      <c r="L160" s="37">
        <f>IF($K160="","",INDEX('سجل التحفيز'!$A$5:$A$2004,MATCH($K160,'سجل التحفيز'!$AC$5:$AC$2004,0)))</f>
        <v/>
      </c>
      <c r="M160" s="9">
        <f>IF($K160="","",INDEX('سجل التحفيز'!$B$5:$B$2004,MATCH($K160,'سجل التحفيز'!$AC$5:$AC$2004,0)))</f>
        <v/>
      </c>
      <c r="N160" s="9">
        <f>IF($K160="","",INDEX('سجل التحفيز'!$M$5:$M$2004,MATCH($K160,'سجل التحفيز'!$AC$5:$AC$2004,0)))</f>
        <v/>
      </c>
      <c r="O160" s="9">
        <f>IF($K160="","",INDEX('سجل التحفيز'!$C$5:$C$2004,MATCH($K160,'سجل التحفيز'!$AC$5:$AC$2004,0)))</f>
        <v/>
      </c>
      <c r="P160" s="36">
        <f>IF($K160="","",INDEX('سجل التحفيز'!$D$5:$D$2004,MATCH($K160,'سجل التحفيز'!$AC$5:$AC$2004,0)))</f>
        <v/>
      </c>
      <c r="Q160" s="9">
        <f>IF($K160="","",INDEX('سجل التحفيز'!$E$5:$E$2004,MATCH($K160,'سجل التحفيز'!$AC$5:$AC$2004,0)))</f>
        <v/>
      </c>
      <c r="R160" s="9">
        <f>IF($K160="","",INDEX('سجل التحفيز'!$F$5:$F$2004,MATCH($K160,'سجل التحفيز'!$AC$5:$AC$2004,0)))</f>
        <v/>
      </c>
      <c r="S160" s="35">
        <f>IF($K160="","",INDEX('سجل التحفيز'!$G$5:$G$2004,MATCH($K160,'سجل التحفيز'!$AC$5:$AC$2004,0)))</f>
        <v/>
      </c>
    </row>
    <row r="161">
      <c r="B161" s="34">
        <f>IFERROR(INDEX(الموظفات!$B$5:$B$304,MATCH(124,الموظفات!$W$5:$W$304,0)),"")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التحفيز'!$AC$5:$AC$2004,"&gt;0",'سجل التحفيز'!$B$5:$B$2004,B161))</f>
        <v/>
      </c>
      <c r="E161" s="35">
        <f>IF(B161="","",COUNTIFS('سجل التحفيز'!$AC$5:$AC$2004,"&gt;0",'سجل التحفيز'!$B$5:$B$2004,B161,'سجل التحفيز'!$D$5:$D$2004,"ذهبي"))</f>
        <v/>
      </c>
      <c r="F161" s="35">
        <f>IF(B161="","",SUMIFS('سجل التحفيز'!$G$5:$G$2004,'سجل التحفيز'!$AC$5:$AC$2004,"&gt;0",'سجل التحفيز'!$B$5:$B$2004,B161))</f>
        <v/>
      </c>
      <c r="G161" s="35">
        <f>IF(B161="","",COUNTIF($D$38:$D$187,"&gt;"&amp;D161)+1)</f>
        <v/>
      </c>
      <c r="H161" s="35">
        <f>IF(B161="","",INDEX(الموظفات!$L$5:$L$304,MATCH(B161,الموظفات!$B$5:$B$304,0)))</f>
        <v/>
      </c>
      <c r="K161" s="36">
        <f>IF(124&gt;$B$10,"",124)</f>
        <v/>
      </c>
      <c r="L161" s="37">
        <f>IF($K161="","",INDEX('سجل التحفيز'!$A$5:$A$2004,MATCH($K161,'سجل التحفيز'!$AC$5:$AC$2004,0)))</f>
        <v/>
      </c>
      <c r="M161" s="9">
        <f>IF($K161="","",INDEX('سجل التحفيز'!$B$5:$B$2004,MATCH($K161,'سجل التحفيز'!$AC$5:$AC$2004,0)))</f>
        <v/>
      </c>
      <c r="N161" s="9">
        <f>IF($K161="","",INDEX('سجل التحفيز'!$M$5:$M$2004,MATCH($K161,'سجل التحفيز'!$AC$5:$AC$2004,0)))</f>
        <v/>
      </c>
      <c r="O161" s="9">
        <f>IF($K161="","",INDEX('سجل التحفيز'!$C$5:$C$2004,MATCH($K161,'سجل التحفيز'!$AC$5:$AC$2004,0)))</f>
        <v/>
      </c>
      <c r="P161" s="36">
        <f>IF($K161="","",INDEX('سجل التحفيز'!$D$5:$D$2004,MATCH($K161,'سجل التحفيز'!$AC$5:$AC$2004,0)))</f>
        <v/>
      </c>
      <c r="Q161" s="9">
        <f>IF($K161="","",INDEX('سجل التحفيز'!$E$5:$E$2004,MATCH($K161,'سجل التحفيز'!$AC$5:$AC$2004,0)))</f>
        <v/>
      </c>
      <c r="R161" s="9">
        <f>IF($K161="","",INDEX('سجل التحفيز'!$F$5:$F$2004,MATCH($K161,'سجل التحفيز'!$AC$5:$AC$2004,0)))</f>
        <v/>
      </c>
      <c r="S161" s="35">
        <f>IF($K161="","",INDEX('سجل التحفيز'!$G$5:$G$2004,MATCH($K161,'سجل التحفيز'!$AC$5:$AC$2004,0)))</f>
        <v/>
      </c>
    </row>
    <row r="162">
      <c r="B162" s="34">
        <f>IFERROR(INDEX(الموظفات!$B$5:$B$304,MATCH(125,الموظفات!$W$5:$W$304,0)),"")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التحفيز'!$AC$5:$AC$2004,"&gt;0",'سجل التحفيز'!$B$5:$B$2004,B162))</f>
        <v/>
      </c>
      <c r="E162" s="35">
        <f>IF(B162="","",COUNTIFS('سجل التحفيز'!$AC$5:$AC$2004,"&gt;0",'سجل التحفيز'!$B$5:$B$2004,B162,'سجل التحفيز'!$D$5:$D$2004,"ذهبي"))</f>
        <v/>
      </c>
      <c r="F162" s="35">
        <f>IF(B162="","",SUMIFS('سجل التحفيز'!$G$5:$G$2004,'سجل التحفيز'!$AC$5:$AC$2004,"&gt;0",'سجل التحفيز'!$B$5:$B$2004,B162))</f>
        <v/>
      </c>
      <c r="G162" s="35">
        <f>IF(B162="","",COUNTIF($D$38:$D$187,"&gt;"&amp;D162)+1)</f>
        <v/>
      </c>
      <c r="H162" s="35">
        <f>IF(B162="","",INDEX(الموظفات!$L$5:$L$304,MATCH(B162,الموظفات!$B$5:$B$304,0)))</f>
        <v/>
      </c>
      <c r="K162" s="36">
        <f>IF(125&gt;$B$10,"",125)</f>
        <v/>
      </c>
      <c r="L162" s="37">
        <f>IF($K162="","",INDEX('سجل التحفيز'!$A$5:$A$2004,MATCH($K162,'سجل التحفيز'!$AC$5:$AC$2004,0)))</f>
        <v/>
      </c>
      <c r="M162" s="9">
        <f>IF($K162="","",INDEX('سجل التحفيز'!$B$5:$B$2004,MATCH($K162,'سجل التحفيز'!$AC$5:$AC$2004,0)))</f>
        <v/>
      </c>
      <c r="N162" s="9">
        <f>IF($K162="","",INDEX('سجل التحفيز'!$M$5:$M$2004,MATCH($K162,'سجل التحفيز'!$AC$5:$AC$2004,0)))</f>
        <v/>
      </c>
      <c r="O162" s="9">
        <f>IF($K162="","",INDEX('سجل التحفيز'!$C$5:$C$2004,MATCH($K162,'سجل التحفيز'!$AC$5:$AC$2004,0)))</f>
        <v/>
      </c>
      <c r="P162" s="36">
        <f>IF($K162="","",INDEX('سجل التحفيز'!$D$5:$D$2004,MATCH($K162,'سجل التحفيز'!$AC$5:$AC$2004,0)))</f>
        <v/>
      </c>
      <c r="Q162" s="9">
        <f>IF($K162="","",INDEX('سجل التحفيز'!$E$5:$E$2004,MATCH($K162,'سجل التحفيز'!$AC$5:$AC$2004,0)))</f>
        <v/>
      </c>
      <c r="R162" s="9">
        <f>IF($K162="","",INDEX('سجل التحفيز'!$F$5:$F$2004,MATCH($K162,'سجل التحفيز'!$AC$5:$AC$2004,0)))</f>
        <v/>
      </c>
      <c r="S162" s="35">
        <f>IF($K162="","",INDEX('سجل التحفيز'!$G$5:$G$2004,MATCH($K162,'سجل التحفيز'!$AC$5:$AC$2004,0)))</f>
        <v/>
      </c>
    </row>
    <row r="163">
      <c r="B163" s="34">
        <f>IFERROR(INDEX(الموظفات!$B$5:$B$304,MATCH(126,الموظفات!$W$5:$W$304,0)),"")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التحفيز'!$AC$5:$AC$2004,"&gt;0",'سجل التحفيز'!$B$5:$B$2004,B163))</f>
        <v/>
      </c>
      <c r="E163" s="35">
        <f>IF(B163="","",COUNTIFS('سجل التحفيز'!$AC$5:$AC$2004,"&gt;0",'سجل التحفيز'!$B$5:$B$2004,B163,'سجل التحفيز'!$D$5:$D$2004,"ذهبي"))</f>
        <v/>
      </c>
      <c r="F163" s="35">
        <f>IF(B163="","",SUMIFS('سجل التحفيز'!$G$5:$G$2004,'سجل التحفيز'!$AC$5:$AC$2004,"&gt;0",'سجل التحفيز'!$B$5:$B$2004,B163))</f>
        <v/>
      </c>
      <c r="G163" s="35">
        <f>IF(B163="","",COUNTIF($D$38:$D$187,"&gt;"&amp;D163)+1)</f>
        <v/>
      </c>
      <c r="H163" s="35">
        <f>IF(B163="","",INDEX(الموظفات!$L$5:$L$304,MATCH(B163,الموظفات!$B$5:$B$304,0)))</f>
        <v/>
      </c>
      <c r="K163" s="36">
        <f>IF(126&gt;$B$10,"",126)</f>
        <v/>
      </c>
      <c r="L163" s="37">
        <f>IF($K163="","",INDEX('سجل التحفيز'!$A$5:$A$2004,MATCH($K163,'سجل التحفيز'!$AC$5:$AC$2004,0)))</f>
        <v/>
      </c>
      <c r="M163" s="9">
        <f>IF($K163="","",INDEX('سجل التحفيز'!$B$5:$B$2004,MATCH($K163,'سجل التحفيز'!$AC$5:$AC$2004,0)))</f>
        <v/>
      </c>
      <c r="N163" s="9">
        <f>IF($K163="","",INDEX('سجل التحفيز'!$M$5:$M$2004,MATCH($K163,'سجل التحفيز'!$AC$5:$AC$2004,0)))</f>
        <v/>
      </c>
      <c r="O163" s="9">
        <f>IF($K163="","",INDEX('سجل التحفيز'!$C$5:$C$2004,MATCH($K163,'سجل التحفيز'!$AC$5:$AC$2004,0)))</f>
        <v/>
      </c>
      <c r="P163" s="36">
        <f>IF($K163="","",INDEX('سجل التحفيز'!$D$5:$D$2004,MATCH($K163,'سجل التحفيز'!$AC$5:$AC$2004,0)))</f>
        <v/>
      </c>
      <c r="Q163" s="9">
        <f>IF($K163="","",INDEX('سجل التحفيز'!$E$5:$E$2004,MATCH($K163,'سجل التحفيز'!$AC$5:$AC$2004,0)))</f>
        <v/>
      </c>
      <c r="R163" s="9">
        <f>IF($K163="","",INDEX('سجل التحفيز'!$F$5:$F$2004,MATCH($K163,'سجل التحفيز'!$AC$5:$AC$2004,0)))</f>
        <v/>
      </c>
      <c r="S163" s="35">
        <f>IF($K163="","",INDEX('سجل التحفيز'!$G$5:$G$2004,MATCH($K163,'سجل التحفيز'!$AC$5:$AC$2004,0)))</f>
        <v/>
      </c>
    </row>
    <row r="164">
      <c r="B164" s="34">
        <f>IFERROR(INDEX(الموظفات!$B$5:$B$304,MATCH(127,الموظفات!$W$5:$W$304,0)),"")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التحفيز'!$AC$5:$AC$2004,"&gt;0",'سجل التحفيز'!$B$5:$B$2004,B164))</f>
        <v/>
      </c>
      <c r="E164" s="35">
        <f>IF(B164="","",COUNTIFS('سجل التحفيز'!$AC$5:$AC$2004,"&gt;0",'سجل التحفيز'!$B$5:$B$2004,B164,'سجل التحفيز'!$D$5:$D$2004,"ذهبي"))</f>
        <v/>
      </c>
      <c r="F164" s="35">
        <f>IF(B164="","",SUMIFS('سجل التحفيز'!$G$5:$G$2004,'سجل التحفيز'!$AC$5:$AC$2004,"&gt;0",'سجل التحفيز'!$B$5:$B$2004,B164))</f>
        <v/>
      </c>
      <c r="G164" s="35">
        <f>IF(B164="","",COUNTIF($D$38:$D$187,"&gt;"&amp;D164)+1)</f>
        <v/>
      </c>
      <c r="H164" s="35">
        <f>IF(B164="","",INDEX(الموظفات!$L$5:$L$304,MATCH(B164,الموظفات!$B$5:$B$304,0)))</f>
        <v/>
      </c>
      <c r="K164" s="36">
        <f>IF(127&gt;$B$10,"",127)</f>
        <v/>
      </c>
      <c r="L164" s="37">
        <f>IF($K164="","",INDEX('سجل التحفيز'!$A$5:$A$2004,MATCH($K164,'سجل التحفيز'!$AC$5:$AC$2004,0)))</f>
        <v/>
      </c>
      <c r="M164" s="9">
        <f>IF($K164="","",INDEX('سجل التحفيز'!$B$5:$B$2004,MATCH($K164,'سجل التحفيز'!$AC$5:$AC$2004,0)))</f>
        <v/>
      </c>
      <c r="N164" s="9">
        <f>IF($K164="","",INDEX('سجل التحفيز'!$M$5:$M$2004,MATCH($K164,'سجل التحفيز'!$AC$5:$AC$2004,0)))</f>
        <v/>
      </c>
      <c r="O164" s="9">
        <f>IF($K164="","",INDEX('سجل التحفيز'!$C$5:$C$2004,MATCH($K164,'سجل التحفيز'!$AC$5:$AC$2004,0)))</f>
        <v/>
      </c>
      <c r="P164" s="36">
        <f>IF($K164="","",INDEX('سجل التحفيز'!$D$5:$D$2004,MATCH($K164,'سجل التحفيز'!$AC$5:$AC$2004,0)))</f>
        <v/>
      </c>
      <c r="Q164" s="9">
        <f>IF($K164="","",INDEX('سجل التحفيز'!$E$5:$E$2004,MATCH($K164,'سجل التحفيز'!$AC$5:$AC$2004,0)))</f>
        <v/>
      </c>
      <c r="R164" s="9">
        <f>IF($K164="","",INDEX('سجل التحفيز'!$F$5:$F$2004,MATCH($K164,'سجل التحفيز'!$AC$5:$AC$2004,0)))</f>
        <v/>
      </c>
      <c r="S164" s="35">
        <f>IF($K164="","",INDEX('سجل التحفيز'!$G$5:$G$2004,MATCH($K164,'سجل التحفيز'!$AC$5:$AC$2004,0)))</f>
        <v/>
      </c>
    </row>
    <row r="165">
      <c r="B165" s="34">
        <f>IFERROR(INDEX(الموظفات!$B$5:$B$304,MATCH(128,الموظفات!$W$5:$W$304,0)),"")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التحفيز'!$AC$5:$AC$2004,"&gt;0",'سجل التحفيز'!$B$5:$B$2004,B165))</f>
        <v/>
      </c>
      <c r="E165" s="35">
        <f>IF(B165="","",COUNTIFS('سجل التحفيز'!$AC$5:$AC$2004,"&gt;0",'سجل التحفيز'!$B$5:$B$2004,B165,'سجل التحفيز'!$D$5:$D$2004,"ذهبي"))</f>
        <v/>
      </c>
      <c r="F165" s="35">
        <f>IF(B165="","",SUMIFS('سجل التحفيز'!$G$5:$G$2004,'سجل التحفيز'!$AC$5:$AC$2004,"&gt;0",'سجل التحفيز'!$B$5:$B$2004,B165))</f>
        <v/>
      </c>
      <c r="G165" s="35">
        <f>IF(B165="","",COUNTIF($D$38:$D$187,"&gt;"&amp;D165)+1)</f>
        <v/>
      </c>
      <c r="H165" s="35">
        <f>IF(B165="","",INDEX(الموظفات!$L$5:$L$304,MATCH(B165,الموظفات!$B$5:$B$304,0)))</f>
        <v/>
      </c>
      <c r="K165" s="36">
        <f>IF(128&gt;$B$10,"",128)</f>
        <v/>
      </c>
      <c r="L165" s="37">
        <f>IF($K165="","",INDEX('سجل التحفيز'!$A$5:$A$2004,MATCH($K165,'سجل التحفيز'!$AC$5:$AC$2004,0)))</f>
        <v/>
      </c>
      <c r="M165" s="9">
        <f>IF($K165="","",INDEX('سجل التحفيز'!$B$5:$B$2004,MATCH($K165,'سجل التحفيز'!$AC$5:$AC$2004,0)))</f>
        <v/>
      </c>
      <c r="N165" s="9">
        <f>IF($K165="","",INDEX('سجل التحفيز'!$M$5:$M$2004,MATCH($K165,'سجل التحفيز'!$AC$5:$AC$2004,0)))</f>
        <v/>
      </c>
      <c r="O165" s="9">
        <f>IF($K165="","",INDEX('سجل التحفيز'!$C$5:$C$2004,MATCH($K165,'سجل التحفيز'!$AC$5:$AC$2004,0)))</f>
        <v/>
      </c>
      <c r="P165" s="36">
        <f>IF($K165="","",INDEX('سجل التحفيز'!$D$5:$D$2004,MATCH($K165,'سجل التحفيز'!$AC$5:$AC$2004,0)))</f>
        <v/>
      </c>
      <c r="Q165" s="9">
        <f>IF($K165="","",INDEX('سجل التحفيز'!$E$5:$E$2004,MATCH($K165,'سجل التحفيز'!$AC$5:$AC$2004,0)))</f>
        <v/>
      </c>
      <c r="R165" s="9">
        <f>IF($K165="","",INDEX('سجل التحفيز'!$F$5:$F$2004,MATCH($K165,'سجل التحفيز'!$AC$5:$AC$2004,0)))</f>
        <v/>
      </c>
      <c r="S165" s="35">
        <f>IF($K165="","",INDEX('سجل التحفيز'!$G$5:$G$2004,MATCH($K165,'سجل التحفيز'!$AC$5:$AC$2004,0)))</f>
        <v/>
      </c>
    </row>
    <row r="166">
      <c r="B166" s="34">
        <f>IFERROR(INDEX(الموظفات!$B$5:$B$304,MATCH(129,الموظفات!$W$5:$W$304,0)),"")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التحفيز'!$AC$5:$AC$2004,"&gt;0",'سجل التحفيز'!$B$5:$B$2004,B166))</f>
        <v/>
      </c>
      <c r="E166" s="35">
        <f>IF(B166="","",COUNTIFS('سجل التحفيز'!$AC$5:$AC$2004,"&gt;0",'سجل التحفيز'!$B$5:$B$2004,B166,'سجل التحفيز'!$D$5:$D$2004,"ذهبي"))</f>
        <v/>
      </c>
      <c r="F166" s="35">
        <f>IF(B166="","",SUMIFS('سجل التحفيز'!$G$5:$G$2004,'سجل التحفيز'!$AC$5:$AC$2004,"&gt;0",'سجل التحفيز'!$B$5:$B$2004,B166))</f>
        <v/>
      </c>
      <c r="G166" s="35">
        <f>IF(B166="","",COUNTIF($D$38:$D$187,"&gt;"&amp;D166)+1)</f>
        <v/>
      </c>
      <c r="H166" s="35">
        <f>IF(B166="","",INDEX(الموظفات!$L$5:$L$304,MATCH(B166,الموظفات!$B$5:$B$304,0)))</f>
        <v/>
      </c>
      <c r="K166" s="36">
        <f>IF(129&gt;$B$10,"",129)</f>
        <v/>
      </c>
      <c r="L166" s="37">
        <f>IF($K166="","",INDEX('سجل التحفيز'!$A$5:$A$2004,MATCH($K166,'سجل التحفيز'!$AC$5:$AC$2004,0)))</f>
        <v/>
      </c>
      <c r="M166" s="9">
        <f>IF($K166="","",INDEX('سجل التحفيز'!$B$5:$B$2004,MATCH($K166,'سجل التحفيز'!$AC$5:$AC$2004,0)))</f>
        <v/>
      </c>
      <c r="N166" s="9">
        <f>IF($K166="","",INDEX('سجل التحفيز'!$M$5:$M$2004,MATCH($K166,'سجل التحفيز'!$AC$5:$AC$2004,0)))</f>
        <v/>
      </c>
      <c r="O166" s="9">
        <f>IF($K166="","",INDEX('سجل التحفيز'!$C$5:$C$2004,MATCH($K166,'سجل التحفيز'!$AC$5:$AC$2004,0)))</f>
        <v/>
      </c>
      <c r="P166" s="36">
        <f>IF($K166="","",INDEX('سجل التحفيز'!$D$5:$D$2004,MATCH($K166,'سجل التحفيز'!$AC$5:$AC$2004,0)))</f>
        <v/>
      </c>
      <c r="Q166" s="9">
        <f>IF($K166="","",INDEX('سجل التحفيز'!$E$5:$E$2004,MATCH($K166,'سجل التحفيز'!$AC$5:$AC$2004,0)))</f>
        <v/>
      </c>
      <c r="R166" s="9">
        <f>IF($K166="","",INDEX('سجل التحفيز'!$F$5:$F$2004,MATCH($K166,'سجل التحفيز'!$AC$5:$AC$2004,0)))</f>
        <v/>
      </c>
      <c r="S166" s="35">
        <f>IF($K166="","",INDEX('سجل التحفيز'!$G$5:$G$2004,MATCH($K166,'سجل التحفيز'!$AC$5:$AC$2004,0)))</f>
        <v/>
      </c>
    </row>
    <row r="167">
      <c r="B167" s="34">
        <f>IFERROR(INDEX(الموظفات!$B$5:$B$304,MATCH(130,الموظفات!$W$5:$W$304,0)),"")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التحفيز'!$AC$5:$AC$2004,"&gt;0",'سجل التحفيز'!$B$5:$B$2004,B167))</f>
        <v/>
      </c>
      <c r="E167" s="35">
        <f>IF(B167="","",COUNTIFS('سجل التحفيز'!$AC$5:$AC$2004,"&gt;0",'سجل التحفيز'!$B$5:$B$2004,B167,'سجل التحفيز'!$D$5:$D$2004,"ذهبي"))</f>
        <v/>
      </c>
      <c r="F167" s="35">
        <f>IF(B167="","",SUMIFS('سجل التحفيز'!$G$5:$G$2004,'سجل التحفيز'!$AC$5:$AC$2004,"&gt;0",'سجل التحفيز'!$B$5:$B$2004,B167))</f>
        <v/>
      </c>
      <c r="G167" s="35">
        <f>IF(B167="","",COUNTIF($D$38:$D$187,"&gt;"&amp;D167)+1)</f>
        <v/>
      </c>
      <c r="H167" s="35">
        <f>IF(B167="","",INDEX(الموظفات!$L$5:$L$304,MATCH(B167,الموظفات!$B$5:$B$304,0)))</f>
        <v/>
      </c>
      <c r="K167" s="36">
        <f>IF(130&gt;$B$10,"",130)</f>
        <v/>
      </c>
      <c r="L167" s="37">
        <f>IF($K167="","",INDEX('سجل التحفيز'!$A$5:$A$2004,MATCH($K167,'سجل التحفيز'!$AC$5:$AC$2004,0)))</f>
        <v/>
      </c>
      <c r="M167" s="9">
        <f>IF($K167="","",INDEX('سجل التحفيز'!$B$5:$B$2004,MATCH($K167,'سجل التحفيز'!$AC$5:$AC$2004,0)))</f>
        <v/>
      </c>
      <c r="N167" s="9">
        <f>IF($K167="","",INDEX('سجل التحفيز'!$M$5:$M$2004,MATCH($K167,'سجل التحفيز'!$AC$5:$AC$2004,0)))</f>
        <v/>
      </c>
      <c r="O167" s="9">
        <f>IF($K167="","",INDEX('سجل التحفيز'!$C$5:$C$2004,MATCH($K167,'سجل التحفيز'!$AC$5:$AC$2004,0)))</f>
        <v/>
      </c>
      <c r="P167" s="36">
        <f>IF($K167="","",INDEX('سجل التحفيز'!$D$5:$D$2004,MATCH($K167,'سجل التحفيز'!$AC$5:$AC$2004,0)))</f>
        <v/>
      </c>
      <c r="Q167" s="9">
        <f>IF($K167="","",INDEX('سجل التحفيز'!$E$5:$E$2004,MATCH($K167,'سجل التحفيز'!$AC$5:$AC$2004,0)))</f>
        <v/>
      </c>
      <c r="R167" s="9">
        <f>IF($K167="","",INDEX('سجل التحفيز'!$F$5:$F$2004,MATCH($K167,'سجل التحفيز'!$AC$5:$AC$2004,0)))</f>
        <v/>
      </c>
      <c r="S167" s="35">
        <f>IF($K167="","",INDEX('سجل التحفيز'!$G$5:$G$2004,MATCH($K167,'سجل التحفيز'!$AC$5:$AC$2004,0)))</f>
        <v/>
      </c>
    </row>
    <row r="168">
      <c r="B168" s="34">
        <f>IFERROR(INDEX(الموظفات!$B$5:$B$304,MATCH(131,الموظفات!$W$5:$W$304,0)),"")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التحفيز'!$AC$5:$AC$2004,"&gt;0",'سجل التحفيز'!$B$5:$B$2004,B168))</f>
        <v/>
      </c>
      <c r="E168" s="35">
        <f>IF(B168="","",COUNTIFS('سجل التحفيز'!$AC$5:$AC$2004,"&gt;0",'سجل التحفيز'!$B$5:$B$2004,B168,'سجل التحفيز'!$D$5:$D$2004,"ذهبي"))</f>
        <v/>
      </c>
      <c r="F168" s="35">
        <f>IF(B168="","",SUMIFS('سجل التحفيز'!$G$5:$G$2004,'سجل التحفيز'!$AC$5:$AC$2004,"&gt;0",'سجل التحفيز'!$B$5:$B$2004,B168))</f>
        <v/>
      </c>
      <c r="G168" s="35">
        <f>IF(B168="","",COUNTIF($D$38:$D$187,"&gt;"&amp;D168)+1)</f>
        <v/>
      </c>
      <c r="H168" s="35">
        <f>IF(B168="","",INDEX(الموظفات!$L$5:$L$304,MATCH(B168,الموظفات!$B$5:$B$304,0)))</f>
        <v/>
      </c>
      <c r="K168" s="36">
        <f>IF(131&gt;$B$10,"",131)</f>
        <v/>
      </c>
      <c r="L168" s="37">
        <f>IF($K168="","",INDEX('سجل التحفيز'!$A$5:$A$2004,MATCH($K168,'سجل التحفيز'!$AC$5:$AC$2004,0)))</f>
        <v/>
      </c>
      <c r="M168" s="9">
        <f>IF($K168="","",INDEX('سجل التحفيز'!$B$5:$B$2004,MATCH($K168,'سجل التحفيز'!$AC$5:$AC$2004,0)))</f>
        <v/>
      </c>
      <c r="N168" s="9">
        <f>IF($K168="","",INDEX('سجل التحفيز'!$M$5:$M$2004,MATCH($K168,'سجل التحفيز'!$AC$5:$AC$2004,0)))</f>
        <v/>
      </c>
      <c r="O168" s="9">
        <f>IF($K168="","",INDEX('سجل التحفيز'!$C$5:$C$2004,MATCH($K168,'سجل التحفيز'!$AC$5:$AC$2004,0)))</f>
        <v/>
      </c>
      <c r="P168" s="36">
        <f>IF($K168="","",INDEX('سجل التحفيز'!$D$5:$D$2004,MATCH($K168,'سجل التحفيز'!$AC$5:$AC$2004,0)))</f>
        <v/>
      </c>
      <c r="Q168" s="9">
        <f>IF($K168="","",INDEX('سجل التحفيز'!$E$5:$E$2004,MATCH($K168,'سجل التحفيز'!$AC$5:$AC$2004,0)))</f>
        <v/>
      </c>
      <c r="R168" s="9">
        <f>IF($K168="","",INDEX('سجل التحفيز'!$F$5:$F$2004,MATCH($K168,'سجل التحفيز'!$AC$5:$AC$2004,0)))</f>
        <v/>
      </c>
      <c r="S168" s="35">
        <f>IF($K168="","",INDEX('سجل التحفيز'!$G$5:$G$2004,MATCH($K168,'سجل التحفيز'!$AC$5:$AC$2004,0)))</f>
        <v/>
      </c>
    </row>
    <row r="169">
      <c r="B169" s="34">
        <f>IFERROR(INDEX(الموظفات!$B$5:$B$304,MATCH(132,الموظفات!$W$5:$W$304,0)),"")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التحفيز'!$AC$5:$AC$2004,"&gt;0",'سجل التحفيز'!$B$5:$B$2004,B169))</f>
        <v/>
      </c>
      <c r="E169" s="35">
        <f>IF(B169="","",COUNTIFS('سجل التحفيز'!$AC$5:$AC$2004,"&gt;0",'سجل التحفيز'!$B$5:$B$2004,B169,'سجل التحفيز'!$D$5:$D$2004,"ذهبي"))</f>
        <v/>
      </c>
      <c r="F169" s="35">
        <f>IF(B169="","",SUMIFS('سجل التحفيز'!$G$5:$G$2004,'سجل التحفيز'!$AC$5:$AC$2004,"&gt;0",'سجل التحفيز'!$B$5:$B$2004,B169))</f>
        <v/>
      </c>
      <c r="G169" s="35">
        <f>IF(B169="","",COUNTIF($D$38:$D$187,"&gt;"&amp;D169)+1)</f>
        <v/>
      </c>
      <c r="H169" s="35">
        <f>IF(B169="","",INDEX(الموظفات!$L$5:$L$304,MATCH(B169,الموظفات!$B$5:$B$304,0)))</f>
        <v/>
      </c>
      <c r="K169" s="36">
        <f>IF(132&gt;$B$10,"",132)</f>
        <v/>
      </c>
      <c r="L169" s="37">
        <f>IF($K169="","",INDEX('سجل التحفيز'!$A$5:$A$2004,MATCH($K169,'سجل التحفيز'!$AC$5:$AC$2004,0)))</f>
        <v/>
      </c>
      <c r="M169" s="9">
        <f>IF($K169="","",INDEX('سجل التحفيز'!$B$5:$B$2004,MATCH($K169,'سجل التحفيز'!$AC$5:$AC$2004,0)))</f>
        <v/>
      </c>
      <c r="N169" s="9">
        <f>IF($K169="","",INDEX('سجل التحفيز'!$M$5:$M$2004,MATCH($K169,'سجل التحفيز'!$AC$5:$AC$2004,0)))</f>
        <v/>
      </c>
      <c r="O169" s="9">
        <f>IF($K169="","",INDEX('سجل التحفيز'!$C$5:$C$2004,MATCH($K169,'سجل التحفيز'!$AC$5:$AC$2004,0)))</f>
        <v/>
      </c>
      <c r="P169" s="36">
        <f>IF($K169="","",INDEX('سجل التحفيز'!$D$5:$D$2004,MATCH($K169,'سجل التحفيز'!$AC$5:$AC$2004,0)))</f>
        <v/>
      </c>
      <c r="Q169" s="9">
        <f>IF($K169="","",INDEX('سجل التحفيز'!$E$5:$E$2004,MATCH($K169,'سجل التحفيز'!$AC$5:$AC$2004,0)))</f>
        <v/>
      </c>
      <c r="R169" s="9">
        <f>IF($K169="","",INDEX('سجل التحفيز'!$F$5:$F$2004,MATCH($K169,'سجل التحفيز'!$AC$5:$AC$2004,0)))</f>
        <v/>
      </c>
      <c r="S169" s="35">
        <f>IF($K169="","",INDEX('سجل التحفيز'!$G$5:$G$2004,MATCH($K169,'سجل التحفيز'!$AC$5:$AC$2004,0)))</f>
        <v/>
      </c>
    </row>
    <row r="170">
      <c r="B170" s="34">
        <f>IFERROR(INDEX(الموظفات!$B$5:$B$304,MATCH(133,الموظفات!$W$5:$W$304,0)),"")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التحفيز'!$AC$5:$AC$2004,"&gt;0",'سجل التحفيز'!$B$5:$B$2004,B170))</f>
        <v/>
      </c>
      <c r="E170" s="35">
        <f>IF(B170="","",COUNTIFS('سجل التحفيز'!$AC$5:$AC$2004,"&gt;0",'سجل التحفيز'!$B$5:$B$2004,B170,'سجل التحفيز'!$D$5:$D$2004,"ذهبي"))</f>
        <v/>
      </c>
      <c r="F170" s="35">
        <f>IF(B170="","",SUMIFS('سجل التحفيز'!$G$5:$G$2004,'سجل التحفيز'!$AC$5:$AC$2004,"&gt;0",'سجل التحفيز'!$B$5:$B$2004,B170))</f>
        <v/>
      </c>
      <c r="G170" s="35">
        <f>IF(B170="","",COUNTIF($D$38:$D$187,"&gt;"&amp;D170)+1)</f>
        <v/>
      </c>
      <c r="H170" s="35">
        <f>IF(B170="","",INDEX(الموظفات!$L$5:$L$304,MATCH(B170,الموظفات!$B$5:$B$304,0)))</f>
        <v/>
      </c>
      <c r="K170" s="36">
        <f>IF(133&gt;$B$10,"",133)</f>
        <v/>
      </c>
      <c r="L170" s="37">
        <f>IF($K170="","",INDEX('سجل التحفيز'!$A$5:$A$2004,MATCH($K170,'سجل التحفيز'!$AC$5:$AC$2004,0)))</f>
        <v/>
      </c>
      <c r="M170" s="9">
        <f>IF($K170="","",INDEX('سجل التحفيز'!$B$5:$B$2004,MATCH($K170,'سجل التحفيز'!$AC$5:$AC$2004,0)))</f>
        <v/>
      </c>
      <c r="N170" s="9">
        <f>IF($K170="","",INDEX('سجل التحفيز'!$M$5:$M$2004,MATCH($K170,'سجل التحفيز'!$AC$5:$AC$2004,0)))</f>
        <v/>
      </c>
      <c r="O170" s="9">
        <f>IF($K170="","",INDEX('سجل التحفيز'!$C$5:$C$2004,MATCH($K170,'سجل التحفيز'!$AC$5:$AC$2004,0)))</f>
        <v/>
      </c>
      <c r="P170" s="36">
        <f>IF($K170="","",INDEX('سجل التحفيز'!$D$5:$D$2004,MATCH($K170,'سجل التحفيز'!$AC$5:$AC$2004,0)))</f>
        <v/>
      </c>
      <c r="Q170" s="9">
        <f>IF($K170="","",INDEX('سجل التحفيز'!$E$5:$E$2004,MATCH($K170,'سجل التحفيز'!$AC$5:$AC$2004,0)))</f>
        <v/>
      </c>
      <c r="R170" s="9">
        <f>IF($K170="","",INDEX('سجل التحفيز'!$F$5:$F$2004,MATCH($K170,'سجل التحفيز'!$AC$5:$AC$2004,0)))</f>
        <v/>
      </c>
      <c r="S170" s="35">
        <f>IF($K170="","",INDEX('سجل التحفيز'!$G$5:$G$2004,MATCH($K170,'سجل التحفيز'!$AC$5:$AC$2004,0)))</f>
        <v/>
      </c>
    </row>
    <row r="171">
      <c r="B171" s="34">
        <f>IFERROR(INDEX(الموظفات!$B$5:$B$304,MATCH(134,الموظفات!$W$5:$W$304,0)),"")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التحفيز'!$AC$5:$AC$2004,"&gt;0",'سجل التحفيز'!$B$5:$B$2004,B171))</f>
        <v/>
      </c>
      <c r="E171" s="35">
        <f>IF(B171="","",COUNTIFS('سجل التحفيز'!$AC$5:$AC$2004,"&gt;0",'سجل التحفيز'!$B$5:$B$2004,B171,'سجل التحفيز'!$D$5:$D$2004,"ذهبي"))</f>
        <v/>
      </c>
      <c r="F171" s="35">
        <f>IF(B171="","",SUMIFS('سجل التحفيز'!$G$5:$G$2004,'سجل التحفيز'!$AC$5:$AC$2004,"&gt;0",'سجل التحفيز'!$B$5:$B$2004,B171))</f>
        <v/>
      </c>
      <c r="G171" s="35">
        <f>IF(B171="","",COUNTIF($D$38:$D$187,"&gt;"&amp;D171)+1)</f>
        <v/>
      </c>
      <c r="H171" s="35">
        <f>IF(B171="","",INDEX(الموظفات!$L$5:$L$304,MATCH(B171,الموظفات!$B$5:$B$304,0)))</f>
        <v/>
      </c>
      <c r="K171" s="36">
        <f>IF(134&gt;$B$10,"",134)</f>
        <v/>
      </c>
      <c r="L171" s="37">
        <f>IF($K171="","",INDEX('سجل التحفيز'!$A$5:$A$2004,MATCH($K171,'سجل التحفيز'!$AC$5:$AC$2004,0)))</f>
        <v/>
      </c>
      <c r="M171" s="9">
        <f>IF($K171="","",INDEX('سجل التحفيز'!$B$5:$B$2004,MATCH($K171,'سجل التحفيز'!$AC$5:$AC$2004,0)))</f>
        <v/>
      </c>
      <c r="N171" s="9">
        <f>IF($K171="","",INDEX('سجل التحفيز'!$M$5:$M$2004,MATCH($K171,'سجل التحفيز'!$AC$5:$AC$2004,0)))</f>
        <v/>
      </c>
      <c r="O171" s="9">
        <f>IF($K171="","",INDEX('سجل التحفيز'!$C$5:$C$2004,MATCH($K171,'سجل التحفيز'!$AC$5:$AC$2004,0)))</f>
        <v/>
      </c>
      <c r="P171" s="36">
        <f>IF($K171="","",INDEX('سجل التحفيز'!$D$5:$D$2004,MATCH($K171,'سجل التحفيز'!$AC$5:$AC$2004,0)))</f>
        <v/>
      </c>
      <c r="Q171" s="9">
        <f>IF($K171="","",INDEX('سجل التحفيز'!$E$5:$E$2004,MATCH($K171,'سجل التحفيز'!$AC$5:$AC$2004,0)))</f>
        <v/>
      </c>
      <c r="R171" s="9">
        <f>IF($K171="","",INDEX('سجل التحفيز'!$F$5:$F$2004,MATCH($K171,'سجل التحفيز'!$AC$5:$AC$2004,0)))</f>
        <v/>
      </c>
      <c r="S171" s="35">
        <f>IF($K171="","",INDEX('سجل التحفيز'!$G$5:$G$2004,MATCH($K171,'سجل التحفيز'!$AC$5:$AC$2004,0)))</f>
        <v/>
      </c>
    </row>
    <row r="172">
      <c r="B172" s="34">
        <f>IFERROR(INDEX(الموظفات!$B$5:$B$304,MATCH(135,الموظفات!$W$5:$W$304,0)),"")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التحفيز'!$AC$5:$AC$2004,"&gt;0",'سجل التحفيز'!$B$5:$B$2004,B172))</f>
        <v/>
      </c>
      <c r="E172" s="35">
        <f>IF(B172="","",COUNTIFS('سجل التحفيز'!$AC$5:$AC$2004,"&gt;0",'سجل التحفيز'!$B$5:$B$2004,B172,'سجل التحفيز'!$D$5:$D$2004,"ذهبي"))</f>
        <v/>
      </c>
      <c r="F172" s="35">
        <f>IF(B172="","",SUMIFS('سجل التحفيز'!$G$5:$G$2004,'سجل التحفيز'!$AC$5:$AC$2004,"&gt;0",'سجل التحفيز'!$B$5:$B$2004,B172))</f>
        <v/>
      </c>
      <c r="G172" s="35">
        <f>IF(B172="","",COUNTIF($D$38:$D$187,"&gt;"&amp;D172)+1)</f>
        <v/>
      </c>
      <c r="H172" s="35">
        <f>IF(B172="","",INDEX(الموظفات!$L$5:$L$304,MATCH(B172,الموظفات!$B$5:$B$304,0)))</f>
        <v/>
      </c>
      <c r="K172" s="36">
        <f>IF(135&gt;$B$10,"",135)</f>
        <v/>
      </c>
      <c r="L172" s="37">
        <f>IF($K172="","",INDEX('سجل التحفيز'!$A$5:$A$2004,MATCH($K172,'سجل التحفيز'!$AC$5:$AC$2004,0)))</f>
        <v/>
      </c>
      <c r="M172" s="9">
        <f>IF($K172="","",INDEX('سجل التحفيز'!$B$5:$B$2004,MATCH($K172,'سجل التحفيز'!$AC$5:$AC$2004,0)))</f>
        <v/>
      </c>
      <c r="N172" s="9">
        <f>IF($K172="","",INDEX('سجل التحفيز'!$M$5:$M$2004,MATCH($K172,'سجل التحفيز'!$AC$5:$AC$2004,0)))</f>
        <v/>
      </c>
      <c r="O172" s="9">
        <f>IF($K172="","",INDEX('سجل التحفيز'!$C$5:$C$2004,MATCH($K172,'سجل التحفيز'!$AC$5:$AC$2004,0)))</f>
        <v/>
      </c>
      <c r="P172" s="36">
        <f>IF($K172="","",INDEX('سجل التحفيز'!$D$5:$D$2004,MATCH($K172,'سجل التحفيز'!$AC$5:$AC$2004,0)))</f>
        <v/>
      </c>
      <c r="Q172" s="9">
        <f>IF($K172="","",INDEX('سجل التحفيز'!$E$5:$E$2004,MATCH($K172,'سجل التحفيز'!$AC$5:$AC$2004,0)))</f>
        <v/>
      </c>
      <c r="R172" s="9">
        <f>IF($K172="","",INDEX('سجل التحفيز'!$F$5:$F$2004,MATCH($K172,'سجل التحفيز'!$AC$5:$AC$2004,0)))</f>
        <v/>
      </c>
      <c r="S172" s="35">
        <f>IF($K172="","",INDEX('سجل التحفيز'!$G$5:$G$2004,MATCH($K172,'سجل التحفيز'!$AC$5:$AC$2004,0)))</f>
        <v/>
      </c>
    </row>
    <row r="173">
      <c r="B173" s="34">
        <f>IFERROR(INDEX(الموظفات!$B$5:$B$304,MATCH(136,الموظفات!$W$5:$W$304,0)),"")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التحفيز'!$AC$5:$AC$2004,"&gt;0",'سجل التحفيز'!$B$5:$B$2004,B173))</f>
        <v/>
      </c>
      <c r="E173" s="35">
        <f>IF(B173="","",COUNTIFS('سجل التحفيز'!$AC$5:$AC$2004,"&gt;0",'سجل التحفيز'!$B$5:$B$2004,B173,'سجل التحفيز'!$D$5:$D$2004,"ذهبي"))</f>
        <v/>
      </c>
      <c r="F173" s="35">
        <f>IF(B173="","",SUMIFS('سجل التحفيز'!$G$5:$G$2004,'سجل التحفيز'!$AC$5:$AC$2004,"&gt;0",'سجل التحفيز'!$B$5:$B$2004,B173))</f>
        <v/>
      </c>
      <c r="G173" s="35">
        <f>IF(B173="","",COUNTIF($D$38:$D$187,"&gt;"&amp;D173)+1)</f>
        <v/>
      </c>
      <c r="H173" s="35">
        <f>IF(B173="","",INDEX(الموظفات!$L$5:$L$304,MATCH(B173,الموظفات!$B$5:$B$304,0)))</f>
        <v/>
      </c>
      <c r="K173" s="36">
        <f>IF(136&gt;$B$10,"",136)</f>
        <v/>
      </c>
      <c r="L173" s="37">
        <f>IF($K173="","",INDEX('سجل التحفيز'!$A$5:$A$2004,MATCH($K173,'سجل التحفيز'!$AC$5:$AC$2004,0)))</f>
        <v/>
      </c>
      <c r="M173" s="9">
        <f>IF($K173="","",INDEX('سجل التحفيز'!$B$5:$B$2004,MATCH($K173,'سجل التحفيز'!$AC$5:$AC$2004,0)))</f>
        <v/>
      </c>
      <c r="N173" s="9">
        <f>IF($K173="","",INDEX('سجل التحفيز'!$M$5:$M$2004,MATCH($K173,'سجل التحفيز'!$AC$5:$AC$2004,0)))</f>
        <v/>
      </c>
      <c r="O173" s="9">
        <f>IF($K173="","",INDEX('سجل التحفيز'!$C$5:$C$2004,MATCH($K173,'سجل التحفيز'!$AC$5:$AC$2004,0)))</f>
        <v/>
      </c>
      <c r="P173" s="36">
        <f>IF($K173="","",INDEX('سجل التحفيز'!$D$5:$D$2004,MATCH($K173,'سجل التحفيز'!$AC$5:$AC$2004,0)))</f>
        <v/>
      </c>
      <c r="Q173" s="9">
        <f>IF($K173="","",INDEX('سجل التحفيز'!$E$5:$E$2004,MATCH($K173,'سجل التحفيز'!$AC$5:$AC$2004,0)))</f>
        <v/>
      </c>
      <c r="R173" s="9">
        <f>IF($K173="","",INDEX('سجل التحفيز'!$F$5:$F$2004,MATCH($K173,'سجل التحفيز'!$AC$5:$AC$2004,0)))</f>
        <v/>
      </c>
      <c r="S173" s="35">
        <f>IF($K173="","",INDEX('سجل التحفيز'!$G$5:$G$2004,MATCH($K173,'سجل التحفيز'!$AC$5:$AC$2004,0)))</f>
        <v/>
      </c>
    </row>
    <row r="174">
      <c r="B174" s="34">
        <f>IFERROR(INDEX(الموظفات!$B$5:$B$304,MATCH(137,الموظفات!$W$5:$W$304,0)),"")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التحفيز'!$AC$5:$AC$2004,"&gt;0",'سجل التحفيز'!$B$5:$B$2004,B174))</f>
        <v/>
      </c>
      <c r="E174" s="35">
        <f>IF(B174="","",COUNTIFS('سجل التحفيز'!$AC$5:$AC$2004,"&gt;0",'سجل التحفيز'!$B$5:$B$2004,B174,'سجل التحفيز'!$D$5:$D$2004,"ذهبي"))</f>
        <v/>
      </c>
      <c r="F174" s="35">
        <f>IF(B174="","",SUMIFS('سجل التحفيز'!$G$5:$G$2004,'سجل التحفيز'!$AC$5:$AC$2004,"&gt;0",'سجل التحفيز'!$B$5:$B$2004,B174))</f>
        <v/>
      </c>
      <c r="G174" s="35">
        <f>IF(B174="","",COUNTIF($D$38:$D$187,"&gt;"&amp;D174)+1)</f>
        <v/>
      </c>
      <c r="H174" s="35">
        <f>IF(B174="","",INDEX(الموظفات!$L$5:$L$304,MATCH(B174,الموظفات!$B$5:$B$304,0)))</f>
        <v/>
      </c>
      <c r="K174" s="36">
        <f>IF(137&gt;$B$10,"",137)</f>
        <v/>
      </c>
      <c r="L174" s="37">
        <f>IF($K174="","",INDEX('سجل التحفيز'!$A$5:$A$2004,MATCH($K174,'سجل التحفيز'!$AC$5:$AC$2004,0)))</f>
        <v/>
      </c>
      <c r="M174" s="9">
        <f>IF($K174="","",INDEX('سجل التحفيز'!$B$5:$B$2004,MATCH($K174,'سجل التحفيز'!$AC$5:$AC$2004,0)))</f>
        <v/>
      </c>
      <c r="N174" s="9">
        <f>IF($K174="","",INDEX('سجل التحفيز'!$M$5:$M$2004,MATCH($K174,'سجل التحفيز'!$AC$5:$AC$2004,0)))</f>
        <v/>
      </c>
      <c r="O174" s="9">
        <f>IF($K174="","",INDEX('سجل التحفيز'!$C$5:$C$2004,MATCH($K174,'سجل التحفيز'!$AC$5:$AC$2004,0)))</f>
        <v/>
      </c>
      <c r="P174" s="36">
        <f>IF($K174="","",INDEX('سجل التحفيز'!$D$5:$D$2004,MATCH($K174,'سجل التحفيز'!$AC$5:$AC$2004,0)))</f>
        <v/>
      </c>
      <c r="Q174" s="9">
        <f>IF($K174="","",INDEX('سجل التحفيز'!$E$5:$E$2004,MATCH($K174,'سجل التحفيز'!$AC$5:$AC$2004,0)))</f>
        <v/>
      </c>
      <c r="R174" s="9">
        <f>IF($K174="","",INDEX('سجل التحفيز'!$F$5:$F$2004,MATCH($K174,'سجل التحفيز'!$AC$5:$AC$2004,0)))</f>
        <v/>
      </c>
      <c r="S174" s="35">
        <f>IF($K174="","",INDEX('سجل التحفيز'!$G$5:$G$2004,MATCH($K174,'سجل التحفيز'!$AC$5:$AC$2004,0)))</f>
        <v/>
      </c>
    </row>
    <row r="175">
      <c r="B175" s="34">
        <f>IFERROR(INDEX(الموظفات!$B$5:$B$304,MATCH(138,الموظفات!$W$5:$W$304,0)),"")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التحفيز'!$AC$5:$AC$2004,"&gt;0",'سجل التحفيز'!$B$5:$B$2004,B175))</f>
        <v/>
      </c>
      <c r="E175" s="35">
        <f>IF(B175="","",COUNTIFS('سجل التحفيز'!$AC$5:$AC$2004,"&gt;0",'سجل التحفيز'!$B$5:$B$2004,B175,'سجل التحفيز'!$D$5:$D$2004,"ذهبي"))</f>
        <v/>
      </c>
      <c r="F175" s="35">
        <f>IF(B175="","",SUMIFS('سجل التحفيز'!$G$5:$G$2004,'سجل التحفيز'!$AC$5:$AC$2004,"&gt;0",'سجل التحفيز'!$B$5:$B$2004,B175))</f>
        <v/>
      </c>
      <c r="G175" s="35">
        <f>IF(B175="","",COUNTIF($D$38:$D$187,"&gt;"&amp;D175)+1)</f>
        <v/>
      </c>
      <c r="H175" s="35">
        <f>IF(B175="","",INDEX(الموظفات!$L$5:$L$304,MATCH(B175,الموظفات!$B$5:$B$304,0)))</f>
        <v/>
      </c>
      <c r="K175" s="36">
        <f>IF(138&gt;$B$10,"",138)</f>
        <v/>
      </c>
      <c r="L175" s="37">
        <f>IF($K175="","",INDEX('سجل التحفيز'!$A$5:$A$2004,MATCH($K175,'سجل التحفيز'!$AC$5:$AC$2004,0)))</f>
        <v/>
      </c>
      <c r="M175" s="9">
        <f>IF($K175="","",INDEX('سجل التحفيز'!$B$5:$B$2004,MATCH($K175,'سجل التحفيز'!$AC$5:$AC$2004,0)))</f>
        <v/>
      </c>
      <c r="N175" s="9">
        <f>IF($K175="","",INDEX('سجل التحفيز'!$M$5:$M$2004,MATCH($K175,'سجل التحفيز'!$AC$5:$AC$2004,0)))</f>
        <v/>
      </c>
      <c r="O175" s="9">
        <f>IF($K175="","",INDEX('سجل التحفيز'!$C$5:$C$2004,MATCH($K175,'سجل التحفيز'!$AC$5:$AC$2004,0)))</f>
        <v/>
      </c>
      <c r="P175" s="36">
        <f>IF($K175="","",INDEX('سجل التحفيز'!$D$5:$D$2004,MATCH($K175,'سجل التحفيز'!$AC$5:$AC$2004,0)))</f>
        <v/>
      </c>
      <c r="Q175" s="9">
        <f>IF($K175="","",INDEX('سجل التحفيز'!$E$5:$E$2004,MATCH($K175,'سجل التحفيز'!$AC$5:$AC$2004,0)))</f>
        <v/>
      </c>
      <c r="R175" s="9">
        <f>IF($K175="","",INDEX('سجل التحفيز'!$F$5:$F$2004,MATCH($K175,'سجل التحفيز'!$AC$5:$AC$2004,0)))</f>
        <v/>
      </c>
      <c r="S175" s="35">
        <f>IF($K175="","",INDEX('سجل التحفيز'!$G$5:$G$2004,MATCH($K175,'سجل التحفيز'!$AC$5:$AC$2004,0)))</f>
        <v/>
      </c>
    </row>
    <row r="176">
      <c r="B176" s="34">
        <f>IFERROR(INDEX(الموظفات!$B$5:$B$304,MATCH(139,الموظفات!$W$5:$W$304,0)),"")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التحفيز'!$AC$5:$AC$2004,"&gt;0",'سجل التحفيز'!$B$5:$B$2004,B176))</f>
        <v/>
      </c>
      <c r="E176" s="35">
        <f>IF(B176="","",COUNTIFS('سجل التحفيز'!$AC$5:$AC$2004,"&gt;0",'سجل التحفيز'!$B$5:$B$2004,B176,'سجل التحفيز'!$D$5:$D$2004,"ذهبي"))</f>
        <v/>
      </c>
      <c r="F176" s="35">
        <f>IF(B176="","",SUMIFS('سجل التحفيز'!$G$5:$G$2004,'سجل التحفيز'!$AC$5:$AC$2004,"&gt;0",'سجل التحفيز'!$B$5:$B$2004,B176))</f>
        <v/>
      </c>
      <c r="G176" s="35">
        <f>IF(B176="","",COUNTIF($D$38:$D$187,"&gt;"&amp;D176)+1)</f>
        <v/>
      </c>
      <c r="H176" s="35">
        <f>IF(B176="","",INDEX(الموظفات!$L$5:$L$304,MATCH(B176,الموظفات!$B$5:$B$304,0)))</f>
        <v/>
      </c>
      <c r="K176" s="36">
        <f>IF(139&gt;$B$10,"",139)</f>
        <v/>
      </c>
      <c r="L176" s="37">
        <f>IF($K176="","",INDEX('سجل التحفيز'!$A$5:$A$2004,MATCH($K176,'سجل التحفيز'!$AC$5:$AC$2004,0)))</f>
        <v/>
      </c>
      <c r="M176" s="9">
        <f>IF($K176="","",INDEX('سجل التحفيز'!$B$5:$B$2004,MATCH($K176,'سجل التحفيز'!$AC$5:$AC$2004,0)))</f>
        <v/>
      </c>
      <c r="N176" s="9">
        <f>IF($K176="","",INDEX('سجل التحفيز'!$M$5:$M$2004,MATCH($K176,'سجل التحفيز'!$AC$5:$AC$2004,0)))</f>
        <v/>
      </c>
      <c r="O176" s="9">
        <f>IF($K176="","",INDEX('سجل التحفيز'!$C$5:$C$2004,MATCH($K176,'سجل التحفيز'!$AC$5:$AC$2004,0)))</f>
        <v/>
      </c>
      <c r="P176" s="36">
        <f>IF($K176="","",INDEX('سجل التحفيز'!$D$5:$D$2004,MATCH($K176,'سجل التحفيز'!$AC$5:$AC$2004,0)))</f>
        <v/>
      </c>
      <c r="Q176" s="9">
        <f>IF($K176="","",INDEX('سجل التحفيز'!$E$5:$E$2004,MATCH($K176,'سجل التحفيز'!$AC$5:$AC$2004,0)))</f>
        <v/>
      </c>
      <c r="R176" s="9">
        <f>IF($K176="","",INDEX('سجل التحفيز'!$F$5:$F$2004,MATCH($K176,'سجل التحفيز'!$AC$5:$AC$2004,0)))</f>
        <v/>
      </c>
      <c r="S176" s="35">
        <f>IF($K176="","",INDEX('سجل التحفيز'!$G$5:$G$2004,MATCH($K176,'سجل التحفيز'!$AC$5:$AC$2004,0)))</f>
        <v/>
      </c>
    </row>
    <row r="177">
      <c r="B177" s="34">
        <f>IFERROR(INDEX(الموظفات!$B$5:$B$304,MATCH(140,الموظفات!$W$5:$W$304,0)),"")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التحفيز'!$AC$5:$AC$2004,"&gt;0",'سجل التحفيز'!$B$5:$B$2004,B177))</f>
        <v/>
      </c>
      <c r="E177" s="35">
        <f>IF(B177="","",COUNTIFS('سجل التحفيز'!$AC$5:$AC$2004,"&gt;0",'سجل التحفيز'!$B$5:$B$2004,B177,'سجل التحفيز'!$D$5:$D$2004,"ذهبي"))</f>
        <v/>
      </c>
      <c r="F177" s="35">
        <f>IF(B177="","",SUMIFS('سجل التحفيز'!$G$5:$G$2004,'سجل التحفيز'!$AC$5:$AC$2004,"&gt;0",'سجل التحفيز'!$B$5:$B$2004,B177))</f>
        <v/>
      </c>
      <c r="G177" s="35">
        <f>IF(B177="","",COUNTIF($D$38:$D$187,"&gt;"&amp;D177)+1)</f>
        <v/>
      </c>
      <c r="H177" s="35">
        <f>IF(B177="","",INDEX(الموظفات!$L$5:$L$304,MATCH(B177,الموظفات!$B$5:$B$304,0)))</f>
        <v/>
      </c>
      <c r="K177" s="36">
        <f>IF(140&gt;$B$10,"",140)</f>
        <v/>
      </c>
      <c r="L177" s="37">
        <f>IF($K177="","",INDEX('سجل التحفيز'!$A$5:$A$2004,MATCH($K177,'سجل التحفيز'!$AC$5:$AC$2004,0)))</f>
        <v/>
      </c>
      <c r="M177" s="9">
        <f>IF($K177="","",INDEX('سجل التحفيز'!$B$5:$B$2004,MATCH($K177,'سجل التحفيز'!$AC$5:$AC$2004,0)))</f>
        <v/>
      </c>
      <c r="N177" s="9">
        <f>IF($K177="","",INDEX('سجل التحفيز'!$M$5:$M$2004,MATCH($K177,'سجل التحفيز'!$AC$5:$AC$2004,0)))</f>
        <v/>
      </c>
      <c r="O177" s="9">
        <f>IF($K177="","",INDEX('سجل التحفيز'!$C$5:$C$2004,MATCH($K177,'سجل التحفيز'!$AC$5:$AC$2004,0)))</f>
        <v/>
      </c>
      <c r="P177" s="36">
        <f>IF($K177="","",INDEX('سجل التحفيز'!$D$5:$D$2004,MATCH($K177,'سجل التحفيز'!$AC$5:$AC$2004,0)))</f>
        <v/>
      </c>
      <c r="Q177" s="9">
        <f>IF($K177="","",INDEX('سجل التحفيز'!$E$5:$E$2004,MATCH($K177,'سجل التحفيز'!$AC$5:$AC$2004,0)))</f>
        <v/>
      </c>
      <c r="R177" s="9">
        <f>IF($K177="","",INDEX('سجل التحفيز'!$F$5:$F$2004,MATCH($K177,'سجل التحفيز'!$AC$5:$AC$2004,0)))</f>
        <v/>
      </c>
      <c r="S177" s="35">
        <f>IF($K177="","",INDEX('سجل التحفيز'!$G$5:$G$2004,MATCH($K177,'سجل التحفيز'!$AC$5:$AC$2004,0)))</f>
        <v/>
      </c>
    </row>
    <row r="178">
      <c r="B178" s="34">
        <f>IFERROR(INDEX(الموظفات!$B$5:$B$304,MATCH(141,الموظفات!$W$5:$W$304,0)),"")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التحفيز'!$AC$5:$AC$2004,"&gt;0",'سجل التحفيز'!$B$5:$B$2004,B178))</f>
        <v/>
      </c>
      <c r="E178" s="35">
        <f>IF(B178="","",COUNTIFS('سجل التحفيز'!$AC$5:$AC$2004,"&gt;0",'سجل التحفيز'!$B$5:$B$2004,B178,'سجل التحفيز'!$D$5:$D$2004,"ذهبي"))</f>
        <v/>
      </c>
      <c r="F178" s="35">
        <f>IF(B178="","",SUMIFS('سجل التحفيز'!$G$5:$G$2004,'سجل التحفيز'!$AC$5:$AC$2004,"&gt;0",'سجل التحفيز'!$B$5:$B$2004,B178))</f>
        <v/>
      </c>
      <c r="G178" s="35">
        <f>IF(B178="","",COUNTIF($D$38:$D$187,"&gt;"&amp;D178)+1)</f>
        <v/>
      </c>
      <c r="H178" s="35">
        <f>IF(B178="","",INDEX(الموظفات!$L$5:$L$304,MATCH(B178,الموظفات!$B$5:$B$304,0)))</f>
        <v/>
      </c>
      <c r="K178" s="36">
        <f>IF(141&gt;$B$10,"",141)</f>
        <v/>
      </c>
      <c r="L178" s="37">
        <f>IF($K178="","",INDEX('سجل التحفيز'!$A$5:$A$2004,MATCH($K178,'سجل التحفيز'!$AC$5:$AC$2004,0)))</f>
        <v/>
      </c>
      <c r="M178" s="9">
        <f>IF($K178="","",INDEX('سجل التحفيز'!$B$5:$B$2004,MATCH($K178,'سجل التحفيز'!$AC$5:$AC$2004,0)))</f>
        <v/>
      </c>
      <c r="N178" s="9">
        <f>IF($K178="","",INDEX('سجل التحفيز'!$M$5:$M$2004,MATCH($K178,'سجل التحفيز'!$AC$5:$AC$2004,0)))</f>
        <v/>
      </c>
      <c r="O178" s="9">
        <f>IF($K178="","",INDEX('سجل التحفيز'!$C$5:$C$2004,MATCH($K178,'سجل التحفيز'!$AC$5:$AC$2004,0)))</f>
        <v/>
      </c>
      <c r="P178" s="36">
        <f>IF($K178="","",INDEX('سجل التحفيز'!$D$5:$D$2004,MATCH($K178,'سجل التحفيز'!$AC$5:$AC$2004,0)))</f>
        <v/>
      </c>
      <c r="Q178" s="9">
        <f>IF($K178="","",INDEX('سجل التحفيز'!$E$5:$E$2004,MATCH($K178,'سجل التحفيز'!$AC$5:$AC$2004,0)))</f>
        <v/>
      </c>
      <c r="R178" s="9">
        <f>IF($K178="","",INDEX('سجل التحفيز'!$F$5:$F$2004,MATCH($K178,'سجل التحفيز'!$AC$5:$AC$2004,0)))</f>
        <v/>
      </c>
      <c r="S178" s="35">
        <f>IF($K178="","",INDEX('سجل التحفيز'!$G$5:$G$2004,MATCH($K178,'سجل التحفيز'!$AC$5:$AC$2004,0)))</f>
        <v/>
      </c>
    </row>
    <row r="179">
      <c r="B179" s="34">
        <f>IFERROR(INDEX(الموظفات!$B$5:$B$304,MATCH(142,الموظفات!$W$5:$W$304,0)),"")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التحفيز'!$AC$5:$AC$2004,"&gt;0",'سجل التحفيز'!$B$5:$B$2004,B179))</f>
        <v/>
      </c>
      <c r="E179" s="35">
        <f>IF(B179="","",COUNTIFS('سجل التحفيز'!$AC$5:$AC$2004,"&gt;0",'سجل التحفيز'!$B$5:$B$2004,B179,'سجل التحفيز'!$D$5:$D$2004,"ذهبي"))</f>
        <v/>
      </c>
      <c r="F179" s="35">
        <f>IF(B179="","",SUMIFS('سجل التحفيز'!$G$5:$G$2004,'سجل التحفيز'!$AC$5:$AC$2004,"&gt;0",'سجل التحفيز'!$B$5:$B$2004,B179))</f>
        <v/>
      </c>
      <c r="G179" s="35">
        <f>IF(B179="","",COUNTIF($D$38:$D$187,"&gt;"&amp;D179)+1)</f>
        <v/>
      </c>
      <c r="H179" s="35">
        <f>IF(B179="","",INDEX(الموظفات!$L$5:$L$304,MATCH(B179,الموظفات!$B$5:$B$304,0)))</f>
        <v/>
      </c>
      <c r="K179" s="36">
        <f>IF(142&gt;$B$10,"",142)</f>
        <v/>
      </c>
      <c r="L179" s="37">
        <f>IF($K179="","",INDEX('سجل التحفيز'!$A$5:$A$2004,MATCH($K179,'سجل التحفيز'!$AC$5:$AC$2004,0)))</f>
        <v/>
      </c>
      <c r="M179" s="9">
        <f>IF($K179="","",INDEX('سجل التحفيز'!$B$5:$B$2004,MATCH($K179,'سجل التحفيز'!$AC$5:$AC$2004,0)))</f>
        <v/>
      </c>
      <c r="N179" s="9">
        <f>IF($K179="","",INDEX('سجل التحفيز'!$M$5:$M$2004,MATCH($K179,'سجل التحفيز'!$AC$5:$AC$2004,0)))</f>
        <v/>
      </c>
      <c r="O179" s="9">
        <f>IF($K179="","",INDEX('سجل التحفيز'!$C$5:$C$2004,MATCH($K179,'سجل التحفيز'!$AC$5:$AC$2004,0)))</f>
        <v/>
      </c>
      <c r="P179" s="36">
        <f>IF($K179="","",INDEX('سجل التحفيز'!$D$5:$D$2004,MATCH($K179,'سجل التحفيز'!$AC$5:$AC$2004,0)))</f>
        <v/>
      </c>
      <c r="Q179" s="9">
        <f>IF($K179="","",INDEX('سجل التحفيز'!$E$5:$E$2004,MATCH($K179,'سجل التحفيز'!$AC$5:$AC$2004,0)))</f>
        <v/>
      </c>
      <c r="R179" s="9">
        <f>IF($K179="","",INDEX('سجل التحفيز'!$F$5:$F$2004,MATCH($K179,'سجل التحفيز'!$AC$5:$AC$2004,0)))</f>
        <v/>
      </c>
      <c r="S179" s="35">
        <f>IF($K179="","",INDEX('سجل التحفيز'!$G$5:$G$2004,MATCH($K179,'سجل التحفيز'!$AC$5:$AC$2004,0)))</f>
        <v/>
      </c>
    </row>
    <row r="180">
      <c r="B180" s="34">
        <f>IFERROR(INDEX(الموظفات!$B$5:$B$304,MATCH(143,الموظفات!$W$5:$W$304,0)),"")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التحفيز'!$AC$5:$AC$2004,"&gt;0",'سجل التحفيز'!$B$5:$B$2004,B180))</f>
        <v/>
      </c>
      <c r="E180" s="35">
        <f>IF(B180="","",COUNTIFS('سجل التحفيز'!$AC$5:$AC$2004,"&gt;0",'سجل التحفيز'!$B$5:$B$2004,B180,'سجل التحفيز'!$D$5:$D$2004,"ذهبي"))</f>
        <v/>
      </c>
      <c r="F180" s="35">
        <f>IF(B180="","",SUMIFS('سجل التحفيز'!$G$5:$G$2004,'سجل التحفيز'!$AC$5:$AC$2004,"&gt;0",'سجل التحفيز'!$B$5:$B$2004,B180))</f>
        <v/>
      </c>
      <c r="G180" s="35">
        <f>IF(B180="","",COUNTIF($D$38:$D$187,"&gt;"&amp;D180)+1)</f>
        <v/>
      </c>
      <c r="H180" s="35">
        <f>IF(B180="","",INDEX(الموظفات!$L$5:$L$304,MATCH(B180,الموظفات!$B$5:$B$304,0)))</f>
        <v/>
      </c>
      <c r="K180" s="36">
        <f>IF(143&gt;$B$10,"",143)</f>
        <v/>
      </c>
      <c r="L180" s="37">
        <f>IF($K180="","",INDEX('سجل التحفيز'!$A$5:$A$2004,MATCH($K180,'سجل التحفيز'!$AC$5:$AC$2004,0)))</f>
        <v/>
      </c>
      <c r="M180" s="9">
        <f>IF($K180="","",INDEX('سجل التحفيز'!$B$5:$B$2004,MATCH($K180,'سجل التحفيز'!$AC$5:$AC$2004,0)))</f>
        <v/>
      </c>
      <c r="N180" s="9">
        <f>IF($K180="","",INDEX('سجل التحفيز'!$M$5:$M$2004,MATCH($K180,'سجل التحفيز'!$AC$5:$AC$2004,0)))</f>
        <v/>
      </c>
      <c r="O180" s="9">
        <f>IF($K180="","",INDEX('سجل التحفيز'!$C$5:$C$2004,MATCH($K180,'سجل التحفيز'!$AC$5:$AC$2004,0)))</f>
        <v/>
      </c>
      <c r="P180" s="36">
        <f>IF($K180="","",INDEX('سجل التحفيز'!$D$5:$D$2004,MATCH($K180,'سجل التحفيز'!$AC$5:$AC$2004,0)))</f>
        <v/>
      </c>
      <c r="Q180" s="9">
        <f>IF($K180="","",INDEX('سجل التحفيز'!$E$5:$E$2004,MATCH($K180,'سجل التحفيز'!$AC$5:$AC$2004,0)))</f>
        <v/>
      </c>
      <c r="R180" s="9">
        <f>IF($K180="","",INDEX('سجل التحفيز'!$F$5:$F$2004,MATCH($K180,'سجل التحفيز'!$AC$5:$AC$2004,0)))</f>
        <v/>
      </c>
      <c r="S180" s="35">
        <f>IF($K180="","",INDEX('سجل التحفيز'!$G$5:$G$2004,MATCH($K180,'سجل التحفيز'!$AC$5:$AC$2004,0)))</f>
        <v/>
      </c>
    </row>
    <row r="181">
      <c r="B181" s="34">
        <f>IFERROR(INDEX(الموظفات!$B$5:$B$304,MATCH(144,الموظفات!$W$5:$W$304,0)),"")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التحفيز'!$AC$5:$AC$2004,"&gt;0",'سجل التحفيز'!$B$5:$B$2004,B181))</f>
        <v/>
      </c>
      <c r="E181" s="35">
        <f>IF(B181="","",COUNTIFS('سجل التحفيز'!$AC$5:$AC$2004,"&gt;0",'سجل التحفيز'!$B$5:$B$2004,B181,'سجل التحفيز'!$D$5:$D$2004,"ذهبي"))</f>
        <v/>
      </c>
      <c r="F181" s="35">
        <f>IF(B181="","",SUMIFS('سجل التحفيز'!$G$5:$G$2004,'سجل التحفيز'!$AC$5:$AC$2004,"&gt;0",'سجل التحفيز'!$B$5:$B$2004,B181))</f>
        <v/>
      </c>
      <c r="G181" s="35">
        <f>IF(B181="","",COUNTIF($D$38:$D$187,"&gt;"&amp;D181)+1)</f>
        <v/>
      </c>
      <c r="H181" s="35">
        <f>IF(B181="","",INDEX(الموظفات!$L$5:$L$304,MATCH(B181,الموظفات!$B$5:$B$304,0)))</f>
        <v/>
      </c>
      <c r="K181" s="36">
        <f>IF(144&gt;$B$10,"",144)</f>
        <v/>
      </c>
      <c r="L181" s="37">
        <f>IF($K181="","",INDEX('سجل التحفيز'!$A$5:$A$2004,MATCH($K181,'سجل التحفيز'!$AC$5:$AC$2004,0)))</f>
        <v/>
      </c>
      <c r="M181" s="9">
        <f>IF($K181="","",INDEX('سجل التحفيز'!$B$5:$B$2004,MATCH($K181,'سجل التحفيز'!$AC$5:$AC$2004,0)))</f>
        <v/>
      </c>
      <c r="N181" s="9">
        <f>IF($K181="","",INDEX('سجل التحفيز'!$M$5:$M$2004,MATCH($K181,'سجل التحفيز'!$AC$5:$AC$2004,0)))</f>
        <v/>
      </c>
      <c r="O181" s="9">
        <f>IF($K181="","",INDEX('سجل التحفيز'!$C$5:$C$2004,MATCH($K181,'سجل التحفيز'!$AC$5:$AC$2004,0)))</f>
        <v/>
      </c>
      <c r="P181" s="36">
        <f>IF($K181="","",INDEX('سجل التحفيز'!$D$5:$D$2004,MATCH($K181,'سجل التحفيز'!$AC$5:$AC$2004,0)))</f>
        <v/>
      </c>
      <c r="Q181" s="9">
        <f>IF($K181="","",INDEX('سجل التحفيز'!$E$5:$E$2004,MATCH($K181,'سجل التحفيز'!$AC$5:$AC$2004,0)))</f>
        <v/>
      </c>
      <c r="R181" s="9">
        <f>IF($K181="","",INDEX('سجل التحفيز'!$F$5:$F$2004,MATCH($K181,'سجل التحفيز'!$AC$5:$AC$2004,0)))</f>
        <v/>
      </c>
      <c r="S181" s="35">
        <f>IF($K181="","",INDEX('سجل التحفيز'!$G$5:$G$2004,MATCH($K181,'سجل التحفيز'!$AC$5:$AC$2004,0)))</f>
        <v/>
      </c>
    </row>
    <row r="182">
      <c r="B182" s="34">
        <f>IFERROR(INDEX(الموظفات!$B$5:$B$304,MATCH(145,الموظفات!$W$5:$W$304,0)),"")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التحفيز'!$AC$5:$AC$2004,"&gt;0",'سجل التحفيز'!$B$5:$B$2004,B182))</f>
        <v/>
      </c>
      <c r="E182" s="35">
        <f>IF(B182="","",COUNTIFS('سجل التحفيز'!$AC$5:$AC$2004,"&gt;0",'سجل التحفيز'!$B$5:$B$2004,B182,'سجل التحفيز'!$D$5:$D$2004,"ذهبي"))</f>
        <v/>
      </c>
      <c r="F182" s="35">
        <f>IF(B182="","",SUMIFS('سجل التحفيز'!$G$5:$G$2004,'سجل التحفيز'!$AC$5:$AC$2004,"&gt;0",'سجل التحفيز'!$B$5:$B$2004,B182))</f>
        <v/>
      </c>
      <c r="G182" s="35">
        <f>IF(B182="","",COUNTIF($D$38:$D$187,"&gt;"&amp;D182)+1)</f>
        <v/>
      </c>
      <c r="H182" s="35">
        <f>IF(B182="","",INDEX(الموظفات!$L$5:$L$304,MATCH(B182,الموظفات!$B$5:$B$304,0)))</f>
        <v/>
      </c>
      <c r="K182" s="36">
        <f>IF(145&gt;$B$10,"",145)</f>
        <v/>
      </c>
      <c r="L182" s="37">
        <f>IF($K182="","",INDEX('سجل التحفيز'!$A$5:$A$2004,MATCH($K182,'سجل التحفيز'!$AC$5:$AC$2004,0)))</f>
        <v/>
      </c>
      <c r="M182" s="9">
        <f>IF($K182="","",INDEX('سجل التحفيز'!$B$5:$B$2004,MATCH($K182,'سجل التحفيز'!$AC$5:$AC$2004,0)))</f>
        <v/>
      </c>
      <c r="N182" s="9">
        <f>IF($K182="","",INDEX('سجل التحفيز'!$M$5:$M$2004,MATCH($K182,'سجل التحفيز'!$AC$5:$AC$2004,0)))</f>
        <v/>
      </c>
      <c r="O182" s="9">
        <f>IF($K182="","",INDEX('سجل التحفيز'!$C$5:$C$2004,MATCH($K182,'سجل التحفيز'!$AC$5:$AC$2004,0)))</f>
        <v/>
      </c>
      <c r="P182" s="36">
        <f>IF($K182="","",INDEX('سجل التحفيز'!$D$5:$D$2004,MATCH($K182,'سجل التحفيز'!$AC$5:$AC$2004,0)))</f>
        <v/>
      </c>
      <c r="Q182" s="9">
        <f>IF($K182="","",INDEX('سجل التحفيز'!$E$5:$E$2004,MATCH($K182,'سجل التحفيز'!$AC$5:$AC$2004,0)))</f>
        <v/>
      </c>
      <c r="R182" s="9">
        <f>IF($K182="","",INDEX('سجل التحفيز'!$F$5:$F$2004,MATCH($K182,'سجل التحفيز'!$AC$5:$AC$2004,0)))</f>
        <v/>
      </c>
      <c r="S182" s="35">
        <f>IF($K182="","",INDEX('سجل التحفيز'!$G$5:$G$2004,MATCH($K182,'سجل التحفيز'!$AC$5:$AC$2004,0)))</f>
        <v/>
      </c>
    </row>
    <row r="183">
      <c r="B183" s="34">
        <f>IFERROR(INDEX(الموظفات!$B$5:$B$304,MATCH(146,الموظفات!$W$5:$W$304,0)),"")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التحفيز'!$AC$5:$AC$2004,"&gt;0",'سجل التحفيز'!$B$5:$B$2004,B183))</f>
        <v/>
      </c>
      <c r="E183" s="35">
        <f>IF(B183="","",COUNTIFS('سجل التحفيز'!$AC$5:$AC$2004,"&gt;0",'سجل التحفيز'!$B$5:$B$2004,B183,'سجل التحفيز'!$D$5:$D$2004,"ذهبي"))</f>
        <v/>
      </c>
      <c r="F183" s="35">
        <f>IF(B183="","",SUMIFS('سجل التحفيز'!$G$5:$G$2004,'سجل التحفيز'!$AC$5:$AC$2004,"&gt;0",'سجل التحفيز'!$B$5:$B$2004,B183))</f>
        <v/>
      </c>
      <c r="G183" s="35">
        <f>IF(B183="","",COUNTIF($D$38:$D$187,"&gt;"&amp;D183)+1)</f>
        <v/>
      </c>
      <c r="H183" s="35">
        <f>IF(B183="","",INDEX(الموظفات!$L$5:$L$304,MATCH(B183,الموظفات!$B$5:$B$304,0)))</f>
        <v/>
      </c>
      <c r="K183" s="36">
        <f>IF(146&gt;$B$10,"",146)</f>
        <v/>
      </c>
      <c r="L183" s="37">
        <f>IF($K183="","",INDEX('سجل التحفيز'!$A$5:$A$2004,MATCH($K183,'سجل التحفيز'!$AC$5:$AC$2004,0)))</f>
        <v/>
      </c>
      <c r="M183" s="9">
        <f>IF($K183="","",INDEX('سجل التحفيز'!$B$5:$B$2004,MATCH($K183,'سجل التحفيز'!$AC$5:$AC$2004,0)))</f>
        <v/>
      </c>
      <c r="N183" s="9">
        <f>IF($K183="","",INDEX('سجل التحفيز'!$M$5:$M$2004,MATCH($K183,'سجل التحفيز'!$AC$5:$AC$2004,0)))</f>
        <v/>
      </c>
      <c r="O183" s="9">
        <f>IF($K183="","",INDEX('سجل التحفيز'!$C$5:$C$2004,MATCH($K183,'سجل التحفيز'!$AC$5:$AC$2004,0)))</f>
        <v/>
      </c>
      <c r="P183" s="36">
        <f>IF($K183="","",INDEX('سجل التحفيز'!$D$5:$D$2004,MATCH($K183,'سجل التحفيز'!$AC$5:$AC$2004,0)))</f>
        <v/>
      </c>
      <c r="Q183" s="9">
        <f>IF($K183="","",INDEX('سجل التحفيز'!$E$5:$E$2004,MATCH($K183,'سجل التحفيز'!$AC$5:$AC$2004,0)))</f>
        <v/>
      </c>
      <c r="R183" s="9">
        <f>IF($K183="","",INDEX('سجل التحفيز'!$F$5:$F$2004,MATCH($K183,'سجل التحفيز'!$AC$5:$AC$2004,0)))</f>
        <v/>
      </c>
      <c r="S183" s="35">
        <f>IF($K183="","",INDEX('سجل التحفيز'!$G$5:$G$2004,MATCH($K183,'سجل التحفيز'!$AC$5:$AC$2004,0)))</f>
        <v/>
      </c>
    </row>
    <row r="184">
      <c r="B184" s="34">
        <f>IFERROR(INDEX(الموظفات!$B$5:$B$304,MATCH(147,الموظفات!$W$5:$W$304,0)),"")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التحفيز'!$AC$5:$AC$2004,"&gt;0",'سجل التحفيز'!$B$5:$B$2004,B184))</f>
        <v/>
      </c>
      <c r="E184" s="35">
        <f>IF(B184="","",COUNTIFS('سجل التحفيز'!$AC$5:$AC$2004,"&gt;0",'سجل التحفيز'!$B$5:$B$2004,B184,'سجل التحفيز'!$D$5:$D$2004,"ذهبي"))</f>
        <v/>
      </c>
      <c r="F184" s="35">
        <f>IF(B184="","",SUMIFS('سجل التحفيز'!$G$5:$G$2004,'سجل التحفيز'!$AC$5:$AC$2004,"&gt;0",'سجل التحفيز'!$B$5:$B$2004,B184))</f>
        <v/>
      </c>
      <c r="G184" s="35">
        <f>IF(B184="","",COUNTIF($D$38:$D$187,"&gt;"&amp;D184)+1)</f>
        <v/>
      </c>
      <c r="H184" s="35">
        <f>IF(B184="","",INDEX(الموظفات!$L$5:$L$304,MATCH(B184,الموظفات!$B$5:$B$304,0)))</f>
        <v/>
      </c>
      <c r="K184" s="36">
        <f>IF(147&gt;$B$10,"",147)</f>
        <v/>
      </c>
      <c r="L184" s="37">
        <f>IF($K184="","",INDEX('سجل التحفيز'!$A$5:$A$2004,MATCH($K184,'سجل التحفيز'!$AC$5:$AC$2004,0)))</f>
        <v/>
      </c>
      <c r="M184" s="9">
        <f>IF($K184="","",INDEX('سجل التحفيز'!$B$5:$B$2004,MATCH($K184,'سجل التحفيز'!$AC$5:$AC$2004,0)))</f>
        <v/>
      </c>
      <c r="N184" s="9">
        <f>IF($K184="","",INDEX('سجل التحفيز'!$M$5:$M$2004,MATCH($K184,'سجل التحفيز'!$AC$5:$AC$2004,0)))</f>
        <v/>
      </c>
      <c r="O184" s="9">
        <f>IF($K184="","",INDEX('سجل التحفيز'!$C$5:$C$2004,MATCH($K184,'سجل التحفيز'!$AC$5:$AC$2004,0)))</f>
        <v/>
      </c>
      <c r="P184" s="36">
        <f>IF($K184="","",INDEX('سجل التحفيز'!$D$5:$D$2004,MATCH($K184,'سجل التحفيز'!$AC$5:$AC$2004,0)))</f>
        <v/>
      </c>
      <c r="Q184" s="9">
        <f>IF($K184="","",INDEX('سجل التحفيز'!$E$5:$E$2004,MATCH($K184,'سجل التحفيز'!$AC$5:$AC$2004,0)))</f>
        <v/>
      </c>
      <c r="R184" s="9">
        <f>IF($K184="","",INDEX('سجل التحفيز'!$F$5:$F$2004,MATCH($K184,'سجل التحفيز'!$AC$5:$AC$2004,0)))</f>
        <v/>
      </c>
      <c r="S184" s="35">
        <f>IF($K184="","",INDEX('سجل التحفيز'!$G$5:$G$2004,MATCH($K184,'سجل التحفيز'!$AC$5:$AC$2004,0)))</f>
        <v/>
      </c>
    </row>
    <row r="185">
      <c r="B185" s="34">
        <f>IFERROR(INDEX(الموظفات!$B$5:$B$304,MATCH(148,الموظفات!$W$5:$W$304,0)),"")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التحفيز'!$AC$5:$AC$2004,"&gt;0",'سجل التحفيز'!$B$5:$B$2004,B185))</f>
        <v/>
      </c>
      <c r="E185" s="35">
        <f>IF(B185="","",COUNTIFS('سجل التحفيز'!$AC$5:$AC$2004,"&gt;0",'سجل التحفيز'!$B$5:$B$2004,B185,'سجل التحفيز'!$D$5:$D$2004,"ذهبي"))</f>
        <v/>
      </c>
      <c r="F185" s="35">
        <f>IF(B185="","",SUMIFS('سجل التحفيز'!$G$5:$G$2004,'سجل التحفيز'!$AC$5:$AC$2004,"&gt;0",'سجل التحفيز'!$B$5:$B$2004,B185))</f>
        <v/>
      </c>
      <c r="G185" s="35">
        <f>IF(B185="","",COUNTIF($D$38:$D$187,"&gt;"&amp;D185)+1)</f>
        <v/>
      </c>
      <c r="H185" s="35">
        <f>IF(B185="","",INDEX(الموظفات!$L$5:$L$304,MATCH(B185,الموظفات!$B$5:$B$304,0)))</f>
        <v/>
      </c>
      <c r="K185" s="36">
        <f>IF(148&gt;$B$10,"",148)</f>
        <v/>
      </c>
      <c r="L185" s="37">
        <f>IF($K185="","",INDEX('سجل التحفيز'!$A$5:$A$2004,MATCH($K185,'سجل التحفيز'!$AC$5:$AC$2004,0)))</f>
        <v/>
      </c>
      <c r="M185" s="9">
        <f>IF($K185="","",INDEX('سجل التحفيز'!$B$5:$B$2004,MATCH($K185,'سجل التحفيز'!$AC$5:$AC$2004,0)))</f>
        <v/>
      </c>
      <c r="N185" s="9">
        <f>IF($K185="","",INDEX('سجل التحفيز'!$M$5:$M$2004,MATCH($K185,'سجل التحفيز'!$AC$5:$AC$2004,0)))</f>
        <v/>
      </c>
      <c r="O185" s="9">
        <f>IF($K185="","",INDEX('سجل التحفيز'!$C$5:$C$2004,MATCH($K185,'سجل التحفيز'!$AC$5:$AC$2004,0)))</f>
        <v/>
      </c>
      <c r="P185" s="36">
        <f>IF($K185="","",INDEX('سجل التحفيز'!$D$5:$D$2004,MATCH($K185,'سجل التحفيز'!$AC$5:$AC$2004,0)))</f>
        <v/>
      </c>
      <c r="Q185" s="9">
        <f>IF($K185="","",INDEX('سجل التحفيز'!$E$5:$E$2004,MATCH($K185,'سجل التحفيز'!$AC$5:$AC$2004,0)))</f>
        <v/>
      </c>
      <c r="R185" s="9">
        <f>IF($K185="","",INDEX('سجل التحفيز'!$F$5:$F$2004,MATCH($K185,'سجل التحفيز'!$AC$5:$AC$2004,0)))</f>
        <v/>
      </c>
      <c r="S185" s="35">
        <f>IF($K185="","",INDEX('سجل التحفيز'!$G$5:$G$2004,MATCH($K185,'سجل التحفيز'!$AC$5:$AC$2004,0)))</f>
        <v/>
      </c>
    </row>
    <row r="186">
      <c r="B186" s="34">
        <f>IFERROR(INDEX(الموظفات!$B$5:$B$304,MATCH(149,الموظفات!$W$5:$W$304,0)),"")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التحفيز'!$AC$5:$AC$2004,"&gt;0",'سجل التحفيز'!$B$5:$B$2004,B186))</f>
        <v/>
      </c>
      <c r="E186" s="35">
        <f>IF(B186="","",COUNTIFS('سجل التحفيز'!$AC$5:$AC$2004,"&gt;0",'سجل التحفيز'!$B$5:$B$2004,B186,'سجل التحفيز'!$D$5:$D$2004,"ذهبي"))</f>
        <v/>
      </c>
      <c r="F186" s="35">
        <f>IF(B186="","",SUMIFS('سجل التحفيز'!$G$5:$G$2004,'سجل التحفيز'!$AC$5:$AC$2004,"&gt;0",'سجل التحفيز'!$B$5:$B$2004,B186))</f>
        <v/>
      </c>
      <c r="G186" s="35">
        <f>IF(B186="","",COUNTIF($D$38:$D$187,"&gt;"&amp;D186)+1)</f>
        <v/>
      </c>
      <c r="H186" s="35">
        <f>IF(B186="","",INDEX(الموظفات!$L$5:$L$304,MATCH(B186,الموظفات!$B$5:$B$304,0)))</f>
        <v/>
      </c>
      <c r="K186" s="36">
        <f>IF(149&gt;$B$10,"",149)</f>
        <v/>
      </c>
      <c r="L186" s="37">
        <f>IF($K186="","",INDEX('سجل التحفيز'!$A$5:$A$2004,MATCH($K186,'سجل التحفيز'!$AC$5:$AC$2004,0)))</f>
        <v/>
      </c>
      <c r="M186" s="9">
        <f>IF($K186="","",INDEX('سجل التحفيز'!$B$5:$B$2004,MATCH($K186,'سجل التحفيز'!$AC$5:$AC$2004,0)))</f>
        <v/>
      </c>
      <c r="N186" s="9">
        <f>IF($K186="","",INDEX('سجل التحفيز'!$M$5:$M$2004,MATCH($K186,'سجل التحفيز'!$AC$5:$AC$2004,0)))</f>
        <v/>
      </c>
      <c r="O186" s="9">
        <f>IF($K186="","",INDEX('سجل التحفيز'!$C$5:$C$2004,MATCH($K186,'سجل التحفيز'!$AC$5:$AC$2004,0)))</f>
        <v/>
      </c>
      <c r="P186" s="36">
        <f>IF($K186="","",INDEX('سجل التحفيز'!$D$5:$D$2004,MATCH($K186,'سجل التحفيز'!$AC$5:$AC$2004,0)))</f>
        <v/>
      </c>
      <c r="Q186" s="9">
        <f>IF($K186="","",INDEX('سجل التحفيز'!$E$5:$E$2004,MATCH($K186,'سجل التحفيز'!$AC$5:$AC$2004,0)))</f>
        <v/>
      </c>
      <c r="R186" s="9">
        <f>IF($K186="","",INDEX('سجل التحفيز'!$F$5:$F$2004,MATCH($K186,'سجل التحفيز'!$AC$5:$AC$2004,0)))</f>
        <v/>
      </c>
      <c r="S186" s="35">
        <f>IF($K186="","",INDEX('سجل التحفيز'!$G$5:$G$2004,MATCH($K186,'سجل التحفيز'!$AC$5:$AC$2004,0)))</f>
        <v/>
      </c>
    </row>
    <row r="187">
      <c r="B187" s="34">
        <f>IFERROR(INDEX(الموظفات!$B$5:$B$304,MATCH(150,الموظفات!$W$5:$W$304,0)),"")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التحفيز'!$AC$5:$AC$2004,"&gt;0",'سجل التحفيز'!$B$5:$B$2004,B187))</f>
        <v/>
      </c>
      <c r="E187" s="35">
        <f>IF(B187="","",COUNTIFS('سجل التحفيز'!$AC$5:$AC$2004,"&gt;0",'سجل التحفيز'!$B$5:$B$2004,B187,'سجل التحفيز'!$D$5:$D$2004,"ذهبي"))</f>
        <v/>
      </c>
      <c r="F187" s="35">
        <f>IF(B187="","",SUMIFS('سجل التحفيز'!$G$5:$G$2004,'سجل التحفيز'!$AC$5:$AC$2004,"&gt;0",'سجل التحفيز'!$B$5:$B$2004,B187))</f>
        <v/>
      </c>
      <c r="G187" s="35">
        <f>IF(B187="","",COUNTIF($D$38:$D$187,"&gt;"&amp;D187)+1)</f>
        <v/>
      </c>
      <c r="H187" s="35">
        <f>IF(B187="","",INDEX(الموظفات!$L$5:$L$304,MATCH(B187,الموظفات!$B$5:$B$304,0)))</f>
        <v/>
      </c>
      <c r="K187" s="36">
        <f>IF(150&gt;$B$10,"",150)</f>
        <v/>
      </c>
      <c r="L187" s="37">
        <f>IF($K187="","",INDEX('سجل التحفيز'!$A$5:$A$2004,MATCH($K187,'سجل التحفيز'!$AC$5:$AC$2004,0)))</f>
        <v/>
      </c>
      <c r="M187" s="9">
        <f>IF($K187="","",INDEX('سجل التحفيز'!$B$5:$B$2004,MATCH($K187,'سجل التحفيز'!$AC$5:$AC$2004,0)))</f>
        <v/>
      </c>
      <c r="N187" s="9">
        <f>IF($K187="","",INDEX('سجل التحفيز'!$M$5:$M$2004,MATCH($K187,'سجل التحفيز'!$AC$5:$AC$2004,0)))</f>
        <v/>
      </c>
      <c r="O187" s="9">
        <f>IF($K187="","",INDEX('سجل التحفيز'!$C$5:$C$2004,MATCH($K187,'سجل التحفيز'!$AC$5:$AC$2004,0)))</f>
        <v/>
      </c>
      <c r="P187" s="36">
        <f>IF($K187="","",INDEX('سجل التحفيز'!$D$5:$D$2004,MATCH($K187,'سجل التحفيز'!$AC$5:$AC$2004,0)))</f>
        <v/>
      </c>
      <c r="Q187" s="9">
        <f>IF($K187="","",INDEX('سجل التحفيز'!$E$5:$E$2004,MATCH($K187,'سجل التحفيز'!$AC$5:$AC$2004,0)))</f>
        <v/>
      </c>
      <c r="R187" s="9">
        <f>IF($K187="","",INDEX('سجل التحفيز'!$F$5:$F$2004,MATCH($K187,'سجل التحفيز'!$AC$5:$AC$2004,0)))</f>
        <v/>
      </c>
      <c r="S187" s="35">
        <f>IF($K187="","",INDEX('سجل التحفيز'!$G$5:$G$2004,MATCH($K187,'سجل التحفيز'!$AC$5:$AC$2004,0)))</f>
        <v/>
      </c>
    </row>
    <row r="188">
      <c r="K188" s="36">
        <f>IF(151&gt;$B$10,"",151)</f>
        <v/>
      </c>
      <c r="L188" s="37">
        <f>IF($K188="","",INDEX('سجل التحفيز'!$A$5:$A$2004,MATCH($K188,'سجل التحفيز'!$AC$5:$AC$2004,0)))</f>
        <v/>
      </c>
      <c r="M188" s="9">
        <f>IF($K188="","",INDEX('سجل التحفيز'!$B$5:$B$2004,MATCH($K188,'سجل التحفيز'!$AC$5:$AC$2004,0)))</f>
        <v/>
      </c>
      <c r="N188" s="9">
        <f>IF($K188="","",INDEX('سجل التحفيز'!$M$5:$M$2004,MATCH($K188,'سجل التحفيز'!$AC$5:$AC$2004,0)))</f>
        <v/>
      </c>
      <c r="O188" s="9">
        <f>IF($K188="","",INDEX('سجل التحفيز'!$C$5:$C$2004,MATCH($K188,'سجل التحفيز'!$AC$5:$AC$2004,0)))</f>
        <v/>
      </c>
      <c r="P188" s="36">
        <f>IF($K188="","",INDEX('سجل التحفيز'!$D$5:$D$2004,MATCH($K188,'سجل التحفيز'!$AC$5:$AC$2004,0)))</f>
        <v/>
      </c>
      <c r="Q188" s="9">
        <f>IF($K188="","",INDEX('سجل التحفيز'!$E$5:$E$2004,MATCH($K188,'سجل التحفيز'!$AC$5:$AC$2004,0)))</f>
        <v/>
      </c>
      <c r="R188" s="9">
        <f>IF($K188="","",INDEX('سجل التحفيز'!$F$5:$F$2004,MATCH($K188,'سجل التحفيز'!$AC$5:$AC$2004,0)))</f>
        <v/>
      </c>
      <c r="S188" s="35">
        <f>IF($K188="","",INDEX('سجل التحفيز'!$G$5:$G$2004,MATCH($K188,'سجل التحفيز'!$AC$5:$AC$2004,0)))</f>
        <v/>
      </c>
    </row>
    <row r="189">
      <c r="K189" s="36">
        <f>IF(152&gt;$B$10,"",152)</f>
        <v/>
      </c>
      <c r="L189" s="37">
        <f>IF($K189="","",INDEX('سجل التحفيز'!$A$5:$A$2004,MATCH($K189,'سجل التحفيز'!$AC$5:$AC$2004,0)))</f>
        <v/>
      </c>
      <c r="M189" s="9">
        <f>IF($K189="","",INDEX('سجل التحفيز'!$B$5:$B$2004,MATCH($K189,'سجل التحفيز'!$AC$5:$AC$2004,0)))</f>
        <v/>
      </c>
      <c r="N189" s="9">
        <f>IF($K189="","",INDEX('سجل التحفيز'!$M$5:$M$2004,MATCH($K189,'سجل التحفيز'!$AC$5:$AC$2004,0)))</f>
        <v/>
      </c>
      <c r="O189" s="9">
        <f>IF($K189="","",INDEX('سجل التحفيز'!$C$5:$C$2004,MATCH($K189,'سجل التحفيز'!$AC$5:$AC$2004,0)))</f>
        <v/>
      </c>
      <c r="P189" s="36">
        <f>IF($K189="","",INDEX('سجل التحفيز'!$D$5:$D$2004,MATCH($K189,'سجل التحفيز'!$AC$5:$AC$2004,0)))</f>
        <v/>
      </c>
      <c r="Q189" s="9">
        <f>IF($K189="","",INDEX('سجل التحفيز'!$E$5:$E$2004,MATCH($K189,'سجل التحفيز'!$AC$5:$AC$2004,0)))</f>
        <v/>
      </c>
      <c r="R189" s="9">
        <f>IF($K189="","",INDEX('سجل التحفيز'!$F$5:$F$2004,MATCH($K189,'سجل التحفيز'!$AC$5:$AC$2004,0)))</f>
        <v/>
      </c>
      <c r="S189" s="35">
        <f>IF($K189="","",INDEX('سجل التحفيز'!$G$5:$G$2004,MATCH($K189,'سجل التحفيز'!$AC$5:$AC$2004,0)))</f>
        <v/>
      </c>
    </row>
    <row r="190">
      <c r="K190" s="36">
        <f>IF(153&gt;$B$10,"",153)</f>
        <v/>
      </c>
      <c r="L190" s="37">
        <f>IF($K190="","",INDEX('سجل التحفيز'!$A$5:$A$2004,MATCH($K190,'سجل التحفيز'!$AC$5:$AC$2004,0)))</f>
        <v/>
      </c>
      <c r="M190" s="9">
        <f>IF($K190="","",INDEX('سجل التحفيز'!$B$5:$B$2004,MATCH($K190,'سجل التحفيز'!$AC$5:$AC$2004,0)))</f>
        <v/>
      </c>
      <c r="N190" s="9">
        <f>IF($K190="","",INDEX('سجل التحفيز'!$M$5:$M$2004,MATCH($K190,'سجل التحفيز'!$AC$5:$AC$2004,0)))</f>
        <v/>
      </c>
      <c r="O190" s="9">
        <f>IF($K190="","",INDEX('سجل التحفيز'!$C$5:$C$2004,MATCH($K190,'سجل التحفيز'!$AC$5:$AC$2004,0)))</f>
        <v/>
      </c>
      <c r="P190" s="36">
        <f>IF($K190="","",INDEX('سجل التحفيز'!$D$5:$D$2004,MATCH($K190,'سجل التحفيز'!$AC$5:$AC$2004,0)))</f>
        <v/>
      </c>
      <c r="Q190" s="9">
        <f>IF($K190="","",INDEX('سجل التحفيز'!$E$5:$E$2004,MATCH($K190,'سجل التحفيز'!$AC$5:$AC$2004,0)))</f>
        <v/>
      </c>
      <c r="R190" s="9">
        <f>IF($K190="","",INDEX('سجل التحفيز'!$F$5:$F$2004,MATCH($K190,'سجل التحفيز'!$AC$5:$AC$2004,0)))</f>
        <v/>
      </c>
      <c r="S190" s="35">
        <f>IF($K190="","",INDEX('سجل التحفيز'!$G$5:$G$2004,MATCH($K190,'سجل التحفيز'!$AC$5:$AC$2004,0)))</f>
        <v/>
      </c>
    </row>
    <row r="191">
      <c r="K191" s="36">
        <f>IF(154&gt;$B$10,"",154)</f>
        <v/>
      </c>
      <c r="L191" s="37">
        <f>IF($K191="","",INDEX('سجل التحفيز'!$A$5:$A$2004,MATCH($K191,'سجل التحفيز'!$AC$5:$AC$2004,0)))</f>
        <v/>
      </c>
      <c r="M191" s="9">
        <f>IF($K191="","",INDEX('سجل التحفيز'!$B$5:$B$2004,MATCH($K191,'سجل التحفيز'!$AC$5:$AC$2004,0)))</f>
        <v/>
      </c>
      <c r="N191" s="9">
        <f>IF($K191="","",INDEX('سجل التحفيز'!$M$5:$M$2004,MATCH($K191,'سجل التحفيز'!$AC$5:$AC$2004,0)))</f>
        <v/>
      </c>
      <c r="O191" s="9">
        <f>IF($K191="","",INDEX('سجل التحفيز'!$C$5:$C$2004,MATCH($K191,'سجل التحفيز'!$AC$5:$AC$2004,0)))</f>
        <v/>
      </c>
      <c r="P191" s="36">
        <f>IF($K191="","",INDEX('سجل التحفيز'!$D$5:$D$2004,MATCH($K191,'سجل التحفيز'!$AC$5:$AC$2004,0)))</f>
        <v/>
      </c>
      <c r="Q191" s="9">
        <f>IF($K191="","",INDEX('سجل التحفيز'!$E$5:$E$2004,MATCH($K191,'سجل التحفيز'!$AC$5:$AC$2004,0)))</f>
        <v/>
      </c>
      <c r="R191" s="9">
        <f>IF($K191="","",INDEX('سجل التحفيز'!$F$5:$F$2004,MATCH($K191,'سجل التحفيز'!$AC$5:$AC$2004,0)))</f>
        <v/>
      </c>
      <c r="S191" s="35">
        <f>IF($K191="","",INDEX('سجل التحفيز'!$G$5:$G$2004,MATCH($K191,'سجل التحفيز'!$AC$5:$AC$2004,0)))</f>
        <v/>
      </c>
    </row>
    <row r="192">
      <c r="K192" s="36">
        <f>IF(155&gt;$B$10,"",155)</f>
        <v/>
      </c>
      <c r="L192" s="37">
        <f>IF($K192="","",INDEX('سجل التحفيز'!$A$5:$A$2004,MATCH($K192,'سجل التحفيز'!$AC$5:$AC$2004,0)))</f>
        <v/>
      </c>
      <c r="M192" s="9">
        <f>IF($K192="","",INDEX('سجل التحفيز'!$B$5:$B$2004,MATCH($K192,'سجل التحفيز'!$AC$5:$AC$2004,0)))</f>
        <v/>
      </c>
      <c r="N192" s="9">
        <f>IF($K192="","",INDEX('سجل التحفيز'!$M$5:$M$2004,MATCH($K192,'سجل التحفيز'!$AC$5:$AC$2004,0)))</f>
        <v/>
      </c>
      <c r="O192" s="9">
        <f>IF($K192="","",INDEX('سجل التحفيز'!$C$5:$C$2004,MATCH($K192,'سجل التحفيز'!$AC$5:$AC$2004,0)))</f>
        <v/>
      </c>
      <c r="P192" s="36">
        <f>IF($K192="","",INDEX('سجل التحفيز'!$D$5:$D$2004,MATCH($K192,'سجل التحفيز'!$AC$5:$AC$2004,0)))</f>
        <v/>
      </c>
      <c r="Q192" s="9">
        <f>IF($K192="","",INDEX('سجل التحفيز'!$E$5:$E$2004,MATCH($K192,'سجل التحفيز'!$AC$5:$AC$2004,0)))</f>
        <v/>
      </c>
      <c r="R192" s="9">
        <f>IF($K192="","",INDEX('سجل التحفيز'!$F$5:$F$2004,MATCH($K192,'سجل التحفيز'!$AC$5:$AC$2004,0)))</f>
        <v/>
      </c>
      <c r="S192" s="35">
        <f>IF($K192="","",INDEX('سجل التحفيز'!$G$5:$G$2004,MATCH($K192,'سجل التحفيز'!$AC$5:$AC$2004,0)))</f>
        <v/>
      </c>
    </row>
    <row r="193">
      <c r="K193" s="36">
        <f>IF(156&gt;$B$10,"",156)</f>
        <v/>
      </c>
      <c r="L193" s="37">
        <f>IF($K193="","",INDEX('سجل التحفيز'!$A$5:$A$2004,MATCH($K193,'سجل التحفيز'!$AC$5:$AC$2004,0)))</f>
        <v/>
      </c>
      <c r="M193" s="9">
        <f>IF($K193="","",INDEX('سجل التحفيز'!$B$5:$B$2004,MATCH($K193,'سجل التحفيز'!$AC$5:$AC$2004,0)))</f>
        <v/>
      </c>
      <c r="N193" s="9">
        <f>IF($K193="","",INDEX('سجل التحفيز'!$M$5:$M$2004,MATCH($K193,'سجل التحفيز'!$AC$5:$AC$2004,0)))</f>
        <v/>
      </c>
      <c r="O193" s="9">
        <f>IF($K193="","",INDEX('سجل التحفيز'!$C$5:$C$2004,MATCH($K193,'سجل التحفيز'!$AC$5:$AC$2004,0)))</f>
        <v/>
      </c>
      <c r="P193" s="36">
        <f>IF($K193="","",INDEX('سجل التحفيز'!$D$5:$D$2004,MATCH($K193,'سجل التحفيز'!$AC$5:$AC$2004,0)))</f>
        <v/>
      </c>
      <c r="Q193" s="9">
        <f>IF($K193="","",INDEX('سجل التحفيز'!$E$5:$E$2004,MATCH($K193,'سجل التحفيز'!$AC$5:$AC$2004,0)))</f>
        <v/>
      </c>
      <c r="R193" s="9">
        <f>IF($K193="","",INDEX('سجل التحفيز'!$F$5:$F$2004,MATCH($K193,'سجل التحفيز'!$AC$5:$AC$2004,0)))</f>
        <v/>
      </c>
      <c r="S193" s="35">
        <f>IF($K193="","",INDEX('سجل التحفيز'!$G$5:$G$2004,MATCH($K193,'سجل التحفيز'!$AC$5:$AC$2004,0)))</f>
        <v/>
      </c>
    </row>
    <row r="194">
      <c r="K194" s="36">
        <f>IF(157&gt;$B$10,"",157)</f>
        <v/>
      </c>
      <c r="L194" s="37">
        <f>IF($K194="","",INDEX('سجل التحفيز'!$A$5:$A$2004,MATCH($K194,'سجل التحفيز'!$AC$5:$AC$2004,0)))</f>
        <v/>
      </c>
      <c r="M194" s="9">
        <f>IF($K194="","",INDEX('سجل التحفيز'!$B$5:$B$2004,MATCH($K194,'سجل التحفيز'!$AC$5:$AC$2004,0)))</f>
        <v/>
      </c>
      <c r="N194" s="9">
        <f>IF($K194="","",INDEX('سجل التحفيز'!$M$5:$M$2004,MATCH($K194,'سجل التحفيز'!$AC$5:$AC$2004,0)))</f>
        <v/>
      </c>
      <c r="O194" s="9">
        <f>IF($K194="","",INDEX('سجل التحفيز'!$C$5:$C$2004,MATCH($K194,'سجل التحفيز'!$AC$5:$AC$2004,0)))</f>
        <v/>
      </c>
      <c r="P194" s="36">
        <f>IF($K194="","",INDEX('سجل التحفيز'!$D$5:$D$2004,MATCH($K194,'سجل التحفيز'!$AC$5:$AC$2004,0)))</f>
        <v/>
      </c>
      <c r="Q194" s="9">
        <f>IF($K194="","",INDEX('سجل التحفيز'!$E$5:$E$2004,MATCH($K194,'سجل التحفيز'!$AC$5:$AC$2004,0)))</f>
        <v/>
      </c>
      <c r="R194" s="9">
        <f>IF($K194="","",INDEX('سجل التحفيز'!$F$5:$F$2004,MATCH($K194,'سجل التحفيز'!$AC$5:$AC$2004,0)))</f>
        <v/>
      </c>
      <c r="S194" s="35">
        <f>IF($K194="","",INDEX('سجل التحفيز'!$G$5:$G$2004,MATCH($K194,'سجل التحفيز'!$AC$5:$AC$2004,0)))</f>
        <v/>
      </c>
    </row>
    <row r="195">
      <c r="K195" s="36">
        <f>IF(158&gt;$B$10,"",158)</f>
        <v/>
      </c>
      <c r="L195" s="37">
        <f>IF($K195="","",INDEX('سجل التحفيز'!$A$5:$A$2004,MATCH($K195,'سجل التحفيز'!$AC$5:$AC$2004,0)))</f>
        <v/>
      </c>
      <c r="M195" s="9">
        <f>IF($K195="","",INDEX('سجل التحفيز'!$B$5:$B$2004,MATCH($K195,'سجل التحفيز'!$AC$5:$AC$2004,0)))</f>
        <v/>
      </c>
      <c r="N195" s="9">
        <f>IF($K195="","",INDEX('سجل التحفيز'!$M$5:$M$2004,MATCH($K195,'سجل التحفيز'!$AC$5:$AC$2004,0)))</f>
        <v/>
      </c>
      <c r="O195" s="9">
        <f>IF($K195="","",INDEX('سجل التحفيز'!$C$5:$C$2004,MATCH($K195,'سجل التحفيز'!$AC$5:$AC$2004,0)))</f>
        <v/>
      </c>
      <c r="P195" s="36">
        <f>IF($K195="","",INDEX('سجل التحفيز'!$D$5:$D$2004,MATCH($K195,'سجل التحفيز'!$AC$5:$AC$2004,0)))</f>
        <v/>
      </c>
      <c r="Q195" s="9">
        <f>IF($K195="","",INDEX('سجل التحفيز'!$E$5:$E$2004,MATCH($K195,'سجل التحفيز'!$AC$5:$AC$2004,0)))</f>
        <v/>
      </c>
      <c r="R195" s="9">
        <f>IF($K195="","",INDEX('سجل التحفيز'!$F$5:$F$2004,MATCH($K195,'سجل التحفيز'!$AC$5:$AC$2004,0)))</f>
        <v/>
      </c>
      <c r="S195" s="35">
        <f>IF($K195="","",INDEX('سجل التحفيز'!$G$5:$G$2004,MATCH($K195,'سجل التحفيز'!$AC$5:$AC$2004,0)))</f>
        <v/>
      </c>
    </row>
    <row r="196">
      <c r="K196" s="36">
        <f>IF(159&gt;$B$10,"",159)</f>
        <v/>
      </c>
      <c r="L196" s="37">
        <f>IF($K196="","",INDEX('سجل التحفيز'!$A$5:$A$2004,MATCH($K196,'سجل التحفيز'!$AC$5:$AC$2004,0)))</f>
        <v/>
      </c>
      <c r="M196" s="9">
        <f>IF($K196="","",INDEX('سجل التحفيز'!$B$5:$B$2004,MATCH($K196,'سجل التحفيز'!$AC$5:$AC$2004,0)))</f>
        <v/>
      </c>
      <c r="N196" s="9">
        <f>IF($K196="","",INDEX('سجل التحفيز'!$M$5:$M$2004,MATCH($K196,'سجل التحفيز'!$AC$5:$AC$2004,0)))</f>
        <v/>
      </c>
      <c r="O196" s="9">
        <f>IF($K196="","",INDEX('سجل التحفيز'!$C$5:$C$2004,MATCH($K196,'سجل التحفيز'!$AC$5:$AC$2004,0)))</f>
        <v/>
      </c>
      <c r="P196" s="36">
        <f>IF($K196="","",INDEX('سجل التحفيز'!$D$5:$D$2004,MATCH($K196,'سجل التحفيز'!$AC$5:$AC$2004,0)))</f>
        <v/>
      </c>
      <c r="Q196" s="9">
        <f>IF($K196="","",INDEX('سجل التحفيز'!$E$5:$E$2004,MATCH($K196,'سجل التحفيز'!$AC$5:$AC$2004,0)))</f>
        <v/>
      </c>
      <c r="R196" s="9">
        <f>IF($K196="","",INDEX('سجل التحفيز'!$F$5:$F$2004,MATCH($K196,'سجل التحفيز'!$AC$5:$AC$2004,0)))</f>
        <v/>
      </c>
      <c r="S196" s="35">
        <f>IF($K196="","",INDEX('سجل التحفيز'!$G$5:$G$2004,MATCH($K196,'سجل التحفيز'!$AC$5:$AC$2004,0)))</f>
        <v/>
      </c>
    </row>
    <row r="197">
      <c r="K197" s="36">
        <f>IF(160&gt;$B$10,"",160)</f>
        <v/>
      </c>
      <c r="L197" s="37">
        <f>IF($K197="","",INDEX('سجل التحفيز'!$A$5:$A$2004,MATCH($K197,'سجل التحفيز'!$AC$5:$AC$2004,0)))</f>
        <v/>
      </c>
      <c r="M197" s="9">
        <f>IF($K197="","",INDEX('سجل التحفيز'!$B$5:$B$2004,MATCH($K197,'سجل التحفيز'!$AC$5:$AC$2004,0)))</f>
        <v/>
      </c>
      <c r="N197" s="9">
        <f>IF($K197="","",INDEX('سجل التحفيز'!$M$5:$M$2004,MATCH($K197,'سجل التحفيز'!$AC$5:$AC$2004,0)))</f>
        <v/>
      </c>
      <c r="O197" s="9">
        <f>IF($K197="","",INDEX('سجل التحفيز'!$C$5:$C$2004,MATCH($K197,'سجل التحفيز'!$AC$5:$AC$2004,0)))</f>
        <v/>
      </c>
      <c r="P197" s="36">
        <f>IF($K197="","",INDEX('سجل التحفيز'!$D$5:$D$2004,MATCH($K197,'سجل التحفيز'!$AC$5:$AC$2004,0)))</f>
        <v/>
      </c>
      <c r="Q197" s="9">
        <f>IF($K197="","",INDEX('سجل التحفيز'!$E$5:$E$2004,MATCH($K197,'سجل التحفيز'!$AC$5:$AC$2004,0)))</f>
        <v/>
      </c>
      <c r="R197" s="9">
        <f>IF($K197="","",INDEX('سجل التحفيز'!$F$5:$F$2004,MATCH($K197,'سجل التحفيز'!$AC$5:$AC$2004,0)))</f>
        <v/>
      </c>
      <c r="S197" s="35">
        <f>IF($K197="","",INDEX('سجل التحفيز'!$G$5:$G$2004,MATCH($K197,'سجل التحفيز'!$AC$5:$AC$2004,0)))</f>
        <v/>
      </c>
    </row>
    <row r="198">
      <c r="K198" s="36">
        <f>IF(161&gt;$B$10,"",161)</f>
        <v/>
      </c>
      <c r="L198" s="37">
        <f>IF($K198="","",INDEX('سجل التحفيز'!$A$5:$A$2004,MATCH($K198,'سجل التحفيز'!$AC$5:$AC$2004,0)))</f>
        <v/>
      </c>
      <c r="M198" s="9">
        <f>IF($K198="","",INDEX('سجل التحفيز'!$B$5:$B$2004,MATCH($K198,'سجل التحفيز'!$AC$5:$AC$2004,0)))</f>
        <v/>
      </c>
      <c r="N198" s="9">
        <f>IF($K198="","",INDEX('سجل التحفيز'!$M$5:$M$2004,MATCH($K198,'سجل التحفيز'!$AC$5:$AC$2004,0)))</f>
        <v/>
      </c>
      <c r="O198" s="9">
        <f>IF($K198="","",INDEX('سجل التحفيز'!$C$5:$C$2004,MATCH($K198,'سجل التحفيز'!$AC$5:$AC$2004,0)))</f>
        <v/>
      </c>
      <c r="P198" s="36">
        <f>IF($K198="","",INDEX('سجل التحفيز'!$D$5:$D$2004,MATCH($K198,'سجل التحفيز'!$AC$5:$AC$2004,0)))</f>
        <v/>
      </c>
      <c r="Q198" s="9">
        <f>IF($K198="","",INDEX('سجل التحفيز'!$E$5:$E$2004,MATCH($K198,'سجل التحفيز'!$AC$5:$AC$2004,0)))</f>
        <v/>
      </c>
      <c r="R198" s="9">
        <f>IF($K198="","",INDEX('سجل التحفيز'!$F$5:$F$2004,MATCH($K198,'سجل التحفيز'!$AC$5:$AC$2004,0)))</f>
        <v/>
      </c>
      <c r="S198" s="35">
        <f>IF($K198="","",INDEX('سجل التحفيز'!$G$5:$G$2004,MATCH($K198,'سجل التحفيز'!$AC$5:$AC$2004,0)))</f>
        <v/>
      </c>
    </row>
    <row r="199">
      <c r="K199" s="36">
        <f>IF(162&gt;$B$10,"",162)</f>
        <v/>
      </c>
      <c r="L199" s="37">
        <f>IF($K199="","",INDEX('سجل التحفيز'!$A$5:$A$2004,MATCH($K199,'سجل التحفيز'!$AC$5:$AC$2004,0)))</f>
        <v/>
      </c>
      <c r="M199" s="9">
        <f>IF($K199="","",INDEX('سجل التحفيز'!$B$5:$B$2004,MATCH($K199,'سجل التحفيز'!$AC$5:$AC$2004,0)))</f>
        <v/>
      </c>
      <c r="N199" s="9">
        <f>IF($K199="","",INDEX('سجل التحفيز'!$M$5:$M$2004,MATCH($K199,'سجل التحفيز'!$AC$5:$AC$2004,0)))</f>
        <v/>
      </c>
      <c r="O199" s="9">
        <f>IF($K199="","",INDEX('سجل التحفيز'!$C$5:$C$2004,MATCH($K199,'سجل التحفيز'!$AC$5:$AC$2004,0)))</f>
        <v/>
      </c>
      <c r="P199" s="36">
        <f>IF($K199="","",INDEX('سجل التحفيز'!$D$5:$D$2004,MATCH($K199,'سجل التحفيز'!$AC$5:$AC$2004,0)))</f>
        <v/>
      </c>
      <c r="Q199" s="9">
        <f>IF($K199="","",INDEX('سجل التحفيز'!$E$5:$E$2004,MATCH($K199,'سجل التحفيز'!$AC$5:$AC$2004,0)))</f>
        <v/>
      </c>
      <c r="R199" s="9">
        <f>IF($K199="","",INDEX('سجل التحفيز'!$F$5:$F$2004,MATCH($K199,'سجل التحفيز'!$AC$5:$AC$2004,0)))</f>
        <v/>
      </c>
      <c r="S199" s="35">
        <f>IF($K199="","",INDEX('سجل التحفيز'!$G$5:$G$2004,MATCH($K199,'سجل التحفيز'!$AC$5:$AC$2004,0)))</f>
        <v/>
      </c>
    </row>
    <row r="200">
      <c r="K200" s="36">
        <f>IF(163&gt;$B$10,"",163)</f>
        <v/>
      </c>
      <c r="L200" s="37">
        <f>IF($K200="","",INDEX('سجل التحفيز'!$A$5:$A$2004,MATCH($K200,'سجل التحفيز'!$AC$5:$AC$2004,0)))</f>
        <v/>
      </c>
      <c r="M200" s="9">
        <f>IF($K200="","",INDEX('سجل التحفيز'!$B$5:$B$2004,MATCH($K200,'سجل التحفيز'!$AC$5:$AC$2004,0)))</f>
        <v/>
      </c>
      <c r="N200" s="9">
        <f>IF($K200="","",INDEX('سجل التحفيز'!$M$5:$M$2004,MATCH($K200,'سجل التحفيز'!$AC$5:$AC$2004,0)))</f>
        <v/>
      </c>
      <c r="O200" s="9">
        <f>IF($K200="","",INDEX('سجل التحفيز'!$C$5:$C$2004,MATCH($K200,'سجل التحفيز'!$AC$5:$AC$2004,0)))</f>
        <v/>
      </c>
      <c r="P200" s="36">
        <f>IF($K200="","",INDEX('سجل التحفيز'!$D$5:$D$2004,MATCH($K200,'سجل التحفيز'!$AC$5:$AC$2004,0)))</f>
        <v/>
      </c>
      <c r="Q200" s="9">
        <f>IF($K200="","",INDEX('سجل التحفيز'!$E$5:$E$2004,MATCH($K200,'سجل التحفيز'!$AC$5:$AC$2004,0)))</f>
        <v/>
      </c>
      <c r="R200" s="9">
        <f>IF($K200="","",INDEX('سجل التحفيز'!$F$5:$F$2004,MATCH($K200,'سجل التحفيز'!$AC$5:$AC$2004,0)))</f>
        <v/>
      </c>
      <c r="S200" s="35">
        <f>IF($K200="","",INDEX('سجل التحفيز'!$G$5:$G$2004,MATCH($K200,'سجل التحفيز'!$AC$5:$AC$2004,0)))</f>
        <v/>
      </c>
    </row>
    <row r="201">
      <c r="K201" s="36">
        <f>IF(164&gt;$B$10,"",164)</f>
        <v/>
      </c>
      <c r="L201" s="37">
        <f>IF($K201="","",INDEX('سجل التحفيز'!$A$5:$A$2004,MATCH($K201,'سجل التحفيز'!$AC$5:$AC$2004,0)))</f>
        <v/>
      </c>
      <c r="M201" s="9">
        <f>IF($K201="","",INDEX('سجل التحفيز'!$B$5:$B$2004,MATCH($K201,'سجل التحفيز'!$AC$5:$AC$2004,0)))</f>
        <v/>
      </c>
      <c r="N201" s="9">
        <f>IF($K201="","",INDEX('سجل التحفيز'!$M$5:$M$2004,MATCH($K201,'سجل التحفيز'!$AC$5:$AC$2004,0)))</f>
        <v/>
      </c>
      <c r="O201" s="9">
        <f>IF($K201="","",INDEX('سجل التحفيز'!$C$5:$C$2004,MATCH($K201,'سجل التحفيز'!$AC$5:$AC$2004,0)))</f>
        <v/>
      </c>
      <c r="P201" s="36">
        <f>IF($K201="","",INDEX('سجل التحفيز'!$D$5:$D$2004,MATCH($K201,'سجل التحفيز'!$AC$5:$AC$2004,0)))</f>
        <v/>
      </c>
      <c r="Q201" s="9">
        <f>IF($K201="","",INDEX('سجل التحفيز'!$E$5:$E$2004,MATCH($K201,'سجل التحفيز'!$AC$5:$AC$2004,0)))</f>
        <v/>
      </c>
      <c r="R201" s="9">
        <f>IF($K201="","",INDEX('سجل التحفيز'!$F$5:$F$2004,MATCH($K201,'سجل التحفيز'!$AC$5:$AC$2004,0)))</f>
        <v/>
      </c>
      <c r="S201" s="35">
        <f>IF($K201="","",INDEX('سجل التحفيز'!$G$5:$G$2004,MATCH($K201,'سجل التحفيز'!$AC$5:$AC$2004,0)))</f>
        <v/>
      </c>
    </row>
    <row r="202">
      <c r="K202" s="36">
        <f>IF(165&gt;$B$10,"",165)</f>
        <v/>
      </c>
      <c r="L202" s="37">
        <f>IF($K202="","",INDEX('سجل التحفيز'!$A$5:$A$2004,MATCH($K202,'سجل التحفيز'!$AC$5:$AC$2004,0)))</f>
        <v/>
      </c>
      <c r="M202" s="9">
        <f>IF($K202="","",INDEX('سجل التحفيز'!$B$5:$B$2004,MATCH($K202,'سجل التحفيز'!$AC$5:$AC$2004,0)))</f>
        <v/>
      </c>
      <c r="N202" s="9">
        <f>IF($K202="","",INDEX('سجل التحفيز'!$M$5:$M$2004,MATCH($K202,'سجل التحفيز'!$AC$5:$AC$2004,0)))</f>
        <v/>
      </c>
      <c r="O202" s="9">
        <f>IF($K202="","",INDEX('سجل التحفيز'!$C$5:$C$2004,MATCH($K202,'سجل التحفيز'!$AC$5:$AC$2004,0)))</f>
        <v/>
      </c>
      <c r="P202" s="36">
        <f>IF($K202="","",INDEX('سجل التحفيز'!$D$5:$D$2004,MATCH($K202,'سجل التحفيز'!$AC$5:$AC$2004,0)))</f>
        <v/>
      </c>
      <c r="Q202" s="9">
        <f>IF($K202="","",INDEX('سجل التحفيز'!$E$5:$E$2004,MATCH($K202,'سجل التحفيز'!$AC$5:$AC$2004,0)))</f>
        <v/>
      </c>
      <c r="R202" s="9">
        <f>IF($K202="","",INDEX('سجل التحفيز'!$F$5:$F$2004,MATCH($K202,'سجل التحفيز'!$AC$5:$AC$2004,0)))</f>
        <v/>
      </c>
      <c r="S202" s="35">
        <f>IF($K202="","",INDEX('سجل التحفيز'!$G$5:$G$2004,MATCH($K202,'سجل التحفيز'!$AC$5:$AC$2004,0)))</f>
        <v/>
      </c>
    </row>
    <row r="203">
      <c r="K203" s="36">
        <f>IF(166&gt;$B$10,"",166)</f>
        <v/>
      </c>
      <c r="L203" s="37">
        <f>IF($K203="","",INDEX('سجل التحفيز'!$A$5:$A$2004,MATCH($K203,'سجل التحفيز'!$AC$5:$AC$2004,0)))</f>
        <v/>
      </c>
      <c r="M203" s="9">
        <f>IF($K203="","",INDEX('سجل التحفيز'!$B$5:$B$2004,MATCH($K203,'سجل التحفيز'!$AC$5:$AC$2004,0)))</f>
        <v/>
      </c>
      <c r="N203" s="9">
        <f>IF($K203="","",INDEX('سجل التحفيز'!$M$5:$M$2004,MATCH($K203,'سجل التحفيز'!$AC$5:$AC$2004,0)))</f>
        <v/>
      </c>
      <c r="O203" s="9">
        <f>IF($K203="","",INDEX('سجل التحفيز'!$C$5:$C$2004,MATCH($K203,'سجل التحفيز'!$AC$5:$AC$2004,0)))</f>
        <v/>
      </c>
      <c r="P203" s="36">
        <f>IF($K203="","",INDEX('سجل التحفيز'!$D$5:$D$2004,MATCH($K203,'سجل التحفيز'!$AC$5:$AC$2004,0)))</f>
        <v/>
      </c>
      <c r="Q203" s="9">
        <f>IF($K203="","",INDEX('سجل التحفيز'!$E$5:$E$2004,MATCH($K203,'سجل التحفيز'!$AC$5:$AC$2004,0)))</f>
        <v/>
      </c>
      <c r="R203" s="9">
        <f>IF($K203="","",INDEX('سجل التحفيز'!$F$5:$F$2004,MATCH($K203,'سجل التحفيز'!$AC$5:$AC$2004,0)))</f>
        <v/>
      </c>
      <c r="S203" s="35">
        <f>IF($K203="","",INDEX('سجل التحفيز'!$G$5:$G$2004,MATCH($K203,'سجل التحفيز'!$AC$5:$AC$2004,0)))</f>
        <v/>
      </c>
    </row>
    <row r="204">
      <c r="K204" s="36">
        <f>IF(167&gt;$B$10,"",167)</f>
        <v/>
      </c>
      <c r="L204" s="37">
        <f>IF($K204="","",INDEX('سجل التحفيز'!$A$5:$A$2004,MATCH($K204,'سجل التحفيز'!$AC$5:$AC$2004,0)))</f>
        <v/>
      </c>
      <c r="M204" s="9">
        <f>IF($K204="","",INDEX('سجل التحفيز'!$B$5:$B$2004,MATCH($K204,'سجل التحفيز'!$AC$5:$AC$2004,0)))</f>
        <v/>
      </c>
      <c r="N204" s="9">
        <f>IF($K204="","",INDEX('سجل التحفيز'!$M$5:$M$2004,MATCH($K204,'سجل التحفيز'!$AC$5:$AC$2004,0)))</f>
        <v/>
      </c>
      <c r="O204" s="9">
        <f>IF($K204="","",INDEX('سجل التحفيز'!$C$5:$C$2004,MATCH($K204,'سجل التحفيز'!$AC$5:$AC$2004,0)))</f>
        <v/>
      </c>
      <c r="P204" s="36">
        <f>IF($K204="","",INDEX('سجل التحفيز'!$D$5:$D$2004,MATCH($K204,'سجل التحفيز'!$AC$5:$AC$2004,0)))</f>
        <v/>
      </c>
      <c r="Q204" s="9">
        <f>IF($K204="","",INDEX('سجل التحفيز'!$E$5:$E$2004,MATCH($K204,'سجل التحفيز'!$AC$5:$AC$2004,0)))</f>
        <v/>
      </c>
      <c r="R204" s="9">
        <f>IF($K204="","",INDEX('سجل التحفيز'!$F$5:$F$2004,MATCH($K204,'سجل التحفيز'!$AC$5:$AC$2004,0)))</f>
        <v/>
      </c>
      <c r="S204" s="35">
        <f>IF($K204="","",INDEX('سجل التحفيز'!$G$5:$G$2004,MATCH($K204,'سجل التحفيز'!$AC$5:$AC$2004,0)))</f>
        <v/>
      </c>
    </row>
    <row r="205">
      <c r="K205" s="36">
        <f>IF(168&gt;$B$10,"",168)</f>
        <v/>
      </c>
      <c r="L205" s="37">
        <f>IF($K205="","",INDEX('سجل التحفيز'!$A$5:$A$2004,MATCH($K205,'سجل التحفيز'!$AC$5:$AC$2004,0)))</f>
        <v/>
      </c>
      <c r="M205" s="9">
        <f>IF($K205="","",INDEX('سجل التحفيز'!$B$5:$B$2004,MATCH($K205,'سجل التحفيز'!$AC$5:$AC$2004,0)))</f>
        <v/>
      </c>
      <c r="N205" s="9">
        <f>IF($K205="","",INDEX('سجل التحفيز'!$M$5:$M$2004,MATCH($K205,'سجل التحفيز'!$AC$5:$AC$2004,0)))</f>
        <v/>
      </c>
      <c r="O205" s="9">
        <f>IF($K205="","",INDEX('سجل التحفيز'!$C$5:$C$2004,MATCH($K205,'سجل التحفيز'!$AC$5:$AC$2004,0)))</f>
        <v/>
      </c>
      <c r="P205" s="36">
        <f>IF($K205="","",INDEX('سجل التحفيز'!$D$5:$D$2004,MATCH($K205,'سجل التحفيز'!$AC$5:$AC$2004,0)))</f>
        <v/>
      </c>
      <c r="Q205" s="9">
        <f>IF($K205="","",INDEX('سجل التحفيز'!$E$5:$E$2004,MATCH($K205,'سجل التحفيز'!$AC$5:$AC$2004,0)))</f>
        <v/>
      </c>
      <c r="R205" s="9">
        <f>IF($K205="","",INDEX('سجل التحفيز'!$F$5:$F$2004,MATCH($K205,'سجل التحفيز'!$AC$5:$AC$2004,0)))</f>
        <v/>
      </c>
      <c r="S205" s="35">
        <f>IF($K205="","",INDEX('سجل التحفيز'!$G$5:$G$2004,MATCH($K205,'سجل التحفيز'!$AC$5:$AC$2004,0)))</f>
        <v/>
      </c>
    </row>
    <row r="206">
      <c r="K206" s="36">
        <f>IF(169&gt;$B$10,"",169)</f>
        <v/>
      </c>
      <c r="L206" s="37">
        <f>IF($K206="","",INDEX('سجل التحفيز'!$A$5:$A$2004,MATCH($K206,'سجل التحفيز'!$AC$5:$AC$2004,0)))</f>
        <v/>
      </c>
      <c r="M206" s="9">
        <f>IF($K206="","",INDEX('سجل التحفيز'!$B$5:$B$2004,MATCH($K206,'سجل التحفيز'!$AC$5:$AC$2004,0)))</f>
        <v/>
      </c>
      <c r="N206" s="9">
        <f>IF($K206="","",INDEX('سجل التحفيز'!$M$5:$M$2004,MATCH($K206,'سجل التحفيز'!$AC$5:$AC$2004,0)))</f>
        <v/>
      </c>
      <c r="O206" s="9">
        <f>IF($K206="","",INDEX('سجل التحفيز'!$C$5:$C$2004,MATCH($K206,'سجل التحفيز'!$AC$5:$AC$2004,0)))</f>
        <v/>
      </c>
      <c r="P206" s="36">
        <f>IF($K206="","",INDEX('سجل التحفيز'!$D$5:$D$2004,MATCH($K206,'سجل التحفيز'!$AC$5:$AC$2004,0)))</f>
        <v/>
      </c>
      <c r="Q206" s="9">
        <f>IF($K206="","",INDEX('سجل التحفيز'!$E$5:$E$2004,MATCH($K206,'سجل التحفيز'!$AC$5:$AC$2004,0)))</f>
        <v/>
      </c>
      <c r="R206" s="9">
        <f>IF($K206="","",INDEX('سجل التحفيز'!$F$5:$F$2004,MATCH($K206,'سجل التحفيز'!$AC$5:$AC$2004,0)))</f>
        <v/>
      </c>
      <c r="S206" s="35">
        <f>IF($K206="","",INDEX('سجل التحفيز'!$G$5:$G$2004,MATCH($K206,'سجل التحفيز'!$AC$5:$AC$2004,0)))</f>
        <v/>
      </c>
    </row>
    <row r="207">
      <c r="K207" s="36">
        <f>IF(170&gt;$B$10,"",170)</f>
        <v/>
      </c>
      <c r="L207" s="37">
        <f>IF($K207="","",INDEX('سجل التحفيز'!$A$5:$A$2004,MATCH($K207,'سجل التحفيز'!$AC$5:$AC$2004,0)))</f>
        <v/>
      </c>
      <c r="M207" s="9">
        <f>IF($K207="","",INDEX('سجل التحفيز'!$B$5:$B$2004,MATCH($K207,'سجل التحفيز'!$AC$5:$AC$2004,0)))</f>
        <v/>
      </c>
      <c r="N207" s="9">
        <f>IF($K207="","",INDEX('سجل التحفيز'!$M$5:$M$2004,MATCH($K207,'سجل التحفيز'!$AC$5:$AC$2004,0)))</f>
        <v/>
      </c>
      <c r="O207" s="9">
        <f>IF($K207="","",INDEX('سجل التحفيز'!$C$5:$C$2004,MATCH($K207,'سجل التحفيز'!$AC$5:$AC$2004,0)))</f>
        <v/>
      </c>
      <c r="P207" s="36">
        <f>IF($K207="","",INDEX('سجل التحفيز'!$D$5:$D$2004,MATCH($K207,'سجل التحفيز'!$AC$5:$AC$2004,0)))</f>
        <v/>
      </c>
      <c r="Q207" s="9">
        <f>IF($K207="","",INDEX('سجل التحفيز'!$E$5:$E$2004,MATCH($K207,'سجل التحفيز'!$AC$5:$AC$2004,0)))</f>
        <v/>
      </c>
      <c r="R207" s="9">
        <f>IF($K207="","",INDEX('سجل التحفيز'!$F$5:$F$2004,MATCH($K207,'سجل التحفيز'!$AC$5:$AC$2004,0)))</f>
        <v/>
      </c>
      <c r="S207" s="35">
        <f>IF($K207="","",INDEX('سجل التحفيز'!$G$5:$G$2004,MATCH($K207,'سجل التحفيز'!$AC$5:$AC$2004,0)))</f>
        <v/>
      </c>
    </row>
    <row r="208">
      <c r="K208" s="36">
        <f>IF(171&gt;$B$10,"",171)</f>
        <v/>
      </c>
      <c r="L208" s="37">
        <f>IF($K208="","",INDEX('سجل التحفيز'!$A$5:$A$2004,MATCH($K208,'سجل التحفيز'!$AC$5:$AC$2004,0)))</f>
        <v/>
      </c>
      <c r="M208" s="9">
        <f>IF($K208="","",INDEX('سجل التحفيز'!$B$5:$B$2004,MATCH($K208,'سجل التحفيز'!$AC$5:$AC$2004,0)))</f>
        <v/>
      </c>
      <c r="N208" s="9">
        <f>IF($K208="","",INDEX('سجل التحفيز'!$M$5:$M$2004,MATCH($K208,'سجل التحفيز'!$AC$5:$AC$2004,0)))</f>
        <v/>
      </c>
      <c r="O208" s="9">
        <f>IF($K208="","",INDEX('سجل التحفيز'!$C$5:$C$2004,MATCH($K208,'سجل التحفيز'!$AC$5:$AC$2004,0)))</f>
        <v/>
      </c>
      <c r="P208" s="36">
        <f>IF($K208="","",INDEX('سجل التحفيز'!$D$5:$D$2004,MATCH($K208,'سجل التحفيز'!$AC$5:$AC$2004,0)))</f>
        <v/>
      </c>
      <c r="Q208" s="9">
        <f>IF($K208="","",INDEX('سجل التحفيز'!$E$5:$E$2004,MATCH($K208,'سجل التحفيز'!$AC$5:$AC$2004,0)))</f>
        <v/>
      </c>
      <c r="R208" s="9">
        <f>IF($K208="","",INDEX('سجل التحفيز'!$F$5:$F$2004,MATCH($K208,'سجل التحفيز'!$AC$5:$AC$2004,0)))</f>
        <v/>
      </c>
      <c r="S208" s="35">
        <f>IF($K208="","",INDEX('سجل التحفيز'!$G$5:$G$2004,MATCH($K208,'سجل التحفيز'!$AC$5:$AC$2004,0)))</f>
        <v/>
      </c>
    </row>
    <row r="209">
      <c r="K209" s="36">
        <f>IF(172&gt;$B$10,"",172)</f>
        <v/>
      </c>
      <c r="L209" s="37">
        <f>IF($K209="","",INDEX('سجل التحفيز'!$A$5:$A$2004,MATCH($K209,'سجل التحفيز'!$AC$5:$AC$2004,0)))</f>
        <v/>
      </c>
      <c r="M209" s="9">
        <f>IF($K209="","",INDEX('سجل التحفيز'!$B$5:$B$2004,MATCH($K209,'سجل التحفيز'!$AC$5:$AC$2004,0)))</f>
        <v/>
      </c>
      <c r="N209" s="9">
        <f>IF($K209="","",INDEX('سجل التحفيز'!$M$5:$M$2004,MATCH($K209,'سجل التحفيز'!$AC$5:$AC$2004,0)))</f>
        <v/>
      </c>
      <c r="O209" s="9">
        <f>IF($K209="","",INDEX('سجل التحفيز'!$C$5:$C$2004,MATCH($K209,'سجل التحفيز'!$AC$5:$AC$2004,0)))</f>
        <v/>
      </c>
      <c r="P209" s="36">
        <f>IF($K209="","",INDEX('سجل التحفيز'!$D$5:$D$2004,MATCH($K209,'سجل التحفيز'!$AC$5:$AC$2004,0)))</f>
        <v/>
      </c>
      <c r="Q209" s="9">
        <f>IF($K209="","",INDEX('سجل التحفيز'!$E$5:$E$2004,MATCH($K209,'سجل التحفيز'!$AC$5:$AC$2004,0)))</f>
        <v/>
      </c>
      <c r="R209" s="9">
        <f>IF($K209="","",INDEX('سجل التحفيز'!$F$5:$F$2004,MATCH($K209,'سجل التحفيز'!$AC$5:$AC$2004,0)))</f>
        <v/>
      </c>
      <c r="S209" s="35">
        <f>IF($K209="","",INDEX('سجل التحفيز'!$G$5:$G$2004,MATCH($K209,'سجل التحفيز'!$AC$5:$AC$2004,0)))</f>
        <v/>
      </c>
    </row>
    <row r="210">
      <c r="K210" s="36">
        <f>IF(173&gt;$B$10,"",173)</f>
        <v/>
      </c>
      <c r="L210" s="37">
        <f>IF($K210="","",INDEX('سجل التحفيز'!$A$5:$A$2004,MATCH($K210,'سجل التحفيز'!$AC$5:$AC$2004,0)))</f>
        <v/>
      </c>
      <c r="M210" s="9">
        <f>IF($K210="","",INDEX('سجل التحفيز'!$B$5:$B$2004,MATCH($K210,'سجل التحفيز'!$AC$5:$AC$2004,0)))</f>
        <v/>
      </c>
      <c r="N210" s="9">
        <f>IF($K210="","",INDEX('سجل التحفيز'!$M$5:$M$2004,MATCH($K210,'سجل التحفيز'!$AC$5:$AC$2004,0)))</f>
        <v/>
      </c>
      <c r="O210" s="9">
        <f>IF($K210="","",INDEX('سجل التحفيز'!$C$5:$C$2004,MATCH($K210,'سجل التحفيز'!$AC$5:$AC$2004,0)))</f>
        <v/>
      </c>
      <c r="P210" s="36">
        <f>IF($K210="","",INDEX('سجل التحفيز'!$D$5:$D$2004,MATCH($K210,'سجل التحفيز'!$AC$5:$AC$2004,0)))</f>
        <v/>
      </c>
      <c r="Q210" s="9">
        <f>IF($K210="","",INDEX('سجل التحفيز'!$E$5:$E$2004,MATCH($K210,'سجل التحفيز'!$AC$5:$AC$2004,0)))</f>
        <v/>
      </c>
      <c r="R210" s="9">
        <f>IF($K210="","",INDEX('سجل التحفيز'!$F$5:$F$2004,MATCH($K210,'سجل التحفيز'!$AC$5:$AC$2004,0)))</f>
        <v/>
      </c>
      <c r="S210" s="35">
        <f>IF($K210="","",INDEX('سجل التحفيز'!$G$5:$G$2004,MATCH($K210,'سجل التحفيز'!$AC$5:$AC$2004,0)))</f>
        <v/>
      </c>
    </row>
    <row r="211">
      <c r="K211" s="36">
        <f>IF(174&gt;$B$10,"",174)</f>
        <v/>
      </c>
      <c r="L211" s="37">
        <f>IF($K211="","",INDEX('سجل التحفيز'!$A$5:$A$2004,MATCH($K211,'سجل التحفيز'!$AC$5:$AC$2004,0)))</f>
        <v/>
      </c>
      <c r="M211" s="9">
        <f>IF($K211="","",INDEX('سجل التحفيز'!$B$5:$B$2004,MATCH($K211,'سجل التحفيز'!$AC$5:$AC$2004,0)))</f>
        <v/>
      </c>
      <c r="N211" s="9">
        <f>IF($K211="","",INDEX('سجل التحفيز'!$M$5:$M$2004,MATCH($K211,'سجل التحفيز'!$AC$5:$AC$2004,0)))</f>
        <v/>
      </c>
      <c r="O211" s="9">
        <f>IF($K211="","",INDEX('سجل التحفيز'!$C$5:$C$2004,MATCH($K211,'سجل التحفيز'!$AC$5:$AC$2004,0)))</f>
        <v/>
      </c>
      <c r="P211" s="36">
        <f>IF($K211="","",INDEX('سجل التحفيز'!$D$5:$D$2004,MATCH($K211,'سجل التحفيز'!$AC$5:$AC$2004,0)))</f>
        <v/>
      </c>
      <c r="Q211" s="9">
        <f>IF($K211="","",INDEX('سجل التحفيز'!$E$5:$E$2004,MATCH($K211,'سجل التحفيز'!$AC$5:$AC$2004,0)))</f>
        <v/>
      </c>
      <c r="R211" s="9">
        <f>IF($K211="","",INDEX('سجل التحفيز'!$F$5:$F$2004,MATCH($K211,'سجل التحفيز'!$AC$5:$AC$2004,0)))</f>
        <v/>
      </c>
      <c r="S211" s="35">
        <f>IF($K211="","",INDEX('سجل التحفيز'!$G$5:$G$2004,MATCH($K211,'سجل التحفيز'!$AC$5:$AC$2004,0)))</f>
        <v/>
      </c>
    </row>
    <row r="212">
      <c r="K212" s="36">
        <f>IF(175&gt;$B$10,"",175)</f>
        <v/>
      </c>
      <c r="L212" s="37">
        <f>IF($K212="","",INDEX('سجل التحفيز'!$A$5:$A$2004,MATCH($K212,'سجل التحفيز'!$AC$5:$AC$2004,0)))</f>
        <v/>
      </c>
      <c r="M212" s="9">
        <f>IF($K212="","",INDEX('سجل التحفيز'!$B$5:$B$2004,MATCH($K212,'سجل التحفيز'!$AC$5:$AC$2004,0)))</f>
        <v/>
      </c>
      <c r="N212" s="9">
        <f>IF($K212="","",INDEX('سجل التحفيز'!$M$5:$M$2004,MATCH($K212,'سجل التحفيز'!$AC$5:$AC$2004,0)))</f>
        <v/>
      </c>
      <c r="O212" s="9">
        <f>IF($K212="","",INDEX('سجل التحفيز'!$C$5:$C$2004,MATCH($K212,'سجل التحفيز'!$AC$5:$AC$2004,0)))</f>
        <v/>
      </c>
      <c r="P212" s="36">
        <f>IF($K212="","",INDEX('سجل التحفيز'!$D$5:$D$2004,MATCH($K212,'سجل التحفيز'!$AC$5:$AC$2004,0)))</f>
        <v/>
      </c>
      <c r="Q212" s="9">
        <f>IF($K212="","",INDEX('سجل التحفيز'!$E$5:$E$2004,MATCH($K212,'سجل التحفيز'!$AC$5:$AC$2004,0)))</f>
        <v/>
      </c>
      <c r="R212" s="9">
        <f>IF($K212="","",INDEX('سجل التحفيز'!$F$5:$F$2004,MATCH($K212,'سجل التحفيز'!$AC$5:$AC$2004,0)))</f>
        <v/>
      </c>
      <c r="S212" s="35">
        <f>IF($K212="","",INDEX('سجل التحفيز'!$G$5:$G$2004,MATCH($K212,'سجل التحفيز'!$AC$5:$AC$2004,0)))</f>
        <v/>
      </c>
    </row>
    <row r="213">
      <c r="K213" s="36">
        <f>IF(176&gt;$B$10,"",176)</f>
        <v/>
      </c>
      <c r="L213" s="37">
        <f>IF($K213="","",INDEX('سجل التحفيز'!$A$5:$A$2004,MATCH($K213,'سجل التحفيز'!$AC$5:$AC$2004,0)))</f>
        <v/>
      </c>
      <c r="M213" s="9">
        <f>IF($K213="","",INDEX('سجل التحفيز'!$B$5:$B$2004,MATCH($K213,'سجل التحفيز'!$AC$5:$AC$2004,0)))</f>
        <v/>
      </c>
      <c r="N213" s="9">
        <f>IF($K213="","",INDEX('سجل التحفيز'!$M$5:$M$2004,MATCH($K213,'سجل التحفيز'!$AC$5:$AC$2004,0)))</f>
        <v/>
      </c>
      <c r="O213" s="9">
        <f>IF($K213="","",INDEX('سجل التحفيز'!$C$5:$C$2004,MATCH($K213,'سجل التحفيز'!$AC$5:$AC$2004,0)))</f>
        <v/>
      </c>
      <c r="P213" s="36">
        <f>IF($K213="","",INDEX('سجل التحفيز'!$D$5:$D$2004,MATCH($K213,'سجل التحفيز'!$AC$5:$AC$2004,0)))</f>
        <v/>
      </c>
      <c r="Q213" s="9">
        <f>IF($K213="","",INDEX('سجل التحفيز'!$E$5:$E$2004,MATCH($K213,'سجل التحفيز'!$AC$5:$AC$2004,0)))</f>
        <v/>
      </c>
      <c r="R213" s="9">
        <f>IF($K213="","",INDEX('سجل التحفيز'!$F$5:$F$2004,MATCH($K213,'سجل التحفيز'!$AC$5:$AC$2004,0)))</f>
        <v/>
      </c>
      <c r="S213" s="35">
        <f>IF($K213="","",INDEX('سجل التحفيز'!$G$5:$G$2004,MATCH($K213,'سجل التحفيز'!$AC$5:$AC$2004,0)))</f>
        <v/>
      </c>
    </row>
    <row r="214">
      <c r="K214" s="36">
        <f>IF(177&gt;$B$10,"",177)</f>
        <v/>
      </c>
      <c r="L214" s="37">
        <f>IF($K214="","",INDEX('سجل التحفيز'!$A$5:$A$2004,MATCH($K214,'سجل التحفيز'!$AC$5:$AC$2004,0)))</f>
        <v/>
      </c>
      <c r="M214" s="9">
        <f>IF($K214="","",INDEX('سجل التحفيز'!$B$5:$B$2004,MATCH($K214,'سجل التحفيز'!$AC$5:$AC$2004,0)))</f>
        <v/>
      </c>
      <c r="N214" s="9">
        <f>IF($K214="","",INDEX('سجل التحفيز'!$M$5:$M$2004,MATCH($K214,'سجل التحفيز'!$AC$5:$AC$2004,0)))</f>
        <v/>
      </c>
      <c r="O214" s="9">
        <f>IF($K214="","",INDEX('سجل التحفيز'!$C$5:$C$2004,MATCH($K214,'سجل التحفيز'!$AC$5:$AC$2004,0)))</f>
        <v/>
      </c>
      <c r="P214" s="36">
        <f>IF($K214="","",INDEX('سجل التحفيز'!$D$5:$D$2004,MATCH($K214,'سجل التحفيز'!$AC$5:$AC$2004,0)))</f>
        <v/>
      </c>
      <c r="Q214" s="9">
        <f>IF($K214="","",INDEX('سجل التحفيز'!$E$5:$E$2004,MATCH($K214,'سجل التحفيز'!$AC$5:$AC$2004,0)))</f>
        <v/>
      </c>
      <c r="R214" s="9">
        <f>IF($K214="","",INDEX('سجل التحفيز'!$F$5:$F$2004,MATCH($K214,'سجل التحفيز'!$AC$5:$AC$2004,0)))</f>
        <v/>
      </c>
      <c r="S214" s="35">
        <f>IF($K214="","",INDEX('سجل التحفيز'!$G$5:$G$2004,MATCH($K214,'سجل التحفيز'!$AC$5:$AC$2004,0)))</f>
        <v/>
      </c>
    </row>
    <row r="215">
      <c r="K215" s="36">
        <f>IF(178&gt;$B$10,"",178)</f>
        <v/>
      </c>
      <c r="L215" s="37">
        <f>IF($K215="","",INDEX('سجل التحفيز'!$A$5:$A$2004,MATCH($K215,'سجل التحفيز'!$AC$5:$AC$2004,0)))</f>
        <v/>
      </c>
      <c r="M215" s="9">
        <f>IF($K215="","",INDEX('سجل التحفيز'!$B$5:$B$2004,MATCH($K215,'سجل التحفيز'!$AC$5:$AC$2004,0)))</f>
        <v/>
      </c>
      <c r="N215" s="9">
        <f>IF($K215="","",INDEX('سجل التحفيز'!$M$5:$M$2004,MATCH($K215,'سجل التحفيز'!$AC$5:$AC$2004,0)))</f>
        <v/>
      </c>
      <c r="O215" s="9">
        <f>IF($K215="","",INDEX('سجل التحفيز'!$C$5:$C$2004,MATCH($K215,'سجل التحفيز'!$AC$5:$AC$2004,0)))</f>
        <v/>
      </c>
      <c r="P215" s="36">
        <f>IF($K215="","",INDEX('سجل التحفيز'!$D$5:$D$2004,MATCH($K215,'سجل التحفيز'!$AC$5:$AC$2004,0)))</f>
        <v/>
      </c>
      <c r="Q215" s="9">
        <f>IF($K215="","",INDEX('سجل التحفيز'!$E$5:$E$2004,MATCH($K215,'سجل التحفيز'!$AC$5:$AC$2004,0)))</f>
        <v/>
      </c>
      <c r="R215" s="9">
        <f>IF($K215="","",INDEX('سجل التحفيز'!$F$5:$F$2004,MATCH($K215,'سجل التحفيز'!$AC$5:$AC$2004,0)))</f>
        <v/>
      </c>
      <c r="S215" s="35">
        <f>IF($K215="","",INDEX('سجل التحفيز'!$G$5:$G$2004,MATCH($K215,'سجل التحفيز'!$AC$5:$AC$2004,0)))</f>
        <v/>
      </c>
    </row>
    <row r="216">
      <c r="K216" s="36">
        <f>IF(179&gt;$B$10,"",179)</f>
        <v/>
      </c>
      <c r="L216" s="37">
        <f>IF($K216="","",INDEX('سجل التحفيز'!$A$5:$A$2004,MATCH($K216,'سجل التحفيز'!$AC$5:$AC$2004,0)))</f>
        <v/>
      </c>
      <c r="M216" s="9">
        <f>IF($K216="","",INDEX('سجل التحفيز'!$B$5:$B$2004,MATCH($K216,'سجل التحفيز'!$AC$5:$AC$2004,0)))</f>
        <v/>
      </c>
      <c r="N216" s="9">
        <f>IF($K216="","",INDEX('سجل التحفيز'!$M$5:$M$2004,MATCH($K216,'سجل التحفيز'!$AC$5:$AC$2004,0)))</f>
        <v/>
      </c>
      <c r="O216" s="9">
        <f>IF($K216="","",INDEX('سجل التحفيز'!$C$5:$C$2004,MATCH($K216,'سجل التحفيز'!$AC$5:$AC$2004,0)))</f>
        <v/>
      </c>
      <c r="P216" s="36">
        <f>IF($K216="","",INDEX('سجل التحفيز'!$D$5:$D$2004,MATCH($K216,'سجل التحفيز'!$AC$5:$AC$2004,0)))</f>
        <v/>
      </c>
      <c r="Q216" s="9">
        <f>IF($K216="","",INDEX('سجل التحفيز'!$E$5:$E$2004,MATCH($K216,'سجل التحفيز'!$AC$5:$AC$2004,0)))</f>
        <v/>
      </c>
      <c r="R216" s="9">
        <f>IF($K216="","",INDEX('سجل التحفيز'!$F$5:$F$2004,MATCH($K216,'سجل التحفيز'!$AC$5:$AC$2004,0)))</f>
        <v/>
      </c>
      <c r="S216" s="35">
        <f>IF($K216="","",INDEX('سجل التحفيز'!$G$5:$G$2004,MATCH($K216,'سجل التحفيز'!$AC$5:$AC$2004,0)))</f>
        <v/>
      </c>
    </row>
    <row r="217">
      <c r="K217" s="36">
        <f>IF(180&gt;$B$10,"",180)</f>
        <v/>
      </c>
      <c r="L217" s="37">
        <f>IF($K217="","",INDEX('سجل التحفيز'!$A$5:$A$2004,MATCH($K217,'سجل التحفيز'!$AC$5:$AC$2004,0)))</f>
        <v/>
      </c>
      <c r="M217" s="9">
        <f>IF($K217="","",INDEX('سجل التحفيز'!$B$5:$B$2004,MATCH($K217,'سجل التحفيز'!$AC$5:$AC$2004,0)))</f>
        <v/>
      </c>
      <c r="N217" s="9">
        <f>IF($K217="","",INDEX('سجل التحفيز'!$M$5:$M$2004,MATCH($K217,'سجل التحفيز'!$AC$5:$AC$2004,0)))</f>
        <v/>
      </c>
      <c r="O217" s="9">
        <f>IF($K217="","",INDEX('سجل التحفيز'!$C$5:$C$2004,MATCH($K217,'سجل التحفيز'!$AC$5:$AC$2004,0)))</f>
        <v/>
      </c>
      <c r="P217" s="36">
        <f>IF($K217="","",INDEX('سجل التحفيز'!$D$5:$D$2004,MATCH($K217,'سجل التحفيز'!$AC$5:$AC$2004,0)))</f>
        <v/>
      </c>
      <c r="Q217" s="9">
        <f>IF($K217="","",INDEX('سجل التحفيز'!$E$5:$E$2004,MATCH($K217,'سجل التحفيز'!$AC$5:$AC$2004,0)))</f>
        <v/>
      </c>
      <c r="R217" s="9">
        <f>IF($K217="","",INDEX('سجل التحفيز'!$F$5:$F$2004,MATCH($K217,'سجل التحفيز'!$AC$5:$AC$2004,0)))</f>
        <v/>
      </c>
      <c r="S217" s="35">
        <f>IF($K217="","",INDEX('سجل التحفيز'!$G$5:$G$2004,MATCH($K217,'سجل التحفيز'!$AC$5:$AC$2004,0)))</f>
        <v/>
      </c>
    </row>
    <row r="218">
      <c r="K218" s="36">
        <f>IF(181&gt;$B$10,"",181)</f>
        <v/>
      </c>
      <c r="L218" s="37">
        <f>IF($K218="","",INDEX('سجل التحفيز'!$A$5:$A$2004,MATCH($K218,'سجل التحفيز'!$AC$5:$AC$2004,0)))</f>
        <v/>
      </c>
      <c r="M218" s="9">
        <f>IF($K218="","",INDEX('سجل التحفيز'!$B$5:$B$2004,MATCH($K218,'سجل التحفيز'!$AC$5:$AC$2004,0)))</f>
        <v/>
      </c>
      <c r="N218" s="9">
        <f>IF($K218="","",INDEX('سجل التحفيز'!$M$5:$M$2004,MATCH($K218,'سجل التحفيز'!$AC$5:$AC$2004,0)))</f>
        <v/>
      </c>
      <c r="O218" s="9">
        <f>IF($K218="","",INDEX('سجل التحفيز'!$C$5:$C$2004,MATCH($K218,'سجل التحفيز'!$AC$5:$AC$2004,0)))</f>
        <v/>
      </c>
      <c r="P218" s="36">
        <f>IF($K218="","",INDEX('سجل التحفيز'!$D$5:$D$2004,MATCH($K218,'سجل التحفيز'!$AC$5:$AC$2004,0)))</f>
        <v/>
      </c>
      <c r="Q218" s="9">
        <f>IF($K218="","",INDEX('سجل التحفيز'!$E$5:$E$2004,MATCH($K218,'سجل التحفيز'!$AC$5:$AC$2004,0)))</f>
        <v/>
      </c>
      <c r="R218" s="9">
        <f>IF($K218="","",INDEX('سجل التحفيز'!$F$5:$F$2004,MATCH($K218,'سجل التحفيز'!$AC$5:$AC$2004,0)))</f>
        <v/>
      </c>
      <c r="S218" s="35">
        <f>IF($K218="","",INDEX('سجل التحفيز'!$G$5:$G$2004,MATCH($K218,'سجل التحفيز'!$AC$5:$AC$2004,0)))</f>
        <v/>
      </c>
    </row>
    <row r="219">
      <c r="K219" s="36">
        <f>IF(182&gt;$B$10,"",182)</f>
        <v/>
      </c>
      <c r="L219" s="37">
        <f>IF($K219="","",INDEX('سجل التحفيز'!$A$5:$A$2004,MATCH($K219,'سجل التحفيز'!$AC$5:$AC$2004,0)))</f>
        <v/>
      </c>
      <c r="M219" s="9">
        <f>IF($K219="","",INDEX('سجل التحفيز'!$B$5:$B$2004,MATCH($K219,'سجل التحفيز'!$AC$5:$AC$2004,0)))</f>
        <v/>
      </c>
      <c r="N219" s="9">
        <f>IF($K219="","",INDEX('سجل التحفيز'!$M$5:$M$2004,MATCH($K219,'سجل التحفيز'!$AC$5:$AC$2004,0)))</f>
        <v/>
      </c>
      <c r="O219" s="9">
        <f>IF($K219="","",INDEX('سجل التحفيز'!$C$5:$C$2004,MATCH($K219,'سجل التحفيز'!$AC$5:$AC$2004,0)))</f>
        <v/>
      </c>
      <c r="P219" s="36">
        <f>IF($K219="","",INDEX('سجل التحفيز'!$D$5:$D$2004,MATCH($K219,'سجل التحفيز'!$AC$5:$AC$2004,0)))</f>
        <v/>
      </c>
      <c r="Q219" s="9">
        <f>IF($K219="","",INDEX('سجل التحفيز'!$E$5:$E$2004,MATCH($K219,'سجل التحفيز'!$AC$5:$AC$2004,0)))</f>
        <v/>
      </c>
      <c r="R219" s="9">
        <f>IF($K219="","",INDEX('سجل التحفيز'!$F$5:$F$2004,MATCH($K219,'سجل التحفيز'!$AC$5:$AC$2004,0)))</f>
        <v/>
      </c>
      <c r="S219" s="35">
        <f>IF($K219="","",INDEX('سجل التحفيز'!$G$5:$G$2004,MATCH($K219,'سجل التحفيز'!$AC$5:$AC$2004,0)))</f>
        <v/>
      </c>
    </row>
    <row r="220">
      <c r="K220" s="36">
        <f>IF(183&gt;$B$10,"",183)</f>
        <v/>
      </c>
      <c r="L220" s="37">
        <f>IF($K220="","",INDEX('سجل التحفيز'!$A$5:$A$2004,MATCH($K220,'سجل التحفيز'!$AC$5:$AC$2004,0)))</f>
        <v/>
      </c>
      <c r="M220" s="9">
        <f>IF($K220="","",INDEX('سجل التحفيز'!$B$5:$B$2004,MATCH($K220,'سجل التحفيز'!$AC$5:$AC$2004,0)))</f>
        <v/>
      </c>
      <c r="N220" s="9">
        <f>IF($K220="","",INDEX('سجل التحفيز'!$M$5:$M$2004,MATCH($K220,'سجل التحفيز'!$AC$5:$AC$2004,0)))</f>
        <v/>
      </c>
      <c r="O220" s="9">
        <f>IF($K220="","",INDEX('سجل التحفيز'!$C$5:$C$2004,MATCH($K220,'سجل التحفيز'!$AC$5:$AC$2004,0)))</f>
        <v/>
      </c>
      <c r="P220" s="36">
        <f>IF($K220="","",INDEX('سجل التحفيز'!$D$5:$D$2004,MATCH($K220,'سجل التحفيز'!$AC$5:$AC$2004,0)))</f>
        <v/>
      </c>
      <c r="Q220" s="9">
        <f>IF($K220="","",INDEX('سجل التحفيز'!$E$5:$E$2004,MATCH($K220,'سجل التحفيز'!$AC$5:$AC$2004,0)))</f>
        <v/>
      </c>
      <c r="R220" s="9">
        <f>IF($K220="","",INDEX('سجل التحفيز'!$F$5:$F$2004,MATCH($K220,'سجل التحفيز'!$AC$5:$AC$2004,0)))</f>
        <v/>
      </c>
      <c r="S220" s="35">
        <f>IF($K220="","",INDEX('سجل التحفيز'!$G$5:$G$2004,MATCH($K220,'سجل التحفيز'!$AC$5:$AC$2004,0)))</f>
        <v/>
      </c>
    </row>
    <row r="221">
      <c r="K221" s="36">
        <f>IF(184&gt;$B$10,"",184)</f>
        <v/>
      </c>
      <c r="L221" s="37">
        <f>IF($K221="","",INDEX('سجل التحفيز'!$A$5:$A$2004,MATCH($K221,'سجل التحفيز'!$AC$5:$AC$2004,0)))</f>
        <v/>
      </c>
      <c r="M221" s="9">
        <f>IF($K221="","",INDEX('سجل التحفيز'!$B$5:$B$2004,MATCH($K221,'سجل التحفيز'!$AC$5:$AC$2004,0)))</f>
        <v/>
      </c>
      <c r="N221" s="9">
        <f>IF($K221="","",INDEX('سجل التحفيز'!$M$5:$M$2004,MATCH($K221,'سجل التحفيز'!$AC$5:$AC$2004,0)))</f>
        <v/>
      </c>
      <c r="O221" s="9">
        <f>IF($K221="","",INDEX('سجل التحفيز'!$C$5:$C$2004,MATCH($K221,'سجل التحفيز'!$AC$5:$AC$2004,0)))</f>
        <v/>
      </c>
      <c r="P221" s="36">
        <f>IF($K221="","",INDEX('سجل التحفيز'!$D$5:$D$2004,MATCH($K221,'سجل التحفيز'!$AC$5:$AC$2004,0)))</f>
        <v/>
      </c>
      <c r="Q221" s="9">
        <f>IF($K221="","",INDEX('سجل التحفيز'!$E$5:$E$2004,MATCH($K221,'سجل التحفيز'!$AC$5:$AC$2004,0)))</f>
        <v/>
      </c>
      <c r="R221" s="9">
        <f>IF($K221="","",INDEX('سجل التحفيز'!$F$5:$F$2004,MATCH($K221,'سجل التحفيز'!$AC$5:$AC$2004,0)))</f>
        <v/>
      </c>
      <c r="S221" s="35">
        <f>IF($K221="","",INDEX('سجل التحفيز'!$G$5:$G$2004,MATCH($K221,'سجل التحفيز'!$AC$5:$AC$2004,0)))</f>
        <v/>
      </c>
    </row>
    <row r="222">
      <c r="K222" s="36">
        <f>IF(185&gt;$B$10,"",185)</f>
        <v/>
      </c>
      <c r="L222" s="37">
        <f>IF($K222="","",INDEX('سجل التحفيز'!$A$5:$A$2004,MATCH($K222,'سجل التحفيز'!$AC$5:$AC$2004,0)))</f>
        <v/>
      </c>
      <c r="M222" s="9">
        <f>IF($K222="","",INDEX('سجل التحفيز'!$B$5:$B$2004,MATCH($K222,'سجل التحفيز'!$AC$5:$AC$2004,0)))</f>
        <v/>
      </c>
      <c r="N222" s="9">
        <f>IF($K222="","",INDEX('سجل التحفيز'!$M$5:$M$2004,MATCH($K222,'سجل التحفيز'!$AC$5:$AC$2004,0)))</f>
        <v/>
      </c>
      <c r="O222" s="9">
        <f>IF($K222="","",INDEX('سجل التحفيز'!$C$5:$C$2004,MATCH($K222,'سجل التحفيز'!$AC$5:$AC$2004,0)))</f>
        <v/>
      </c>
      <c r="P222" s="36">
        <f>IF($K222="","",INDEX('سجل التحفيز'!$D$5:$D$2004,MATCH($K222,'سجل التحفيز'!$AC$5:$AC$2004,0)))</f>
        <v/>
      </c>
      <c r="Q222" s="9">
        <f>IF($K222="","",INDEX('سجل التحفيز'!$E$5:$E$2004,MATCH($K222,'سجل التحفيز'!$AC$5:$AC$2004,0)))</f>
        <v/>
      </c>
      <c r="R222" s="9">
        <f>IF($K222="","",INDEX('سجل التحفيز'!$F$5:$F$2004,MATCH($K222,'سجل التحفيز'!$AC$5:$AC$2004,0)))</f>
        <v/>
      </c>
      <c r="S222" s="35">
        <f>IF($K222="","",INDEX('سجل التحفيز'!$G$5:$G$2004,MATCH($K222,'سجل التحفيز'!$AC$5:$AC$2004,0)))</f>
        <v/>
      </c>
    </row>
    <row r="223">
      <c r="K223" s="36">
        <f>IF(186&gt;$B$10,"",186)</f>
        <v/>
      </c>
      <c r="L223" s="37">
        <f>IF($K223="","",INDEX('سجل التحفيز'!$A$5:$A$2004,MATCH($K223,'سجل التحفيز'!$AC$5:$AC$2004,0)))</f>
        <v/>
      </c>
      <c r="M223" s="9">
        <f>IF($K223="","",INDEX('سجل التحفيز'!$B$5:$B$2004,MATCH($K223,'سجل التحفيز'!$AC$5:$AC$2004,0)))</f>
        <v/>
      </c>
      <c r="N223" s="9">
        <f>IF($K223="","",INDEX('سجل التحفيز'!$M$5:$M$2004,MATCH($K223,'سجل التحفيز'!$AC$5:$AC$2004,0)))</f>
        <v/>
      </c>
      <c r="O223" s="9">
        <f>IF($K223="","",INDEX('سجل التحفيز'!$C$5:$C$2004,MATCH($K223,'سجل التحفيز'!$AC$5:$AC$2004,0)))</f>
        <v/>
      </c>
      <c r="P223" s="36">
        <f>IF($K223="","",INDEX('سجل التحفيز'!$D$5:$D$2004,MATCH($K223,'سجل التحفيز'!$AC$5:$AC$2004,0)))</f>
        <v/>
      </c>
      <c r="Q223" s="9">
        <f>IF($K223="","",INDEX('سجل التحفيز'!$E$5:$E$2004,MATCH($K223,'سجل التحفيز'!$AC$5:$AC$2004,0)))</f>
        <v/>
      </c>
      <c r="R223" s="9">
        <f>IF($K223="","",INDEX('سجل التحفيز'!$F$5:$F$2004,MATCH($K223,'سجل التحفيز'!$AC$5:$AC$2004,0)))</f>
        <v/>
      </c>
      <c r="S223" s="35">
        <f>IF($K223="","",INDEX('سجل التحفيز'!$G$5:$G$2004,MATCH($K223,'سجل التحفيز'!$AC$5:$AC$2004,0)))</f>
        <v/>
      </c>
    </row>
    <row r="224">
      <c r="K224" s="36">
        <f>IF(187&gt;$B$10,"",187)</f>
        <v/>
      </c>
      <c r="L224" s="37">
        <f>IF($K224="","",INDEX('سجل التحفيز'!$A$5:$A$2004,MATCH($K224,'سجل التحفيز'!$AC$5:$AC$2004,0)))</f>
        <v/>
      </c>
      <c r="M224" s="9">
        <f>IF($K224="","",INDEX('سجل التحفيز'!$B$5:$B$2004,MATCH($K224,'سجل التحفيز'!$AC$5:$AC$2004,0)))</f>
        <v/>
      </c>
      <c r="N224" s="9">
        <f>IF($K224="","",INDEX('سجل التحفيز'!$M$5:$M$2004,MATCH($K224,'سجل التحفيز'!$AC$5:$AC$2004,0)))</f>
        <v/>
      </c>
      <c r="O224" s="9">
        <f>IF($K224="","",INDEX('سجل التحفيز'!$C$5:$C$2004,MATCH($K224,'سجل التحفيز'!$AC$5:$AC$2004,0)))</f>
        <v/>
      </c>
      <c r="P224" s="36">
        <f>IF($K224="","",INDEX('سجل التحفيز'!$D$5:$D$2004,MATCH($K224,'سجل التحفيز'!$AC$5:$AC$2004,0)))</f>
        <v/>
      </c>
      <c r="Q224" s="9">
        <f>IF($K224="","",INDEX('سجل التحفيز'!$E$5:$E$2004,MATCH($K224,'سجل التحفيز'!$AC$5:$AC$2004,0)))</f>
        <v/>
      </c>
      <c r="R224" s="9">
        <f>IF($K224="","",INDEX('سجل التحفيز'!$F$5:$F$2004,MATCH($K224,'سجل التحفيز'!$AC$5:$AC$2004,0)))</f>
        <v/>
      </c>
      <c r="S224" s="35">
        <f>IF($K224="","",INDEX('سجل التحفيز'!$G$5:$G$2004,MATCH($K224,'سجل التحفيز'!$AC$5:$AC$2004,0)))</f>
        <v/>
      </c>
    </row>
    <row r="225">
      <c r="K225" s="36">
        <f>IF(188&gt;$B$10,"",188)</f>
        <v/>
      </c>
      <c r="L225" s="37">
        <f>IF($K225="","",INDEX('سجل التحفيز'!$A$5:$A$2004,MATCH($K225,'سجل التحفيز'!$AC$5:$AC$2004,0)))</f>
        <v/>
      </c>
      <c r="M225" s="9">
        <f>IF($K225="","",INDEX('سجل التحفيز'!$B$5:$B$2004,MATCH($K225,'سجل التحفيز'!$AC$5:$AC$2004,0)))</f>
        <v/>
      </c>
      <c r="N225" s="9">
        <f>IF($K225="","",INDEX('سجل التحفيز'!$M$5:$M$2004,MATCH($K225,'سجل التحفيز'!$AC$5:$AC$2004,0)))</f>
        <v/>
      </c>
      <c r="O225" s="9">
        <f>IF($K225="","",INDEX('سجل التحفيز'!$C$5:$C$2004,MATCH($K225,'سجل التحفيز'!$AC$5:$AC$2004,0)))</f>
        <v/>
      </c>
      <c r="P225" s="36">
        <f>IF($K225="","",INDEX('سجل التحفيز'!$D$5:$D$2004,MATCH($K225,'سجل التحفيز'!$AC$5:$AC$2004,0)))</f>
        <v/>
      </c>
      <c r="Q225" s="9">
        <f>IF($K225="","",INDEX('سجل التحفيز'!$E$5:$E$2004,MATCH($K225,'سجل التحفيز'!$AC$5:$AC$2004,0)))</f>
        <v/>
      </c>
      <c r="R225" s="9">
        <f>IF($K225="","",INDEX('سجل التحفيز'!$F$5:$F$2004,MATCH($K225,'سجل التحفيز'!$AC$5:$AC$2004,0)))</f>
        <v/>
      </c>
      <c r="S225" s="35">
        <f>IF($K225="","",INDEX('سجل التحفيز'!$G$5:$G$2004,MATCH($K225,'سجل التحفيز'!$AC$5:$AC$2004,0)))</f>
        <v/>
      </c>
    </row>
    <row r="226">
      <c r="K226" s="36">
        <f>IF(189&gt;$B$10,"",189)</f>
        <v/>
      </c>
      <c r="L226" s="37">
        <f>IF($K226="","",INDEX('سجل التحفيز'!$A$5:$A$2004,MATCH($K226,'سجل التحفيز'!$AC$5:$AC$2004,0)))</f>
        <v/>
      </c>
      <c r="M226" s="9">
        <f>IF($K226="","",INDEX('سجل التحفيز'!$B$5:$B$2004,MATCH($K226,'سجل التحفيز'!$AC$5:$AC$2004,0)))</f>
        <v/>
      </c>
      <c r="N226" s="9">
        <f>IF($K226="","",INDEX('سجل التحفيز'!$M$5:$M$2004,MATCH($K226,'سجل التحفيز'!$AC$5:$AC$2004,0)))</f>
        <v/>
      </c>
      <c r="O226" s="9">
        <f>IF($K226="","",INDEX('سجل التحفيز'!$C$5:$C$2004,MATCH($K226,'سجل التحفيز'!$AC$5:$AC$2004,0)))</f>
        <v/>
      </c>
      <c r="P226" s="36">
        <f>IF($K226="","",INDEX('سجل التحفيز'!$D$5:$D$2004,MATCH($K226,'سجل التحفيز'!$AC$5:$AC$2004,0)))</f>
        <v/>
      </c>
      <c r="Q226" s="9">
        <f>IF($K226="","",INDEX('سجل التحفيز'!$E$5:$E$2004,MATCH($K226,'سجل التحفيز'!$AC$5:$AC$2004,0)))</f>
        <v/>
      </c>
      <c r="R226" s="9">
        <f>IF($K226="","",INDEX('سجل التحفيز'!$F$5:$F$2004,MATCH($K226,'سجل التحفيز'!$AC$5:$AC$2004,0)))</f>
        <v/>
      </c>
      <c r="S226" s="35">
        <f>IF($K226="","",INDEX('سجل التحفيز'!$G$5:$G$2004,MATCH($K226,'سجل التحفيز'!$AC$5:$AC$2004,0)))</f>
        <v/>
      </c>
    </row>
    <row r="227">
      <c r="K227" s="36">
        <f>IF(190&gt;$B$10,"",190)</f>
        <v/>
      </c>
      <c r="L227" s="37">
        <f>IF($K227="","",INDEX('سجل التحفيز'!$A$5:$A$2004,MATCH($K227,'سجل التحفيز'!$AC$5:$AC$2004,0)))</f>
        <v/>
      </c>
      <c r="M227" s="9">
        <f>IF($K227="","",INDEX('سجل التحفيز'!$B$5:$B$2004,MATCH($K227,'سجل التحفيز'!$AC$5:$AC$2004,0)))</f>
        <v/>
      </c>
      <c r="N227" s="9">
        <f>IF($K227="","",INDEX('سجل التحفيز'!$M$5:$M$2004,MATCH($K227,'سجل التحفيز'!$AC$5:$AC$2004,0)))</f>
        <v/>
      </c>
      <c r="O227" s="9">
        <f>IF($K227="","",INDEX('سجل التحفيز'!$C$5:$C$2004,MATCH($K227,'سجل التحفيز'!$AC$5:$AC$2004,0)))</f>
        <v/>
      </c>
      <c r="P227" s="36">
        <f>IF($K227="","",INDEX('سجل التحفيز'!$D$5:$D$2004,MATCH($K227,'سجل التحفيز'!$AC$5:$AC$2004,0)))</f>
        <v/>
      </c>
      <c r="Q227" s="9">
        <f>IF($K227="","",INDEX('سجل التحفيز'!$E$5:$E$2004,MATCH($K227,'سجل التحفيز'!$AC$5:$AC$2004,0)))</f>
        <v/>
      </c>
      <c r="R227" s="9">
        <f>IF($K227="","",INDEX('سجل التحفيز'!$F$5:$F$2004,MATCH($K227,'سجل التحفيز'!$AC$5:$AC$2004,0)))</f>
        <v/>
      </c>
      <c r="S227" s="35">
        <f>IF($K227="","",INDEX('سجل التحفيز'!$G$5:$G$2004,MATCH($K227,'سجل التحفيز'!$AC$5:$AC$2004,0)))</f>
        <v/>
      </c>
    </row>
    <row r="228">
      <c r="K228" s="36">
        <f>IF(191&gt;$B$10,"",191)</f>
        <v/>
      </c>
      <c r="L228" s="37">
        <f>IF($K228="","",INDEX('سجل التحفيز'!$A$5:$A$2004,MATCH($K228,'سجل التحفيز'!$AC$5:$AC$2004,0)))</f>
        <v/>
      </c>
      <c r="M228" s="9">
        <f>IF($K228="","",INDEX('سجل التحفيز'!$B$5:$B$2004,MATCH($K228,'سجل التحفيز'!$AC$5:$AC$2004,0)))</f>
        <v/>
      </c>
      <c r="N228" s="9">
        <f>IF($K228="","",INDEX('سجل التحفيز'!$M$5:$M$2004,MATCH($K228,'سجل التحفيز'!$AC$5:$AC$2004,0)))</f>
        <v/>
      </c>
      <c r="O228" s="9">
        <f>IF($K228="","",INDEX('سجل التحفيز'!$C$5:$C$2004,MATCH($K228,'سجل التحفيز'!$AC$5:$AC$2004,0)))</f>
        <v/>
      </c>
      <c r="P228" s="36">
        <f>IF($K228="","",INDEX('سجل التحفيز'!$D$5:$D$2004,MATCH($K228,'سجل التحفيز'!$AC$5:$AC$2004,0)))</f>
        <v/>
      </c>
      <c r="Q228" s="9">
        <f>IF($K228="","",INDEX('سجل التحفيز'!$E$5:$E$2004,MATCH($K228,'سجل التحفيز'!$AC$5:$AC$2004,0)))</f>
        <v/>
      </c>
      <c r="R228" s="9">
        <f>IF($K228="","",INDEX('سجل التحفيز'!$F$5:$F$2004,MATCH($K228,'سجل التحفيز'!$AC$5:$AC$2004,0)))</f>
        <v/>
      </c>
      <c r="S228" s="35">
        <f>IF($K228="","",INDEX('سجل التحفيز'!$G$5:$G$2004,MATCH($K228,'سجل التحفيز'!$AC$5:$AC$2004,0)))</f>
        <v/>
      </c>
    </row>
    <row r="229">
      <c r="K229" s="36">
        <f>IF(192&gt;$B$10,"",192)</f>
        <v/>
      </c>
      <c r="L229" s="37">
        <f>IF($K229="","",INDEX('سجل التحفيز'!$A$5:$A$2004,MATCH($K229,'سجل التحفيز'!$AC$5:$AC$2004,0)))</f>
        <v/>
      </c>
      <c r="M229" s="9">
        <f>IF($K229="","",INDEX('سجل التحفيز'!$B$5:$B$2004,MATCH($K229,'سجل التحفيز'!$AC$5:$AC$2004,0)))</f>
        <v/>
      </c>
      <c r="N229" s="9">
        <f>IF($K229="","",INDEX('سجل التحفيز'!$M$5:$M$2004,MATCH($K229,'سجل التحفيز'!$AC$5:$AC$2004,0)))</f>
        <v/>
      </c>
      <c r="O229" s="9">
        <f>IF($K229="","",INDEX('سجل التحفيز'!$C$5:$C$2004,MATCH($K229,'سجل التحفيز'!$AC$5:$AC$2004,0)))</f>
        <v/>
      </c>
      <c r="P229" s="36">
        <f>IF($K229="","",INDEX('سجل التحفيز'!$D$5:$D$2004,MATCH($K229,'سجل التحفيز'!$AC$5:$AC$2004,0)))</f>
        <v/>
      </c>
      <c r="Q229" s="9">
        <f>IF($K229="","",INDEX('سجل التحفيز'!$E$5:$E$2004,MATCH($K229,'سجل التحفيز'!$AC$5:$AC$2004,0)))</f>
        <v/>
      </c>
      <c r="R229" s="9">
        <f>IF($K229="","",INDEX('سجل التحفيز'!$F$5:$F$2004,MATCH($K229,'سجل التحفيز'!$AC$5:$AC$2004,0)))</f>
        <v/>
      </c>
      <c r="S229" s="35">
        <f>IF($K229="","",INDEX('سجل التحفيز'!$G$5:$G$2004,MATCH($K229,'سجل التحفيز'!$AC$5:$AC$2004,0)))</f>
        <v/>
      </c>
    </row>
    <row r="230">
      <c r="K230" s="36">
        <f>IF(193&gt;$B$10,"",193)</f>
        <v/>
      </c>
      <c r="L230" s="37">
        <f>IF($K230="","",INDEX('سجل التحفيز'!$A$5:$A$2004,MATCH($K230,'سجل التحفيز'!$AC$5:$AC$2004,0)))</f>
        <v/>
      </c>
      <c r="M230" s="9">
        <f>IF($K230="","",INDEX('سجل التحفيز'!$B$5:$B$2004,MATCH($K230,'سجل التحفيز'!$AC$5:$AC$2004,0)))</f>
        <v/>
      </c>
      <c r="N230" s="9">
        <f>IF($K230="","",INDEX('سجل التحفيز'!$M$5:$M$2004,MATCH($K230,'سجل التحفيز'!$AC$5:$AC$2004,0)))</f>
        <v/>
      </c>
      <c r="O230" s="9">
        <f>IF($K230="","",INDEX('سجل التحفيز'!$C$5:$C$2004,MATCH($K230,'سجل التحفيز'!$AC$5:$AC$2004,0)))</f>
        <v/>
      </c>
      <c r="P230" s="36">
        <f>IF($K230="","",INDEX('سجل التحفيز'!$D$5:$D$2004,MATCH($K230,'سجل التحفيز'!$AC$5:$AC$2004,0)))</f>
        <v/>
      </c>
      <c r="Q230" s="9">
        <f>IF($K230="","",INDEX('سجل التحفيز'!$E$5:$E$2004,MATCH($K230,'سجل التحفيز'!$AC$5:$AC$2004,0)))</f>
        <v/>
      </c>
      <c r="R230" s="9">
        <f>IF($K230="","",INDEX('سجل التحفيز'!$F$5:$F$2004,MATCH($K230,'سجل التحفيز'!$AC$5:$AC$2004,0)))</f>
        <v/>
      </c>
      <c r="S230" s="35">
        <f>IF($K230="","",INDEX('سجل التحفيز'!$G$5:$G$2004,MATCH($K230,'سجل التحفيز'!$AC$5:$AC$2004,0)))</f>
        <v/>
      </c>
    </row>
    <row r="231">
      <c r="K231" s="36">
        <f>IF(194&gt;$B$10,"",194)</f>
        <v/>
      </c>
      <c r="L231" s="37">
        <f>IF($K231="","",INDEX('سجل التحفيز'!$A$5:$A$2004,MATCH($K231,'سجل التحفيز'!$AC$5:$AC$2004,0)))</f>
        <v/>
      </c>
      <c r="M231" s="9">
        <f>IF($K231="","",INDEX('سجل التحفيز'!$B$5:$B$2004,MATCH($K231,'سجل التحفيز'!$AC$5:$AC$2004,0)))</f>
        <v/>
      </c>
      <c r="N231" s="9">
        <f>IF($K231="","",INDEX('سجل التحفيز'!$M$5:$M$2004,MATCH($K231,'سجل التحفيز'!$AC$5:$AC$2004,0)))</f>
        <v/>
      </c>
      <c r="O231" s="9">
        <f>IF($K231="","",INDEX('سجل التحفيز'!$C$5:$C$2004,MATCH($K231,'سجل التحفيز'!$AC$5:$AC$2004,0)))</f>
        <v/>
      </c>
      <c r="P231" s="36">
        <f>IF($K231="","",INDEX('سجل التحفيز'!$D$5:$D$2004,MATCH($K231,'سجل التحفيز'!$AC$5:$AC$2004,0)))</f>
        <v/>
      </c>
      <c r="Q231" s="9">
        <f>IF($K231="","",INDEX('سجل التحفيز'!$E$5:$E$2004,MATCH($K231,'سجل التحفيز'!$AC$5:$AC$2004,0)))</f>
        <v/>
      </c>
      <c r="R231" s="9">
        <f>IF($K231="","",INDEX('سجل التحفيز'!$F$5:$F$2004,MATCH($K231,'سجل التحفيز'!$AC$5:$AC$2004,0)))</f>
        <v/>
      </c>
      <c r="S231" s="35">
        <f>IF($K231="","",INDEX('سجل التحفيز'!$G$5:$G$2004,MATCH($K231,'سجل التحفيز'!$AC$5:$AC$2004,0)))</f>
        <v/>
      </c>
    </row>
    <row r="232">
      <c r="K232" s="36">
        <f>IF(195&gt;$B$10,"",195)</f>
        <v/>
      </c>
      <c r="L232" s="37">
        <f>IF($K232="","",INDEX('سجل التحفيز'!$A$5:$A$2004,MATCH($K232,'سجل التحفيز'!$AC$5:$AC$2004,0)))</f>
        <v/>
      </c>
      <c r="M232" s="9">
        <f>IF($K232="","",INDEX('سجل التحفيز'!$B$5:$B$2004,MATCH($K232,'سجل التحفيز'!$AC$5:$AC$2004,0)))</f>
        <v/>
      </c>
      <c r="N232" s="9">
        <f>IF($K232="","",INDEX('سجل التحفيز'!$M$5:$M$2004,MATCH($K232,'سجل التحفيز'!$AC$5:$AC$2004,0)))</f>
        <v/>
      </c>
      <c r="O232" s="9">
        <f>IF($K232="","",INDEX('سجل التحفيز'!$C$5:$C$2004,MATCH($K232,'سجل التحفيز'!$AC$5:$AC$2004,0)))</f>
        <v/>
      </c>
      <c r="P232" s="36">
        <f>IF($K232="","",INDEX('سجل التحفيز'!$D$5:$D$2004,MATCH($K232,'سجل التحفيز'!$AC$5:$AC$2004,0)))</f>
        <v/>
      </c>
      <c r="Q232" s="9">
        <f>IF($K232="","",INDEX('سجل التحفيز'!$E$5:$E$2004,MATCH($K232,'سجل التحفيز'!$AC$5:$AC$2004,0)))</f>
        <v/>
      </c>
      <c r="R232" s="9">
        <f>IF($K232="","",INDEX('سجل التحفيز'!$F$5:$F$2004,MATCH($K232,'سجل التحفيز'!$AC$5:$AC$2004,0)))</f>
        <v/>
      </c>
      <c r="S232" s="35">
        <f>IF($K232="","",INDEX('سجل التحفيز'!$G$5:$G$2004,MATCH($K232,'سجل التحفيز'!$AC$5:$AC$2004,0)))</f>
        <v/>
      </c>
    </row>
    <row r="233">
      <c r="K233" s="36">
        <f>IF(196&gt;$B$10,"",196)</f>
        <v/>
      </c>
      <c r="L233" s="37">
        <f>IF($K233="","",INDEX('سجل التحفيز'!$A$5:$A$2004,MATCH($K233,'سجل التحفيز'!$AC$5:$AC$2004,0)))</f>
        <v/>
      </c>
      <c r="M233" s="9">
        <f>IF($K233="","",INDEX('سجل التحفيز'!$B$5:$B$2004,MATCH($K233,'سجل التحفيز'!$AC$5:$AC$2004,0)))</f>
        <v/>
      </c>
      <c r="N233" s="9">
        <f>IF($K233="","",INDEX('سجل التحفيز'!$M$5:$M$2004,MATCH($K233,'سجل التحفيز'!$AC$5:$AC$2004,0)))</f>
        <v/>
      </c>
      <c r="O233" s="9">
        <f>IF($K233="","",INDEX('سجل التحفيز'!$C$5:$C$2004,MATCH($K233,'سجل التحفيز'!$AC$5:$AC$2004,0)))</f>
        <v/>
      </c>
      <c r="P233" s="36">
        <f>IF($K233="","",INDEX('سجل التحفيز'!$D$5:$D$2004,MATCH($K233,'سجل التحفيز'!$AC$5:$AC$2004,0)))</f>
        <v/>
      </c>
      <c r="Q233" s="9">
        <f>IF($K233="","",INDEX('سجل التحفيز'!$E$5:$E$2004,MATCH($K233,'سجل التحفيز'!$AC$5:$AC$2004,0)))</f>
        <v/>
      </c>
      <c r="R233" s="9">
        <f>IF($K233="","",INDEX('سجل التحفيز'!$F$5:$F$2004,MATCH($K233,'سجل التحفيز'!$AC$5:$AC$2004,0)))</f>
        <v/>
      </c>
      <c r="S233" s="35">
        <f>IF($K233="","",INDEX('سجل التحفيز'!$G$5:$G$2004,MATCH($K233,'سجل التحفيز'!$AC$5:$AC$2004,0)))</f>
        <v/>
      </c>
    </row>
    <row r="234">
      <c r="K234" s="36">
        <f>IF(197&gt;$B$10,"",197)</f>
        <v/>
      </c>
      <c r="L234" s="37">
        <f>IF($K234="","",INDEX('سجل التحفيز'!$A$5:$A$2004,MATCH($K234,'سجل التحفيز'!$AC$5:$AC$2004,0)))</f>
        <v/>
      </c>
      <c r="M234" s="9">
        <f>IF($K234="","",INDEX('سجل التحفيز'!$B$5:$B$2004,MATCH($K234,'سجل التحفيز'!$AC$5:$AC$2004,0)))</f>
        <v/>
      </c>
      <c r="N234" s="9">
        <f>IF($K234="","",INDEX('سجل التحفيز'!$M$5:$M$2004,MATCH($K234,'سجل التحفيز'!$AC$5:$AC$2004,0)))</f>
        <v/>
      </c>
      <c r="O234" s="9">
        <f>IF($K234="","",INDEX('سجل التحفيز'!$C$5:$C$2004,MATCH($K234,'سجل التحفيز'!$AC$5:$AC$2004,0)))</f>
        <v/>
      </c>
      <c r="P234" s="36">
        <f>IF($K234="","",INDEX('سجل التحفيز'!$D$5:$D$2004,MATCH($K234,'سجل التحفيز'!$AC$5:$AC$2004,0)))</f>
        <v/>
      </c>
      <c r="Q234" s="9">
        <f>IF($K234="","",INDEX('سجل التحفيز'!$E$5:$E$2004,MATCH($K234,'سجل التحفيز'!$AC$5:$AC$2004,0)))</f>
        <v/>
      </c>
      <c r="R234" s="9">
        <f>IF($K234="","",INDEX('سجل التحفيز'!$F$5:$F$2004,MATCH($K234,'سجل التحفيز'!$AC$5:$AC$2004,0)))</f>
        <v/>
      </c>
      <c r="S234" s="35">
        <f>IF($K234="","",INDEX('سجل التحفيز'!$G$5:$G$2004,MATCH($K234,'سجل التحفيز'!$AC$5:$AC$2004,0)))</f>
        <v/>
      </c>
    </row>
    <row r="235">
      <c r="K235" s="36">
        <f>IF(198&gt;$B$10,"",198)</f>
        <v/>
      </c>
      <c r="L235" s="37">
        <f>IF($K235="","",INDEX('سجل التحفيز'!$A$5:$A$2004,MATCH($K235,'سجل التحفيز'!$AC$5:$AC$2004,0)))</f>
        <v/>
      </c>
      <c r="M235" s="9">
        <f>IF($K235="","",INDEX('سجل التحفيز'!$B$5:$B$2004,MATCH($K235,'سجل التحفيز'!$AC$5:$AC$2004,0)))</f>
        <v/>
      </c>
      <c r="N235" s="9">
        <f>IF($K235="","",INDEX('سجل التحفيز'!$M$5:$M$2004,MATCH($K235,'سجل التحفيز'!$AC$5:$AC$2004,0)))</f>
        <v/>
      </c>
      <c r="O235" s="9">
        <f>IF($K235="","",INDEX('سجل التحفيز'!$C$5:$C$2004,MATCH($K235,'سجل التحفيز'!$AC$5:$AC$2004,0)))</f>
        <v/>
      </c>
      <c r="P235" s="36">
        <f>IF($K235="","",INDEX('سجل التحفيز'!$D$5:$D$2004,MATCH($K235,'سجل التحفيز'!$AC$5:$AC$2004,0)))</f>
        <v/>
      </c>
      <c r="Q235" s="9">
        <f>IF($K235="","",INDEX('سجل التحفيز'!$E$5:$E$2004,MATCH($K235,'سجل التحفيز'!$AC$5:$AC$2004,0)))</f>
        <v/>
      </c>
      <c r="R235" s="9">
        <f>IF($K235="","",INDEX('سجل التحفيز'!$F$5:$F$2004,MATCH($K235,'سجل التحفيز'!$AC$5:$AC$2004,0)))</f>
        <v/>
      </c>
      <c r="S235" s="35">
        <f>IF($K235="","",INDEX('سجل التحفيز'!$G$5:$G$2004,MATCH($K235,'سجل التحفيز'!$AC$5:$AC$2004,0)))</f>
        <v/>
      </c>
    </row>
    <row r="236">
      <c r="K236" s="36">
        <f>IF(199&gt;$B$10,"",199)</f>
        <v/>
      </c>
      <c r="L236" s="37">
        <f>IF($K236="","",INDEX('سجل التحفيز'!$A$5:$A$2004,MATCH($K236,'سجل التحفيز'!$AC$5:$AC$2004,0)))</f>
        <v/>
      </c>
      <c r="M236" s="9">
        <f>IF($K236="","",INDEX('سجل التحفيز'!$B$5:$B$2004,MATCH($K236,'سجل التحفيز'!$AC$5:$AC$2004,0)))</f>
        <v/>
      </c>
      <c r="N236" s="9">
        <f>IF($K236="","",INDEX('سجل التحفيز'!$M$5:$M$2004,MATCH($K236,'سجل التحفيز'!$AC$5:$AC$2004,0)))</f>
        <v/>
      </c>
      <c r="O236" s="9">
        <f>IF($K236="","",INDEX('سجل التحفيز'!$C$5:$C$2004,MATCH($K236,'سجل التحفيز'!$AC$5:$AC$2004,0)))</f>
        <v/>
      </c>
      <c r="P236" s="36">
        <f>IF($K236="","",INDEX('سجل التحفيز'!$D$5:$D$2004,MATCH($K236,'سجل التحفيز'!$AC$5:$AC$2004,0)))</f>
        <v/>
      </c>
      <c r="Q236" s="9">
        <f>IF($K236="","",INDEX('سجل التحفيز'!$E$5:$E$2004,MATCH($K236,'سجل التحفيز'!$AC$5:$AC$2004,0)))</f>
        <v/>
      </c>
      <c r="R236" s="9">
        <f>IF($K236="","",INDEX('سجل التحفيز'!$F$5:$F$2004,MATCH($K236,'سجل التحفيز'!$AC$5:$AC$2004,0)))</f>
        <v/>
      </c>
      <c r="S236" s="35">
        <f>IF($K236="","",INDEX('سجل التحفيز'!$G$5:$G$2004,MATCH($K236,'سجل التحفيز'!$AC$5:$AC$2004,0)))</f>
        <v/>
      </c>
    </row>
    <row r="237">
      <c r="K237" s="36">
        <f>IF(200&gt;$B$10,"",200)</f>
        <v/>
      </c>
      <c r="L237" s="37">
        <f>IF($K237="","",INDEX('سجل التحفيز'!$A$5:$A$2004,MATCH($K237,'سجل التحفيز'!$AC$5:$AC$2004,0)))</f>
        <v/>
      </c>
      <c r="M237" s="9">
        <f>IF($K237="","",INDEX('سجل التحفيز'!$B$5:$B$2004,MATCH($K237,'سجل التحفيز'!$AC$5:$AC$2004,0)))</f>
        <v/>
      </c>
      <c r="N237" s="9">
        <f>IF($K237="","",INDEX('سجل التحفيز'!$M$5:$M$2004,MATCH($K237,'سجل التحفيز'!$AC$5:$AC$2004,0)))</f>
        <v/>
      </c>
      <c r="O237" s="9">
        <f>IF($K237="","",INDEX('سجل التحفيز'!$C$5:$C$2004,MATCH($K237,'سجل التحفيز'!$AC$5:$AC$2004,0)))</f>
        <v/>
      </c>
      <c r="P237" s="36">
        <f>IF($K237="","",INDEX('سجل التحفيز'!$D$5:$D$2004,MATCH($K237,'سجل التحفيز'!$AC$5:$AC$2004,0)))</f>
        <v/>
      </c>
      <c r="Q237" s="9">
        <f>IF($K237="","",INDEX('سجل التحفيز'!$E$5:$E$2004,MATCH($K237,'سجل التحفيز'!$AC$5:$AC$2004,0)))</f>
        <v/>
      </c>
      <c r="R237" s="9">
        <f>IF($K237="","",INDEX('سجل التحفيز'!$F$5:$F$2004,MATCH($K237,'سجل التحفيز'!$AC$5:$AC$2004,0)))</f>
        <v/>
      </c>
      <c r="S237" s="35">
        <f>IF($K237="","",INDEX('سجل التحفيز'!$G$5:$G$2004,MATCH($K237,'سجل التحفيز'!$AC$5:$AC$2004,0)))</f>
        <v/>
      </c>
    </row>
    <row r="238">
      <c r="K238" s="36">
        <f>IF(201&gt;$B$10,"",201)</f>
        <v/>
      </c>
      <c r="L238" s="37">
        <f>IF($K238="","",INDEX('سجل التحفيز'!$A$5:$A$2004,MATCH($K238,'سجل التحفيز'!$AC$5:$AC$2004,0)))</f>
        <v/>
      </c>
      <c r="M238" s="9">
        <f>IF($K238="","",INDEX('سجل التحفيز'!$B$5:$B$2004,MATCH($K238,'سجل التحفيز'!$AC$5:$AC$2004,0)))</f>
        <v/>
      </c>
      <c r="N238" s="9">
        <f>IF($K238="","",INDEX('سجل التحفيز'!$M$5:$M$2004,MATCH($K238,'سجل التحفيز'!$AC$5:$AC$2004,0)))</f>
        <v/>
      </c>
      <c r="O238" s="9">
        <f>IF($K238="","",INDEX('سجل التحفيز'!$C$5:$C$2004,MATCH($K238,'سجل التحفيز'!$AC$5:$AC$2004,0)))</f>
        <v/>
      </c>
      <c r="P238" s="36">
        <f>IF($K238="","",INDEX('سجل التحفيز'!$D$5:$D$2004,MATCH($K238,'سجل التحفيز'!$AC$5:$AC$2004,0)))</f>
        <v/>
      </c>
      <c r="Q238" s="9">
        <f>IF($K238="","",INDEX('سجل التحفيز'!$E$5:$E$2004,MATCH($K238,'سجل التحفيز'!$AC$5:$AC$2004,0)))</f>
        <v/>
      </c>
      <c r="R238" s="9">
        <f>IF($K238="","",INDEX('سجل التحفيز'!$F$5:$F$2004,MATCH($K238,'سجل التحفيز'!$AC$5:$AC$2004,0)))</f>
        <v/>
      </c>
      <c r="S238" s="35">
        <f>IF($K238="","",INDEX('سجل التحفيز'!$G$5:$G$2004,MATCH($K238,'سجل التحفيز'!$AC$5:$AC$2004,0)))</f>
        <v/>
      </c>
    </row>
    <row r="239">
      <c r="K239" s="36">
        <f>IF(202&gt;$B$10,"",202)</f>
        <v/>
      </c>
      <c r="L239" s="37">
        <f>IF($K239="","",INDEX('سجل التحفيز'!$A$5:$A$2004,MATCH($K239,'سجل التحفيز'!$AC$5:$AC$2004,0)))</f>
        <v/>
      </c>
      <c r="M239" s="9">
        <f>IF($K239="","",INDEX('سجل التحفيز'!$B$5:$B$2004,MATCH($K239,'سجل التحفيز'!$AC$5:$AC$2004,0)))</f>
        <v/>
      </c>
      <c r="N239" s="9">
        <f>IF($K239="","",INDEX('سجل التحفيز'!$M$5:$M$2004,MATCH($K239,'سجل التحفيز'!$AC$5:$AC$2004,0)))</f>
        <v/>
      </c>
      <c r="O239" s="9">
        <f>IF($K239="","",INDEX('سجل التحفيز'!$C$5:$C$2004,MATCH($K239,'سجل التحفيز'!$AC$5:$AC$2004,0)))</f>
        <v/>
      </c>
      <c r="P239" s="36">
        <f>IF($K239="","",INDEX('سجل التحفيز'!$D$5:$D$2004,MATCH($K239,'سجل التحفيز'!$AC$5:$AC$2004,0)))</f>
        <v/>
      </c>
      <c r="Q239" s="9">
        <f>IF($K239="","",INDEX('سجل التحفيز'!$E$5:$E$2004,MATCH($K239,'سجل التحفيز'!$AC$5:$AC$2004,0)))</f>
        <v/>
      </c>
      <c r="R239" s="9">
        <f>IF($K239="","",INDEX('سجل التحفيز'!$F$5:$F$2004,MATCH($K239,'سجل التحفيز'!$AC$5:$AC$2004,0)))</f>
        <v/>
      </c>
      <c r="S239" s="35">
        <f>IF($K239="","",INDEX('سجل التحفيز'!$G$5:$G$2004,MATCH($K239,'سجل التحفيز'!$AC$5:$AC$2004,0)))</f>
        <v/>
      </c>
    </row>
    <row r="240">
      <c r="K240" s="36">
        <f>IF(203&gt;$B$10,"",203)</f>
        <v/>
      </c>
      <c r="L240" s="37">
        <f>IF($K240="","",INDEX('سجل التحفيز'!$A$5:$A$2004,MATCH($K240,'سجل التحفيز'!$AC$5:$AC$2004,0)))</f>
        <v/>
      </c>
      <c r="M240" s="9">
        <f>IF($K240="","",INDEX('سجل التحفيز'!$B$5:$B$2004,MATCH($K240,'سجل التحفيز'!$AC$5:$AC$2004,0)))</f>
        <v/>
      </c>
      <c r="N240" s="9">
        <f>IF($K240="","",INDEX('سجل التحفيز'!$M$5:$M$2004,MATCH($K240,'سجل التحفيز'!$AC$5:$AC$2004,0)))</f>
        <v/>
      </c>
      <c r="O240" s="9">
        <f>IF($K240="","",INDEX('سجل التحفيز'!$C$5:$C$2004,MATCH($K240,'سجل التحفيز'!$AC$5:$AC$2004,0)))</f>
        <v/>
      </c>
      <c r="P240" s="36">
        <f>IF($K240="","",INDEX('سجل التحفيز'!$D$5:$D$2004,MATCH($K240,'سجل التحفيز'!$AC$5:$AC$2004,0)))</f>
        <v/>
      </c>
      <c r="Q240" s="9">
        <f>IF($K240="","",INDEX('سجل التحفيز'!$E$5:$E$2004,MATCH($K240,'سجل التحفيز'!$AC$5:$AC$2004,0)))</f>
        <v/>
      </c>
      <c r="R240" s="9">
        <f>IF($K240="","",INDEX('سجل التحفيز'!$F$5:$F$2004,MATCH($K240,'سجل التحفيز'!$AC$5:$AC$2004,0)))</f>
        <v/>
      </c>
      <c r="S240" s="35">
        <f>IF($K240="","",INDEX('سجل التحفيز'!$G$5:$G$2004,MATCH($K240,'سجل التحفيز'!$AC$5:$AC$2004,0)))</f>
        <v/>
      </c>
    </row>
    <row r="241">
      <c r="K241" s="36">
        <f>IF(204&gt;$B$10,"",204)</f>
        <v/>
      </c>
      <c r="L241" s="37">
        <f>IF($K241="","",INDEX('سجل التحفيز'!$A$5:$A$2004,MATCH($K241,'سجل التحفيز'!$AC$5:$AC$2004,0)))</f>
        <v/>
      </c>
      <c r="M241" s="9">
        <f>IF($K241="","",INDEX('سجل التحفيز'!$B$5:$B$2004,MATCH($K241,'سجل التحفيز'!$AC$5:$AC$2004,0)))</f>
        <v/>
      </c>
      <c r="N241" s="9">
        <f>IF($K241="","",INDEX('سجل التحفيز'!$M$5:$M$2004,MATCH($K241,'سجل التحفيز'!$AC$5:$AC$2004,0)))</f>
        <v/>
      </c>
      <c r="O241" s="9">
        <f>IF($K241="","",INDEX('سجل التحفيز'!$C$5:$C$2004,MATCH($K241,'سجل التحفيز'!$AC$5:$AC$2004,0)))</f>
        <v/>
      </c>
      <c r="P241" s="36">
        <f>IF($K241="","",INDEX('سجل التحفيز'!$D$5:$D$2004,MATCH($K241,'سجل التحفيز'!$AC$5:$AC$2004,0)))</f>
        <v/>
      </c>
      <c r="Q241" s="9">
        <f>IF($K241="","",INDEX('سجل التحفيز'!$E$5:$E$2004,MATCH($K241,'سجل التحفيز'!$AC$5:$AC$2004,0)))</f>
        <v/>
      </c>
      <c r="R241" s="9">
        <f>IF($K241="","",INDEX('سجل التحفيز'!$F$5:$F$2004,MATCH($K241,'سجل التحفيز'!$AC$5:$AC$2004,0)))</f>
        <v/>
      </c>
      <c r="S241" s="35">
        <f>IF($K241="","",INDEX('سجل التحفيز'!$G$5:$G$2004,MATCH($K241,'سجل التحفيز'!$AC$5:$AC$2004,0)))</f>
        <v/>
      </c>
    </row>
    <row r="242">
      <c r="K242" s="36">
        <f>IF(205&gt;$B$10,"",205)</f>
        <v/>
      </c>
      <c r="L242" s="37">
        <f>IF($K242="","",INDEX('سجل التحفيز'!$A$5:$A$2004,MATCH($K242,'سجل التحفيز'!$AC$5:$AC$2004,0)))</f>
        <v/>
      </c>
      <c r="M242" s="9">
        <f>IF($K242="","",INDEX('سجل التحفيز'!$B$5:$B$2004,MATCH($K242,'سجل التحفيز'!$AC$5:$AC$2004,0)))</f>
        <v/>
      </c>
      <c r="N242" s="9">
        <f>IF($K242="","",INDEX('سجل التحفيز'!$M$5:$M$2004,MATCH($K242,'سجل التحفيز'!$AC$5:$AC$2004,0)))</f>
        <v/>
      </c>
      <c r="O242" s="9">
        <f>IF($K242="","",INDEX('سجل التحفيز'!$C$5:$C$2004,MATCH($K242,'سجل التحفيز'!$AC$5:$AC$2004,0)))</f>
        <v/>
      </c>
      <c r="P242" s="36">
        <f>IF($K242="","",INDEX('سجل التحفيز'!$D$5:$D$2004,MATCH($K242,'سجل التحفيز'!$AC$5:$AC$2004,0)))</f>
        <v/>
      </c>
      <c r="Q242" s="9">
        <f>IF($K242="","",INDEX('سجل التحفيز'!$E$5:$E$2004,MATCH($K242,'سجل التحفيز'!$AC$5:$AC$2004,0)))</f>
        <v/>
      </c>
      <c r="R242" s="9">
        <f>IF($K242="","",INDEX('سجل التحفيز'!$F$5:$F$2004,MATCH($K242,'سجل التحفيز'!$AC$5:$AC$2004,0)))</f>
        <v/>
      </c>
      <c r="S242" s="35">
        <f>IF($K242="","",INDEX('سجل التحفيز'!$G$5:$G$2004,MATCH($K242,'سجل التحفيز'!$AC$5:$AC$2004,0)))</f>
        <v/>
      </c>
    </row>
    <row r="243">
      <c r="K243" s="36">
        <f>IF(206&gt;$B$10,"",206)</f>
        <v/>
      </c>
      <c r="L243" s="37">
        <f>IF($K243="","",INDEX('سجل التحفيز'!$A$5:$A$2004,MATCH($K243,'سجل التحفيز'!$AC$5:$AC$2004,0)))</f>
        <v/>
      </c>
      <c r="M243" s="9">
        <f>IF($K243="","",INDEX('سجل التحفيز'!$B$5:$B$2004,MATCH($K243,'سجل التحفيز'!$AC$5:$AC$2004,0)))</f>
        <v/>
      </c>
      <c r="N243" s="9">
        <f>IF($K243="","",INDEX('سجل التحفيز'!$M$5:$M$2004,MATCH($K243,'سجل التحفيز'!$AC$5:$AC$2004,0)))</f>
        <v/>
      </c>
      <c r="O243" s="9">
        <f>IF($K243="","",INDEX('سجل التحفيز'!$C$5:$C$2004,MATCH($K243,'سجل التحفيز'!$AC$5:$AC$2004,0)))</f>
        <v/>
      </c>
      <c r="P243" s="36">
        <f>IF($K243="","",INDEX('سجل التحفيز'!$D$5:$D$2004,MATCH($K243,'سجل التحفيز'!$AC$5:$AC$2004,0)))</f>
        <v/>
      </c>
      <c r="Q243" s="9">
        <f>IF($K243="","",INDEX('سجل التحفيز'!$E$5:$E$2004,MATCH($K243,'سجل التحفيز'!$AC$5:$AC$2004,0)))</f>
        <v/>
      </c>
      <c r="R243" s="9">
        <f>IF($K243="","",INDEX('سجل التحفيز'!$F$5:$F$2004,MATCH($K243,'سجل التحفيز'!$AC$5:$AC$2004,0)))</f>
        <v/>
      </c>
      <c r="S243" s="35">
        <f>IF($K243="","",INDEX('سجل التحفيز'!$G$5:$G$2004,MATCH($K243,'سجل التحفيز'!$AC$5:$AC$2004,0)))</f>
        <v/>
      </c>
    </row>
    <row r="244">
      <c r="K244" s="36">
        <f>IF(207&gt;$B$10,"",207)</f>
        <v/>
      </c>
      <c r="L244" s="37">
        <f>IF($K244="","",INDEX('سجل التحفيز'!$A$5:$A$2004,MATCH($K244,'سجل التحفيز'!$AC$5:$AC$2004,0)))</f>
        <v/>
      </c>
      <c r="M244" s="9">
        <f>IF($K244="","",INDEX('سجل التحفيز'!$B$5:$B$2004,MATCH($K244,'سجل التحفيز'!$AC$5:$AC$2004,0)))</f>
        <v/>
      </c>
      <c r="N244" s="9">
        <f>IF($K244="","",INDEX('سجل التحفيز'!$M$5:$M$2004,MATCH($K244,'سجل التحفيز'!$AC$5:$AC$2004,0)))</f>
        <v/>
      </c>
      <c r="O244" s="9">
        <f>IF($K244="","",INDEX('سجل التحفيز'!$C$5:$C$2004,MATCH($K244,'سجل التحفيز'!$AC$5:$AC$2004,0)))</f>
        <v/>
      </c>
      <c r="P244" s="36">
        <f>IF($K244="","",INDEX('سجل التحفيز'!$D$5:$D$2004,MATCH($K244,'سجل التحفيز'!$AC$5:$AC$2004,0)))</f>
        <v/>
      </c>
      <c r="Q244" s="9">
        <f>IF($K244="","",INDEX('سجل التحفيز'!$E$5:$E$2004,MATCH($K244,'سجل التحفيز'!$AC$5:$AC$2004,0)))</f>
        <v/>
      </c>
      <c r="R244" s="9">
        <f>IF($K244="","",INDEX('سجل التحفيز'!$F$5:$F$2004,MATCH($K244,'سجل التحفيز'!$AC$5:$AC$2004,0)))</f>
        <v/>
      </c>
      <c r="S244" s="35">
        <f>IF($K244="","",INDEX('سجل التحفيز'!$G$5:$G$2004,MATCH($K244,'سجل التحفيز'!$AC$5:$AC$2004,0)))</f>
        <v/>
      </c>
    </row>
    <row r="245">
      <c r="K245" s="36">
        <f>IF(208&gt;$B$10,"",208)</f>
        <v/>
      </c>
      <c r="L245" s="37">
        <f>IF($K245="","",INDEX('سجل التحفيز'!$A$5:$A$2004,MATCH($K245,'سجل التحفيز'!$AC$5:$AC$2004,0)))</f>
        <v/>
      </c>
      <c r="M245" s="9">
        <f>IF($K245="","",INDEX('سجل التحفيز'!$B$5:$B$2004,MATCH($K245,'سجل التحفيز'!$AC$5:$AC$2004,0)))</f>
        <v/>
      </c>
      <c r="N245" s="9">
        <f>IF($K245="","",INDEX('سجل التحفيز'!$M$5:$M$2004,MATCH($K245,'سجل التحفيز'!$AC$5:$AC$2004,0)))</f>
        <v/>
      </c>
      <c r="O245" s="9">
        <f>IF($K245="","",INDEX('سجل التحفيز'!$C$5:$C$2004,MATCH($K245,'سجل التحفيز'!$AC$5:$AC$2004,0)))</f>
        <v/>
      </c>
      <c r="P245" s="36">
        <f>IF($K245="","",INDEX('سجل التحفيز'!$D$5:$D$2004,MATCH($K245,'سجل التحفيز'!$AC$5:$AC$2004,0)))</f>
        <v/>
      </c>
      <c r="Q245" s="9">
        <f>IF($K245="","",INDEX('سجل التحفيز'!$E$5:$E$2004,MATCH($K245,'سجل التحفيز'!$AC$5:$AC$2004,0)))</f>
        <v/>
      </c>
      <c r="R245" s="9">
        <f>IF($K245="","",INDEX('سجل التحفيز'!$F$5:$F$2004,MATCH($K245,'سجل التحفيز'!$AC$5:$AC$2004,0)))</f>
        <v/>
      </c>
      <c r="S245" s="35">
        <f>IF($K245="","",INDEX('سجل التحفيز'!$G$5:$G$2004,MATCH($K245,'سجل التحفيز'!$AC$5:$AC$2004,0)))</f>
        <v/>
      </c>
    </row>
    <row r="246">
      <c r="K246" s="36">
        <f>IF(209&gt;$B$10,"",209)</f>
        <v/>
      </c>
      <c r="L246" s="37">
        <f>IF($K246="","",INDEX('سجل التحفيز'!$A$5:$A$2004,MATCH($K246,'سجل التحفيز'!$AC$5:$AC$2004,0)))</f>
        <v/>
      </c>
      <c r="M246" s="9">
        <f>IF($K246="","",INDEX('سجل التحفيز'!$B$5:$B$2004,MATCH($K246,'سجل التحفيز'!$AC$5:$AC$2004,0)))</f>
        <v/>
      </c>
      <c r="N246" s="9">
        <f>IF($K246="","",INDEX('سجل التحفيز'!$M$5:$M$2004,MATCH($K246,'سجل التحفيز'!$AC$5:$AC$2004,0)))</f>
        <v/>
      </c>
      <c r="O246" s="9">
        <f>IF($K246="","",INDEX('سجل التحفيز'!$C$5:$C$2004,MATCH($K246,'سجل التحفيز'!$AC$5:$AC$2004,0)))</f>
        <v/>
      </c>
      <c r="P246" s="36">
        <f>IF($K246="","",INDEX('سجل التحفيز'!$D$5:$D$2004,MATCH($K246,'سجل التحفيز'!$AC$5:$AC$2004,0)))</f>
        <v/>
      </c>
      <c r="Q246" s="9">
        <f>IF($K246="","",INDEX('سجل التحفيز'!$E$5:$E$2004,MATCH($K246,'سجل التحفيز'!$AC$5:$AC$2004,0)))</f>
        <v/>
      </c>
      <c r="R246" s="9">
        <f>IF($K246="","",INDEX('سجل التحفيز'!$F$5:$F$2004,MATCH($K246,'سجل التحفيز'!$AC$5:$AC$2004,0)))</f>
        <v/>
      </c>
      <c r="S246" s="35">
        <f>IF($K246="","",INDEX('سجل التحفيز'!$G$5:$G$2004,MATCH($K246,'سجل التحفيز'!$AC$5:$AC$2004,0)))</f>
        <v/>
      </c>
    </row>
    <row r="247">
      <c r="K247" s="36">
        <f>IF(210&gt;$B$10,"",210)</f>
        <v/>
      </c>
      <c r="L247" s="37">
        <f>IF($K247="","",INDEX('سجل التحفيز'!$A$5:$A$2004,MATCH($K247,'سجل التحفيز'!$AC$5:$AC$2004,0)))</f>
        <v/>
      </c>
      <c r="M247" s="9">
        <f>IF($K247="","",INDEX('سجل التحفيز'!$B$5:$B$2004,MATCH($K247,'سجل التحفيز'!$AC$5:$AC$2004,0)))</f>
        <v/>
      </c>
      <c r="N247" s="9">
        <f>IF($K247="","",INDEX('سجل التحفيز'!$M$5:$M$2004,MATCH($K247,'سجل التحفيز'!$AC$5:$AC$2004,0)))</f>
        <v/>
      </c>
      <c r="O247" s="9">
        <f>IF($K247="","",INDEX('سجل التحفيز'!$C$5:$C$2004,MATCH($K247,'سجل التحفيز'!$AC$5:$AC$2004,0)))</f>
        <v/>
      </c>
      <c r="P247" s="36">
        <f>IF($K247="","",INDEX('سجل التحفيز'!$D$5:$D$2004,MATCH($K247,'سجل التحفيز'!$AC$5:$AC$2004,0)))</f>
        <v/>
      </c>
      <c r="Q247" s="9">
        <f>IF($K247="","",INDEX('سجل التحفيز'!$E$5:$E$2004,MATCH($K247,'سجل التحفيز'!$AC$5:$AC$2004,0)))</f>
        <v/>
      </c>
      <c r="R247" s="9">
        <f>IF($K247="","",INDEX('سجل التحفيز'!$F$5:$F$2004,MATCH($K247,'سجل التحفيز'!$AC$5:$AC$2004,0)))</f>
        <v/>
      </c>
      <c r="S247" s="35">
        <f>IF($K247="","",INDEX('سجل التحفيز'!$G$5:$G$2004,MATCH($K247,'سجل التحفيز'!$AC$5:$AC$2004,0)))</f>
        <v/>
      </c>
    </row>
    <row r="248">
      <c r="K248" s="36">
        <f>IF(211&gt;$B$10,"",211)</f>
        <v/>
      </c>
      <c r="L248" s="37">
        <f>IF($K248="","",INDEX('سجل التحفيز'!$A$5:$A$2004,MATCH($K248,'سجل التحفيز'!$AC$5:$AC$2004,0)))</f>
        <v/>
      </c>
      <c r="M248" s="9">
        <f>IF($K248="","",INDEX('سجل التحفيز'!$B$5:$B$2004,MATCH($K248,'سجل التحفيز'!$AC$5:$AC$2004,0)))</f>
        <v/>
      </c>
      <c r="N248" s="9">
        <f>IF($K248="","",INDEX('سجل التحفيز'!$M$5:$M$2004,MATCH($K248,'سجل التحفيز'!$AC$5:$AC$2004,0)))</f>
        <v/>
      </c>
      <c r="O248" s="9">
        <f>IF($K248="","",INDEX('سجل التحفيز'!$C$5:$C$2004,MATCH($K248,'سجل التحفيز'!$AC$5:$AC$2004,0)))</f>
        <v/>
      </c>
      <c r="P248" s="36">
        <f>IF($K248="","",INDEX('سجل التحفيز'!$D$5:$D$2004,MATCH($K248,'سجل التحفيز'!$AC$5:$AC$2004,0)))</f>
        <v/>
      </c>
      <c r="Q248" s="9">
        <f>IF($K248="","",INDEX('سجل التحفيز'!$E$5:$E$2004,MATCH($K248,'سجل التحفيز'!$AC$5:$AC$2004,0)))</f>
        <v/>
      </c>
      <c r="R248" s="9">
        <f>IF($K248="","",INDEX('سجل التحفيز'!$F$5:$F$2004,MATCH($K248,'سجل التحفيز'!$AC$5:$AC$2004,0)))</f>
        <v/>
      </c>
      <c r="S248" s="35">
        <f>IF($K248="","",INDEX('سجل التحفيز'!$G$5:$G$2004,MATCH($K248,'سجل التحفيز'!$AC$5:$AC$2004,0)))</f>
        <v/>
      </c>
    </row>
    <row r="249">
      <c r="K249" s="36">
        <f>IF(212&gt;$B$10,"",212)</f>
        <v/>
      </c>
      <c r="L249" s="37">
        <f>IF($K249="","",INDEX('سجل التحفيز'!$A$5:$A$2004,MATCH($K249,'سجل التحفيز'!$AC$5:$AC$2004,0)))</f>
        <v/>
      </c>
      <c r="M249" s="9">
        <f>IF($K249="","",INDEX('سجل التحفيز'!$B$5:$B$2004,MATCH($K249,'سجل التحفيز'!$AC$5:$AC$2004,0)))</f>
        <v/>
      </c>
      <c r="N249" s="9">
        <f>IF($K249="","",INDEX('سجل التحفيز'!$M$5:$M$2004,MATCH($K249,'سجل التحفيز'!$AC$5:$AC$2004,0)))</f>
        <v/>
      </c>
      <c r="O249" s="9">
        <f>IF($K249="","",INDEX('سجل التحفيز'!$C$5:$C$2004,MATCH($K249,'سجل التحفيز'!$AC$5:$AC$2004,0)))</f>
        <v/>
      </c>
      <c r="P249" s="36">
        <f>IF($K249="","",INDEX('سجل التحفيز'!$D$5:$D$2004,MATCH($K249,'سجل التحفيز'!$AC$5:$AC$2004,0)))</f>
        <v/>
      </c>
      <c r="Q249" s="9">
        <f>IF($K249="","",INDEX('سجل التحفيز'!$E$5:$E$2004,MATCH($K249,'سجل التحفيز'!$AC$5:$AC$2004,0)))</f>
        <v/>
      </c>
      <c r="R249" s="9">
        <f>IF($K249="","",INDEX('سجل التحفيز'!$F$5:$F$2004,MATCH($K249,'سجل التحفيز'!$AC$5:$AC$2004,0)))</f>
        <v/>
      </c>
      <c r="S249" s="35">
        <f>IF($K249="","",INDEX('سجل التحفيز'!$G$5:$G$2004,MATCH($K249,'سجل التحفيز'!$AC$5:$AC$2004,0)))</f>
        <v/>
      </c>
    </row>
    <row r="250">
      <c r="K250" s="36">
        <f>IF(213&gt;$B$10,"",213)</f>
        <v/>
      </c>
      <c r="L250" s="37">
        <f>IF($K250="","",INDEX('سجل التحفيز'!$A$5:$A$2004,MATCH($K250,'سجل التحفيز'!$AC$5:$AC$2004,0)))</f>
        <v/>
      </c>
      <c r="M250" s="9">
        <f>IF($K250="","",INDEX('سجل التحفيز'!$B$5:$B$2004,MATCH($K250,'سجل التحفيز'!$AC$5:$AC$2004,0)))</f>
        <v/>
      </c>
      <c r="N250" s="9">
        <f>IF($K250="","",INDEX('سجل التحفيز'!$M$5:$M$2004,MATCH($K250,'سجل التحفيز'!$AC$5:$AC$2004,0)))</f>
        <v/>
      </c>
      <c r="O250" s="9">
        <f>IF($K250="","",INDEX('سجل التحفيز'!$C$5:$C$2004,MATCH($K250,'سجل التحفيز'!$AC$5:$AC$2004,0)))</f>
        <v/>
      </c>
      <c r="P250" s="36">
        <f>IF($K250="","",INDEX('سجل التحفيز'!$D$5:$D$2004,MATCH($K250,'سجل التحفيز'!$AC$5:$AC$2004,0)))</f>
        <v/>
      </c>
      <c r="Q250" s="9">
        <f>IF($K250="","",INDEX('سجل التحفيز'!$E$5:$E$2004,MATCH($K250,'سجل التحفيز'!$AC$5:$AC$2004,0)))</f>
        <v/>
      </c>
      <c r="R250" s="9">
        <f>IF($K250="","",INDEX('سجل التحفيز'!$F$5:$F$2004,MATCH($K250,'سجل التحفيز'!$AC$5:$AC$2004,0)))</f>
        <v/>
      </c>
      <c r="S250" s="35">
        <f>IF($K250="","",INDEX('سجل التحفيز'!$G$5:$G$2004,MATCH($K250,'سجل التحفيز'!$AC$5:$AC$2004,0)))</f>
        <v/>
      </c>
    </row>
    <row r="251">
      <c r="K251" s="36">
        <f>IF(214&gt;$B$10,"",214)</f>
        <v/>
      </c>
      <c r="L251" s="37">
        <f>IF($K251="","",INDEX('سجل التحفيز'!$A$5:$A$2004,MATCH($K251,'سجل التحفيز'!$AC$5:$AC$2004,0)))</f>
        <v/>
      </c>
      <c r="M251" s="9">
        <f>IF($K251="","",INDEX('سجل التحفيز'!$B$5:$B$2004,MATCH($K251,'سجل التحفيز'!$AC$5:$AC$2004,0)))</f>
        <v/>
      </c>
      <c r="N251" s="9">
        <f>IF($K251="","",INDEX('سجل التحفيز'!$M$5:$M$2004,MATCH($K251,'سجل التحفيز'!$AC$5:$AC$2004,0)))</f>
        <v/>
      </c>
      <c r="O251" s="9">
        <f>IF($K251="","",INDEX('سجل التحفيز'!$C$5:$C$2004,MATCH($K251,'سجل التحفيز'!$AC$5:$AC$2004,0)))</f>
        <v/>
      </c>
      <c r="P251" s="36">
        <f>IF($K251="","",INDEX('سجل التحفيز'!$D$5:$D$2004,MATCH($K251,'سجل التحفيز'!$AC$5:$AC$2004,0)))</f>
        <v/>
      </c>
      <c r="Q251" s="9">
        <f>IF($K251="","",INDEX('سجل التحفيز'!$E$5:$E$2004,MATCH($K251,'سجل التحفيز'!$AC$5:$AC$2004,0)))</f>
        <v/>
      </c>
      <c r="R251" s="9">
        <f>IF($K251="","",INDEX('سجل التحفيز'!$F$5:$F$2004,MATCH($K251,'سجل التحفيز'!$AC$5:$AC$2004,0)))</f>
        <v/>
      </c>
      <c r="S251" s="35">
        <f>IF($K251="","",INDEX('سجل التحفيز'!$G$5:$G$2004,MATCH($K251,'سجل التحفيز'!$AC$5:$AC$2004,0)))</f>
        <v/>
      </c>
    </row>
    <row r="252">
      <c r="K252" s="36">
        <f>IF(215&gt;$B$10,"",215)</f>
        <v/>
      </c>
      <c r="L252" s="37">
        <f>IF($K252="","",INDEX('سجل التحفيز'!$A$5:$A$2004,MATCH($K252,'سجل التحفيز'!$AC$5:$AC$2004,0)))</f>
        <v/>
      </c>
      <c r="M252" s="9">
        <f>IF($K252="","",INDEX('سجل التحفيز'!$B$5:$B$2004,MATCH($K252,'سجل التحفيز'!$AC$5:$AC$2004,0)))</f>
        <v/>
      </c>
      <c r="N252" s="9">
        <f>IF($K252="","",INDEX('سجل التحفيز'!$M$5:$M$2004,MATCH($K252,'سجل التحفيز'!$AC$5:$AC$2004,0)))</f>
        <v/>
      </c>
      <c r="O252" s="9">
        <f>IF($K252="","",INDEX('سجل التحفيز'!$C$5:$C$2004,MATCH($K252,'سجل التحفيز'!$AC$5:$AC$2004,0)))</f>
        <v/>
      </c>
      <c r="P252" s="36">
        <f>IF($K252="","",INDEX('سجل التحفيز'!$D$5:$D$2004,MATCH($K252,'سجل التحفيز'!$AC$5:$AC$2004,0)))</f>
        <v/>
      </c>
      <c r="Q252" s="9">
        <f>IF($K252="","",INDEX('سجل التحفيز'!$E$5:$E$2004,MATCH($K252,'سجل التحفيز'!$AC$5:$AC$2004,0)))</f>
        <v/>
      </c>
      <c r="R252" s="9">
        <f>IF($K252="","",INDEX('سجل التحفيز'!$F$5:$F$2004,MATCH($K252,'سجل التحفيز'!$AC$5:$AC$2004,0)))</f>
        <v/>
      </c>
      <c r="S252" s="35">
        <f>IF($K252="","",INDEX('سجل التحفيز'!$G$5:$G$2004,MATCH($K252,'سجل التحفيز'!$AC$5:$AC$2004,0)))</f>
        <v/>
      </c>
    </row>
    <row r="253">
      <c r="K253" s="36">
        <f>IF(216&gt;$B$10,"",216)</f>
        <v/>
      </c>
      <c r="L253" s="37">
        <f>IF($K253="","",INDEX('سجل التحفيز'!$A$5:$A$2004,MATCH($K253,'سجل التحفيز'!$AC$5:$AC$2004,0)))</f>
        <v/>
      </c>
      <c r="M253" s="9">
        <f>IF($K253="","",INDEX('سجل التحفيز'!$B$5:$B$2004,MATCH($K253,'سجل التحفيز'!$AC$5:$AC$2004,0)))</f>
        <v/>
      </c>
      <c r="N253" s="9">
        <f>IF($K253="","",INDEX('سجل التحفيز'!$M$5:$M$2004,MATCH($K253,'سجل التحفيز'!$AC$5:$AC$2004,0)))</f>
        <v/>
      </c>
      <c r="O253" s="9">
        <f>IF($K253="","",INDEX('سجل التحفيز'!$C$5:$C$2004,MATCH($K253,'سجل التحفيز'!$AC$5:$AC$2004,0)))</f>
        <v/>
      </c>
      <c r="P253" s="36">
        <f>IF($K253="","",INDEX('سجل التحفيز'!$D$5:$D$2004,MATCH($K253,'سجل التحفيز'!$AC$5:$AC$2004,0)))</f>
        <v/>
      </c>
      <c r="Q253" s="9">
        <f>IF($K253="","",INDEX('سجل التحفيز'!$E$5:$E$2004,MATCH($K253,'سجل التحفيز'!$AC$5:$AC$2004,0)))</f>
        <v/>
      </c>
      <c r="R253" s="9">
        <f>IF($K253="","",INDEX('سجل التحفيز'!$F$5:$F$2004,MATCH($K253,'سجل التحفيز'!$AC$5:$AC$2004,0)))</f>
        <v/>
      </c>
      <c r="S253" s="35">
        <f>IF($K253="","",INDEX('سجل التحفيز'!$G$5:$G$2004,MATCH($K253,'سجل التحفيز'!$AC$5:$AC$2004,0)))</f>
        <v/>
      </c>
    </row>
    <row r="254">
      <c r="K254" s="36">
        <f>IF(217&gt;$B$10,"",217)</f>
        <v/>
      </c>
      <c r="L254" s="37">
        <f>IF($K254="","",INDEX('سجل التحفيز'!$A$5:$A$2004,MATCH($K254,'سجل التحفيز'!$AC$5:$AC$2004,0)))</f>
        <v/>
      </c>
      <c r="M254" s="9">
        <f>IF($K254="","",INDEX('سجل التحفيز'!$B$5:$B$2004,MATCH($K254,'سجل التحفيز'!$AC$5:$AC$2004,0)))</f>
        <v/>
      </c>
      <c r="N254" s="9">
        <f>IF($K254="","",INDEX('سجل التحفيز'!$M$5:$M$2004,MATCH($K254,'سجل التحفيز'!$AC$5:$AC$2004,0)))</f>
        <v/>
      </c>
      <c r="O254" s="9">
        <f>IF($K254="","",INDEX('سجل التحفيز'!$C$5:$C$2004,MATCH($K254,'سجل التحفيز'!$AC$5:$AC$2004,0)))</f>
        <v/>
      </c>
      <c r="P254" s="36">
        <f>IF($K254="","",INDEX('سجل التحفيز'!$D$5:$D$2004,MATCH($K254,'سجل التحفيز'!$AC$5:$AC$2004,0)))</f>
        <v/>
      </c>
      <c r="Q254" s="9">
        <f>IF($K254="","",INDEX('سجل التحفيز'!$E$5:$E$2004,MATCH($K254,'سجل التحفيز'!$AC$5:$AC$2004,0)))</f>
        <v/>
      </c>
      <c r="R254" s="9">
        <f>IF($K254="","",INDEX('سجل التحفيز'!$F$5:$F$2004,MATCH($K254,'سجل التحفيز'!$AC$5:$AC$2004,0)))</f>
        <v/>
      </c>
      <c r="S254" s="35">
        <f>IF($K254="","",INDEX('سجل التحفيز'!$G$5:$G$2004,MATCH($K254,'سجل التحفيز'!$AC$5:$AC$2004,0)))</f>
        <v/>
      </c>
    </row>
    <row r="255">
      <c r="K255" s="36">
        <f>IF(218&gt;$B$10,"",218)</f>
        <v/>
      </c>
      <c r="L255" s="37">
        <f>IF($K255="","",INDEX('سجل التحفيز'!$A$5:$A$2004,MATCH($K255,'سجل التحفيز'!$AC$5:$AC$2004,0)))</f>
        <v/>
      </c>
      <c r="M255" s="9">
        <f>IF($K255="","",INDEX('سجل التحفيز'!$B$5:$B$2004,MATCH($K255,'سجل التحفيز'!$AC$5:$AC$2004,0)))</f>
        <v/>
      </c>
      <c r="N255" s="9">
        <f>IF($K255="","",INDEX('سجل التحفيز'!$M$5:$M$2004,MATCH($K255,'سجل التحفيز'!$AC$5:$AC$2004,0)))</f>
        <v/>
      </c>
      <c r="O255" s="9">
        <f>IF($K255="","",INDEX('سجل التحفيز'!$C$5:$C$2004,MATCH($K255,'سجل التحفيز'!$AC$5:$AC$2004,0)))</f>
        <v/>
      </c>
      <c r="P255" s="36">
        <f>IF($K255="","",INDEX('سجل التحفيز'!$D$5:$D$2004,MATCH($K255,'سجل التحفيز'!$AC$5:$AC$2004,0)))</f>
        <v/>
      </c>
      <c r="Q255" s="9">
        <f>IF($K255="","",INDEX('سجل التحفيز'!$E$5:$E$2004,MATCH($K255,'سجل التحفيز'!$AC$5:$AC$2004,0)))</f>
        <v/>
      </c>
      <c r="R255" s="9">
        <f>IF($K255="","",INDEX('سجل التحفيز'!$F$5:$F$2004,MATCH($K255,'سجل التحفيز'!$AC$5:$AC$2004,0)))</f>
        <v/>
      </c>
      <c r="S255" s="35">
        <f>IF($K255="","",INDEX('سجل التحفيز'!$G$5:$G$2004,MATCH($K255,'سجل التحفيز'!$AC$5:$AC$2004,0)))</f>
        <v/>
      </c>
    </row>
    <row r="256">
      <c r="K256" s="36">
        <f>IF(219&gt;$B$10,"",219)</f>
        <v/>
      </c>
      <c r="L256" s="37">
        <f>IF($K256="","",INDEX('سجل التحفيز'!$A$5:$A$2004,MATCH($K256,'سجل التحفيز'!$AC$5:$AC$2004,0)))</f>
        <v/>
      </c>
      <c r="M256" s="9">
        <f>IF($K256="","",INDEX('سجل التحفيز'!$B$5:$B$2004,MATCH($K256,'سجل التحفيز'!$AC$5:$AC$2004,0)))</f>
        <v/>
      </c>
      <c r="N256" s="9">
        <f>IF($K256="","",INDEX('سجل التحفيز'!$M$5:$M$2004,MATCH($K256,'سجل التحفيز'!$AC$5:$AC$2004,0)))</f>
        <v/>
      </c>
      <c r="O256" s="9">
        <f>IF($K256="","",INDEX('سجل التحفيز'!$C$5:$C$2004,MATCH($K256,'سجل التحفيز'!$AC$5:$AC$2004,0)))</f>
        <v/>
      </c>
      <c r="P256" s="36">
        <f>IF($K256="","",INDEX('سجل التحفيز'!$D$5:$D$2004,MATCH($K256,'سجل التحفيز'!$AC$5:$AC$2004,0)))</f>
        <v/>
      </c>
      <c r="Q256" s="9">
        <f>IF($K256="","",INDEX('سجل التحفيز'!$E$5:$E$2004,MATCH($K256,'سجل التحفيز'!$AC$5:$AC$2004,0)))</f>
        <v/>
      </c>
      <c r="R256" s="9">
        <f>IF($K256="","",INDEX('سجل التحفيز'!$F$5:$F$2004,MATCH($K256,'سجل التحفيز'!$AC$5:$AC$2004,0)))</f>
        <v/>
      </c>
      <c r="S256" s="35">
        <f>IF($K256="","",INDEX('سجل التحفيز'!$G$5:$G$2004,MATCH($K256,'سجل التحفيز'!$AC$5:$AC$2004,0)))</f>
        <v/>
      </c>
    </row>
    <row r="257">
      <c r="K257" s="36">
        <f>IF(220&gt;$B$10,"",220)</f>
        <v/>
      </c>
      <c r="L257" s="37">
        <f>IF($K257="","",INDEX('سجل التحفيز'!$A$5:$A$2004,MATCH($K257,'سجل التحفيز'!$AC$5:$AC$2004,0)))</f>
        <v/>
      </c>
      <c r="M257" s="9">
        <f>IF($K257="","",INDEX('سجل التحفيز'!$B$5:$B$2004,MATCH($K257,'سجل التحفيز'!$AC$5:$AC$2004,0)))</f>
        <v/>
      </c>
      <c r="N257" s="9">
        <f>IF($K257="","",INDEX('سجل التحفيز'!$M$5:$M$2004,MATCH($K257,'سجل التحفيز'!$AC$5:$AC$2004,0)))</f>
        <v/>
      </c>
      <c r="O257" s="9">
        <f>IF($K257="","",INDEX('سجل التحفيز'!$C$5:$C$2004,MATCH($K257,'سجل التحفيز'!$AC$5:$AC$2004,0)))</f>
        <v/>
      </c>
      <c r="P257" s="36">
        <f>IF($K257="","",INDEX('سجل التحفيز'!$D$5:$D$2004,MATCH($K257,'سجل التحفيز'!$AC$5:$AC$2004,0)))</f>
        <v/>
      </c>
      <c r="Q257" s="9">
        <f>IF($K257="","",INDEX('سجل التحفيز'!$E$5:$E$2004,MATCH($K257,'سجل التحفيز'!$AC$5:$AC$2004,0)))</f>
        <v/>
      </c>
      <c r="R257" s="9">
        <f>IF($K257="","",INDEX('سجل التحفيز'!$F$5:$F$2004,MATCH($K257,'سجل التحفيز'!$AC$5:$AC$2004,0)))</f>
        <v/>
      </c>
      <c r="S257" s="35">
        <f>IF($K257="","",INDEX('سجل التحفيز'!$G$5:$G$2004,MATCH($K257,'سجل التحفيز'!$AC$5:$AC$2004,0)))</f>
        <v/>
      </c>
    </row>
    <row r="258">
      <c r="K258" s="36">
        <f>IF(221&gt;$B$10,"",221)</f>
        <v/>
      </c>
      <c r="L258" s="37">
        <f>IF($K258="","",INDEX('سجل التحفيز'!$A$5:$A$2004,MATCH($K258,'سجل التحفيز'!$AC$5:$AC$2004,0)))</f>
        <v/>
      </c>
      <c r="M258" s="9">
        <f>IF($K258="","",INDEX('سجل التحفيز'!$B$5:$B$2004,MATCH($K258,'سجل التحفيز'!$AC$5:$AC$2004,0)))</f>
        <v/>
      </c>
      <c r="N258" s="9">
        <f>IF($K258="","",INDEX('سجل التحفيز'!$M$5:$M$2004,MATCH($K258,'سجل التحفيز'!$AC$5:$AC$2004,0)))</f>
        <v/>
      </c>
      <c r="O258" s="9">
        <f>IF($K258="","",INDEX('سجل التحفيز'!$C$5:$C$2004,MATCH($K258,'سجل التحفيز'!$AC$5:$AC$2004,0)))</f>
        <v/>
      </c>
      <c r="P258" s="36">
        <f>IF($K258="","",INDEX('سجل التحفيز'!$D$5:$D$2004,MATCH($K258,'سجل التحفيز'!$AC$5:$AC$2004,0)))</f>
        <v/>
      </c>
      <c r="Q258" s="9">
        <f>IF($K258="","",INDEX('سجل التحفيز'!$E$5:$E$2004,MATCH($K258,'سجل التحفيز'!$AC$5:$AC$2004,0)))</f>
        <v/>
      </c>
      <c r="R258" s="9">
        <f>IF($K258="","",INDEX('سجل التحفيز'!$F$5:$F$2004,MATCH($K258,'سجل التحفيز'!$AC$5:$AC$2004,0)))</f>
        <v/>
      </c>
      <c r="S258" s="35">
        <f>IF($K258="","",INDEX('سجل التحفيز'!$G$5:$G$2004,MATCH($K258,'سجل التحفيز'!$AC$5:$AC$2004,0)))</f>
        <v/>
      </c>
    </row>
    <row r="259">
      <c r="K259" s="36">
        <f>IF(222&gt;$B$10,"",222)</f>
        <v/>
      </c>
      <c r="L259" s="37">
        <f>IF($K259="","",INDEX('سجل التحفيز'!$A$5:$A$2004,MATCH($K259,'سجل التحفيز'!$AC$5:$AC$2004,0)))</f>
        <v/>
      </c>
      <c r="M259" s="9">
        <f>IF($K259="","",INDEX('سجل التحفيز'!$B$5:$B$2004,MATCH($K259,'سجل التحفيز'!$AC$5:$AC$2004,0)))</f>
        <v/>
      </c>
      <c r="N259" s="9">
        <f>IF($K259="","",INDEX('سجل التحفيز'!$M$5:$M$2004,MATCH($K259,'سجل التحفيز'!$AC$5:$AC$2004,0)))</f>
        <v/>
      </c>
      <c r="O259" s="9">
        <f>IF($K259="","",INDEX('سجل التحفيز'!$C$5:$C$2004,MATCH($K259,'سجل التحفيز'!$AC$5:$AC$2004,0)))</f>
        <v/>
      </c>
      <c r="P259" s="36">
        <f>IF($K259="","",INDEX('سجل التحفيز'!$D$5:$D$2004,MATCH($K259,'سجل التحفيز'!$AC$5:$AC$2004,0)))</f>
        <v/>
      </c>
      <c r="Q259" s="9">
        <f>IF($K259="","",INDEX('سجل التحفيز'!$E$5:$E$2004,MATCH($K259,'سجل التحفيز'!$AC$5:$AC$2004,0)))</f>
        <v/>
      </c>
      <c r="R259" s="9">
        <f>IF($K259="","",INDEX('سجل التحفيز'!$F$5:$F$2004,MATCH($K259,'سجل التحفيز'!$AC$5:$AC$2004,0)))</f>
        <v/>
      </c>
      <c r="S259" s="35">
        <f>IF($K259="","",INDEX('سجل التحفيز'!$G$5:$G$2004,MATCH($K259,'سجل التحفيز'!$AC$5:$AC$2004,0)))</f>
        <v/>
      </c>
    </row>
    <row r="260">
      <c r="K260" s="36">
        <f>IF(223&gt;$B$10,"",223)</f>
        <v/>
      </c>
      <c r="L260" s="37">
        <f>IF($K260="","",INDEX('سجل التحفيز'!$A$5:$A$2004,MATCH($K260,'سجل التحفيز'!$AC$5:$AC$2004,0)))</f>
        <v/>
      </c>
      <c r="M260" s="9">
        <f>IF($K260="","",INDEX('سجل التحفيز'!$B$5:$B$2004,MATCH($K260,'سجل التحفيز'!$AC$5:$AC$2004,0)))</f>
        <v/>
      </c>
      <c r="N260" s="9">
        <f>IF($K260="","",INDEX('سجل التحفيز'!$M$5:$M$2004,MATCH($K260,'سجل التحفيز'!$AC$5:$AC$2004,0)))</f>
        <v/>
      </c>
      <c r="O260" s="9">
        <f>IF($K260="","",INDEX('سجل التحفيز'!$C$5:$C$2004,MATCH($K260,'سجل التحفيز'!$AC$5:$AC$2004,0)))</f>
        <v/>
      </c>
      <c r="P260" s="36">
        <f>IF($K260="","",INDEX('سجل التحفيز'!$D$5:$D$2004,MATCH($K260,'سجل التحفيز'!$AC$5:$AC$2004,0)))</f>
        <v/>
      </c>
      <c r="Q260" s="9">
        <f>IF($K260="","",INDEX('سجل التحفيز'!$E$5:$E$2004,MATCH($K260,'سجل التحفيز'!$AC$5:$AC$2004,0)))</f>
        <v/>
      </c>
      <c r="R260" s="9">
        <f>IF($K260="","",INDEX('سجل التحفيز'!$F$5:$F$2004,MATCH($K260,'سجل التحفيز'!$AC$5:$AC$2004,0)))</f>
        <v/>
      </c>
      <c r="S260" s="35">
        <f>IF($K260="","",INDEX('سجل التحفيز'!$G$5:$G$2004,MATCH($K260,'سجل التحفيز'!$AC$5:$AC$2004,0)))</f>
        <v/>
      </c>
    </row>
    <row r="261">
      <c r="K261" s="36">
        <f>IF(224&gt;$B$10,"",224)</f>
        <v/>
      </c>
      <c r="L261" s="37">
        <f>IF($K261="","",INDEX('سجل التحفيز'!$A$5:$A$2004,MATCH($K261,'سجل التحفيز'!$AC$5:$AC$2004,0)))</f>
        <v/>
      </c>
      <c r="M261" s="9">
        <f>IF($K261="","",INDEX('سجل التحفيز'!$B$5:$B$2004,MATCH($K261,'سجل التحفيز'!$AC$5:$AC$2004,0)))</f>
        <v/>
      </c>
      <c r="N261" s="9">
        <f>IF($K261="","",INDEX('سجل التحفيز'!$M$5:$M$2004,MATCH($K261,'سجل التحفيز'!$AC$5:$AC$2004,0)))</f>
        <v/>
      </c>
      <c r="O261" s="9">
        <f>IF($K261="","",INDEX('سجل التحفيز'!$C$5:$C$2004,MATCH($K261,'سجل التحفيز'!$AC$5:$AC$2004,0)))</f>
        <v/>
      </c>
      <c r="P261" s="36">
        <f>IF($K261="","",INDEX('سجل التحفيز'!$D$5:$D$2004,MATCH($K261,'سجل التحفيز'!$AC$5:$AC$2004,0)))</f>
        <v/>
      </c>
      <c r="Q261" s="9">
        <f>IF($K261="","",INDEX('سجل التحفيز'!$E$5:$E$2004,MATCH($K261,'سجل التحفيز'!$AC$5:$AC$2004,0)))</f>
        <v/>
      </c>
      <c r="R261" s="9">
        <f>IF($K261="","",INDEX('سجل التحفيز'!$F$5:$F$2004,MATCH($K261,'سجل التحفيز'!$AC$5:$AC$2004,0)))</f>
        <v/>
      </c>
      <c r="S261" s="35">
        <f>IF($K261="","",INDEX('سجل التحفيز'!$G$5:$G$2004,MATCH($K261,'سجل التحفيز'!$AC$5:$AC$2004,0)))</f>
        <v/>
      </c>
    </row>
    <row r="262">
      <c r="K262" s="36">
        <f>IF(225&gt;$B$10,"",225)</f>
        <v/>
      </c>
      <c r="L262" s="37">
        <f>IF($K262="","",INDEX('سجل التحفيز'!$A$5:$A$2004,MATCH($K262,'سجل التحفيز'!$AC$5:$AC$2004,0)))</f>
        <v/>
      </c>
      <c r="M262" s="9">
        <f>IF($K262="","",INDEX('سجل التحفيز'!$B$5:$B$2004,MATCH($K262,'سجل التحفيز'!$AC$5:$AC$2004,0)))</f>
        <v/>
      </c>
      <c r="N262" s="9">
        <f>IF($K262="","",INDEX('سجل التحفيز'!$M$5:$M$2004,MATCH($K262,'سجل التحفيز'!$AC$5:$AC$2004,0)))</f>
        <v/>
      </c>
      <c r="O262" s="9">
        <f>IF($K262="","",INDEX('سجل التحفيز'!$C$5:$C$2004,MATCH($K262,'سجل التحفيز'!$AC$5:$AC$2004,0)))</f>
        <v/>
      </c>
      <c r="P262" s="36">
        <f>IF($K262="","",INDEX('سجل التحفيز'!$D$5:$D$2004,MATCH($K262,'سجل التحفيز'!$AC$5:$AC$2004,0)))</f>
        <v/>
      </c>
      <c r="Q262" s="9">
        <f>IF($K262="","",INDEX('سجل التحفيز'!$E$5:$E$2004,MATCH($K262,'سجل التحفيز'!$AC$5:$AC$2004,0)))</f>
        <v/>
      </c>
      <c r="R262" s="9">
        <f>IF($K262="","",INDEX('سجل التحفيز'!$F$5:$F$2004,MATCH($K262,'سجل التحفيز'!$AC$5:$AC$2004,0)))</f>
        <v/>
      </c>
      <c r="S262" s="35">
        <f>IF($K262="","",INDEX('سجل التحفيز'!$G$5:$G$2004,MATCH($K262,'سجل التحفيز'!$AC$5:$AC$2004,0)))</f>
        <v/>
      </c>
    </row>
    <row r="263">
      <c r="K263" s="36">
        <f>IF(226&gt;$B$10,"",226)</f>
        <v/>
      </c>
      <c r="L263" s="37">
        <f>IF($K263="","",INDEX('سجل التحفيز'!$A$5:$A$2004,MATCH($K263,'سجل التحفيز'!$AC$5:$AC$2004,0)))</f>
        <v/>
      </c>
      <c r="M263" s="9">
        <f>IF($K263="","",INDEX('سجل التحفيز'!$B$5:$B$2004,MATCH($K263,'سجل التحفيز'!$AC$5:$AC$2004,0)))</f>
        <v/>
      </c>
      <c r="N263" s="9">
        <f>IF($K263="","",INDEX('سجل التحفيز'!$M$5:$M$2004,MATCH($K263,'سجل التحفيز'!$AC$5:$AC$2004,0)))</f>
        <v/>
      </c>
      <c r="O263" s="9">
        <f>IF($K263="","",INDEX('سجل التحفيز'!$C$5:$C$2004,MATCH($K263,'سجل التحفيز'!$AC$5:$AC$2004,0)))</f>
        <v/>
      </c>
      <c r="P263" s="36">
        <f>IF($K263="","",INDEX('سجل التحفيز'!$D$5:$D$2004,MATCH($K263,'سجل التحفيز'!$AC$5:$AC$2004,0)))</f>
        <v/>
      </c>
      <c r="Q263" s="9">
        <f>IF($K263="","",INDEX('سجل التحفيز'!$E$5:$E$2004,MATCH($K263,'سجل التحفيز'!$AC$5:$AC$2004,0)))</f>
        <v/>
      </c>
      <c r="R263" s="9">
        <f>IF($K263="","",INDEX('سجل التحفيز'!$F$5:$F$2004,MATCH($K263,'سجل التحفيز'!$AC$5:$AC$2004,0)))</f>
        <v/>
      </c>
      <c r="S263" s="35">
        <f>IF($K263="","",INDEX('سجل التحفيز'!$G$5:$G$2004,MATCH($K263,'سجل التحفيز'!$AC$5:$AC$2004,0)))</f>
        <v/>
      </c>
    </row>
    <row r="264">
      <c r="K264" s="36">
        <f>IF(227&gt;$B$10,"",227)</f>
        <v/>
      </c>
      <c r="L264" s="37">
        <f>IF($K264="","",INDEX('سجل التحفيز'!$A$5:$A$2004,MATCH($K264,'سجل التحفيز'!$AC$5:$AC$2004,0)))</f>
        <v/>
      </c>
      <c r="M264" s="9">
        <f>IF($K264="","",INDEX('سجل التحفيز'!$B$5:$B$2004,MATCH($K264,'سجل التحفيز'!$AC$5:$AC$2004,0)))</f>
        <v/>
      </c>
      <c r="N264" s="9">
        <f>IF($K264="","",INDEX('سجل التحفيز'!$M$5:$M$2004,MATCH($K264,'سجل التحفيز'!$AC$5:$AC$2004,0)))</f>
        <v/>
      </c>
      <c r="O264" s="9">
        <f>IF($K264="","",INDEX('سجل التحفيز'!$C$5:$C$2004,MATCH($K264,'سجل التحفيز'!$AC$5:$AC$2004,0)))</f>
        <v/>
      </c>
      <c r="P264" s="36">
        <f>IF($K264="","",INDEX('سجل التحفيز'!$D$5:$D$2004,MATCH($K264,'سجل التحفيز'!$AC$5:$AC$2004,0)))</f>
        <v/>
      </c>
      <c r="Q264" s="9">
        <f>IF($K264="","",INDEX('سجل التحفيز'!$E$5:$E$2004,MATCH($K264,'سجل التحفيز'!$AC$5:$AC$2004,0)))</f>
        <v/>
      </c>
      <c r="R264" s="9">
        <f>IF($K264="","",INDEX('سجل التحفيز'!$F$5:$F$2004,MATCH($K264,'سجل التحفيز'!$AC$5:$AC$2004,0)))</f>
        <v/>
      </c>
      <c r="S264" s="35">
        <f>IF($K264="","",INDEX('سجل التحفيز'!$G$5:$G$2004,MATCH($K264,'سجل التحفيز'!$AC$5:$AC$2004,0)))</f>
        <v/>
      </c>
    </row>
    <row r="265">
      <c r="K265" s="36">
        <f>IF(228&gt;$B$10,"",228)</f>
        <v/>
      </c>
      <c r="L265" s="37">
        <f>IF($K265="","",INDEX('سجل التحفيز'!$A$5:$A$2004,MATCH($K265,'سجل التحفيز'!$AC$5:$AC$2004,0)))</f>
        <v/>
      </c>
      <c r="M265" s="9">
        <f>IF($K265="","",INDEX('سجل التحفيز'!$B$5:$B$2004,MATCH($K265,'سجل التحفيز'!$AC$5:$AC$2004,0)))</f>
        <v/>
      </c>
      <c r="N265" s="9">
        <f>IF($K265="","",INDEX('سجل التحفيز'!$M$5:$M$2004,MATCH($K265,'سجل التحفيز'!$AC$5:$AC$2004,0)))</f>
        <v/>
      </c>
      <c r="O265" s="9">
        <f>IF($K265="","",INDEX('سجل التحفيز'!$C$5:$C$2004,MATCH($K265,'سجل التحفيز'!$AC$5:$AC$2004,0)))</f>
        <v/>
      </c>
      <c r="P265" s="36">
        <f>IF($K265="","",INDEX('سجل التحفيز'!$D$5:$D$2004,MATCH($K265,'سجل التحفيز'!$AC$5:$AC$2004,0)))</f>
        <v/>
      </c>
      <c r="Q265" s="9">
        <f>IF($K265="","",INDEX('سجل التحفيز'!$E$5:$E$2004,MATCH($K265,'سجل التحفيز'!$AC$5:$AC$2004,0)))</f>
        <v/>
      </c>
      <c r="R265" s="9">
        <f>IF($K265="","",INDEX('سجل التحفيز'!$F$5:$F$2004,MATCH($K265,'سجل التحفيز'!$AC$5:$AC$2004,0)))</f>
        <v/>
      </c>
      <c r="S265" s="35">
        <f>IF($K265="","",INDEX('سجل التحفيز'!$G$5:$G$2004,MATCH($K265,'سجل التحفيز'!$AC$5:$AC$2004,0)))</f>
        <v/>
      </c>
    </row>
    <row r="266">
      <c r="K266" s="36">
        <f>IF(229&gt;$B$10,"",229)</f>
        <v/>
      </c>
      <c r="L266" s="37">
        <f>IF($K266="","",INDEX('سجل التحفيز'!$A$5:$A$2004,MATCH($K266,'سجل التحفيز'!$AC$5:$AC$2004,0)))</f>
        <v/>
      </c>
      <c r="M266" s="9">
        <f>IF($K266="","",INDEX('سجل التحفيز'!$B$5:$B$2004,MATCH($K266,'سجل التحفيز'!$AC$5:$AC$2004,0)))</f>
        <v/>
      </c>
      <c r="N266" s="9">
        <f>IF($K266="","",INDEX('سجل التحفيز'!$M$5:$M$2004,MATCH($K266,'سجل التحفيز'!$AC$5:$AC$2004,0)))</f>
        <v/>
      </c>
      <c r="O266" s="9">
        <f>IF($K266="","",INDEX('سجل التحفيز'!$C$5:$C$2004,MATCH($K266,'سجل التحفيز'!$AC$5:$AC$2004,0)))</f>
        <v/>
      </c>
      <c r="P266" s="36">
        <f>IF($K266="","",INDEX('سجل التحفيز'!$D$5:$D$2004,MATCH($K266,'سجل التحفيز'!$AC$5:$AC$2004,0)))</f>
        <v/>
      </c>
      <c r="Q266" s="9">
        <f>IF($K266="","",INDEX('سجل التحفيز'!$E$5:$E$2004,MATCH($K266,'سجل التحفيز'!$AC$5:$AC$2004,0)))</f>
        <v/>
      </c>
      <c r="R266" s="9">
        <f>IF($K266="","",INDEX('سجل التحفيز'!$F$5:$F$2004,MATCH($K266,'سجل التحفيز'!$AC$5:$AC$2004,0)))</f>
        <v/>
      </c>
      <c r="S266" s="35">
        <f>IF($K266="","",INDEX('سجل التحفيز'!$G$5:$G$2004,MATCH($K266,'سجل التحفيز'!$AC$5:$AC$2004,0)))</f>
        <v/>
      </c>
    </row>
    <row r="267">
      <c r="K267" s="36">
        <f>IF(230&gt;$B$10,"",230)</f>
        <v/>
      </c>
      <c r="L267" s="37">
        <f>IF($K267="","",INDEX('سجل التحفيز'!$A$5:$A$2004,MATCH($K267,'سجل التحفيز'!$AC$5:$AC$2004,0)))</f>
        <v/>
      </c>
      <c r="M267" s="9">
        <f>IF($K267="","",INDEX('سجل التحفيز'!$B$5:$B$2004,MATCH($K267,'سجل التحفيز'!$AC$5:$AC$2004,0)))</f>
        <v/>
      </c>
      <c r="N267" s="9">
        <f>IF($K267="","",INDEX('سجل التحفيز'!$M$5:$M$2004,MATCH($K267,'سجل التحفيز'!$AC$5:$AC$2004,0)))</f>
        <v/>
      </c>
      <c r="O267" s="9">
        <f>IF($K267="","",INDEX('سجل التحفيز'!$C$5:$C$2004,MATCH($K267,'سجل التحفيز'!$AC$5:$AC$2004,0)))</f>
        <v/>
      </c>
      <c r="P267" s="36">
        <f>IF($K267="","",INDEX('سجل التحفيز'!$D$5:$D$2004,MATCH($K267,'سجل التحفيز'!$AC$5:$AC$2004,0)))</f>
        <v/>
      </c>
      <c r="Q267" s="9">
        <f>IF($K267="","",INDEX('سجل التحفيز'!$E$5:$E$2004,MATCH($K267,'سجل التحفيز'!$AC$5:$AC$2004,0)))</f>
        <v/>
      </c>
      <c r="R267" s="9">
        <f>IF($K267="","",INDEX('سجل التحفيز'!$F$5:$F$2004,MATCH($K267,'سجل التحفيز'!$AC$5:$AC$2004,0)))</f>
        <v/>
      </c>
      <c r="S267" s="35">
        <f>IF($K267="","",INDEX('سجل التحفيز'!$G$5:$G$2004,MATCH($K267,'سجل التحفيز'!$AC$5:$AC$2004,0)))</f>
        <v/>
      </c>
    </row>
    <row r="268">
      <c r="K268" s="36">
        <f>IF(231&gt;$B$10,"",231)</f>
        <v/>
      </c>
      <c r="L268" s="37">
        <f>IF($K268="","",INDEX('سجل التحفيز'!$A$5:$A$2004,MATCH($K268,'سجل التحفيز'!$AC$5:$AC$2004,0)))</f>
        <v/>
      </c>
      <c r="M268" s="9">
        <f>IF($K268="","",INDEX('سجل التحفيز'!$B$5:$B$2004,MATCH($K268,'سجل التحفيز'!$AC$5:$AC$2004,0)))</f>
        <v/>
      </c>
      <c r="N268" s="9">
        <f>IF($K268="","",INDEX('سجل التحفيز'!$M$5:$M$2004,MATCH($K268,'سجل التحفيز'!$AC$5:$AC$2004,0)))</f>
        <v/>
      </c>
      <c r="O268" s="9">
        <f>IF($K268="","",INDEX('سجل التحفيز'!$C$5:$C$2004,MATCH($K268,'سجل التحفيز'!$AC$5:$AC$2004,0)))</f>
        <v/>
      </c>
      <c r="P268" s="36">
        <f>IF($K268="","",INDEX('سجل التحفيز'!$D$5:$D$2004,MATCH($K268,'سجل التحفيز'!$AC$5:$AC$2004,0)))</f>
        <v/>
      </c>
      <c r="Q268" s="9">
        <f>IF($K268="","",INDEX('سجل التحفيز'!$E$5:$E$2004,MATCH($K268,'سجل التحفيز'!$AC$5:$AC$2004,0)))</f>
        <v/>
      </c>
      <c r="R268" s="9">
        <f>IF($K268="","",INDEX('سجل التحفيز'!$F$5:$F$2004,MATCH($K268,'سجل التحفيز'!$AC$5:$AC$2004,0)))</f>
        <v/>
      </c>
      <c r="S268" s="35">
        <f>IF($K268="","",INDEX('سجل التحفيز'!$G$5:$G$2004,MATCH($K268,'سجل التحفيز'!$AC$5:$AC$2004,0)))</f>
        <v/>
      </c>
    </row>
    <row r="269">
      <c r="K269" s="36">
        <f>IF(232&gt;$B$10,"",232)</f>
        <v/>
      </c>
      <c r="L269" s="37">
        <f>IF($K269="","",INDEX('سجل التحفيز'!$A$5:$A$2004,MATCH($K269,'سجل التحفيز'!$AC$5:$AC$2004,0)))</f>
        <v/>
      </c>
      <c r="M269" s="9">
        <f>IF($K269="","",INDEX('سجل التحفيز'!$B$5:$B$2004,MATCH($K269,'سجل التحفيز'!$AC$5:$AC$2004,0)))</f>
        <v/>
      </c>
      <c r="N269" s="9">
        <f>IF($K269="","",INDEX('سجل التحفيز'!$M$5:$M$2004,MATCH($K269,'سجل التحفيز'!$AC$5:$AC$2004,0)))</f>
        <v/>
      </c>
      <c r="O269" s="9">
        <f>IF($K269="","",INDEX('سجل التحفيز'!$C$5:$C$2004,MATCH($K269,'سجل التحفيز'!$AC$5:$AC$2004,0)))</f>
        <v/>
      </c>
      <c r="P269" s="36">
        <f>IF($K269="","",INDEX('سجل التحفيز'!$D$5:$D$2004,MATCH($K269,'سجل التحفيز'!$AC$5:$AC$2004,0)))</f>
        <v/>
      </c>
      <c r="Q269" s="9">
        <f>IF($K269="","",INDEX('سجل التحفيز'!$E$5:$E$2004,MATCH($K269,'سجل التحفيز'!$AC$5:$AC$2004,0)))</f>
        <v/>
      </c>
      <c r="R269" s="9">
        <f>IF($K269="","",INDEX('سجل التحفيز'!$F$5:$F$2004,MATCH($K269,'سجل التحفيز'!$AC$5:$AC$2004,0)))</f>
        <v/>
      </c>
      <c r="S269" s="35">
        <f>IF($K269="","",INDEX('سجل التحفيز'!$G$5:$G$2004,MATCH($K269,'سجل التحفيز'!$AC$5:$AC$2004,0)))</f>
        <v/>
      </c>
    </row>
    <row r="270">
      <c r="K270" s="36">
        <f>IF(233&gt;$B$10,"",233)</f>
        <v/>
      </c>
      <c r="L270" s="37">
        <f>IF($K270="","",INDEX('سجل التحفيز'!$A$5:$A$2004,MATCH($K270,'سجل التحفيز'!$AC$5:$AC$2004,0)))</f>
        <v/>
      </c>
      <c r="M270" s="9">
        <f>IF($K270="","",INDEX('سجل التحفيز'!$B$5:$B$2004,MATCH($K270,'سجل التحفيز'!$AC$5:$AC$2004,0)))</f>
        <v/>
      </c>
      <c r="N270" s="9">
        <f>IF($K270="","",INDEX('سجل التحفيز'!$M$5:$M$2004,MATCH($K270,'سجل التحفيز'!$AC$5:$AC$2004,0)))</f>
        <v/>
      </c>
      <c r="O270" s="9">
        <f>IF($K270="","",INDEX('سجل التحفيز'!$C$5:$C$2004,MATCH($K270,'سجل التحفيز'!$AC$5:$AC$2004,0)))</f>
        <v/>
      </c>
      <c r="P270" s="36">
        <f>IF($K270="","",INDEX('سجل التحفيز'!$D$5:$D$2004,MATCH($K270,'سجل التحفيز'!$AC$5:$AC$2004,0)))</f>
        <v/>
      </c>
      <c r="Q270" s="9">
        <f>IF($K270="","",INDEX('سجل التحفيز'!$E$5:$E$2004,MATCH($K270,'سجل التحفيز'!$AC$5:$AC$2004,0)))</f>
        <v/>
      </c>
      <c r="R270" s="9">
        <f>IF($K270="","",INDEX('سجل التحفيز'!$F$5:$F$2004,MATCH($K270,'سجل التحفيز'!$AC$5:$AC$2004,0)))</f>
        <v/>
      </c>
      <c r="S270" s="35">
        <f>IF($K270="","",INDEX('سجل التحفيز'!$G$5:$G$2004,MATCH($K270,'سجل التحفيز'!$AC$5:$AC$2004,0)))</f>
        <v/>
      </c>
    </row>
    <row r="271">
      <c r="K271" s="36">
        <f>IF(234&gt;$B$10,"",234)</f>
        <v/>
      </c>
      <c r="L271" s="37">
        <f>IF($K271="","",INDEX('سجل التحفيز'!$A$5:$A$2004,MATCH($K271,'سجل التحفيز'!$AC$5:$AC$2004,0)))</f>
        <v/>
      </c>
      <c r="M271" s="9">
        <f>IF($K271="","",INDEX('سجل التحفيز'!$B$5:$B$2004,MATCH($K271,'سجل التحفيز'!$AC$5:$AC$2004,0)))</f>
        <v/>
      </c>
      <c r="N271" s="9">
        <f>IF($K271="","",INDEX('سجل التحفيز'!$M$5:$M$2004,MATCH($K271,'سجل التحفيز'!$AC$5:$AC$2004,0)))</f>
        <v/>
      </c>
      <c r="O271" s="9">
        <f>IF($K271="","",INDEX('سجل التحفيز'!$C$5:$C$2004,MATCH($K271,'سجل التحفيز'!$AC$5:$AC$2004,0)))</f>
        <v/>
      </c>
      <c r="P271" s="36">
        <f>IF($K271="","",INDEX('سجل التحفيز'!$D$5:$D$2004,MATCH($K271,'سجل التحفيز'!$AC$5:$AC$2004,0)))</f>
        <v/>
      </c>
      <c r="Q271" s="9">
        <f>IF($K271="","",INDEX('سجل التحفيز'!$E$5:$E$2004,MATCH($K271,'سجل التحفيز'!$AC$5:$AC$2004,0)))</f>
        <v/>
      </c>
      <c r="R271" s="9">
        <f>IF($K271="","",INDEX('سجل التحفيز'!$F$5:$F$2004,MATCH($K271,'سجل التحفيز'!$AC$5:$AC$2004,0)))</f>
        <v/>
      </c>
      <c r="S271" s="35">
        <f>IF($K271="","",INDEX('سجل التحفيز'!$G$5:$G$2004,MATCH($K271,'سجل التحفيز'!$AC$5:$AC$2004,0)))</f>
        <v/>
      </c>
    </row>
    <row r="272">
      <c r="K272" s="36">
        <f>IF(235&gt;$B$10,"",235)</f>
        <v/>
      </c>
      <c r="L272" s="37">
        <f>IF($K272="","",INDEX('سجل التحفيز'!$A$5:$A$2004,MATCH($K272,'سجل التحفيز'!$AC$5:$AC$2004,0)))</f>
        <v/>
      </c>
      <c r="M272" s="9">
        <f>IF($K272="","",INDEX('سجل التحفيز'!$B$5:$B$2004,MATCH($K272,'سجل التحفيز'!$AC$5:$AC$2004,0)))</f>
        <v/>
      </c>
      <c r="N272" s="9">
        <f>IF($K272="","",INDEX('سجل التحفيز'!$M$5:$M$2004,MATCH($K272,'سجل التحفيز'!$AC$5:$AC$2004,0)))</f>
        <v/>
      </c>
      <c r="O272" s="9">
        <f>IF($K272="","",INDEX('سجل التحفيز'!$C$5:$C$2004,MATCH($K272,'سجل التحفيز'!$AC$5:$AC$2004,0)))</f>
        <v/>
      </c>
      <c r="P272" s="36">
        <f>IF($K272="","",INDEX('سجل التحفيز'!$D$5:$D$2004,MATCH($K272,'سجل التحفيز'!$AC$5:$AC$2004,0)))</f>
        <v/>
      </c>
      <c r="Q272" s="9">
        <f>IF($K272="","",INDEX('سجل التحفيز'!$E$5:$E$2004,MATCH($K272,'سجل التحفيز'!$AC$5:$AC$2004,0)))</f>
        <v/>
      </c>
      <c r="R272" s="9">
        <f>IF($K272="","",INDEX('سجل التحفيز'!$F$5:$F$2004,MATCH($K272,'سجل التحفيز'!$AC$5:$AC$2004,0)))</f>
        <v/>
      </c>
      <c r="S272" s="35">
        <f>IF($K272="","",INDEX('سجل التحفيز'!$G$5:$G$2004,MATCH($K272,'سجل التحفيز'!$AC$5:$AC$2004,0)))</f>
        <v/>
      </c>
    </row>
    <row r="273">
      <c r="K273" s="36">
        <f>IF(236&gt;$B$10,"",236)</f>
        <v/>
      </c>
      <c r="L273" s="37">
        <f>IF($K273="","",INDEX('سجل التحفيز'!$A$5:$A$2004,MATCH($K273,'سجل التحفيز'!$AC$5:$AC$2004,0)))</f>
        <v/>
      </c>
      <c r="M273" s="9">
        <f>IF($K273="","",INDEX('سجل التحفيز'!$B$5:$B$2004,MATCH($K273,'سجل التحفيز'!$AC$5:$AC$2004,0)))</f>
        <v/>
      </c>
      <c r="N273" s="9">
        <f>IF($K273="","",INDEX('سجل التحفيز'!$M$5:$M$2004,MATCH($K273,'سجل التحفيز'!$AC$5:$AC$2004,0)))</f>
        <v/>
      </c>
      <c r="O273" s="9">
        <f>IF($K273="","",INDEX('سجل التحفيز'!$C$5:$C$2004,MATCH($K273,'سجل التحفيز'!$AC$5:$AC$2004,0)))</f>
        <v/>
      </c>
      <c r="P273" s="36">
        <f>IF($K273="","",INDEX('سجل التحفيز'!$D$5:$D$2004,MATCH($K273,'سجل التحفيز'!$AC$5:$AC$2004,0)))</f>
        <v/>
      </c>
      <c r="Q273" s="9">
        <f>IF($K273="","",INDEX('سجل التحفيز'!$E$5:$E$2004,MATCH($K273,'سجل التحفيز'!$AC$5:$AC$2004,0)))</f>
        <v/>
      </c>
      <c r="R273" s="9">
        <f>IF($K273="","",INDEX('سجل التحفيز'!$F$5:$F$2004,MATCH($K273,'سجل التحفيز'!$AC$5:$AC$2004,0)))</f>
        <v/>
      </c>
      <c r="S273" s="35">
        <f>IF($K273="","",INDEX('سجل التحفيز'!$G$5:$G$2004,MATCH($K273,'سجل التحفيز'!$AC$5:$AC$2004,0)))</f>
        <v/>
      </c>
    </row>
    <row r="274">
      <c r="K274" s="36">
        <f>IF(237&gt;$B$10,"",237)</f>
        <v/>
      </c>
      <c r="L274" s="37">
        <f>IF($K274="","",INDEX('سجل التحفيز'!$A$5:$A$2004,MATCH($K274,'سجل التحفيز'!$AC$5:$AC$2004,0)))</f>
        <v/>
      </c>
      <c r="M274" s="9">
        <f>IF($K274="","",INDEX('سجل التحفيز'!$B$5:$B$2004,MATCH($K274,'سجل التحفيز'!$AC$5:$AC$2004,0)))</f>
        <v/>
      </c>
      <c r="N274" s="9">
        <f>IF($K274="","",INDEX('سجل التحفيز'!$M$5:$M$2004,MATCH($K274,'سجل التحفيز'!$AC$5:$AC$2004,0)))</f>
        <v/>
      </c>
      <c r="O274" s="9">
        <f>IF($K274="","",INDEX('سجل التحفيز'!$C$5:$C$2004,MATCH($K274,'سجل التحفيز'!$AC$5:$AC$2004,0)))</f>
        <v/>
      </c>
      <c r="P274" s="36">
        <f>IF($K274="","",INDEX('سجل التحفيز'!$D$5:$D$2004,MATCH($K274,'سجل التحفيز'!$AC$5:$AC$2004,0)))</f>
        <v/>
      </c>
      <c r="Q274" s="9">
        <f>IF($K274="","",INDEX('سجل التحفيز'!$E$5:$E$2004,MATCH($K274,'سجل التحفيز'!$AC$5:$AC$2004,0)))</f>
        <v/>
      </c>
      <c r="R274" s="9">
        <f>IF($K274="","",INDEX('سجل التحفيز'!$F$5:$F$2004,MATCH($K274,'سجل التحفيز'!$AC$5:$AC$2004,0)))</f>
        <v/>
      </c>
      <c r="S274" s="35">
        <f>IF($K274="","",INDEX('سجل التحفيز'!$G$5:$G$2004,MATCH($K274,'سجل التحفيز'!$AC$5:$AC$2004,0)))</f>
        <v/>
      </c>
    </row>
    <row r="275">
      <c r="K275" s="36">
        <f>IF(238&gt;$B$10,"",238)</f>
        <v/>
      </c>
      <c r="L275" s="37">
        <f>IF($K275="","",INDEX('سجل التحفيز'!$A$5:$A$2004,MATCH($K275,'سجل التحفيز'!$AC$5:$AC$2004,0)))</f>
        <v/>
      </c>
      <c r="M275" s="9">
        <f>IF($K275="","",INDEX('سجل التحفيز'!$B$5:$B$2004,MATCH($K275,'سجل التحفيز'!$AC$5:$AC$2004,0)))</f>
        <v/>
      </c>
      <c r="N275" s="9">
        <f>IF($K275="","",INDEX('سجل التحفيز'!$M$5:$M$2004,MATCH($K275,'سجل التحفيز'!$AC$5:$AC$2004,0)))</f>
        <v/>
      </c>
      <c r="O275" s="9">
        <f>IF($K275="","",INDEX('سجل التحفيز'!$C$5:$C$2004,MATCH($K275,'سجل التحفيز'!$AC$5:$AC$2004,0)))</f>
        <v/>
      </c>
      <c r="P275" s="36">
        <f>IF($K275="","",INDEX('سجل التحفيز'!$D$5:$D$2004,MATCH($K275,'سجل التحفيز'!$AC$5:$AC$2004,0)))</f>
        <v/>
      </c>
      <c r="Q275" s="9">
        <f>IF($K275="","",INDEX('سجل التحفيز'!$E$5:$E$2004,MATCH($K275,'سجل التحفيز'!$AC$5:$AC$2004,0)))</f>
        <v/>
      </c>
      <c r="R275" s="9">
        <f>IF($K275="","",INDEX('سجل التحفيز'!$F$5:$F$2004,MATCH($K275,'سجل التحفيز'!$AC$5:$AC$2004,0)))</f>
        <v/>
      </c>
      <c r="S275" s="35">
        <f>IF($K275="","",INDEX('سجل التحفيز'!$G$5:$G$2004,MATCH($K275,'سجل التحفيز'!$AC$5:$AC$2004,0)))</f>
        <v/>
      </c>
    </row>
    <row r="276">
      <c r="K276" s="36">
        <f>IF(239&gt;$B$10,"",239)</f>
        <v/>
      </c>
      <c r="L276" s="37">
        <f>IF($K276="","",INDEX('سجل التحفيز'!$A$5:$A$2004,MATCH($K276,'سجل التحفيز'!$AC$5:$AC$2004,0)))</f>
        <v/>
      </c>
      <c r="M276" s="9">
        <f>IF($K276="","",INDEX('سجل التحفيز'!$B$5:$B$2004,MATCH($K276,'سجل التحفيز'!$AC$5:$AC$2004,0)))</f>
        <v/>
      </c>
      <c r="N276" s="9">
        <f>IF($K276="","",INDEX('سجل التحفيز'!$M$5:$M$2004,MATCH($K276,'سجل التحفيز'!$AC$5:$AC$2004,0)))</f>
        <v/>
      </c>
      <c r="O276" s="9">
        <f>IF($K276="","",INDEX('سجل التحفيز'!$C$5:$C$2004,MATCH($K276,'سجل التحفيز'!$AC$5:$AC$2004,0)))</f>
        <v/>
      </c>
      <c r="P276" s="36">
        <f>IF($K276="","",INDEX('سجل التحفيز'!$D$5:$D$2004,MATCH($K276,'سجل التحفيز'!$AC$5:$AC$2004,0)))</f>
        <v/>
      </c>
      <c r="Q276" s="9">
        <f>IF($K276="","",INDEX('سجل التحفيز'!$E$5:$E$2004,MATCH($K276,'سجل التحفيز'!$AC$5:$AC$2004,0)))</f>
        <v/>
      </c>
      <c r="R276" s="9">
        <f>IF($K276="","",INDEX('سجل التحفيز'!$F$5:$F$2004,MATCH($K276,'سجل التحفيز'!$AC$5:$AC$2004,0)))</f>
        <v/>
      </c>
      <c r="S276" s="35">
        <f>IF($K276="","",INDEX('سجل التحفيز'!$G$5:$G$2004,MATCH($K276,'سجل التحفيز'!$AC$5:$AC$2004,0)))</f>
        <v/>
      </c>
    </row>
    <row r="277">
      <c r="K277" s="36">
        <f>IF(240&gt;$B$10,"",240)</f>
        <v/>
      </c>
      <c r="L277" s="37">
        <f>IF($K277="","",INDEX('سجل التحفيز'!$A$5:$A$2004,MATCH($K277,'سجل التحفيز'!$AC$5:$AC$2004,0)))</f>
        <v/>
      </c>
      <c r="M277" s="9">
        <f>IF($K277="","",INDEX('سجل التحفيز'!$B$5:$B$2004,MATCH($K277,'سجل التحفيز'!$AC$5:$AC$2004,0)))</f>
        <v/>
      </c>
      <c r="N277" s="9">
        <f>IF($K277="","",INDEX('سجل التحفيز'!$M$5:$M$2004,MATCH($K277,'سجل التحفيز'!$AC$5:$AC$2004,0)))</f>
        <v/>
      </c>
      <c r="O277" s="9">
        <f>IF($K277="","",INDEX('سجل التحفيز'!$C$5:$C$2004,MATCH($K277,'سجل التحفيز'!$AC$5:$AC$2004,0)))</f>
        <v/>
      </c>
      <c r="P277" s="36">
        <f>IF($K277="","",INDEX('سجل التحفيز'!$D$5:$D$2004,MATCH($K277,'سجل التحفيز'!$AC$5:$AC$2004,0)))</f>
        <v/>
      </c>
      <c r="Q277" s="9">
        <f>IF($K277="","",INDEX('سجل التحفيز'!$E$5:$E$2004,MATCH($K277,'سجل التحفيز'!$AC$5:$AC$2004,0)))</f>
        <v/>
      </c>
      <c r="R277" s="9">
        <f>IF($K277="","",INDEX('سجل التحفيز'!$F$5:$F$2004,MATCH($K277,'سجل التحفيز'!$AC$5:$AC$2004,0)))</f>
        <v/>
      </c>
      <c r="S277" s="35">
        <f>IF($K277="","",INDEX('سجل التحفيز'!$G$5:$G$2004,MATCH($K277,'سجل التحفيز'!$AC$5:$AC$2004,0)))</f>
        <v/>
      </c>
    </row>
    <row r="278">
      <c r="K278" s="36">
        <f>IF(241&gt;$B$10,"",241)</f>
        <v/>
      </c>
      <c r="L278" s="37">
        <f>IF($K278="","",INDEX('سجل التحفيز'!$A$5:$A$2004,MATCH($K278,'سجل التحفيز'!$AC$5:$AC$2004,0)))</f>
        <v/>
      </c>
      <c r="M278" s="9">
        <f>IF($K278="","",INDEX('سجل التحفيز'!$B$5:$B$2004,MATCH($K278,'سجل التحفيز'!$AC$5:$AC$2004,0)))</f>
        <v/>
      </c>
      <c r="N278" s="9">
        <f>IF($K278="","",INDEX('سجل التحفيز'!$M$5:$M$2004,MATCH($K278,'سجل التحفيز'!$AC$5:$AC$2004,0)))</f>
        <v/>
      </c>
      <c r="O278" s="9">
        <f>IF($K278="","",INDEX('سجل التحفيز'!$C$5:$C$2004,MATCH($K278,'سجل التحفيز'!$AC$5:$AC$2004,0)))</f>
        <v/>
      </c>
      <c r="P278" s="36">
        <f>IF($K278="","",INDEX('سجل التحفيز'!$D$5:$D$2004,MATCH($K278,'سجل التحفيز'!$AC$5:$AC$2004,0)))</f>
        <v/>
      </c>
      <c r="Q278" s="9">
        <f>IF($K278="","",INDEX('سجل التحفيز'!$E$5:$E$2004,MATCH($K278,'سجل التحفيز'!$AC$5:$AC$2004,0)))</f>
        <v/>
      </c>
      <c r="R278" s="9">
        <f>IF($K278="","",INDEX('سجل التحفيز'!$F$5:$F$2004,MATCH($K278,'سجل التحفيز'!$AC$5:$AC$2004,0)))</f>
        <v/>
      </c>
      <c r="S278" s="35">
        <f>IF($K278="","",INDEX('سجل التحفيز'!$G$5:$G$2004,MATCH($K278,'سجل التحفيز'!$AC$5:$AC$2004,0)))</f>
        <v/>
      </c>
    </row>
    <row r="279">
      <c r="K279" s="36">
        <f>IF(242&gt;$B$10,"",242)</f>
        <v/>
      </c>
      <c r="L279" s="37">
        <f>IF($K279="","",INDEX('سجل التحفيز'!$A$5:$A$2004,MATCH($K279,'سجل التحفيز'!$AC$5:$AC$2004,0)))</f>
        <v/>
      </c>
      <c r="M279" s="9">
        <f>IF($K279="","",INDEX('سجل التحفيز'!$B$5:$B$2004,MATCH($K279,'سجل التحفيز'!$AC$5:$AC$2004,0)))</f>
        <v/>
      </c>
      <c r="N279" s="9">
        <f>IF($K279="","",INDEX('سجل التحفيز'!$M$5:$M$2004,MATCH($K279,'سجل التحفيز'!$AC$5:$AC$2004,0)))</f>
        <v/>
      </c>
      <c r="O279" s="9">
        <f>IF($K279="","",INDEX('سجل التحفيز'!$C$5:$C$2004,MATCH($K279,'سجل التحفيز'!$AC$5:$AC$2004,0)))</f>
        <v/>
      </c>
      <c r="P279" s="36">
        <f>IF($K279="","",INDEX('سجل التحفيز'!$D$5:$D$2004,MATCH($K279,'سجل التحفيز'!$AC$5:$AC$2004,0)))</f>
        <v/>
      </c>
      <c r="Q279" s="9">
        <f>IF($K279="","",INDEX('سجل التحفيز'!$E$5:$E$2004,MATCH($K279,'سجل التحفيز'!$AC$5:$AC$2004,0)))</f>
        <v/>
      </c>
      <c r="R279" s="9">
        <f>IF($K279="","",INDEX('سجل التحفيز'!$F$5:$F$2004,MATCH($K279,'سجل التحفيز'!$AC$5:$AC$2004,0)))</f>
        <v/>
      </c>
      <c r="S279" s="35">
        <f>IF($K279="","",INDEX('سجل التحفيز'!$G$5:$G$2004,MATCH($K279,'سجل التحفيز'!$AC$5:$AC$2004,0)))</f>
        <v/>
      </c>
    </row>
    <row r="280">
      <c r="K280" s="36">
        <f>IF(243&gt;$B$10,"",243)</f>
        <v/>
      </c>
      <c r="L280" s="37">
        <f>IF($K280="","",INDEX('سجل التحفيز'!$A$5:$A$2004,MATCH($K280,'سجل التحفيز'!$AC$5:$AC$2004,0)))</f>
        <v/>
      </c>
      <c r="M280" s="9">
        <f>IF($K280="","",INDEX('سجل التحفيز'!$B$5:$B$2004,MATCH($K280,'سجل التحفيز'!$AC$5:$AC$2004,0)))</f>
        <v/>
      </c>
      <c r="N280" s="9">
        <f>IF($K280="","",INDEX('سجل التحفيز'!$M$5:$M$2004,MATCH($K280,'سجل التحفيز'!$AC$5:$AC$2004,0)))</f>
        <v/>
      </c>
      <c r="O280" s="9">
        <f>IF($K280="","",INDEX('سجل التحفيز'!$C$5:$C$2004,MATCH($K280,'سجل التحفيز'!$AC$5:$AC$2004,0)))</f>
        <v/>
      </c>
      <c r="P280" s="36">
        <f>IF($K280="","",INDEX('سجل التحفيز'!$D$5:$D$2004,MATCH($K280,'سجل التحفيز'!$AC$5:$AC$2004,0)))</f>
        <v/>
      </c>
      <c r="Q280" s="9">
        <f>IF($K280="","",INDEX('سجل التحفيز'!$E$5:$E$2004,MATCH($K280,'سجل التحفيز'!$AC$5:$AC$2004,0)))</f>
        <v/>
      </c>
      <c r="R280" s="9">
        <f>IF($K280="","",INDEX('سجل التحفيز'!$F$5:$F$2004,MATCH($K280,'سجل التحفيز'!$AC$5:$AC$2004,0)))</f>
        <v/>
      </c>
      <c r="S280" s="35">
        <f>IF($K280="","",INDEX('سجل التحفيز'!$G$5:$G$2004,MATCH($K280,'سجل التحفيز'!$AC$5:$AC$2004,0)))</f>
        <v/>
      </c>
    </row>
    <row r="281">
      <c r="K281" s="36">
        <f>IF(244&gt;$B$10,"",244)</f>
        <v/>
      </c>
      <c r="L281" s="37">
        <f>IF($K281="","",INDEX('سجل التحفيز'!$A$5:$A$2004,MATCH($K281,'سجل التحفيز'!$AC$5:$AC$2004,0)))</f>
        <v/>
      </c>
      <c r="M281" s="9">
        <f>IF($K281="","",INDEX('سجل التحفيز'!$B$5:$B$2004,MATCH($K281,'سجل التحفيز'!$AC$5:$AC$2004,0)))</f>
        <v/>
      </c>
      <c r="N281" s="9">
        <f>IF($K281="","",INDEX('سجل التحفيز'!$M$5:$M$2004,MATCH($K281,'سجل التحفيز'!$AC$5:$AC$2004,0)))</f>
        <v/>
      </c>
      <c r="O281" s="9">
        <f>IF($K281="","",INDEX('سجل التحفيز'!$C$5:$C$2004,MATCH($K281,'سجل التحفيز'!$AC$5:$AC$2004,0)))</f>
        <v/>
      </c>
      <c r="P281" s="36">
        <f>IF($K281="","",INDEX('سجل التحفيز'!$D$5:$D$2004,MATCH($K281,'سجل التحفيز'!$AC$5:$AC$2004,0)))</f>
        <v/>
      </c>
      <c r="Q281" s="9">
        <f>IF($K281="","",INDEX('سجل التحفيز'!$E$5:$E$2004,MATCH($K281,'سجل التحفيز'!$AC$5:$AC$2004,0)))</f>
        <v/>
      </c>
      <c r="R281" s="9">
        <f>IF($K281="","",INDEX('سجل التحفيز'!$F$5:$F$2004,MATCH($K281,'سجل التحفيز'!$AC$5:$AC$2004,0)))</f>
        <v/>
      </c>
      <c r="S281" s="35">
        <f>IF($K281="","",INDEX('سجل التحفيز'!$G$5:$G$2004,MATCH($K281,'سجل التحفيز'!$AC$5:$AC$2004,0)))</f>
        <v/>
      </c>
    </row>
    <row r="282">
      <c r="K282" s="36">
        <f>IF(245&gt;$B$10,"",245)</f>
        <v/>
      </c>
      <c r="L282" s="37">
        <f>IF($K282="","",INDEX('سجل التحفيز'!$A$5:$A$2004,MATCH($K282,'سجل التحفيز'!$AC$5:$AC$2004,0)))</f>
        <v/>
      </c>
      <c r="M282" s="9">
        <f>IF($K282="","",INDEX('سجل التحفيز'!$B$5:$B$2004,MATCH($K282,'سجل التحفيز'!$AC$5:$AC$2004,0)))</f>
        <v/>
      </c>
      <c r="N282" s="9">
        <f>IF($K282="","",INDEX('سجل التحفيز'!$M$5:$M$2004,MATCH($K282,'سجل التحفيز'!$AC$5:$AC$2004,0)))</f>
        <v/>
      </c>
      <c r="O282" s="9">
        <f>IF($K282="","",INDEX('سجل التحفيز'!$C$5:$C$2004,MATCH($K282,'سجل التحفيز'!$AC$5:$AC$2004,0)))</f>
        <v/>
      </c>
      <c r="P282" s="36">
        <f>IF($K282="","",INDEX('سجل التحفيز'!$D$5:$D$2004,MATCH($K282,'سجل التحفيز'!$AC$5:$AC$2004,0)))</f>
        <v/>
      </c>
      <c r="Q282" s="9">
        <f>IF($K282="","",INDEX('سجل التحفيز'!$E$5:$E$2004,MATCH($K282,'سجل التحفيز'!$AC$5:$AC$2004,0)))</f>
        <v/>
      </c>
      <c r="R282" s="9">
        <f>IF($K282="","",INDEX('سجل التحفيز'!$F$5:$F$2004,MATCH($K282,'سجل التحفيز'!$AC$5:$AC$2004,0)))</f>
        <v/>
      </c>
      <c r="S282" s="35">
        <f>IF($K282="","",INDEX('سجل التحفيز'!$G$5:$G$2004,MATCH($K282,'سجل التحفيز'!$AC$5:$AC$2004,0)))</f>
        <v/>
      </c>
    </row>
    <row r="283">
      <c r="K283" s="36">
        <f>IF(246&gt;$B$10,"",246)</f>
        <v/>
      </c>
      <c r="L283" s="37">
        <f>IF($K283="","",INDEX('سجل التحفيز'!$A$5:$A$2004,MATCH($K283,'سجل التحفيز'!$AC$5:$AC$2004,0)))</f>
        <v/>
      </c>
      <c r="M283" s="9">
        <f>IF($K283="","",INDEX('سجل التحفيز'!$B$5:$B$2004,MATCH($K283,'سجل التحفيز'!$AC$5:$AC$2004,0)))</f>
        <v/>
      </c>
      <c r="N283" s="9">
        <f>IF($K283="","",INDEX('سجل التحفيز'!$M$5:$M$2004,MATCH($K283,'سجل التحفيز'!$AC$5:$AC$2004,0)))</f>
        <v/>
      </c>
      <c r="O283" s="9">
        <f>IF($K283="","",INDEX('سجل التحفيز'!$C$5:$C$2004,MATCH($K283,'سجل التحفيز'!$AC$5:$AC$2004,0)))</f>
        <v/>
      </c>
      <c r="P283" s="36">
        <f>IF($K283="","",INDEX('سجل التحفيز'!$D$5:$D$2004,MATCH($K283,'سجل التحفيز'!$AC$5:$AC$2004,0)))</f>
        <v/>
      </c>
      <c r="Q283" s="9">
        <f>IF($K283="","",INDEX('سجل التحفيز'!$E$5:$E$2004,MATCH($K283,'سجل التحفيز'!$AC$5:$AC$2004,0)))</f>
        <v/>
      </c>
      <c r="R283" s="9">
        <f>IF($K283="","",INDEX('سجل التحفيز'!$F$5:$F$2004,MATCH($K283,'سجل التحفيز'!$AC$5:$AC$2004,0)))</f>
        <v/>
      </c>
      <c r="S283" s="35">
        <f>IF($K283="","",INDEX('سجل التحفيز'!$G$5:$G$2004,MATCH($K283,'سجل التحفيز'!$AC$5:$AC$2004,0)))</f>
        <v/>
      </c>
    </row>
    <row r="284">
      <c r="K284" s="36">
        <f>IF(247&gt;$B$10,"",247)</f>
        <v/>
      </c>
      <c r="L284" s="37">
        <f>IF($K284="","",INDEX('سجل التحفيز'!$A$5:$A$2004,MATCH($K284,'سجل التحفيز'!$AC$5:$AC$2004,0)))</f>
        <v/>
      </c>
      <c r="M284" s="9">
        <f>IF($K284="","",INDEX('سجل التحفيز'!$B$5:$B$2004,MATCH($K284,'سجل التحفيز'!$AC$5:$AC$2004,0)))</f>
        <v/>
      </c>
      <c r="N284" s="9">
        <f>IF($K284="","",INDEX('سجل التحفيز'!$M$5:$M$2004,MATCH($K284,'سجل التحفيز'!$AC$5:$AC$2004,0)))</f>
        <v/>
      </c>
      <c r="O284" s="9">
        <f>IF($K284="","",INDEX('سجل التحفيز'!$C$5:$C$2004,MATCH($K284,'سجل التحفيز'!$AC$5:$AC$2004,0)))</f>
        <v/>
      </c>
      <c r="P284" s="36">
        <f>IF($K284="","",INDEX('سجل التحفيز'!$D$5:$D$2004,MATCH($K284,'سجل التحفيز'!$AC$5:$AC$2004,0)))</f>
        <v/>
      </c>
      <c r="Q284" s="9">
        <f>IF($K284="","",INDEX('سجل التحفيز'!$E$5:$E$2004,MATCH($K284,'سجل التحفيز'!$AC$5:$AC$2004,0)))</f>
        <v/>
      </c>
      <c r="R284" s="9">
        <f>IF($K284="","",INDEX('سجل التحفيز'!$F$5:$F$2004,MATCH($K284,'سجل التحفيز'!$AC$5:$AC$2004,0)))</f>
        <v/>
      </c>
      <c r="S284" s="35">
        <f>IF($K284="","",INDEX('سجل التحفيز'!$G$5:$G$2004,MATCH($K284,'سجل التحفيز'!$AC$5:$AC$2004,0)))</f>
        <v/>
      </c>
    </row>
    <row r="285">
      <c r="K285" s="36">
        <f>IF(248&gt;$B$10,"",248)</f>
        <v/>
      </c>
      <c r="L285" s="37">
        <f>IF($K285="","",INDEX('سجل التحفيز'!$A$5:$A$2004,MATCH($K285,'سجل التحفيز'!$AC$5:$AC$2004,0)))</f>
        <v/>
      </c>
      <c r="M285" s="9">
        <f>IF($K285="","",INDEX('سجل التحفيز'!$B$5:$B$2004,MATCH($K285,'سجل التحفيز'!$AC$5:$AC$2004,0)))</f>
        <v/>
      </c>
      <c r="N285" s="9">
        <f>IF($K285="","",INDEX('سجل التحفيز'!$M$5:$M$2004,MATCH($K285,'سجل التحفيز'!$AC$5:$AC$2004,0)))</f>
        <v/>
      </c>
      <c r="O285" s="9">
        <f>IF($K285="","",INDEX('سجل التحفيز'!$C$5:$C$2004,MATCH($K285,'سجل التحفيز'!$AC$5:$AC$2004,0)))</f>
        <v/>
      </c>
      <c r="P285" s="36">
        <f>IF($K285="","",INDEX('سجل التحفيز'!$D$5:$D$2004,MATCH($K285,'سجل التحفيز'!$AC$5:$AC$2004,0)))</f>
        <v/>
      </c>
      <c r="Q285" s="9">
        <f>IF($K285="","",INDEX('سجل التحفيز'!$E$5:$E$2004,MATCH($K285,'سجل التحفيز'!$AC$5:$AC$2004,0)))</f>
        <v/>
      </c>
      <c r="R285" s="9">
        <f>IF($K285="","",INDEX('سجل التحفيز'!$F$5:$F$2004,MATCH($K285,'سجل التحفيز'!$AC$5:$AC$2004,0)))</f>
        <v/>
      </c>
      <c r="S285" s="35">
        <f>IF($K285="","",INDEX('سجل التحفيز'!$G$5:$G$2004,MATCH($K285,'سجل التحفيز'!$AC$5:$AC$2004,0)))</f>
        <v/>
      </c>
    </row>
    <row r="286">
      <c r="K286" s="36">
        <f>IF(249&gt;$B$10,"",249)</f>
        <v/>
      </c>
      <c r="L286" s="37">
        <f>IF($K286="","",INDEX('سجل التحفيز'!$A$5:$A$2004,MATCH($K286,'سجل التحفيز'!$AC$5:$AC$2004,0)))</f>
        <v/>
      </c>
      <c r="M286" s="9">
        <f>IF($K286="","",INDEX('سجل التحفيز'!$B$5:$B$2004,MATCH($K286,'سجل التحفيز'!$AC$5:$AC$2004,0)))</f>
        <v/>
      </c>
      <c r="N286" s="9">
        <f>IF($K286="","",INDEX('سجل التحفيز'!$M$5:$M$2004,MATCH($K286,'سجل التحفيز'!$AC$5:$AC$2004,0)))</f>
        <v/>
      </c>
      <c r="O286" s="9">
        <f>IF($K286="","",INDEX('سجل التحفيز'!$C$5:$C$2004,MATCH($K286,'سجل التحفيز'!$AC$5:$AC$2004,0)))</f>
        <v/>
      </c>
      <c r="P286" s="36">
        <f>IF($K286="","",INDEX('سجل التحفيز'!$D$5:$D$2004,MATCH($K286,'سجل التحفيز'!$AC$5:$AC$2004,0)))</f>
        <v/>
      </c>
      <c r="Q286" s="9">
        <f>IF($K286="","",INDEX('سجل التحفيز'!$E$5:$E$2004,MATCH($K286,'سجل التحفيز'!$AC$5:$AC$2004,0)))</f>
        <v/>
      </c>
      <c r="R286" s="9">
        <f>IF($K286="","",INDEX('سجل التحفيز'!$F$5:$F$2004,MATCH($K286,'سجل التحفيز'!$AC$5:$AC$2004,0)))</f>
        <v/>
      </c>
      <c r="S286" s="35">
        <f>IF($K286="","",INDEX('سجل التحفيز'!$G$5:$G$2004,MATCH($K286,'سجل التحفيز'!$AC$5:$AC$2004,0)))</f>
        <v/>
      </c>
    </row>
    <row r="287">
      <c r="K287" s="36">
        <f>IF(250&gt;$B$10,"",250)</f>
        <v/>
      </c>
      <c r="L287" s="37">
        <f>IF($K287="","",INDEX('سجل التحفيز'!$A$5:$A$2004,MATCH($K287,'سجل التحفيز'!$AC$5:$AC$2004,0)))</f>
        <v/>
      </c>
      <c r="M287" s="9">
        <f>IF($K287="","",INDEX('سجل التحفيز'!$B$5:$B$2004,MATCH($K287,'سجل التحفيز'!$AC$5:$AC$2004,0)))</f>
        <v/>
      </c>
      <c r="N287" s="9">
        <f>IF($K287="","",INDEX('سجل التحفيز'!$M$5:$M$2004,MATCH($K287,'سجل التحفيز'!$AC$5:$AC$2004,0)))</f>
        <v/>
      </c>
      <c r="O287" s="9">
        <f>IF($K287="","",INDEX('سجل التحفيز'!$C$5:$C$2004,MATCH($K287,'سجل التحفيز'!$AC$5:$AC$2004,0)))</f>
        <v/>
      </c>
      <c r="P287" s="36">
        <f>IF($K287="","",INDEX('سجل التحفيز'!$D$5:$D$2004,MATCH($K287,'سجل التحفيز'!$AC$5:$AC$2004,0)))</f>
        <v/>
      </c>
      <c r="Q287" s="9">
        <f>IF($K287="","",INDEX('سجل التحفيز'!$E$5:$E$2004,MATCH($K287,'سجل التحفيز'!$AC$5:$AC$2004,0)))</f>
        <v/>
      </c>
      <c r="R287" s="9">
        <f>IF($K287="","",INDEX('سجل التحفيز'!$F$5:$F$2004,MATCH($K287,'سجل التحفيز'!$AC$5:$AC$2004,0)))</f>
        <v/>
      </c>
      <c r="S287" s="35">
        <f>IF($K287="","",INDEX('سجل التحفيز'!$G$5:$G$2004,MATCH($K287,'سجل التحفيز'!$AC$5:$AC$2004,0)))</f>
        <v/>
      </c>
    </row>
    <row r="288">
      <c r="K288" s="36">
        <f>IF(251&gt;$B$10,"",251)</f>
        <v/>
      </c>
      <c r="L288" s="37">
        <f>IF($K288="","",INDEX('سجل التحفيز'!$A$5:$A$2004,MATCH($K288,'سجل التحفيز'!$AC$5:$AC$2004,0)))</f>
        <v/>
      </c>
      <c r="M288" s="9">
        <f>IF($K288="","",INDEX('سجل التحفيز'!$B$5:$B$2004,MATCH($K288,'سجل التحفيز'!$AC$5:$AC$2004,0)))</f>
        <v/>
      </c>
      <c r="N288" s="9">
        <f>IF($K288="","",INDEX('سجل التحفيز'!$M$5:$M$2004,MATCH($K288,'سجل التحفيز'!$AC$5:$AC$2004,0)))</f>
        <v/>
      </c>
      <c r="O288" s="9">
        <f>IF($K288="","",INDEX('سجل التحفيز'!$C$5:$C$2004,MATCH($K288,'سجل التحفيز'!$AC$5:$AC$2004,0)))</f>
        <v/>
      </c>
      <c r="P288" s="36">
        <f>IF($K288="","",INDEX('سجل التحفيز'!$D$5:$D$2004,MATCH($K288,'سجل التحفيز'!$AC$5:$AC$2004,0)))</f>
        <v/>
      </c>
      <c r="Q288" s="9">
        <f>IF($K288="","",INDEX('سجل التحفيز'!$E$5:$E$2004,MATCH($K288,'سجل التحفيز'!$AC$5:$AC$2004,0)))</f>
        <v/>
      </c>
      <c r="R288" s="9">
        <f>IF($K288="","",INDEX('سجل التحفيز'!$F$5:$F$2004,MATCH($K288,'سجل التحفيز'!$AC$5:$AC$2004,0)))</f>
        <v/>
      </c>
      <c r="S288" s="35">
        <f>IF($K288="","",INDEX('سجل التحفيز'!$G$5:$G$2004,MATCH($K288,'سجل التحفيز'!$AC$5:$AC$2004,0)))</f>
        <v/>
      </c>
    </row>
    <row r="289">
      <c r="K289" s="36">
        <f>IF(252&gt;$B$10,"",252)</f>
        <v/>
      </c>
      <c r="L289" s="37">
        <f>IF($K289="","",INDEX('سجل التحفيز'!$A$5:$A$2004,MATCH($K289,'سجل التحفيز'!$AC$5:$AC$2004,0)))</f>
        <v/>
      </c>
      <c r="M289" s="9">
        <f>IF($K289="","",INDEX('سجل التحفيز'!$B$5:$B$2004,MATCH($K289,'سجل التحفيز'!$AC$5:$AC$2004,0)))</f>
        <v/>
      </c>
      <c r="N289" s="9">
        <f>IF($K289="","",INDEX('سجل التحفيز'!$M$5:$M$2004,MATCH($K289,'سجل التحفيز'!$AC$5:$AC$2004,0)))</f>
        <v/>
      </c>
      <c r="O289" s="9">
        <f>IF($K289="","",INDEX('سجل التحفيز'!$C$5:$C$2004,MATCH($K289,'سجل التحفيز'!$AC$5:$AC$2004,0)))</f>
        <v/>
      </c>
      <c r="P289" s="36">
        <f>IF($K289="","",INDEX('سجل التحفيز'!$D$5:$D$2004,MATCH($K289,'سجل التحفيز'!$AC$5:$AC$2004,0)))</f>
        <v/>
      </c>
      <c r="Q289" s="9">
        <f>IF($K289="","",INDEX('سجل التحفيز'!$E$5:$E$2004,MATCH($K289,'سجل التحفيز'!$AC$5:$AC$2004,0)))</f>
        <v/>
      </c>
      <c r="R289" s="9">
        <f>IF($K289="","",INDEX('سجل التحفيز'!$F$5:$F$2004,MATCH($K289,'سجل التحفيز'!$AC$5:$AC$2004,0)))</f>
        <v/>
      </c>
      <c r="S289" s="35">
        <f>IF($K289="","",INDEX('سجل التحفيز'!$G$5:$G$2004,MATCH($K289,'سجل التحفيز'!$AC$5:$AC$2004,0)))</f>
        <v/>
      </c>
    </row>
    <row r="290">
      <c r="K290" s="36">
        <f>IF(253&gt;$B$10,"",253)</f>
        <v/>
      </c>
      <c r="L290" s="37">
        <f>IF($K290="","",INDEX('سجل التحفيز'!$A$5:$A$2004,MATCH($K290,'سجل التحفيز'!$AC$5:$AC$2004,0)))</f>
        <v/>
      </c>
      <c r="M290" s="9">
        <f>IF($K290="","",INDEX('سجل التحفيز'!$B$5:$B$2004,MATCH($K290,'سجل التحفيز'!$AC$5:$AC$2004,0)))</f>
        <v/>
      </c>
      <c r="N290" s="9">
        <f>IF($K290="","",INDEX('سجل التحفيز'!$M$5:$M$2004,MATCH($K290,'سجل التحفيز'!$AC$5:$AC$2004,0)))</f>
        <v/>
      </c>
      <c r="O290" s="9">
        <f>IF($K290="","",INDEX('سجل التحفيز'!$C$5:$C$2004,MATCH($K290,'سجل التحفيز'!$AC$5:$AC$2004,0)))</f>
        <v/>
      </c>
      <c r="P290" s="36">
        <f>IF($K290="","",INDEX('سجل التحفيز'!$D$5:$D$2004,MATCH($K290,'سجل التحفيز'!$AC$5:$AC$2004,0)))</f>
        <v/>
      </c>
      <c r="Q290" s="9">
        <f>IF($K290="","",INDEX('سجل التحفيز'!$E$5:$E$2004,MATCH($K290,'سجل التحفيز'!$AC$5:$AC$2004,0)))</f>
        <v/>
      </c>
      <c r="R290" s="9">
        <f>IF($K290="","",INDEX('سجل التحفيز'!$F$5:$F$2004,MATCH($K290,'سجل التحفيز'!$AC$5:$AC$2004,0)))</f>
        <v/>
      </c>
      <c r="S290" s="35">
        <f>IF($K290="","",INDEX('سجل التحفيز'!$G$5:$G$2004,MATCH($K290,'سجل التحفيز'!$AC$5:$AC$2004,0)))</f>
        <v/>
      </c>
    </row>
    <row r="291">
      <c r="K291" s="36">
        <f>IF(254&gt;$B$10,"",254)</f>
        <v/>
      </c>
      <c r="L291" s="37">
        <f>IF($K291="","",INDEX('سجل التحفيز'!$A$5:$A$2004,MATCH($K291,'سجل التحفيز'!$AC$5:$AC$2004,0)))</f>
        <v/>
      </c>
      <c r="M291" s="9">
        <f>IF($K291="","",INDEX('سجل التحفيز'!$B$5:$B$2004,MATCH($K291,'سجل التحفيز'!$AC$5:$AC$2004,0)))</f>
        <v/>
      </c>
      <c r="N291" s="9">
        <f>IF($K291="","",INDEX('سجل التحفيز'!$M$5:$M$2004,MATCH($K291,'سجل التحفيز'!$AC$5:$AC$2004,0)))</f>
        <v/>
      </c>
      <c r="O291" s="9">
        <f>IF($K291="","",INDEX('سجل التحفيز'!$C$5:$C$2004,MATCH($K291,'سجل التحفيز'!$AC$5:$AC$2004,0)))</f>
        <v/>
      </c>
      <c r="P291" s="36">
        <f>IF($K291="","",INDEX('سجل التحفيز'!$D$5:$D$2004,MATCH($K291,'سجل التحفيز'!$AC$5:$AC$2004,0)))</f>
        <v/>
      </c>
      <c r="Q291" s="9">
        <f>IF($K291="","",INDEX('سجل التحفيز'!$E$5:$E$2004,MATCH($K291,'سجل التحفيز'!$AC$5:$AC$2004,0)))</f>
        <v/>
      </c>
      <c r="R291" s="9">
        <f>IF($K291="","",INDEX('سجل التحفيز'!$F$5:$F$2004,MATCH($K291,'سجل التحفيز'!$AC$5:$AC$2004,0)))</f>
        <v/>
      </c>
      <c r="S291" s="35">
        <f>IF($K291="","",INDEX('سجل التحفيز'!$G$5:$G$2004,MATCH($K291,'سجل التحفيز'!$AC$5:$AC$2004,0)))</f>
        <v/>
      </c>
    </row>
    <row r="292">
      <c r="K292" s="36">
        <f>IF(255&gt;$B$10,"",255)</f>
        <v/>
      </c>
      <c r="L292" s="37">
        <f>IF($K292="","",INDEX('سجل التحفيز'!$A$5:$A$2004,MATCH($K292,'سجل التحفيز'!$AC$5:$AC$2004,0)))</f>
        <v/>
      </c>
      <c r="M292" s="9">
        <f>IF($K292="","",INDEX('سجل التحفيز'!$B$5:$B$2004,MATCH($K292,'سجل التحفيز'!$AC$5:$AC$2004,0)))</f>
        <v/>
      </c>
      <c r="N292" s="9">
        <f>IF($K292="","",INDEX('سجل التحفيز'!$M$5:$M$2004,MATCH($K292,'سجل التحفيز'!$AC$5:$AC$2004,0)))</f>
        <v/>
      </c>
      <c r="O292" s="9">
        <f>IF($K292="","",INDEX('سجل التحفيز'!$C$5:$C$2004,MATCH($K292,'سجل التحفيز'!$AC$5:$AC$2004,0)))</f>
        <v/>
      </c>
      <c r="P292" s="36">
        <f>IF($K292="","",INDEX('سجل التحفيز'!$D$5:$D$2004,MATCH($K292,'سجل التحفيز'!$AC$5:$AC$2004,0)))</f>
        <v/>
      </c>
      <c r="Q292" s="9">
        <f>IF($K292="","",INDEX('سجل التحفيز'!$E$5:$E$2004,MATCH($K292,'سجل التحفيز'!$AC$5:$AC$2004,0)))</f>
        <v/>
      </c>
      <c r="R292" s="9">
        <f>IF($K292="","",INDEX('سجل التحفيز'!$F$5:$F$2004,MATCH($K292,'سجل التحفيز'!$AC$5:$AC$2004,0)))</f>
        <v/>
      </c>
      <c r="S292" s="35">
        <f>IF($K292="","",INDEX('سجل التحفيز'!$G$5:$G$2004,MATCH($K292,'سجل التحفيز'!$AC$5:$AC$2004,0)))</f>
        <v/>
      </c>
    </row>
    <row r="293">
      <c r="K293" s="36">
        <f>IF(256&gt;$B$10,"",256)</f>
        <v/>
      </c>
      <c r="L293" s="37">
        <f>IF($K293="","",INDEX('سجل التحفيز'!$A$5:$A$2004,MATCH($K293,'سجل التحفيز'!$AC$5:$AC$2004,0)))</f>
        <v/>
      </c>
      <c r="M293" s="9">
        <f>IF($K293="","",INDEX('سجل التحفيز'!$B$5:$B$2004,MATCH($K293,'سجل التحفيز'!$AC$5:$AC$2004,0)))</f>
        <v/>
      </c>
      <c r="N293" s="9">
        <f>IF($K293="","",INDEX('سجل التحفيز'!$M$5:$M$2004,MATCH($K293,'سجل التحفيز'!$AC$5:$AC$2004,0)))</f>
        <v/>
      </c>
      <c r="O293" s="9">
        <f>IF($K293="","",INDEX('سجل التحفيز'!$C$5:$C$2004,MATCH($K293,'سجل التحفيز'!$AC$5:$AC$2004,0)))</f>
        <v/>
      </c>
      <c r="P293" s="36">
        <f>IF($K293="","",INDEX('سجل التحفيز'!$D$5:$D$2004,MATCH($K293,'سجل التحفيز'!$AC$5:$AC$2004,0)))</f>
        <v/>
      </c>
      <c r="Q293" s="9">
        <f>IF($K293="","",INDEX('سجل التحفيز'!$E$5:$E$2004,MATCH($K293,'سجل التحفيز'!$AC$5:$AC$2004,0)))</f>
        <v/>
      </c>
      <c r="R293" s="9">
        <f>IF($K293="","",INDEX('سجل التحفيز'!$F$5:$F$2004,MATCH($K293,'سجل التحفيز'!$AC$5:$AC$2004,0)))</f>
        <v/>
      </c>
      <c r="S293" s="35">
        <f>IF($K293="","",INDEX('سجل التحفيز'!$G$5:$G$2004,MATCH($K293,'سجل التحفيز'!$AC$5:$AC$2004,0)))</f>
        <v/>
      </c>
    </row>
    <row r="294">
      <c r="K294" s="36">
        <f>IF(257&gt;$B$10,"",257)</f>
        <v/>
      </c>
      <c r="L294" s="37">
        <f>IF($K294="","",INDEX('سجل التحفيز'!$A$5:$A$2004,MATCH($K294,'سجل التحفيز'!$AC$5:$AC$2004,0)))</f>
        <v/>
      </c>
      <c r="M294" s="9">
        <f>IF($K294="","",INDEX('سجل التحفيز'!$B$5:$B$2004,MATCH($K294,'سجل التحفيز'!$AC$5:$AC$2004,0)))</f>
        <v/>
      </c>
      <c r="N294" s="9">
        <f>IF($K294="","",INDEX('سجل التحفيز'!$M$5:$M$2004,MATCH($K294,'سجل التحفيز'!$AC$5:$AC$2004,0)))</f>
        <v/>
      </c>
      <c r="O294" s="9">
        <f>IF($K294="","",INDEX('سجل التحفيز'!$C$5:$C$2004,MATCH($K294,'سجل التحفيز'!$AC$5:$AC$2004,0)))</f>
        <v/>
      </c>
      <c r="P294" s="36">
        <f>IF($K294="","",INDEX('سجل التحفيز'!$D$5:$D$2004,MATCH($K294,'سجل التحفيز'!$AC$5:$AC$2004,0)))</f>
        <v/>
      </c>
      <c r="Q294" s="9">
        <f>IF($K294="","",INDEX('سجل التحفيز'!$E$5:$E$2004,MATCH($K294,'سجل التحفيز'!$AC$5:$AC$2004,0)))</f>
        <v/>
      </c>
      <c r="R294" s="9">
        <f>IF($K294="","",INDEX('سجل التحفيز'!$F$5:$F$2004,MATCH($K294,'سجل التحفيز'!$AC$5:$AC$2004,0)))</f>
        <v/>
      </c>
      <c r="S294" s="35">
        <f>IF($K294="","",INDEX('سجل التحفيز'!$G$5:$G$2004,MATCH($K294,'سجل التحفيز'!$AC$5:$AC$2004,0)))</f>
        <v/>
      </c>
    </row>
    <row r="295">
      <c r="K295" s="36">
        <f>IF(258&gt;$B$10,"",258)</f>
        <v/>
      </c>
      <c r="L295" s="37">
        <f>IF($K295="","",INDEX('سجل التحفيز'!$A$5:$A$2004,MATCH($K295,'سجل التحفيز'!$AC$5:$AC$2004,0)))</f>
        <v/>
      </c>
      <c r="M295" s="9">
        <f>IF($K295="","",INDEX('سجل التحفيز'!$B$5:$B$2004,MATCH($K295,'سجل التحفيز'!$AC$5:$AC$2004,0)))</f>
        <v/>
      </c>
      <c r="N295" s="9">
        <f>IF($K295="","",INDEX('سجل التحفيز'!$M$5:$M$2004,MATCH($K295,'سجل التحفيز'!$AC$5:$AC$2004,0)))</f>
        <v/>
      </c>
      <c r="O295" s="9">
        <f>IF($K295="","",INDEX('سجل التحفيز'!$C$5:$C$2004,MATCH($K295,'سجل التحفيز'!$AC$5:$AC$2004,0)))</f>
        <v/>
      </c>
      <c r="P295" s="36">
        <f>IF($K295="","",INDEX('سجل التحفيز'!$D$5:$D$2004,MATCH($K295,'سجل التحفيز'!$AC$5:$AC$2004,0)))</f>
        <v/>
      </c>
      <c r="Q295" s="9">
        <f>IF($K295="","",INDEX('سجل التحفيز'!$E$5:$E$2004,MATCH($K295,'سجل التحفيز'!$AC$5:$AC$2004,0)))</f>
        <v/>
      </c>
      <c r="R295" s="9">
        <f>IF($K295="","",INDEX('سجل التحفيز'!$F$5:$F$2004,MATCH($K295,'سجل التحفيز'!$AC$5:$AC$2004,0)))</f>
        <v/>
      </c>
      <c r="S295" s="35">
        <f>IF($K295="","",INDEX('سجل التحفيز'!$G$5:$G$2004,MATCH($K295,'سجل التحفيز'!$AC$5:$AC$2004,0)))</f>
        <v/>
      </c>
    </row>
    <row r="296">
      <c r="K296" s="36">
        <f>IF(259&gt;$B$10,"",259)</f>
        <v/>
      </c>
      <c r="L296" s="37">
        <f>IF($K296="","",INDEX('سجل التحفيز'!$A$5:$A$2004,MATCH($K296,'سجل التحفيز'!$AC$5:$AC$2004,0)))</f>
        <v/>
      </c>
      <c r="M296" s="9">
        <f>IF($K296="","",INDEX('سجل التحفيز'!$B$5:$B$2004,MATCH($K296,'سجل التحفيز'!$AC$5:$AC$2004,0)))</f>
        <v/>
      </c>
      <c r="N296" s="9">
        <f>IF($K296="","",INDEX('سجل التحفيز'!$M$5:$M$2004,MATCH($K296,'سجل التحفيز'!$AC$5:$AC$2004,0)))</f>
        <v/>
      </c>
      <c r="O296" s="9">
        <f>IF($K296="","",INDEX('سجل التحفيز'!$C$5:$C$2004,MATCH($K296,'سجل التحفيز'!$AC$5:$AC$2004,0)))</f>
        <v/>
      </c>
      <c r="P296" s="36">
        <f>IF($K296="","",INDEX('سجل التحفيز'!$D$5:$D$2004,MATCH($K296,'سجل التحفيز'!$AC$5:$AC$2004,0)))</f>
        <v/>
      </c>
      <c r="Q296" s="9">
        <f>IF($K296="","",INDEX('سجل التحفيز'!$E$5:$E$2004,MATCH($K296,'سجل التحفيز'!$AC$5:$AC$2004,0)))</f>
        <v/>
      </c>
      <c r="R296" s="9">
        <f>IF($K296="","",INDEX('سجل التحفيز'!$F$5:$F$2004,MATCH($K296,'سجل التحفيز'!$AC$5:$AC$2004,0)))</f>
        <v/>
      </c>
      <c r="S296" s="35">
        <f>IF($K296="","",INDEX('سجل التحفيز'!$G$5:$G$2004,MATCH($K296,'سجل التحفيز'!$AC$5:$AC$2004,0)))</f>
        <v/>
      </c>
    </row>
    <row r="297">
      <c r="K297" s="36">
        <f>IF(260&gt;$B$10,"",260)</f>
        <v/>
      </c>
      <c r="L297" s="37">
        <f>IF($K297="","",INDEX('سجل التحفيز'!$A$5:$A$2004,MATCH($K297,'سجل التحفيز'!$AC$5:$AC$2004,0)))</f>
        <v/>
      </c>
      <c r="M297" s="9">
        <f>IF($K297="","",INDEX('سجل التحفيز'!$B$5:$B$2004,MATCH($K297,'سجل التحفيز'!$AC$5:$AC$2004,0)))</f>
        <v/>
      </c>
      <c r="N297" s="9">
        <f>IF($K297="","",INDEX('سجل التحفيز'!$M$5:$M$2004,MATCH($K297,'سجل التحفيز'!$AC$5:$AC$2004,0)))</f>
        <v/>
      </c>
      <c r="O297" s="9">
        <f>IF($K297="","",INDEX('سجل التحفيز'!$C$5:$C$2004,MATCH($K297,'سجل التحفيز'!$AC$5:$AC$2004,0)))</f>
        <v/>
      </c>
      <c r="P297" s="36">
        <f>IF($K297="","",INDEX('سجل التحفيز'!$D$5:$D$2004,MATCH($K297,'سجل التحفيز'!$AC$5:$AC$2004,0)))</f>
        <v/>
      </c>
      <c r="Q297" s="9">
        <f>IF($K297="","",INDEX('سجل التحفيز'!$E$5:$E$2004,MATCH($K297,'سجل التحفيز'!$AC$5:$AC$2004,0)))</f>
        <v/>
      </c>
      <c r="R297" s="9">
        <f>IF($K297="","",INDEX('سجل التحفيز'!$F$5:$F$2004,MATCH($K297,'سجل التحفيز'!$AC$5:$AC$2004,0)))</f>
        <v/>
      </c>
      <c r="S297" s="35">
        <f>IF($K297="","",INDEX('سجل التحفيز'!$G$5:$G$2004,MATCH($K297,'سجل التحفيز'!$AC$5:$AC$2004,0)))</f>
        <v/>
      </c>
    </row>
    <row r="298">
      <c r="K298" s="36">
        <f>IF(261&gt;$B$10,"",261)</f>
        <v/>
      </c>
      <c r="L298" s="37">
        <f>IF($K298="","",INDEX('سجل التحفيز'!$A$5:$A$2004,MATCH($K298,'سجل التحفيز'!$AC$5:$AC$2004,0)))</f>
        <v/>
      </c>
      <c r="M298" s="9">
        <f>IF($K298="","",INDEX('سجل التحفيز'!$B$5:$B$2004,MATCH($K298,'سجل التحفيز'!$AC$5:$AC$2004,0)))</f>
        <v/>
      </c>
      <c r="N298" s="9">
        <f>IF($K298="","",INDEX('سجل التحفيز'!$M$5:$M$2004,MATCH($K298,'سجل التحفيز'!$AC$5:$AC$2004,0)))</f>
        <v/>
      </c>
      <c r="O298" s="9">
        <f>IF($K298="","",INDEX('سجل التحفيز'!$C$5:$C$2004,MATCH($K298,'سجل التحفيز'!$AC$5:$AC$2004,0)))</f>
        <v/>
      </c>
      <c r="P298" s="36">
        <f>IF($K298="","",INDEX('سجل التحفيز'!$D$5:$D$2004,MATCH($K298,'سجل التحفيز'!$AC$5:$AC$2004,0)))</f>
        <v/>
      </c>
      <c r="Q298" s="9">
        <f>IF($K298="","",INDEX('سجل التحفيز'!$E$5:$E$2004,MATCH($K298,'سجل التحفيز'!$AC$5:$AC$2004,0)))</f>
        <v/>
      </c>
      <c r="R298" s="9">
        <f>IF($K298="","",INDEX('سجل التحفيز'!$F$5:$F$2004,MATCH($K298,'سجل التحفيز'!$AC$5:$AC$2004,0)))</f>
        <v/>
      </c>
      <c r="S298" s="35">
        <f>IF($K298="","",INDEX('سجل التحفيز'!$G$5:$G$2004,MATCH($K298,'سجل التحفيز'!$AC$5:$AC$2004,0)))</f>
        <v/>
      </c>
    </row>
    <row r="299">
      <c r="K299" s="36">
        <f>IF(262&gt;$B$10,"",262)</f>
        <v/>
      </c>
      <c r="L299" s="37">
        <f>IF($K299="","",INDEX('سجل التحفيز'!$A$5:$A$2004,MATCH($K299,'سجل التحفيز'!$AC$5:$AC$2004,0)))</f>
        <v/>
      </c>
      <c r="M299" s="9">
        <f>IF($K299="","",INDEX('سجل التحفيز'!$B$5:$B$2004,MATCH($K299,'سجل التحفيز'!$AC$5:$AC$2004,0)))</f>
        <v/>
      </c>
      <c r="N299" s="9">
        <f>IF($K299="","",INDEX('سجل التحفيز'!$M$5:$M$2004,MATCH($K299,'سجل التحفيز'!$AC$5:$AC$2004,0)))</f>
        <v/>
      </c>
      <c r="O299" s="9">
        <f>IF($K299="","",INDEX('سجل التحفيز'!$C$5:$C$2004,MATCH($K299,'سجل التحفيز'!$AC$5:$AC$2004,0)))</f>
        <v/>
      </c>
      <c r="P299" s="36">
        <f>IF($K299="","",INDEX('سجل التحفيز'!$D$5:$D$2004,MATCH($K299,'سجل التحفيز'!$AC$5:$AC$2004,0)))</f>
        <v/>
      </c>
      <c r="Q299" s="9">
        <f>IF($K299="","",INDEX('سجل التحفيز'!$E$5:$E$2004,MATCH($K299,'سجل التحفيز'!$AC$5:$AC$2004,0)))</f>
        <v/>
      </c>
      <c r="R299" s="9">
        <f>IF($K299="","",INDEX('سجل التحفيز'!$F$5:$F$2004,MATCH($K299,'سجل التحفيز'!$AC$5:$AC$2004,0)))</f>
        <v/>
      </c>
      <c r="S299" s="35">
        <f>IF($K299="","",INDEX('سجل التحفيز'!$G$5:$G$2004,MATCH($K299,'سجل التحفيز'!$AC$5:$AC$2004,0)))</f>
        <v/>
      </c>
    </row>
    <row r="300">
      <c r="K300" s="36">
        <f>IF(263&gt;$B$10,"",263)</f>
        <v/>
      </c>
      <c r="L300" s="37">
        <f>IF($K300="","",INDEX('سجل التحفيز'!$A$5:$A$2004,MATCH($K300,'سجل التحفيز'!$AC$5:$AC$2004,0)))</f>
        <v/>
      </c>
      <c r="M300" s="9">
        <f>IF($K300="","",INDEX('سجل التحفيز'!$B$5:$B$2004,MATCH($K300,'سجل التحفيز'!$AC$5:$AC$2004,0)))</f>
        <v/>
      </c>
      <c r="N300" s="9">
        <f>IF($K300="","",INDEX('سجل التحفيز'!$M$5:$M$2004,MATCH($K300,'سجل التحفيز'!$AC$5:$AC$2004,0)))</f>
        <v/>
      </c>
      <c r="O300" s="9">
        <f>IF($K300="","",INDEX('سجل التحفيز'!$C$5:$C$2004,MATCH($K300,'سجل التحفيز'!$AC$5:$AC$2004,0)))</f>
        <v/>
      </c>
      <c r="P300" s="36">
        <f>IF($K300="","",INDEX('سجل التحفيز'!$D$5:$D$2004,MATCH($K300,'سجل التحفيز'!$AC$5:$AC$2004,0)))</f>
        <v/>
      </c>
      <c r="Q300" s="9">
        <f>IF($K300="","",INDEX('سجل التحفيز'!$E$5:$E$2004,MATCH($K300,'سجل التحفيز'!$AC$5:$AC$2004,0)))</f>
        <v/>
      </c>
      <c r="R300" s="9">
        <f>IF($K300="","",INDEX('سجل التحفيز'!$F$5:$F$2004,MATCH($K300,'سجل التحفيز'!$AC$5:$AC$2004,0)))</f>
        <v/>
      </c>
      <c r="S300" s="35">
        <f>IF($K300="","",INDEX('سجل التحفيز'!$G$5:$G$2004,MATCH($K300,'سجل التحفيز'!$AC$5:$AC$2004,0)))</f>
        <v/>
      </c>
    </row>
    <row r="301">
      <c r="K301" s="36">
        <f>IF(264&gt;$B$10,"",264)</f>
        <v/>
      </c>
      <c r="L301" s="37">
        <f>IF($K301="","",INDEX('سجل التحفيز'!$A$5:$A$2004,MATCH($K301,'سجل التحفيز'!$AC$5:$AC$2004,0)))</f>
        <v/>
      </c>
      <c r="M301" s="9">
        <f>IF($K301="","",INDEX('سجل التحفيز'!$B$5:$B$2004,MATCH($K301,'سجل التحفيز'!$AC$5:$AC$2004,0)))</f>
        <v/>
      </c>
      <c r="N301" s="9">
        <f>IF($K301="","",INDEX('سجل التحفيز'!$M$5:$M$2004,MATCH($K301,'سجل التحفيز'!$AC$5:$AC$2004,0)))</f>
        <v/>
      </c>
      <c r="O301" s="9">
        <f>IF($K301="","",INDEX('سجل التحفيز'!$C$5:$C$2004,MATCH($K301,'سجل التحفيز'!$AC$5:$AC$2004,0)))</f>
        <v/>
      </c>
      <c r="P301" s="36">
        <f>IF($K301="","",INDEX('سجل التحفيز'!$D$5:$D$2004,MATCH($K301,'سجل التحفيز'!$AC$5:$AC$2004,0)))</f>
        <v/>
      </c>
      <c r="Q301" s="9">
        <f>IF($K301="","",INDEX('سجل التحفيز'!$E$5:$E$2004,MATCH($K301,'سجل التحفيز'!$AC$5:$AC$2004,0)))</f>
        <v/>
      </c>
      <c r="R301" s="9">
        <f>IF($K301="","",INDEX('سجل التحفيز'!$F$5:$F$2004,MATCH($K301,'سجل التحفيز'!$AC$5:$AC$2004,0)))</f>
        <v/>
      </c>
      <c r="S301" s="35">
        <f>IF($K301="","",INDEX('سجل التحفيز'!$G$5:$G$2004,MATCH($K301,'سجل التحفيز'!$AC$5:$AC$2004,0)))</f>
        <v/>
      </c>
    </row>
    <row r="302">
      <c r="K302" s="36">
        <f>IF(265&gt;$B$10,"",265)</f>
        <v/>
      </c>
      <c r="L302" s="37">
        <f>IF($K302="","",INDEX('سجل التحفيز'!$A$5:$A$2004,MATCH($K302,'سجل التحفيز'!$AC$5:$AC$2004,0)))</f>
        <v/>
      </c>
      <c r="M302" s="9">
        <f>IF($K302="","",INDEX('سجل التحفيز'!$B$5:$B$2004,MATCH($K302,'سجل التحفيز'!$AC$5:$AC$2004,0)))</f>
        <v/>
      </c>
      <c r="N302" s="9">
        <f>IF($K302="","",INDEX('سجل التحفيز'!$M$5:$M$2004,MATCH($K302,'سجل التحفيز'!$AC$5:$AC$2004,0)))</f>
        <v/>
      </c>
      <c r="O302" s="9">
        <f>IF($K302="","",INDEX('سجل التحفيز'!$C$5:$C$2004,MATCH($K302,'سجل التحفيز'!$AC$5:$AC$2004,0)))</f>
        <v/>
      </c>
      <c r="P302" s="36">
        <f>IF($K302="","",INDEX('سجل التحفيز'!$D$5:$D$2004,MATCH($K302,'سجل التحفيز'!$AC$5:$AC$2004,0)))</f>
        <v/>
      </c>
      <c r="Q302" s="9">
        <f>IF($K302="","",INDEX('سجل التحفيز'!$E$5:$E$2004,MATCH($K302,'سجل التحفيز'!$AC$5:$AC$2004,0)))</f>
        <v/>
      </c>
      <c r="R302" s="9">
        <f>IF($K302="","",INDEX('سجل التحفيز'!$F$5:$F$2004,MATCH($K302,'سجل التحفيز'!$AC$5:$AC$2004,0)))</f>
        <v/>
      </c>
      <c r="S302" s="35">
        <f>IF($K302="","",INDEX('سجل التحفيز'!$G$5:$G$2004,MATCH($K302,'سجل التحفيز'!$AC$5:$AC$2004,0)))</f>
        <v/>
      </c>
    </row>
    <row r="303">
      <c r="K303" s="36">
        <f>IF(266&gt;$B$10,"",266)</f>
        <v/>
      </c>
      <c r="L303" s="37">
        <f>IF($K303="","",INDEX('سجل التحفيز'!$A$5:$A$2004,MATCH($K303,'سجل التحفيز'!$AC$5:$AC$2004,0)))</f>
        <v/>
      </c>
      <c r="M303" s="9">
        <f>IF($K303="","",INDEX('سجل التحفيز'!$B$5:$B$2004,MATCH($K303,'سجل التحفيز'!$AC$5:$AC$2004,0)))</f>
        <v/>
      </c>
      <c r="N303" s="9">
        <f>IF($K303="","",INDEX('سجل التحفيز'!$M$5:$M$2004,MATCH($K303,'سجل التحفيز'!$AC$5:$AC$2004,0)))</f>
        <v/>
      </c>
      <c r="O303" s="9">
        <f>IF($K303="","",INDEX('سجل التحفيز'!$C$5:$C$2004,MATCH($K303,'سجل التحفيز'!$AC$5:$AC$2004,0)))</f>
        <v/>
      </c>
      <c r="P303" s="36">
        <f>IF($K303="","",INDEX('سجل التحفيز'!$D$5:$D$2004,MATCH($K303,'سجل التحفيز'!$AC$5:$AC$2004,0)))</f>
        <v/>
      </c>
      <c r="Q303" s="9">
        <f>IF($K303="","",INDEX('سجل التحفيز'!$E$5:$E$2004,MATCH($K303,'سجل التحفيز'!$AC$5:$AC$2004,0)))</f>
        <v/>
      </c>
      <c r="R303" s="9">
        <f>IF($K303="","",INDEX('سجل التحفيز'!$F$5:$F$2004,MATCH($K303,'سجل التحفيز'!$AC$5:$AC$2004,0)))</f>
        <v/>
      </c>
      <c r="S303" s="35">
        <f>IF($K303="","",INDEX('سجل التحفيز'!$G$5:$G$2004,MATCH($K303,'سجل التحفيز'!$AC$5:$AC$2004,0)))</f>
        <v/>
      </c>
    </row>
    <row r="304">
      <c r="K304" s="36">
        <f>IF(267&gt;$B$10,"",267)</f>
        <v/>
      </c>
      <c r="L304" s="37">
        <f>IF($K304="","",INDEX('سجل التحفيز'!$A$5:$A$2004,MATCH($K304,'سجل التحفيز'!$AC$5:$AC$2004,0)))</f>
        <v/>
      </c>
      <c r="M304" s="9">
        <f>IF($K304="","",INDEX('سجل التحفيز'!$B$5:$B$2004,MATCH($K304,'سجل التحفيز'!$AC$5:$AC$2004,0)))</f>
        <v/>
      </c>
      <c r="N304" s="9">
        <f>IF($K304="","",INDEX('سجل التحفيز'!$M$5:$M$2004,MATCH($K304,'سجل التحفيز'!$AC$5:$AC$2004,0)))</f>
        <v/>
      </c>
      <c r="O304" s="9">
        <f>IF($K304="","",INDEX('سجل التحفيز'!$C$5:$C$2004,MATCH($K304,'سجل التحفيز'!$AC$5:$AC$2004,0)))</f>
        <v/>
      </c>
      <c r="P304" s="36">
        <f>IF($K304="","",INDEX('سجل التحفيز'!$D$5:$D$2004,MATCH($K304,'سجل التحفيز'!$AC$5:$AC$2004,0)))</f>
        <v/>
      </c>
      <c r="Q304" s="9">
        <f>IF($K304="","",INDEX('سجل التحفيز'!$E$5:$E$2004,MATCH($K304,'سجل التحفيز'!$AC$5:$AC$2004,0)))</f>
        <v/>
      </c>
      <c r="R304" s="9">
        <f>IF($K304="","",INDEX('سجل التحفيز'!$F$5:$F$2004,MATCH($K304,'سجل التحفيز'!$AC$5:$AC$2004,0)))</f>
        <v/>
      </c>
      <c r="S304" s="35">
        <f>IF($K304="","",INDEX('سجل التحفيز'!$G$5:$G$2004,MATCH($K304,'سجل التحفيز'!$AC$5:$AC$2004,0)))</f>
        <v/>
      </c>
    </row>
    <row r="305">
      <c r="K305" s="36">
        <f>IF(268&gt;$B$10,"",268)</f>
        <v/>
      </c>
      <c r="L305" s="37">
        <f>IF($K305="","",INDEX('سجل التحفيز'!$A$5:$A$2004,MATCH($K305,'سجل التحفيز'!$AC$5:$AC$2004,0)))</f>
        <v/>
      </c>
      <c r="M305" s="9">
        <f>IF($K305="","",INDEX('سجل التحفيز'!$B$5:$B$2004,MATCH($K305,'سجل التحفيز'!$AC$5:$AC$2004,0)))</f>
        <v/>
      </c>
      <c r="N305" s="9">
        <f>IF($K305="","",INDEX('سجل التحفيز'!$M$5:$M$2004,MATCH($K305,'سجل التحفيز'!$AC$5:$AC$2004,0)))</f>
        <v/>
      </c>
      <c r="O305" s="9">
        <f>IF($K305="","",INDEX('سجل التحفيز'!$C$5:$C$2004,MATCH($K305,'سجل التحفيز'!$AC$5:$AC$2004,0)))</f>
        <v/>
      </c>
      <c r="P305" s="36">
        <f>IF($K305="","",INDEX('سجل التحفيز'!$D$5:$D$2004,MATCH($K305,'سجل التحفيز'!$AC$5:$AC$2004,0)))</f>
        <v/>
      </c>
      <c r="Q305" s="9">
        <f>IF($K305="","",INDEX('سجل التحفيز'!$E$5:$E$2004,MATCH($K305,'سجل التحفيز'!$AC$5:$AC$2004,0)))</f>
        <v/>
      </c>
      <c r="R305" s="9">
        <f>IF($K305="","",INDEX('سجل التحفيز'!$F$5:$F$2004,MATCH($K305,'سجل التحفيز'!$AC$5:$AC$2004,0)))</f>
        <v/>
      </c>
      <c r="S305" s="35">
        <f>IF($K305="","",INDEX('سجل التحفيز'!$G$5:$G$2004,MATCH($K305,'سجل التحفيز'!$AC$5:$AC$2004,0)))</f>
        <v/>
      </c>
    </row>
    <row r="306">
      <c r="K306" s="36">
        <f>IF(269&gt;$B$10,"",269)</f>
        <v/>
      </c>
      <c r="L306" s="37">
        <f>IF($K306="","",INDEX('سجل التحفيز'!$A$5:$A$2004,MATCH($K306,'سجل التحفيز'!$AC$5:$AC$2004,0)))</f>
        <v/>
      </c>
      <c r="M306" s="9">
        <f>IF($K306="","",INDEX('سجل التحفيز'!$B$5:$B$2004,MATCH($K306,'سجل التحفيز'!$AC$5:$AC$2004,0)))</f>
        <v/>
      </c>
      <c r="N306" s="9">
        <f>IF($K306="","",INDEX('سجل التحفيز'!$M$5:$M$2004,MATCH($K306,'سجل التحفيز'!$AC$5:$AC$2004,0)))</f>
        <v/>
      </c>
      <c r="O306" s="9">
        <f>IF($K306="","",INDEX('سجل التحفيز'!$C$5:$C$2004,MATCH($K306,'سجل التحفيز'!$AC$5:$AC$2004,0)))</f>
        <v/>
      </c>
      <c r="P306" s="36">
        <f>IF($K306="","",INDEX('سجل التحفيز'!$D$5:$D$2004,MATCH($K306,'سجل التحفيز'!$AC$5:$AC$2004,0)))</f>
        <v/>
      </c>
      <c r="Q306" s="9">
        <f>IF($K306="","",INDEX('سجل التحفيز'!$E$5:$E$2004,MATCH($K306,'سجل التحفيز'!$AC$5:$AC$2004,0)))</f>
        <v/>
      </c>
      <c r="R306" s="9">
        <f>IF($K306="","",INDEX('سجل التحفيز'!$F$5:$F$2004,MATCH($K306,'سجل التحفيز'!$AC$5:$AC$2004,0)))</f>
        <v/>
      </c>
      <c r="S306" s="35">
        <f>IF($K306="","",INDEX('سجل التحفيز'!$G$5:$G$2004,MATCH($K306,'سجل التحفيز'!$AC$5:$AC$2004,0)))</f>
        <v/>
      </c>
    </row>
    <row r="307">
      <c r="K307" s="36">
        <f>IF(270&gt;$B$10,"",270)</f>
        <v/>
      </c>
      <c r="L307" s="37">
        <f>IF($K307="","",INDEX('سجل التحفيز'!$A$5:$A$2004,MATCH($K307,'سجل التحفيز'!$AC$5:$AC$2004,0)))</f>
        <v/>
      </c>
      <c r="M307" s="9">
        <f>IF($K307="","",INDEX('سجل التحفيز'!$B$5:$B$2004,MATCH($K307,'سجل التحفيز'!$AC$5:$AC$2004,0)))</f>
        <v/>
      </c>
      <c r="N307" s="9">
        <f>IF($K307="","",INDEX('سجل التحفيز'!$M$5:$M$2004,MATCH($K307,'سجل التحفيز'!$AC$5:$AC$2004,0)))</f>
        <v/>
      </c>
      <c r="O307" s="9">
        <f>IF($K307="","",INDEX('سجل التحفيز'!$C$5:$C$2004,MATCH($K307,'سجل التحفيز'!$AC$5:$AC$2004,0)))</f>
        <v/>
      </c>
      <c r="P307" s="36">
        <f>IF($K307="","",INDEX('سجل التحفيز'!$D$5:$D$2004,MATCH($K307,'سجل التحفيز'!$AC$5:$AC$2004,0)))</f>
        <v/>
      </c>
      <c r="Q307" s="9">
        <f>IF($K307="","",INDEX('سجل التحفيز'!$E$5:$E$2004,MATCH($K307,'سجل التحفيز'!$AC$5:$AC$2004,0)))</f>
        <v/>
      </c>
      <c r="R307" s="9">
        <f>IF($K307="","",INDEX('سجل التحفيز'!$F$5:$F$2004,MATCH($K307,'سجل التحفيز'!$AC$5:$AC$2004,0)))</f>
        <v/>
      </c>
      <c r="S307" s="35">
        <f>IF($K307="","",INDEX('سجل التحفيز'!$G$5:$G$2004,MATCH($K307,'سجل التحفيز'!$AC$5:$AC$2004,0)))</f>
        <v/>
      </c>
    </row>
    <row r="308">
      <c r="K308" s="36">
        <f>IF(271&gt;$B$10,"",271)</f>
        <v/>
      </c>
      <c r="L308" s="37">
        <f>IF($K308="","",INDEX('سجل التحفيز'!$A$5:$A$2004,MATCH($K308,'سجل التحفيز'!$AC$5:$AC$2004,0)))</f>
        <v/>
      </c>
      <c r="M308" s="9">
        <f>IF($K308="","",INDEX('سجل التحفيز'!$B$5:$B$2004,MATCH($K308,'سجل التحفيز'!$AC$5:$AC$2004,0)))</f>
        <v/>
      </c>
      <c r="N308" s="9">
        <f>IF($K308="","",INDEX('سجل التحفيز'!$M$5:$M$2004,MATCH($K308,'سجل التحفيز'!$AC$5:$AC$2004,0)))</f>
        <v/>
      </c>
      <c r="O308" s="9">
        <f>IF($K308="","",INDEX('سجل التحفيز'!$C$5:$C$2004,MATCH($K308,'سجل التحفيز'!$AC$5:$AC$2004,0)))</f>
        <v/>
      </c>
      <c r="P308" s="36">
        <f>IF($K308="","",INDEX('سجل التحفيز'!$D$5:$D$2004,MATCH($K308,'سجل التحفيز'!$AC$5:$AC$2004,0)))</f>
        <v/>
      </c>
      <c r="Q308" s="9">
        <f>IF($K308="","",INDEX('سجل التحفيز'!$E$5:$E$2004,MATCH($K308,'سجل التحفيز'!$AC$5:$AC$2004,0)))</f>
        <v/>
      </c>
      <c r="R308" s="9">
        <f>IF($K308="","",INDEX('سجل التحفيز'!$F$5:$F$2004,MATCH($K308,'سجل التحفيز'!$AC$5:$AC$2004,0)))</f>
        <v/>
      </c>
      <c r="S308" s="35">
        <f>IF($K308="","",INDEX('سجل التحفيز'!$G$5:$G$2004,MATCH($K308,'سجل التحفيز'!$AC$5:$AC$2004,0)))</f>
        <v/>
      </c>
    </row>
    <row r="309">
      <c r="K309" s="36">
        <f>IF(272&gt;$B$10,"",272)</f>
        <v/>
      </c>
      <c r="L309" s="37">
        <f>IF($K309="","",INDEX('سجل التحفيز'!$A$5:$A$2004,MATCH($K309,'سجل التحفيز'!$AC$5:$AC$2004,0)))</f>
        <v/>
      </c>
      <c r="M309" s="9">
        <f>IF($K309="","",INDEX('سجل التحفيز'!$B$5:$B$2004,MATCH($K309,'سجل التحفيز'!$AC$5:$AC$2004,0)))</f>
        <v/>
      </c>
      <c r="N309" s="9">
        <f>IF($K309="","",INDEX('سجل التحفيز'!$M$5:$M$2004,MATCH($K309,'سجل التحفيز'!$AC$5:$AC$2004,0)))</f>
        <v/>
      </c>
      <c r="O309" s="9">
        <f>IF($K309="","",INDEX('سجل التحفيز'!$C$5:$C$2004,MATCH($K309,'سجل التحفيز'!$AC$5:$AC$2004,0)))</f>
        <v/>
      </c>
      <c r="P309" s="36">
        <f>IF($K309="","",INDEX('سجل التحفيز'!$D$5:$D$2004,MATCH($K309,'سجل التحفيز'!$AC$5:$AC$2004,0)))</f>
        <v/>
      </c>
      <c r="Q309" s="9">
        <f>IF($K309="","",INDEX('سجل التحفيز'!$E$5:$E$2004,MATCH($K309,'سجل التحفيز'!$AC$5:$AC$2004,0)))</f>
        <v/>
      </c>
      <c r="R309" s="9">
        <f>IF($K309="","",INDEX('سجل التحفيز'!$F$5:$F$2004,MATCH($K309,'سجل التحفيز'!$AC$5:$AC$2004,0)))</f>
        <v/>
      </c>
      <c r="S309" s="35">
        <f>IF($K309="","",INDEX('سجل التحفيز'!$G$5:$G$2004,MATCH($K309,'سجل التحفيز'!$AC$5:$AC$2004,0)))</f>
        <v/>
      </c>
    </row>
    <row r="310">
      <c r="K310" s="36">
        <f>IF(273&gt;$B$10,"",273)</f>
        <v/>
      </c>
      <c r="L310" s="37">
        <f>IF($K310="","",INDEX('سجل التحفيز'!$A$5:$A$2004,MATCH($K310,'سجل التحفيز'!$AC$5:$AC$2004,0)))</f>
        <v/>
      </c>
      <c r="M310" s="9">
        <f>IF($K310="","",INDEX('سجل التحفيز'!$B$5:$B$2004,MATCH($K310,'سجل التحفيز'!$AC$5:$AC$2004,0)))</f>
        <v/>
      </c>
      <c r="N310" s="9">
        <f>IF($K310="","",INDEX('سجل التحفيز'!$M$5:$M$2004,MATCH($K310,'سجل التحفيز'!$AC$5:$AC$2004,0)))</f>
        <v/>
      </c>
      <c r="O310" s="9">
        <f>IF($K310="","",INDEX('سجل التحفيز'!$C$5:$C$2004,MATCH($K310,'سجل التحفيز'!$AC$5:$AC$2004,0)))</f>
        <v/>
      </c>
      <c r="P310" s="36">
        <f>IF($K310="","",INDEX('سجل التحفيز'!$D$5:$D$2004,MATCH($K310,'سجل التحفيز'!$AC$5:$AC$2004,0)))</f>
        <v/>
      </c>
      <c r="Q310" s="9">
        <f>IF($K310="","",INDEX('سجل التحفيز'!$E$5:$E$2004,MATCH($K310,'سجل التحفيز'!$AC$5:$AC$2004,0)))</f>
        <v/>
      </c>
      <c r="R310" s="9">
        <f>IF($K310="","",INDEX('سجل التحفيز'!$F$5:$F$2004,MATCH($K310,'سجل التحفيز'!$AC$5:$AC$2004,0)))</f>
        <v/>
      </c>
      <c r="S310" s="35">
        <f>IF($K310="","",INDEX('سجل التحفيز'!$G$5:$G$2004,MATCH($K310,'سجل التحفيز'!$AC$5:$AC$2004,0)))</f>
        <v/>
      </c>
    </row>
    <row r="311">
      <c r="K311" s="36">
        <f>IF(274&gt;$B$10,"",274)</f>
        <v/>
      </c>
      <c r="L311" s="37">
        <f>IF($K311="","",INDEX('سجل التحفيز'!$A$5:$A$2004,MATCH($K311,'سجل التحفيز'!$AC$5:$AC$2004,0)))</f>
        <v/>
      </c>
      <c r="M311" s="9">
        <f>IF($K311="","",INDEX('سجل التحفيز'!$B$5:$B$2004,MATCH($K311,'سجل التحفيز'!$AC$5:$AC$2004,0)))</f>
        <v/>
      </c>
      <c r="N311" s="9">
        <f>IF($K311="","",INDEX('سجل التحفيز'!$M$5:$M$2004,MATCH($K311,'سجل التحفيز'!$AC$5:$AC$2004,0)))</f>
        <v/>
      </c>
      <c r="O311" s="9">
        <f>IF($K311="","",INDEX('سجل التحفيز'!$C$5:$C$2004,MATCH($K311,'سجل التحفيز'!$AC$5:$AC$2004,0)))</f>
        <v/>
      </c>
      <c r="P311" s="36">
        <f>IF($K311="","",INDEX('سجل التحفيز'!$D$5:$D$2004,MATCH($K311,'سجل التحفيز'!$AC$5:$AC$2004,0)))</f>
        <v/>
      </c>
      <c r="Q311" s="9">
        <f>IF($K311="","",INDEX('سجل التحفيز'!$E$5:$E$2004,MATCH($K311,'سجل التحفيز'!$AC$5:$AC$2004,0)))</f>
        <v/>
      </c>
      <c r="R311" s="9">
        <f>IF($K311="","",INDEX('سجل التحفيز'!$F$5:$F$2004,MATCH($K311,'سجل التحفيز'!$AC$5:$AC$2004,0)))</f>
        <v/>
      </c>
      <c r="S311" s="35">
        <f>IF($K311="","",INDEX('سجل التحفيز'!$G$5:$G$2004,MATCH($K311,'سجل التحفيز'!$AC$5:$AC$2004,0)))</f>
        <v/>
      </c>
    </row>
    <row r="312">
      <c r="K312" s="36">
        <f>IF(275&gt;$B$10,"",275)</f>
        <v/>
      </c>
      <c r="L312" s="37">
        <f>IF($K312="","",INDEX('سجل التحفيز'!$A$5:$A$2004,MATCH($K312,'سجل التحفيز'!$AC$5:$AC$2004,0)))</f>
        <v/>
      </c>
      <c r="M312" s="9">
        <f>IF($K312="","",INDEX('سجل التحفيز'!$B$5:$B$2004,MATCH($K312,'سجل التحفيز'!$AC$5:$AC$2004,0)))</f>
        <v/>
      </c>
      <c r="N312" s="9">
        <f>IF($K312="","",INDEX('سجل التحفيز'!$M$5:$M$2004,MATCH($K312,'سجل التحفيز'!$AC$5:$AC$2004,0)))</f>
        <v/>
      </c>
      <c r="O312" s="9">
        <f>IF($K312="","",INDEX('سجل التحفيز'!$C$5:$C$2004,MATCH($K312,'سجل التحفيز'!$AC$5:$AC$2004,0)))</f>
        <v/>
      </c>
      <c r="P312" s="36">
        <f>IF($K312="","",INDEX('سجل التحفيز'!$D$5:$D$2004,MATCH($K312,'سجل التحفيز'!$AC$5:$AC$2004,0)))</f>
        <v/>
      </c>
      <c r="Q312" s="9">
        <f>IF($K312="","",INDEX('سجل التحفيز'!$E$5:$E$2004,MATCH($K312,'سجل التحفيز'!$AC$5:$AC$2004,0)))</f>
        <v/>
      </c>
      <c r="R312" s="9">
        <f>IF($K312="","",INDEX('سجل التحفيز'!$F$5:$F$2004,MATCH($K312,'سجل التحفيز'!$AC$5:$AC$2004,0)))</f>
        <v/>
      </c>
      <c r="S312" s="35">
        <f>IF($K312="","",INDEX('سجل التحفيز'!$G$5:$G$2004,MATCH($K312,'سجل التحفيز'!$AC$5:$AC$2004,0)))</f>
        <v/>
      </c>
    </row>
    <row r="313">
      <c r="K313" s="36">
        <f>IF(276&gt;$B$10,"",276)</f>
        <v/>
      </c>
      <c r="L313" s="37">
        <f>IF($K313="","",INDEX('سجل التحفيز'!$A$5:$A$2004,MATCH($K313,'سجل التحفيز'!$AC$5:$AC$2004,0)))</f>
        <v/>
      </c>
      <c r="M313" s="9">
        <f>IF($K313="","",INDEX('سجل التحفيز'!$B$5:$B$2004,MATCH($K313,'سجل التحفيز'!$AC$5:$AC$2004,0)))</f>
        <v/>
      </c>
      <c r="N313" s="9">
        <f>IF($K313="","",INDEX('سجل التحفيز'!$M$5:$M$2004,MATCH($K313,'سجل التحفيز'!$AC$5:$AC$2004,0)))</f>
        <v/>
      </c>
      <c r="O313" s="9">
        <f>IF($K313="","",INDEX('سجل التحفيز'!$C$5:$C$2004,MATCH($K313,'سجل التحفيز'!$AC$5:$AC$2004,0)))</f>
        <v/>
      </c>
      <c r="P313" s="36">
        <f>IF($K313="","",INDEX('سجل التحفيز'!$D$5:$D$2004,MATCH($K313,'سجل التحفيز'!$AC$5:$AC$2004,0)))</f>
        <v/>
      </c>
      <c r="Q313" s="9">
        <f>IF($K313="","",INDEX('سجل التحفيز'!$E$5:$E$2004,MATCH($K313,'سجل التحفيز'!$AC$5:$AC$2004,0)))</f>
        <v/>
      </c>
      <c r="R313" s="9">
        <f>IF($K313="","",INDEX('سجل التحفيز'!$F$5:$F$2004,MATCH($K313,'سجل التحفيز'!$AC$5:$AC$2004,0)))</f>
        <v/>
      </c>
      <c r="S313" s="35">
        <f>IF($K313="","",INDEX('سجل التحفيز'!$G$5:$G$2004,MATCH($K313,'سجل التحفيز'!$AC$5:$AC$2004,0)))</f>
        <v/>
      </c>
    </row>
    <row r="314">
      <c r="K314" s="36">
        <f>IF(277&gt;$B$10,"",277)</f>
        <v/>
      </c>
      <c r="L314" s="37">
        <f>IF($K314="","",INDEX('سجل التحفيز'!$A$5:$A$2004,MATCH($K314,'سجل التحفيز'!$AC$5:$AC$2004,0)))</f>
        <v/>
      </c>
      <c r="M314" s="9">
        <f>IF($K314="","",INDEX('سجل التحفيز'!$B$5:$B$2004,MATCH($K314,'سجل التحفيز'!$AC$5:$AC$2004,0)))</f>
        <v/>
      </c>
      <c r="N314" s="9">
        <f>IF($K314="","",INDEX('سجل التحفيز'!$M$5:$M$2004,MATCH($K314,'سجل التحفيز'!$AC$5:$AC$2004,0)))</f>
        <v/>
      </c>
      <c r="O314" s="9">
        <f>IF($K314="","",INDEX('سجل التحفيز'!$C$5:$C$2004,MATCH($K314,'سجل التحفيز'!$AC$5:$AC$2004,0)))</f>
        <v/>
      </c>
      <c r="P314" s="36">
        <f>IF($K314="","",INDEX('سجل التحفيز'!$D$5:$D$2004,MATCH($K314,'سجل التحفيز'!$AC$5:$AC$2004,0)))</f>
        <v/>
      </c>
      <c r="Q314" s="9">
        <f>IF($K314="","",INDEX('سجل التحفيز'!$E$5:$E$2004,MATCH($K314,'سجل التحفيز'!$AC$5:$AC$2004,0)))</f>
        <v/>
      </c>
      <c r="R314" s="9">
        <f>IF($K314="","",INDEX('سجل التحفيز'!$F$5:$F$2004,MATCH($K314,'سجل التحفيز'!$AC$5:$AC$2004,0)))</f>
        <v/>
      </c>
      <c r="S314" s="35">
        <f>IF($K314="","",INDEX('سجل التحفيز'!$G$5:$G$2004,MATCH($K314,'سجل التحفيز'!$AC$5:$AC$2004,0)))</f>
        <v/>
      </c>
    </row>
    <row r="315">
      <c r="K315" s="36">
        <f>IF(278&gt;$B$10,"",278)</f>
        <v/>
      </c>
      <c r="L315" s="37">
        <f>IF($K315="","",INDEX('سجل التحفيز'!$A$5:$A$2004,MATCH($K315,'سجل التحفيز'!$AC$5:$AC$2004,0)))</f>
        <v/>
      </c>
      <c r="M315" s="9">
        <f>IF($K315="","",INDEX('سجل التحفيز'!$B$5:$B$2004,MATCH($K315,'سجل التحفيز'!$AC$5:$AC$2004,0)))</f>
        <v/>
      </c>
      <c r="N315" s="9">
        <f>IF($K315="","",INDEX('سجل التحفيز'!$M$5:$M$2004,MATCH($K315,'سجل التحفيز'!$AC$5:$AC$2004,0)))</f>
        <v/>
      </c>
      <c r="O315" s="9">
        <f>IF($K315="","",INDEX('سجل التحفيز'!$C$5:$C$2004,MATCH($K315,'سجل التحفيز'!$AC$5:$AC$2004,0)))</f>
        <v/>
      </c>
      <c r="P315" s="36">
        <f>IF($K315="","",INDEX('سجل التحفيز'!$D$5:$D$2004,MATCH($K315,'سجل التحفيز'!$AC$5:$AC$2004,0)))</f>
        <v/>
      </c>
      <c r="Q315" s="9">
        <f>IF($K315="","",INDEX('سجل التحفيز'!$E$5:$E$2004,MATCH($K315,'سجل التحفيز'!$AC$5:$AC$2004,0)))</f>
        <v/>
      </c>
      <c r="R315" s="9">
        <f>IF($K315="","",INDEX('سجل التحفيز'!$F$5:$F$2004,MATCH($K315,'سجل التحفيز'!$AC$5:$AC$2004,0)))</f>
        <v/>
      </c>
      <c r="S315" s="35">
        <f>IF($K315="","",INDEX('سجل التحفيز'!$G$5:$G$2004,MATCH($K315,'سجل التحفيز'!$AC$5:$AC$2004,0)))</f>
        <v/>
      </c>
    </row>
    <row r="316">
      <c r="K316" s="36">
        <f>IF(279&gt;$B$10,"",279)</f>
        <v/>
      </c>
      <c r="L316" s="37">
        <f>IF($K316="","",INDEX('سجل التحفيز'!$A$5:$A$2004,MATCH($K316,'سجل التحفيز'!$AC$5:$AC$2004,0)))</f>
        <v/>
      </c>
      <c r="M316" s="9">
        <f>IF($K316="","",INDEX('سجل التحفيز'!$B$5:$B$2004,MATCH($K316,'سجل التحفيز'!$AC$5:$AC$2004,0)))</f>
        <v/>
      </c>
      <c r="N316" s="9">
        <f>IF($K316="","",INDEX('سجل التحفيز'!$M$5:$M$2004,MATCH($K316,'سجل التحفيز'!$AC$5:$AC$2004,0)))</f>
        <v/>
      </c>
      <c r="O316" s="9">
        <f>IF($K316="","",INDEX('سجل التحفيز'!$C$5:$C$2004,MATCH($K316,'سجل التحفيز'!$AC$5:$AC$2004,0)))</f>
        <v/>
      </c>
      <c r="P316" s="36">
        <f>IF($K316="","",INDEX('سجل التحفيز'!$D$5:$D$2004,MATCH($K316,'سجل التحفيز'!$AC$5:$AC$2004,0)))</f>
        <v/>
      </c>
      <c r="Q316" s="9">
        <f>IF($K316="","",INDEX('سجل التحفيز'!$E$5:$E$2004,MATCH($K316,'سجل التحفيز'!$AC$5:$AC$2004,0)))</f>
        <v/>
      </c>
      <c r="R316" s="9">
        <f>IF($K316="","",INDEX('سجل التحفيز'!$F$5:$F$2004,MATCH($K316,'سجل التحفيز'!$AC$5:$AC$2004,0)))</f>
        <v/>
      </c>
      <c r="S316" s="35">
        <f>IF($K316="","",INDEX('سجل التحفيز'!$G$5:$G$2004,MATCH($K316,'سجل التحفيز'!$AC$5:$AC$2004,0)))</f>
        <v/>
      </c>
    </row>
    <row r="317">
      <c r="K317" s="36">
        <f>IF(280&gt;$B$10,"",280)</f>
        <v/>
      </c>
      <c r="L317" s="37">
        <f>IF($K317="","",INDEX('سجل التحفيز'!$A$5:$A$2004,MATCH($K317,'سجل التحفيز'!$AC$5:$AC$2004,0)))</f>
        <v/>
      </c>
      <c r="M317" s="9">
        <f>IF($K317="","",INDEX('سجل التحفيز'!$B$5:$B$2004,MATCH($K317,'سجل التحفيز'!$AC$5:$AC$2004,0)))</f>
        <v/>
      </c>
      <c r="N317" s="9">
        <f>IF($K317="","",INDEX('سجل التحفيز'!$M$5:$M$2004,MATCH($K317,'سجل التحفيز'!$AC$5:$AC$2004,0)))</f>
        <v/>
      </c>
      <c r="O317" s="9">
        <f>IF($K317="","",INDEX('سجل التحفيز'!$C$5:$C$2004,MATCH($K317,'سجل التحفيز'!$AC$5:$AC$2004,0)))</f>
        <v/>
      </c>
      <c r="P317" s="36">
        <f>IF($K317="","",INDEX('سجل التحفيز'!$D$5:$D$2004,MATCH($K317,'سجل التحفيز'!$AC$5:$AC$2004,0)))</f>
        <v/>
      </c>
      <c r="Q317" s="9">
        <f>IF($K317="","",INDEX('سجل التحفيز'!$E$5:$E$2004,MATCH($K317,'سجل التحفيز'!$AC$5:$AC$2004,0)))</f>
        <v/>
      </c>
      <c r="R317" s="9">
        <f>IF($K317="","",INDEX('سجل التحفيز'!$F$5:$F$2004,MATCH($K317,'سجل التحفيز'!$AC$5:$AC$2004,0)))</f>
        <v/>
      </c>
      <c r="S317" s="35">
        <f>IF($K317="","",INDEX('سجل التحفيز'!$G$5:$G$2004,MATCH($K317,'سجل التحفيز'!$AC$5:$AC$2004,0)))</f>
        <v/>
      </c>
    </row>
    <row r="318">
      <c r="K318" s="36">
        <f>IF(281&gt;$B$10,"",281)</f>
        <v/>
      </c>
      <c r="L318" s="37">
        <f>IF($K318="","",INDEX('سجل التحفيز'!$A$5:$A$2004,MATCH($K318,'سجل التحفيز'!$AC$5:$AC$2004,0)))</f>
        <v/>
      </c>
      <c r="M318" s="9">
        <f>IF($K318="","",INDEX('سجل التحفيز'!$B$5:$B$2004,MATCH($K318,'سجل التحفيز'!$AC$5:$AC$2004,0)))</f>
        <v/>
      </c>
      <c r="N318" s="9">
        <f>IF($K318="","",INDEX('سجل التحفيز'!$M$5:$M$2004,MATCH($K318,'سجل التحفيز'!$AC$5:$AC$2004,0)))</f>
        <v/>
      </c>
      <c r="O318" s="9">
        <f>IF($K318="","",INDEX('سجل التحفيز'!$C$5:$C$2004,MATCH($K318,'سجل التحفيز'!$AC$5:$AC$2004,0)))</f>
        <v/>
      </c>
      <c r="P318" s="36">
        <f>IF($K318="","",INDEX('سجل التحفيز'!$D$5:$D$2004,MATCH($K318,'سجل التحفيز'!$AC$5:$AC$2004,0)))</f>
        <v/>
      </c>
      <c r="Q318" s="9">
        <f>IF($K318="","",INDEX('سجل التحفيز'!$E$5:$E$2004,MATCH($K318,'سجل التحفيز'!$AC$5:$AC$2004,0)))</f>
        <v/>
      </c>
      <c r="R318" s="9">
        <f>IF($K318="","",INDEX('سجل التحفيز'!$F$5:$F$2004,MATCH($K318,'سجل التحفيز'!$AC$5:$AC$2004,0)))</f>
        <v/>
      </c>
      <c r="S318" s="35">
        <f>IF($K318="","",INDEX('سجل التحفيز'!$G$5:$G$2004,MATCH($K318,'سجل التحفيز'!$AC$5:$AC$2004,0)))</f>
        <v/>
      </c>
    </row>
    <row r="319">
      <c r="K319" s="36">
        <f>IF(282&gt;$B$10,"",282)</f>
        <v/>
      </c>
      <c r="L319" s="37">
        <f>IF($K319="","",INDEX('سجل التحفيز'!$A$5:$A$2004,MATCH($K319,'سجل التحفيز'!$AC$5:$AC$2004,0)))</f>
        <v/>
      </c>
      <c r="M319" s="9">
        <f>IF($K319="","",INDEX('سجل التحفيز'!$B$5:$B$2004,MATCH($K319,'سجل التحفيز'!$AC$5:$AC$2004,0)))</f>
        <v/>
      </c>
      <c r="N319" s="9">
        <f>IF($K319="","",INDEX('سجل التحفيز'!$M$5:$M$2004,MATCH($K319,'سجل التحفيز'!$AC$5:$AC$2004,0)))</f>
        <v/>
      </c>
      <c r="O319" s="9">
        <f>IF($K319="","",INDEX('سجل التحفيز'!$C$5:$C$2004,MATCH($K319,'سجل التحفيز'!$AC$5:$AC$2004,0)))</f>
        <v/>
      </c>
      <c r="P319" s="36">
        <f>IF($K319="","",INDEX('سجل التحفيز'!$D$5:$D$2004,MATCH($K319,'سجل التحفيز'!$AC$5:$AC$2004,0)))</f>
        <v/>
      </c>
      <c r="Q319" s="9">
        <f>IF($K319="","",INDEX('سجل التحفيز'!$E$5:$E$2004,MATCH($K319,'سجل التحفيز'!$AC$5:$AC$2004,0)))</f>
        <v/>
      </c>
      <c r="R319" s="9">
        <f>IF($K319="","",INDEX('سجل التحفيز'!$F$5:$F$2004,MATCH($K319,'سجل التحفيز'!$AC$5:$AC$2004,0)))</f>
        <v/>
      </c>
      <c r="S319" s="35">
        <f>IF($K319="","",INDEX('سجل التحفيز'!$G$5:$G$2004,MATCH($K319,'سجل التحفيز'!$AC$5:$AC$2004,0)))</f>
        <v/>
      </c>
    </row>
    <row r="320">
      <c r="K320" s="36">
        <f>IF(283&gt;$B$10,"",283)</f>
        <v/>
      </c>
      <c r="L320" s="37">
        <f>IF($K320="","",INDEX('سجل التحفيز'!$A$5:$A$2004,MATCH($K320,'سجل التحفيز'!$AC$5:$AC$2004,0)))</f>
        <v/>
      </c>
      <c r="M320" s="9">
        <f>IF($K320="","",INDEX('سجل التحفيز'!$B$5:$B$2004,MATCH($K320,'سجل التحفيز'!$AC$5:$AC$2004,0)))</f>
        <v/>
      </c>
      <c r="N320" s="9">
        <f>IF($K320="","",INDEX('سجل التحفيز'!$M$5:$M$2004,MATCH($K320,'سجل التحفيز'!$AC$5:$AC$2004,0)))</f>
        <v/>
      </c>
      <c r="O320" s="9">
        <f>IF($K320="","",INDEX('سجل التحفيز'!$C$5:$C$2004,MATCH($K320,'سجل التحفيز'!$AC$5:$AC$2004,0)))</f>
        <v/>
      </c>
      <c r="P320" s="36">
        <f>IF($K320="","",INDEX('سجل التحفيز'!$D$5:$D$2004,MATCH($K320,'سجل التحفيز'!$AC$5:$AC$2004,0)))</f>
        <v/>
      </c>
      <c r="Q320" s="9">
        <f>IF($K320="","",INDEX('سجل التحفيز'!$E$5:$E$2004,MATCH($K320,'سجل التحفيز'!$AC$5:$AC$2004,0)))</f>
        <v/>
      </c>
      <c r="R320" s="9">
        <f>IF($K320="","",INDEX('سجل التحفيز'!$F$5:$F$2004,MATCH($K320,'سجل التحفيز'!$AC$5:$AC$2004,0)))</f>
        <v/>
      </c>
      <c r="S320" s="35">
        <f>IF($K320="","",INDEX('سجل التحفيز'!$G$5:$G$2004,MATCH($K320,'سجل التحفيز'!$AC$5:$AC$2004,0)))</f>
        <v/>
      </c>
    </row>
    <row r="321">
      <c r="K321" s="36">
        <f>IF(284&gt;$B$10,"",284)</f>
        <v/>
      </c>
      <c r="L321" s="37">
        <f>IF($K321="","",INDEX('سجل التحفيز'!$A$5:$A$2004,MATCH($K321,'سجل التحفيز'!$AC$5:$AC$2004,0)))</f>
        <v/>
      </c>
      <c r="M321" s="9">
        <f>IF($K321="","",INDEX('سجل التحفيز'!$B$5:$B$2004,MATCH($K321,'سجل التحفيز'!$AC$5:$AC$2004,0)))</f>
        <v/>
      </c>
      <c r="N321" s="9">
        <f>IF($K321="","",INDEX('سجل التحفيز'!$M$5:$M$2004,MATCH($K321,'سجل التحفيز'!$AC$5:$AC$2004,0)))</f>
        <v/>
      </c>
      <c r="O321" s="9">
        <f>IF($K321="","",INDEX('سجل التحفيز'!$C$5:$C$2004,MATCH($K321,'سجل التحفيز'!$AC$5:$AC$2004,0)))</f>
        <v/>
      </c>
      <c r="P321" s="36">
        <f>IF($K321="","",INDEX('سجل التحفيز'!$D$5:$D$2004,MATCH($K321,'سجل التحفيز'!$AC$5:$AC$2004,0)))</f>
        <v/>
      </c>
      <c r="Q321" s="9">
        <f>IF($K321="","",INDEX('سجل التحفيز'!$E$5:$E$2004,MATCH($K321,'سجل التحفيز'!$AC$5:$AC$2004,0)))</f>
        <v/>
      </c>
      <c r="R321" s="9">
        <f>IF($K321="","",INDEX('سجل التحفيز'!$F$5:$F$2004,MATCH($K321,'سجل التحفيز'!$AC$5:$AC$2004,0)))</f>
        <v/>
      </c>
      <c r="S321" s="35">
        <f>IF($K321="","",INDEX('سجل التحفيز'!$G$5:$G$2004,MATCH($K321,'سجل التحفيز'!$AC$5:$AC$2004,0)))</f>
        <v/>
      </c>
    </row>
    <row r="322">
      <c r="K322" s="36">
        <f>IF(285&gt;$B$10,"",285)</f>
        <v/>
      </c>
      <c r="L322" s="37">
        <f>IF($K322="","",INDEX('سجل التحفيز'!$A$5:$A$2004,MATCH($K322,'سجل التحفيز'!$AC$5:$AC$2004,0)))</f>
        <v/>
      </c>
      <c r="M322" s="9">
        <f>IF($K322="","",INDEX('سجل التحفيز'!$B$5:$B$2004,MATCH($K322,'سجل التحفيز'!$AC$5:$AC$2004,0)))</f>
        <v/>
      </c>
      <c r="N322" s="9">
        <f>IF($K322="","",INDEX('سجل التحفيز'!$M$5:$M$2004,MATCH($K322,'سجل التحفيز'!$AC$5:$AC$2004,0)))</f>
        <v/>
      </c>
      <c r="O322" s="9">
        <f>IF($K322="","",INDEX('سجل التحفيز'!$C$5:$C$2004,MATCH($K322,'سجل التحفيز'!$AC$5:$AC$2004,0)))</f>
        <v/>
      </c>
      <c r="P322" s="36">
        <f>IF($K322="","",INDEX('سجل التحفيز'!$D$5:$D$2004,MATCH($K322,'سجل التحفيز'!$AC$5:$AC$2004,0)))</f>
        <v/>
      </c>
      <c r="Q322" s="9">
        <f>IF($K322="","",INDEX('سجل التحفيز'!$E$5:$E$2004,MATCH($K322,'سجل التحفيز'!$AC$5:$AC$2004,0)))</f>
        <v/>
      </c>
      <c r="R322" s="9">
        <f>IF($K322="","",INDEX('سجل التحفيز'!$F$5:$F$2004,MATCH($K322,'سجل التحفيز'!$AC$5:$AC$2004,0)))</f>
        <v/>
      </c>
      <c r="S322" s="35">
        <f>IF($K322="","",INDEX('سجل التحفيز'!$G$5:$G$2004,MATCH($K322,'سجل التحفيز'!$AC$5:$AC$2004,0)))</f>
        <v/>
      </c>
    </row>
    <row r="323">
      <c r="K323" s="36">
        <f>IF(286&gt;$B$10,"",286)</f>
        <v/>
      </c>
      <c r="L323" s="37">
        <f>IF($K323="","",INDEX('سجل التحفيز'!$A$5:$A$2004,MATCH($K323,'سجل التحفيز'!$AC$5:$AC$2004,0)))</f>
        <v/>
      </c>
      <c r="M323" s="9">
        <f>IF($K323="","",INDEX('سجل التحفيز'!$B$5:$B$2004,MATCH($K323,'سجل التحفيز'!$AC$5:$AC$2004,0)))</f>
        <v/>
      </c>
      <c r="N323" s="9">
        <f>IF($K323="","",INDEX('سجل التحفيز'!$M$5:$M$2004,MATCH($K323,'سجل التحفيز'!$AC$5:$AC$2004,0)))</f>
        <v/>
      </c>
      <c r="O323" s="9">
        <f>IF($K323="","",INDEX('سجل التحفيز'!$C$5:$C$2004,MATCH($K323,'سجل التحفيز'!$AC$5:$AC$2004,0)))</f>
        <v/>
      </c>
      <c r="P323" s="36">
        <f>IF($K323="","",INDEX('سجل التحفيز'!$D$5:$D$2004,MATCH($K323,'سجل التحفيز'!$AC$5:$AC$2004,0)))</f>
        <v/>
      </c>
      <c r="Q323" s="9">
        <f>IF($K323="","",INDEX('سجل التحفيز'!$E$5:$E$2004,MATCH($K323,'سجل التحفيز'!$AC$5:$AC$2004,0)))</f>
        <v/>
      </c>
      <c r="R323" s="9">
        <f>IF($K323="","",INDEX('سجل التحفيز'!$F$5:$F$2004,MATCH($K323,'سجل التحفيز'!$AC$5:$AC$2004,0)))</f>
        <v/>
      </c>
      <c r="S323" s="35">
        <f>IF($K323="","",INDEX('سجل التحفيز'!$G$5:$G$2004,MATCH($K323,'سجل التحفيز'!$AC$5:$AC$2004,0)))</f>
        <v/>
      </c>
    </row>
    <row r="324">
      <c r="K324" s="36">
        <f>IF(287&gt;$B$10,"",287)</f>
        <v/>
      </c>
      <c r="L324" s="37">
        <f>IF($K324="","",INDEX('سجل التحفيز'!$A$5:$A$2004,MATCH($K324,'سجل التحفيز'!$AC$5:$AC$2004,0)))</f>
        <v/>
      </c>
      <c r="M324" s="9">
        <f>IF($K324="","",INDEX('سجل التحفيز'!$B$5:$B$2004,MATCH($K324,'سجل التحفيز'!$AC$5:$AC$2004,0)))</f>
        <v/>
      </c>
      <c r="N324" s="9">
        <f>IF($K324="","",INDEX('سجل التحفيز'!$M$5:$M$2004,MATCH($K324,'سجل التحفيز'!$AC$5:$AC$2004,0)))</f>
        <v/>
      </c>
      <c r="O324" s="9">
        <f>IF($K324="","",INDEX('سجل التحفيز'!$C$5:$C$2004,MATCH($K324,'سجل التحفيز'!$AC$5:$AC$2004,0)))</f>
        <v/>
      </c>
      <c r="P324" s="36">
        <f>IF($K324="","",INDEX('سجل التحفيز'!$D$5:$D$2004,MATCH($K324,'سجل التحفيز'!$AC$5:$AC$2004,0)))</f>
        <v/>
      </c>
      <c r="Q324" s="9">
        <f>IF($K324="","",INDEX('سجل التحفيز'!$E$5:$E$2004,MATCH($K324,'سجل التحفيز'!$AC$5:$AC$2004,0)))</f>
        <v/>
      </c>
      <c r="R324" s="9">
        <f>IF($K324="","",INDEX('سجل التحفيز'!$F$5:$F$2004,MATCH($K324,'سجل التحفيز'!$AC$5:$AC$2004,0)))</f>
        <v/>
      </c>
      <c r="S324" s="35">
        <f>IF($K324="","",INDEX('سجل التحفيز'!$G$5:$G$2004,MATCH($K324,'سجل التحفيز'!$AC$5:$AC$2004,0)))</f>
        <v/>
      </c>
    </row>
    <row r="325">
      <c r="K325" s="36">
        <f>IF(288&gt;$B$10,"",288)</f>
        <v/>
      </c>
      <c r="L325" s="37">
        <f>IF($K325="","",INDEX('سجل التحفيز'!$A$5:$A$2004,MATCH($K325,'سجل التحفيز'!$AC$5:$AC$2004,0)))</f>
        <v/>
      </c>
      <c r="M325" s="9">
        <f>IF($K325="","",INDEX('سجل التحفيز'!$B$5:$B$2004,MATCH($K325,'سجل التحفيز'!$AC$5:$AC$2004,0)))</f>
        <v/>
      </c>
      <c r="N325" s="9">
        <f>IF($K325="","",INDEX('سجل التحفيز'!$M$5:$M$2004,MATCH($K325,'سجل التحفيز'!$AC$5:$AC$2004,0)))</f>
        <v/>
      </c>
      <c r="O325" s="9">
        <f>IF($K325="","",INDEX('سجل التحفيز'!$C$5:$C$2004,MATCH($K325,'سجل التحفيز'!$AC$5:$AC$2004,0)))</f>
        <v/>
      </c>
      <c r="P325" s="36">
        <f>IF($K325="","",INDEX('سجل التحفيز'!$D$5:$D$2004,MATCH($K325,'سجل التحفيز'!$AC$5:$AC$2004,0)))</f>
        <v/>
      </c>
      <c r="Q325" s="9">
        <f>IF($K325="","",INDEX('سجل التحفيز'!$E$5:$E$2004,MATCH($K325,'سجل التحفيز'!$AC$5:$AC$2004,0)))</f>
        <v/>
      </c>
      <c r="R325" s="9">
        <f>IF($K325="","",INDEX('سجل التحفيز'!$F$5:$F$2004,MATCH($K325,'سجل التحفيز'!$AC$5:$AC$2004,0)))</f>
        <v/>
      </c>
      <c r="S325" s="35">
        <f>IF($K325="","",INDEX('سجل التحفيز'!$G$5:$G$2004,MATCH($K325,'سجل التحفيز'!$AC$5:$AC$2004,0)))</f>
        <v/>
      </c>
    </row>
    <row r="326">
      <c r="K326" s="36">
        <f>IF(289&gt;$B$10,"",289)</f>
        <v/>
      </c>
      <c r="L326" s="37">
        <f>IF($K326="","",INDEX('سجل التحفيز'!$A$5:$A$2004,MATCH($K326,'سجل التحفيز'!$AC$5:$AC$2004,0)))</f>
        <v/>
      </c>
      <c r="M326" s="9">
        <f>IF($K326="","",INDEX('سجل التحفيز'!$B$5:$B$2004,MATCH($K326,'سجل التحفيز'!$AC$5:$AC$2004,0)))</f>
        <v/>
      </c>
      <c r="N326" s="9">
        <f>IF($K326="","",INDEX('سجل التحفيز'!$M$5:$M$2004,MATCH($K326,'سجل التحفيز'!$AC$5:$AC$2004,0)))</f>
        <v/>
      </c>
      <c r="O326" s="9">
        <f>IF($K326="","",INDEX('سجل التحفيز'!$C$5:$C$2004,MATCH($K326,'سجل التحفيز'!$AC$5:$AC$2004,0)))</f>
        <v/>
      </c>
      <c r="P326" s="36">
        <f>IF($K326="","",INDEX('سجل التحفيز'!$D$5:$D$2004,MATCH($K326,'سجل التحفيز'!$AC$5:$AC$2004,0)))</f>
        <v/>
      </c>
      <c r="Q326" s="9">
        <f>IF($K326="","",INDEX('سجل التحفيز'!$E$5:$E$2004,MATCH($K326,'سجل التحفيز'!$AC$5:$AC$2004,0)))</f>
        <v/>
      </c>
      <c r="R326" s="9">
        <f>IF($K326="","",INDEX('سجل التحفيز'!$F$5:$F$2004,MATCH($K326,'سجل التحفيز'!$AC$5:$AC$2004,0)))</f>
        <v/>
      </c>
      <c r="S326" s="35">
        <f>IF($K326="","",INDEX('سجل التحفيز'!$G$5:$G$2004,MATCH($K326,'سجل التحفيز'!$AC$5:$AC$2004,0)))</f>
        <v/>
      </c>
    </row>
    <row r="327">
      <c r="K327" s="36">
        <f>IF(290&gt;$B$10,"",290)</f>
        <v/>
      </c>
      <c r="L327" s="37">
        <f>IF($K327="","",INDEX('سجل التحفيز'!$A$5:$A$2004,MATCH($K327,'سجل التحفيز'!$AC$5:$AC$2004,0)))</f>
        <v/>
      </c>
      <c r="M327" s="9">
        <f>IF($K327="","",INDEX('سجل التحفيز'!$B$5:$B$2004,MATCH($K327,'سجل التحفيز'!$AC$5:$AC$2004,0)))</f>
        <v/>
      </c>
      <c r="N327" s="9">
        <f>IF($K327="","",INDEX('سجل التحفيز'!$M$5:$M$2004,MATCH($K327,'سجل التحفيز'!$AC$5:$AC$2004,0)))</f>
        <v/>
      </c>
      <c r="O327" s="9">
        <f>IF($K327="","",INDEX('سجل التحفيز'!$C$5:$C$2004,MATCH($K327,'سجل التحفيز'!$AC$5:$AC$2004,0)))</f>
        <v/>
      </c>
      <c r="P327" s="36">
        <f>IF($K327="","",INDEX('سجل التحفيز'!$D$5:$D$2004,MATCH($K327,'سجل التحفيز'!$AC$5:$AC$2004,0)))</f>
        <v/>
      </c>
      <c r="Q327" s="9">
        <f>IF($K327="","",INDEX('سجل التحفيز'!$E$5:$E$2004,MATCH($K327,'سجل التحفيز'!$AC$5:$AC$2004,0)))</f>
        <v/>
      </c>
      <c r="R327" s="9">
        <f>IF($K327="","",INDEX('سجل التحفيز'!$F$5:$F$2004,MATCH($K327,'سجل التحفيز'!$AC$5:$AC$2004,0)))</f>
        <v/>
      </c>
      <c r="S327" s="35">
        <f>IF($K327="","",INDEX('سجل التحفيز'!$G$5:$G$2004,MATCH($K327,'سجل التحفيز'!$AC$5:$AC$2004,0)))</f>
        <v/>
      </c>
    </row>
    <row r="328">
      <c r="K328" s="36">
        <f>IF(291&gt;$B$10,"",291)</f>
        <v/>
      </c>
      <c r="L328" s="37">
        <f>IF($K328="","",INDEX('سجل التحفيز'!$A$5:$A$2004,MATCH($K328,'سجل التحفيز'!$AC$5:$AC$2004,0)))</f>
        <v/>
      </c>
      <c r="M328" s="9">
        <f>IF($K328="","",INDEX('سجل التحفيز'!$B$5:$B$2004,MATCH($K328,'سجل التحفيز'!$AC$5:$AC$2004,0)))</f>
        <v/>
      </c>
      <c r="N328" s="9">
        <f>IF($K328="","",INDEX('سجل التحفيز'!$M$5:$M$2004,MATCH($K328,'سجل التحفيز'!$AC$5:$AC$2004,0)))</f>
        <v/>
      </c>
      <c r="O328" s="9">
        <f>IF($K328="","",INDEX('سجل التحفيز'!$C$5:$C$2004,MATCH($K328,'سجل التحفيز'!$AC$5:$AC$2004,0)))</f>
        <v/>
      </c>
      <c r="P328" s="36">
        <f>IF($K328="","",INDEX('سجل التحفيز'!$D$5:$D$2004,MATCH($K328,'سجل التحفيز'!$AC$5:$AC$2004,0)))</f>
        <v/>
      </c>
      <c r="Q328" s="9">
        <f>IF($K328="","",INDEX('سجل التحفيز'!$E$5:$E$2004,MATCH($K328,'سجل التحفيز'!$AC$5:$AC$2004,0)))</f>
        <v/>
      </c>
      <c r="R328" s="9">
        <f>IF($K328="","",INDEX('سجل التحفيز'!$F$5:$F$2004,MATCH($K328,'سجل التحفيز'!$AC$5:$AC$2004,0)))</f>
        <v/>
      </c>
      <c r="S328" s="35">
        <f>IF($K328="","",INDEX('سجل التحفيز'!$G$5:$G$2004,MATCH($K328,'سجل التحفيز'!$AC$5:$AC$2004,0)))</f>
        <v/>
      </c>
    </row>
    <row r="329">
      <c r="K329" s="36">
        <f>IF(292&gt;$B$10,"",292)</f>
        <v/>
      </c>
      <c r="L329" s="37">
        <f>IF($K329="","",INDEX('سجل التحفيز'!$A$5:$A$2004,MATCH($K329,'سجل التحفيز'!$AC$5:$AC$2004,0)))</f>
        <v/>
      </c>
      <c r="M329" s="9">
        <f>IF($K329="","",INDEX('سجل التحفيز'!$B$5:$B$2004,MATCH($K329,'سجل التحفيز'!$AC$5:$AC$2004,0)))</f>
        <v/>
      </c>
      <c r="N329" s="9">
        <f>IF($K329="","",INDEX('سجل التحفيز'!$M$5:$M$2004,MATCH($K329,'سجل التحفيز'!$AC$5:$AC$2004,0)))</f>
        <v/>
      </c>
      <c r="O329" s="9">
        <f>IF($K329="","",INDEX('سجل التحفيز'!$C$5:$C$2004,MATCH($K329,'سجل التحفيز'!$AC$5:$AC$2004,0)))</f>
        <v/>
      </c>
      <c r="P329" s="36">
        <f>IF($K329="","",INDEX('سجل التحفيز'!$D$5:$D$2004,MATCH($K329,'سجل التحفيز'!$AC$5:$AC$2004,0)))</f>
        <v/>
      </c>
      <c r="Q329" s="9">
        <f>IF($K329="","",INDEX('سجل التحفيز'!$E$5:$E$2004,MATCH($K329,'سجل التحفيز'!$AC$5:$AC$2004,0)))</f>
        <v/>
      </c>
      <c r="R329" s="9">
        <f>IF($K329="","",INDEX('سجل التحفيز'!$F$5:$F$2004,MATCH($K329,'سجل التحفيز'!$AC$5:$AC$2004,0)))</f>
        <v/>
      </c>
      <c r="S329" s="35">
        <f>IF($K329="","",INDEX('سجل التحفيز'!$G$5:$G$2004,MATCH($K329,'سجل التحفيز'!$AC$5:$AC$2004,0)))</f>
        <v/>
      </c>
    </row>
    <row r="330">
      <c r="K330" s="36">
        <f>IF(293&gt;$B$10,"",293)</f>
        <v/>
      </c>
      <c r="L330" s="37">
        <f>IF($K330="","",INDEX('سجل التحفيز'!$A$5:$A$2004,MATCH($K330,'سجل التحفيز'!$AC$5:$AC$2004,0)))</f>
        <v/>
      </c>
      <c r="M330" s="9">
        <f>IF($K330="","",INDEX('سجل التحفيز'!$B$5:$B$2004,MATCH($K330,'سجل التحفيز'!$AC$5:$AC$2004,0)))</f>
        <v/>
      </c>
      <c r="N330" s="9">
        <f>IF($K330="","",INDEX('سجل التحفيز'!$M$5:$M$2004,MATCH($K330,'سجل التحفيز'!$AC$5:$AC$2004,0)))</f>
        <v/>
      </c>
      <c r="O330" s="9">
        <f>IF($K330="","",INDEX('سجل التحفيز'!$C$5:$C$2004,MATCH($K330,'سجل التحفيز'!$AC$5:$AC$2004,0)))</f>
        <v/>
      </c>
      <c r="P330" s="36">
        <f>IF($K330="","",INDEX('سجل التحفيز'!$D$5:$D$2004,MATCH($K330,'سجل التحفيز'!$AC$5:$AC$2004,0)))</f>
        <v/>
      </c>
      <c r="Q330" s="9">
        <f>IF($K330="","",INDEX('سجل التحفيز'!$E$5:$E$2004,MATCH($K330,'سجل التحفيز'!$AC$5:$AC$2004,0)))</f>
        <v/>
      </c>
      <c r="R330" s="9">
        <f>IF($K330="","",INDEX('سجل التحفيز'!$F$5:$F$2004,MATCH($K330,'سجل التحفيز'!$AC$5:$AC$2004,0)))</f>
        <v/>
      </c>
      <c r="S330" s="35">
        <f>IF($K330="","",INDEX('سجل التحفيز'!$G$5:$G$2004,MATCH($K330,'سجل التحفيز'!$AC$5:$AC$2004,0)))</f>
        <v/>
      </c>
    </row>
    <row r="331">
      <c r="K331" s="36">
        <f>IF(294&gt;$B$10,"",294)</f>
        <v/>
      </c>
      <c r="L331" s="37">
        <f>IF($K331="","",INDEX('سجل التحفيز'!$A$5:$A$2004,MATCH($K331,'سجل التحفيز'!$AC$5:$AC$2004,0)))</f>
        <v/>
      </c>
      <c r="M331" s="9">
        <f>IF($K331="","",INDEX('سجل التحفيز'!$B$5:$B$2004,MATCH($K331,'سجل التحفيز'!$AC$5:$AC$2004,0)))</f>
        <v/>
      </c>
      <c r="N331" s="9">
        <f>IF($K331="","",INDEX('سجل التحفيز'!$M$5:$M$2004,MATCH($K331,'سجل التحفيز'!$AC$5:$AC$2004,0)))</f>
        <v/>
      </c>
      <c r="O331" s="9">
        <f>IF($K331="","",INDEX('سجل التحفيز'!$C$5:$C$2004,MATCH($K331,'سجل التحفيز'!$AC$5:$AC$2004,0)))</f>
        <v/>
      </c>
      <c r="P331" s="36">
        <f>IF($K331="","",INDEX('سجل التحفيز'!$D$5:$D$2004,MATCH($K331,'سجل التحفيز'!$AC$5:$AC$2004,0)))</f>
        <v/>
      </c>
      <c r="Q331" s="9">
        <f>IF($K331="","",INDEX('سجل التحفيز'!$E$5:$E$2004,MATCH($K331,'سجل التحفيز'!$AC$5:$AC$2004,0)))</f>
        <v/>
      </c>
      <c r="R331" s="9">
        <f>IF($K331="","",INDEX('سجل التحفيز'!$F$5:$F$2004,MATCH($K331,'سجل التحفيز'!$AC$5:$AC$2004,0)))</f>
        <v/>
      </c>
      <c r="S331" s="35">
        <f>IF($K331="","",INDEX('سجل التحفيز'!$G$5:$G$2004,MATCH($K331,'سجل التحفيز'!$AC$5:$AC$2004,0)))</f>
        <v/>
      </c>
    </row>
    <row r="332">
      <c r="K332" s="36">
        <f>IF(295&gt;$B$10,"",295)</f>
        <v/>
      </c>
      <c r="L332" s="37">
        <f>IF($K332="","",INDEX('سجل التحفيز'!$A$5:$A$2004,MATCH($K332,'سجل التحفيز'!$AC$5:$AC$2004,0)))</f>
        <v/>
      </c>
      <c r="M332" s="9">
        <f>IF($K332="","",INDEX('سجل التحفيز'!$B$5:$B$2004,MATCH($K332,'سجل التحفيز'!$AC$5:$AC$2004,0)))</f>
        <v/>
      </c>
      <c r="N332" s="9">
        <f>IF($K332="","",INDEX('سجل التحفيز'!$M$5:$M$2004,MATCH($K332,'سجل التحفيز'!$AC$5:$AC$2004,0)))</f>
        <v/>
      </c>
      <c r="O332" s="9">
        <f>IF($K332="","",INDEX('سجل التحفيز'!$C$5:$C$2004,MATCH($K332,'سجل التحفيز'!$AC$5:$AC$2004,0)))</f>
        <v/>
      </c>
      <c r="P332" s="36">
        <f>IF($K332="","",INDEX('سجل التحفيز'!$D$5:$D$2004,MATCH($K332,'سجل التحفيز'!$AC$5:$AC$2004,0)))</f>
        <v/>
      </c>
      <c r="Q332" s="9">
        <f>IF($K332="","",INDEX('سجل التحفيز'!$E$5:$E$2004,MATCH($K332,'سجل التحفيز'!$AC$5:$AC$2004,0)))</f>
        <v/>
      </c>
      <c r="R332" s="9">
        <f>IF($K332="","",INDEX('سجل التحفيز'!$F$5:$F$2004,MATCH($K332,'سجل التحفيز'!$AC$5:$AC$2004,0)))</f>
        <v/>
      </c>
      <c r="S332" s="35">
        <f>IF($K332="","",INDEX('سجل التحفيز'!$G$5:$G$2004,MATCH($K332,'سجل التحفيز'!$AC$5:$AC$2004,0)))</f>
        <v/>
      </c>
    </row>
    <row r="333">
      <c r="K333" s="36">
        <f>IF(296&gt;$B$10,"",296)</f>
        <v/>
      </c>
      <c r="L333" s="37">
        <f>IF($K333="","",INDEX('سجل التحفيز'!$A$5:$A$2004,MATCH($K333,'سجل التحفيز'!$AC$5:$AC$2004,0)))</f>
        <v/>
      </c>
      <c r="M333" s="9">
        <f>IF($K333="","",INDEX('سجل التحفيز'!$B$5:$B$2004,MATCH($K333,'سجل التحفيز'!$AC$5:$AC$2004,0)))</f>
        <v/>
      </c>
      <c r="N333" s="9">
        <f>IF($K333="","",INDEX('سجل التحفيز'!$M$5:$M$2004,MATCH($K333,'سجل التحفيز'!$AC$5:$AC$2004,0)))</f>
        <v/>
      </c>
      <c r="O333" s="9">
        <f>IF($K333="","",INDEX('سجل التحفيز'!$C$5:$C$2004,MATCH($K333,'سجل التحفيز'!$AC$5:$AC$2004,0)))</f>
        <v/>
      </c>
      <c r="P333" s="36">
        <f>IF($K333="","",INDEX('سجل التحفيز'!$D$5:$D$2004,MATCH($K333,'سجل التحفيز'!$AC$5:$AC$2004,0)))</f>
        <v/>
      </c>
      <c r="Q333" s="9">
        <f>IF($K333="","",INDEX('سجل التحفيز'!$E$5:$E$2004,MATCH($K333,'سجل التحفيز'!$AC$5:$AC$2004,0)))</f>
        <v/>
      </c>
      <c r="R333" s="9">
        <f>IF($K333="","",INDEX('سجل التحفيز'!$F$5:$F$2004,MATCH($K333,'سجل التحفيز'!$AC$5:$AC$2004,0)))</f>
        <v/>
      </c>
      <c r="S333" s="35">
        <f>IF($K333="","",INDEX('سجل التحفيز'!$G$5:$G$2004,MATCH($K333,'سجل التحفيز'!$AC$5:$AC$2004,0)))</f>
        <v/>
      </c>
    </row>
    <row r="334">
      <c r="K334" s="36">
        <f>IF(297&gt;$B$10,"",297)</f>
        <v/>
      </c>
      <c r="L334" s="37">
        <f>IF($K334="","",INDEX('سجل التحفيز'!$A$5:$A$2004,MATCH($K334,'سجل التحفيز'!$AC$5:$AC$2004,0)))</f>
        <v/>
      </c>
      <c r="M334" s="9">
        <f>IF($K334="","",INDEX('سجل التحفيز'!$B$5:$B$2004,MATCH($K334,'سجل التحفيز'!$AC$5:$AC$2004,0)))</f>
        <v/>
      </c>
      <c r="N334" s="9">
        <f>IF($K334="","",INDEX('سجل التحفيز'!$M$5:$M$2004,MATCH($K334,'سجل التحفيز'!$AC$5:$AC$2004,0)))</f>
        <v/>
      </c>
      <c r="O334" s="9">
        <f>IF($K334="","",INDEX('سجل التحفيز'!$C$5:$C$2004,MATCH($K334,'سجل التحفيز'!$AC$5:$AC$2004,0)))</f>
        <v/>
      </c>
      <c r="P334" s="36">
        <f>IF($K334="","",INDEX('سجل التحفيز'!$D$5:$D$2004,MATCH($K334,'سجل التحفيز'!$AC$5:$AC$2004,0)))</f>
        <v/>
      </c>
      <c r="Q334" s="9">
        <f>IF($K334="","",INDEX('سجل التحفيز'!$E$5:$E$2004,MATCH($K334,'سجل التحفيز'!$AC$5:$AC$2004,0)))</f>
        <v/>
      </c>
      <c r="R334" s="9">
        <f>IF($K334="","",INDEX('سجل التحفيز'!$F$5:$F$2004,MATCH($K334,'سجل التحفيز'!$AC$5:$AC$2004,0)))</f>
        <v/>
      </c>
      <c r="S334" s="35">
        <f>IF($K334="","",INDEX('سجل التحفيز'!$G$5:$G$2004,MATCH($K334,'سجل التحفيز'!$AC$5:$AC$2004,0)))</f>
        <v/>
      </c>
    </row>
    <row r="335">
      <c r="K335" s="36">
        <f>IF(298&gt;$B$10,"",298)</f>
        <v/>
      </c>
      <c r="L335" s="37">
        <f>IF($K335="","",INDEX('سجل التحفيز'!$A$5:$A$2004,MATCH($K335,'سجل التحفيز'!$AC$5:$AC$2004,0)))</f>
        <v/>
      </c>
      <c r="M335" s="9">
        <f>IF($K335="","",INDEX('سجل التحفيز'!$B$5:$B$2004,MATCH($K335,'سجل التحفيز'!$AC$5:$AC$2004,0)))</f>
        <v/>
      </c>
      <c r="N335" s="9">
        <f>IF($K335="","",INDEX('سجل التحفيز'!$M$5:$M$2004,MATCH($K335,'سجل التحفيز'!$AC$5:$AC$2004,0)))</f>
        <v/>
      </c>
      <c r="O335" s="9">
        <f>IF($K335="","",INDEX('سجل التحفيز'!$C$5:$C$2004,MATCH($K335,'سجل التحفيز'!$AC$5:$AC$2004,0)))</f>
        <v/>
      </c>
      <c r="P335" s="36">
        <f>IF($K335="","",INDEX('سجل التحفيز'!$D$5:$D$2004,MATCH($K335,'سجل التحفيز'!$AC$5:$AC$2004,0)))</f>
        <v/>
      </c>
      <c r="Q335" s="9">
        <f>IF($K335="","",INDEX('سجل التحفيز'!$E$5:$E$2004,MATCH($K335,'سجل التحفيز'!$AC$5:$AC$2004,0)))</f>
        <v/>
      </c>
      <c r="R335" s="9">
        <f>IF($K335="","",INDEX('سجل التحفيز'!$F$5:$F$2004,MATCH($K335,'سجل التحفيز'!$AC$5:$AC$2004,0)))</f>
        <v/>
      </c>
      <c r="S335" s="35">
        <f>IF($K335="","",INDEX('سجل التحفيز'!$G$5:$G$2004,MATCH($K335,'سجل التحفيز'!$AC$5:$AC$2004,0)))</f>
        <v/>
      </c>
    </row>
    <row r="336">
      <c r="K336" s="36">
        <f>IF(299&gt;$B$10,"",299)</f>
        <v/>
      </c>
      <c r="L336" s="37">
        <f>IF($K336="","",INDEX('سجل التحفيز'!$A$5:$A$2004,MATCH($K336,'سجل التحفيز'!$AC$5:$AC$2004,0)))</f>
        <v/>
      </c>
      <c r="M336" s="9">
        <f>IF($K336="","",INDEX('سجل التحفيز'!$B$5:$B$2004,MATCH($K336,'سجل التحفيز'!$AC$5:$AC$2004,0)))</f>
        <v/>
      </c>
      <c r="N336" s="9">
        <f>IF($K336="","",INDEX('سجل التحفيز'!$M$5:$M$2004,MATCH($K336,'سجل التحفيز'!$AC$5:$AC$2004,0)))</f>
        <v/>
      </c>
      <c r="O336" s="9">
        <f>IF($K336="","",INDEX('سجل التحفيز'!$C$5:$C$2004,MATCH($K336,'سجل التحفيز'!$AC$5:$AC$2004,0)))</f>
        <v/>
      </c>
      <c r="P336" s="36">
        <f>IF($K336="","",INDEX('سجل التحفيز'!$D$5:$D$2004,MATCH($K336,'سجل التحفيز'!$AC$5:$AC$2004,0)))</f>
        <v/>
      </c>
      <c r="Q336" s="9">
        <f>IF($K336="","",INDEX('سجل التحفيز'!$E$5:$E$2004,MATCH($K336,'سجل التحفيز'!$AC$5:$AC$2004,0)))</f>
        <v/>
      </c>
      <c r="R336" s="9">
        <f>IF($K336="","",INDEX('سجل التحفيز'!$F$5:$F$2004,MATCH($K336,'سجل التحفيز'!$AC$5:$AC$2004,0)))</f>
        <v/>
      </c>
      <c r="S336" s="35">
        <f>IF($K336="","",INDEX('سجل التحفيز'!$G$5:$G$2004,MATCH($K336,'سجل التحفيز'!$AC$5:$AC$2004,0)))</f>
        <v/>
      </c>
    </row>
    <row r="337">
      <c r="K337" s="36">
        <f>IF(300&gt;$B$10,"",300)</f>
        <v/>
      </c>
      <c r="L337" s="37">
        <f>IF($K337="","",INDEX('سجل التحفيز'!$A$5:$A$2004,MATCH($K337,'سجل التحفيز'!$AC$5:$AC$2004,0)))</f>
        <v/>
      </c>
      <c r="M337" s="9">
        <f>IF($K337="","",INDEX('سجل التحفيز'!$B$5:$B$2004,MATCH($K337,'سجل التحفيز'!$AC$5:$AC$2004,0)))</f>
        <v/>
      </c>
      <c r="N337" s="9">
        <f>IF($K337="","",INDEX('سجل التحفيز'!$M$5:$M$2004,MATCH($K337,'سجل التحفيز'!$AC$5:$AC$2004,0)))</f>
        <v/>
      </c>
      <c r="O337" s="9">
        <f>IF($K337="","",INDEX('سجل التحفيز'!$C$5:$C$2004,MATCH($K337,'سجل التحفيز'!$AC$5:$AC$2004,0)))</f>
        <v/>
      </c>
      <c r="P337" s="36">
        <f>IF($K337="","",INDEX('سجل التحفيز'!$D$5:$D$2004,MATCH($K337,'سجل التحفيز'!$AC$5:$AC$2004,0)))</f>
        <v/>
      </c>
      <c r="Q337" s="9">
        <f>IF($K337="","",INDEX('سجل التحفيز'!$E$5:$E$2004,MATCH($K337,'سجل التحفيز'!$AC$5:$AC$2004,0)))</f>
        <v/>
      </c>
      <c r="R337" s="9">
        <f>IF($K337="","",INDEX('سجل التحفيز'!$F$5:$F$2004,MATCH($K337,'سجل التحفيز'!$AC$5:$AC$2004,0)))</f>
        <v/>
      </c>
      <c r="S337" s="35">
        <f>IF($K337="","",INDEX('سجل التحفيز'!$G$5:$G$2004,MATCH($K337,'سجل التحفيز'!$AC$5:$AC$2004,0)))</f>
        <v/>
      </c>
    </row>
    <row r="339">
      <c r="K339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38:H187">
    <cfRule type="expression" priority="1" dxfId="3">
      <formula>$B38&lt;&gt;""</formula>
    </cfRule>
    <cfRule type="expression" priority="2" dxfId="1">
      <formula>AND($B38&lt;&gt;"",$G38=1)</formula>
    </cfRule>
  </conditionalFormatting>
  <conditionalFormatting sqref="K38:S337">
    <cfRule type="expression" priority="3" dxfId="3">
      <formula>$K38&lt;&gt;""</formula>
    </cfRule>
    <cfRule type="expression" priority="4" dxfId="4">
      <formula>AND($K38&lt;&gt;"",$P38="ذهبي")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S33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التقرير الشهري — أبريل</t>
        </is>
      </c>
    </row>
    <row r="2" ht="30" customHeight="1">
      <c r="A2" s="2" t="inlineStr">
        <is>
          <t>تقرير ثابت لهذا الشهر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شهري</t>
        </is>
      </c>
    </row>
    <row r="6">
      <c r="B6" s="22" t="inlineStr">
        <is>
          <t>الشهر</t>
        </is>
      </c>
      <c r="C6" s="25" t="inlineStr">
        <is>
          <t>أبريل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—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التحفيز'!$AD$5:$AD$2004)</f>
        <v/>
      </c>
      <c r="C10" s="28">
        <f>COUNT(الموظفات!$X$5:$X$304)</f>
        <v/>
      </c>
      <c r="D10" s="28">
        <f>COUNTIFS('سجل التحفيز'!$AD$5:$AD$2004,"&gt;0",'سجل التحفيز'!$D$5:$D$2004,"ذهبي")</f>
        <v/>
      </c>
      <c r="E10" s="28">
        <f>COUNTIFS('سجل التحفيز'!$AD$5:$AD$2004,"&gt;0",'سجل التحفيز'!$D$5:$D$2004,"أساسي")</f>
        <v/>
      </c>
      <c r="F10" s="28">
        <f>SUMIFS('سجل التحفيز'!$G$5:$G$2004,'سجل التحفيز'!$AD$5:$AD$2004,"&gt;0")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التحفيز'!$AD$5:$AD$2004,"&gt;0",'سجل التحفيز'!$C$5:$C$2004,B14,'سجل التحفيز'!$D$5:$D$2004,"أساسي")</f>
        <v/>
      </c>
      <c r="D14" s="31">
        <f>COUNTIFS('سجل التحفيز'!$AD$5:$AD$2004,"&gt;0",'سجل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التحفيز'!$AD$5:$AD$2004,"&gt;0",'سجل التحفيز'!$C$5:$C$2004,B14)</f>
        <v/>
      </c>
    </row>
    <row r="15">
      <c r="B15" s="30">
        <f>الإعدادات!A8</f>
        <v/>
      </c>
      <c r="C15" s="31">
        <f>COUNTIFS('سجل التحفيز'!$AD$5:$AD$2004,"&gt;0",'سجل التحفيز'!$C$5:$C$2004,B15,'سجل التحفيز'!$D$5:$D$2004,"أساسي")</f>
        <v/>
      </c>
      <c r="D15" s="31">
        <f>COUNTIFS('سجل التحفيز'!$AD$5:$AD$2004,"&gt;0",'سجل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التحفيز'!$AD$5:$AD$2004,"&gt;0",'سجل التحفيز'!$C$5:$C$2004,B15)</f>
        <v/>
      </c>
    </row>
    <row r="16">
      <c r="B16" s="30">
        <f>الإعدادات!A9</f>
        <v/>
      </c>
      <c r="C16" s="31">
        <f>COUNTIFS('سجل التحفيز'!$AD$5:$AD$2004,"&gt;0",'سجل التحفيز'!$C$5:$C$2004,B16,'سجل التحفيز'!$D$5:$D$2004,"أساسي")</f>
        <v/>
      </c>
      <c r="D16" s="31">
        <f>COUNTIFS('سجل التحفيز'!$AD$5:$AD$2004,"&gt;0",'سجل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التحفيز'!$AD$5:$AD$2004,"&gt;0",'سجل التحفيز'!$C$5:$C$2004,B16)</f>
        <v/>
      </c>
    </row>
    <row r="17">
      <c r="B17" s="30">
        <f>الإعدادات!A10</f>
        <v/>
      </c>
      <c r="C17" s="31">
        <f>COUNTIFS('سجل التحفيز'!$AD$5:$AD$2004,"&gt;0",'سجل التحفيز'!$C$5:$C$2004,B17,'سجل التحفيز'!$D$5:$D$2004,"أساسي")</f>
        <v/>
      </c>
      <c r="D17" s="31">
        <f>COUNTIFS('سجل التحفيز'!$AD$5:$AD$2004,"&gt;0",'سجل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التحفيز'!$AD$5:$AD$2004,"&gt;0",'سجل التحفيز'!$C$5:$C$2004,B17)</f>
        <v/>
      </c>
    </row>
    <row r="18">
      <c r="B18" s="30">
        <f>الإعدادات!A11</f>
        <v/>
      </c>
      <c r="C18" s="31">
        <f>COUNTIFS('سجل التحفيز'!$AD$5:$AD$2004,"&gt;0",'سجل التحفيز'!$C$5:$C$2004,B18,'سجل التحفيز'!$D$5:$D$2004,"أساسي")</f>
        <v/>
      </c>
      <c r="D18" s="31">
        <f>COUNTIFS('سجل التحفيز'!$AD$5:$AD$2004,"&gt;0",'سجل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التحفيز'!$AD$5:$AD$2004,"&gt;0",'سجل التحفيز'!$C$5:$C$2004,B18)</f>
        <v/>
      </c>
    </row>
    <row r="19">
      <c r="B19" s="30">
        <f>الإعدادات!A12</f>
        <v/>
      </c>
      <c r="C19" s="31">
        <f>COUNTIFS('سجل التحفيز'!$AD$5:$AD$2004,"&gt;0",'سجل التحفيز'!$C$5:$C$2004,B19,'سجل التحفيز'!$D$5:$D$2004,"أساسي")</f>
        <v/>
      </c>
      <c r="D19" s="31">
        <f>COUNTIFS('سجل التحفيز'!$AD$5:$AD$2004,"&gt;0",'سجل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التحفيز'!$AD$5:$AD$2004,"&gt;0",'سجل التحفيز'!$C$5:$C$2004,B19)</f>
        <v/>
      </c>
    </row>
    <row r="20">
      <c r="B20" s="30">
        <f>الإعدادات!A13</f>
        <v/>
      </c>
      <c r="C20" s="31">
        <f>COUNTIFS('سجل التحفيز'!$AD$5:$AD$2004,"&gt;0",'سجل التحفيز'!$C$5:$C$2004,B20,'سجل التحفيز'!$D$5:$D$2004,"أساسي")</f>
        <v/>
      </c>
      <c r="D20" s="31">
        <f>COUNTIFS('سجل التحفيز'!$AD$5:$AD$2004,"&gt;0",'سجل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التحفيز'!$AD$5:$AD$2004,"&gt;0",'سجل التحفيز'!$C$5:$C$2004,B20)</f>
        <v/>
      </c>
    </row>
    <row r="21">
      <c r="B21" s="30">
        <f>الإعدادات!A14</f>
        <v/>
      </c>
      <c r="C21" s="31">
        <f>COUNTIFS('سجل التحفيز'!$AD$5:$AD$2004,"&gt;0",'سجل التحفيز'!$C$5:$C$2004,B21,'سجل التحفيز'!$D$5:$D$2004,"أساسي")</f>
        <v/>
      </c>
      <c r="D21" s="31">
        <f>COUNTIFS('سجل التحفيز'!$AD$5:$AD$2004,"&gt;0",'سجل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التحفيز'!$AD$5:$AD$2004,"&gt;0",'سجل التحفيز'!$C$5:$C$2004,B21)</f>
        <v/>
      </c>
    </row>
    <row r="22">
      <c r="B22" s="30">
        <f>الإعدادات!A15</f>
        <v/>
      </c>
      <c r="C22" s="31">
        <f>COUNTIFS('سجل التحفيز'!$AD$5:$AD$2004,"&gt;0",'سجل التحفيز'!$C$5:$C$2004,B22,'سجل التحفيز'!$D$5:$D$2004,"أساسي")</f>
        <v/>
      </c>
      <c r="D22" s="31">
        <f>COUNTIFS('سجل التحفيز'!$AD$5:$AD$2004,"&gt;0",'سجل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التحفيز'!$AD$5:$AD$2004,"&gt;0",'سجل التحفيز'!$C$5:$C$2004,B22)</f>
        <v/>
      </c>
    </row>
    <row r="23">
      <c r="B23" s="30">
        <f>الإعدادات!A16</f>
        <v/>
      </c>
      <c r="C23" s="31">
        <f>COUNTIFS('سجل التحفيز'!$AD$5:$AD$2004,"&gt;0",'سجل التحفيز'!$C$5:$C$2004,B23,'سجل التحفيز'!$D$5:$D$2004,"أساسي")</f>
        <v/>
      </c>
      <c r="D23" s="31">
        <f>COUNTIFS('سجل التحفيز'!$AD$5:$AD$2004,"&gt;0",'سجل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التحفيز'!$AD$5:$AD$2004,"&gt;0",'سجل التحفيز'!$C$5:$C$2004,B23)</f>
        <v/>
      </c>
    </row>
    <row r="24">
      <c r="B24" s="30">
        <f>الإعدادات!A17</f>
        <v/>
      </c>
      <c r="C24" s="31">
        <f>COUNTIFS('سجل التحفيز'!$AD$5:$AD$2004,"&gt;0",'سجل التحفيز'!$C$5:$C$2004,B24,'سجل التحفيز'!$D$5:$D$2004,"أساسي")</f>
        <v/>
      </c>
      <c r="D24" s="31">
        <f>COUNTIFS('سجل التحفيز'!$AD$5:$AD$2004,"&gt;0",'سجل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التحفيز'!$AD$5:$AD$2004,"&gt;0",'سجل التحفيز'!$C$5:$C$2004,B24)</f>
        <v/>
      </c>
    </row>
    <row r="25">
      <c r="B25" s="30">
        <f>الإعدادات!A18</f>
        <v/>
      </c>
      <c r="C25" s="31">
        <f>COUNTIFS('سجل التحفيز'!$AD$5:$AD$2004,"&gt;0",'سجل التحفيز'!$C$5:$C$2004,B25,'سجل التحفيز'!$D$5:$D$2004,"أساسي")</f>
        <v/>
      </c>
      <c r="D25" s="31">
        <f>COUNTIFS('سجل التحفيز'!$AD$5:$AD$2004,"&gt;0",'سجل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التحفيز'!$AD$5:$AD$2004,"&gt;0",'سجل التحفيز'!$C$5:$C$2004,B25)</f>
        <v/>
      </c>
    </row>
    <row r="26">
      <c r="B26" s="30">
        <f>الإعدادات!A19</f>
        <v/>
      </c>
      <c r="C26" s="31">
        <f>COUNTIFS('سجل التحفيز'!$AD$5:$AD$2004,"&gt;0",'سجل التحفيز'!$C$5:$C$2004,B26,'سجل التحفيز'!$D$5:$D$2004,"أساسي")</f>
        <v/>
      </c>
      <c r="D26" s="31">
        <f>COUNTIFS('سجل التحفيز'!$AD$5:$AD$2004,"&gt;0",'سجل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التحفيز'!$AD$5:$AD$2004,"&gt;0",'سجل التحفيز'!$C$5:$C$2004,B26)</f>
        <v/>
      </c>
    </row>
    <row r="27">
      <c r="B27" s="30">
        <f>الإعدادات!A20</f>
        <v/>
      </c>
      <c r="C27" s="31">
        <f>COUNTIFS('سجل التحفيز'!$AD$5:$AD$2004,"&gt;0",'سجل التحفيز'!$C$5:$C$2004,B27,'سجل التحفيز'!$D$5:$D$2004,"أساسي")</f>
        <v/>
      </c>
      <c r="D27" s="31">
        <f>COUNTIFS('سجل التحفيز'!$AD$5:$AD$2004,"&gt;0",'سجل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التحفيز'!$AD$5:$AD$2004,"&gt;0",'سجل التحفيز'!$C$5:$C$2004,B27)</f>
        <v/>
      </c>
    </row>
    <row r="28">
      <c r="B28" s="30">
        <f>الإعدادات!A21</f>
        <v/>
      </c>
      <c r="C28" s="31">
        <f>COUNTIFS('سجل التحفيز'!$AD$5:$AD$2004,"&gt;0",'سجل التحفيز'!$C$5:$C$2004,B28,'سجل التحفيز'!$D$5:$D$2004,"أساسي")</f>
        <v/>
      </c>
      <c r="D28" s="31">
        <f>COUNTIFS('سجل التحفيز'!$AD$5:$AD$2004,"&gt;0",'سجل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التحفيز'!$AD$5:$AD$2004,"&gt;0",'سجل التحفيز'!$C$5:$C$2004,B28)</f>
        <v/>
      </c>
    </row>
    <row r="29">
      <c r="B29" s="30">
        <f>الإعدادات!A22</f>
        <v/>
      </c>
      <c r="C29" s="31">
        <f>COUNTIFS('سجل التحفيز'!$AD$5:$AD$2004,"&gt;0",'سجل التحفيز'!$C$5:$C$2004,B29,'سجل التحفيز'!$D$5:$D$2004,"أساسي")</f>
        <v/>
      </c>
      <c r="D29" s="31">
        <f>COUNTIFS('سجل التحفيز'!$AD$5:$AD$2004,"&gt;0",'سجل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التحفيز'!$AD$5:$AD$2004,"&gt;0",'سجل التحفيز'!$C$5:$C$2004,B29)</f>
        <v/>
      </c>
    </row>
    <row r="30">
      <c r="B30" s="30">
        <f>الإعدادات!A23</f>
        <v/>
      </c>
      <c r="C30" s="31">
        <f>COUNTIFS('سجل التحفيز'!$AD$5:$AD$2004,"&gt;0",'سجل التحفيز'!$C$5:$C$2004,B30,'سجل التحفيز'!$D$5:$D$2004,"أساسي")</f>
        <v/>
      </c>
      <c r="D30" s="31">
        <f>COUNTIFS('سجل التحفيز'!$AD$5:$AD$2004,"&gt;0",'سجل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التحفيز'!$AD$5:$AD$2004,"&gt;0",'سجل التحفيز'!$C$5:$C$2004,B30)</f>
        <v/>
      </c>
    </row>
    <row r="31">
      <c r="B31" s="30">
        <f>الإعدادات!A24</f>
        <v/>
      </c>
      <c r="C31" s="31">
        <f>COUNTIFS('سجل التحفيز'!$AD$5:$AD$2004,"&gt;0",'سجل التحفيز'!$C$5:$C$2004,B31,'سجل التحفيز'!$D$5:$D$2004,"أساسي")</f>
        <v/>
      </c>
      <c r="D31" s="31">
        <f>COUNTIFS('سجل التحفيز'!$AD$5:$AD$2004,"&gt;0",'سجل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التحفيز'!$AD$5:$AD$2004,"&gt;0",'سجل التحفيز'!$C$5:$C$2004,B31)</f>
        <v/>
      </c>
    </row>
    <row r="32">
      <c r="B32" s="30">
        <f>الإعدادات!A25</f>
        <v/>
      </c>
      <c r="C32" s="31">
        <f>COUNTIFS('سجل التحفيز'!$AD$5:$AD$2004,"&gt;0",'سجل التحفيز'!$C$5:$C$2004,B32,'سجل التحفيز'!$D$5:$D$2004,"أساسي")</f>
        <v/>
      </c>
      <c r="D32" s="31">
        <f>COUNTIFS('سجل التحفيز'!$AD$5:$AD$2004,"&gt;0",'سجل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التحفيز'!$AD$5:$AD$2004,"&gt;0",'سجل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الموظفات المُكرَّمات ضمن فترة التقرير</t>
        </is>
      </c>
      <c r="K36" s="29" t="inlineStr">
        <is>
          <t>تفاصيل التكريمات ضمن فترة التقرير</t>
        </is>
      </c>
    </row>
    <row r="37">
      <c r="B37" s="13" t="inlineStr">
        <is>
          <t>اسم الموظفة</t>
        </is>
      </c>
      <c r="C37" s="13" t="inlineStr">
        <is>
          <t>القسم</t>
        </is>
      </c>
      <c r="D37" s="13" t="inlineStr">
        <is>
          <t>عدد التكريمات</t>
        </is>
      </c>
      <c r="E37" s="13" t="inlineStr">
        <is>
          <t>معايير ذهبية</t>
        </is>
      </c>
      <c r="F37" s="13" t="inlineStr">
        <is>
          <t>القيمة (ر.ق)</t>
        </is>
      </c>
      <c r="G37" s="13" t="inlineStr">
        <is>
          <t>الترتيب</t>
        </is>
      </c>
      <c r="H37" s="13" t="inlineStr">
        <is>
          <t>أمري تدللي (السنة)</t>
        </is>
      </c>
      <c r="K37" s="13" t="inlineStr">
        <is>
          <t>م</t>
        </is>
      </c>
      <c r="L37" s="13" t="inlineStr">
        <is>
          <t>التاريخ</t>
        </is>
      </c>
      <c r="M37" s="13" t="inlineStr">
        <is>
          <t>اسم الموظفة</t>
        </is>
      </c>
      <c r="N37" s="13" t="inlineStr">
        <is>
          <t>القسم</t>
        </is>
      </c>
      <c r="O37" s="13" t="inlineStr">
        <is>
          <t>المجال</t>
        </is>
      </c>
      <c r="P37" s="13" t="inlineStr">
        <is>
          <t>المستوى</t>
        </is>
      </c>
      <c r="Q37" s="13" t="inlineStr">
        <is>
          <t>المعيار المحقق</t>
        </is>
      </c>
      <c r="R37" s="13" t="inlineStr">
        <is>
          <t>المكافأة الممنوحة</t>
        </is>
      </c>
      <c r="S37" s="13" t="inlineStr">
        <is>
          <t>القيمة (ر.ق)</t>
        </is>
      </c>
    </row>
    <row r="38">
      <c r="B38" s="34">
        <f>IFERROR(INDEX(الموظفات!$B$5:$B$304,MATCH(1,الموظفات!$X$5:$X$304,0)),"")</f>
        <v/>
      </c>
      <c r="C38" s="34">
        <f>IF(B38="","",INDEX(الموظفات!$D$5:$D$304,MATCH(B38,الموظفات!$B$5:$B$304,0))&amp;"")</f>
        <v/>
      </c>
      <c r="D38" s="35">
        <f>IF(B38="","",COUNTIFS('سجل التحفيز'!$AD$5:$AD$2004,"&gt;0",'سجل التحفيز'!$B$5:$B$2004,B38))</f>
        <v/>
      </c>
      <c r="E38" s="35">
        <f>IF(B38="","",COUNTIFS('سجل التحفيز'!$AD$5:$AD$2004,"&gt;0",'سجل التحفيز'!$B$5:$B$2004,B38,'سجل التحفيز'!$D$5:$D$2004,"ذهبي"))</f>
        <v/>
      </c>
      <c r="F38" s="35">
        <f>IF(B38="","",SUMIFS('سجل التحفيز'!$G$5:$G$2004,'سجل التحفيز'!$AD$5:$AD$2004,"&gt;0",'سجل التحفيز'!$B$5:$B$2004,B38))</f>
        <v/>
      </c>
      <c r="G38" s="35">
        <f>IF(B38="","",COUNTIF($D$38:$D$187,"&gt;"&amp;D38)+1)</f>
        <v/>
      </c>
      <c r="H38" s="35">
        <f>IF(B38="","",INDEX(الموظفات!$L$5:$L$304,MATCH(B38,الموظفات!$B$5:$B$304,0)))</f>
        <v/>
      </c>
      <c r="K38" s="36">
        <f>IF(1&gt;$B$10,"",1)</f>
        <v/>
      </c>
      <c r="L38" s="37">
        <f>IF($K38="","",INDEX('سجل التحفيز'!$A$5:$A$2004,MATCH($K38,'سجل التحفيز'!$AD$5:$AD$2004,0)))</f>
        <v/>
      </c>
      <c r="M38" s="9">
        <f>IF($K38="","",INDEX('سجل التحفيز'!$B$5:$B$2004,MATCH($K38,'سجل التحفيز'!$AD$5:$AD$2004,0)))</f>
        <v/>
      </c>
      <c r="N38" s="9">
        <f>IF($K38="","",INDEX('سجل التحفيز'!$M$5:$M$2004,MATCH($K38,'سجل التحفيز'!$AD$5:$AD$2004,0)))</f>
        <v/>
      </c>
      <c r="O38" s="9">
        <f>IF($K38="","",INDEX('سجل التحفيز'!$C$5:$C$2004,MATCH($K38,'سجل التحفيز'!$AD$5:$AD$2004,0)))</f>
        <v/>
      </c>
      <c r="P38" s="36">
        <f>IF($K38="","",INDEX('سجل التحفيز'!$D$5:$D$2004,MATCH($K38,'سجل التحفيز'!$AD$5:$AD$2004,0)))</f>
        <v/>
      </c>
      <c r="Q38" s="9">
        <f>IF($K38="","",INDEX('سجل التحفيز'!$E$5:$E$2004,MATCH($K38,'سجل التحفيز'!$AD$5:$AD$2004,0)))</f>
        <v/>
      </c>
      <c r="R38" s="9">
        <f>IF($K38="","",INDEX('سجل التحفيز'!$F$5:$F$2004,MATCH($K38,'سجل التحفيز'!$AD$5:$AD$2004,0)))</f>
        <v/>
      </c>
      <c r="S38" s="35">
        <f>IF($K38="","",INDEX('سجل التحفيز'!$G$5:$G$2004,MATCH($K38,'سجل التحفيز'!$AD$5:$AD$2004,0)))</f>
        <v/>
      </c>
    </row>
    <row r="39">
      <c r="B39" s="34">
        <f>IFERROR(INDEX(الموظفات!$B$5:$B$304,MATCH(2,الموظفات!$X$5:$X$304,0)),"")</f>
        <v/>
      </c>
      <c r="C39" s="34">
        <f>IF(B39="","",INDEX(الموظفات!$D$5:$D$304,MATCH(B39,الموظفات!$B$5:$B$304,0))&amp;"")</f>
        <v/>
      </c>
      <c r="D39" s="35">
        <f>IF(B39="","",COUNTIFS('سجل التحفيز'!$AD$5:$AD$2004,"&gt;0",'سجل التحفيز'!$B$5:$B$2004,B39))</f>
        <v/>
      </c>
      <c r="E39" s="35">
        <f>IF(B39="","",COUNTIFS('سجل التحفيز'!$AD$5:$AD$2004,"&gt;0",'سجل التحفيز'!$B$5:$B$2004,B39,'سجل التحفيز'!$D$5:$D$2004,"ذهبي"))</f>
        <v/>
      </c>
      <c r="F39" s="35">
        <f>IF(B39="","",SUMIFS('سجل التحفيز'!$G$5:$G$2004,'سجل التحفيز'!$AD$5:$AD$2004,"&gt;0",'سجل التحفيز'!$B$5:$B$2004,B39))</f>
        <v/>
      </c>
      <c r="G39" s="35">
        <f>IF(B39="","",COUNTIF($D$38:$D$187,"&gt;"&amp;D39)+1)</f>
        <v/>
      </c>
      <c r="H39" s="35">
        <f>IF(B39="","",INDEX(الموظفات!$L$5:$L$304,MATCH(B39,الموظفات!$B$5:$B$304,0)))</f>
        <v/>
      </c>
      <c r="K39" s="36">
        <f>IF(2&gt;$B$10,"",2)</f>
        <v/>
      </c>
      <c r="L39" s="37">
        <f>IF($K39="","",INDEX('سجل التحفيز'!$A$5:$A$2004,MATCH($K39,'سجل التحفيز'!$AD$5:$AD$2004,0)))</f>
        <v/>
      </c>
      <c r="M39" s="9">
        <f>IF($K39="","",INDEX('سجل التحفيز'!$B$5:$B$2004,MATCH($K39,'سجل التحفيز'!$AD$5:$AD$2004,0)))</f>
        <v/>
      </c>
      <c r="N39" s="9">
        <f>IF($K39="","",INDEX('سجل التحفيز'!$M$5:$M$2004,MATCH($K39,'سجل التحفيز'!$AD$5:$AD$2004,0)))</f>
        <v/>
      </c>
      <c r="O39" s="9">
        <f>IF($K39="","",INDEX('سجل التحفيز'!$C$5:$C$2004,MATCH($K39,'سجل التحفيز'!$AD$5:$AD$2004,0)))</f>
        <v/>
      </c>
      <c r="P39" s="36">
        <f>IF($K39="","",INDEX('سجل التحفيز'!$D$5:$D$2004,MATCH($K39,'سجل التحفيز'!$AD$5:$AD$2004,0)))</f>
        <v/>
      </c>
      <c r="Q39" s="9">
        <f>IF($K39="","",INDEX('سجل التحفيز'!$E$5:$E$2004,MATCH($K39,'سجل التحفيز'!$AD$5:$AD$2004,0)))</f>
        <v/>
      </c>
      <c r="R39" s="9">
        <f>IF($K39="","",INDEX('سجل التحفيز'!$F$5:$F$2004,MATCH($K39,'سجل التحفيز'!$AD$5:$AD$2004,0)))</f>
        <v/>
      </c>
      <c r="S39" s="35">
        <f>IF($K39="","",INDEX('سجل التحفيز'!$G$5:$G$2004,MATCH($K39,'سجل التحفيز'!$AD$5:$AD$2004,0)))</f>
        <v/>
      </c>
    </row>
    <row r="40">
      <c r="B40" s="34">
        <f>IFERROR(INDEX(الموظفات!$B$5:$B$304,MATCH(3,الموظفات!$X$5:$X$304,0)),"")</f>
        <v/>
      </c>
      <c r="C40" s="34">
        <f>IF(B40="","",INDEX(الموظفات!$D$5:$D$304,MATCH(B40,الموظفات!$B$5:$B$304,0))&amp;"")</f>
        <v/>
      </c>
      <c r="D40" s="35">
        <f>IF(B40="","",COUNTIFS('سجل التحفيز'!$AD$5:$AD$2004,"&gt;0",'سجل التحفيز'!$B$5:$B$2004,B40))</f>
        <v/>
      </c>
      <c r="E40" s="35">
        <f>IF(B40="","",COUNTIFS('سجل التحفيز'!$AD$5:$AD$2004,"&gt;0",'سجل التحفيز'!$B$5:$B$2004,B40,'سجل التحفيز'!$D$5:$D$2004,"ذهبي"))</f>
        <v/>
      </c>
      <c r="F40" s="35">
        <f>IF(B40="","",SUMIFS('سجل التحفيز'!$G$5:$G$2004,'سجل التحفيز'!$AD$5:$AD$2004,"&gt;0",'سجل التحفيز'!$B$5:$B$2004,B40))</f>
        <v/>
      </c>
      <c r="G40" s="35">
        <f>IF(B40="","",COUNTIF($D$38:$D$187,"&gt;"&amp;D40)+1)</f>
        <v/>
      </c>
      <c r="H40" s="35">
        <f>IF(B40="","",INDEX(الموظفات!$L$5:$L$304,MATCH(B40,الموظفات!$B$5:$B$304,0)))</f>
        <v/>
      </c>
      <c r="K40" s="36">
        <f>IF(3&gt;$B$10,"",3)</f>
        <v/>
      </c>
      <c r="L40" s="37">
        <f>IF($K40="","",INDEX('سجل التحفيز'!$A$5:$A$2004,MATCH($K40,'سجل التحفيز'!$AD$5:$AD$2004,0)))</f>
        <v/>
      </c>
      <c r="M40" s="9">
        <f>IF($K40="","",INDEX('سجل التحفيز'!$B$5:$B$2004,MATCH($K40,'سجل التحفيز'!$AD$5:$AD$2004,0)))</f>
        <v/>
      </c>
      <c r="N40" s="9">
        <f>IF($K40="","",INDEX('سجل التحفيز'!$M$5:$M$2004,MATCH($K40,'سجل التحفيز'!$AD$5:$AD$2004,0)))</f>
        <v/>
      </c>
      <c r="O40" s="9">
        <f>IF($K40="","",INDEX('سجل التحفيز'!$C$5:$C$2004,MATCH($K40,'سجل التحفيز'!$AD$5:$AD$2004,0)))</f>
        <v/>
      </c>
      <c r="P40" s="36">
        <f>IF($K40="","",INDEX('سجل التحفيز'!$D$5:$D$2004,MATCH($K40,'سجل التحفيز'!$AD$5:$AD$2004,0)))</f>
        <v/>
      </c>
      <c r="Q40" s="9">
        <f>IF($K40="","",INDEX('سجل التحفيز'!$E$5:$E$2004,MATCH($K40,'سجل التحفيز'!$AD$5:$AD$2004,0)))</f>
        <v/>
      </c>
      <c r="R40" s="9">
        <f>IF($K40="","",INDEX('سجل التحفيز'!$F$5:$F$2004,MATCH($K40,'سجل التحفيز'!$AD$5:$AD$2004,0)))</f>
        <v/>
      </c>
      <c r="S40" s="35">
        <f>IF($K40="","",INDEX('سجل التحفيز'!$G$5:$G$2004,MATCH($K40,'سجل التحفيز'!$AD$5:$AD$2004,0)))</f>
        <v/>
      </c>
    </row>
    <row r="41">
      <c r="B41" s="34">
        <f>IFERROR(INDEX(الموظفات!$B$5:$B$304,MATCH(4,الموظفات!$X$5:$X$304,0)),"")</f>
        <v/>
      </c>
      <c r="C41" s="34">
        <f>IF(B41="","",INDEX(الموظفات!$D$5:$D$304,MATCH(B41,الموظفات!$B$5:$B$304,0))&amp;"")</f>
        <v/>
      </c>
      <c r="D41" s="35">
        <f>IF(B41="","",COUNTIFS('سجل التحفيز'!$AD$5:$AD$2004,"&gt;0",'سجل التحفيز'!$B$5:$B$2004,B41))</f>
        <v/>
      </c>
      <c r="E41" s="35">
        <f>IF(B41="","",COUNTIFS('سجل التحفيز'!$AD$5:$AD$2004,"&gt;0",'سجل التحفيز'!$B$5:$B$2004,B41,'سجل التحفيز'!$D$5:$D$2004,"ذهبي"))</f>
        <v/>
      </c>
      <c r="F41" s="35">
        <f>IF(B41="","",SUMIFS('سجل التحفيز'!$G$5:$G$2004,'سجل التحفيز'!$AD$5:$AD$2004,"&gt;0",'سجل التحفيز'!$B$5:$B$2004,B41))</f>
        <v/>
      </c>
      <c r="G41" s="35">
        <f>IF(B41="","",COUNTIF($D$38:$D$187,"&gt;"&amp;D41)+1)</f>
        <v/>
      </c>
      <c r="H41" s="35">
        <f>IF(B41="","",INDEX(الموظفات!$L$5:$L$304,MATCH(B41,الموظفات!$B$5:$B$304,0)))</f>
        <v/>
      </c>
      <c r="K41" s="36">
        <f>IF(4&gt;$B$10,"",4)</f>
        <v/>
      </c>
      <c r="L41" s="37">
        <f>IF($K41="","",INDEX('سجل التحفيز'!$A$5:$A$2004,MATCH($K41,'سجل التحفيز'!$AD$5:$AD$2004,0)))</f>
        <v/>
      </c>
      <c r="M41" s="9">
        <f>IF($K41="","",INDEX('سجل التحفيز'!$B$5:$B$2004,MATCH($K41,'سجل التحفيز'!$AD$5:$AD$2004,0)))</f>
        <v/>
      </c>
      <c r="N41" s="9">
        <f>IF($K41="","",INDEX('سجل التحفيز'!$M$5:$M$2004,MATCH($K41,'سجل التحفيز'!$AD$5:$AD$2004,0)))</f>
        <v/>
      </c>
      <c r="O41" s="9">
        <f>IF($K41="","",INDEX('سجل التحفيز'!$C$5:$C$2004,MATCH($K41,'سجل التحفيز'!$AD$5:$AD$2004,0)))</f>
        <v/>
      </c>
      <c r="P41" s="36">
        <f>IF($K41="","",INDEX('سجل التحفيز'!$D$5:$D$2004,MATCH($K41,'سجل التحفيز'!$AD$5:$AD$2004,0)))</f>
        <v/>
      </c>
      <c r="Q41" s="9">
        <f>IF($K41="","",INDEX('سجل التحفيز'!$E$5:$E$2004,MATCH($K41,'سجل التحفيز'!$AD$5:$AD$2004,0)))</f>
        <v/>
      </c>
      <c r="R41" s="9">
        <f>IF($K41="","",INDEX('سجل التحفيز'!$F$5:$F$2004,MATCH($K41,'سجل التحفيز'!$AD$5:$AD$2004,0)))</f>
        <v/>
      </c>
      <c r="S41" s="35">
        <f>IF($K41="","",INDEX('سجل التحفيز'!$G$5:$G$2004,MATCH($K41,'سجل التحفيز'!$AD$5:$AD$2004,0)))</f>
        <v/>
      </c>
    </row>
    <row r="42">
      <c r="B42" s="34">
        <f>IFERROR(INDEX(الموظفات!$B$5:$B$304,MATCH(5,الموظفات!$X$5:$X$304,0)),"")</f>
        <v/>
      </c>
      <c r="C42" s="34">
        <f>IF(B42="","",INDEX(الموظفات!$D$5:$D$304,MATCH(B42,الموظفات!$B$5:$B$304,0))&amp;"")</f>
        <v/>
      </c>
      <c r="D42" s="35">
        <f>IF(B42="","",COUNTIFS('سجل التحفيز'!$AD$5:$AD$2004,"&gt;0",'سجل التحفيز'!$B$5:$B$2004,B42))</f>
        <v/>
      </c>
      <c r="E42" s="35">
        <f>IF(B42="","",COUNTIFS('سجل التحفيز'!$AD$5:$AD$2004,"&gt;0",'سجل التحفيز'!$B$5:$B$2004,B42,'سجل التحفيز'!$D$5:$D$2004,"ذهبي"))</f>
        <v/>
      </c>
      <c r="F42" s="35">
        <f>IF(B42="","",SUMIFS('سجل التحفيز'!$G$5:$G$2004,'سجل التحفيز'!$AD$5:$AD$2004,"&gt;0",'سجل التحفيز'!$B$5:$B$2004,B42))</f>
        <v/>
      </c>
      <c r="G42" s="35">
        <f>IF(B42="","",COUNTIF($D$38:$D$187,"&gt;"&amp;D42)+1)</f>
        <v/>
      </c>
      <c r="H42" s="35">
        <f>IF(B42="","",INDEX(الموظفات!$L$5:$L$304,MATCH(B42,الموظفات!$B$5:$B$304,0)))</f>
        <v/>
      </c>
      <c r="K42" s="36">
        <f>IF(5&gt;$B$10,"",5)</f>
        <v/>
      </c>
      <c r="L42" s="37">
        <f>IF($K42="","",INDEX('سجل التحفيز'!$A$5:$A$2004,MATCH($K42,'سجل التحفيز'!$AD$5:$AD$2004,0)))</f>
        <v/>
      </c>
      <c r="M42" s="9">
        <f>IF($K42="","",INDEX('سجل التحفيز'!$B$5:$B$2004,MATCH($K42,'سجل التحفيز'!$AD$5:$AD$2004,0)))</f>
        <v/>
      </c>
      <c r="N42" s="9">
        <f>IF($K42="","",INDEX('سجل التحفيز'!$M$5:$M$2004,MATCH($K42,'سجل التحفيز'!$AD$5:$AD$2004,0)))</f>
        <v/>
      </c>
      <c r="O42" s="9">
        <f>IF($K42="","",INDEX('سجل التحفيز'!$C$5:$C$2004,MATCH($K42,'سجل التحفيز'!$AD$5:$AD$2004,0)))</f>
        <v/>
      </c>
      <c r="P42" s="36">
        <f>IF($K42="","",INDEX('سجل التحفيز'!$D$5:$D$2004,MATCH($K42,'سجل التحفيز'!$AD$5:$AD$2004,0)))</f>
        <v/>
      </c>
      <c r="Q42" s="9">
        <f>IF($K42="","",INDEX('سجل التحفيز'!$E$5:$E$2004,MATCH($K42,'سجل التحفيز'!$AD$5:$AD$2004,0)))</f>
        <v/>
      </c>
      <c r="R42" s="9">
        <f>IF($K42="","",INDEX('سجل التحفيز'!$F$5:$F$2004,MATCH($K42,'سجل التحفيز'!$AD$5:$AD$2004,0)))</f>
        <v/>
      </c>
      <c r="S42" s="35">
        <f>IF($K42="","",INDEX('سجل التحفيز'!$G$5:$G$2004,MATCH($K42,'سجل التحفيز'!$AD$5:$AD$2004,0)))</f>
        <v/>
      </c>
    </row>
    <row r="43">
      <c r="B43" s="34">
        <f>IFERROR(INDEX(الموظفات!$B$5:$B$304,MATCH(6,الموظفات!$X$5:$X$304,0)),"")</f>
        <v/>
      </c>
      <c r="C43" s="34">
        <f>IF(B43="","",INDEX(الموظفات!$D$5:$D$304,MATCH(B43,الموظفات!$B$5:$B$304,0))&amp;"")</f>
        <v/>
      </c>
      <c r="D43" s="35">
        <f>IF(B43="","",COUNTIFS('سجل التحفيز'!$AD$5:$AD$2004,"&gt;0",'سجل التحفيز'!$B$5:$B$2004,B43))</f>
        <v/>
      </c>
      <c r="E43" s="35">
        <f>IF(B43="","",COUNTIFS('سجل التحفيز'!$AD$5:$AD$2004,"&gt;0",'سجل التحفيز'!$B$5:$B$2004,B43,'سجل التحفيز'!$D$5:$D$2004,"ذهبي"))</f>
        <v/>
      </c>
      <c r="F43" s="35">
        <f>IF(B43="","",SUMIFS('سجل التحفيز'!$G$5:$G$2004,'سجل التحفيز'!$AD$5:$AD$2004,"&gt;0",'سجل التحفيز'!$B$5:$B$2004,B43))</f>
        <v/>
      </c>
      <c r="G43" s="35">
        <f>IF(B43="","",COUNTIF($D$38:$D$187,"&gt;"&amp;D43)+1)</f>
        <v/>
      </c>
      <c r="H43" s="35">
        <f>IF(B43="","",INDEX(الموظفات!$L$5:$L$304,MATCH(B43,الموظفات!$B$5:$B$304,0)))</f>
        <v/>
      </c>
      <c r="K43" s="36">
        <f>IF(6&gt;$B$10,"",6)</f>
        <v/>
      </c>
      <c r="L43" s="37">
        <f>IF($K43="","",INDEX('سجل التحفيز'!$A$5:$A$2004,MATCH($K43,'سجل التحفيز'!$AD$5:$AD$2004,0)))</f>
        <v/>
      </c>
      <c r="M43" s="9">
        <f>IF($K43="","",INDEX('سجل التحفيز'!$B$5:$B$2004,MATCH($K43,'سجل التحفيز'!$AD$5:$AD$2004,0)))</f>
        <v/>
      </c>
      <c r="N43" s="9">
        <f>IF($K43="","",INDEX('سجل التحفيز'!$M$5:$M$2004,MATCH($K43,'سجل التحفيز'!$AD$5:$AD$2004,0)))</f>
        <v/>
      </c>
      <c r="O43" s="9">
        <f>IF($K43="","",INDEX('سجل التحفيز'!$C$5:$C$2004,MATCH($K43,'سجل التحفيز'!$AD$5:$AD$2004,0)))</f>
        <v/>
      </c>
      <c r="P43" s="36">
        <f>IF($K43="","",INDEX('سجل التحفيز'!$D$5:$D$2004,MATCH($K43,'سجل التحفيز'!$AD$5:$AD$2004,0)))</f>
        <v/>
      </c>
      <c r="Q43" s="9">
        <f>IF($K43="","",INDEX('سجل التحفيز'!$E$5:$E$2004,MATCH($K43,'سجل التحفيز'!$AD$5:$AD$2004,0)))</f>
        <v/>
      </c>
      <c r="R43" s="9">
        <f>IF($K43="","",INDEX('سجل التحفيز'!$F$5:$F$2004,MATCH($K43,'سجل التحفيز'!$AD$5:$AD$2004,0)))</f>
        <v/>
      </c>
      <c r="S43" s="35">
        <f>IF($K43="","",INDEX('سجل التحفيز'!$G$5:$G$2004,MATCH($K43,'سجل التحفيز'!$AD$5:$AD$2004,0)))</f>
        <v/>
      </c>
    </row>
    <row r="44">
      <c r="B44" s="34">
        <f>IFERROR(INDEX(الموظفات!$B$5:$B$304,MATCH(7,الموظفات!$X$5:$X$304,0)),"")</f>
        <v/>
      </c>
      <c r="C44" s="34">
        <f>IF(B44="","",INDEX(الموظفات!$D$5:$D$304,MATCH(B44,الموظفات!$B$5:$B$304,0))&amp;"")</f>
        <v/>
      </c>
      <c r="D44" s="35">
        <f>IF(B44="","",COUNTIFS('سجل التحفيز'!$AD$5:$AD$2004,"&gt;0",'سجل التحفيز'!$B$5:$B$2004,B44))</f>
        <v/>
      </c>
      <c r="E44" s="35">
        <f>IF(B44="","",COUNTIFS('سجل التحفيز'!$AD$5:$AD$2004,"&gt;0",'سجل التحفيز'!$B$5:$B$2004,B44,'سجل التحفيز'!$D$5:$D$2004,"ذهبي"))</f>
        <v/>
      </c>
      <c r="F44" s="35">
        <f>IF(B44="","",SUMIFS('سجل التحفيز'!$G$5:$G$2004,'سجل التحفيز'!$AD$5:$AD$2004,"&gt;0",'سجل التحفيز'!$B$5:$B$2004,B44))</f>
        <v/>
      </c>
      <c r="G44" s="35">
        <f>IF(B44="","",COUNTIF($D$38:$D$187,"&gt;"&amp;D44)+1)</f>
        <v/>
      </c>
      <c r="H44" s="35">
        <f>IF(B44="","",INDEX(الموظفات!$L$5:$L$304,MATCH(B44,الموظفات!$B$5:$B$304,0)))</f>
        <v/>
      </c>
      <c r="K44" s="36">
        <f>IF(7&gt;$B$10,"",7)</f>
        <v/>
      </c>
      <c r="L44" s="37">
        <f>IF($K44="","",INDEX('سجل التحفيز'!$A$5:$A$2004,MATCH($K44,'سجل التحفيز'!$AD$5:$AD$2004,0)))</f>
        <v/>
      </c>
      <c r="M44" s="9">
        <f>IF($K44="","",INDEX('سجل التحفيز'!$B$5:$B$2004,MATCH($K44,'سجل التحفيز'!$AD$5:$AD$2004,0)))</f>
        <v/>
      </c>
      <c r="N44" s="9">
        <f>IF($K44="","",INDEX('سجل التحفيز'!$M$5:$M$2004,MATCH($K44,'سجل التحفيز'!$AD$5:$AD$2004,0)))</f>
        <v/>
      </c>
      <c r="O44" s="9">
        <f>IF($K44="","",INDEX('سجل التحفيز'!$C$5:$C$2004,MATCH($K44,'سجل التحفيز'!$AD$5:$AD$2004,0)))</f>
        <v/>
      </c>
      <c r="P44" s="36">
        <f>IF($K44="","",INDEX('سجل التحفيز'!$D$5:$D$2004,MATCH($K44,'سجل التحفيز'!$AD$5:$AD$2004,0)))</f>
        <v/>
      </c>
      <c r="Q44" s="9">
        <f>IF($K44="","",INDEX('سجل التحفيز'!$E$5:$E$2004,MATCH($K44,'سجل التحفيز'!$AD$5:$AD$2004,0)))</f>
        <v/>
      </c>
      <c r="R44" s="9">
        <f>IF($K44="","",INDEX('سجل التحفيز'!$F$5:$F$2004,MATCH($K44,'سجل التحفيز'!$AD$5:$AD$2004,0)))</f>
        <v/>
      </c>
      <c r="S44" s="35">
        <f>IF($K44="","",INDEX('سجل التحفيز'!$G$5:$G$2004,MATCH($K44,'سجل التحفيز'!$AD$5:$AD$2004,0)))</f>
        <v/>
      </c>
    </row>
    <row r="45">
      <c r="B45" s="34">
        <f>IFERROR(INDEX(الموظفات!$B$5:$B$304,MATCH(8,الموظفات!$X$5:$X$304,0)),"")</f>
        <v/>
      </c>
      <c r="C45" s="34">
        <f>IF(B45="","",INDEX(الموظفات!$D$5:$D$304,MATCH(B45,الموظفات!$B$5:$B$304,0))&amp;"")</f>
        <v/>
      </c>
      <c r="D45" s="35">
        <f>IF(B45="","",COUNTIFS('سجل التحفيز'!$AD$5:$AD$2004,"&gt;0",'سجل التحفيز'!$B$5:$B$2004,B45))</f>
        <v/>
      </c>
      <c r="E45" s="35">
        <f>IF(B45="","",COUNTIFS('سجل التحفيز'!$AD$5:$AD$2004,"&gt;0",'سجل التحفيز'!$B$5:$B$2004,B45,'سجل التحفيز'!$D$5:$D$2004,"ذهبي"))</f>
        <v/>
      </c>
      <c r="F45" s="35">
        <f>IF(B45="","",SUMIFS('سجل التحفيز'!$G$5:$G$2004,'سجل التحفيز'!$AD$5:$AD$2004,"&gt;0",'سجل التحفيز'!$B$5:$B$2004,B45))</f>
        <v/>
      </c>
      <c r="G45" s="35">
        <f>IF(B45="","",COUNTIF($D$38:$D$187,"&gt;"&amp;D45)+1)</f>
        <v/>
      </c>
      <c r="H45" s="35">
        <f>IF(B45="","",INDEX(الموظفات!$L$5:$L$304,MATCH(B45,الموظفات!$B$5:$B$304,0)))</f>
        <v/>
      </c>
      <c r="K45" s="36">
        <f>IF(8&gt;$B$10,"",8)</f>
        <v/>
      </c>
      <c r="L45" s="37">
        <f>IF($K45="","",INDEX('سجل التحفيز'!$A$5:$A$2004,MATCH($K45,'سجل التحفيز'!$AD$5:$AD$2004,0)))</f>
        <v/>
      </c>
      <c r="M45" s="9">
        <f>IF($K45="","",INDEX('سجل التحفيز'!$B$5:$B$2004,MATCH($K45,'سجل التحفيز'!$AD$5:$AD$2004,0)))</f>
        <v/>
      </c>
      <c r="N45" s="9">
        <f>IF($K45="","",INDEX('سجل التحفيز'!$M$5:$M$2004,MATCH($K45,'سجل التحفيز'!$AD$5:$AD$2004,0)))</f>
        <v/>
      </c>
      <c r="O45" s="9">
        <f>IF($K45="","",INDEX('سجل التحفيز'!$C$5:$C$2004,MATCH($K45,'سجل التحفيز'!$AD$5:$AD$2004,0)))</f>
        <v/>
      </c>
      <c r="P45" s="36">
        <f>IF($K45="","",INDEX('سجل التحفيز'!$D$5:$D$2004,MATCH($K45,'سجل التحفيز'!$AD$5:$AD$2004,0)))</f>
        <v/>
      </c>
      <c r="Q45" s="9">
        <f>IF($K45="","",INDEX('سجل التحفيز'!$E$5:$E$2004,MATCH($K45,'سجل التحفيز'!$AD$5:$AD$2004,0)))</f>
        <v/>
      </c>
      <c r="R45" s="9">
        <f>IF($K45="","",INDEX('سجل التحفيز'!$F$5:$F$2004,MATCH($K45,'سجل التحفيز'!$AD$5:$AD$2004,0)))</f>
        <v/>
      </c>
      <c r="S45" s="35">
        <f>IF($K45="","",INDEX('سجل التحفيز'!$G$5:$G$2004,MATCH($K45,'سجل التحفيز'!$AD$5:$AD$2004,0)))</f>
        <v/>
      </c>
    </row>
    <row r="46">
      <c r="B46" s="34">
        <f>IFERROR(INDEX(الموظفات!$B$5:$B$304,MATCH(9,الموظفات!$X$5:$X$304,0)),"")</f>
        <v/>
      </c>
      <c r="C46" s="34">
        <f>IF(B46="","",INDEX(الموظفات!$D$5:$D$304,MATCH(B46,الموظفات!$B$5:$B$304,0))&amp;"")</f>
        <v/>
      </c>
      <c r="D46" s="35">
        <f>IF(B46="","",COUNTIFS('سجل التحفيز'!$AD$5:$AD$2004,"&gt;0",'سجل التحفيز'!$B$5:$B$2004,B46))</f>
        <v/>
      </c>
      <c r="E46" s="35">
        <f>IF(B46="","",COUNTIFS('سجل التحفيز'!$AD$5:$AD$2004,"&gt;0",'سجل التحفيز'!$B$5:$B$2004,B46,'سجل التحفيز'!$D$5:$D$2004,"ذهبي"))</f>
        <v/>
      </c>
      <c r="F46" s="35">
        <f>IF(B46="","",SUMIFS('سجل التحفيز'!$G$5:$G$2004,'سجل التحفيز'!$AD$5:$AD$2004,"&gt;0",'سجل التحفيز'!$B$5:$B$2004,B46))</f>
        <v/>
      </c>
      <c r="G46" s="35">
        <f>IF(B46="","",COUNTIF($D$38:$D$187,"&gt;"&amp;D46)+1)</f>
        <v/>
      </c>
      <c r="H46" s="35">
        <f>IF(B46="","",INDEX(الموظفات!$L$5:$L$304,MATCH(B46,الموظفات!$B$5:$B$304,0)))</f>
        <v/>
      </c>
      <c r="K46" s="36">
        <f>IF(9&gt;$B$10,"",9)</f>
        <v/>
      </c>
      <c r="L46" s="37">
        <f>IF($K46="","",INDEX('سجل التحفيز'!$A$5:$A$2004,MATCH($K46,'سجل التحفيز'!$AD$5:$AD$2004,0)))</f>
        <v/>
      </c>
      <c r="M46" s="9">
        <f>IF($K46="","",INDEX('سجل التحفيز'!$B$5:$B$2004,MATCH($K46,'سجل التحفيز'!$AD$5:$AD$2004,0)))</f>
        <v/>
      </c>
      <c r="N46" s="9">
        <f>IF($K46="","",INDEX('سجل التحفيز'!$M$5:$M$2004,MATCH($K46,'سجل التحفيز'!$AD$5:$AD$2004,0)))</f>
        <v/>
      </c>
      <c r="O46" s="9">
        <f>IF($K46="","",INDEX('سجل التحفيز'!$C$5:$C$2004,MATCH($K46,'سجل التحفيز'!$AD$5:$AD$2004,0)))</f>
        <v/>
      </c>
      <c r="P46" s="36">
        <f>IF($K46="","",INDEX('سجل التحفيز'!$D$5:$D$2004,MATCH($K46,'سجل التحفيز'!$AD$5:$AD$2004,0)))</f>
        <v/>
      </c>
      <c r="Q46" s="9">
        <f>IF($K46="","",INDEX('سجل التحفيز'!$E$5:$E$2004,MATCH($K46,'سجل التحفيز'!$AD$5:$AD$2004,0)))</f>
        <v/>
      </c>
      <c r="R46" s="9">
        <f>IF($K46="","",INDEX('سجل التحفيز'!$F$5:$F$2004,MATCH($K46,'سجل التحفيز'!$AD$5:$AD$2004,0)))</f>
        <v/>
      </c>
      <c r="S46" s="35">
        <f>IF($K46="","",INDEX('سجل التحفيز'!$G$5:$G$2004,MATCH($K46,'سجل التحفيز'!$AD$5:$AD$2004,0)))</f>
        <v/>
      </c>
    </row>
    <row r="47">
      <c r="B47" s="34">
        <f>IFERROR(INDEX(الموظفات!$B$5:$B$304,MATCH(10,الموظفات!$X$5:$X$304,0)),"")</f>
        <v/>
      </c>
      <c r="C47" s="34">
        <f>IF(B47="","",INDEX(الموظفات!$D$5:$D$304,MATCH(B47,الموظفات!$B$5:$B$304,0))&amp;"")</f>
        <v/>
      </c>
      <c r="D47" s="35">
        <f>IF(B47="","",COUNTIFS('سجل التحفيز'!$AD$5:$AD$2004,"&gt;0",'سجل التحفيز'!$B$5:$B$2004,B47))</f>
        <v/>
      </c>
      <c r="E47" s="35">
        <f>IF(B47="","",COUNTIFS('سجل التحفيز'!$AD$5:$AD$2004,"&gt;0",'سجل التحفيز'!$B$5:$B$2004,B47,'سجل التحفيز'!$D$5:$D$2004,"ذهبي"))</f>
        <v/>
      </c>
      <c r="F47" s="35">
        <f>IF(B47="","",SUMIFS('سجل التحفيز'!$G$5:$G$2004,'سجل التحفيز'!$AD$5:$AD$2004,"&gt;0",'سجل التحفيز'!$B$5:$B$2004,B47))</f>
        <v/>
      </c>
      <c r="G47" s="35">
        <f>IF(B47="","",COUNTIF($D$38:$D$187,"&gt;"&amp;D47)+1)</f>
        <v/>
      </c>
      <c r="H47" s="35">
        <f>IF(B47="","",INDEX(الموظفات!$L$5:$L$304,MATCH(B47,الموظفات!$B$5:$B$304,0)))</f>
        <v/>
      </c>
      <c r="K47" s="36">
        <f>IF(10&gt;$B$10,"",10)</f>
        <v/>
      </c>
      <c r="L47" s="37">
        <f>IF($K47="","",INDEX('سجل التحفيز'!$A$5:$A$2004,MATCH($K47,'سجل التحفيز'!$AD$5:$AD$2004,0)))</f>
        <v/>
      </c>
      <c r="M47" s="9">
        <f>IF($K47="","",INDEX('سجل التحفيز'!$B$5:$B$2004,MATCH($K47,'سجل التحفيز'!$AD$5:$AD$2004,0)))</f>
        <v/>
      </c>
      <c r="N47" s="9">
        <f>IF($K47="","",INDEX('سجل التحفيز'!$M$5:$M$2004,MATCH($K47,'سجل التحفيز'!$AD$5:$AD$2004,0)))</f>
        <v/>
      </c>
      <c r="O47" s="9">
        <f>IF($K47="","",INDEX('سجل التحفيز'!$C$5:$C$2004,MATCH($K47,'سجل التحفيز'!$AD$5:$AD$2004,0)))</f>
        <v/>
      </c>
      <c r="P47" s="36">
        <f>IF($K47="","",INDEX('سجل التحفيز'!$D$5:$D$2004,MATCH($K47,'سجل التحفيز'!$AD$5:$AD$2004,0)))</f>
        <v/>
      </c>
      <c r="Q47" s="9">
        <f>IF($K47="","",INDEX('سجل التحفيز'!$E$5:$E$2004,MATCH($K47,'سجل التحفيز'!$AD$5:$AD$2004,0)))</f>
        <v/>
      </c>
      <c r="R47" s="9">
        <f>IF($K47="","",INDEX('سجل التحفيز'!$F$5:$F$2004,MATCH($K47,'سجل التحفيز'!$AD$5:$AD$2004,0)))</f>
        <v/>
      </c>
      <c r="S47" s="35">
        <f>IF($K47="","",INDEX('سجل التحفيز'!$G$5:$G$2004,MATCH($K47,'سجل التحفيز'!$AD$5:$AD$2004,0)))</f>
        <v/>
      </c>
    </row>
    <row r="48">
      <c r="B48" s="34">
        <f>IFERROR(INDEX(الموظفات!$B$5:$B$304,MATCH(11,الموظفات!$X$5:$X$304,0)),"")</f>
        <v/>
      </c>
      <c r="C48" s="34">
        <f>IF(B48="","",INDEX(الموظفات!$D$5:$D$304,MATCH(B48,الموظفات!$B$5:$B$304,0))&amp;"")</f>
        <v/>
      </c>
      <c r="D48" s="35">
        <f>IF(B48="","",COUNTIFS('سجل التحفيز'!$AD$5:$AD$2004,"&gt;0",'سجل التحفيز'!$B$5:$B$2004,B48))</f>
        <v/>
      </c>
      <c r="E48" s="35">
        <f>IF(B48="","",COUNTIFS('سجل التحفيز'!$AD$5:$AD$2004,"&gt;0",'سجل التحفيز'!$B$5:$B$2004,B48,'سجل التحفيز'!$D$5:$D$2004,"ذهبي"))</f>
        <v/>
      </c>
      <c r="F48" s="35">
        <f>IF(B48="","",SUMIFS('سجل التحفيز'!$G$5:$G$2004,'سجل التحفيز'!$AD$5:$AD$2004,"&gt;0",'سجل التحفيز'!$B$5:$B$2004,B48))</f>
        <v/>
      </c>
      <c r="G48" s="35">
        <f>IF(B48="","",COUNTIF($D$38:$D$187,"&gt;"&amp;D48)+1)</f>
        <v/>
      </c>
      <c r="H48" s="35">
        <f>IF(B48="","",INDEX(الموظفات!$L$5:$L$304,MATCH(B48,الموظفات!$B$5:$B$304,0)))</f>
        <v/>
      </c>
      <c r="K48" s="36">
        <f>IF(11&gt;$B$10,"",11)</f>
        <v/>
      </c>
      <c r="L48" s="37">
        <f>IF($K48="","",INDEX('سجل التحفيز'!$A$5:$A$2004,MATCH($K48,'سجل التحفيز'!$AD$5:$AD$2004,0)))</f>
        <v/>
      </c>
      <c r="M48" s="9">
        <f>IF($K48="","",INDEX('سجل التحفيز'!$B$5:$B$2004,MATCH($K48,'سجل التحفيز'!$AD$5:$AD$2004,0)))</f>
        <v/>
      </c>
      <c r="N48" s="9">
        <f>IF($K48="","",INDEX('سجل التحفيز'!$M$5:$M$2004,MATCH($K48,'سجل التحفيز'!$AD$5:$AD$2004,0)))</f>
        <v/>
      </c>
      <c r="O48" s="9">
        <f>IF($K48="","",INDEX('سجل التحفيز'!$C$5:$C$2004,MATCH($K48,'سجل التحفيز'!$AD$5:$AD$2004,0)))</f>
        <v/>
      </c>
      <c r="P48" s="36">
        <f>IF($K48="","",INDEX('سجل التحفيز'!$D$5:$D$2004,MATCH($K48,'سجل التحفيز'!$AD$5:$AD$2004,0)))</f>
        <v/>
      </c>
      <c r="Q48" s="9">
        <f>IF($K48="","",INDEX('سجل التحفيز'!$E$5:$E$2004,MATCH($K48,'سجل التحفيز'!$AD$5:$AD$2004,0)))</f>
        <v/>
      </c>
      <c r="R48" s="9">
        <f>IF($K48="","",INDEX('سجل التحفيز'!$F$5:$F$2004,MATCH($K48,'سجل التحفيز'!$AD$5:$AD$2004,0)))</f>
        <v/>
      </c>
      <c r="S48" s="35">
        <f>IF($K48="","",INDEX('سجل التحفيز'!$G$5:$G$2004,MATCH($K48,'سجل التحفيز'!$AD$5:$AD$2004,0)))</f>
        <v/>
      </c>
    </row>
    <row r="49">
      <c r="B49" s="34">
        <f>IFERROR(INDEX(الموظفات!$B$5:$B$304,MATCH(12,الموظفات!$X$5:$X$304,0)),"")</f>
        <v/>
      </c>
      <c r="C49" s="34">
        <f>IF(B49="","",INDEX(الموظفات!$D$5:$D$304,MATCH(B49,الموظفات!$B$5:$B$304,0))&amp;"")</f>
        <v/>
      </c>
      <c r="D49" s="35">
        <f>IF(B49="","",COUNTIFS('سجل التحفيز'!$AD$5:$AD$2004,"&gt;0",'سجل التحفيز'!$B$5:$B$2004,B49))</f>
        <v/>
      </c>
      <c r="E49" s="35">
        <f>IF(B49="","",COUNTIFS('سجل التحفيز'!$AD$5:$AD$2004,"&gt;0",'سجل التحفيز'!$B$5:$B$2004,B49,'سجل التحفيز'!$D$5:$D$2004,"ذهبي"))</f>
        <v/>
      </c>
      <c r="F49" s="35">
        <f>IF(B49="","",SUMIFS('سجل التحفيز'!$G$5:$G$2004,'سجل التحفيز'!$AD$5:$AD$2004,"&gt;0",'سجل التحفيز'!$B$5:$B$2004,B49))</f>
        <v/>
      </c>
      <c r="G49" s="35">
        <f>IF(B49="","",COUNTIF($D$38:$D$187,"&gt;"&amp;D49)+1)</f>
        <v/>
      </c>
      <c r="H49" s="35">
        <f>IF(B49="","",INDEX(الموظفات!$L$5:$L$304,MATCH(B49,الموظفات!$B$5:$B$304,0)))</f>
        <v/>
      </c>
      <c r="K49" s="36">
        <f>IF(12&gt;$B$10,"",12)</f>
        <v/>
      </c>
      <c r="L49" s="37">
        <f>IF($K49="","",INDEX('سجل التحفيز'!$A$5:$A$2004,MATCH($K49,'سجل التحفيز'!$AD$5:$AD$2004,0)))</f>
        <v/>
      </c>
      <c r="M49" s="9">
        <f>IF($K49="","",INDEX('سجل التحفيز'!$B$5:$B$2004,MATCH($K49,'سجل التحفيز'!$AD$5:$AD$2004,0)))</f>
        <v/>
      </c>
      <c r="N49" s="9">
        <f>IF($K49="","",INDEX('سجل التحفيز'!$M$5:$M$2004,MATCH($K49,'سجل التحفيز'!$AD$5:$AD$2004,0)))</f>
        <v/>
      </c>
      <c r="O49" s="9">
        <f>IF($K49="","",INDEX('سجل التحفيز'!$C$5:$C$2004,MATCH($K49,'سجل التحفيز'!$AD$5:$AD$2004,0)))</f>
        <v/>
      </c>
      <c r="P49" s="36">
        <f>IF($K49="","",INDEX('سجل التحفيز'!$D$5:$D$2004,MATCH($K49,'سجل التحفيز'!$AD$5:$AD$2004,0)))</f>
        <v/>
      </c>
      <c r="Q49" s="9">
        <f>IF($K49="","",INDEX('سجل التحفيز'!$E$5:$E$2004,MATCH($K49,'سجل التحفيز'!$AD$5:$AD$2004,0)))</f>
        <v/>
      </c>
      <c r="R49" s="9">
        <f>IF($K49="","",INDEX('سجل التحفيز'!$F$5:$F$2004,MATCH($K49,'سجل التحفيز'!$AD$5:$AD$2004,0)))</f>
        <v/>
      </c>
      <c r="S49" s="35">
        <f>IF($K49="","",INDEX('سجل التحفيز'!$G$5:$G$2004,MATCH($K49,'سجل التحفيز'!$AD$5:$AD$2004,0)))</f>
        <v/>
      </c>
    </row>
    <row r="50">
      <c r="B50" s="34">
        <f>IFERROR(INDEX(الموظفات!$B$5:$B$304,MATCH(13,الموظفات!$X$5:$X$304,0)),"")</f>
        <v/>
      </c>
      <c r="C50" s="34">
        <f>IF(B50="","",INDEX(الموظفات!$D$5:$D$304,MATCH(B50,الموظفات!$B$5:$B$304,0))&amp;"")</f>
        <v/>
      </c>
      <c r="D50" s="35">
        <f>IF(B50="","",COUNTIFS('سجل التحفيز'!$AD$5:$AD$2004,"&gt;0",'سجل التحفيز'!$B$5:$B$2004,B50))</f>
        <v/>
      </c>
      <c r="E50" s="35">
        <f>IF(B50="","",COUNTIFS('سجل التحفيز'!$AD$5:$AD$2004,"&gt;0",'سجل التحفيز'!$B$5:$B$2004,B50,'سجل التحفيز'!$D$5:$D$2004,"ذهبي"))</f>
        <v/>
      </c>
      <c r="F50" s="35">
        <f>IF(B50="","",SUMIFS('سجل التحفيز'!$G$5:$G$2004,'سجل التحفيز'!$AD$5:$AD$2004,"&gt;0",'سجل التحفيز'!$B$5:$B$2004,B50))</f>
        <v/>
      </c>
      <c r="G50" s="35">
        <f>IF(B50="","",COUNTIF($D$38:$D$187,"&gt;"&amp;D50)+1)</f>
        <v/>
      </c>
      <c r="H50" s="35">
        <f>IF(B50="","",INDEX(الموظفات!$L$5:$L$304,MATCH(B50,الموظفات!$B$5:$B$304,0)))</f>
        <v/>
      </c>
      <c r="K50" s="36">
        <f>IF(13&gt;$B$10,"",13)</f>
        <v/>
      </c>
      <c r="L50" s="37">
        <f>IF($K50="","",INDEX('سجل التحفيز'!$A$5:$A$2004,MATCH($K50,'سجل التحفيز'!$AD$5:$AD$2004,0)))</f>
        <v/>
      </c>
      <c r="M50" s="9">
        <f>IF($K50="","",INDEX('سجل التحفيز'!$B$5:$B$2004,MATCH($K50,'سجل التحفيز'!$AD$5:$AD$2004,0)))</f>
        <v/>
      </c>
      <c r="N50" s="9">
        <f>IF($K50="","",INDEX('سجل التحفيز'!$M$5:$M$2004,MATCH($K50,'سجل التحفيز'!$AD$5:$AD$2004,0)))</f>
        <v/>
      </c>
      <c r="O50" s="9">
        <f>IF($K50="","",INDEX('سجل التحفيز'!$C$5:$C$2004,MATCH($K50,'سجل التحفيز'!$AD$5:$AD$2004,0)))</f>
        <v/>
      </c>
      <c r="P50" s="36">
        <f>IF($K50="","",INDEX('سجل التحفيز'!$D$5:$D$2004,MATCH($K50,'سجل التحفيز'!$AD$5:$AD$2004,0)))</f>
        <v/>
      </c>
      <c r="Q50" s="9">
        <f>IF($K50="","",INDEX('سجل التحفيز'!$E$5:$E$2004,MATCH($K50,'سجل التحفيز'!$AD$5:$AD$2004,0)))</f>
        <v/>
      </c>
      <c r="R50" s="9">
        <f>IF($K50="","",INDEX('سجل التحفيز'!$F$5:$F$2004,MATCH($K50,'سجل التحفيز'!$AD$5:$AD$2004,0)))</f>
        <v/>
      </c>
      <c r="S50" s="35">
        <f>IF($K50="","",INDEX('سجل التحفيز'!$G$5:$G$2004,MATCH($K50,'سجل التحفيز'!$AD$5:$AD$2004,0)))</f>
        <v/>
      </c>
    </row>
    <row r="51">
      <c r="B51" s="34">
        <f>IFERROR(INDEX(الموظفات!$B$5:$B$304,MATCH(14,الموظفات!$X$5:$X$304,0)),"")</f>
        <v/>
      </c>
      <c r="C51" s="34">
        <f>IF(B51="","",INDEX(الموظفات!$D$5:$D$304,MATCH(B51,الموظفات!$B$5:$B$304,0))&amp;"")</f>
        <v/>
      </c>
      <c r="D51" s="35">
        <f>IF(B51="","",COUNTIFS('سجل التحفيز'!$AD$5:$AD$2004,"&gt;0",'سجل التحفيز'!$B$5:$B$2004,B51))</f>
        <v/>
      </c>
      <c r="E51" s="35">
        <f>IF(B51="","",COUNTIFS('سجل التحفيز'!$AD$5:$AD$2004,"&gt;0",'سجل التحفيز'!$B$5:$B$2004,B51,'سجل التحفيز'!$D$5:$D$2004,"ذهبي"))</f>
        <v/>
      </c>
      <c r="F51" s="35">
        <f>IF(B51="","",SUMIFS('سجل التحفيز'!$G$5:$G$2004,'سجل التحفيز'!$AD$5:$AD$2004,"&gt;0",'سجل التحفيز'!$B$5:$B$2004,B51))</f>
        <v/>
      </c>
      <c r="G51" s="35">
        <f>IF(B51="","",COUNTIF($D$38:$D$187,"&gt;"&amp;D51)+1)</f>
        <v/>
      </c>
      <c r="H51" s="35">
        <f>IF(B51="","",INDEX(الموظفات!$L$5:$L$304,MATCH(B51,الموظفات!$B$5:$B$304,0)))</f>
        <v/>
      </c>
      <c r="K51" s="36">
        <f>IF(14&gt;$B$10,"",14)</f>
        <v/>
      </c>
      <c r="L51" s="37">
        <f>IF($K51="","",INDEX('سجل التحفيز'!$A$5:$A$2004,MATCH($K51,'سجل التحفيز'!$AD$5:$AD$2004,0)))</f>
        <v/>
      </c>
      <c r="M51" s="9">
        <f>IF($K51="","",INDEX('سجل التحفيز'!$B$5:$B$2004,MATCH($K51,'سجل التحفيز'!$AD$5:$AD$2004,0)))</f>
        <v/>
      </c>
      <c r="N51" s="9">
        <f>IF($K51="","",INDEX('سجل التحفيز'!$M$5:$M$2004,MATCH($K51,'سجل التحفيز'!$AD$5:$AD$2004,0)))</f>
        <v/>
      </c>
      <c r="O51" s="9">
        <f>IF($K51="","",INDEX('سجل التحفيز'!$C$5:$C$2004,MATCH($K51,'سجل التحفيز'!$AD$5:$AD$2004,0)))</f>
        <v/>
      </c>
      <c r="P51" s="36">
        <f>IF($K51="","",INDEX('سجل التحفيز'!$D$5:$D$2004,MATCH($K51,'سجل التحفيز'!$AD$5:$AD$2004,0)))</f>
        <v/>
      </c>
      <c r="Q51" s="9">
        <f>IF($K51="","",INDEX('سجل التحفيز'!$E$5:$E$2004,MATCH($K51,'سجل التحفيز'!$AD$5:$AD$2004,0)))</f>
        <v/>
      </c>
      <c r="R51" s="9">
        <f>IF($K51="","",INDEX('سجل التحفيز'!$F$5:$F$2004,MATCH($K51,'سجل التحفيز'!$AD$5:$AD$2004,0)))</f>
        <v/>
      </c>
      <c r="S51" s="35">
        <f>IF($K51="","",INDEX('سجل التحفيز'!$G$5:$G$2004,MATCH($K51,'سجل التحفيز'!$AD$5:$AD$2004,0)))</f>
        <v/>
      </c>
    </row>
    <row r="52">
      <c r="B52" s="34">
        <f>IFERROR(INDEX(الموظفات!$B$5:$B$304,MATCH(15,الموظفات!$X$5:$X$304,0)),"")</f>
        <v/>
      </c>
      <c r="C52" s="34">
        <f>IF(B52="","",INDEX(الموظفات!$D$5:$D$304,MATCH(B52,الموظفات!$B$5:$B$304,0))&amp;"")</f>
        <v/>
      </c>
      <c r="D52" s="35">
        <f>IF(B52="","",COUNTIFS('سجل التحفيز'!$AD$5:$AD$2004,"&gt;0",'سجل التحفيز'!$B$5:$B$2004,B52))</f>
        <v/>
      </c>
      <c r="E52" s="35">
        <f>IF(B52="","",COUNTIFS('سجل التحفيز'!$AD$5:$AD$2004,"&gt;0",'سجل التحفيز'!$B$5:$B$2004,B52,'سجل التحفيز'!$D$5:$D$2004,"ذهبي"))</f>
        <v/>
      </c>
      <c r="F52" s="35">
        <f>IF(B52="","",SUMIFS('سجل التحفيز'!$G$5:$G$2004,'سجل التحفيز'!$AD$5:$AD$2004,"&gt;0",'سجل التحفيز'!$B$5:$B$2004,B52))</f>
        <v/>
      </c>
      <c r="G52" s="35">
        <f>IF(B52="","",COUNTIF($D$38:$D$187,"&gt;"&amp;D52)+1)</f>
        <v/>
      </c>
      <c r="H52" s="35">
        <f>IF(B52="","",INDEX(الموظفات!$L$5:$L$304,MATCH(B52,الموظفات!$B$5:$B$304,0)))</f>
        <v/>
      </c>
      <c r="K52" s="36">
        <f>IF(15&gt;$B$10,"",15)</f>
        <v/>
      </c>
      <c r="L52" s="37">
        <f>IF($K52="","",INDEX('سجل التحفيز'!$A$5:$A$2004,MATCH($K52,'سجل التحفيز'!$AD$5:$AD$2004,0)))</f>
        <v/>
      </c>
      <c r="M52" s="9">
        <f>IF($K52="","",INDEX('سجل التحفيز'!$B$5:$B$2004,MATCH($K52,'سجل التحفيز'!$AD$5:$AD$2004,0)))</f>
        <v/>
      </c>
      <c r="N52" s="9">
        <f>IF($K52="","",INDEX('سجل التحفيز'!$M$5:$M$2004,MATCH($K52,'سجل التحفيز'!$AD$5:$AD$2004,0)))</f>
        <v/>
      </c>
      <c r="O52" s="9">
        <f>IF($K52="","",INDEX('سجل التحفيز'!$C$5:$C$2004,MATCH($K52,'سجل التحفيز'!$AD$5:$AD$2004,0)))</f>
        <v/>
      </c>
      <c r="P52" s="36">
        <f>IF($K52="","",INDEX('سجل التحفيز'!$D$5:$D$2004,MATCH($K52,'سجل التحفيز'!$AD$5:$AD$2004,0)))</f>
        <v/>
      </c>
      <c r="Q52" s="9">
        <f>IF($K52="","",INDEX('سجل التحفيز'!$E$5:$E$2004,MATCH($K52,'سجل التحفيز'!$AD$5:$AD$2004,0)))</f>
        <v/>
      </c>
      <c r="R52" s="9">
        <f>IF($K52="","",INDEX('سجل التحفيز'!$F$5:$F$2004,MATCH($K52,'سجل التحفيز'!$AD$5:$AD$2004,0)))</f>
        <v/>
      </c>
      <c r="S52" s="35">
        <f>IF($K52="","",INDEX('سجل التحفيز'!$G$5:$G$2004,MATCH($K52,'سجل التحفيز'!$AD$5:$AD$2004,0)))</f>
        <v/>
      </c>
    </row>
    <row r="53">
      <c r="B53" s="34">
        <f>IFERROR(INDEX(الموظفات!$B$5:$B$304,MATCH(16,الموظفات!$X$5:$X$304,0)),"")</f>
        <v/>
      </c>
      <c r="C53" s="34">
        <f>IF(B53="","",INDEX(الموظفات!$D$5:$D$304,MATCH(B53,الموظفات!$B$5:$B$304,0))&amp;"")</f>
        <v/>
      </c>
      <c r="D53" s="35">
        <f>IF(B53="","",COUNTIFS('سجل التحفيز'!$AD$5:$AD$2004,"&gt;0",'سجل التحفيز'!$B$5:$B$2004,B53))</f>
        <v/>
      </c>
      <c r="E53" s="35">
        <f>IF(B53="","",COUNTIFS('سجل التحفيز'!$AD$5:$AD$2004,"&gt;0",'سجل التحفيز'!$B$5:$B$2004,B53,'سجل التحفيز'!$D$5:$D$2004,"ذهبي"))</f>
        <v/>
      </c>
      <c r="F53" s="35">
        <f>IF(B53="","",SUMIFS('سجل التحفيز'!$G$5:$G$2004,'سجل التحفيز'!$AD$5:$AD$2004,"&gt;0",'سجل التحفيز'!$B$5:$B$2004,B53))</f>
        <v/>
      </c>
      <c r="G53" s="35">
        <f>IF(B53="","",COUNTIF($D$38:$D$187,"&gt;"&amp;D53)+1)</f>
        <v/>
      </c>
      <c r="H53" s="35">
        <f>IF(B53="","",INDEX(الموظفات!$L$5:$L$304,MATCH(B53,الموظفات!$B$5:$B$304,0)))</f>
        <v/>
      </c>
      <c r="K53" s="36">
        <f>IF(16&gt;$B$10,"",16)</f>
        <v/>
      </c>
      <c r="L53" s="37">
        <f>IF($K53="","",INDEX('سجل التحفيز'!$A$5:$A$2004,MATCH($K53,'سجل التحفيز'!$AD$5:$AD$2004,0)))</f>
        <v/>
      </c>
      <c r="M53" s="9">
        <f>IF($K53="","",INDEX('سجل التحفيز'!$B$5:$B$2004,MATCH($K53,'سجل التحفيز'!$AD$5:$AD$2004,0)))</f>
        <v/>
      </c>
      <c r="N53" s="9">
        <f>IF($K53="","",INDEX('سجل التحفيز'!$M$5:$M$2004,MATCH($K53,'سجل التحفيز'!$AD$5:$AD$2004,0)))</f>
        <v/>
      </c>
      <c r="O53" s="9">
        <f>IF($K53="","",INDEX('سجل التحفيز'!$C$5:$C$2004,MATCH($K53,'سجل التحفيز'!$AD$5:$AD$2004,0)))</f>
        <v/>
      </c>
      <c r="P53" s="36">
        <f>IF($K53="","",INDEX('سجل التحفيز'!$D$5:$D$2004,MATCH($K53,'سجل التحفيز'!$AD$5:$AD$2004,0)))</f>
        <v/>
      </c>
      <c r="Q53" s="9">
        <f>IF($K53="","",INDEX('سجل التحفيز'!$E$5:$E$2004,MATCH($K53,'سجل التحفيز'!$AD$5:$AD$2004,0)))</f>
        <v/>
      </c>
      <c r="R53" s="9">
        <f>IF($K53="","",INDEX('سجل التحفيز'!$F$5:$F$2004,MATCH($K53,'سجل التحفيز'!$AD$5:$AD$2004,0)))</f>
        <v/>
      </c>
      <c r="S53" s="35">
        <f>IF($K53="","",INDEX('سجل التحفيز'!$G$5:$G$2004,MATCH($K53,'سجل التحفيز'!$AD$5:$AD$2004,0)))</f>
        <v/>
      </c>
    </row>
    <row r="54">
      <c r="B54" s="34">
        <f>IFERROR(INDEX(الموظفات!$B$5:$B$304,MATCH(17,الموظفات!$X$5:$X$304,0)),"")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التحفيز'!$AD$5:$AD$2004,"&gt;0",'سجل التحفيز'!$B$5:$B$2004,B54))</f>
        <v/>
      </c>
      <c r="E54" s="35">
        <f>IF(B54="","",COUNTIFS('سجل التحفيز'!$AD$5:$AD$2004,"&gt;0",'سجل التحفيز'!$B$5:$B$2004,B54,'سجل التحفيز'!$D$5:$D$2004,"ذهبي"))</f>
        <v/>
      </c>
      <c r="F54" s="35">
        <f>IF(B54="","",SUMIFS('سجل التحفيز'!$G$5:$G$2004,'سجل التحفيز'!$AD$5:$AD$2004,"&gt;0",'سجل التحفيز'!$B$5:$B$2004,B54))</f>
        <v/>
      </c>
      <c r="G54" s="35">
        <f>IF(B54="","",COUNTIF($D$38:$D$187,"&gt;"&amp;D54)+1)</f>
        <v/>
      </c>
      <c r="H54" s="35">
        <f>IF(B54="","",INDEX(الموظفات!$L$5:$L$304,MATCH(B54,الموظفات!$B$5:$B$304,0)))</f>
        <v/>
      </c>
      <c r="K54" s="36">
        <f>IF(17&gt;$B$10,"",17)</f>
        <v/>
      </c>
      <c r="L54" s="37">
        <f>IF($K54="","",INDEX('سجل التحفيز'!$A$5:$A$2004,MATCH($K54,'سجل التحفيز'!$AD$5:$AD$2004,0)))</f>
        <v/>
      </c>
      <c r="M54" s="9">
        <f>IF($K54="","",INDEX('سجل التحفيز'!$B$5:$B$2004,MATCH($K54,'سجل التحفيز'!$AD$5:$AD$2004,0)))</f>
        <v/>
      </c>
      <c r="N54" s="9">
        <f>IF($K54="","",INDEX('سجل التحفيز'!$M$5:$M$2004,MATCH($K54,'سجل التحفيز'!$AD$5:$AD$2004,0)))</f>
        <v/>
      </c>
      <c r="O54" s="9">
        <f>IF($K54="","",INDEX('سجل التحفيز'!$C$5:$C$2004,MATCH($K54,'سجل التحفيز'!$AD$5:$AD$2004,0)))</f>
        <v/>
      </c>
      <c r="P54" s="36">
        <f>IF($K54="","",INDEX('سجل التحفيز'!$D$5:$D$2004,MATCH($K54,'سجل التحفيز'!$AD$5:$AD$2004,0)))</f>
        <v/>
      </c>
      <c r="Q54" s="9">
        <f>IF($K54="","",INDEX('سجل التحفيز'!$E$5:$E$2004,MATCH($K54,'سجل التحفيز'!$AD$5:$AD$2004,0)))</f>
        <v/>
      </c>
      <c r="R54" s="9">
        <f>IF($K54="","",INDEX('سجل التحفيز'!$F$5:$F$2004,MATCH($K54,'سجل التحفيز'!$AD$5:$AD$2004,0)))</f>
        <v/>
      </c>
      <c r="S54" s="35">
        <f>IF($K54="","",INDEX('سجل التحفيز'!$G$5:$G$2004,MATCH($K54,'سجل التحفيز'!$AD$5:$AD$2004,0)))</f>
        <v/>
      </c>
    </row>
    <row r="55">
      <c r="B55" s="34">
        <f>IFERROR(INDEX(الموظفات!$B$5:$B$304,MATCH(18,الموظفات!$X$5:$X$304,0)),"")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التحفيز'!$AD$5:$AD$2004,"&gt;0",'سجل التحفيز'!$B$5:$B$2004,B55))</f>
        <v/>
      </c>
      <c r="E55" s="35">
        <f>IF(B55="","",COUNTIFS('سجل التحفيز'!$AD$5:$AD$2004,"&gt;0",'سجل التحفيز'!$B$5:$B$2004,B55,'سجل التحفيز'!$D$5:$D$2004,"ذهبي"))</f>
        <v/>
      </c>
      <c r="F55" s="35">
        <f>IF(B55="","",SUMIFS('سجل التحفيز'!$G$5:$G$2004,'سجل التحفيز'!$AD$5:$AD$2004,"&gt;0",'سجل التحفيز'!$B$5:$B$2004,B55))</f>
        <v/>
      </c>
      <c r="G55" s="35">
        <f>IF(B55="","",COUNTIF($D$38:$D$187,"&gt;"&amp;D55)+1)</f>
        <v/>
      </c>
      <c r="H55" s="35">
        <f>IF(B55="","",INDEX(الموظفات!$L$5:$L$304,MATCH(B55,الموظفات!$B$5:$B$304,0)))</f>
        <v/>
      </c>
      <c r="K55" s="36">
        <f>IF(18&gt;$B$10,"",18)</f>
        <v/>
      </c>
      <c r="L55" s="37">
        <f>IF($K55="","",INDEX('سجل التحفيز'!$A$5:$A$2004,MATCH($K55,'سجل التحفيز'!$AD$5:$AD$2004,0)))</f>
        <v/>
      </c>
      <c r="M55" s="9">
        <f>IF($K55="","",INDEX('سجل التحفيز'!$B$5:$B$2004,MATCH($K55,'سجل التحفيز'!$AD$5:$AD$2004,0)))</f>
        <v/>
      </c>
      <c r="N55" s="9">
        <f>IF($K55="","",INDEX('سجل التحفيز'!$M$5:$M$2004,MATCH($K55,'سجل التحفيز'!$AD$5:$AD$2004,0)))</f>
        <v/>
      </c>
      <c r="O55" s="9">
        <f>IF($K55="","",INDEX('سجل التحفيز'!$C$5:$C$2004,MATCH($K55,'سجل التحفيز'!$AD$5:$AD$2004,0)))</f>
        <v/>
      </c>
      <c r="P55" s="36">
        <f>IF($K55="","",INDEX('سجل التحفيز'!$D$5:$D$2004,MATCH($K55,'سجل التحفيز'!$AD$5:$AD$2004,0)))</f>
        <v/>
      </c>
      <c r="Q55" s="9">
        <f>IF($K55="","",INDEX('سجل التحفيز'!$E$5:$E$2004,MATCH($K55,'سجل التحفيز'!$AD$5:$AD$2004,0)))</f>
        <v/>
      </c>
      <c r="R55" s="9">
        <f>IF($K55="","",INDEX('سجل التحفيز'!$F$5:$F$2004,MATCH($K55,'سجل التحفيز'!$AD$5:$AD$2004,0)))</f>
        <v/>
      </c>
      <c r="S55" s="35">
        <f>IF($K55="","",INDEX('سجل التحفيز'!$G$5:$G$2004,MATCH($K55,'سجل التحفيز'!$AD$5:$AD$2004,0)))</f>
        <v/>
      </c>
    </row>
    <row r="56">
      <c r="B56" s="34">
        <f>IFERROR(INDEX(الموظفات!$B$5:$B$304,MATCH(19,الموظفات!$X$5:$X$304,0)),"")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التحفيز'!$AD$5:$AD$2004,"&gt;0",'سجل التحفيز'!$B$5:$B$2004,B56))</f>
        <v/>
      </c>
      <c r="E56" s="35">
        <f>IF(B56="","",COUNTIFS('سجل التحفيز'!$AD$5:$AD$2004,"&gt;0",'سجل التحفيز'!$B$5:$B$2004,B56,'سجل التحفيز'!$D$5:$D$2004,"ذهبي"))</f>
        <v/>
      </c>
      <c r="F56" s="35">
        <f>IF(B56="","",SUMIFS('سجل التحفيز'!$G$5:$G$2004,'سجل التحفيز'!$AD$5:$AD$2004,"&gt;0",'سجل التحفيز'!$B$5:$B$2004,B56))</f>
        <v/>
      </c>
      <c r="G56" s="35">
        <f>IF(B56="","",COUNTIF($D$38:$D$187,"&gt;"&amp;D56)+1)</f>
        <v/>
      </c>
      <c r="H56" s="35">
        <f>IF(B56="","",INDEX(الموظفات!$L$5:$L$304,MATCH(B56,الموظفات!$B$5:$B$304,0)))</f>
        <v/>
      </c>
      <c r="K56" s="36">
        <f>IF(19&gt;$B$10,"",19)</f>
        <v/>
      </c>
      <c r="L56" s="37">
        <f>IF($K56="","",INDEX('سجل التحفيز'!$A$5:$A$2004,MATCH($K56,'سجل التحفيز'!$AD$5:$AD$2004,0)))</f>
        <v/>
      </c>
      <c r="M56" s="9">
        <f>IF($K56="","",INDEX('سجل التحفيز'!$B$5:$B$2004,MATCH($K56,'سجل التحفيز'!$AD$5:$AD$2004,0)))</f>
        <v/>
      </c>
      <c r="N56" s="9">
        <f>IF($K56="","",INDEX('سجل التحفيز'!$M$5:$M$2004,MATCH($K56,'سجل التحفيز'!$AD$5:$AD$2004,0)))</f>
        <v/>
      </c>
      <c r="O56" s="9">
        <f>IF($K56="","",INDEX('سجل التحفيز'!$C$5:$C$2004,MATCH($K56,'سجل التحفيز'!$AD$5:$AD$2004,0)))</f>
        <v/>
      </c>
      <c r="P56" s="36">
        <f>IF($K56="","",INDEX('سجل التحفيز'!$D$5:$D$2004,MATCH($K56,'سجل التحفيز'!$AD$5:$AD$2004,0)))</f>
        <v/>
      </c>
      <c r="Q56" s="9">
        <f>IF($K56="","",INDEX('سجل التحفيز'!$E$5:$E$2004,MATCH($K56,'سجل التحفيز'!$AD$5:$AD$2004,0)))</f>
        <v/>
      </c>
      <c r="R56" s="9">
        <f>IF($K56="","",INDEX('سجل التحفيز'!$F$5:$F$2004,MATCH($K56,'سجل التحفيز'!$AD$5:$AD$2004,0)))</f>
        <v/>
      </c>
      <c r="S56" s="35">
        <f>IF($K56="","",INDEX('سجل التحفيز'!$G$5:$G$2004,MATCH($K56,'سجل التحفيز'!$AD$5:$AD$2004,0)))</f>
        <v/>
      </c>
    </row>
    <row r="57">
      <c r="B57" s="34">
        <f>IFERROR(INDEX(الموظفات!$B$5:$B$304,MATCH(20,الموظفات!$X$5:$X$304,0)),"")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التحفيز'!$AD$5:$AD$2004,"&gt;0",'سجل التحفيز'!$B$5:$B$2004,B57))</f>
        <v/>
      </c>
      <c r="E57" s="35">
        <f>IF(B57="","",COUNTIFS('سجل التحفيز'!$AD$5:$AD$2004,"&gt;0",'سجل التحفيز'!$B$5:$B$2004,B57,'سجل التحفيز'!$D$5:$D$2004,"ذهبي"))</f>
        <v/>
      </c>
      <c r="F57" s="35">
        <f>IF(B57="","",SUMIFS('سجل التحفيز'!$G$5:$G$2004,'سجل التحفيز'!$AD$5:$AD$2004,"&gt;0",'سجل التحفيز'!$B$5:$B$2004,B57))</f>
        <v/>
      </c>
      <c r="G57" s="35">
        <f>IF(B57="","",COUNTIF($D$38:$D$187,"&gt;"&amp;D57)+1)</f>
        <v/>
      </c>
      <c r="H57" s="35">
        <f>IF(B57="","",INDEX(الموظفات!$L$5:$L$304,MATCH(B57,الموظفات!$B$5:$B$304,0)))</f>
        <v/>
      </c>
      <c r="K57" s="36">
        <f>IF(20&gt;$B$10,"",20)</f>
        <v/>
      </c>
      <c r="L57" s="37">
        <f>IF($K57="","",INDEX('سجل التحفيز'!$A$5:$A$2004,MATCH($K57,'سجل التحفيز'!$AD$5:$AD$2004,0)))</f>
        <v/>
      </c>
      <c r="M57" s="9">
        <f>IF($K57="","",INDEX('سجل التحفيز'!$B$5:$B$2004,MATCH($K57,'سجل التحفيز'!$AD$5:$AD$2004,0)))</f>
        <v/>
      </c>
      <c r="N57" s="9">
        <f>IF($K57="","",INDEX('سجل التحفيز'!$M$5:$M$2004,MATCH($K57,'سجل التحفيز'!$AD$5:$AD$2004,0)))</f>
        <v/>
      </c>
      <c r="O57" s="9">
        <f>IF($K57="","",INDEX('سجل التحفيز'!$C$5:$C$2004,MATCH($K57,'سجل التحفيز'!$AD$5:$AD$2004,0)))</f>
        <v/>
      </c>
      <c r="P57" s="36">
        <f>IF($K57="","",INDEX('سجل التحفيز'!$D$5:$D$2004,MATCH($K57,'سجل التحفيز'!$AD$5:$AD$2004,0)))</f>
        <v/>
      </c>
      <c r="Q57" s="9">
        <f>IF($K57="","",INDEX('سجل التحفيز'!$E$5:$E$2004,MATCH($K57,'سجل التحفيز'!$AD$5:$AD$2004,0)))</f>
        <v/>
      </c>
      <c r="R57" s="9">
        <f>IF($K57="","",INDEX('سجل التحفيز'!$F$5:$F$2004,MATCH($K57,'سجل التحفيز'!$AD$5:$AD$2004,0)))</f>
        <v/>
      </c>
      <c r="S57" s="35">
        <f>IF($K57="","",INDEX('سجل التحفيز'!$G$5:$G$2004,MATCH($K57,'سجل التحفيز'!$AD$5:$AD$2004,0)))</f>
        <v/>
      </c>
    </row>
    <row r="58">
      <c r="B58" s="34">
        <f>IFERROR(INDEX(الموظفات!$B$5:$B$304,MATCH(21,الموظفات!$X$5:$X$304,0)),"")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التحفيز'!$AD$5:$AD$2004,"&gt;0",'سجل التحفيز'!$B$5:$B$2004,B58))</f>
        <v/>
      </c>
      <c r="E58" s="35">
        <f>IF(B58="","",COUNTIFS('سجل التحفيز'!$AD$5:$AD$2004,"&gt;0",'سجل التحفيز'!$B$5:$B$2004,B58,'سجل التحفيز'!$D$5:$D$2004,"ذهبي"))</f>
        <v/>
      </c>
      <c r="F58" s="35">
        <f>IF(B58="","",SUMIFS('سجل التحفيز'!$G$5:$G$2004,'سجل التحفيز'!$AD$5:$AD$2004,"&gt;0",'سجل التحفيز'!$B$5:$B$2004,B58))</f>
        <v/>
      </c>
      <c r="G58" s="35">
        <f>IF(B58="","",COUNTIF($D$38:$D$187,"&gt;"&amp;D58)+1)</f>
        <v/>
      </c>
      <c r="H58" s="35">
        <f>IF(B58="","",INDEX(الموظفات!$L$5:$L$304,MATCH(B58,الموظفات!$B$5:$B$304,0)))</f>
        <v/>
      </c>
      <c r="K58" s="36">
        <f>IF(21&gt;$B$10,"",21)</f>
        <v/>
      </c>
      <c r="L58" s="37">
        <f>IF($K58="","",INDEX('سجل التحفيز'!$A$5:$A$2004,MATCH($K58,'سجل التحفيز'!$AD$5:$AD$2004,0)))</f>
        <v/>
      </c>
      <c r="M58" s="9">
        <f>IF($K58="","",INDEX('سجل التحفيز'!$B$5:$B$2004,MATCH($K58,'سجل التحفيز'!$AD$5:$AD$2004,0)))</f>
        <v/>
      </c>
      <c r="N58" s="9">
        <f>IF($K58="","",INDEX('سجل التحفيز'!$M$5:$M$2004,MATCH($K58,'سجل التحفيز'!$AD$5:$AD$2004,0)))</f>
        <v/>
      </c>
      <c r="O58" s="9">
        <f>IF($K58="","",INDEX('سجل التحفيز'!$C$5:$C$2004,MATCH($K58,'سجل التحفيز'!$AD$5:$AD$2004,0)))</f>
        <v/>
      </c>
      <c r="P58" s="36">
        <f>IF($K58="","",INDEX('سجل التحفيز'!$D$5:$D$2004,MATCH($K58,'سجل التحفيز'!$AD$5:$AD$2004,0)))</f>
        <v/>
      </c>
      <c r="Q58" s="9">
        <f>IF($K58="","",INDEX('سجل التحفيز'!$E$5:$E$2004,MATCH($K58,'سجل التحفيز'!$AD$5:$AD$2004,0)))</f>
        <v/>
      </c>
      <c r="R58" s="9">
        <f>IF($K58="","",INDEX('سجل التحفيز'!$F$5:$F$2004,MATCH($K58,'سجل التحفيز'!$AD$5:$AD$2004,0)))</f>
        <v/>
      </c>
      <c r="S58" s="35">
        <f>IF($K58="","",INDEX('سجل التحفيز'!$G$5:$G$2004,MATCH($K58,'سجل التحفيز'!$AD$5:$AD$2004,0)))</f>
        <v/>
      </c>
    </row>
    <row r="59">
      <c r="B59" s="34">
        <f>IFERROR(INDEX(الموظفات!$B$5:$B$304,MATCH(22,الموظفات!$X$5:$X$304,0)),"")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التحفيز'!$AD$5:$AD$2004,"&gt;0",'سجل التحفيز'!$B$5:$B$2004,B59))</f>
        <v/>
      </c>
      <c r="E59" s="35">
        <f>IF(B59="","",COUNTIFS('سجل التحفيز'!$AD$5:$AD$2004,"&gt;0",'سجل التحفيز'!$B$5:$B$2004,B59,'سجل التحفيز'!$D$5:$D$2004,"ذهبي"))</f>
        <v/>
      </c>
      <c r="F59" s="35">
        <f>IF(B59="","",SUMIFS('سجل التحفيز'!$G$5:$G$2004,'سجل التحفيز'!$AD$5:$AD$2004,"&gt;0",'سجل التحفيز'!$B$5:$B$2004,B59))</f>
        <v/>
      </c>
      <c r="G59" s="35">
        <f>IF(B59="","",COUNTIF($D$38:$D$187,"&gt;"&amp;D59)+1)</f>
        <v/>
      </c>
      <c r="H59" s="35">
        <f>IF(B59="","",INDEX(الموظفات!$L$5:$L$304,MATCH(B59,الموظفات!$B$5:$B$304,0)))</f>
        <v/>
      </c>
      <c r="K59" s="36">
        <f>IF(22&gt;$B$10,"",22)</f>
        <v/>
      </c>
      <c r="L59" s="37">
        <f>IF($K59="","",INDEX('سجل التحفيز'!$A$5:$A$2004,MATCH($K59,'سجل التحفيز'!$AD$5:$AD$2004,0)))</f>
        <v/>
      </c>
      <c r="M59" s="9">
        <f>IF($K59="","",INDEX('سجل التحفيز'!$B$5:$B$2004,MATCH($K59,'سجل التحفيز'!$AD$5:$AD$2004,0)))</f>
        <v/>
      </c>
      <c r="N59" s="9">
        <f>IF($K59="","",INDEX('سجل التحفيز'!$M$5:$M$2004,MATCH($K59,'سجل التحفيز'!$AD$5:$AD$2004,0)))</f>
        <v/>
      </c>
      <c r="O59" s="9">
        <f>IF($K59="","",INDEX('سجل التحفيز'!$C$5:$C$2004,MATCH($K59,'سجل التحفيز'!$AD$5:$AD$2004,0)))</f>
        <v/>
      </c>
      <c r="P59" s="36">
        <f>IF($K59="","",INDEX('سجل التحفيز'!$D$5:$D$2004,MATCH($K59,'سجل التحفيز'!$AD$5:$AD$2004,0)))</f>
        <v/>
      </c>
      <c r="Q59" s="9">
        <f>IF($K59="","",INDEX('سجل التحفيز'!$E$5:$E$2004,MATCH($K59,'سجل التحفيز'!$AD$5:$AD$2004,0)))</f>
        <v/>
      </c>
      <c r="R59" s="9">
        <f>IF($K59="","",INDEX('سجل التحفيز'!$F$5:$F$2004,MATCH($K59,'سجل التحفيز'!$AD$5:$AD$2004,0)))</f>
        <v/>
      </c>
      <c r="S59" s="35">
        <f>IF($K59="","",INDEX('سجل التحفيز'!$G$5:$G$2004,MATCH($K59,'سجل التحفيز'!$AD$5:$AD$2004,0)))</f>
        <v/>
      </c>
    </row>
    <row r="60">
      <c r="B60" s="34">
        <f>IFERROR(INDEX(الموظفات!$B$5:$B$304,MATCH(23,الموظفات!$X$5:$X$304,0)),"")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التحفيز'!$AD$5:$AD$2004,"&gt;0",'سجل التحفيز'!$B$5:$B$2004,B60))</f>
        <v/>
      </c>
      <c r="E60" s="35">
        <f>IF(B60="","",COUNTIFS('سجل التحفيز'!$AD$5:$AD$2004,"&gt;0",'سجل التحفيز'!$B$5:$B$2004,B60,'سجل التحفيز'!$D$5:$D$2004,"ذهبي"))</f>
        <v/>
      </c>
      <c r="F60" s="35">
        <f>IF(B60="","",SUMIFS('سجل التحفيز'!$G$5:$G$2004,'سجل التحفيز'!$AD$5:$AD$2004,"&gt;0",'سجل التحفيز'!$B$5:$B$2004,B60))</f>
        <v/>
      </c>
      <c r="G60" s="35">
        <f>IF(B60="","",COUNTIF($D$38:$D$187,"&gt;"&amp;D60)+1)</f>
        <v/>
      </c>
      <c r="H60" s="35">
        <f>IF(B60="","",INDEX(الموظفات!$L$5:$L$304,MATCH(B60,الموظفات!$B$5:$B$304,0)))</f>
        <v/>
      </c>
      <c r="K60" s="36">
        <f>IF(23&gt;$B$10,"",23)</f>
        <v/>
      </c>
      <c r="L60" s="37">
        <f>IF($K60="","",INDEX('سجل التحفيز'!$A$5:$A$2004,MATCH($K60,'سجل التحفيز'!$AD$5:$AD$2004,0)))</f>
        <v/>
      </c>
      <c r="M60" s="9">
        <f>IF($K60="","",INDEX('سجل التحفيز'!$B$5:$B$2004,MATCH($K60,'سجل التحفيز'!$AD$5:$AD$2004,0)))</f>
        <v/>
      </c>
      <c r="N60" s="9">
        <f>IF($K60="","",INDEX('سجل التحفيز'!$M$5:$M$2004,MATCH($K60,'سجل التحفيز'!$AD$5:$AD$2004,0)))</f>
        <v/>
      </c>
      <c r="O60" s="9">
        <f>IF($K60="","",INDEX('سجل التحفيز'!$C$5:$C$2004,MATCH($K60,'سجل التحفيز'!$AD$5:$AD$2004,0)))</f>
        <v/>
      </c>
      <c r="P60" s="36">
        <f>IF($K60="","",INDEX('سجل التحفيز'!$D$5:$D$2004,MATCH($K60,'سجل التحفيز'!$AD$5:$AD$2004,0)))</f>
        <v/>
      </c>
      <c r="Q60" s="9">
        <f>IF($K60="","",INDEX('سجل التحفيز'!$E$5:$E$2004,MATCH($K60,'سجل التحفيز'!$AD$5:$AD$2004,0)))</f>
        <v/>
      </c>
      <c r="R60" s="9">
        <f>IF($K60="","",INDEX('سجل التحفيز'!$F$5:$F$2004,MATCH($K60,'سجل التحفيز'!$AD$5:$AD$2004,0)))</f>
        <v/>
      </c>
      <c r="S60" s="35">
        <f>IF($K60="","",INDEX('سجل التحفيز'!$G$5:$G$2004,MATCH($K60,'سجل التحفيز'!$AD$5:$AD$2004,0)))</f>
        <v/>
      </c>
    </row>
    <row r="61">
      <c r="B61" s="34">
        <f>IFERROR(INDEX(الموظفات!$B$5:$B$304,MATCH(24,الموظفات!$X$5:$X$304,0)),"")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التحفيز'!$AD$5:$AD$2004,"&gt;0",'سجل التحفيز'!$B$5:$B$2004,B61))</f>
        <v/>
      </c>
      <c r="E61" s="35">
        <f>IF(B61="","",COUNTIFS('سجل التحفيز'!$AD$5:$AD$2004,"&gt;0",'سجل التحفيز'!$B$5:$B$2004,B61,'سجل التحفيز'!$D$5:$D$2004,"ذهبي"))</f>
        <v/>
      </c>
      <c r="F61" s="35">
        <f>IF(B61="","",SUMIFS('سجل التحفيز'!$G$5:$G$2004,'سجل التحفيز'!$AD$5:$AD$2004,"&gt;0",'سجل التحفيز'!$B$5:$B$2004,B61))</f>
        <v/>
      </c>
      <c r="G61" s="35">
        <f>IF(B61="","",COUNTIF($D$38:$D$187,"&gt;"&amp;D61)+1)</f>
        <v/>
      </c>
      <c r="H61" s="35">
        <f>IF(B61="","",INDEX(الموظفات!$L$5:$L$304,MATCH(B61,الموظفات!$B$5:$B$304,0)))</f>
        <v/>
      </c>
      <c r="K61" s="36">
        <f>IF(24&gt;$B$10,"",24)</f>
        <v/>
      </c>
      <c r="L61" s="37">
        <f>IF($K61="","",INDEX('سجل التحفيز'!$A$5:$A$2004,MATCH($K61,'سجل التحفيز'!$AD$5:$AD$2004,0)))</f>
        <v/>
      </c>
      <c r="M61" s="9">
        <f>IF($K61="","",INDEX('سجل التحفيز'!$B$5:$B$2004,MATCH($K61,'سجل التحفيز'!$AD$5:$AD$2004,0)))</f>
        <v/>
      </c>
      <c r="N61" s="9">
        <f>IF($K61="","",INDEX('سجل التحفيز'!$M$5:$M$2004,MATCH($K61,'سجل التحفيز'!$AD$5:$AD$2004,0)))</f>
        <v/>
      </c>
      <c r="O61" s="9">
        <f>IF($K61="","",INDEX('سجل التحفيز'!$C$5:$C$2004,MATCH($K61,'سجل التحفيز'!$AD$5:$AD$2004,0)))</f>
        <v/>
      </c>
      <c r="P61" s="36">
        <f>IF($K61="","",INDEX('سجل التحفيز'!$D$5:$D$2004,MATCH($K61,'سجل التحفيز'!$AD$5:$AD$2004,0)))</f>
        <v/>
      </c>
      <c r="Q61" s="9">
        <f>IF($K61="","",INDEX('سجل التحفيز'!$E$5:$E$2004,MATCH($K61,'سجل التحفيز'!$AD$5:$AD$2004,0)))</f>
        <v/>
      </c>
      <c r="R61" s="9">
        <f>IF($K61="","",INDEX('سجل التحفيز'!$F$5:$F$2004,MATCH($K61,'سجل التحفيز'!$AD$5:$AD$2004,0)))</f>
        <v/>
      </c>
      <c r="S61" s="35">
        <f>IF($K61="","",INDEX('سجل التحفيز'!$G$5:$G$2004,MATCH($K61,'سجل التحفيز'!$AD$5:$AD$2004,0)))</f>
        <v/>
      </c>
    </row>
    <row r="62">
      <c r="B62" s="34">
        <f>IFERROR(INDEX(الموظفات!$B$5:$B$304,MATCH(25,الموظفات!$X$5:$X$304,0)),"")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التحفيز'!$AD$5:$AD$2004,"&gt;0",'سجل التحفيز'!$B$5:$B$2004,B62))</f>
        <v/>
      </c>
      <c r="E62" s="35">
        <f>IF(B62="","",COUNTIFS('سجل التحفيز'!$AD$5:$AD$2004,"&gt;0",'سجل التحفيز'!$B$5:$B$2004,B62,'سجل التحفيز'!$D$5:$D$2004,"ذهبي"))</f>
        <v/>
      </c>
      <c r="F62" s="35">
        <f>IF(B62="","",SUMIFS('سجل التحفيز'!$G$5:$G$2004,'سجل التحفيز'!$AD$5:$AD$2004,"&gt;0",'سجل التحفيز'!$B$5:$B$2004,B62))</f>
        <v/>
      </c>
      <c r="G62" s="35">
        <f>IF(B62="","",COUNTIF($D$38:$D$187,"&gt;"&amp;D62)+1)</f>
        <v/>
      </c>
      <c r="H62" s="35">
        <f>IF(B62="","",INDEX(الموظفات!$L$5:$L$304,MATCH(B62,الموظفات!$B$5:$B$304,0)))</f>
        <v/>
      </c>
      <c r="K62" s="36">
        <f>IF(25&gt;$B$10,"",25)</f>
        <v/>
      </c>
      <c r="L62" s="37">
        <f>IF($K62="","",INDEX('سجل التحفيز'!$A$5:$A$2004,MATCH($K62,'سجل التحفيز'!$AD$5:$AD$2004,0)))</f>
        <v/>
      </c>
      <c r="M62" s="9">
        <f>IF($K62="","",INDEX('سجل التحفيز'!$B$5:$B$2004,MATCH($K62,'سجل التحفيز'!$AD$5:$AD$2004,0)))</f>
        <v/>
      </c>
      <c r="N62" s="9">
        <f>IF($K62="","",INDEX('سجل التحفيز'!$M$5:$M$2004,MATCH($K62,'سجل التحفيز'!$AD$5:$AD$2004,0)))</f>
        <v/>
      </c>
      <c r="O62" s="9">
        <f>IF($K62="","",INDEX('سجل التحفيز'!$C$5:$C$2004,MATCH($K62,'سجل التحفيز'!$AD$5:$AD$2004,0)))</f>
        <v/>
      </c>
      <c r="P62" s="36">
        <f>IF($K62="","",INDEX('سجل التحفيز'!$D$5:$D$2004,MATCH($K62,'سجل التحفيز'!$AD$5:$AD$2004,0)))</f>
        <v/>
      </c>
      <c r="Q62" s="9">
        <f>IF($K62="","",INDEX('سجل التحفيز'!$E$5:$E$2004,MATCH($K62,'سجل التحفيز'!$AD$5:$AD$2004,0)))</f>
        <v/>
      </c>
      <c r="R62" s="9">
        <f>IF($K62="","",INDEX('سجل التحفيز'!$F$5:$F$2004,MATCH($K62,'سجل التحفيز'!$AD$5:$AD$2004,0)))</f>
        <v/>
      </c>
      <c r="S62" s="35">
        <f>IF($K62="","",INDEX('سجل التحفيز'!$G$5:$G$2004,MATCH($K62,'سجل التحفيز'!$AD$5:$AD$2004,0)))</f>
        <v/>
      </c>
    </row>
    <row r="63">
      <c r="B63" s="34">
        <f>IFERROR(INDEX(الموظفات!$B$5:$B$304,MATCH(26,الموظفات!$X$5:$X$304,0)),"")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التحفيز'!$AD$5:$AD$2004,"&gt;0",'سجل التحفيز'!$B$5:$B$2004,B63))</f>
        <v/>
      </c>
      <c r="E63" s="35">
        <f>IF(B63="","",COUNTIFS('سجل التحفيز'!$AD$5:$AD$2004,"&gt;0",'سجل التحفيز'!$B$5:$B$2004,B63,'سجل التحفيز'!$D$5:$D$2004,"ذهبي"))</f>
        <v/>
      </c>
      <c r="F63" s="35">
        <f>IF(B63="","",SUMIFS('سجل التحفيز'!$G$5:$G$2004,'سجل التحفيز'!$AD$5:$AD$2004,"&gt;0",'سجل التحفيز'!$B$5:$B$2004,B63))</f>
        <v/>
      </c>
      <c r="G63" s="35">
        <f>IF(B63="","",COUNTIF($D$38:$D$187,"&gt;"&amp;D63)+1)</f>
        <v/>
      </c>
      <c r="H63" s="35">
        <f>IF(B63="","",INDEX(الموظفات!$L$5:$L$304,MATCH(B63,الموظفات!$B$5:$B$304,0)))</f>
        <v/>
      </c>
      <c r="K63" s="36">
        <f>IF(26&gt;$B$10,"",26)</f>
        <v/>
      </c>
      <c r="L63" s="37">
        <f>IF($K63="","",INDEX('سجل التحفيز'!$A$5:$A$2004,MATCH($K63,'سجل التحفيز'!$AD$5:$AD$2004,0)))</f>
        <v/>
      </c>
      <c r="M63" s="9">
        <f>IF($K63="","",INDEX('سجل التحفيز'!$B$5:$B$2004,MATCH($K63,'سجل التحفيز'!$AD$5:$AD$2004,0)))</f>
        <v/>
      </c>
      <c r="N63" s="9">
        <f>IF($K63="","",INDEX('سجل التحفيز'!$M$5:$M$2004,MATCH($K63,'سجل التحفيز'!$AD$5:$AD$2004,0)))</f>
        <v/>
      </c>
      <c r="O63" s="9">
        <f>IF($K63="","",INDEX('سجل التحفيز'!$C$5:$C$2004,MATCH($K63,'سجل التحفيز'!$AD$5:$AD$2004,0)))</f>
        <v/>
      </c>
      <c r="P63" s="36">
        <f>IF($K63="","",INDEX('سجل التحفيز'!$D$5:$D$2004,MATCH($K63,'سجل التحفيز'!$AD$5:$AD$2004,0)))</f>
        <v/>
      </c>
      <c r="Q63" s="9">
        <f>IF($K63="","",INDEX('سجل التحفيز'!$E$5:$E$2004,MATCH($K63,'سجل التحفيز'!$AD$5:$AD$2004,0)))</f>
        <v/>
      </c>
      <c r="R63" s="9">
        <f>IF($K63="","",INDEX('سجل التحفيز'!$F$5:$F$2004,MATCH($K63,'سجل التحفيز'!$AD$5:$AD$2004,0)))</f>
        <v/>
      </c>
      <c r="S63" s="35">
        <f>IF($K63="","",INDEX('سجل التحفيز'!$G$5:$G$2004,MATCH($K63,'سجل التحفيز'!$AD$5:$AD$2004,0)))</f>
        <v/>
      </c>
    </row>
    <row r="64">
      <c r="B64" s="34">
        <f>IFERROR(INDEX(الموظفات!$B$5:$B$304,MATCH(27,الموظفات!$X$5:$X$304,0)),"")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التحفيز'!$AD$5:$AD$2004,"&gt;0",'سجل التحفيز'!$B$5:$B$2004,B64))</f>
        <v/>
      </c>
      <c r="E64" s="35">
        <f>IF(B64="","",COUNTIFS('سجل التحفيز'!$AD$5:$AD$2004,"&gt;0",'سجل التحفيز'!$B$5:$B$2004,B64,'سجل التحفيز'!$D$5:$D$2004,"ذهبي"))</f>
        <v/>
      </c>
      <c r="F64" s="35">
        <f>IF(B64="","",SUMIFS('سجل التحفيز'!$G$5:$G$2004,'سجل التحفيز'!$AD$5:$AD$2004,"&gt;0",'سجل التحفيز'!$B$5:$B$2004,B64))</f>
        <v/>
      </c>
      <c r="G64" s="35">
        <f>IF(B64="","",COUNTIF($D$38:$D$187,"&gt;"&amp;D64)+1)</f>
        <v/>
      </c>
      <c r="H64" s="35">
        <f>IF(B64="","",INDEX(الموظفات!$L$5:$L$304,MATCH(B64,الموظفات!$B$5:$B$304,0)))</f>
        <v/>
      </c>
      <c r="K64" s="36">
        <f>IF(27&gt;$B$10,"",27)</f>
        <v/>
      </c>
      <c r="L64" s="37">
        <f>IF($K64="","",INDEX('سجل التحفيز'!$A$5:$A$2004,MATCH($K64,'سجل التحفيز'!$AD$5:$AD$2004,0)))</f>
        <v/>
      </c>
      <c r="M64" s="9">
        <f>IF($K64="","",INDEX('سجل التحفيز'!$B$5:$B$2004,MATCH($K64,'سجل التحفيز'!$AD$5:$AD$2004,0)))</f>
        <v/>
      </c>
      <c r="N64" s="9">
        <f>IF($K64="","",INDEX('سجل التحفيز'!$M$5:$M$2004,MATCH($K64,'سجل التحفيز'!$AD$5:$AD$2004,0)))</f>
        <v/>
      </c>
      <c r="O64" s="9">
        <f>IF($K64="","",INDEX('سجل التحفيز'!$C$5:$C$2004,MATCH($K64,'سجل التحفيز'!$AD$5:$AD$2004,0)))</f>
        <v/>
      </c>
      <c r="P64" s="36">
        <f>IF($K64="","",INDEX('سجل التحفيز'!$D$5:$D$2004,MATCH($K64,'سجل التحفيز'!$AD$5:$AD$2004,0)))</f>
        <v/>
      </c>
      <c r="Q64" s="9">
        <f>IF($K64="","",INDEX('سجل التحفيز'!$E$5:$E$2004,MATCH($K64,'سجل التحفيز'!$AD$5:$AD$2004,0)))</f>
        <v/>
      </c>
      <c r="R64" s="9">
        <f>IF($K64="","",INDEX('سجل التحفيز'!$F$5:$F$2004,MATCH($K64,'سجل التحفيز'!$AD$5:$AD$2004,0)))</f>
        <v/>
      </c>
      <c r="S64" s="35">
        <f>IF($K64="","",INDEX('سجل التحفيز'!$G$5:$G$2004,MATCH($K64,'سجل التحفيز'!$AD$5:$AD$2004,0)))</f>
        <v/>
      </c>
    </row>
    <row r="65">
      <c r="B65" s="34">
        <f>IFERROR(INDEX(الموظفات!$B$5:$B$304,MATCH(28,الموظفات!$X$5:$X$304,0)),"")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التحفيز'!$AD$5:$AD$2004,"&gt;0",'سجل التحفيز'!$B$5:$B$2004,B65))</f>
        <v/>
      </c>
      <c r="E65" s="35">
        <f>IF(B65="","",COUNTIFS('سجل التحفيز'!$AD$5:$AD$2004,"&gt;0",'سجل التحفيز'!$B$5:$B$2004,B65,'سجل التحفيز'!$D$5:$D$2004,"ذهبي"))</f>
        <v/>
      </c>
      <c r="F65" s="35">
        <f>IF(B65="","",SUMIFS('سجل التحفيز'!$G$5:$G$2004,'سجل التحفيز'!$AD$5:$AD$2004,"&gt;0",'سجل التحفيز'!$B$5:$B$2004,B65))</f>
        <v/>
      </c>
      <c r="G65" s="35">
        <f>IF(B65="","",COUNTIF($D$38:$D$187,"&gt;"&amp;D65)+1)</f>
        <v/>
      </c>
      <c r="H65" s="35">
        <f>IF(B65="","",INDEX(الموظفات!$L$5:$L$304,MATCH(B65,الموظفات!$B$5:$B$304,0)))</f>
        <v/>
      </c>
      <c r="K65" s="36">
        <f>IF(28&gt;$B$10,"",28)</f>
        <v/>
      </c>
      <c r="L65" s="37">
        <f>IF($K65="","",INDEX('سجل التحفيز'!$A$5:$A$2004,MATCH($K65,'سجل التحفيز'!$AD$5:$AD$2004,0)))</f>
        <v/>
      </c>
      <c r="M65" s="9">
        <f>IF($K65="","",INDEX('سجل التحفيز'!$B$5:$B$2004,MATCH($K65,'سجل التحفيز'!$AD$5:$AD$2004,0)))</f>
        <v/>
      </c>
      <c r="N65" s="9">
        <f>IF($K65="","",INDEX('سجل التحفيز'!$M$5:$M$2004,MATCH($K65,'سجل التحفيز'!$AD$5:$AD$2004,0)))</f>
        <v/>
      </c>
      <c r="O65" s="9">
        <f>IF($K65="","",INDEX('سجل التحفيز'!$C$5:$C$2004,MATCH($K65,'سجل التحفيز'!$AD$5:$AD$2004,0)))</f>
        <v/>
      </c>
      <c r="P65" s="36">
        <f>IF($K65="","",INDEX('سجل التحفيز'!$D$5:$D$2004,MATCH($K65,'سجل التحفيز'!$AD$5:$AD$2004,0)))</f>
        <v/>
      </c>
      <c r="Q65" s="9">
        <f>IF($K65="","",INDEX('سجل التحفيز'!$E$5:$E$2004,MATCH($K65,'سجل التحفيز'!$AD$5:$AD$2004,0)))</f>
        <v/>
      </c>
      <c r="R65" s="9">
        <f>IF($K65="","",INDEX('سجل التحفيز'!$F$5:$F$2004,MATCH($K65,'سجل التحفيز'!$AD$5:$AD$2004,0)))</f>
        <v/>
      </c>
      <c r="S65" s="35">
        <f>IF($K65="","",INDEX('سجل التحفيز'!$G$5:$G$2004,MATCH($K65,'سجل التحفيز'!$AD$5:$AD$2004,0)))</f>
        <v/>
      </c>
    </row>
    <row r="66">
      <c r="B66" s="34">
        <f>IFERROR(INDEX(الموظفات!$B$5:$B$304,MATCH(29,الموظفات!$X$5:$X$304,0)),"")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التحفيز'!$AD$5:$AD$2004,"&gt;0",'سجل التحفيز'!$B$5:$B$2004,B66))</f>
        <v/>
      </c>
      <c r="E66" s="35">
        <f>IF(B66="","",COUNTIFS('سجل التحفيز'!$AD$5:$AD$2004,"&gt;0",'سجل التحفيز'!$B$5:$B$2004,B66,'سجل التحفيز'!$D$5:$D$2004,"ذهبي"))</f>
        <v/>
      </c>
      <c r="F66" s="35">
        <f>IF(B66="","",SUMIFS('سجل التحفيز'!$G$5:$G$2004,'سجل التحفيز'!$AD$5:$AD$2004,"&gt;0",'سجل التحفيز'!$B$5:$B$2004,B66))</f>
        <v/>
      </c>
      <c r="G66" s="35">
        <f>IF(B66="","",COUNTIF($D$38:$D$187,"&gt;"&amp;D66)+1)</f>
        <v/>
      </c>
      <c r="H66" s="35">
        <f>IF(B66="","",INDEX(الموظفات!$L$5:$L$304,MATCH(B66,الموظفات!$B$5:$B$304,0)))</f>
        <v/>
      </c>
      <c r="K66" s="36">
        <f>IF(29&gt;$B$10,"",29)</f>
        <v/>
      </c>
      <c r="L66" s="37">
        <f>IF($K66="","",INDEX('سجل التحفيز'!$A$5:$A$2004,MATCH($K66,'سجل التحفيز'!$AD$5:$AD$2004,0)))</f>
        <v/>
      </c>
      <c r="M66" s="9">
        <f>IF($K66="","",INDEX('سجل التحفيز'!$B$5:$B$2004,MATCH($K66,'سجل التحفيز'!$AD$5:$AD$2004,0)))</f>
        <v/>
      </c>
      <c r="N66" s="9">
        <f>IF($K66="","",INDEX('سجل التحفيز'!$M$5:$M$2004,MATCH($K66,'سجل التحفيز'!$AD$5:$AD$2004,0)))</f>
        <v/>
      </c>
      <c r="O66" s="9">
        <f>IF($K66="","",INDEX('سجل التحفيز'!$C$5:$C$2004,MATCH($K66,'سجل التحفيز'!$AD$5:$AD$2004,0)))</f>
        <v/>
      </c>
      <c r="P66" s="36">
        <f>IF($K66="","",INDEX('سجل التحفيز'!$D$5:$D$2004,MATCH($K66,'سجل التحفيز'!$AD$5:$AD$2004,0)))</f>
        <v/>
      </c>
      <c r="Q66" s="9">
        <f>IF($K66="","",INDEX('سجل التحفيز'!$E$5:$E$2004,MATCH($K66,'سجل التحفيز'!$AD$5:$AD$2004,0)))</f>
        <v/>
      </c>
      <c r="R66" s="9">
        <f>IF($K66="","",INDEX('سجل التحفيز'!$F$5:$F$2004,MATCH($K66,'سجل التحفيز'!$AD$5:$AD$2004,0)))</f>
        <v/>
      </c>
      <c r="S66" s="35">
        <f>IF($K66="","",INDEX('سجل التحفيز'!$G$5:$G$2004,MATCH($K66,'سجل التحفيز'!$AD$5:$AD$2004,0)))</f>
        <v/>
      </c>
    </row>
    <row r="67">
      <c r="B67" s="34">
        <f>IFERROR(INDEX(الموظفات!$B$5:$B$304,MATCH(30,الموظفات!$X$5:$X$304,0)),"")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التحفيز'!$AD$5:$AD$2004,"&gt;0",'سجل التحفيز'!$B$5:$B$2004,B67))</f>
        <v/>
      </c>
      <c r="E67" s="35">
        <f>IF(B67="","",COUNTIFS('سجل التحفيز'!$AD$5:$AD$2004,"&gt;0",'سجل التحفيز'!$B$5:$B$2004,B67,'سجل التحفيز'!$D$5:$D$2004,"ذهبي"))</f>
        <v/>
      </c>
      <c r="F67" s="35">
        <f>IF(B67="","",SUMIFS('سجل التحفيز'!$G$5:$G$2004,'سجل التحفيز'!$AD$5:$AD$2004,"&gt;0",'سجل التحفيز'!$B$5:$B$2004,B67))</f>
        <v/>
      </c>
      <c r="G67" s="35">
        <f>IF(B67="","",COUNTIF($D$38:$D$187,"&gt;"&amp;D67)+1)</f>
        <v/>
      </c>
      <c r="H67" s="35">
        <f>IF(B67="","",INDEX(الموظفات!$L$5:$L$304,MATCH(B67,الموظفات!$B$5:$B$304,0)))</f>
        <v/>
      </c>
      <c r="K67" s="36">
        <f>IF(30&gt;$B$10,"",30)</f>
        <v/>
      </c>
      <c r="L67" s="37">
        <f>IF($K67="","",INDEX('سجل التحفيز'!$A$5:$A$2004,MATCH($K67,'سجل التحفيز'!$AD$5:$AD$2004,0)))</f>
        <v/>
      </c>
      <c r="M67" s="9">
        <f>IF($K67="","",INDEX('سجل التحفيز'!$B$5:$B$2004,MATCH($K67,'سجل التحفيز'!$AD$5:$AD$2004,0)))</f>
        <v/>
      </c>
      <c r="N67" s="9">
        <f>IF($K67="","",INDEX('سجل التحفيز'!$M$5:$M$2004,MATCH($K67,'سجل التحفيز'!$AD$5:$AD$2004,0)))</f>
        <v/>
      </c>
      <c r="O67" s="9">
        <f>IF($K67="","",INDEX('سجل التحفيز'!$C$5:$C$2004,MATCH($K67,'سجل التحفيز'!$AD$5:$AD$2004,0)))</f>
        <v/>
      </c>
      <c r="P67" s="36">
        <f>IF($K67="","",INDEX('سجل التحفيز'!$D$5:$D$2004,MATCH($K67,'سجل التحفيز'!$AD$5:$AD$2004,0)))</f>
        <v/>
      </c>
      <c r="Q67" s="9">
        <f>IF($K67="","",INDEX('سجل التحفيز'!$E$5:$E$2004,MATCH($K67,'سجل التحفيز'!$AD$5:$AD$2004,0)))</f>
        <v/>
      </c>
      <c r="R67" s="9">
        <f>IF($K67="","",INDEX('سجل التحفيز'!$F$5:$F$2004,MATCH($K67,'سجل التحفيز'!$AD$5:$AD$2004,0)))</f>
        <v/>
      </c>
      <c r="S67" s="35">
        <f>IF($K67="","",INDEX('سجل التحفيز'!$G$5:$G$2004,MATCH($K67,'سجل التحفيز'!$AD$5:$AD$2004,0)))</f>
        <v/>
      </c>
    </row>
    <row r="68">
      <c r="B68" s="34">
        <f>IFERROR(INDEX(الموظفات!$B$5:$B$304,MATCH(31,الموظفات!$X$5:$X$304,0)),"")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التحفيز'!$AD$5:$AD$2004,"&gt;0",'سجل التحفيز'!$B$5:$B$2004,B68))</f>
        <v/>
      </c>
      <c r="E68" s="35">
        <f>IF(B68="","",COUNTIFS('سجل التحفيز'!$AD$5:$AD$2004,"&gt;0",'سجل التحفيز'!$B$5:$B$2004,B68,'سجل التحفيز'!$D$5:$D$2004,"ذهبي"))</f>
        <v/>
      </c>
      <c r="F68" s="35">
        <f>IF(B68="","",SUMIFS('سجل التحفيز'!$G$5:$G$2004,'سجل التحفيز'!$AD$5:$AD$2004,"&gt;0",'سجل التحفيز'!$B$5:$B$2004,B68))</f>
        <v/>
      </c>
      <c r="G68" s="35">
        <f>IF(B68="","",COUNTIF($D$38:$D$187,"&gt;"&amp;D68)+1)</f>
        <v/>
      </c>
      <c r="H68" s="35">
        <f>IF(B68="","",INDEX(الموظفات!$L$5:$L$304,MATCH(B68,الموظفات!$B$5:$B$304,0)))</f>
        <v/>
      </c>
      <c r="K68" s="36">
        <f>IF(31&gt;$B$10,"",31)</f>
        <v/>
      </c>
      <c r="L68" s="37">
        <f>IF($K68="","",INDEX('سجل التحفيز'!$A$5:$A$2004,MATCH($K68,'سجل التحفيز'!$AD$5:$AD$2004,0)))</f>
        <v/>
      </c>
      <c r="M68" s="9">
        <f>IF($K68="","",INDEX('سجل التحفيز'!$B$5:$B$2004,MATCH($K68,'سجل التحفيز'!$AD$5:$AD$2004,0)))</f>
        <v/>
      </c>
      <c r="N68" s="9">
        <f>IF($K68="","",INDEX('سجل التحفيز'!$M$5:$M$2004,MATCH($K68,'سجل التحفيز'!$AD$5:$AD$2004,0)))</f>
        <v/>
      </c>
      <c r="O68" s="9">
        <f>IF($K68="","",INDEX('سجل التحفيز'!$C$5:$C$2004,MATCH($K68,'سجل التحفيز'!$AD$5:$AD$2004,0)))</f>
        <v/>
      </c>
      <c r="P68" s="36">
        <f>IF($K68="","",INDEX('سجل التحفيز'!$D$5:$D$2004,MATCH($K68,'سجل التحفيز'!$AD$5:$AD$2004,0)))</f>
        <v/>
      </c>
      <c r="Q68" s="9">
        <f>IF($K68="","",INDEX('سجل التحفيز'!$E$5:$E$2004,MATCH($K68,'سجل التحفيز'!$AD$5:$AD$2004,0)))</f>
        <v/>
      </c>
      <c r="R68" s="9">
        <f>IF($K68="","",INDEX('سجل التحفيز'!$F$5:$F$2004,MATCH($K68,'سجل التحفيز'!$AD$5:$AD$2004,0)))</f>
        <v/>
      </c>
      <c r="S68" s="35">
        <f>IF($K68="","",INDEX('سجل التحفيز'!$G$5:$G$2004,MATCH($K68,'سجل التحفيز'!$AD$5:$AD$2004,0)))</f>
        <v/>
      </c>
    </row>
    <row r="69">
      <c r="B69" s="34">
        <f>IFERROR(INDEX(الموظفات!$B$5:$B$304,MATCH(32,الموظفات!$X$5:$X$304,0)),"")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التحفيز'!$AD$5:$AD$2004,"&gt;0",'سجل التحفيز'!$B$5:$B$2004,B69))</f>
        <v/>
      </c>
      <c r="E69" s="35">
        <f>IF(B69="","",COUNTIFS('سجل التحفيز'!$AD$5:$AD$2004,"&gt;0",'سجل التحفيز'!$B$5:$B$2004,B69,'سجل التحفيز'!$D$5:$D$2004,"ذهبي"))</f>
        <v/>
      </c>
      <c r="F69" s="35">
        <f>IF(B69="","",SUMIFS('سجل التحفيز'!$G$5:$G$2004,'سجل التحفيز'!$AD$5:$AD$2004,"&gt;0",'سجل التحفيز'!$B$5:$B$2004,B69))</f>
        <v/>
      </c>
      <c r="G69" s="35">
        <f>IF(B69="","",COUNTIF($D$38:$D$187,"&gt;"&amp;D69)+1)</f>
        <v/>
      </c>
      <c r="H69" s="35">
        <f>IF(B69="","",INDEX(الموظفات!$L$5:$L$304,MATCH(B69,الموظفات!$B$5:$B$304,0)))</f>
        <v/>
      </c>
      <c r="K69" s="36">
        <f>IF(32&gt;$B$10,"",32)</f>
        <v/>
      </c>
      <c r="L69" s="37">
        <f>IF($K69="","",INDEX('سجل التحفيز'!$A$5:$A$2004,MATCH($K69,'سجل التحفيز'!$AD$5:$AD$2004,0)))</f>
        <v/>
      </c>
      <c r="M69" s="9">
        <f>IF($K69="","",INDEX('سجل التحفيز'!$B$5:$B$2004,MATCH($K69,'سجل التحفيز'!$AD$5:$AD$2004,0)))</f>
        <v/>
      </c>
      <c r="N69" s="9">
        <f>IF($K69="","",INDEX('سجل التحفيز'!$M$5:$M$2004,MATCH($K69,'سجل التحفيز'!$AD$5:$AD$2004,0)))</f>
        <v/>
      </c>
      <c r="O69" s="9">
        <f>IF($K69="","",INDEX('سجل التحفيز'!$C$5:$C$2004,MATCH($K69,'سجل التحفيز'!$AD$5:$AD$2004,0)))</f>
        <v/>
      </c>
      <c r="P69" s="36">
        <f>IF($K69="","",INDEX('سجل التحفيز'!$D$5:$D$2004,MATCH($K69,'سجل التحفيز'!$AD$5:$AD$2004,0)))</f>
        <v/>
      </c>
      <c r="Q69" s="9">
        <f>IF($K69="","",INDEX('سجل التحفيز'!$E$5:$E$2004,MATCH($K69,'سجل التحفيز'!$AD$5:$AD$2004,0)))</f>
        <v/>
      </c>
      <c r="R69" s="9">
        <f>IF($K69="","",INDEX('سجل التحفيز'!$F$5:$F$2004,MATCH($K69,'سجل التحفيز'!$AD$5:$AD$2004,0)))</f>
        <v/>
      </c>
      <c r="S69" s="35">
        <f>IF($K69="","",INDEX('سجل التحفيز'!$G$5:$G$2004,MATCH($K69,'سجل التحفيز'!$AD$5:$AD$2004,0)))</f>
        <v/>
      </c>
    </row>
    <row r="70">
      <c r="B70" s="34">
        <f>IFERROR(INDEX(الموظفات!$B$5:$B$304,MATCH(33,الموظفات!$X$5:$X$304,0)),"")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التحفيز'!$AD$5:$AD$2004,"&gt;0",'سجل التحفيز'!$B$5:$B$2004,B70))</f>
        <v/>
      </c>
      <c r="E70" s="35">
        <f>IF(B70="","",COUNTIFS('سجل التحفيز'!$AD$5:$AD$2004,"&gt;0",'سجل التحفيز'!$B$5:$B$2004,B70,'سجل التحفيز'!$D$5:$D$2004,"ذهبي"))</f>
        <v/>
      </c>
      <c r="F70" s="35">
        <f>IF(B70="","",SUMIFS('سجل التحفيز'!$G$5:$G$2004,'سجل التحفيز'!$AD$5:$AD$2004,"&gt;0",'سجل التحفيز'!$B$5:$B$2004,B70))</f>
        <v/>
      </c>
      <c r="G70" s="35">
        <f>IF(B70="","",COUNTIF($D$38:$D$187,"&gt;"&amp;D70)+1)</f>
        <v/>
      </c>
      <c r="H70" s="35">
        <f>IF(B70="","",INDEX(الموظفات!$L$5:$L$304,MATCH(B70,الموظفات!$B$5:$B$304,0)))</f>
        <v/>
      </c>
      <c r="K70" s="36">
        <f>IF(33&gt;$B$10,"",33)</f>
        <v/>
      </c>
      <c r="L70" s="37">
        <f>IF($K70="","",INDEX('سجل التحفيز'!$A$5:$A$2004,MATCH($K70,'سجل التحفيز'!$AD$5:$AD$2004,0)))</f>
        <v/>
      </c>
      <c r="M70" s="9">
        <f>IF($K70="","",INDEX('سجل التحفيز'!$B$5:$B$2004,MATCH($K70,'سجل التحفيز'!$AD$5:$AD$2004,0)))</f>
        <v/>
      </c>
      <c r="N70" s="9">
        <f>IF($K70="","",INDEX('سجل التحفيز'!$M$5:$M$2004,MATCH($K70,'سجل التحفيز'!$AD$5:$AD$2004,0)))</f>
        <v/>
      </c>
      <c r="O70" s="9">
        <f>IF($K70="","",INDEX('سجل التحفيز'!$C$5:$C$2004,MATCH($K70,'سجل التحفيز'!$AD$5:$AD$2004,0)))</f>
        <v/>
      </c>
      <c r="P70" s="36">
        <f>IF($K70="","",INDEX('سجل التحفيز'!$D$5:$D$2004,MATCH($K70,'سجل التحفيز'!$AD$5:$AD$2004,0)))</f>
        <v/>
      </c>
      <c r="Q70" s="9">
        <f>IF($K70="","",INDEX('سجل التحفيز'!$E$5:$E$2004,MATCH($K70,'سجل التحفيز'!$AD$5:$AD$2004,0)))</f>
        <v/>
      </c>
      <c r="R70" s="9">
        <f>IF($K70="","",INDEX('سجل التحفيز'!$F$5:$F$2004,MATCH($K70,'سجل التحفيز'!$AD$5:$AD$2004,0)))</f>
        <v/>
      </c>
      <c r="S70" s="35">
        <f>IF($K70="","",INDEX('سجل التحفيز'!$G$5:$G$2004,MATCH($K70,'سجل التحفيز'!$AD$5:$AD$2004,0)))</f>
        <v/>
      </c>
    </row>
    <row r="71">
      <c r="B71" s="34">
        <f>IFERROR(INDEX(الموظفات!$B$5:$B$304,MATCH(34,الموظفات!$X$5:$X$304,0)),"")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التحفيز'!$AD$5:$AD$2004,"&gt;0",'سجل التحفيز'!$B$5:$B$2004,B71))</f>
        <v/>
      </c>
      <c r="E71" s="35">
        <f>IF(B71="","",COUNTIFS('سجل التحفيز'!$AD$5:$AD$2004,"&gt;0",'سجل التحفيز'!$B$5:$B$2004,B71,'سجل التحفيز'!$D$5:$D$2004,"ذهبي"))</f>
        <v/>
      </c>
      <c r="F71" s="35">
        <f>IF(B71="","",SUMIFS('سجل التحفيز'!$G$5:$G$2004,'سجل التحفيز'!$AD$5:$AD$2004,"&gt;0",'سجل التحفيز'!$B$5:$B$2004,B71))</f>
        <v/>
      </c>
      <c r="G71" s="35">
        <f>IF(B71="","",COUNTIF($D$38:$D$187,"&gt;"&amp;D71)+1)</f>
        <v/>
      </c>
      <c r="H71" s="35">
        <f>IF(B71="","",INDEX(الموظفات!$L$5:$L$304,MATCH(B71,الموظفات!$B$5:$B$304,0)))</f>
        <v/>
      </c>
      <c r="K71" s="36">
        <f>IF(34&gt;$B$10,"",34)</f>
        <v/>
      </c>
      <c r="L71" s="37">
        <f>IF($K71="","",INDEX('سجل التحفيز'!$A$5:$A$2004,MATCH($K71,'سجل التحفيز'!$AD$5:$AD$2004,0)))</f>
        <v/>
      </c>
      <c r="M71" s="9">
        <f>IF($K71="","",INDEX('سجل التحفيز'!$B$5:$B$2004,MATCH($K71,'سجل التحفيز'!$AD$5:$AD$2004,0)))</f>
        <v/>
      </c>
      <c r="N71" s="9">
        <f>IF($K71="","",INDEX('سجل التحفيز'!$M$5:$M$2004,MATCH($K71,'سجل التحفيز'!$AD$5:$AD$2004,0)))</f>
        <v/>
      </c>
      <c r="O71" s="9">
        <f>IF($K71="","",INDEX('سجل التحفيز'!$C$5:$C$2004,MATCH($K71,'سجل التحفيز'!$AD$5:$AD$2004,0)))</f>
        <v/>
      </c>
      <c r="P71" s="36">
        <f>IF($K71="","",INDEX('سجل التحفيز'!$D$5:$D$2004,MATCH($K71,'سجل التحفيز'!$AD$5:$AD$2004,0)))</f>
        <v/>
      </c>
      <c r="Q71" s="9">
        <f>IF($K71="","",INDEX('سجل التحفيز'!$E$5:$E$2004,MATCH($K71,'سجل التحفيز'!$AD$5:$AD$2004,0)))</f>
        <v/>
      </c>
      <c r="R71" s="9">
        <f>IF($K71="","",INDEX('سجل التحفيز'!$F$5:$F$2004,MATCH($K71,'سجل التحفيز'!$AD$5:$AD$2004,0)))</f>
        <v/>
      </c>
      <c r="S71" s="35">
        <f>IF($K71="","",INDEX('سجل التحفيز'!$G$5:$G$2004,MATCH($K71,'سجل التحفيز'!$AD$5:$AD$2004,0)))</f>
        <v/>
      </c>
    </row>
    <row r="72">
      <c r="B72" s="34">
        <f>IFERROR(INDEX(الموظفات!$B$5:$B$304,MATCH(35,الموظفات!$X$5:$X$304,0)),"")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التحفيز'!$AD$5:$AD$2004,"&gt;0",'سجل التحفيز'!$B$5:$B$2004,B72))</f>
        <v/>
      </c>
      <c r="E72" s="35">
        <f>IF(B72="","",COUNTIFS('سجل التحفيز'!$AD$5:$AD$2004,"&gt;0",'سجل التحفيز'!$B$5:$B$2004,B72,'سجل التحفيز'!$D$5:$D$2004,"ذهبي"))</f>
        <v/>
      </c>
      <c r="F72" s="35">
        <f>IF(B72="","",SUMIFS('سجل التحفيز'!$G$5:$G$2004,'سجل التحفيز'!$AD$5:$AD$2004,"&gt;0",'سجل التحفيز'!$B$5:$B$2004,B72))</f>
        <v/>
      </c>
      <c r="G72" s="35">
        <f>IF(B72="","",COUNTIF($D$38:$D$187,"&gt;"&amp;D72)+1)</f>
        <v/>
      </c>
      <c r="H72" s="35">
        <f>IF(B72="","",INDEX(الموظفات!$L$5:$L$304,MATCH(B72,الموظفات!$B$5:$B$304,0)))</f>
        <v/>
      </c>
      <c r="K72" s="36">
        <f>IF(35&gt;$B$10,"",35)</f>
        <v/>
      </c>
      <c r="L72" s="37">
        <f>IF($K72="","",INDEX('سجل التحفيز'!$A$5:$A$2004,MATCH($K72,'سجل التحفيز'!$AD$5:$AD$2004,0)))</f>
        <v/>
      </c>
      <c r="M72" s="9">
        <f>IF($K72="","",INDEX('سجل التحفيز'!$B$5:$B$2004,MATCH($K72,'سجل التحفيز'!$AD$5:$AD$2004,0)))</f>
        <v/>
      </c>
      <c r="N72" s="9">
        <f>IF($K72="","",INDEX('سجل التحفيز'!$M$5:$M$2004,MATCH($K72,'سجل التحفيز'!$AD$5:$AD$2004,0)))</f>
        <v/>
      </c>
      <c r="O72" s="9">
        <f>IF($K72="","",INDEX('سجل التحفيز'!$C$5:$C$2004,MATCH($K72,'سجل التحفيز'!$AD$5:$AD$2004,0)))</f>
        <v/>
      </c>
      <c r="P72" s="36">
        <f>IF($K72="","",INDEX('سجل التحفيز'!$D$5:$D$2004,MATCH($K72,'سجل التحفيز'!$AD$5:$AD$2004,0)))</f>
        <v/>
      </c>
      <c r="Q72" s="9">
        <f>IF($K72="","",INDEX('سجل التحفيز'!$E$5:$E$2004,MATCH($K72,'سجل التحفيز'!$AD$5:$AD$2004,0)))</f>
        <v/>
      </c>
      <c r="R72" s="9">
        <f>IF($K72="","",INDEX('سجل التحفيز'!$F$5:$F$2004,MATCH($K72,'سجل التحفيز'!$AD$5:$AD$2004,0)))</f>
        <v/>
      </c>
      <c r="S72" s="35">
        <f>IF($K72="","",INDEX('سجل التحفيز'!$G$5:$G$2004,MATCH($K72,'سجل التحفيز'!$AD$5:$AD$2004,0)))</f>
        <v/>
      </c>
    </row>
    <row r="73">
      <c r="B73" s="34">
        <f>IFERROR(INDEX(الموظفات!$B$5:$B$304,MATCH(36,الموظفات!$X$5:$X$304,0)),"")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التحفيز'!$AD$5:$AD$2004,"&gt;0",'سجل التحفيز'!$B$5:$B$2004,B73))</f>
        <v/>
      </c>
      <c r="E73" s="35">
        <f>IF(B73="","",COUNTIFS('سجل التحفيز'!$AD$5:$AD$2004,"&gt;0",'سجل التحفيز'!$B$5:$B$2004,B73,'سجل التحفيز'!$D$5:$D$2004,"ذهبي"))</f>
        <v/>
      </c>
      <c r="F73" s="35">
        <f>IF(B73="","",SUMIFS('سجل التحفيز'!$G$5:$G$2004,'سجل التحفيز'!$AD$5:$AD$2004,"&gt;0",'سجل التحفيز'!$B$5:$B$2004,B73))</f>
        <v/>
      </c>
      <c r="G73" s="35">
        <f>IF(B73="","",COUNTIF($D$38:$D$187,"&gt;"&amp;D73)+1)</f>
        <v/>
      </c>
      <c r="H73" s="35">
        <f>IF(B73="","",INDEX(الموظفات!$L$5:$L$304,MATCH(B73,الموظفات!$B$5:$B$304,0)))</f>
        <v/>
      </c>
      <c r="K73" s="36">
        <f>IF(36&gt;$B$10,"",36)</f>
        <v/>
      </c>
      <c r="L73" s="37">
        <f>IF($K73="","",INDEX('سجل التحفيز'!$A$5:$A$2004,MATCH($K73,'سجل التحفيز'!$AD$5:$AD$2004,0)))</f>
        <v/>
      </c>
      <c r="M73" s="9">
        <f>IF($K73="","",INDEX('سجل التحفيز'!$B$5:$B$2004,MATCH($K73,'سجل التحفيز'!$AD$5:$AD$2004,0)))</f>
        <v/>
      </c>
      <c r="N73" s="9">
        <f>IF($K73="","",INDEX('سجل التحفيز'!$M$5:$M$2004,MATCH($K73,'سجل التحفيز'!$AD$5:$AD$2004,0)))</f>
        <v/>
      </c>
      <c r="O73" s="9">
        <f>IF($K73="","",INDEX('سجل التحفيز'!$C$5:$C$2004,MATCH($K73,'سجل التحفيز'!$AD$5:$AD$2004,0)))</f>
        <v/>
      </c>
      <c r="P73" s="36">
        <f>IF($K73="","",INDEX('سجل التحفيز'!$D$5:$D$2004,MATCH($K73,'سجل التحفيز'!$AD$5:$AD$2004,0)))</f>
        <v/>
      </c>
      <c r="Q73" s="9">
        <f>IF($K73="","",INDEX('سجل التحفيز'!$E$5:$E$2004,MATCH($K73,'سجل التحفيز'!$AD$5:$AD$2004,0)))</f>
        <v/>
      </c>
      <c r="R73" s="9">
        <f>IF($K73="","",INDEX('سجل التحفيز'!$F$5:$F$2004,MATCH($K73,'سجل التحفيز'!$AD$5:$AD$2004,0)))</f>
        <v/>
      </c>
      <c r="S73" s="35">
        <f>IF($K73="","",INDEX('سجل التحفيز'!$G$5:$G$2004,MATCH($K73,'سجل التحفيز'!$AD$5:$AD$2004,0)))</f>
        <v/>
      </c>
    </row>
    <row r="74">
      <c r="B74" s="34">
        <f>IFERROR(INDEX(الموظفات!$B$5:$B$304,MATCH(37,الموظفات!$X$5:$X$304,0)),"")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التحفيز'!$AD$5:$AD$2004,"&gt;0",'سجل التحفيز'!$B$5:$B$2004,B74))</f>
        <v/>
      </c>
      <c r="E74" s="35">
        <f>IF(B74="","",COUNTIFS('سجل التحفيز'!$AD$5:$AD$2004,"&gt;0",'سجل التحفيز'!$B$5:$B$2004,B74,'سجل التحفيز'!$D$5:$D$2004,"ذهبي"))</f>
        <v/>
      </c>
      <c r="F74" s="35">
        <f>IF(B74="","",SUMIFS('سجل التحفيز'!$G$5:$G$2004,'سجل التحفيز'!$AD$5:$AD$2004,"&gt;0",'سجل التحفيز'!$B$5:$B$2004,B74))</f>
        <v/>
      </c>
      <c r="G74" s="35">
        <f>IF(B74="","",COUNTIF($D$38:$D$187,"&gt;"&amp;D74)+1)</f>
        <v/>
      </c>
      <c r="H74" s="35">
        <f>IF(B74="","",INDEX(الموظفات!$L$5:$L$304,MATCH(B74,الموظفات!$B$5:$B$304,0)))</f>
        <v/>
      </c>
      <c r="K74" s="36">
        <f>IF(37&gt;$B$10,"",37)</f>
        <v/>
      </c>
      <c r="L74" s="37">
        <f>IF($K74="","",INDEX('سجل التحفيز'!$A$5:$A$2004,MATCH($K74,'سجل التحفيز'!$AD$5:$AD$2004,0)))</f>
        <v/>
      </c>
      <c r="M74" s="9">
        <f>IF($K74="","",INDEX('سجل التحفيز'!$B$5:$B$2004,MATCH($K74,'سجل التحفيز'!$AD$5:$AD$2004,0)))</f>
        <v/>
      </c>
      <c r="N74" s="9">
        <f>IF($K74="","",INDEX('سجل التحفيز'!$M$5:$M$2004,MATCH($K74,'سجل التحفيز'!$AD$5:$AD$2004,0)))</f>
        <v/>
      </c>
      <c r="O74" s="9">
        <f>IF($K74="","",INDEX('سجل التحفيز'!$C$5:$C$2004,MATCH($K74,'سجل التحفيز'!$AD$5:$AD$2004,0)))</f>
        <v/>
      </c>
      <c r="P74" s="36">
        <f>IF($K74="","",INDEX('سجل التحفيز'!$D$5:$D$2004,MATCH($K74,'سجل التحفيز'!$AD$5:$AD$2004,0)))</f>
        <v/>
      </c>
      <c r="Q74" s="9">
        <f>IF($K74="","",INDEX('سجل التحفيز'!$E$5:$E$2004,MATCH($K74,'سجل التحفيز'!$AD$5:$AD$2004,0)))</f>
        <v/>
      </c>
      <c r="R74" s="9">
        <f>IF($K74="","",INDEX('سجل التحفيز'!$F$5:$F$2004,MATCH($K74,'سجل التحفيز'!$AD$5:$AD$2004,0)))</f>
        <v/>
      </c>
      <c r="S74" s="35">
        <f>IF($K74="","",INDEX('سجل التحفيز'!$G$5:$G$2004,MATCH($K74,'سجل التحفيز'!$AD$5:$AD$2004,0)))</f>
        <v/>
      </c>
    </row>
    <row r="75">
      <c r="B75" s="34">
        <f>IFERROR(INDEX(الموظفات!$B$5:$B$304,MATCH(38,الموظفات!$X$5:$X$304,0)),"")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التحفيز'!$AD$5:$AD$2004,"&gt;0",'سجل التحفيز'!$B$5:$B$2004,B75))</f>
        <v/>
      </c>
      <c r="E75" s="35">
        <f>IF(B75="","",COUNTIFS('سجل التحفيز'!$AD$5:$AD$2004,"&gt;0",'سجل التحفيز'!$B$5:$B$2004,B75,'سجل التحفيز'!$D$5:$D$2004,"ذهبي"))</f>
        <v/>
      </c>
      <c r="F75" s="35">
        <f>IF(B75="","",SUMIFS('سجل التحفيز'!$G$5:$G$2004,'سجل التحفيز'!$AD$5:$AD$2004,"&gt;0",'سجل التحفيز'!$B$5:$B$2004,B75))</f>
        <v/>
      </c>
      <c r="G75" s="35">
        <f>IF(B75="","",COUNTIF($D$38:$D$187,"&gt;"&amp;D75)+1)</f>
        <v/>
      </c>
      <c r="H75" s="35">
        <f>IF(B75="","",INDEX(الموظفات!$L$5:$L$304,MATCH(B75,الموظفات!$B$5:$B$304,0)))</f>
        <v/>
      </c>
      <c r="K75" s="36">
        <f>IF(38&gt;$B$10,"",38)</f>
        <v/>
      </c>
      <c r="L75" s="37">
        <f>IF($K75="","",INDEX('سجل التحفيز'!$A$5:$A$2004,MATCH($K75,'سجل التحفيز'!$AD$5:$AD$2004,0)))</f>
        <v/>
      </c>
      <c r="M75" s="9">
        <f>IF($K75="","",INDEX('سجل التحفيز'!$B$5:$B$2004,MATCH($K75,'سجل التحفيز'!$AD$5:$AD$2004,0)))</f>
        <v/>
      </c>
      <c r="N75" s="9">
        <f>IF($K75="","",INDEX('سجل التحفيز'!$M$5:$M$2004,MATCH($K75,'سجل التحفيز'!$AD$5:$AD$2004,0)))</f>
        <v/>
      </c>
      <c r="O75" s="9">
        <f>IF($K75="","",INDEX('سجل التحفيز'!$C$5:$C$2004,MATCH($K75,'سجل التحفيز'!$AD$5:$AD$2004,0)))</f>
        <v/>
      </c>
      <c r="P75" s="36">
        <f>IF($K75="","",INDEX('سجل التحفيز'!$D$5:$D$2004,MATCH($K75,'سجل التحفيز'!$AD$5:$AD$2004,0)))</f>
        <v/>
      </c>
      <c r="Q75" s="9">
        <f>IF($K75="","",INDEX('سجل التحفيز'!$E$5:$E$2004,MATCH($K75,'سجل التحفيز'!$AD$5:$AD$2004,0)))</f>
        <v/>
      </c>
      <c r="R75" s="9">
        <f>IF($K75="","",INDEX('سجل التحفيز'!$F$5:$F$2004,MATCH($K75,'سجل التحفيز'!$AD$5:$AD$2004,0)))</f>
        <v/>
      </c>
      <c r="S75" s="35">
        <f>IF($K75="","",INDEX('سجل التحفيز'!$G$5:$G$2004,MATCH($K75,'سجل التحفيز'!$AD$5:$AD$2004,0)))</f>
        <v/>
      </c>
    </row>
    <row r="76">
      <c r="B76" s="34">
        <f>IFERROR(INDEX(الموظفات!$B$5:$B$304,MATCH(39,الموظفات!$X$5:$X$304,0)),"")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التحفيز'!$AD$5:$AD$2004,"&gt;0",'سجل التحفيز'!$B$5:$B$2004,B76))</f>
        <v/>
      </c>
      <c r="E76" s="35">
        <f>IF(B76="","",COUNTIFS('سجل التحفيز'!$AD$5:$AD$2004,"&gt;0",'سجل التحفيز'!$B$5:$B$2004,B76,'سجل التحفيز'!$D$5:$D$2004,"ذهبي"))</f>
        <v/>
      </c>
      <c r="F76" s="35">
        <f>IF(B76="","",SUMIFS('سجل التحفيز'!$G$5:$G$2004,'سجل التحفيز'!$AD$5:$AD$2004,"&gt;0",'سجل التحفيز'!$B$5:$B$2004,B76))</f>
        <v/>
      </c>
      <c r="G76" s="35">
        <f>IF(B76="","",COUNTIF($D$38:$D$187,"&gt;"&amp;D76)+1)</f>
        <v/>
      </c>
      <c r="H76" s="35">
        <f>IF(B76="","",INDEX(الموظفات!$L$5:$L$304,MATCH(B76,الموظفات!$B$5:$B$304,0)))</f>
        <v/>
      </c>
      <c r="K76" s="36">
        <f>IF(39&gt;$B$10,"",39)</f>
        <v/>
      </c>
      <c r="L76" s="37">
        <f>IF($K76="","",INDEX('سجل التحفيز'!$A$5:$A$2004,MATCH($K76,'سجل التحفيز'!$AD$5:$AD$2004,0)))</f>
        <v/>
      </c>
      <c r="M76" s="9">
        <f>IF($K76="","",INDEX('سجل التحفيز'!$B$5:$B$2004,MATCH($K76,'سجل التحفيز'!$AD$5:$AD$2004,0)))</f>
        <v/>
      </c>
      <c r="N76" s="9">
        <f>IF($K76="","",INDEX('سجل التحفيز'!$M$5:$M$2004,MATCH($K76,'سجل التحفيز'!$AD$5:$AD$2004,0)))</f>
        <v/>
      </c>
      <c r="O76" s="9">
        <f>IF($K76="","",INDEX('سجل التحفيز'!$C$5:$C$2004,MATCH($K76,'سجل التحفيز'!$AD$5:$AD$2004,0)))</f>
        <v/>
      </c>
      <c r="P76" s="36">
        <f>IF($K76="","",INDEX('سجل التحفيز'!$D$5:$D$2004,MATCH($K76,'سجل التحفيز'!$AD$5:$AD$2004,0)))</f>
        <v/>
      </c>
      <c r="Q76" s="9">
        <f>IF($K76="","",INDEX('سجل التحفيز'!$E$5:$E$2004,MATCH($K76,'سجل التحفيز'!$AD$5:$AD$2004,0)))</f>
        <v/>
      </c>
      <c r="R76" s="9">
        <f>IF($K76="","",INDEX('سجل التحفيز'!$F$5:$F$2004,MATCH($K76,'سجل التحفيز'!$AD$5:$AD$2004,0)))</f>
        <v/>
      </c>
      <c r="S76" s="35">
        <f>IF($K76="","",INDEX('سجل التحفيز'!$G$5:$G$2004,MATCH($K76,'سجل التحفيز'!$AD$5:$AD$2004,0)))</f>
        <v/>
      </c>
    </row>
    <row r="77">
      <c r="B77" s="34">
        <f>IFERROR(INDEX(الموظفات!$B$5:$B$304,MATCH(40,الموظفات!$X$5:$X$304,0)),"")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التحفيز'!$AD$5:$AD$2004,"&gt;0",'سجل التحفيز'!$B$5:$B$2004,B77))</f>
        <v/>
      </c>
      <c r="E77" s="35">
        <f>IF(B77="","",COUNTIFS('سجل التحفيز'!$AD$5:$AD$2004,"&gt;0",'سجل التحفيز'!$B$5:$B$2004,B77,'سجل التحفيز'!$D$5:$D$2004,"ذهبي"))</f>
        <v/>
      </c>
      <c r="F77" s="35">
        <f>IF(B77="","",SUMIFS('سجل التحفيز'!$G$5:$G$2004,'سجل التحفيز'!$AD$5:$AD$2004,"&gt;0",'سجل التحفيز'!$B$5:$B$2004,B77))</f>
        <v/>
      </c>
      <c r="G77" s="35">
        <f>IF(B77="","",COUNTIF($D$38:$D$187,"&gt;"&amp;D77)+1)</f>
        <v/>
      </c>
      <c r="H77" s="35">
        <f>IF(B77="","",INDEX(الموظفات!$L$5:$L$304,MATCH(B77,الموظفات!$B$5:$B$304,0)))</f>
        <v/>
      </c>
      <c r="K77" s="36">
        <f>IF(40&gt;$B$10,"",40)</f>
        <v/>
      </c>
      <c r="L77" s="37">
        <f>IF($K77="","",INDEX('سجل التحفيز'!$A$5:$A$2004,MATCH($K77,'سجل التحفيز'!$AD$5:$AD$2004,0)))</f>
        <v/>
      </c>
      <c r="M77" s="9">
        <f>IF($K77="","",INDEX('سجل التحفيز'!$B$5:$B$2004,MATCH($K77,'سجل التحفيز'!$AD$5:$AD$2004,0)))</f>
        <v/>
      </c>
      <c r="N77" s="9">
        <f>IF($K77="","",INDEX('سجل التحفيز'!$M$5:$M$2004,MATCH($K77,'سجل التحفيز'!$AD$5:$AD$2004,0)))</f>
        <v/>
      </c>
      <c r="O77" s="9">
        <f>IF($K77="","",INDEX('سجل التحفيز'!$C$5:$C$2004,MATCH($K77,'سجل التحفيز'!$AD$5:$AD$2004,0)))</f>
        <v/>
      </c>
      <c r="P77" s="36">
        <f>IF($K77="","",INDEX('سجل التحفيز'!$D$5:$D$2004,MATCH($K77,'سجل التحفيز'!$AD$5:$AD$2004,0)))</f>
        <v/>
      </c>
      <c r="Q77" s="9">
        <f>IF($K77="","",INDEX('سجل التحفيز'!$E$5:$E$2004,MATCH($K77,'سجل التحفيز'!$AD$5:$AD$2004,0)))</f>
        <v/>
      </c>
      <c r="R77" s="9">
        <f>IF($K77="","",INDEX('سجل التحفيز'!$F$5:$F$2004,MATCH($K77,'سجل التحفيز'!$AD$5:$AD$2004,0)))</f>
        <v/>
      </c>
      <c r="S77" s="35">
        <f>IF($K77="","",INDEX('سجل التحفيز'!$G$5:$G$2004,MATCH($K77,'سجل التحفيز'!$AD$5:$AD$2004,0)))</f>
        <v/>
      </c>
    </row>
    <row r="78">
      <c r="B78" s="34">
        <f>IFERROR(INDEX(الموظفات!$B$5:$B$304,MATCH(41,الموظفات!$X$5:$X$304,0)),"")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التحفيز'!$AD$5:$AD$2004,"&gt;0",'سجل التحفيز'!$B$5:$B$2004,B78))</f>
        <v/>
      </c>
      <c r="E78" s="35">
        <f>IF(B78="","",COUNTIFS('سجل التحفيز'!$AD$5:$AD$2004,"&gt;0",'سجل التحفيز'!$B$5:$B$2004,B78,'سجل التحفيز'!$D$5:$D$2004,"ذهبي"))</f>
        <v/>
      </c>
      <c r="F78" s="35">
        <f>IF(B78="","",SUMIFS('سجل التحفيز'!$G$5:$G$2004,'سجل التحفيز'!$AD$5:$AD$2004,"&gt;0",'سجل التحفيز'!$B$5:$B$2004,B78))</f>
        <v/>
      </c>
      <c r="G78" s="35">
        <f>IF(B78="","",COUNTIF($D$38:$D$187,"&gt;"&amp;D78)+1)</f>
        <v/>
      </c>
      <c r="H78" s="35">
        <f>IF(B78="","",INDEX(الموظفات!$L$5:$L$304,MATCH(B78,الموظفات!$B$5:$B$304,0)))</f>
        <v/>
      </c>
      <c r="K78" s="36">
        <f>IF(41&gt;$B$10,"",41)</f>
        <v/>
      </c>
      <c r="L78" s="37">
        <f>IF($K78="","",INDEX('سجل التحفيز'!$A$5:$A$2004,MATCH($K78,'سجل التحفيز'!$AD$5:$AD$2004,0)))</f>
        <v/>
      </c>
      <c r="M78" s="9">
        <f>IF($K78="","",INDEX('سجل التحفيز'!$B$5:$B$2004,MATCH($K78,'سجل التحفيز'!$AD$5:$AD$2004,0)))</f>
        <v/>
      </c>
      <c r="N78" s="9">
        <f>IF($K78="","",INDEX('سجل التحفيز'!$M$5:$M$2004,MATCH($K78,'سجل التحفيز'!$AD$5:$AD$2004,0)))</f>
        <v/>
      </c>
      <c r="O78" s="9">
        <f>IF($K78="","",INDEX('سجل التحفيز'!$C$5:$C$2004,MATCH($K78,'سجل التحفيز'!$AD$5:$AD$2004,0)))</f>
        <v/>
      </c>
      <c r="P78" s="36">
        <f>IF($K78="","",INDEX('سجل التحفيز'!$D$5:$D$2004,MATCH($K78,'سجل التحفيز'!$AD$5:$AD$2004,0)))</f>
        <v/>
      </c>
      <c r="Q78" s="9">
        <f>IF($K78="","",INDEX('سجل التحفيز'!$E$5:$E$2004,MATCH($K78,'سجل التحفيز'!$AD$5:$AD$2004,0)))</f>
        <v/>
      </c>
      <c r="R78" s="9">
        <f>IF($K78="","",INDEX('سجل التحفيز'!$F$5:$F$2004,MATCH($K78,'سجل التحفيز'!$AD$5:$AD$2004,0)))</f>
        <v/>
      </c>
      <c r="S78" s="35">
        <f>IF($K78="","",INDEX('سجل التحفيز'!$G$5:$G$2004,MATCH($K78,'سجل التحفيز'!$AD$5:$AD$2004,0)))</f>
        <v/>
      </c>
    </row>
    <row r="79">
      <c r="B79" s="34">
        <f>IFERROR(INDEX(الموظفات!$B$5:$B$304,MATCH(42,الموظفات!$X$5:$X$304,0)),"")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التحفيز'!$AD$5:$AD$2004,"&gt;0",'سجل التحفيز'!$B$5:$B$2004,B79))</f>
        <v/>
      </c>
      <c r="E79" s="35">
        <f>IF(B79="","",COUNTIFS('سجل التحفيز'!$AD$5:$AD$2004,"&gt;0",'سجل التحفيز'!$B$5:$B$2004,B79,'سجل التحفيز'!$D$5:$D$2004,"ذهبي"))</f>
        <v/>
      </c>
      <c r="F79" s="35">
        <f>IF(B79="","",SUMIFS('سجل التحفيز'!$G$5:$G$2004,'سجل التحفيز'!$AD$5:$AD$2004,"&gt;0",'سجل التحفيز'!$B$5:$B$2004,B79))</f>
        <v/>
      </c>
      <c r="G79" s="35">
        <f>IF(B79="","",COUNTIF($D$38:$D$187,"&gt;"&amp;D79)+1)</f>
        <v/>
      </c>
      <c r="H79" s="35">
        <f>IF(B79="","",INDEX(الموظفات!$L$5:$L$304,MATCH(B79,الموظفات!$B$5:$B$304,0)))</f>
        <v/>
      </c>
      <c r="K79" s="36">
        <f>IF(42&gt;$B$10,"",42)</f>
        <v/>
      </c>
      <c r="L79" s="37">
        <f>IF($K79="","",INDEX('سجل التحفيز'!$A$5:$A$2004,MATCH($K79,'سجل التحفيز'!$AD$5:$AD$2004,0)))</f>
        <v/>
      </c>
      <c r="M79" s="9">
        <f>IF($K79="","",INDEX('سجل التحفيز'!$B$5:$B$2004,MATCH($K79,'سجل التحفيز'!$AD$5:$AD$2004,0)))</f>
        <v/>
      </c>
      <c r="N79" s="9">
        <f>IF($K79="","",INDEX('سجل التحفيز'!$M$5:$M$2004,MATCH($K79,'سجل التحفيز'!$AD$5:$AD$2004,0)))</f>
        <v/>
      </c>
      <c r="O79" s="9">
        <f>IF($K79="","",INDEX('سجل التحفيز'!$C$5:$C$2004,MATCH($K79,'سجل التحفيز'!$AD$5:$AD$2004,0)))</f>
        <v/>
      </c>
      <c r="P79" s="36">
        <f>IF($K79="","",INDEX('سجل التحفيز'!$D$5:$D$2004,MATCH($K79,'سجل التحفيز'!$AD$5:$AD$2004,0)))</f>
        <v/>
      </c>
      <c r="Q79" s="9">
        <f>IF($K79="","",INDEX('سجل التحفيز'!$E$5:$E$2004,MATCH($K79,'سجل التحفيز'!$AD$5:$AD$2004,0)))</f>
        <v/>
      </c>
      <c r="R79" s="9">
        <f>IF($K79="","",INDEX('سجل التحفيز'!$F$5:$F$2004,MATCH($K79,'سجل التحفيز'!$AD$5:$AD$2004,0)))</f>
        <v/>
      </c>
      <c r="S79" s="35">
        <f>IF($K79="","",INDEX('سجل التحفيز'!$G$5:$G$2004,MATCH($K79,'سجل التحفيز'!$AD$5:$AD$2004,0)))</f>
        <v/>
      </c>
    </row>
    <row r="80">
      <c r="B80" s="34">
        <f>IFERROR(INDEX(الموظفات!$B$5:$B$304,MATCH(43,الموظفات!$X$5:$X$304,0)),"")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التحفيز'!$AD$5:$AD$2004,"&gt;0",'سجل التحفيز'!$B$5:$B$2004,B80))</f>
        <v/>
      </c>
      <c r="E80" s="35">
        <f>IF(B80="","",COUNTIFS('سجل التحفيز'!$AD$5:$AD$2004,"&gt;0",'سجل التحفيز'!$B$5:$B$2004,B80,'سجل التحفيز'!$D$5:$D$2004,"ذهبي"))</f>
        <v/>
      </c>
      <c r="F80" s="35">
        <f>IF(B80="","",SUMIFS('سجل التحفيز'!$G$5:$G$2004,'سجل التحفيز'!$AD$5:$AD$2004,"&gt;0",'سجل التحفيز'!$B$5:$B$2004,B80))</f>
        <v/>
      </c>
      <c r="G80" s="35">
        <f>IF(B80="","",COUNTIF($D$38:$D$187,"&gt;"&amp;D80)+1)</f>
        <v/>
      </c>
      <c r="H80" s="35">
        <f>IF(B80="","",INDEX(الموظفات!$L$5:$L$304,MATCH(B80,الموظفات!$B$5:$B$304,0)))</f>
        <v/>
      </c>
      <c r="K80" s="36">
        <f>IF(43&gt;$B$10,"",43)</f>
        <v/>
      </c>
      <c r="L80" s="37">
        <f>IF($K80="","",INDEX('سجل التحفيز'!$A$5:$A$2004,MATCH($K80,'سجل التحفيز'!$AD$5:$AD$2004,0)))</f>
        <v/>
      </c>
      <c r="M80" s="9">
        <f>IF($K80="","",INDEX('سجل التحفيز'!$B$5:$B$2004,MATCH($K80,'سجل التحفيز'!$AD$5:$AD$2004,0)))</f>
        <v/>
      </c>
      <c r="N80" s="9">
        <f>IF($K80="","",INDEX('سجل التحفيز'!$M$5:$M$2004,MATCH($K80,'سجل التحفيز'!$AD$5:$AD$2004,0)))</f>
        <v/>
      </c>
      <c r="O80" s="9">
        <f>IF($K80="","",INDEX('سجل التحفيز'!$C$5:$C$2004,MATCH($K80,'سجل التحفيز'!$AD$5:$AD$2004,0)))</f>
        <v/>
      </c>
      <c r="P80" s="36">
        <f>IF($K80="","",INDEX('سجل التحفيز'!$D$5:$D$2004,MATCH($K80,'سجل التحفيز'!$AD$5:$AD$2004,0)))</f>
        <v/>
      </c>
      <c r="Q80" s="9">
        <f>IF($K80="","",INDEX('سجل التحفيز'!$E$5:$E$2004,MATCH($K80,'سجل التحفيز'!$AD$5:$AD$2004,0)))</f>
        <v/>
      </c>
      <c r="R80" s="9">
        <f>IF($K80="","",INDEX('سجل التحفيز'!$F$5:$F$2004,MATCH($K80,'سجل التحفيز'!$AD$5:$AD$2004,0)))</f>
        <v/>
      </c>
      <c r="S80" s="35">
        <f>IF($K80="","",INDEX('سجل التحفيز'!$G$5:$G$2004,MATCH($K80,'سجل التحفيز'!$AD$5:$AD$2004,0)))</f>
        <v/>
      </c>
    </row>
    <row r="81">
      <c r="B81" s="34">
        <f>IFERROR(INDEX(الموظفات!$B$5:$B$304,MATCH(44,الموظفات!$X$5:$X$304,0)),"")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التحفيز'!$AD$5:$AD$2004,"&gt;0",'سجل التحفيز'!$B$5:$B$2004,B81))</f>
        <v/>
      </c>
      <c r="E81" s="35">
        <f>IF(B81="","",COUNTIFS('سجل التحفيز'!$AD$5:$AD$2004,"&gt;0",'سجل التحفيز'!$B$5:$B$2004,B81,'سجل التحفيز'!$D$5:$D$2004,"ذهبي"))</f>
        <v/>
      </c>
      <c r="F81" s="35">
        <f>IF(B81="","",SUMIFS('سجل التحفيز'!$G$5:$G$2004,'سجل التحفيز'!$AD$5:$AD$2004,"&gt;0",'سجل التحفيز'!$B$5:$B$2004,B81))</f>
        <v/>
      </c>
      <c r="G81" s="35">
        <f>IF(B81="","",COUNTIF($D$38:$D$187,"&gt;"&amp;D81)+1)</f>
        <v/>
      </c>
      <c r="H81" s="35">
        <f>IF(B81="","",INDEX(الموظفات!$L$5:$L$304,MATCH(B81,الموظفات!$B$5:$B$304,0)))</f>
        <v/>
      </c>
      <c r="K81" s="36">
        <f>IF(44&gt;$B$10,"",44)</f>
        <v/>
      </c>
      <c r="L81" s="37">
        <f>IF($K81="","",INDEX('سجل التحفيز'!$A$5:$A$2004,MATCH($K81,'سجل التحفيز'!$AD$5:$AD$2004,0)))</f>
        <v/>
      </c>
      <c r="M81" s="9">
        <f>IF($K81="","",INDEX('سجل التحفيز'!$B$5:$B$2004,MATCH($K81,'سجل التحفيز'!$AD$5:$AD$2004,0)))</f>
        <v/>
      </c>
      <c r="N81" s="9">
        <f>IF($K81="","",INDEX('سجل التحفيز'!$M$5:$M$2004,MATCH($K81,'سجل التحفيز'!$AD$5:$AD$2004,0)))</f>
        <v/>
      </c>
      <c r="O81" s="9">
        <f>IF($K81="","",INDEX('سجل التحفيز'!$C$5:$C$2004,MATCH($K81,'سجل التحفيز'!$AD$5:$AD$2004,0)))</f>
        <v/>
      </c>
      <c r="P81" s="36">
        <f>IF($K81="","",INDEX('سجل التحفيز'!$D$5:$D$2004,MATCH($K81,'سجل التحفيز'!$AD$5:$AD$2004,0)))</f>
        <v/>
      </c>
      <c r="Q81" s="9">
        <f>IF($K81="","",INDEX('سجل التحفيز'!$E$5:$E$2004,MATCH($K81,'سجل التحفيز'!$AD$5:$AD$2004,0)))</f>
        <v/>
      </c>
      <c r="R81" s="9">
        <f>IF($K81="","",INDEX('سجل التحفيز'!$F$5:$F$2004,MATCH($K81,'سجل التحفيز'!$AD$5:$AD$2004,0)))</f>
        <v/>
      </c>
      <c r="S81" s="35">
        <f>IF($K81="","",INDEX('سجل التحفيز'!$G$5:$G$2004,MATCH($K81,'سجل التحفيز'!$AD$5:$AD$2004,0)))</f>
        <v/>
      </c>
    </row>
    <row r="82">
      <c r="B82" s="34">
        <f>IFERROR(INDEX(الموظفات!$B$5:$B$304,MATCH(45,الموظفات!$X$5:$X$304,0)),"")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التحفيز'!$AD$5:$AD$2004,"&gt;0",'سجل التحفيز'!$B$5:$B$2004,B82))</f>
        <v/>
      </c>
      <c r="E82" s="35">
        <f>IF(B82="","",COUNTIFS('سجل التحفيز'!$AD$5:$AD$2004,"&gt;0",'سجل التحفيز'!$B$5:$B$2004,B82,'سجل التحفيز'!$D$5:$D$2004,"ذهبي"))</f>
        <v/>
      </c>
      <c r="F82" s="35">
        <f>IF(B82="","",SUMIFS('سجل التحفيز'!$G$5:$G$2004,'سجل التحفيز'!$AD$5:$AD$2004,"&gt;0",'سجل التحفيز'!$B$5:$B$2004,B82))</f>
        <v/>
      </c>
      <c r="G82" s="35">
        <f>IF(B82="","",COUNTIF($D$38:$D$187,"&gt;"&amp;D82)+1)</f>
        <v/>
      </c>
      <c r="H82" s="35">
        <f>IF(B82="","",INDEX(الموظفات!$L$5:$L$304,MATCH(B82,الموظفات!$B$5:$B$304,0)))</f>
        <v/>
      </c>
      <c r="K82" s="36">
        <f>IF(45&gt;$B$10,"",45)</f>
        <v/>
      </c>
      <c r="L82" s="37">
        <f>IF($K82="","",INDEX('سجل التحفيز'!$A$5:$A$2004,MATCH($K82,'سجل التحفيز'!$AD$5:$AD$2004,0)))</f>
        <v/>
      </c>
      <c r="M82" s="9">
        <f>IF($K82="","",INDEX('سجل التحفيز'!$B$5:$B$2004,MATCH($K82,'سجل التحفيز'!$AD$5:$AD$2004,0)))</f>
        <v/>
      </c>
      <c r="N82" s="9">
        <f>IF($K82="","",INDEX('سجل التحفيز'!$M$5:$M$2004,MATCH($K82,'سجل التحفيز'!$AD$5:$AD$2004,0)))</f>
        <v/>
      </c>
      <c r="O82" s="9">
        <f>IF($K82="","",INDEX('سجل التحفيز'!$C$5:$C$2004,MATCH($K82,'سجل التحفيز'!$AD$5:$AD$2004,0)))</f>
        <v/>
      </c>
      <c r="P82" s="36">
        <f>IF($K82="","",INDEX('سجل التحفيز'!$D$5:$D$2004,MATCH($K82,'سجل التحفيز'!$AD$5:$AD$2004,0)))</f>
        <v/>
      </c>
      <c r="Q82" s="9">
        <f>IF($K82="","",INDEX('سجل التحفيز'!$E$5:$E$2004,MATCH($K82,'سجل التحفيز'!$AD$5:$AD$2004,0)))</f>
        <v/>
      </c>
      <c r="R82" s="9">
        <f>IF($K82="","",INDEX('سجل التحفيز'!$F$5:$F$2004,MATCH($K82,'سجل التحفيز'!$AD$5:$AD$2004,0)))</f>
        <v/>
      </c>
      <c r="S82" s="35">
        <f>IF($K82="","",INDEX('سجل التحفيز'!$G$5:$G$2004,MATCH($K82,'سجل التحفيز'!$AD$5:$AD$2004,0)))</f>
        <v/>
      </c>
    </row>
    <row r="83">
      <c r="B83" s="34">
        <f>IFERROR(INDEX(الموظفات!$B$5:$B$304,MATCH(46,الموظفات!$X$5:$X$304,0)),"")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التحفيز'!$AD$5:$AD$2004,"&gt;0",'سجل التحفيز'!$B$5:$B$2004,B83))</f>
        <v/>
      </c>
      <c r="E83" s="35">
        <f>IF(B83="","",COUNTIFS('سجل التحفيز'!$AD$5:$AD$2004,"&gt;0",'سجل التحفيز'!$B$5:$B$2004,B83,'سجل التحفيز'!$D$5:$D$2004,"ذهبي"))</f>
        <v/>
      </c>
      <c r="F83" s="35">
        <f>IF(B83="","",SUMIFS('سجل التحفيز'!$G$5:$G$2004,'سجل التحفيز'!$AD$5:$AD$2004,"&gt;0",'سجل التحفيز'!$B$5:$B$2004,B83))</f>
        <v/>
      </c>
      <c r="G83" s="35">
        <f>IF(B83="","",COUNTIF($D$38:$D$187,"&gt;"&amp;D83)+1)</f>
        <v/>
      </c>
      <c r="H83" s="35">
        <f>IF(B83="","",INDEX(الموظفات!$L$5:$L$304,MATCH(B83,الموظفات!$B$5:$B$304,0)))</f>
        <v/>
      </c>
      <c r="K83" s="36">
        <f>IF(46&gt;$B$10,"",46)</f>
        <v/>
      </c>
      <c r="L83" s="37">
        <f>IF($K83="","",INDEX('سجل التحفيز'!$A$5:$A$2004,MATCH($K83,'سجل التحفيز'!$AD$5:$AD$2004,0)))</f>
        <v/>
      </c>
      <c r="M83" s="9">
        <f>IF($K83="","",INDEX('سجل التحفيز'!$B$5:$B$2004,MATCH($K83,'سجل التحفيز'!$AD$5:$AD$2004,0)))</f>
        <v/>
      </c>
      <c r="N83" s="9">
        <f>IF($K83="","",INDEX('سجل التحفيز'!$M$5:$M$2004,MATCH($K83,'سجل التحفيز'!$AD$5:$AD$2004,0)))</f>
        <v/>
      </c>
      <c r="O83" s="9">
        <f>IF($K83="","",INDEX('سجل التحفيز'!$C$5:$C$2004,MATCH($K83,'سجل التحفيز'!$AD$5:$AD$2004,0)))</f>
        <v/>
      </c>
      <c r="P83" s="36">
        <f>IF($K83="","",INDEX('سجل التحفيز'!$D$5:$D$2004,MATCH($K83,'سجل التحفيز'!$AD$5:$AD$2004,0)))</f>
        <v/>
      </c>
      <c r="Q83" s="9">
        <f>IF($K83="","",INDEX('سجل التحفيز'!$E$5:$E$2004,MATCH($K83,'سجل التحفيز'!$AD$5:$AD$2004,0)))</f>
        <v/>
      </c>
      <c r="R83" s="9">
        <f>IF($K83="","",INDEX('سجل التحفيز'!$F$5:$F$2004,MATCH($K83,'سجل التحفيز'!$AD$5:$AD$2004,0)))</f>
        <v/>
      </c>
      <c r="S83" s="35">
        <f>IF($K83="","",INDEX('سجل التحفيز'!$G$5:$G$2004,MATCH($K83,'سجل التحفيز'!$AD$5:$AD$2004,0)))</f>
        <v/>
      </c>
    </row>
    <row r="84">
      <c r="B84" s="34">
        <f>IFERROR(INDEX(الموظفات!$B$5:$B$304,MATCH(47,الموظفات!$X$5:$X$304,0)),"")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التحفيز'!$AD$5:$AD$2004,"&gt;0",'سجل التحفيز'!$B$5:$B$2004,B84))</f>
        <v/>
      </c>
      <c r="E84" s="35">
        <f>IF(B84="","",COUNTIFS('سجل التحفيز'!$AD$5:$AD$2004,"&gt;0",'سجل التحفيز'!$B$5:$B$2004,B84,'سجل التحفيز'!$D$5:$D$2004,"ذهبي"))</f>
        <v/>
      </c>
      <c r="F84" s="35">
        <f>IF(B84="","",SUMIFS('سجل التحفيز'!$G$5:$G$2004,'سجل التحفيز'!$AD$5:$AD$2004,"&gt;0",'سجل التحفيز'!$B$5:$B$2004,B84))</f>
        <v/>
      </c>
      <c r="G84" s="35">
        <f>IF(B84="","",COUNTIF($D$38:$D$187,"&gt;"&amp;D84)+1)</f>
        <v/>
      </c>
      <c r="H84" s="35">
        <f>IF(B84="","",INDEX(الموظفات!$L$5:$L$304,MATCH(B84,الموظفات!$B$5:$B$304,0)))</f>
        <v/>
      </c>
      <c r="K84" s="36">
        <f>IF(47&gt;$B$10,"",47)</f>
        <v/>
      </c>
      <c r="L84" s="37">
        <f>IF($K84="","",INDEX('سجل التحفيز'!$A$5:$A$2004,MATCH($K84,'سجل التحفيز'!$AD$5:$AD$2004,0)))</f>
        <v/>
      </c>
      <c r="M84" s="9">
        <f>IF($K84="","",INDEX('سجل التحفيز'!$B$5:$B$2004,MATCH($K84,'سجل التحفيز'!$AD$5:$AD$2004,0)))</f>
        <v/>
      </c>
      <c r="N84" s="9">
        <f>IF($K84="","",INDEX('سجل التحفيز'!$M$5:$M$2004,MATCH($K84,'سجل التحفيز'!$AD$5:$AD$2004,0)))</f>
        <v/>
      </c>
      <c r="O84" s="9">
        <f>IF($K84="","",INDEX('سجل التحفيز'!$C$5:$C$2004,MATCH($K84,'سجل التحفيز'!$AD$5:$AD$2004,0)))</f>
        <v/>
      </c>
      <c r="P84" s="36">
        <f>IF($K84="","",INDEX('سجل التحفيز'!$D$5:$D$2004,MATCH($K84,'سجل التحفيز'!$AD$5:$AD$2004,0)))</f>
        <v/>
      </c>
      <c r="Q84" s="9">
        <f>IF($K84="","",INDEX('سجل التحفيز'!$E$5:$E$2004,MATCH($K84,'سجل التحفيز'!$AD$5:$AD$2004,0)))</f>
        <v/>
      </c>
      <c r="R84" s="9">
        <f>IF($K84="","",INDEX('سجل التحفيز'!$F$5:$F$2004,MATCH($K84,'سجل التحفيز'!$AD$5:$AD$2004,0)))</f>
        <v/>
      </c>
      <c r="S84" s="35">
        <f>IF($K84="","",INDEX('سجل التحفيز'!$G$5:$G$2004,MATCH($K84,'سجل التحفيز'!$AD$5:$AD$2004,0)))</f>
        <v/>
      </c>
    </row>
    <row r="85">
      <c r="B85" s="34">
        <f>IFERROR(INDEX(الموظفات!$B$5:$B$304,MATCH(48,الموظفات!$X$5:$X$304,0)),"")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التحفيز'!$AD$5:$AD$2004,"&gt;0",'سجل التحفيز'!$B$5:$B$2004,B85))</f>
        <v/>
      </c>
      <c r="E85" s="35">
        <f>IF(B85="","",COUNTIFS('سجل التحفيز'!$AD$5:$AD$2004,"&gt;0",'سجل التحفيز'!$B$5:$B$2004,B85,'سجل التحفيز'!$D$5:$D$2004,"ذهبي"))</f>
        <v/>
      </c>
      <c r="F85" s="35">
        <f>IF(B85="","",SUMIFS('سجل التحفيز'!$G$5:$G$2004,'سجل التحفيز'!$AD$5:$AD$2004,"&gt;0",'سجل التحفيز'!$B$5:$B$2004,B85))</f>
        <v/>
      </c>
      <c r="G85" s="35">
        <f>IF(B85="","",COUNTIF($D$38:$D$187,"&gt;"&amp;D85)+1)</f>
        <v/>
      </c>
      <c r="H85" s="35">
        <f>IF(B85="","",INDEX(الموظفات!$L$5:$L$304,MATCH(B85,الموظفات!$B$5:$B$304,0)))</f>
        <v/>
      </c>
      <c r="K85" s="36">
        <f>IF(48&gt;$B$10,"",48)</f>
        <v/>
      </c>
      <c r="L85" s="37">
        <f>IF($K85="","",INDEX('سجل التحفيز'!$A$5:$A$2004,MATCH($K85,'سجل التحفيز'!$AD$5:$AD$2004,0)))</f>
        <v/>
      </c>
      <c r="M85" s="9">
        <f>IF($K85="","",INDEX('سجل التحفيز'!$B$5:$B$2004,MATCH($K85,'سجل التحفيز'!$AD$5:$AD$2004,0)))</f>
        <v/>
      </c>
      <c r="N85" s="9">
        <f>IF($K85="","",INDEX('سجل التحفيز'!$M$5:$M$2004,MATCH($K85,'سجل التحفيز'!$AD$5:$AD$2004,0)))</f>
        <v/>
      </c>
      <c r="O85" s="9">
        <f>IF($K85="","",INDEX('سجل التحفيز'!$C$5:$C$2004,MATCH($K85,'سجل التحفيز'!$AD$5:$AD$2004,0)))</f>
        <v/>
      </c>
      <c r="P85" s="36">
        <f>IF($K85="","",INDEX('سجل التحفيز'!$D$5:$D$2004,MATCH($K85,'سجل التحفيز'!$AD$5:$AD$2004,0)))</f>
        <v/>
      </c>
      <c r="Q85" s="9">
        <f>IF($K85="","",INDEX('سجل التحفيز'!$E$5:$E$2004,MATCH($K85,'سجل التحفيز'!$AD$5:$AD$2004,0)))</f>
        <v/>
      </c>
      <c r="R85" s="9">
        <f>IF($K85="","",INDEX('سجل التحفيز'!$F$5:$F$2004,MATCH($K85,'سجل التحفيز'!$AD$5:$AD$2004,0)))</f>
        <v/>
      </c>
      <c r="S85" s="35">
        <f>IF($K85="","",INDEX('سجل التحفيز'!$G$5:$G$2004,MATCH($K85,'سجل التحفيز'!$AD$5:$AD$2004,0)))</f>
        <v/>
      </c>
    </row>
    <row r="86">
      <c r="B86" s="34">
        <f>IFERROR(INDEX(الموظفات!$B$5:$B$304,MATCH(49,الموظفات!$X$5:$X$304,0)),"")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التحفيز'!$AD$5:$AD$2004,"&gt;0",'سجل التحفيز'!$B$5:$B$2004,B86))</f>
        <v/>
      </c>
      <c r="E86" s="35">
        <f>IF(B86="","",COUNTIFS('سجل التحفيز'!$AD$5:$AD$2004,"&gt;0",'سجل التحفيز'!$B$5:$B$2004,B86,'سجل التحفيز'!$D$5:$D$2004,"ذهبي"))</f>
        <v/>
      </c>
      <c r="F86" s="35">
        <f>IF(B86="","",SUMIFS('سجل التحفيز'!$G$5:$G$2004,'سجل التحفيز'!$AD$5:$AD$2004,"&gt;0",'سجل التحفيز'!$B$5:$B$2004,B86))</f>
        <v/>
      </c>
      <c r="G86" s="35">
        <f>IF(B86="","",COUNTIF($D$38:$D$187,"&gt;"&amp;D86)+1)</f>
        <v/>
      </c>
      <c r="H86" s="35">
        <f>IF(B86="","",INDEX(الموظفات!$L$5:$L$304,MATCH(B86,الموظفات!$B$5:$B$304,0)))</f>
        <v/>
      </c>
      <c r="K86" s="36">
        <f>IF(49&gt;$B$10,"",49)</f>
        <v/>
      </c>
      <c r="L86" s="37">
        <f>IF($K86="","",INDEX('سجل التحفيز'!$A$5:$A$2004,MATCH($K86,'سجل التحفيز'!$AD$5:$AD$2004,0)))</f>
        <v/>
      </c>
      <c r="M86" s="9">
        <f>IF($K86="","",INDEX('سجل التحفيز'!$B$5:$B$2004,MATCH($K86,'سجل التحفيز'!$AD$5:$AD$2004,0)))</f>
        <v/>
      </c>
      <c r="N86" s="9">
        <f>IF($K86="","",INDEX('سجل التحفيز'!$M$5:$M$2004,MATCH($K86,'سجل التحفيز'!$AD$5:$AD$2004,0)))</f>
        <v/>
      </c>
      <c r="O86" s="9">
        <f>IF($K86="","",INDEX('سجل التحفيز'!$C$5:$C$2004,MATCH($K86,'سجل التحفيز'!$AD$5:$AD$2004,0)))</f>
        <v/>
      </c>
      <c r="P86" s="36">
        <f>IF($K86="","",INDEX('سجل التحفيز'!$D$5:$D$2004,MATCH($K86,'سجل التحفيز'!$AD$5:$AD$2004,0)))</f>
        <v/>
      </c>
      <c r="Q86" s="9">
        <f>IF($K86="","",INDEX('سجل التحفيز'!$E$5:$E$2004,MATCH($K86,'سجل التحفيز'!$AD$5:$AD$2004,0)))</f>
        <v/>
      </c>
      <c r="R86" s="9">
        <f>IF($K86="","",INDEX('سجل التحفيز'!$F$5:$F$2004,MATCH($K86,'سجل التحفيز'!$AD$5:$AD$2004,0)))</f>
        <v/>
      </c>
      <c r="S86" s="35">
        <f>IF($K86="","",INDEX('سجل التحفيز'!$G$5:$G$2004,MATCH($K86,'سجل التحفيز'!$AD$5:$AD$2004,0)))</f>
        <v/>
      </c>
    </row>
    <row r="87">
      <c r="B87" s="34">
        <f>IFERROR(INDEX(الموظفات!$B$5:$B$304,MATCH(50,الموظفات!$X$5:$X$304,0)),"")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التحفيز'!$AD$5:$AD$2004,"&gt;0",'سجل التحفيز'!$B$5:$B$2004,B87))</f>
        <v/>
      </c>
      <c r="E87" s="35">
        <f>IF(B87="","",COUNTIFS('سجل التحفيز'!$AD$5:$AD$2004,"&gt;0",'سجل التحفيز'!$B$5:$B$2004,B87,'سجل التحفيز'!$D$5:$D$2004,"ذهبي"))</f>
        <v/>
      </c>
      <c r="F87" s="35">
        <f>IF(B87="","",SUMIFS('سجل التحفيز'!$G$5:$G$2004,'سجل التحفيز'!$AD$5:$AD$2004,"&gt;0",'سجل التحفيز'!$B$5:$B$2004,B87))</f>
        <v/>
      </c>
      <c r="G87" s="35">
        <f>IF(B87="","",COUNTIF($D$38:$D$187,"&gt;"&amp;D87)+1)</f>
        <v/>
      </c>
      <c r="H87" s="35">
        <f>IF(B87="","",INDEX(الموظفات!$L$5:$L$304,MATCH(B87,الموظفات!$B$5:$B$304,0)))</f>
        <v/>
      </c>
      <c r="K87" s="36">
        <f>IF(50&gt;$B$10,"",50)</f>
        <v/>
      </c>
      <c r="L87" s="37">
        <f>IF($K87="","",INDEX('سجل التحفيز'!$A$5:$A$2004,MATCH($K87,'سجل التحفيز'!$AD$5:$AD$2004,0)))</f>
        <v/>
      </c>
      <c r="M87" s="9">
        <f>IF($K87="","",INDEX('سجل التحفيز'!$B$5:$B$2004,MATCH($K87,'سجل التحفيز'!$AD$5:$AD$2004,0)))</f>
        <v/>
      </c>
      <c r="N87" s="9">
        <f>IF($K87="","",INDEX('سجل التحفيز'!$M$5:$M$2004,MATCH($K87,'سجل التحفيز'!$AD$5:$AD$2004,0)))</f>
        <v/>
      </c>
      <c r="O87" s="9">
        <f>IF($K87="","",INDEX('سجل التحفيز'!$C$5:$C$2004,MATCH($K87,'سجل التحفيز'!$AD$5:$AD$2004,0)))</f>
        <v/>
      </c>
      <c r="P87" s="36">
        <f>IF($K87="","",INDEX('سجل التحفيز'!$D$5:$D$2004,MATCH($K87,'سجل التحفيز'!$AD$5:$AD$2004,0)))</f>
        <v/>
      </c>
      <c r="Q87" s="9">
        <f>IF($K87="","",INDEX('سجل التحفيز'!$E$5:$E$2004,MATCH($K87,'سجل التحفيز'!$AD$5:$AD$2004,0)))</f>
        <v/>
      </c>
      <c r="R87" s="9">
        <f>IF($K87="","",INDEX('سجل التحفيز'!$F$5:$F$2004,MATCH($K87,'سجل التحفيز'!$AD$5:$AD$2004,0)))</f>
        <v/>
      </c>
      <c r="S87" s="35">
        <f>IF($K87="","",INDEX('سجل التحفيز'!$G$5:$G$2004,MATCH($K87,'سجل التحفيز'!$AD$5:$AD$2004,0)))</f>
        <v/>
      </c>
    </row>
    <row r="88">
      <c r="B88" s="34">
        <f>IFERROR(INDEX(الموظفات!$B$5:$B$304,MATCH(51,الموظفات!$X$5:$X$304,0)),"")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التحفيز'!$AD$5:$AD$2004,"&gt;0",'سجل التحفيز'!$B$5:$B$2004,B88))</f>
        <v/>
      </c>
      <c r="E88" s="35">
        <f>IF(B88="","",COUNTIFS('سجل التحفيز'!$AD$5:$AD$2004,"&gt;0",'سجل التحفيز'!$B$5:$B$2004,B88,'سجل التحفيز'!$D$5:$D$2004,"ذهبي"))</f>
        <v/>
      </c>
      <c r="F88" s="35">
        <f>IF(B88="","",SUMIFS('سجل التحفيز'!$G$5:$G$2004,'سجل التحفيز'!$AD$5:$AD$2004,"&gt;0",'سجل التحفيز'!$B$5:$B$2004,B88))</f>
        <v/>
      </c>
      <c r="G88" s="35">
        <f>IF(B88="","",COUNTIF($D$38:$D$187,"&gt;"&amp;D88)+1)</f>
        <v/>
      </c>
      <c r="H88" s="35">
        <f>IF(B88="","",INDEX(الموظفات!$L$5:$L$304,MATCH(B88,الموظفات!$B$5:$B$304,0)))</f>
        <v/>
      </c>
      <c r="K88" s="36">
        <f>IF(51&gt;$B$10,"",51)</f>
        <v/>
      </c>
      <c r="L88" s="37">
        <f>IF($K88="","",INDEX('سجل التحفيز'!$A$5:$A$2004,MATCH($K88,'سجل التحفيز'!$AD$5:$AD$2004,0)))</f>
        <v/>
      </c>
      <c r="M88" s="9">
        <f>IF($K88="","",INDEX('سجل التحفيز'!$B$5:$B$2004,MATCH($K88,'سجل التحفيز'!$AD$5:$AD$2004,0)))</f>
        <v/>
      </c>
      <c r="N88" s="9">
        <f>IF($K88="","",INDEX('سجل التحفيز'!$M$5:$M$2004,MATCH($K88,'سجل التحفيز'!$AD$5:$AD$2004,0)))</f>
        <v/>
      </c>
      <c r="O88" s="9">
        <f>IF($K88="","",INDEX('سجل التحفيز'!$C$5:$C$2004,MATCH($K88,'سجل التحفيز'!$AD$5:$AD$2004,0)))</f>
        <v/>
      </c>
      <c r="P88" s="36">
        <f>IF($K88="","",INDEX('سجل التحفيز'!$D$5:$D$2004,MATCH($K88,'سجل التحفيز'!$AD$5:$AD$2004,0)))</f>
        <v/>
      </c>
      <c r="Q88" s="9">
        <f>IF($K88="","",INDEX('سجل التحفيز'!$E$5:$E$2004,MATCH($K88,'سجل التحفيز'!$AD$5:$AD$2004,0)))</f>
        <v/>
      </c>
      <c r="R88" s="9">
        <f>IF($K88="","",INDEX('سجل التحفيز'!$F$5:$F$2004,MATCH($K88,'سجل التحفيز'!$AD$5:$AD$2004,0)))</f>
        <v/>
      </c>
      <c r="S88" s="35">
        <f>IF($K88="","",INDEX('سجل التحفيز'!$G$5:$G$2004,MATCH($K88,'سجل التحفيز'!$AD$5:$AD$2004,0)))</f>
        <v/>
      </c>
    </row>
    <row r="89">
      <c r="B89" s="34">
        <f>IFERROR(INDEX(الموظفات!$B$5:$B$304,MATCH(52,الموظفات!$X$5:$X$304,0)),"")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التحفيز'!$AD$5:$AD$2004,"&gt;0",'سجل التحفيز'!$B$5:$B$2004,B89))</f>
        <v/>
      </c>
      <c r="E89" s="35">
        <f>IF(B89="","",COUNTIFS('سجل التحفيز'!$AD$5:$AD$2004,"&gt;0",'سجل التحفيز'!$B$5:$B$2004,B89,'سجل التحفيز'!$D$5:$D$2004,"ذهبي"))</f>
        <v/>
      </c>
      <c r="F89" s="35">
        <f>IF(B89="","",SUMIFS('سجل التحفيز'!$G$5:$G$2004,'سجل التحفيز'!$AD$5:$AD$2004,"&gt;0",'سجل التحفيز'!$B$5:$B$2004,B89))</f>
        <v/>
      </c>
      <c r="G89" s="35">
        <f>IF(B89="","",COUNTIF($D$38:$D$187,"&gt;"&amp;D89)+1)</f>
        <v/>
      </c>
      <c r="H89" s="35">
        <f>IF(B89="","",INDEX(الموظفات!$L$5:$L$304,MATCH(B89,الموظفات!$B$5:$B$304,0)))</f>
        <v/>
      </c>
      <c r="K89" s="36">
        <f>IF(52&gt;$B$10,"",52)</f>
        <v/>
      </c>
      <c r="L89" s="37">
        <f>IF($K89="","",INDEX('سجل التحفيز'!$A$5:$A$2004,MATCH($K89,'سجل التحفيز'!$AD$5:$AD$2004,0)))</f>
        <v/>
      </c>
      <c r="M89" s="9">
        <f>IF($K89="","",INDEX('سجل التحفيز'!$B$5:$B$2004,MATCH($K89,'سجل التحفيز'!$AD$5:$AD$2004,0)))</f>
        <v/>
      </c>
      <c r="N89" s="9">
        <f>IF($K89="","",INDEX('سجل التحفيز'!$M$5:$M$2004,MATCH($K89,'سجل التحفيز'!$AD$5:$AD$2004,0)))</f>
        <v/>
      </c>
      <c r="O89" s="9">
        <f>IF($K89="","",INDEX('سجل التحفيز'!$C$5:$C$2004,MATCH($K89,'سجل التحفيز'!$AD$5:$AD$2004,0)))</f>
        <v/>
      </c>
      <c r="P89" s="36">
        <f>IF($K89="","",INDEX('سجل التحفيز'!$D$5:$D$2004,MATCH($K89,'سجل التحفيز'!$AD$5:$AD$2004,0)))</f>
        <v/>
      </c>
      <c r="Q89" s="9">
        <f>IF($K89="","",INDEX('سجل التحفيز'!$E$5:$E$2004,MATCH($K89,'سجل التحفيز'!$AD$5:$AD$2004,0)))</f>
        <v/>
      </c>
      <c r="R89" s="9">
        <f>IF($K89="","",INDEX('سجل التحفيز'!$F$5:$F$2004,MATCH($K89,'سجل التحفيز'!$AD$5:$AD$2004,0)))</f>
        <v/>
      </c>
      <c r="S89" s="35">
        <f>IF($K89="","",INDEX('سجل التحفيز'!$G$5:$G$2004,MATCH($K89,'سجل التحفيز'!$AD$5:$AD$2004,0)))</f>
        <v/>
      </c>
    </row>
    <row r="90">
      <c r="B90" s="34">
        <f>IFERROR(INDEX(الموظفات!$B$5:$B$304,MATCH(53,الموظفات!$X$5:$X$304,0)),"")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التحفيز'!$AD$5:$AD$2004,"&gt;0",'سجل التحفيز'!$B$5:$B$2004,B90))</f>
        <v/>
      </c>
      <c r="E90" s="35">
        <f>IF(B90="","",COUNTIFS('سجل التحفيز'!$AD$5:$AD$2004,"&gt;0",'سجل التحفيز'!$B$5:$B$2004,B90,'سجل التحفيز'!$D$5:$D$2004,"ذهبي"))</f>
        <v/>
      </c>
      <c r="F90" s="35">
        <f>IF(B90="","",SUMIFS('سجل التحفيز'!$G$5:$G$2004,'سجل التحفيز'!$AD$5:$AD$2004,"&gt;0",'سجل التحفيز'!$B$5:$B$2004,B90))</f>
        <v/>
      </c>
      <c r="G90" s="35">
        <f>IF(B90="","",COUNTIF($D$38:$D$187,"&gt;"&amp;D90)+1)</f>
        <v/>
      </c>
      <c r="H90" s="35">
        <f>IF(B90="","",INDEX(الموظفات!$L$5:$L$304,MATCH(B90,الموظفات!$B$5:$B$304,0)))</f>
        <v/>
      </c>
      <c r="K90" s="36">
        <f>IF(53&gt;$B$10,"",53)</f>
        <v/>
      </c>
      <c r="L90" s="37">
        <f>IF($K90="","",INDEX('سجل التحفيز'!$A$5:$A$2004,MATCH($K90,'سجل التحفيز'!$AD$5:$AD$2004,0)))</f>
        <v/>
      </c>
      <c r="M90" s="9">
        <f>IF($K90="","",INDEX('سجل التحفيز'!$B$5:$B$2004,MATCH($K90,'سجل التحفيز'!$AD$5:$AD$2004,0)))</f>
        <v/>
      </c>
      <c r="N90" s="9">
        <f>IF($K90="","",INDEX('سجل التحفيز'!$M$5:$M$2004,MATCH($K90,'سجل التحفيز'!$AD$5:$AD$2004,0)))</f>
        <v/>
      </c>
      <c r="O90" s="9">
        <f>IF($K90="","",INDEX('سجل التحفيز'!$C$5:$C$2004,MATCH($K90,'سجل التحفيز'!$AD$5:$AD$2004,0)))</f>
        <v/>
      </c>
      <c r="P90" s="36">
        <f>IF($K90="","",INDEX('سجل التحفيز'!$D$5:$D$2004,MATCH($K90,'سجل التحفيز'!$AD$5:$AD$2004,0)))</f>
        <v/>
      </c>
      <c r="Q90" s="9">
        <f>IF($K90="","",INDEX('سجل التحفيز'!$E$5:$E$2004,MATCH($K90,'سجل التحفيز'!$AD$5:$AD$2004,0)))</f>
        <v/>
      </c>
      <c r="R90" s="9">
        <f>IF($K90="","",INDEX('سجل التحفيز'!$F$5:$F$2004,MATCH($K90,'سجل التحفيز'!$AD$5:$AD$2004,0)))</f>
        <v/>
      </c>
      <c r="S90" s="35">
        <f>IF($K90="","",INDEX('سجل التحفيز'!$G$5:$G$2004,MATCH($K90,'سجل التحفيز'!$AD$5:$AD$2004,0)))</f>
        <v/>
      </c>
    </row>
    <row r="91">
      <c r="B91" s="34">
        <f>IFERROR(INDEX(الموظفات!$B$5:$B$304,MATCH(54,الموظفات!$X$5:$X$304,0)),"")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التحفيز'!$AD$5:$AD$2004,"&gt;0",'سجل التحفيز'!$B$5:$B$2004,B91))</f>
        <v/>
      </c>
      <c r="E91" s="35">
        <f>IF(B91="","",COUNTIFS('سجل التحفيز'!$AD$5:$AD$2004,"&gt;0",'سجل التحفيز'!$B$5:$B$2004,B91,'سجل التحفيز'!$D$5:$D$2004,"ذهبي"))</f>
        <v/>
      </c>
      <c r="F91" s="35">
        <f>IF(B91="","",SUMIFS('سجل التحفيز'!$G$5:$G$2004,'سجل التحفيز'!$AD$5:$AD$2004,"&gt;0",'سجل التحفيز'!$B$5:$B$2004,B91))</f>
        <v/>
      </c>
      <c r="G91" s="35">
        <f>IF(B91="","",COUNTIF($D$38:$D$187,"&gt;"&amp;D91)+1)</f>
        <v/>
      </c>
      <c r="H91" s="35">
        <f>IF(B91="","",INDEX(الموظفات!$L$5:$L$304,MATCH(B91,الموظفات!$B$5:$B$304,0)))</f>
        <v/>
      </c>
      <c r="K91" s="36">
        <f>IF(54&gt;$B$10,"",54)</f>
        <v/>
      </c>
      <c r="L91" s="37">
        <f>IF($K91="","",INDEX('سجل التحفيز'!$A$5:$A$2004,MATCH($K91,'سجل التحفيز'!$AD$5:$AD$2004,0)))</f>
        <v/>
      </c>
      <c r="M91" s="9">
        <f>IF($K91="","",INDEX('سجل التحفيز'!$B$5:$B$2004,MATCH($K91,'سجل التحفيز'!$AD$5:$AD$2004,0)))</f>
        <v/>
      </c>
      <c r="N91" s="9">
        <f>IF($K91="","",INDEX('سجل التحفيز'!$M$5:$M$2004,MATCH($K91,'سجل التحفيز'!$AD$5:$AD$2004,0)))</f>
        <v/>
      </c>
      <c r="O91" s="9">
        <f>IF($K91="","",INDEX('سجل التحفيز'!$C$5:$C$2004,MATCH($K91,'سجل التحفيز'!$AD$5:$AD$2004,0)))</f>
        <v/>
      </c>
      <c r="P91" s="36">
        <f>IF($K91="","",INDEX('سجل التحفيز'!$D$5:$D$2004,MATCH($K91,'سجل التحفيز'!$AD$5:$AD$2004,0)))</f>
        <v/>
      </c>
      <c r="Q91" s="9">
        <f>IF($K91="","",INDEX('سجل التحفيز'!$E$5:$E$2004,MATCH($K91,'سجل التحفيز'!$AD$5:$AD$2004,0)))</f>
        <v/>
      </c>
      <c r="R91" s="9">
        <f>IF($K91="","",INDEX('سجل التحفيز'!$F$5:$F$2004,MATCH($K91,'سجل التحفيز'!$AD$5:$AD$2004,0)))</f>
        <v/>
      </c>
      <c r="S91" s="35">
        <f>IF($K91="","",INDEX('سجل التحفيز'!$G$5:$G$2004,MATCH($K91,'سجل التحفيز'!$AD$5:$AD$2004,0)))</f>
        <v/>
      </c>
    </row>
    <row r="92">
      <c r="B92" s="34">
        <f>IFERROR(INDEX(الموظفات!$B$5:$B$304,MATCH(55,الموظفات!$X$5:$X$304,0)),"")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التحفيز'!$AD$5:$AD$2004,"&gt;0",'سجل التحفيز'!$B$5:$B$2004,B92))</f>
        <v/>
      </c>
      <c r="E92" s="35">
        <f>IF(B92="","",COUNTIFS('سجل التحفيز'!$AD$5:$AD$2004,"&gt;0",'سجل التحفيز'!$B$5:$B$2004,B92,'سجل التحفيز'!$D$5:$D$2004,"ذهبي"))</f>
        <v/>
      </c>
      <c r="F92" s="35">
        <f>IF(B92="","",SUMIFS('سجل التحفيز'!$G$5:$G$2004,'سجل التحفيز'!$AD$5:$AD$2004,"&gt;0",'سجل التحفيز'!$B$5:$B$2004,B92))</f>
        <v/>
      </c>
      <c r="G92" s="35">
        <f>IF(B92="","",COUNTIF($D$38:$D$187,"&gt;"&amp;D92)+1)</f>
        <v/>
      </c>
      <c r="H92" s="35">
        <f>IF(B92="","",INDEX(الموظفات!$L$5:$L$304,MATCH(B92,الموظفات!$B$5:$B$304,0)))</f>
        <v/>
      </c>
      <c r="K92" s="36">
        <f>IF(55&gt;$B$10,"",55)</f>
        <v/>
      </c>
      <c r="L92" s="37">
        <f>IF($K92="","",INDEX('سجل التحفيز'!$A$5:$A$2004,MATCH($K92,'سجل التحفيز'!$AD$5:$AD$2004,0)))</f>
        <v/>
      </c>
      <c r="M92" s="9">
        <f>IF($K92="","",INDEX('سجل التحفيز'!$B$5:$B$2004,MATCH($K92,'سجل التحفيز'!$AD$5:$AD$2004,0)))</f>
        <v/>
      </c>
      <c r="N92" s="9">
        <f>IF($K92="","",INDEX('سجل التحفيز'!$M$5:$M$2004,MATCH($K92,'سجل التحفيز'!$AD$5:$AD$2004,0)))</f>
        <v/>
      </c>
      <c r="O92" s="9">
        <f>IF($K92="","",INDEX('سجل التحفيز'!$C$5:$C$2004,MATCH($K92,'سجل التحفيز'!$AD$5:$AD$2004,0)))</f>
        <v/>
      </c>
      <c r="P92" s="36">
        <f>IF($K92="","",INDEX('سجل التحفيز'!$D$5:$D$2004,MATCH($K92,'سجل التحفيز'!$AD$5:$AD$2004,0)))</f>
        <v/>
      </c>
      <c r="Q92" s="9">
        <f>IF($K92="","",INDEX('سجل التحفيز'!$E$5:$E$2004,MATCH($K92,'سجل التحفيز'!$AD$5:$AD$2004,0)))</f>
        <v/>
      </c>
      <c r="R92" s="9">
        <f>IF($K92="","",INDEX('سجل التحفيز'!$F$5:$F$2004,MATCH($K92,'سجل التحفيز'!$AD$5:$AD$2004,0)))</f>
        <v/>
      </c>
      <c r="S92" s="35">
        <f>IF($K92="","",INDEX('سجل التحفيز'!$G$5:$G$2004,MATCH($K92,'سجل التحفيز'!$AD$5:$AD$2004,0)))</f>
        <v/>
      </c>
    </row>
    <row r="93">
      <c r="B93" s="34">
        <f>IFERROR(INDEX(الموظفات!$B$5:$B$304,MATCH(56,الموظفات!$X$5:$X$304,0)),"")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التحفيز'!$AD$5:$AD$2004,"&gt;0",'سجل التحفيز'!$B$5:$B$2004,B93))</f>
        <v/>
      </c>
      <c r="E93" s="35">
        <f>IF(B93="","",COUNTIFS('سجل التحفيز'!$AD$5:$AD$2004,"&gt;0",'سجل التحفيز'!$B$5:$B$2004,B93,'سجل التحفيز'!$D$5:$D$2004,"ذهبي"))</f>
        <v/>
      </c>
      <c r="F93" s="35">
        <f>IF(B93="","",SUMIFS('سجل التحفيز'!$G$5:$G$2004,'سجل التحفيز'!$AD$5:$AD$2004,"&gt;0",'سجل التحفيز'!$B$5:$B$2004,B93))</f>
        <v/>
      </c>
      <c r="G93" s="35">
        <f>IF(B93="","",COUNTIF($D$38:$D$187,"&gt;"&amp;D93)+1)</f>
        <v/>
      </c>
      <c r="H93" s="35">
        <f>IF(B93="","",INDEX(الموظفات!$L$5:$L$304,MATCH(B93,الموظفات!$B$5:$B$304,0)))</f>
        <v/>
      </c>
      <c r="K93" s="36">
        <f>IF(56&gt;$B$10,"",56)</f>
        <v/>
      </c>
      <c r="L93" s="37">
        <f>IF($K93="","",INDEX('سجل التحفيز'!$A$5:$A$2004,MATCH($K93,'سجل التحفيز'!$AD$5:$AD$2004,0)))</f>
        <v/>
      </c>
      <c r="M93" s="9">
        <f>IF($K93="","",INDEX('سجل التحفيز'!$B$5:$B$2004,MATCH($K93,'سجل التحفيز'!$AD$5:$AD$2004,0)))</f>
        <v/>
      </c>
      <c r="N93" s="9">
        <f>IF($K93="","",INDEX('سجل التحفيز'!$M$5:$M$2004,MATCH($K93,'سجل التحفيز'!$AD$5:$AD$2004,0)))</f>
        <v/>
      </c>
      <c r="O93" s="9">
        <f>IF($K93="","",INDEX('سجل التحفيز'!$C$5:$C$2004,MATCH($K93,'سجل التحفيز'!$AD$5:$AD$2004,0)))</f>
        <v/>
      </c>
      <c r="P93" s="36">
        <f>IF($K93="","",INDEX('سجل التحفيز'!$D$5:$D$2004,MATCH($K93,'سجل التحفيز'!$AD$5:$AD$2004,0)))</f>
        <v/>
      </c>
      <c r="Q93" s="9">
        <f>IF($K93="","",INDEX('سجل التحفيز'!$E$5:$E$2004,MATCH($K93,'سجل التحفيز'!$AD$5:$AD$2004,0)))</f>
        <v/>
      </c>
      <c r="R93" s="9">
        <f>IF($K93="","",INDEX('سجل التحفيز'!$F$5:$F$2004,MATCH($K93,'سجل التحفيز'!$AD$5:$AD$2004,0)))</f>
        <v/>
      </c>
      <c r="S93" s="35">
        <f>IF($K93="","",INDEX('سجل التحفيز'!$G$5:$G$2004,MATCH($K93,'سجل التحفيز'!$AD$5:$AD$2004,0)))</f>
        <v/>
      </c>
    </row>
    <row r="94">
      <c r="B94" s="34">
        <f>IFERROR(INDEX(الموظفات!$B$5:$B$304,MATCH(57,الموظفات!$X$5:$X$304,0)),"")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التحفيز'!$AD$5:$AD$2004,"&gt;0",'سجل التحفيز'!$B$5:$B$2004,B94))</f>
        <v/>
      </c>
      <c r="E94" s="35">
        <f>IF(B94="","",COUNTIFS('سجل التحفيز'!$AD$5:$AD$2004,"&gt;0",'سجل التحفيز'!$B$5:$B$2004,B94,'سجل التحفيز'!$D$5:$D$2004,"ذهبي"))</f>
        <v/>
      </c>
      <c r="F94" s="35">
        <f>IF(B94="","",SUMIFS('سجل التحفيز'!$G$5:$G$2004,'سجل التحفيز'!$AD$5:$AD$2004,"&gt;0",'سجل التحفيز'!$B$5:$B$2004,B94))</f>
        <v/>
      </c>
      <c r="G94" s="35">
        <f>IF(B94="","",COUNTIF($D$38:$D$187,"&gt;"&amp;D94)+1)</f>
        <v/>
      </c>
      <c r="H94" s="35">
        <f>IF(B94="","",INDEX(الموظفات!$L$5:$L$304,MATCH(B94,الموظفات!$B$5:$B$304,0)))</f>
        <v/>
      </c>
      <c r="K94" s="36">
        <f>IF(57&gt;$B$10,"",57)</f>
        <v/>
      </c>
      <c r="L94" s="37">
        <f>IF($K94="","",INDEX('سجل التحفيز'!$A$5:$A$2004,MATCH($K94,'سجل التحفيز'!$AD$5:$AD$2004,0)))</f>
        <v/>
      </c>
      <c r="M94" s="9">
        <f>IF($K94="","",INDEX('سجل التحفيز'!$B$5:$B$2004,MATCH($K94,'سجل التحفيز'!$AD$5:$AD$2004,0)))</f>
        <v/>
      </c>
      <c r="N94" s="9">
        <f>IF($K94="","",INDEX('سجل التحفيز'!$M$5:$M$2004,MATCH($K94,'سجل التحفيز'!$AD$5:$AD$2004,0)))</f>
        <v/>
      </c>
      <c r="O94" s="9">
        <f>IF($K94="","",INDEX('سجل التحفيز'!$C$5:$C$2004,MATCH($K94,'سجل التحفيز'!$AD$5:$AD$2004,0)))</f>
        <v/>
      </c>
      <c r="P94" s="36">
        <f>IF($K94="","",INDEX('سجل التحفيز'!$D$5:$D$2004,MATCH($K94,'سجل التحفيز'!$AD$5:$AD$2004,0)))</f>
        <v/>
      </c>
      <c r="Q94" s="9">
        <f>IF($K94="","",INDEX('سجل التحفيز'!$E$5:$E$2004,MATCH($K94,'سجل التحفيز'!$AD$5:$AD$2004,0)))</f>
        <v/>
      </c>
      <c r="R94" s="9">
        <f>IF($K94="","",INDEX('سجل التحفيز'!$F$5:$F$2004,MATCH($K94,'سجل التحفيز'!$AD$5:$AD$2004,0)))</f>
        <v/>
      </c>
      <c r="S94" s="35">
        <f>IF($K94="","",INDEX('سجل التحفيز'!$G$5:$G$2004,MATCH($K94,'سجل التحفيز'!$AD$5:$AD$2004,0)))</f>
        <v/>
      </c>
    </row>
    <row r="95">
      <c r="B95" s="34">
        <f>IFERROR(INDEX(الموظفات!$B$5:$B$304,MATCH(58,الموظفات!$X$5:$X$304,0)),"")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التحفيز'!$AD$5:$AD$2004,"&gt;0",'سجل التحفيز'!$B$5:$B$2004,B95))</f>
        <v/>
      </c>
      <c r="E95" s="35">
        <f>IF(B95="","",COUNTIFS('سجل التحفيز'!$AD$5:$AD$2004,"&gt;0",'سجل التحفيز'!$B$5:$B$2004,B95,'سجل التحفيز'!$D$5:$D$2004,"ذهبي"))</f>
        <v/>
      </c>
      <c r="F95" s="35">
        <f>IF(B95="","",SUMIFS('سجل التحفيز'!$G$5:$G$2004,'سجل التحفيز'!$AD$5:$AD$2004,"&gt;0",'سجل التحفيز'!$B$5:$B$2004,B95))</f>
        <v/>
      </c>
      <c r="G95" s="35">
        <f>IF(B95="","",COUNTIF($D$38:$D$187,"&gt;"&amp;D95)+1)</f>
        <v/>
      </c>
      <c r="H95" s="35">
        <f>IF(B95="","",INDEX(الموظفات!$L$5:$L$304,MATCH(B95,الموظفات!$B$5:$B$304,0)))</f>
        <v/>
      </c>
      <c r="K95" s="36">
        <f>IF(58&gt;$B$10,"",58)</f>
        <v/>
      </c>
      <c r="L95" s="37">
        <f>IF($K95="","",INDEX('سجل التحفيز'!$A$5:$A$2004,MATCH($K95,'سجل التحفيز'!$AD$5:$AD$2004,0)))</f>
        <v/>
      </c>
      <c r="M95" s="9">
        <f>IF($K95="","",INDEX('سجل التحفيز'!$B$5:$B$2004,MATCH($K95,'سجل التحفيز'!$AD$5:$AD$2004,0)))</f>
        <v/>
      </c>
      <c r="N95" s="9">
        <f>IF($K95="","",INDEX('سجل التحفيز'!$M$5:$M$2004,MATCH($K95,'سجل التحفيز'!$AD$5:$AD$2004,0)))</f>
        <v/>
      </c>
      <c r="O95" s="9">
        <f>IF($K95="","",INDEX('سجل التحفيز'!$C$5:$C$2004,MATCH($K95,'سجل التحفيز'!$AD$5:$AD$2004,0)))</f>
        <v/>
      </c>
      <c r="P95" s="36">
        <f>IF($K95="","",INDEX('سجل التحفيز'!$D$5:$D$2004,MATCH($K95,'سجل التحفيز'!$AD$5:$AD$2004,0)))</f>
        <v/>
      </c>
      <c r="Q95" s="9">
        <f>IF($K95="","",INDEX('سجل التحفيز'!$E$5:$E$2004,MATCH($K95,'سجل التحفيز'!$AD$5:$AD$2004,0)))</f>
        <v/>
      </c>
      <c r="R95" s="9">
        <f>IF($K95="","",INDEX('سجل التحفيز'!$F$5:$F$2004,MATCH($K95,'سجل التحفيز'!$AD$5:$AD$2004,0)))</f>
        <v/>
      </c>
      <c r="S95" s="35">
        <f>IF($K95="","",INDEX('سجل التحفيز'!$G$5:$G$2004,MATCH($K95,'سجل التحفيز'!$AD$5:$AD$2004,0)))</f>
        <v/>
      </c>
    </row>
    <row r="96">
      <c r="B96" s="34">
        <f>IFERROR(INDEX(الموظفات!$B$5:$B$304,MATCH(59,الموظفات!$X$5:$X$304,0)),"")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التحفيز'!$AD$5:$AD$2004,"&gt;0",'سجل التحفيز'!$B$5:$B$2004,B96))</f>
        <v/>
      </c>
      <c r="E96" s="35">
        <f>IF(B96="","",COUNTIFS('سجل التحفيز'!$AD$5:$AD$2004,"&gt;0",'سجل التحفيز'!$B$5:$B$2004,B96,'سجل التحفيز'!$D$5:$D$2004,"ذهبي"))</f>
        <v/>
      </c>
      <c r="F96" s="35">
        <f>IF(B96="","",SUMIFS('سجل التحفيز'!$G$5:$G$2004,'سجل التحفيز'!$AD$5:$AD$2004,"&gt;0",'سجل التحفيز'!$B$5:$B$2004,B96))</f>
        <v/>
      </c>
      <c r="G96" s="35">
        <f>IF(B96="","",COUNTIF($D$38:$D$187,"&gt;"&amp;D96)+1)</f>
        <v/>
      </c>
      <c r="H96" s="35">
        <f>IF(B96="","",INDEX(الموظفات!$L$5:$L$304,MATCH(B96,الموظفات!$B$5:$B$304,0)))</f>
        <v/>
      </c>
      <c r="K96" s="36">
        <f>IF(59&gt;$B$10,"",59)</f>
        <v/>
      </c>
      <c r="L96" s="37">
        <f>IF($K96="","",INDEX('سجل التحفيز'!$A$5:$A$2004,MATCH($K96,'سجل التحفيز'!$AD$5:$AD$2004,0)))</f>
        <v/>
      </c>
      <c r="M96" s="9">
        <f>IF($K96="","",INDEX('سجل التحفيز'!$B$5:$B$2004,MATCH($K96,'سجل التحفيز'!$AD$5:$AD$2004,0)))</f>
        <v/>
      </c>
      <c r="N96" s="9">
        <f>IF($K96="","",INDEX('سجل التحفيز'!$M$5:$M$2004,MATCH($K96,'سجل التحفيز'!$AD$5:$AD$2004,0)))</f>
        <v/>
      </c>
      <c r="O96" s="9">
        <f>IF($K96="","",INDEX('سجل التحفيز'!$C$5:$C$2004,MATCH($K96,'سجل التحفيز'!$AD$5:$AD$2004,0)))</f>
        <v/>
      </c>
      <c r="P96" s="36">
        <f>IF($K96="","",INDEX('سجل التحفيز'!$D$5:$D$2004,MATCH($K96,'سجل التحفيز'!$AD$5:$AD$2004,0)))</f>
        <v/>
      </c>
      <c r="Q96" s="9">
        <f>IF($K96="","",INDEX('سجل التحفيز'!$E$5:$E$2004,MATCH($K96,'سجل التحفيز'!$AD$5:$AD$2004,0)))</f>
        <v/>
      </c>
      <c r="R96" s="9">
        <f>IF($K96="","",INDEX('سجل التحفيز'!$F$5:$F$2004,MATCH($K96,'سجل التحفيز'!$AD$5:$AD$2004,0)))</f>
        <v/>
      </c>
      <c r="S96" s="35">
        <f>IF($K96="","",INDEX('سجل التحفيز'!$G$5:$G$2004,MATCH($K96,'سجل التحفيز'!$AD$5:$AD$2004,0)))</f>
        <v/>
      </c>
    </row>
    <row r="97">
      <c r="B97" s="34">
        <f>IFERROR(INDEX(الموظفات!$B$5:$B$304,MATCH(60,الموظفات!$X$5:$X$304,0)),"")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التحفيز'!$AD$5:$AD$2004,"&gt;0",'سجل التحفيز'!$B$5:$B$2004,B97))</f>
        <v/>
      </c>
      <c r="E97" s="35">
        <f>IF(B97="","",COUNTIFS('سجل التحفيز'!$AD$5:$AD$2004,"&gt;0",'سجل التحفيز'!$B$5:$B$2004,B97,'سجل التحفيز'!$D$5:$D$2004,"ذهبي"))</f>
        <v/>
      </c>
      <c r="F97" s="35">
        <f>IF(B97="","",SUMIFS('سجل التحفيز'!$G$5:$G$2004,'سجل التحفيز'!$AD$5:$AD$2004,"&gt;0",'سجل التحفيز'!$B$5:$B$2004,B97))</f>
        <v/>
      </c>
      <c r="G97" s="35">
        <f>IF(B97="","",COUNTIF($D$38:$D$187,"&gt;"&amp;D97)+1)</f>
        <v/>
      </c>
      <c r="H97" s="35">
        <f>IF(B97="","",INDEX(الموظفات!$L$5:$L$304,MATCH(B97,الموظفات!$B$5:$B$304,0)))</f>
        <v/>
      </c>
      <c r="K97" s="36">
        <f>IF(60&gt;$B$10,"",60)</f>
        <v/>
      </c>
      <c r="L97" s="37">
        <f>IF($K97="","",INDEX('سجل التحفيز'!$A$5:$A$2004,MATCH($K97,'سجل التحفيز'!$AD$5:$AD$2004,0)))</f>
        <v/>
      </c>
      <c r="M97" s="9">
        <f>IF($K97="","",INDEX('سجل التحفيز'!$B$5:$B$2004,MATCH($K97,'سجل التحفيز'!$AD$5:$AD$2004,0)))</f>
        <v/>
      </c>
      <c r="N97" s="9">
        <f>IF($K97="","",INDEX('سجل التحفيز'!$M$5:$M$2004,MATCH($K97,'سجل التحفيز'!$AD$5:$AD$2004,0)))</f>
        <v/>
      </c>
      <c r="O97" s="9">
        <f>IF($K97="","",INDEX('سجل التحفيز'!$C$5:$C$2004,MATCH($K97,'سجل التحفيز'!$AD$5:$AD$2004,0)))</f>
        <v/>
      </c>
      <c r="P97" s="36">
        <f>IF($K97="","",INDEX('سجل التحفيز'!$D$5:$D$2004,MATCH($K97,'سجل التحفيز'!$AD$5:$AD$2004,0)))</f>
        <v/>
      </c>
      <c r="Q97" s="9">
        <f>IF($K97="","",INDEX('سجل التحفيز'!$E$5:$E$2004,MATCH($K97,'سجل التحفيز'!$AD$5:$AD$2004,0)))</f>
        <v/>
      </c>
      <c r="R97" s="9">
        <f>IF($K97="","",INDEX('سجل التحفيز'!$F$5:$F$2004,MATCH($K97,'سجل التحفيز'!$AD$5:$AD$2004,0)))</f>
        <v/>
      </c>
      <c r="S97" s="35">
        <f>IF($K97="","",INDEX('سجل التحفيز'!$G$5:$G$2004,MATCH($K97,'سجل التحفيز'!$AD$5:$AD$2004,0)))</f>
        <v/>
      </c>
    </row>
    <row r="98">
      <c r="B98" s="34">
        <f>IFERROR(INDEX(الموظفات!$B$5:$B$304,MATCH(61,الموظفات!$X$5:$X$304,0)),"")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التحفيز'!$AD$5:$AD$2004,"&gt;0",'سجل التحفيز'!$B$5:$B$2004,B98))</f>
        <v/>
      </c>
      <c r="E98" s="35">
        <f>IF(B98="","",COUNTIFS('سجل التحفيز'!$AD$5:$AD$2004,"&gt;0",'سجل التحفيز'!$B$5:$B$2004,B98,'سجل التحفيز'!$D$5:$D$2004,"ذهبي"))</f>
        <v/>
      </c>
      <c r="F98" s="35">
        <f>IF(B98="","",SUMIFS('سجل التحفيز'!$G$5:$G$2004,'سجل التحفيز'!$AD$5:$AD$2004,"&gt;0",'سجل التحفيز'!$B$5:$B$2004,B98))</f>
        <v/>
      </c>
      <c r="G98" s="35">
        <f>IF(B98="","",COUNTIF($D$38:$D$187,"&gt;"&amp;D98)+1)</f>
        <v/>
      </c>
      <c r="H98" s="35">
        <f>IF(B98="","",INDEX(الموظفات!$L$5:$L$304,MATCH(B98,الموظفات!$B$5:$B$304,0)))</f>
        <v/>
      </c>
      <c r="K98" s="36">
        <f>IF(61&gt;$B$10,"",61)</f>
        <v/>
      </c>
      <c r="L98" s="37">
        <f>IF($K98="","",INDEX('سجل التحفيز'!$A$5:$A$2004,MATCH($K98,'سجل التحفيز'!$AD$5:$AD$2004,0)))</f>
        <v/>
      </c>
      <c r="M98" s="9">
        <f>IF($K98="","",INDEX('سجل التحفيز'!$B$5:$B$2004,MATCH($K98,'سجل التحفيز'!$AD$5:$AD$2004,0)))</f>
        <v/>
      </c>
      <c r="N98" s="9">
        <f>IF($K98="","",INDEX('سجل التحفيز'!$M$5:$M$2004,MATCH($K98,'سجل التحفيز'!$AD$5:$AD$2004,0)))</f>
        <v/>
      </c>
      <c r="O98" s="9">
        <f>IF($K98="","",INDEX('سجل التحفيز'!$C$5:$C$2004,MATCH($K98,'سجل التحفيز'!$AD$5:$AD$2004,0)))</f>
        <v/>
      </c>
      <c r="P98" s="36">
        <f>IF($K98="","",INDEX('سجل التحفيز'!$D$5:$D$2004,MATCH($K98,'سجل التحفيز'!$AD$5:$AD$2004,0)))</f>
        <v/>
      </c>
      <c r="Q98" s="9">
        <f>IF($K98="","",INDEX('سجل التحفيز'!$E$5:$E$2004,MATCH($K98,'سجل التحفيز'!$AD$5:$AD$2004,0)))</f>
        <v/>
      </c>
      <c r="R98" s="9">
        <f>IF($K98="","",INDEX('سجل التحفيز'!$F$5:$F$2004,MATCH($K98,'سجل التحفيز'!$AD$5:$AD$2004,0)))</f>
        <v/>
      </c>
      <c r="S98" s="35">
        <f>IF($K98="","",INDEX('سجل التحفيز'!$G$5:$G$2004,MATCH($K98,'سجل التحفيز'!$AD$5:$AD$2004,0)))</f>
        <v/>
      </c>
    </row>
    <row r="99">
      <c r="B99" s="34">
        <f>IFERROR(INDEX(الموظفات!$B$5:$B$304,MATCH(62,الموظفات!$X$5:$X$304,0)),"")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التحفيز'!$AD$5:$AD$2004,"&gt;0",'سجل التحفيز'!$B$5:$B$2004,B99))</f>
        <v/>
      </c>
      <c r="E99" s="35">
        <f>IF(B99="","",COUNTIFS('سجل التحفيز'!$AD$5:$AD$2004,"&gt;0",'سجل التحفيز'!$B$5:$B$2004,B99,'سجل التحفيز'!$D$5:$D$2004,"ذهبي"))</f>
        <v/>
      </c>
      <c r="F99" s="35">
        <f>IF(B99="","",SUMIFS('سجل التحفيز'!$G$5:$G$2004,'سجل التحفيز'!$AD$5:$AD$2004,"&gt;0",'سجل التحفيز'!$B$5:$B$2004,B99))</f>
        <v/>
      </c>
      <c r="G99" s="35">
        <f>IF(B99="","",COUNTIF($D$38:$D$187,"&gt;"&amp;D99)+1)</f>
        <v/>
      </c>
      <c r="H99" s="35">
        <f>IF(B99="","",INDEX(الموظفات!$L$5:$L$304,MATCH(B99,الموظفات!$B$5:$B$304,0)))</f>
        <v/>
      </c>
      <c r="K99" s="36">
        <f>IF(62&gt;$B$10,"",62)</f>
        <v/>
      </c>
      <c r="L99" s="37">
        <f>IF($K99="","",INDEX('سجل التحفيز'!$A$5:$A$2004,MATCH($K99,'سجل التحفيز'!$AD$5:$AD$2004,0)))</f>
        <v/>
      </c>
      <c r="M99" s="9">
        <f>IF($K99="","",INDEX('سجل التحفيز'!$B$5:$B$2004,MATCH($K99,'سجل التحفيز'!$AD$5:$AD$2004,0)))</f>
        <v/>
      </c>
      <c r="N99" s="9">
        <f>IF($K99="","",INDEX('سجل التحفيز'!$M$5:$M$2004,MATCH($K99,'سجل التحفيز'!$AD$5:$AD$2004,0)))</f>
        <v/>
      </c>
      <c r="O99" s="9">
        <f>IF($K99="","",INDEX('سجل التحفيز'!$C$5:$C$2004,MATCH($K99,'سجل التحفيز'!$AD$5:$AD$2004,0)))</f>
        <v/>
      </c>
      <c r="P99" s="36">
        <f>IF($K99="","",INDEX('سجل التحفيز'!$D$5:$D$2004,MATCH($K99,'سجل التحفيز'!$AD$5:$AD$2004,0)))</f>
        <v/>
      </c>
      <c r="Q99" s="9">
        <f>IF($K99="","",INDEX('سجل التحفيز'!$E$5:$E$2004,MATCH($K99,'سجل التحفيز'!$AD$5:$AD$2004,0)))</f>
        <v/>
      </c>
      <c r="R99" s="9">
        <f>IF($K99="","",INDEX('سجل التحفيز'!$F$5:$F$2004,MATCH($K99,'سجل التحفيز'!$AD$5:$AD$2004,0)))</f>
        <v/>
      </c>
      <c r="S99" s="35">
        <f>IF($K99="","",INDEX('سجل التحفيز'!$G$5:$G$2004,MATCH($K99,'سجل التحفيز'!$AD$5:$AD$2004,0)))</f>
        <v/>
      </c>
    </row>
    <row r="100">
      <c r="B100" s="34">
        <f>IFERROR(INDEX(الموظفات!$B$5:$B$304,MATCH(63,الموظفات!$X$5:$X$304,0)),"")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التحفيز'!$AD$5:$AD$2004,"&gt;0",'سجل التحفيز'!$B$5:$B$2004,B100))</f>
        <v/>
      </c>
      <c r="E100" s="35">
        <f>IF(B100="","",COUNTIFS('سجل التحفيز'!$AD$5:$AD$2004,"&gt;0",'سجل التحفيز'!$B$5:$B$2004,B100,'سجل التحفيز'!$D$5:$D$2004,"ذهبي"))</f>
        <v/>
      </c>
      <c r="F100" s="35">
        <f>IF(B100="","",SUMIFS('سجل التحفيز'!$G$5:$G$2004,'سجل التحفيز'!$AD$5:$AD$2004,"&gt;0",'سجل التحفيز'!$B$5:$B$2004,B100))</f>
        <v/>
      </c>
      <c r="G100" s="35">
        <f>IF(B100="","",COUNTIF($D$38:$D$187,"&gt;"&amp;D100)+1)</f>
        <v/>
      </c>
      <c r="H100" s="35">
        <f>IF(B100="","",INDEX(الموظفات!$L$5:$L$304,MATCH(B100,الموظفات!$B$5:$B$304,0)))</f>
        <v/>
      </c>
      <c r="K100" s="36">
        <f>IF(63&gt;$B$10,"",63)</f>
        <v/>
      </c>
      <c r="L100" s="37">
        <f>IF($K100="","",INDEX('سجل التحفيز'!$A$5:$A$2004,MATCH($K100,'سجل التحفيز'!$AD$5:$AD$2004,0)))</f>
        <v/>
      </c>
      <c r="M100" s="9">
        <f>IF($K100="","",INDEX('سجل التحفيز'!$B$5:$B$2004,MATCH($K100,'سجل التحفيز'!$AD$5:$AD$2004,0)))</f>
        <v/>
      </c>
      <c r="N100" s="9">
        <f>IF($K100="","",INDEX('سجل التحفيز'!$M$5:$M$2004,MATCH($K100,'سجل التحفيز'!$AD$5:$AD$2004,0)))</f>
        <v/>
      </c>
      <c r="O100" s="9">
        <f>IF($K100="","",INDEX('سجل التحفيز'!$C$5:$C$2004,MATCH($K100,'سجل التحفيز'!$AD$5:$AD$2004,0)))</f>
        <v/>
      </c>
      <c r="P100" s="36">
        <f>IF($K100="","",INDEX('سجل التحفيز'!$D$5:$D$2004,MATCH($K100,'سجل التحفيز'!$AD$5:$AD$2004,0)))</f>
        <v/>
      </c>
      <c r="Q100" s="9">
        <f>IF($K100="","",INDEX('سجل التحفيز'!$E$5:$E$2004,MATCH($K100,'سجل التحفيز'!$AD$5:$AD$2004,0)))</f>
        <v/>
      </c>
      <c r="R100" s="9">
        <f>IF($K100="","",INDEX('سجل التحفيز'!$F$5:$F$2004,MATCH($K100,'سجل التحفيز'!$AD$5:$AD$2004,0)))</f>
        <v/>
      </c>
      <c r="S100" s="35">
        <f>IF($K100="","",INDEX('سجل التحفيز'!$G$5:$G$2004,MATCH($K100,'سجل التحفيز'!$AD$5:$AD$2004,0)))</f>
        <v/>
      </c>
    </row>
    <row r="101">
      <c r="B101" s="34">
        <f>IFERROR(INDEX(الموظفات!$B$5:$B$304,MATCH(64,الموظفات!$X$5:$X$304,0)),"")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التحفيز'!$AD$5:$AD$2004,"&gt;0",'سجل التحفيز'!$B$5:$B$2004,B101))</f>
        <v/>
      </c>
      <c r="E101" s="35">
        <f>IF(B101="","",COUNTIFS('سجل التحفيز'!$AD$5:$AD$2004,"&gt;0",'سجل التحفيز'!$B$5:$B$2004,B101,'سجل التحفيز'!$D$5:$D$2004,"ذهبي"))</f>
        <v/>
      </c>
      <c r="F101" s="35">
        <f>IF(B101="","",SUMIFS('سجل التحفيز'!$G$5:$G$2004,'سجل التحفيز'!$AD$5:$AD$2004,"&gt;0",'سجل التحفيز'!$B$5:$B$2004,B101))</f>
        <v/>
      </c>
      <c r="G101" s="35">
        <f>IF(B101="","",COUNTIF($D$38:$D$187,"&gt;"&amp;D101)+1)</f>
        <v/>
      </c>
      <c r="H101" s="35">
        <f>IF(B101="","",INDEX(الموظفات!$L$5:$L$304,MATCH(B101,الموظفات!$B$5:$B$304,0)))</f>
        <v/>
      </c>
      <c r="K101" s="36">
        <f>IF(64&gt;$B$10,"",64)</f>
        <v/>
      </c>
      <c r="L101" s="37">
        <f>IF($K101="","",INDEX('سجل التحفيز'!$A$5:$A$2004,MATCH($K101,'سجل التحفيز'!$AD$5:$AD$2004,0)))</f>
        <v/>
      </c>
      <c r="M101" s="9">
        <f>IF($K101="","",INDEX('سجل التحفيز'!$B$5:$B$2004,MATCH($K101,'سجل التحفيز'!$AD$5:$AD$2004,0)))</f>
        <v/>
      </c>
      <c r="N101" s="9">
        <f>IF($K101="","",INDEX('سجل التحفيز'!$M$5:$M$2004,MATCH($K101,'سجل التحفيز'!$AD$5:$AD$2004,0)))</f>
        <v/>
      </c>
      <c r="O101" s="9">
        <f>IF($K101="","",INDEX('سجل التحفيز'!$C$5:$C$2004,MATCH($K101,'سجل التحفيز'!$AD$5:$AD$2004,0)))</f>
        <v/>
      </c>
      <c r="P101" s="36">
        <f>IF($K101="","",INDEX('سجل التحفيز'!$D$5:$D$2004,MATCH($K101,'سجل التحفيز'!$AD$5:$AD$2004,0)))</f>
        <v/>
      </c>
      <c r="Q101" s="9">
        <f>IF($K101="","",INDEX('سجل التحفيز'!$E$5:$E$2004,MATCH($K101,'سجل التحفيز'!$AD$5:$AD$2004,0)))</f>
        <v/>
      </c>
      <c r="R101" s="9">
        <f>IF($K101="","",INDEX('سجل التحفيز'!$F$5:$F$2004,MATCH($K101,'سجل التحفيز'!$AD$5:$AD$2004,0)))</f>
        <v/>
      </c>
      <c r="S101" s="35">
        <f>IF($K101="","",INDEX('سجل التحفيز'!$G$5:$G$2004,MATCH($K101,'سجل التحفيز'!$AD$5:$AD$2004,0)))</f>
        <v/>
      </c>
    </row>
    <row r="102">
      <c r="B102" s="34">
        <f>IFERROR(INDEX(الموظفات!$B$5:$B$304,MATCH(65,الموظفات!$X$5:$X$304,0)),"")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التحفيز'!$AD$5:$AD$2004,"&gt;0",'سجل التحفيز'!$B$5:$B$2004,B102))</f>
        <v/>
      </c>
      <c r="E102" s="35">
        <f>IF(B102="","",COUNTIFS('سجل التحفيز'!$AD$5:$AD$2004,"&gt;0",'سجل التحفيز'!$B$5:$B$2004,B102,'سجل التحفيز'!$D$5:$D$2004,"ذهبي"))</f>
        <v/>
      </c>
      <c r="F102" s="35">
        <f>IF(B102="","",SUMIFS('سجل التحفيز'!$G$5:$G$2004,'سجل التحفيز'!$AD$5:$AD$2004,"&gt;0",'سجل التحفيز'!$B$5:$B$2004,B102))</f>
        <v/>
      </c>
      <c r="G102" s="35">
        <f>IF(B102="","",COUNTIF($D$38:$D$187,"&gt;"&amp;D102)+1)</f>
        <v/>
      </c>
      <c r="H102" s="35">
        <f>IF(B102="","",INDEX(الموظفات!$L$5:$L$304,MATCH(B102,الموظفات!$B$5:$B$304,0)))</f>
        <v/>
      </c>
      <c r="K102" s="36">
        <f>IF(65&gt;$B$10,"",65)</f>
        <v/>
      </c>
      <c r="L102" s="37">
        <f>IF($K102="","",INDEX('سجل التحفيز'!$A$5:$A$2004,MATCH($K102,'سجل التحفيز'!$AD$5:$AD$2004,0)))</f>
        <v/>
      </c>
      <c r="M102" s="9">
        <f>IF($K102="","",INDEX('سجل التحفيز'!$B$5:$B$2004,MATCH($K102,'سجل التحفيز'!$AD$5:$AD$2004,0)))</f>
        <v/>
      </c>
      <c r="N102" s="9">
        <f>IF($K102="","",INDEX('سجل التحفيز'!$M$5:$M$2004,MATCH($K102,'سجل التحفيز'!$AD$5:$AD$2004,0)))</f>
        <v/>
      </c>
      <c r="O102" s="9">
        <f>IF($K102="","",INDEX('سجل التحفيز'!$C$5:$C$2004,MATCH($K102,'سجل التحفيز'!$AD$5:$AD$2004,0)))</f>
        <v/>
      </c>
      <c r="P102" s="36">
        <f>IF($K102="","",INDEX('سجل التحفيز'!$D$5:$D$2004,MATCH($K102,'سجل التحفيز'!$AD$5:$AD$2004,0)))</f>
        <v/>
      </c>
      <c r="Q102" s="9">
        <f>IF($K102="","",INDEX('سجل التحفيز'!$E$5:$E$2004,MATCH($K102,'سجل التحفيز'!$AD$5:$AD$2004,0)))</f>
        <v/>
      </c>
      <c r="R102" s="9">
        <f>IF($K102="","",INDEX('سجل التحفيز'!$F$5:$F$2004,MATCH($K102,'سجل التحفيز'!$AD$5:$AD$2004,0)))</f>
        <v/>
      </c>
      <c r="S102" s="35">
        <f>IF($K102="","",INDEX('سجل التحفيز'!$G$5:$G$2004,MATCH($K102,'سجل التحفيز'!$AD$5:$AD$2004,0)))</f>
        <v/>
      </c>
    </row>
    <row r="103">
      <c r="B103" s="34">
        <f>IFERROR(INDEX(الموظفات!$B$5:$B$304,MATCH(66,الموظفات!$X$5:$X$304,0)),"")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التحفيز'!$AD$5:$AD$2004,"&gt;0",'سجل التحفيز'!$B$5:$B$2004,B103))</f>
        <v/>
      </c>
      <c r="E103" s="35">
        <f>IF(B103="","",COUNTIFS('سجل التحفيز'!$AD$5:$AD$2004,"&gt;0",'سجل التحفيز'!$B$5:$B$2004,B103,'سجل التحفيز'!$D$5:$D$2004,"ذهبي"))</f>
        <v/>
      </c>
      <c r="F103" s="35">
        <f>IF(B103="","",SUMIFS('سجل التحفيز'!$G$5:$G$2004,'سجل التحفيز'!$AD$5:$AD$2004,"&gt;0",'سجل التحفيز'!$B$5:$B$2004,B103))</f>
        <v/>
      </c>
      <c r="G103" s="35">
        <f>IF(B103="","",COUNTIF($D$38:$D$187,"&gt;"&amp;D103)+1)</f>
        <v/>
      </c>
      <c r="H103" s="35">
        <f>IF(B103="","",INDEX(الموظفات!$L$5:$L$304,MATCH(B103,الموظفات!$B$5:$B$304,0)))</f>
        <v/>
      </c>
      <c r="K103" s="36">
        <f>IF(66&gt;$B$10,"",66)</f>
        <v/>
      </c>
      <c r="L103" s="37">
        <f>IF($K103="","",INDEX('سجل التحفيز'!$A$5:$A$2004,MATCH($K103,'سجل التحفيز'!$AD$5:$AD$2004,0)))</f>
        <v/>
      </c>
      <c r="M103" s="9">
        <f>IF($K103="","",INDEX('سجل التحفيز'!$B$5:$B$2004,MATCH($K103,'سجل التحفيز'!$AD$5:$AD$2004,0)))</f>
        <v/>
      </c>
      <c r="N103" s="9">
        <f>IF($K103="","",INDEX('سجل التحفيز'!$M$5:$M$2004,MATCH($K103,'سجل التحفيز'!$AD$5:$AD$2004,0)))</f>
        <v/>
      </c>
      <c r="O103" s="9">
        <f>IF($K103="","",INDEX('سجل التحفيز'!$C$5:$C$2004,MATCH($K103,'سجل التحفيز'!$AD$5:$AD$2004,0)))</f>
        <v/>
      </c>
      <c r="P103" s="36">
        <f>IF($K103="","",INDEX('سجل التحفيز'!$D$5:$D$2004,MATCH($K103,'سجل التحفيز'!$AD$5:$AD$2004,0)))</f>
        <v/>
      </c>
      <c r="Q103" s="9">
        <f>IF($K103="","",INDEX('سجل التحفيز'!$E$5:$E$2004,MATCH($K103,'سجل التحفيز'!$AD$5:$AD$2004,0)))</f>
        <v/>
      </c>
      <c r="R103" s="9">
        <f>IF($K103="","",INDEX('سجل التحفيز'!$F$5:$F$2004,MATCH($K103,'سجل التحفيز'!$AD$5:$AD$2004,0)))</f>
        <v/>
      </c>
      <c r="S103" s="35">
        <f>IF($K103="","",INDEX('سجل التحفيز'!$G$5:$G$2004,MATCH($K103,'سجل التحفيز'!$AD$5:$AD$2004,0)))</f>
        <v/>
      </c>
    </row>
    <row r="104">
      <c r="B104" s="34">
        <f>IFERROR(INDEX(الموظفات!$B$5:$B$304,MATCH(67,الموظفات!$X$5:$X$304,0)),"")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التحفيز'!$AD$5:$AD$2004,"&gt;0",'سجل التحفيز'!$B$5:$B$2004,B104))</f>
        <v/>
      </c>
      <c r="E104" s="35">
        <f>IF(B104="","",COUNTIFS('سجل التحفيز'!$AD$5:$AD$2004,"&gt;0",'سجل التحفيز'!$B$5:$B$2004,B104,'سجل التحفيز'!$D$5:$D$2004,"ذهبي"))</f>
        <v/>
      </c>
      <c r="F104" s="35">
        <f>IF(B104="","",SUMIFS('سجل التحفيز'!$G$5:$G$2004,'سجل التحفيز'!$AD$5:$AD$2004,"&gt;0",'سجل التحفيز'!$B$5:$B$2004,B104))</f>
        <v/>
      </c>
      <c r="G104" s="35">
        <f>IF(B104="","",COUNTIF($D$38:$D$187,"&gt;"&amp;D104)+1)</f>
        <v/>
      </c>
      <c r="H104" s="35">
        <f>IF(B104="","",INDEX(الموظفات!$L$5:$L$304,MATCH(B104,الموظفات!$B$5:$B$304,0)))</f>
        <v/>
      </c>
      <c r="K104" s="36">
        <f>IF(67&gt;$B$10,"",67)</f>
        <v/>
      </c>
      <c r="L104" s="37">
        <f>IF($K104="","",INDEX('سجل التحفيز'!$A$5:$A$2004,MATCH($K104,'سجل التحفيز'!$AD$5:$AD$2004,0)))</f>
        <v/>
      </c>
      <c r="M104" s="9">
        <f>IF($K104="","",INDEX('سجل التحفيز'!$B$5:$B$2004,MATCH($K104,'سجل التحفيز'!$AD$5:$AD$2004,0)))</f>
        <v/>
      </c>
      <c r="N104" s="9">
        <f>IF($K104="","",INDEX('سجل التحفيز'!$M$5:$M$2004,MATCH($K104,'سجل التحفيز'!$AD$5:$AD$2004,0)))</f>
        <v/>
      </c>
      <c r="O104" s="9">
        <f>IF($K104="","",INDEX('سجل التحفيز'!$C$5:$C$2004,MATCH($K104,'سجل التحفيز'!$AD$5:$AD$2004,0)))</f>
        <v/>
      </c>
      <c r="P104" s="36">
        <f>IF($K104="","",INDEX('سجل التحفيز'!$D$5:$D$2004,MATCH($K104,'سجل التحفيز'!$AD$5:$AD$2004,0)))</f>
        <v/>
      </c>
      <c r="Q104" s="9">
        <f>IF($K104="","",INDEX('سجل التحفيز'!$E$5:$E$2004,MATCH($K104,'سجل التحفيز'!$AD$5:$AD$2004,0)))</f>
        <v/>
      </c>
      <c r="R104" s="9">
        <f>IF($K104="","",INDEX('سجل التحفيز'!$F$5:$F$2004,MATCH($K104,'سجل التحفيز'!$AD$5:$AD$2004,0)))</f>
        <v/>
      </c>
      <c r="S104" s="35">
        <f>IF($K104="","",INDEX('سجل التحفيز'!$G$5:$G$2004,MATCH($K104,'سجل التحفيز'!$AD$5:$AD$2004,0)))</f>
        <v/>
      </c>
    </row>
    <row r="105">
      <c r="B105" s="34">
        <f>IFERROR(INDEX(الموظفات!$B$5:$B$304,MATCH(68,الموظفات!$X$5:$X$304,0)),"")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التحفيز'!$AD$5:$AD$2004,"&gt;0",'سجل التحفيز'!$B$5:$B$2004,B105))</f>
        <v/>
      </c>
      <c r="E105" s="35">
        <f>IF(B105="","",COUNTIFS('سجل التحفيز'!$AD$5:$AD$2004,"&gt;0",'سجل التحفيز'!$B$5:$B$2004,B105,'سجل التحفيز'!$D$5:$D$2004,"ذهبي"))</f>
        <v/>
      </c>
      <c r="F105" s="35">
        <f>IF(B105="","",SUMIFS('سجل التحفيز'!$G$5:$G$2004,'سجل التحفيز'!$AD$5:$AD$2004,"&gt;0",'سجل التحفيز'!$B$5:$B$2004,B105))</f>
        <v/>
      </c>
      <c r="G105" s="35">
        <f>IF(B105="","",COUNTIF($D$38:$D$187,"&gt;"&amp;D105)+1)</f>
        <v/>
      </c>
      <c r="H105" s="35">
        <f>IF(B105="","",INDEX(الموظفات!$L$5:$L$304,MATCH(B105,الموظفات!$B$5:$B$304,0)))</f>
        <v/>
      </c>
      <c r="K105" s="36">
        <f>IF(68&gt;$B$10,"",68)</f>
        <v/>
      </c>
      <c r="L105" s="37">
        <f>IF($K105="","",INDEX('سجل التحفيز'!$A$5:$A$2004,MATCH($K105,'سجل التحفيز'!$AD$5:$AD$2004,0)))</f>
        <v/>
      </c>
      <c r="M105" s="9">
        <f>IF($K105="","",INDEX('سجل التحفيز'!$B$5:$B$2004,MATCH($K105,'سجل التحفيز'!$AD$5:$AD$2004,0)))</f>
        <v/>
      </c>
      <c r="N105" s="9">
        <f>IF($K105="","",INDEX('سجل التحفيز'!$M$5:$M$2004,MATCH($K105,'سجل التحفيز'!$AD$5:$AD$2004,0)))</f>
        <v/>
      </c>
      <c r="O105" s="9">
        <f>IF($K105="","",INDEX('سجل التحفيز'!$C$5:$C$2004,MATCH($K105,'سجل التحفيز'!$AD$5:$AD$2004,0)))</f>
        <v/>
      </c>
      <c r="P105" s="36">
        <f>IF($K105="","",INDEX('سجل التحفيز'!$D$5:$D$2004,MATCH($K105,'سجل التحفيز'!$AD$5:$AD$2004,0)))</f>
        <v/>
      </c>
      <c r="Q105" s="9">
        <f>IF($K105="","",INDEX('سجل التحفيز'!$E$5:$E$2004,MATCH($K105,'سجل التحفيز'!$AD$5:$AD$2004,0)))</f>
        <v/>
      </c>
      <c r="R105" s="9">
        <f>IF($K105="","",INDEX('سجل التحفيز'!$F$5:$F$2004,MATCH($K105,'سجل التحفيز'!$AD$5:$AD$2004,0)))</f>
        <v/>
      </c>
      <c r="S105" s="35">
        <f>IF($K105="","",INDEX('سجل التحفيز'!$G$5:$G$2004,MATCH($K105,'سجل التحفيز'!$AD$5:$AD$2004,0)))</f>
        <v/>
      </c>
    </row>
    <row r="106">
      <c r="B106" s="34">
        <f>IFERROR(INDEX(الموظفات!$B$5:$B$304,MATCH(69,الموظفات!$X$5:$X$304,0)),"")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التحفيز'!$AD$5:$AD$2004,"&gt;0",'سجل التحفيز'!$B$5:$B$2004,B106))</f>
        <v/>
      </c>
      <c r="E106" s="35">
        <f>IF(B106="","",COUNTIFS('سجل التحفيز'!$AD$5:$AD$2004,"&gt;0",'سجل التحفيز'!$B$5:$B$2004,B106,'سجل التحفيز'!$D$5:$D$2004,"ذهبي"))</f>
        <v/>
      </c>
      <c r="F106" s="35">
        <f>IF(B106="","",SUMIFS('سجل التحفيز'!$G$5:$G$2004,'سجل التحفيز'!$AD$5:$AD$2004,"&gt;0",'سجل التحفيز'!$B$5:$B$2004,B106))</f>
        <v/>
      </c>
      <c r="G106" s="35">
        <f>IF(B106="","",COUNTIF($D$38:$D$187,"&gt;"&amp;D106)+1)</f>
        <v/>
      </c>
      <c r="H106" s="35">
        <f>IF(B106="","",INDEX(الموظفات!$L$5:$L$304,MATCH(B106,الموظفات!$B$5:$B$304,0)))</f>
        <v/>
      </c>
      <c r="K106" s="36">
        <f>IF(69&gt;$B$10,"",69)</f>
        <v/>
      </c>
      <c r="L106" s="37">
        <f>IF($K106="","",INDEX('سجل التحفيز'!$A$5:$A$2004,MATCH($K106,'سجل التحفيز'!$AD$5:$AD$2004,0)))</f>
        <v/>
      </c>
      <c r="M106" s="9">
        <f>IF($K106="","",INDEX('سجل التحفيز'!$B$5:$B$2004,MATCH($K106,'سجل التحفيز'!$AD$5:$AD$2004,0)))</f>
        <v/>
      </c>
      <c r="N106" s="9">
        <f>IF($K106="","",INDEX('سجل التحفيز'!$M$5:$M$2004,MATCH($K106,'سجل التحفيز'!$AD$5:$AD$2004,0)))</f>
        <v/>
      </c>
      <c r="O106" s="9">
        <f>IF($K106="","",INDEX('سجل التحفيز'!$C$5:$C$2004,MATCH($K106,'سجل التحفيز'!$AD$5:$AD$2004,0)))</f>
        <v/>
      </c>
      <c r="P106" s="36">
        <f>IF($K106="","",INDEX('سجل التحفيز'!$D$5:$D$2004,MATCH($K106,'سجل التحفيز'!$AD$5:$AD$2004,0)))</f>
        <v/>
      </c>
      <c r="Q106" s="9">
        <f>IF($K106="","",INDEX('سجل التحفيز'!$E$5:$E$2004,MATCH($K106,'سجل التحفيز'!$AD$5:$AD$2004,0)))</f>
        <v/>
      </c>
      <c r="R106" s="9">
        <f>IF($K106="","",INDEX('سجل التحفيز'!$F$5:$F$2004,MATCH($K106,'سجل التحفيز'!$AD$5:$AD$2004,0)))</f>
        <v/>
      </c>
      <c r="S106" s="35">
        <f>IF($K106="","",INDEX('سجل التحفيز'!$G$5:$G$2004,MATCH($K106,'سجل التحفيز'!$AD$5:$AD$2004,0)))</f>
        <v/>
      </c>
    </row>
    <row r="107">
      <c r="B107" s="34">
        <f>IFERROR(INDEX(الموظفات!$B$5:$B$304,MATCH(70,الموظفات!$X$5:$X$304,0)),"")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التحفيز'!$AD$5:$AD$2004,"&gt;0",'سجل التحفيز'!$B$5:$B$2004,B107))</f>
        <v/>
      </c>
      <c r="E107" s="35">
        <f>IF(B107="","",COUNTIFS('سجل التحفيز'!$AD$5:$AD$2004,"&gt;0",'سجل التحفيز'!$B$5:$B$2004,B107,'سجل التحفيز'!$D$5:$D$2004,"ذهبي"))</f>
        <v/>
      </c>
      <c r="F107" s="35">
        <f>IF(B107="","",SUMIFS('سجل التحفيز'!$G$5:$G$2004,'سجل التحفيز'!$AD$5:$AD$2004,"&gt;0",'سجل التحفيز'!$B$5:$B$2004,B107))</f>
        <v/>
      </c>
      <c r="G107" s="35">
        <f>IF(B107="","",COUNTIF($D$38:$D$187,"&gt;"&amp;D107)+1)</f>
        <v/>
      </c>
      <c r="H107" s="35">
        <f>IF(B107="","",INDEX(الموظفات!$L$5:$L$304,MATCH(B107,الموظفات!$B$5:$B$304,0)))</f>
        <v/>
      </c>
      <c r="K107" s="36">
        <f>IF(70&gt;$B$10,"",70)</f>
        <v/>
      </c>
      <c r="L107" s="37">
        <f>IF($K107="","",INDEX('سجل التحفيز'!$A$5:$A$2004,MATCH($K107,'سجل التحفيز'!$AD$5:$AD$2004,0)))</f>
        <v/>
      </c>
      <c r="M107" s="9">
        <f>IF($K107="","",INDEX('سجل التحفيز'!$B$5:$B$2004,MATCH($K107,'سجل التحفيز'!$AD$5:$AD$2004,0)))</f>
        <v/>
      </c>
      <c r="N107" s="9">
        <f>IF($K107="","",INDEX('سجل التحفيز'!$M$5:$M$2004,MATCH($K107,'سجل التحفيز'!$AD$5:$AD$2004,0)))</f>
        <v/>
      </c>
      <c r="O107" s="9">
        <f>IF($K107="","",INDEX('سجل التحفيز'!$C$5:$C$2004,MATCH($K107,'سجل التحفيز'!$AD$5:$AD$2004,0)))</f>
        <v/>
      </c>
      <c r="P107" s="36">
        <f>IF($K107="","",INDEX('سجل التحفيز'!$D$5:$D$2004,MATCH($K107,'سجل التحفيز'!$AD$5:$AD$2004,0)))</f>
        <v/>
      </c>
      <c r="Q107" s="9">
        <f>IF($K107="","",INDEX('سجل التحفيز'!$E$5:$E$2004,MATCH($K107,'سجل التحفيز'!$AD$5:$AD$2004,0)))</f>
        <v/>
      </c>
      <c r="R107" s="9">
        <f>IF($K107="","",INDEX('سجل التحفيز'!$F$5:$F$2004,MATCH($K107,'سجل التحفيز'!$AD$5:$AD$2004,0)))</f>
        <v/>
      </c>
      <c r="S107" s="35">
        <f>IF($K107="","",INDEX('سجل التحفيز'!$G$5:$G$2004,MATCH($K107,'سجل التحفيز'!$AD$5:$AD$2004,0)))</f>
        <v/>
      </c>
    </row>
    <row r="108">
      <c r="B108" s="34">
        <f>IFERROR(INDEX(الموظفات!$B$5:$B$304,MATCH(71,الموظفات!$X$5:$X$304,0)),"")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التحفيز'!$AD$5:$AD$2004,"&gt;0",'سجل التحفيز'!$B$5:$B$2004,B108))</f>
        <v/>
      </c>
      <c r="E108" s="35">
        <f>IF(B108="","",COUNTIFS('سجل التحفيز'!$AD$5:$AD$2004,"&gt;0",'سجل التحفيز'!$B$5:$B$2004,B108,'سجل التحفيز'!$D$5:$D$2004,"ذهبي"))</f>
        <v/>
      </c>
      <c r="F108" s="35">
        <f>IF(B108="","",SUMIFS('سجل التحفيز'!$G$5:$G$2004,'سجل التحفيز'!$AD$5:$AD$2004,"&gt;0",'سجل التحفيز'!$B$5:$B$2004,B108))</f>
        <v/>
      </c>
      <c r="G108" s="35">
        <f>IF(B108="","",COUNTIF($D$38:$D$187,"&gt;"&amp;D108)+1)</f>
        <v/>
      </c>
      <c r="H108" s="35">
        <f>IF(B108="","",INDEX(الموظفات!$L$5:$L$304,MATCH(B108,الموظفات!$B$5:$B$304,0)))</f>
        <v/>
      </c>
      <c r="K108" s="36">
        <f>IF(71&gt;$B$10,"",71)</f>
        <v/>
      </c>
      <c r="L108" s="37">
        <f>IF($K108="","",INDEX('سجل التحفيز'!$A$5:$A$2004,MATCH($K108,'سجل التحفيز'!$AD$5:$AD$2004,0)))</f>
        <v/>
      </c>
      <c r="M108" s="9">
        <f>IF($K108="","",INDEX('سجل التحفيز'!$B$5:$B$2004,MATCH($K108,'سجل التحفيز'!$AD$5:$AD$2004,0)))</f>
        <v/>
      </c>
      <c r="N108" s="9">
        <f>IF($K108="","",INDEX('سجل التحفيز'!$M$5:$M$2004,MATCH($K108,'سجل التحفيز'!$AD$5:$AD$2004,0)))</f>
        <v/>
      </c>
      <c r="O108" s="9">
        <f>IF($K108="","",INDEX('سجل التحفيز'!$C$5:$C$2004,MATCH($K108,'سجل التحفيز'!$AD$5:$AD$2004,0)))</f>
        <v/>
      </c>
      <c r="P108" s="36">
        <f>IF($K108="","",INDEX('سجل التحفيز'!$D$5:$D$2004,MATCH($K108,'سجل التحفيز'!$AD$5:$AD$2004,0)))</f>
        <v/>
      </c>
      <c r="Q108" s="9">
        <f>IF($K108="","",INDEX('سجل التحفيز'!$E$5:$E$2004,MATCH($K108,'سجل التحفيز'!$AD$5:$AD$2004,0)))</f>
        <v/>
      </c>
      <c r="R108" s="9">
        <f>IF($K108="","",INDEX('سجل التحفيز'!$F$5:$F$2004,MATCH($K108,'سجل التحفيز'!$AD$5:$AD$2004,0)))</f>
        <v/>
      </c>
      <c r="S108" s="35">
        <f>IF($K108="","",INDEX('سجل التحفيز'!$G$5:$G$2004,MATCH($K108,'سجل التحفيز'!$AD$5:$AD$2004,0)))</f>
        <v/>
      </c>
    </row>
    <row r="109">
      <c r="B109" s="34">
        <f>IFERROR(INDEX(الموظفات!$B$5:$B$304,MATCH(72,الموظفات!$X$5:$X$304,0)),"")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التحفيز'!$AD$5:$AD$2004,"&gt;0",'سجل التحفيز'!$B$5:$B$2004,B109))</f>
        <v/>
      </c>
      <c r="E109" s="35">
        <f>IF(B109="","",COUNTIFS('سجل التحفيز'!$AD$5:$AD$2004,"&gt;0",'سجل التحفيز'!$B$5:$B$2004,B109,'سجل التحفيز'!$D$5:$D$2004,"ذهبي"))</f>
        <v/>
      </c>
      <c r="F109" s="35">
        <f>IF(B109="","",SUMIFS('سجل التحفيز'!$G$5:$G$2004,'سجل التحفيز'!$AD$5:$AD$2004,"&gt;0",'سجل التحفيز'!$B$5:$B$2004,B109))</f>
        <v/>
      </c>
      <c r="G109" s="35">
        <f>IF(B109="","",COUNTIF($D$38:$D$187,"&gt;"&amp;D109)+1)</f>
        <v/>
      </c>
      <c r="H109" s="35">
        <f>IF(B109="","",INDEX(الموظفات!$L$5:$L$304,MATCH(B109,الموظفات!$B$5:$B$304,0)))</f>
        <v/>
      </c>
      <c r="K109" s="36">
        <f>IF(72&gt;$B$10,"",72)</f>
        <v/>
      </c>
      <c r="L109" s="37">
        <f>IF($K109="","",INDEX('سجل التحفيز'!$A$5:$A$2004,MATCH($K109,'سجل التحفيز'!$AD$5:$AD$2004,0)))</f>
        <v/>
      </c>
      <c r="M109" s="9">
        <f>IF($K109="","",INDEX('سجل التحفيز'!$B$5:$B$2004,MATCH($K109,'سجل التحفيز'!$AD$5:$AD$2004,0)))</f>
        <v/>
      </c>
      <c r="N109" s="9">
        <f>IF($K109="","",INDEX('سجل التحفيز'!$M$5:$M$2004,MATCH($K109,'سجل التحفيز'!$AD$5:$AD$2004,0)))</f>
        <v/>
      </c>
      <c r="O109" s="9">
        <f>IF($K109="","",INDEX('سجل التحفيز'!$C$5:$C$2004,MATCH($K109,'سجل التحفيز'!$AD$5:$AD$2004,0)))</f>
        <v/>
      </c>
      <c r="P109" s="36">
        <f>IF($K109="","",INDEX('سجل التحفيز'!$D$5:$D$2004,MATCH($K109,'سجل التحفيز'!$AD$5:$AD$2004,0)))</f>
        <v/>
      </c>
      <c r="Q109" s="9">
        <f>IF($K109="","",INDEX('سجل التحفيز'!$E$5:$E$2004,MATCH($K109,'سجل التحفيز'!$AD$5:$AD$2004,0)))</f>
        <v/>
      </c>
      <c r="R109" s="9">
        <f>IF($K109="","",INDEX('سجل التحفيز'!$F$5:$F$2004,MATCH($K109,'سجل التحفيز'!$AD$5:$AD$2004,0)))</f>
        <v/>
      </c>
      <c r="S109" s="35">
        <f>IF($K109="","",INDEX('سجل التحفيز'!$G$5:$G$2004,MATCH($K109,'سجل التحفيز'!$AD$5:$AD$2004,0)))</f>
        <v/>
      </c>
    </row>
    <row r="110">
      <c r="B110" s="34">
        <f>IFERROR(INDEX(الموظفات!$B$5:$B$304,MATCH(73,الموظفات!$X$5:$X$304,0)),"")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التحفيز'!$AD$5:$AD$2004,"&gt;0",'سجل التحفيز'!$B$5:$B$2004,B110))</f>
        <v/>
      </c>
      <c r="E110" s="35">
        <f>IF(B110="","",COUNTIFS('سجل التحفيز'!$AD$5:$AD$2004,"&gt;0",'سجل التحفيز'!$B$5:$B$2004,B110,'سجل التحفيز'!$D$5:$D$2004,"ذهبي"))</f>
        <v/>
      </c>
      <c r="F110" s="35">
        <f>IF(B110="","",SUMIFS('سجل التحفيز'!$G$5:$G$2004,'سجل التحفيز'!$AD$5:$AD$2004,"&gt;0",'سجل التحفيز'!$B$5:$B$2004,B110))</f>
        <v/>
      </c>
      <c r="G110" s="35">
        <f>IF(B110="","",COUNTIF($D$38:$D$187,"&gt;"&amp;D110)+1)</f>
        <v/>
      </c>
      <c r="H110" s="35">
        <f>IF(B110="","",INDEX(الموظفات!$L$5:$L$304,MATCH(B110,الموظفات!$B$5:$B$304,0)))</f>
        <v/>
      </c>
      <c r="K110" s="36">
        <f>IF(73&gt;$B$10,"",73)</f>
        <v/>
      </c>
      <c r="L110" s="37">
        <f>IF($K110="","",INDEX('سجل التحفيز'!$A$5:$A$2004,MATCH($K110,'سجل التحفيز'!$AD$5:$AD$2004,0)))</f>
        <v/>
      </c>
      <c r="M110" s="9">
        <f>IF($K110="","",INDEX('سجل التحفيز'!$B$5:$B$2004,MATCH($K110,'سجل التحفيز'!$AD$5:$AD$2004,0)))</f>
        <v/>
      </c>
      <c r="N110" s="9">
        <f>IF($K110="","",INDEX('سجل التحفيز'!$M$5:$M$2004,MATCH($K110,'سجل التحفيز'!$AD$5:$AD$2004,0)))</f>
        <v/>
      </c>
      <c r="O110" s="9">
        <f>IF($K110="","",INDEX('سجل التحفيز'!$C$5:$C$2004,MATCH($K110,'سجل التحفيز'!$AD$5:$AD$2004,0)))</f>
        <v/>
      </c>
      <c r="P110" s="36">
        <f>IF($K110="","",INDEX('سجل التحفيز'!$D$5:$D$2004,MATCH($K110,'سجل التحفيز'!$AD$5:$AD$2004,0)))</f>
        <v/>
      </c>
      <c r="Q110" s="9">
        <f>IF($K110="","",INDEX('سجل التحفيز'!$E$5:$E$2004,MATCH($K110,'سجل التحفيز'!$AD$5:$AD$2004,0)))</f>
        <v/>
      </c>
      <c r="R110" s="9">
        <f>IF($K110="","",INDEX('سجل التحفيز'!$F$5:$F$2004,MATCH($K110,'سجل التحفيز'!$AD$5:$AD$2004,0)))</f>
        <v/>
      </c>
      <c r="S110" s="35">
        <f>IF($K110="","",INDEX('سجل التحفيز'!$G$5:$G$2004,MATCH($K110,'سجل التحفيز'!$AD$5:$AD$2004,0)))</f>
        <v/>
      </c>
    </row>
    <row r="111">
      <c r="B111" s="34">
        <f>IFERROR(INDEX(الموظفات!$B$5:$B$304,MATCH(74,الموظفات!$X$5:$X$304,0)),"")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التحفيز'!$AD$5:$AD$2004,"&gt;0",'سجل التحفيز'!$B$5:$B$2004,B111))</f>
        <v/>
      </c>
      <c r="E111" s="35">
        <f>IF(B111="","",COUNTIFS('سجل التحفيز'!$AD$5:$AD$2004,"&gt;0",'سجل التحفيز'!$B$5:$B$2004,B111,'سجل التحفيز'!$D$5:$D$2004,"ذهبي"))</f>
        <v/>
      </c>
      <c r="F111" s="35">
        <f>IF(B111="","",SUMIFS('سجل التحفيز'!$G$5:$G$2004,'سجل التحفيز'!$AD$5:$AD$2004,"&gt;0",'سجل التحفيز'!$B$5:$B$2004,B111))</f>
        <v/>
      </c>
      <c r="G111" s="35">
        <f>IF(B111="","",COUNTIF($D$38:$D$187,"&gt;"&amp;D111)+1)</f>
        <v/>
      </c>
      <c r="H111" s="35">
        <f>IF(B111="","",INDEX(الموظفات!$L$5:$L$304,MATCH(B111,الموظفات!$B$5:$B$304,0)))</f>
        <v/>
      </c>
      <c r="K111" s="36">
        <f>IF(74&gt;$B$10,"",74)</f>
        <v/>
      </c>
      <c r="L111" s="37">
        <f>IF($K111="","",INDEX('سجل التحفيز'!$A$5:$A$2004,MATCH($K111,'سجل التحفيز'!$AD$5:$AD$2004,0)))</f>
        <v/>
      </c>
      <c r="M111" s="9">
        <f>IF($K111="","",INDEX('سجل التحفيز'!$B$5:$B$2004,MATCH($K111,'سجل التحفيز'!$AD$5:$AD$2004,0)))</f>
        <v/>
      </c>
      <c r="N111" s="9">
        <f>IF($K111="","",INDEX('سجل التحفيز'!$M$5:$M$2004,MATCH($K111,'سجل التحفيز'!$AD$5:$AD$2004,0)))</f>
        <v/>
      </c>
      <c r="O111" s="9">
        <f>IF($K111="","",INDEX('سجل التحفيز'!$C$5:$C$2004,MATCH($K111,'سجل التحفيز'!$AD$5:$AD$2004,0)))</f>
        <v/>
      </c>
      <c r="P111" s="36">
        <f>IF($K111="","",INDEX('سجل التحفيز'!$D$5:$D$2004,MATCH($K111,'سجل التحفيز'!$AD$5:$AD$2004,0)))</f>
        <v/>
      </c>
      <c r="Q111" s="9">
        <f>IF($K111="","",INDEX('سجل التحفيز'!$E$5:$E$2004,MATCH($K111,'سجل التحفيز'!$AD$5:$AD$2004,0)))</f>
        <v/>
      </c>
      <c r="R111" s="9">
        <f>IF($K111="","",INDEX('سجل التحفيز'!$F$5:$F$2004,MATCH($K111,'سجل التحفيز'!$AD$5:$AD$2004,0)))</f>
        <v/>
      </c>
      <c r="S111" s="35">
        <f>IF($K111="","",INDEX('سجل التحفيز'!$G$5:$G$2004,MATCH($K111,'سجل التحفيز'!$AD$5:$AD$2004,0)))</f>
        <v/>
      </c>
    </row>
    <row r="112">
      <c r="B112" s="34">
        <f>IFERROR(INDEX(الموظفات!$B$5:$B$304,MATCH(75,الموظفات!$X$5:$X$304,0)),"")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التحفيز'!$AD$5:$AD$2004,"&gt;0",'سجل التحفيز'!$B$5:$B$2004,B112))</f>
        <v/>
      </c>
      <c r="E112" s="35">
        <f>IF(B112="","",COUNTIFS('سجل التحفيز'!$AD$5:$AD$2004,"&gt;0",'سجل التحفيز'!$B$5:$B$2004,B112,'سجل التحفيز'!$D$5:$D$2004,"ذهبي"))</f>
        <v/>
      </c>
      <c r="F112" s="35">
        <f>IF(B112="","",SUMIFS('سجل التحفيز'!$G$5:$G$2004,'سجل التحفيز'!$AD$5:$AD$2004,"&gt;0",'سجل التحفيز'!$B$5:$B$2004,B112))</f>
        <v/>
      </c>
      <c r="G112" s="35">
        <f>IF(B112="","",COUNTIF($D$38:$D$187,"&gt;"&amp;D112)+1)</f>
        <v/>
      </c>
      <c r="H112" s="35">
        <f>IF(B112="","",INDEX(الموظفات!$L$5:$L$304,MATCH(B112,الموظفات!$B$5:$B$304,0)))</f>
        <v/>
      </c>
      <c r="K112" s="36">
        <f>IF(75&gt;$B$10,"",75)</f>
        <v/>
      </c>
      <c r="L112" s="37">
        <f>IF($K112="","",INDEX('سجل التحفيز'!$A$5:$A$2004,MATCH($K112,'سجل التحفيز'!$AD$5:$AD$2004,0)))</f>
        <v/>
      </c>
      <c r="M112" s="9">
        <f>IF($K112="","",INDEX('سجل التحفيز'!$B$5:$B$2004,MATCH($K112,'سجل التحفيز'!$AD$5:$AD$2004,0)))</f>
        <v/>
      </c>
      <c r="N112" s="9">
        <f>IF($K112="","",INDEX('سجل التحفيز'!$M$5:$M$2004,MATCH($K112,'سجل التحفيز'!$AD$5:$AD$2004,0)))</f>
        <v/>
      </c>
      <c r="O112" s="9">
        <f>IF($K112="","",INDEX('سجل التحفيز'!$C$5:$C$2004,MATCH($K112,'سجل التحفيز'!$AD$5:$AD$2004,0)))</f>
        <v/>
      </c>
      <c r="P112" s="36">
        <f>IF($K112="","",INDEX('سجل التحفيز'!$D$5:$D$2004,MATCH($K112,'سجل التحفيز'!$AD$5:$AD$2004,0)))</f>
        <v/>
      </c>
      <c r="Q112" s="9">
        <f>IF($K112="","",INDEX('سجل التحفيز'!$E$5:$E$2004,MATCH($K112,'سجل التحفيز'!$AD$5:$AD$2004,0)))</f>
        <v/>
      </c>
      <c r="R112" s="9">
        <f>IF($K112="","",INDEX('سجل التحفيز'!$F$5:$F$2004,MATCH($K112,'سجل التحفيز'!$AD$5:$AD$2004,0)))</f>
        <v/>
      </c>
      <c r="S112" s="35">
        <f>IF($K112="","",INDEX('سجل التحفيز'!$G$5:$G$2004,MATCH($K112,'سجل التحفيز'!$AD$5:$AD$2004,0)))</f>
        <v/>
      </c>
    </row>
    <row r="113">
      <c r="B113" s="34">
        <f>IFERROR(INDEX(الموظفات!$B$5:$B$304,MATCH(76,الموظفات!$X$5:$X$304,0)),"")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التحفيز'!$AD$5:$AD$2004,"&gt;0",'سجل التحفيز'!$B$5:$B$2004,B113))</f>
        <v/>
      </c>
      <c r="E113" s="35">
        <f>IF(B113="","",COUNTIFS('سجل التحفيز'!$AD$5:$AD$2004,"&gt;0",'سجل التحفيز'!$B$5:$B$2004,B113,'سجل التحفيز'!$D$5:$D$2004,"ذهبي"))</f>
        <v/>
      </c>
      <c r="F113" s="35">
        <f>IF(B113="","",SUMIFS('سجل التحفيز'!$G$5:$G$2004,'سجل التحفيز'!$AD$5:$AD$2004,"&gt;0",'سجل التحفيز'!$B$5:$B$2004,B113))</f>
        <v/>
      </c>
      <c r="G113" s="35">
        <f>IF(B113="","",COUNTIF($D$38:$D$187,"&gt;"&amp;D113)+1)</f>
        <v/>
      </c>
      <c r="H113" s="35">
        <f>IF(B113="","",INDEX(الموظفات!$L$5:$L$304,MATCH(B113,الموظفات!$B$5:$B$304,0)))</f>
        <v/>
      </c>
      <c r="K113" s="36">
        <f>IF(76&gt;$B$10,"",76)</f>
        <v/>
      </c>
      <c r="L113" s="37">
        <f>IF($K113="","",INDEX('سجل التحفيز'!$A$5:$A$2004,MATCH($K113,'سجل التحفيز'!$AD$5:$AD$2004,0)))</f>
        <v/>
      </c>
      <c r="M113" s="9">
        <f>IF($K113="","",INDEX('سجل التحفيز'!$B$5:$B$2004,MATCH($K113,'سجل التحفيز'!$AD$5:$AD$2004,0)))</f>
        <v/>
      </c>
      <c r="N113" s="9">
        <f>IF($K113="","",INDEX('سجل التحفيز'!$M$5:$M$2004,MATCH($K113,'سجل التحفيز'!$AD$5:$AD$2004,0)))</f>
        <v/>
      </c>
      <c r="O113" s="9">
        <f>IF($K113="","",INDEX('سجل التحفيز'!$C$5:$C$2004,MATCH($K113,'سجل التحفيز'!$AD$5:$AD$2004,0)))</f>
        <v/>
      </c>
      <c r="P113" s="36">
        <f>IF($K113="","",INDEX('سجل التحفيز'!$D$5:$D$2004,MATCH($K113,'سجل التحفيز'!$AD$5:$AD$2004,0)))</f>
        <v/>
      </c>
      <c r="Q113" s="9">
        <f>IF($K113="","",INDEX('سجل التحفيز'!$E$5:$E$2004,MATCH($K113,'سجل التحفيز'!$AD$5:$AD$2004,0)))</f>
        <v/>
      </c>
      <c r="R113" s="9">
        <f>IF($K113="","",INDEX('سجل التحفيز'!$F$5:$F$2004,MATCH($K113,'سجل التحفيز'!$AD$5:$AD$2004,0)))</f>
        <v/>
      </c>
      <c r="S113" s="35">
        <f>IF($K113="","",INDEX('سجل التحفيز'!$G$5:$G$2004,MATCH($K113,'سجل التحفيز'!$AD$5:$AD$2004,0)))</f>
        <v/>
      </c>
    </row>
    <row r="114">
      <c r="B114" s="34">
        <f>IFERROR(INDEX(الموظفات!$B$5:$B$304,MATCH(77,الموظفات!$X$5:$X$304,0)),"")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التحفيز'!$AD$5:$AD$2004,"&gt;0",'سجل التحفيز'!$B$5:$B$2004,B114))</f>
        <v/>
      </c>
      <c r="E114" s="35">
        <f>IF(B114="","",COUNTIFS('سجل التحفيز'!$AD$5:$AD$2004,"&gt;0",'سجل التحفيز'!$B$5:$B$2004,B114,'سجل التحفيز'!$D$5:$D$2004,"ذهبي"))</f>
        <v/>
      </c>
      <c r="F114" s="35">
        <f>IF(B114="","",SUMIFS('سجل التحفيز'!$G$5:$G$2004,'سجل التحفيز'!$AD$5:$AD$2004,"&gt;0",'سجل التحفيز'!$B$5:$B$2004,B114))</f>
        <v/>
      </c>
      <c r="G114" s="35">
        <f>IF(B114="","",COUNTIF($D$38:$D$187,"&gt;"&amp;D114)+1)</f>
        <v/>
      </c>
      <c r="H114" s="35">
        <f>IF(B114="","",INDEX(الموظفات!$L$5:$L$304,MATCH(B114,الموظفات!$B$5:$B$304,0)))</f>
        <v/>
      </c>
      <c r="K114" s="36">
        <f>IF(77&gt;$B$10,"",77)</f>
        <v/>
      </c>
      <c r="L114" s="37">
        <f>IF($K114="","",INDEX('سجل التحفيز'!$A$5:$A$2004,MATCH($K114,'سجل التحفيز'!$AD$5:$AD$2004,0)))</f>
        <v/>
      </c>
      <c r="M114" s="9">
        <f>IF($K114="","",INDEX('سجل التحفيز'!$B$5:$B$2004,MATCH($K114,'سجل التحفيز'!$AD$5:$AD$2004,0)))</f>
        <v/>
      </c>
      <c r="N114" s="9">
        <f>IF($K114="","",INDEX('سجل التحفيز'!$M$5:$M$2004,MATCH($K114,'سجل التحفيز'!$AD$5:$AD$2004,0)))</f>
        <v/>
      </c>
      <c r="O114" s="9">
        <f>IF($K114="","",INDEX('سجل التحفيز'!$C$5:$C$2004,MATCH($K114,'سجل التحفيز'!$AD$5:$AD$2004,0)))</f>
        <v/>
      </c>
      <c r="P114" s="36">
        <f>IF($K114="","",INDEX('سجل التحفيز'!$D$5:$D$2004,MATCH($K114,'سجل التحفيز'!$AD$5:$AD$2004,0)))</f>
        <v/>
      </c>
      <c r="Q114" s="9">
        <f>IF($K114="","",INDEX('سجل التحفيز'!$E$5:$E$2004,MATCH($K114,'سجل التحفيز'!$AD$5:$AD$2004,0)))</f>
        <v/>
      </c>
      <c r="R114" s="9">
        <f>IF($K114="","",INDEX('سجل التحفيز'!$F$5:$F$2004,MATCH($K114,'سجل التحفيز'!$AD$5:$AD$2004,0)))</f>
        <v/>
      </c>
      <c r="S114" s="35">
        <f>IF($K114="","",INDEX('سجل التحفيز'!$G$5:$G$2004,MATCH($K114,'سجل التحفيز'!$AD$5:$AD$2004,0)))</f>
        <v/>
      </c>
    </row>
    <row r="115">
      <c r="B115" s="34">
        <f>IFERROR(INDEX(الموظفات!$B$5:$B$304,MATCH(78,الموظفات!$X$5:$X$304,0)),"")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التحفيز'!$AD$5:$AD$2004,"&gt;0",'سجل التحفيز'!$B$5:$B$2004,B115))</f>
        <v/>
      </c>
      <c r="E115" s="35">
        <f>IF(B115="","",COUNTIFS('سجل التحفيز'!$AD$5:$AD$2004,"&gt;0",'سجل التحفيز'!$B$5:$B$2004,B115,'سجل التحفيز'!$D$5:$D$2004,"ذهبي"))</f>
        <v/>
      </c>
      <c r="F115" s="35">
        <f>IF(B115="","",SUMIFS('سجل التحفيز'!$G$5:$G$2004,'سجل التحفيز'!$AD$5:$AD$2004,"&gt;0",'سجل التحفيز'!$B$5:$B$2004,B115))</f>
        <v/>
      </c>
      <c r="G115" s="35">
        <f>IF(B115="","",COUNTIF($D$38:$D$187,"&gt;"&amp;D115)+1)</f>
        <v/>
      </c>
      <c r="H115" s="35">
        <f>IF(B115="","",INDEX(الموظفات!$L$5:$L$304,MATCH(B115,الموظفات!$B$5:$B$304,0)))</f>
        <v/>
      </c>
      <c r="K115" s="36">
        <f>IF(78&gt;$B$10,"",78)</f>
        <v/>
      </c>
      <c r="L115" s="37">
        <f>IF($K115="","",INDEX('سجل التحفيز'!$A$5:$A$2004,MATCH($K115,'سجل التحفيز'!$AD$5:$AD$2004,0)))</f>
        <v/>
      </c>
      <c r="M115" s="9">
        <f>IF($K115="","",INDEX('سجل التحفيز'!$B$5:$B$2004,MATCH($K115,'سجل التحفيز'!$AD$5:$AD$2004,0)))</f>
        <v/>
      </c>
      <c r="N115" s="9">
        <f>IF($K115="","",INDEX('سجل التحفيز'!$M$5:$M$2004,MATCH($K115,'سجل التحفيز'!$AD$5:$AD$2004,0)))</f>
        <v/>
      </c>
      <c r="O115" s="9">
        <f>IF($K115="","",INDEX('سجل التحفيز'!$C$5:$C$2004,MATCH($K115,'سجل التحفيز'!$AD$5:$AD$2004,0)))</f>
        <v/>
      </c>
      <c r="P115" s="36">
        <f>IF($K115="","",INDEX('سجل التحفيز'!$D$5:$D$2004,MATCH($K115,'سجل التحفيز'!$AD$5:$AD$2004,0)))</f>
        <v/>
      </c>
      <c r="Q115" s="9">
        <f>IF($K115="","",INDEX('سجل التحفيز'!$E$5:$E$2004,MATCH($K115,'سجل التحفيز'!$AD$5:$AD$2004,0)))</f>
        <v/>
      </c>
      <c r="R115" s="9">
        <f>IF($K115="","",INDEX('سجل التحفيز'!$F$5:$F$2004,MATCH($K115,'سجل التحفيز'!$AD$5:$AD$2004,0)))</f>
        <v/>
      </c>
      <c r="S115" s="35">
        <f>IF($K115="","",INDEX('سجل التحفيز'!$G$5:$G$2004,MATCH($K115,'سجل التحفيز'!$AD$5:$AD$2004,0)))</f>
        <v/>
      </c>
    </row>
    <row r="116">
      <c r="B116" s="34">
        <f>IFERROR(INDEX(الموظفات!$B$5:$B$304,MATCH(79,الموظفات!$X$5:$X$304,0)),"")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التحفيز'!$AD$5:$AD$2004,"&gt;0",'سجل التحفيز'!$B$5:$B$2004,B116))</f>
        <v/>
      </c>
      <c r="E116" s="35">
        <f>IF(B116="","",COUNTIFS('سجل التحفيز'!$AD$5:$AD$2004,"&gt;0",'سجل التحفيز'!$B$5:$B$2004,B116,'سجل التحفيز'!$D$5:$D$2004,"ذهبي"))</f>
        <v/>
      </c>
      <c r="F116" s="35">
        <f>IF(B116="","",SUMIFS('سجل التحفيز'!$G$5:$G$2004,'سجل التحفيز'!$AD$5:$AD$2004,"&gt;0",'سجل التحفيز'!$B$5:$B$2004,B116))</f>
        <v/>
      </c>
      <c r="G116" s="35">
        <f>IF(B116="","",COUNTIF($D$38:$D$187,"&gt;"&amp;D116)+1)</f>
        <v/>
      </c>
      <c r="H116" s="35">
        <f>IF(B116="","",INDEX(الموظفات!$L$5:$L$304,MATCH(B116,الموظفات!$B$5:$B$304,0)))</f>
        <v/>
      </c>
      <c r="K116" s="36">
        <f>IF(79&gt;$B$10,"",79)</f>
        <v/>
      </c>
      <c r="L116" s="37">
        <f>IF($K116="","",INDEX('سجل التحفيز'!$A$5:$A$2004,MATCH($K116,'سجل التحفيز'!$AD$5:$AD$2004,0)))</f>
        <v/>
      </c>
      <c r="M116" s="9">
        <f>IF($K116="","",INDEX('سجل التحفيز'!$B$5:$B$2004,MATCH($K116,'سجل التحفيز'!$AD$5:$AD$2004,0)))</f>
        <v/>
      </c>
      <c r="N116" s="9">
        <f>IF($K116="","",INDEX('سجل التحفيز'!$M$5:$M$2004,MATCH($K116,'سجل التحفيز'!$AD$5:$AD$2004,0)))</f>
        <v/>
      </c>
      <c r="O116" s="9">
        <f>IF($K116="","",INDEX('سجل التحفيز'!$C$5:$C$2004,MATCH($K116,'سجل التحفيز'!$AD$5:$AD$2004,0)))</f>
        <v/>
      </c>
      <c r="P116" s="36">
        <f>IF($K116="","",INDEX('سجل التحفيز'!$D$5:$D$2004,MATCH($K116,'سجل التحفيز'!$AD$5:$AD$2004,0)))</f>
        <v/>
      </c>
      <c r="Q116" s="9">
        <f>IF($K116="","",INDEX('سجل التحفيز'!$E$5:$E$2004,MATCH($K116,'سجل التحفيز'!$AD$5:$AD$2004,0)))</f>
        <v/>
      </c>
      <c r="R116" s="9">
        <f>IF($K116="","",INDEX('سجل التحفيز'!$F$5:$F$2004,MATCH($K116,'سجل التحفيز'!$AD$5:$AD$2004,0)))</f>
        <v/>
      </c>
      <c r="S116" s="35">
        <f>IF($K116="","",INDEX('سجل التحفيز'!$G$5:$G$2004,MATCH($K116,'سجل التحفيز'!$AD$5:$AD$2004,0)))</f>
        <v/>
      </c>
    </row>
    <row r="117">
      <c r="B117" s="34">
        <f>IFERROR(INDEX(الموظفات!$B$5:$B$304,MATCH(80,الموظفات!$X$5:$X$304,0)),"")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التحفيز'!$AD$5:$AD$2004,"&gt;0",'سجل التحفيز'!$B$5:$B$2004,B117))</f>
        <v/>
      </c>
      <c r="E117" s="35">
        <f>IF(B117="","",COUNTIFS('سجل التحفيز'!$AD$5:$AD$2004,"&gt;0",'سجل التحفيز'!$B$5:$B$2004,B117,'سجل التحفيز'!$D$5:$D$2004,"ذهبي"))</f>
        <v/>
      </c>
      <c r="F117" s="35">
        <f>IF(B117="","",SUMIFS('سجل التحفيز'!$G$5:$G$2004,'سجل التحفيز'!$AD$5:$AD$2004,"&gt;0",'سجل التحفيز'!$B$5:$B$2004,B117))</f>
        <v/>
      </c>
      <c r="G117" s="35">
        <f>IF(B117="","",COUNTIF($D$38:$D$187,"&gt;"&amp;D117)+1)</f>
        <v/>
      </c>
      <c r="H117" s="35">
        <f>IF(B117="","",INDEX(الموظفات!$L$5:$L$304,MATCH(B117,الموظفات!$B$5:$B$304,0)))</f>
        <v/>
      </c>
      <c r="K117" s="36">
        <f>IF(80&gt;$B$10,"",80)</f>
        <v/>
      </c>
      <c r="L117" s="37">
        <f>IF($K117="","",INDEX('سجل التحفيز'!$A$5:$A$2004,MATCH($K117,'سجل التحفيز'!$AD$5:$AD$2004,0)))</f>
        <v/>
      </c>
      <c r="M117" s="9">
        <f>IF($K117="","",INDEX('سجل التحفيز'!$B$5:$B$2004,MATCH($K117,'سجل التحفيز'!$AD$5:$AD$2004,0)))</f>
        <v/>
      </c>
      <c r="N117" s="9">
        <f>IF($K117="","",INDEX('سجل التحفيز'!$M$5:$M$2004,MATCH($K117,'سجل التحفيز'!$AD$5:$AD$2004,0)))</f>
        <v/>
      </c>
      <c r="O117" s="9">
        <f>IF($K117="","",INDEX('سجل التحفيز'!$C$5:$C$2004,MATCH($K117,'سجل التحفيز'!$AD$5:$AD$2004,0)))</f>
        <v/>
      </c>
      <c r="P117" s="36">
        <f>IF($K117="","",INDEX('سجل التحفيز'!$D$5:$D$2004,MATCH($K117,'سجل التحفيز'!$AD$5:$AD$2004,0)))</f>
        <v/>
      </c>
      <c r="Q117" s="9">
        <f>IF($K117="","",INDEX('سجل التحفيز'!$E$5:$E$2004,MATCH($K117,'سجل التحفيز'!$AD$5:$AD$2004,0)))</f>
        <v/>
      </c>
      <c r="R117" s="9">
        <f>IF($K117="","",INDEX('سجل التحفيز'!$F$5:$F$2004,MATCH($K117,'سجل التحفيز'!$AD$5:$AD$2004,0)))</f>
        <v/>
      </c>
      <c r="S117" s="35">
        <f>IF($K117="","",INDEX('سجل التحفيز'!$G$5:$G$2004,MATCH($K117,'سجل التحفيز'!$AD$5:$AD$2004,0)))</f>
        <v/>
      </c>
    </row>
    <row r="118">
      <c r="B118" s="34">
        <f>IFERROR(INDEX(الموظفات!$B$5:$B$304,MATCH(81,الموظفات!$X$5:$X$304,0)),"")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التحفيز'!$AD$5:$AD$2004,"&gt;0",'سجل التحفيز'!$B$5:$B$2004,B118))</f>
        <v/>
      </c>
      <c r="E118" s="35">
        <f>IF(B118="","",COUNTIFS('سجل التحفيز'!$AD$5:$AD$2004,"&gt;0",'سجل التحفيز'!$B$5:$B$2004,B118,'سجل التحفيز'!$D$5:$D$2004,"ذهبي"))</f>
        <v/>
      </c>
      <c r="F118" s="35">
        <f>IF(B118="","",SUMIFS('سجل التحفيز'!$G$5:$G$2004,'سجل التحفيز'!$AD$5:$AD$2004,"&gt;0",'سجل التحفيز'!$B$5:$B$2004,B118))</f>
        <v/>
      </c>
      <c r="G118" s="35">
        <f>IF(B118="","",COUNTIF($D$38:$D$187,"&gt;"&amp;D118)+1)</f>
        <v/>
      </c>
      <c r="H118" s="35">
        <f>IF(B118="","",INDEX(الموظفات!$L$5:$L$304,MATCH(B118,الموظفات!$B$5:$B$304,0)))</f>
        <v/>
      </c>
      <c r="K118" s="36">
        <f>IF(81&gt;$B$10,"",81)</f>
        <v/>
      </c>
      <c r="L118" s="37">
        <f>IF($K118="","",INDEX('سجل التحفيز'!$A$5:$A$2004,MATCH($K118,'سجل التحفيز'!$AD$5:$AD$2004,0)))</f>
        <v/>
      </c>
      <c r="M118" s="9">
        <f>IF($K118="","",INDEX('سجل التحفيز'!$B$5:$B$2004,MATCH($K118,'سجل التحفيز'!$AD$5:$AD$2004,0)))</f>
        <v/>
      </c>
      <c r="N118" s="9">
        <f>IF($K118="","",INDEX('سجل التحفيز'!$M$5:$M$2004,MATCH($K118,'سجل التحفيز'!$AD$5:$AD$2004,0)))</f>
        <v/>
      </c>
      <c r="O118" s="9">
        <f>IF($K118="","",INDEX('سجل التحفيز'!$C$5:$C$2004,MATCH($K118,'سجل التحفيز'!$AD$5:$AD$2004,0)))</f>
        <v/>
      </c>
      <c r="P118" s="36">
        <f>IF($K118="","",INDEX('سجل التحفيز'!$D$5:$D$2004,MATCH($K118,'سجل التحفيز'!$AD$5:$AD$2004,0)))</f>
        <v/>
      </c>
      <c r="Q118" s="9">
        <f>IF($K118="","",INDEX('سجل التحفيز'!$E$5:$E$2004,MATCH($K118,'سجل التحفيز'!$AD$5:$AD$2004,0)))</f>
        <v/>
      </c>
      <c r="R118" s="9">
        <f>IF($K118="","",INDEX('سجل التحفيز'!$F$5:$F$2004,MATCH($K118,'سجل التحفيز'!$AD$5:$AD$2004,0)))</f>
        <v/>
      </c>
      <c r="S118" s="35">
        <f>IF($K118="","",INDEX('سجل التحفيز'!$G$5:$G$2004,MATCH($K118,'سجل التحفيز'!$AD$5:$AD$2004,0)))</f>
        <v/>
      </c>
    </row>
    <row r="119">
      <c r="B119" s="34">
        <f>IFERROR(INDEX(الموظفات!$B$5:$B$304,MATCH(82,الموظفات!$X$5:$X$304,0)),"")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التحفيز'!$AD$5:$AD$2004,"&gt;0",'سجل التحفيز'!$B$5:$B$2004,B119))</f>
        <v/>
      </c>
      <c r="E119" s="35">
        <f>IF(B119="","",COUNTIFS('سجل التحفيز'!$AD$5:$AD$2004,"&gt;0",'سجل التحفيز'!$B$5:$B$2004,B119,'سجل التحفيز'!$D$5:$D$2004,"ذهبي"))</f>
        <v/>
      </c>
      <c r="F119" s="35">
        <f>IF(B119="","",SUMIFS('سجل التحفيز'!$G$5:$G$2004,'سجل التحفيز'!$AD$5:$AD$2004,"&gt;0",'سجل التحفيز'!$B$5:$B$2004,B119))</f>
        <v/>
      </c>
      <c r="G119" s="35">
        <f>IF(B119="","",COUNTIF($D$38:$D$187,"&gt;"&amp;D119)+1)</f>
        <v/>
      </c>
      <c r="H119" s="35">
        <f>IF(B119="","",INDEX(الموظفات!$L$5:$L$304,MATCH(B119,الموظفات!$B$5:$B$304,0)))</f>
        <v/>
      </c>
      <c r="K119" s="36">
        <f>IF(82&gt;$B$10,"",82)</f>
        <v/>
      </c>
      <c r="L119" s="37">
        <f>IF($K119="","",INDEX('سجل التحفيز'!$A$5:$A$2004,MATCH($K119,'سجل التحفيز'!$AD$5:$AD$2004,0)))</f>
        <v/>
      </c>
      <c r="M119" s="9">
        <f>IF($K119="","",INDEX('سجل التحفيز'!$B$5:$B$2004,MATCH($K119,'سجل التحفيز'!$AD$5:$AD$2004,0)))</f>
        <v/>
      </c>
      <c r="N119" s="9">
        <f>IF($K119="","",INDEX('سجل التحفيز'!$M$5:$M$2004,MATCH($K119,'سجل التحفيز'!$AD$5:$AD$2004,0)))</f>
        <v/>
      </c>
      <c r="O119" s="9">
        <f>IF($K119="","",INDEX('سجل التحفيز'!$C$5:$C$2004,MATCH($K119,'سجل التحفيز'!$AD$5:$AD$2004,0)))</f>
        <v/>
      </c>
      <c r="P119" s="36">
        <f>IF($K119="","",INDEX('سجل التحفيز'!$D$5:$D$2004,MATCH($K119,'سجل التحفيز'!$AD$5:$AD$2004,0)))</f>
        <v/>
      </c>
      <c r="Q119" s="9">
        <f>IF($K119="","",INDEX('سجل التحفيز'!$E$5:$E$2004,MATCH($K119,'سجل التحفيز'!$AD$5:$AD$2004,0)))</f>
        <v/>
      </c>
      <c r="R119" s="9">
        <f>IF($K119="","",INDEX('سجل التحفيز'!$F$5:$F$2004,MATCH($K119,'سجل التحفيز'!$AD$5:$AD$2004,0)))</f>
        <v/>
      </c>
      <c r="S119" s="35">
        <f>IF($K119="","",INDEX('سجل التحفيز'!$G$5:$G$2004,MATCH($K119,'سجل التحفيز'!$AD$5:$AD$2004,0)))</f>
        <v/>
      </c>
    </row>
    <row r="120">
      <c r="B120" s="34">
        <f>IFERROR(INDEX(الموظفات!$B$5:$B$304,MATCH(83,الموظفات!$X$5:$X$304,0)),"")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التحفيز'!$AD$5:$AD$2004,"&gt;0",'سجل التحفيز'!$B$5:$B$2004,B120))</f>
        <v/>
      </c>
      <c r="E120" s="35">
        <f>IF(B120="","",COUNTIFS('سجل التحفيز'!$AD$5:$AD$2004,"&gt;0",'سجل التحفيز'!$B$5:$B$2004,B120,'سجل التحفيز'!$D$5:$D$2004,"ذهبي"))</f>
        <v/>
      </c>
      <c r="F120" s="35">
        <f>IF(B120="","",SUMIFS('سجل التحفيز'!$G$5:$G$2004,'سجل التحفيز'!$AD$5:$AD$2004,"&gt;0",'سجل التحفيز'!$B$5:$B$2004,B120))</f>
        <v/>
      </c>
      <c r="G120" s="35">
        <f>IF(B120="","",COUNTIF($D$38:$D$187,"&gt;"&amp;D120)+1)</f>
        <v/>
      </c>
      <c r="H120" s="35">
        <f>IF(B120="","",INDEX(الموظفات!$L$5:$L$304,MATCH(B120,الموظفات!$B$5:$B$304,0)))</f>
        <v/>
      </c>
      <c r="K120" s="36">
        <f>IF(83&gt;$B$10,"",83)</f>
        <v/>
      </c>
      <c r="L120" s="37">
        <f>IF($K120="","",INDEX('سجل التحفيز'!$A$5:$A$2004,MATCH($K120,'سجل التحفيز'!$AD$5:$AD$2004,0)))</f>
        <v/>
      </c>
      <c r="M120" s="9">
        <f>IF($K120="","",INDEX('سجل التحفيز'!$B$5:$B$2004,MATCH($K120,'سجل التحفيز'!$AD$5:$AD$2004,0)))</f>
        <v/>
      </c>
      <c r="N120" s="9">
        <f>IF($K120="","",INDEX('سجل التحفيز'!$M$5:$M$2004,MATCH($K120,'سجل التحفيز'!$AD$5:$AD$2004,0)))</f>
        <v/>
      </c>
      <c r="O120" s="9">
        <f>IF($K120="","",INDEX('سجل التحفيز'!$C$5:$C$2004,MATCH($K120,'سجل التحفيز'!$AD$5:$AD$2004,0)))</f>
        <v/>
      </c>
      <c r="P120" s="36">
        <f>IF($K120="","",INDEX('سجل التحفيز'!$D$5:$D$2004,MATCH($K120,'سجل التحفيز'!$AD$5:$AD$2004,0)))</f>
        <v/>
      </c>
      <c r="Q120" s="9">
        <f>IF($K120="","",INDEX('سجل التحفيز'!$E$5:$E$2004,MATCH($K120,'سجل التحفيز'!$AD$5:$AD$2004,0)))</f>
        <v/>
      </c>
      <c r="R120" s="9">
        <f>IF($K120="","",INDEX('سجل التحفيز'!$F$5:$F$2004,MATCH($K120,'سجل التحفيز'!$AD$5:$AD$2004,0)))</f>
        <v/>
      </c>
      <c r="S120" s="35">
        <f>IF($K120="","",INDEX('سجل التحفيز'!$G$5:$G$2004,MATCH($K120,'سجل التحفيز'!$AD$5:$AD$2004,0)))</f>
        <v/>
      </c>
    </row>
    <row r="121">
      <c r="B121" s="34">
        <f>IFERROR(INDEX(الموظفات!$B$5:$B$304,MATCH(84,الموظفات!$X$5:$X$304,0)),"")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التحفيز'!$AD$5:$AD$2004,"&gt;0",'سجل التحفيز'!$B$5:$B$2004,B121))</f>
        <v/>
      </c>
      <c r="E121" s="35">
        <f>IF(B121="","",COUNTIFS('سجل التحفيز'!$AD$5:$AD$2004,"&gt;0",'سجل التحفيز'!$B$5:$B$2004,B121,'سجل التحفيز'!$D$5:$D$2004,"ذهبي"))</f>
        <v/>
      </c>
      <c r="F121" s="35">
        <f>IF(B121="","",SUMIFS('سجل التحفيز'!$G$5:$G$2004,'سجل التحفيز'!$AD$5:$AD$2004,"&gt;0",'سجل التحفيز'!$B$5:$B$2004,B121))</f>
        <v/>
      </c>
      <c r="G121" s="35">
        <f>IF(B121="","",COUNTIF($D$38:$D$187,"&gt;"&amp;D121)+1)</f>
        <v/>
      </c>
      <c r="H121" s="35">
        <f>IF(B121="","",INDEX(الموظفات!$L$5:$L$304,MATCH(B121,الموظفات!$B$5:$B$304,0)))</f>
        <v/>
      </c>
      <c r="K121" s="36">
        <f>IF(84&gt;$B$10,"",84)</f>
        <v/>
      </c>
      <c r="L121" s="37">
        <f>IF($K121="","",INDEX('سجل التحفيز'!$A$5:$A$2004,MATCH($K121,'سجل التحفيز'!$AD$5:$AD$2004,0)))</f>
        <v/>
      </c>
      <c r="M121" s="9">
        <f>IF($K121="","",INDEX('سجل التحفيز'!$B$5:$B$2004,MATCH($K121,'سجل التحفيز'!$AD$5:$AD$2004,0)))</f>
        <v/>
      </c>
      <c r="N121" s="9">
        <f>IF($K121="","",INDEX('سجل التحفيز'!$M$5:$M$2004,MATCH($K121,'سجل التحفيز'!$AD$5:$AD$2004,0)))</f>
        <v/>
      </c>
      <c r="O121" s="9">
        <f>IF($K121="","",INDEX('سجل التحفيز'!$C$5:$C$2004,MATCH($K121,'سجل التحفيز'!$AD$5:$AD$2004,0)))</f>
        <v/>
      </c>
      <c r="P121" s="36">
        <f>IF($K121="","",INDEX('سجل التحفيز'!$D$5:$D$2004,MATCH($K121,'سجل التحفيز'!$AD$5:$AD$2004,0)))</f>
        <v/>
      </c>
      <c r="Q121" s="9">
        <f>IF($K121="","",INDEX('سجل التحفيز'!$E$5:$E$2004,MATCH($K121,'سجل التحفيز'!$AD$5:$AD$2004,0)))</f>
        <v/>
      </c>
      <c r="R121" s="9">
        <f>IF($K121="","",INDEX('سجل التحفيز'!$F$5:$F$2004,MATCH($K121,'سجل التحفيز'!$AD$5:$AD$2004,0)))</f>
        <v/>
      </c>
      <c r="S121" s="35">
        <f>IF($K121="","",INDEX('سجل التحفيز'!$G$5:$G$2004,MATCH($K121,'سجل التحفيز'!$AD$5:$AD$2004,0)))</f>
        <v/>
      </c>
    </row>
    <row r="122">
      <c r="B122" s="34">
        <f>IFERROR(INDEX(الموظفات!$B$5:$B$304,MATCH(85,الموظفات!$X$5:$X$304,0)),"")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التحفيز'!$AD$5:$AD$2004,"&gt;0",'سجل التحفيز'!$B$5:$B$2004,B122))</f>
        <v/>
      </c>
      <c r="E122" s="35">
        <f>IF(B122="","",COUNTIFS('سجل التحفيز'!$AD$5:$AD$2004,"&gt;0",'سجل التحفيز'!$B$5:$B$2004,B122,'سجل التحفيز'!$D$5:$D$2004,"ذهبي"))</f>
        <v/>
      </c>
      <c r="F122" s="35">
        <f>IF(B122="","",SUMIFS('سجل التحفيز'!$G$5:$G$2004,'سجل التحفيز'!$AD$5:$AD$2004,"&gt;0",'سجل التحفيز'!$B$5:$B$2004,B122))</f>
        <v/>
      </c>
      <c r="G122" s="35">
        <f>IF(B122="","",COUNTIF($D$38:$D$187,"&gt;"&amp;D122)+1)</f>
        <v/>
      </c>
      <c r="H122" s="35">
        <f>IF(B122="","",INDEX(الموظفات!$L$5:$L$304,MATCH(B122,الموظفات!$B$5:$B$304,0)))</f>
        <v/>
      </c>
      <c r="K122" s="36">
        <f>IF(85&gt;$B$10,"",85)</f>
        <v/>
      </c>
      <c r="L122" s="37">
        <f>IF($K122="","",INDEX('سجل التحفيز'!$A$5:$A$2004,MATCH($K122,'سجل التحفيز'!$AD$5:$AD$2004,0)))</f>
        <v/>
      </c>
      <c r="M122" s="9">
        <f>IF($K122="","",INDEX('سجل التحفيز'!$B$5:$B$2004,MATCH($K122,'سجل التحفيز'!$AD$5:$AD$2004,0)))</f>
        <v/>
      </c>
      <c r="N122" s="9">
        <f>IF($K122="","",INDEX('سجل التحفيز'!$M$5:$M$2004,MATCH($K122,'سجل التحفيز'!$AD$5:$AD$2004,0)))</f>
        <v/>
      </c>
      <c r="O122" s="9">
        <f>IF($K122="","",INDEX('سجل التحفيز'!$C$5:$C$2004,MATCH($K122,'سجل التحفيز'!$AD$5:$AD$2004,0)))</f>
        <v/>
      </c>
      <c r="P122" s="36">
        <f>IF($K122="","",INDEX('سجل التحفيز'!$D$5:$D$2004,MATCH($K122,'سجل التحفيز'!$AD$5:$AD$2004,0)))</f>
        <v/>
      </c>
      <c r="Q122" s="9">
        <f>IF($K122="","",INDEX('سجل التحفيز'!$E$5:$E$2004,MATCH($K122,'سجل التحفيز'!$AD$5:$AD$2004,0)))</f>
        <v/>
      </c>
      <c r="R122" s="9">
        <f>IF($K122="","",INDEX('سجل التحفيز'!$F$5:$F$2004,MATCH($K122,'سجل التحفيز'!$AD$5:$AD$2004,0)))</f>
        <v/>
      </c>
      <c r="S122" s="35">
        <f>IF($K122="","",INDEX('سجل التحفيز'!$G$5:$G$2004,MATCH($K122,'سجل التحفيز'!$AD$5:$AD$2004,0)))</f>
        <v/>
      </c>
    </row>
    <row r="123">
      <c r="B123" s="34">
        <f>IFERROR(INDEX(الموظفات!$B$5:$B$304,MATCH(86,الموظفات!$X$5:$X$304,0)),"")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التحفيز'!$AD$5:$AD$2004,"&gt;0",'سجل التحفيز'!$B$5:$B$2004,B123))</f>
        <v/>
      </c>
      <c r="E123" s="35">
        <f>IF(B123="","",COUNTIFS('سجل التحفيز'!$AD$5:$AD$2004,"&gt;0",'سجل التحفيز'!$B$5:$B$2004,B123,'سجل التحفيز'!$D$5:$D$2004,"ذهبي"))</f>
        <v/>
      </c>
      <c r="F123" s="35">
        <f>IF(B123="","",SUMIFS('سجل التحفيز'!$G$5:$G$2004,'سجل التحفيز'!$AD$5:$AD$2004,"&gt;0",'سجل التحفيز'!$B$5:$B$2004,B123))</f>
        <v/>
      </c>
      <c r="G123" s="35">
        <f>IF(B123="","",COUNTIF($D$38:$D$187,"&gt;"&amp;D123)+1)</f>
        <v/>
      </c>
      <c r="H123" s="35">
        <f>IF(B123="","",INDEX(الموظفات!$L$5:$L$304,MATCH(B123,الموظفات!$B$5:$B$304,0)))</f>
        <v/>
      </c>
      <c r="K123" s="36">
        <f>IF(86&gt;$B$10,"",86)</f>
        <v/>
      </c>
      <c r="L123" s="37">
        <f>IF($K123="","",INDEX('سجل التحفيز'!$A$5:$A$2004,MATCH($K123,'سجل التحفيز'!$AD$5:$AD$2004,0)))</f>
        <v/>
      </c>
      <c r="M123" s="9">
        <f>IF($K123="","",INDEX('سجل التحفيز'!$B$5:$B$2004,MATCH($K123,'سجل التحفيز'!$AD$5:$AD$2004,0)))</f>
        <v/>
      </c>
      <c r="N123" s="9">
        <f>IF($K123="","",INDEX('سجل التحفيز'!$M$5:$M$2004,MATCH($K123,'سجل التحفيز'!$AD$5:$AD$2004,0)))</f>
        <v/>
      </c>
      <c r="O123" s="9">
        <f>IF($K123="","",INDEX('سجل التحفيز'!$C$5:$C$2004,MATCH($K123,'سجل التحفيز'!$AD$5:$AD$2004,0)))</f>
        <v/>
      </c>
      <c r="P123" s="36">
        <f>IF($K123="","",INDEX('سجل التحفيز'!$D$5:$D$2004,MATCH($K123,'سجل التحفيز'!$AD$5:$AD$2004,0)))</f>
        <v/>
      </c>
      <c r="Q123" s="9">
        <f>IF($K123="","",INDEX('سجل التحفيز'!$E$5:$E$2004,MATCH($K123,'سجل التحفيز'!$AD$5:$AD$2004,0)))</f>
        <v/>
      </c>
      <c r="R123" s="9">
        <f>IF($K123="","",INDEX('سجل التحفيز'!$F$5:$F$2004,MATCH($K123,'سجل التحفيز'!$AD$5:$AD$2004,0)))</f>
        <v/>
      </c>
      <c r="S123" s="35">
        <f>IF($K123="","",INDEX('سجل التحفيز'!$G$5:$G$2004,MATCH($K123,'سجل التحفيز'!$AD$5:$AD$2004,0)))</f>
        <v/>
      </c>
    </row>
    <row r="124">
      <c r="B124" s="34">
        <f>IFERROR(INDEX(الموظفات!$B$5:$B$304,MATCH(87,الموظفات!$X$5:$X$304,0)),"")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التحفيز'!$AD$5:$AD$2004,"&gt;0",'سجل التحفيز'!$B$5:$B$2004,B124))</f>
        <v/>
      </c>
      <c r="E124" s="35">
        <f>IF(B124="","",COUNTIFS('سجل التحفيز'!$AD$5:$AD$2004,"&gt;0",'سجل التحفيز'!$B$5:$B$2004,B124,'سجل التحفيز'!$D$5:$D$2004,"ذهبي"))</f>
        <v/>
      </c>
      <c r="F124" s="35">
        <f>IF(B124="","",SUMIFS('سجل التحفيز'!$G$5:$G$2004,'سجل التحفيز'!$AD$5:$AD$2004,"&gt;0",'سجل التحفيز'!$B$5:$B$2004,B124))</f>
        <v/>
      </c>
      <c r="G124" s="35">
        <f>IF(B124="","",COUNTIF($D$38:$D$187,"&gt;"&amp;D124)+1)</f>
        <v/>
      </c>
      <c r="H124" s="35">
        <f>IF(B124="","",INDEX(الموظفات!$L$5:$L$304,MATCH(B124,الموظفات!$B$5:$B$304,0)))</f>
        <v/>
      </c>
      <c r="K124" s="36">
        <f>IF(87&gt;$B$10,"",87)</f>
        <v/>
      </c>
      <c r="L124" s="37">
        <f>IF($K124="","",INDEX('سجل التحفيز'!$A$5:$A$2004,MATCH($K124,'سجل التحفيز'!$AD$5:$AD$2004,0)))</f>
        <v/>
      </c>
      <c r="M124" s="9">
        <f>IF($K124="","",INDEX('سجل التحفيز'!$B$5:$B$2004,MATCH($K124,'سجل التحفيز'!$AD$5:$AD$2004,0)))</f>
        <v/>
      </c>
      <c r="N124" s="9">
        <f>IF($K124="","",INDEX('سجل التحفيز'!$M$5:$M$2004,MATCH($K124,'سجل التحفيز'!$AD$5:$AD$2004,0)))</f>
        <v/>
      </c>
      <c r="O124" s="9">
        <f>IF($K124="","",INDEX('سجل التحفيز'!$C$5:$C$2004,MATCH($K124,'سجل التحفيز'!$AD$5:$AD$2004,0)))</f>
        <v/>
      </c>
      <c r="P124" s="36">
        <f>IF($K124="","",INDEX('سجل التحفيز'!$D$5:$D$2004,MATCH($K124,'سجل التحفيز'!$AD$5:$AD$2004,0)))</f>
        <v/>
      </c>
      <c r="Q124" s="9">
        <f>IF($K124="","",INDEX('سجل التحفيز'!$E$5:$E$2004,MATCH($K124,'سجل التحفيز'!$AD$5:$AD$2004,0)))</f>
        <v/>
      </c>
      <c r="R124" s="9">
        <f>IF($K124="","",INDEX('سجل التحفيز'!$F$5:$F$2004,MATCH($K124,'سجل التحفيز'!$AD$5:$AD$2004,0)))</f>
        <v/>
      </c>
      <c r="S124" s="35">
        <f>IF($K124="","",INDEX('سجل التحفيز'!$G$5:$G$2004,MATCH($K124,'سجل التحفيز'!$AD$5:$AD$2004,0)))</f>
        <v/>
      </c>
    </row>
    <row r="125">
      <c r="B125" s="34">
        <f>IFERROR(INDEX(الموظفات!$B$5:$B$304,MATCH(88,الموظفات!$X$5:$X$304,0)),"")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التحفيز'!$AD$5:$AD$2004,"&gt;0",'سجل التحفيز'!$B$5:$B$2004,B125))</f>
        <v/>
      </c>
      <c r="E125" s="35">
        <f>IF(B125="","",COUNTIFS('سجل التحفيز'!$AD$5:$AD$2004,"&gt;0",'سجل التحفيز'!$B$5:$B$2004,B125,'سجل التحفيز'!$D$5:$D$2004,"ذهبي"))</f>
        <v/>
      </c>
      <c r="F125" s="35">
        <f>IF(B125="","",SUMIFS('سجل التحفيز'!$G$5:$G$2004,'سجل التحفيز'!$AD$5:$AD$2004,"&gt;0",'سجل التحفيز'!$B$5:$B$2004,B125))</f>
        <v/>
      </c>
      <c r="G125" s="35">
        <f>IF(B125="","",COUNTIF($D$38:$D$187,"&gt;"&amp;D125)+1)</f>
        <v/>
      </c>
      <c r="H125" s="35">
        <f>IF(B125="","",INDEX(الموظفات!$L$5:$L$304,MATCH(B125,الموظفات!$B$5:$B$304,0)))</f>
        <v/>
      </c>
      <c r="K125" s="36">
        <f>IF(88&gt;$B$10,"",88)</f>
        <v/>
      </c>
      <c r="L125" s="37">
        <f>IF($K125="","",INDEX('سجل التحفيز'!$A$5:$A$2004,MATCH($K125,'سجل التحفيز'!$AD$5:$AD$2004,0)))</f>
        <v/>
      </c>
      <c r="M125" s="9">
        <f>IF($K125="","",INDEX('سجل التحفيز'!$B$5:$B$2004,MATCH($K125,'سجل التحفيز'!$AD$5:$AD$2004,0)))</f>
        <v/>
      </c>
      <c r="N125" s="9">
        <f>IF($K125="","",INDEX('سجل التحفيز'!$M$5:$M$2004,MATCH($K125,'سجل التحفيز'!$AD$5:$AD$2004,0)))</f>
        <v/>
      </c>
      <c r="O125" s="9">
        <f>IF($K125="","",INDEX('سجل التحفيز'!$C$5:$C$2004,MATCH($K125,'سجل التحفيز'!$AD$5:$AD$2004,0)))</f>
        <v/>
      </c>
      <c r="P125" s="36">
        <f>IF($K125="","",INDEX('سجل التحفيز'!$D$5:$D$2004,MATCH($K125,'سجل التحفيز'!$AD$5:$AD$2004,0)))</f>
        <v/>
      </c>
      <c r="Q125" s="9">
        <f>IF($K125="","",INDEX('سجل التحفيز'!$E$5:$E$2004,MATCH($K125,'سجل التحفيز'!$AD$5:$AD$2004,0)))</f>
        <v/>
      </c>
      <c r="R125" s="9">
        <f>IF($K125="","",INDEX('سجل التحفيز'!$F$5:$F$2004,MATCH($K125,'سجل التحفيز'!$AD$5:$AD$2004,0)))</f>
        <v/>
      </c>
      <c r="S125" s="35">
        <f>IF($K125="","",INDEX('سجل التحفيز'!$G$5:$G$2004,MATCH($K125,'سجل التحفيز'!$AD$5:$AD$2004,0)))</f>
        <v/>
      </c>
    </row>
    <row r="126">
      <c r="B126" s="34">
        <f>IFERROR(INDEX(الموظفات!$B$5:$B$304,MATCH(89,الموظفات!$X$5:$X$304,0)),"")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التحفيز'!$AD$5:$AD$2004,"&gt;0",'سجل التحفيز'!$B$5:$B$2004,B126))</f>
        <v/>
      </c>
      <c r="E126" s="35">
        <f>IF(B126="","",COUNTIFS('سجل التحفيز'!$AD$5:$AD$2004,"&gt;0",'سجل التحفيز'!$B$5:$B$2004,B126,'سجل التحفيز'!$D$5:$D$2004,"ذهبي"))</f>
        <v/>
      </c>
      <c r="F126" s="35">
        <f>IF(B126="","",SUMIFS('سجل التحفيز'!$G$5:$G$2004,'سجل التحفيز'!$AD$5:$AD$2004,"&gt;0",'سجل التحفيز'!$B$5:$B$2004,B126))</f>
        <v/>
      </c>
      <c r="G126" s="35">
        <f>IF(B126="","",COUNTIF($D$38:$D$187,"&gt;"&amp;D126)+1)</f>
        <v/>
      </c>
      <c r="H126" s="35">
        <f>IF(B126="","",INDEX(الموظفات!$L$5:$L$304,MATCH(B126,الموظفات!$B$5:$B$304,0)))</f>
        <v/>
      </c>
      <c r="K126" s="36">
        <f>IF(89&gt;$B$10,"",89)</f>
        <v/>
      </c>
      <c r="L126" s="37">
        <f>IF($K126="","",INDEX('سجل التحفيز'!$A$5:$A$2004,MATCH($K126,'سجل التحفيز'!$AD$5:$AD$2004,0)))</f>
        <v/>
      </c>
      <c r="M126" s="9">
        <f>IF($K126="","",INDEX('سجل التحفيز'!$B$5:$B$2004,MATCH($K126,'سجل التحفيز'!$AD$5:$AD$2004,0)))</f>
        <v/>
      </c>
      <c r="N126" s="9">
        <f>IF($K126="","",INDEX('سجل التحفيز'!$M$5:$M$2004,MATCH($K126,'سجل التحفيز'!$AD$5:$AD$2004,0)))</f>
        <v/>
      </c>
      <c r="O126" s="9">
        <f>IF($K126="","",INDEX('سجل التحفيز'!$C$5:$C$2004,MATCH($K126,'سجل التحفيز'!$AD$5:$AD$2004,0)))</f>
        <v/>
      </c>
      <c r="P126" s="36">
        <f>IF($K126="","",INDEX('سجل التحفيز'!$D$5:$D$2004,MATCH($K126,'سجل التحفيز'!$AD$5:$AD$2004,0)))</f>
        <v/>
      </c>
      <c r="Q126" s="9">
        <f>IF($K126="","",INDEX('سجل التحفيز'!$E$5:$E$2004,MATCH($K126,'سجل التحفيز'!$AD$5:$AD$2004,0)))</f>
        <v/>
      </c>
      <c r="R126" s="9">
        <f>IF($K126="","",INDEX('سجل التحفيز'!$F$5:$F$2004,MATCH($K126,'سجل التحفيز'!$AD$5:$AD$2004,0)))</f>
        <v/>
      </c>
      <c r="S126" s="35">
        <f>IF($K126="","",INDEX('سجل التحفيز'!$G$5:$G$2004,MATCH($K126,'سجل التحفيز'!$AD$5:$AD$2004,0)))</f>
        <v/>
      </c>
    </row>
    <row r="127">
      <c r="B127" s="34">
        <f>IFERROR(INDEX(الموظفات!$B$5:$B$304,MATCH(90,الموظفات!$X$5:$X$304,0)),"")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التحفيز'!$AD$5:$AD$2004,"&gt;0",'سجل التحفيز'!$B$5:$B$2004,B127))</f>
        <v/>
      </c>
      <c r="E127" s="35">
        <f>IF(B127="","",COUNTIFS('سجل التحفيز'!$AD$5:$AD$2004,"&gt;0",'سجل التحفيز'!$B$5:$B$2004,B127,'سجل التحفيز'!$D$5:$D$2004,"ذهبي"))</f>
        <v/>
      </c>
      <c r="F127" s="35">
        <f>IF(B127="","",SUMIFS('سجل التحفيز'!$G$5:$G$2004,'سجل التحفيز'!$AD$5:$AD$2004,"&gt;0",'سجل التحفيز'!$B$5:$B$2004,B127))</f>
        <v/>
      </c>
      <c r="G127" s="35">
        <f>IF(B127="","",COUNTIF($D$38:$D$187,"&gt;"&amp;D127)+1)</f>
        <v/>
      </c>
      <c r="H127" s="35">
        <f>IF(B127="","",INDEX(الموظفات!$L$5:$L$304,MATCH(B127,الموظفات!$B$5:$B$304,0)))</f>
        <v/>
      </c>
      <c r="K127" s="36">
        <f>IF(90&gt;$B$10,"",90)</f>
        <v/>
      </c>
      <c r="L127" s="37">
        <f>IF($K127="","",INDEX('سجل التحفيز'!$A$5:$A$2004,MATCH($K127,'سجل التحفيز'!$AD$5:$AD$2004,0)))</f>
        <v/>
      </c>
      <c r="M127" s="9">
        <f>IF($K127="","",INDEX('سجل التحفيز'!$B$5:$B$2004,MATCH($K127,'سجل التحفيز'!$AD$5:$AD$2004,0)))</f>
        <v/>
      </c>
      <c r="N127" s="9">
        <f>IF($K127="","",INDEX('سجل التحفيز'!$M$5:$M$2004,MATCH($K127,'سجل التحفيز'!$AD$5:$AD$2004,0)))</f>
        <v/>
      </c>
      <c r="O127" s="9">
        <f>IF($K127="","",INDEX('سجل التحفيز'!$C$5:$C$2004,MATCH($K127,'سجل التحفيز'!$AD$5:$AD$2004,0)))</f>
        <v/>
      </c>
      <c r="P127" s="36">
        <f>IF($K127="","",INDEX('سجل التحفيز'!$D$5:$D$2004,MATCH($K127,'سجل التحفيز'!$AD$5:$AD$2004,0)))</f>
        <v/>
      </c>
      <c r="Q127" s="9">
        <f>IF($K127="","",INDEX('سجل التحفيز'!$E$5:$E$2004,MATCH($K127,'سجل التحفيز'!$AD$5:$AD$2004,0)))</f>
        <v/>
      </c>
      <c r="R127" s="9">
        <f>IF($K127="","",INDEX('سجل التحفيز'!$F$5:$F$2004,MATCH($K127,'سجل التحفيز'!$AD$5:$AD$2004,0)))</f>
        <v/>
      </c>
      <c r="S127" s="35">
        <f>IF($K127="","",INDEX('سجل التحفيز'!$G$5:$G$2004,MATCH($K127,'سجل التحفيز'!$AD$5:$AD$2004,0)))</f>
        <v/>
      </c>
    </row>
    <row r="128">
      <c r="B128" s="34">
        <f>IFERROR(INDEX(الموظفات!$B$5:$B$304,MATCH(91,الموظفات!$X$5:$X$304,0)),"")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التحفيز'!$AD$5:$AD$2004,"&gt;0",'سجل التحفيز'!$B$5:$B$2004,B128))</f>
        <v/>
      </c>
      <c r="E128" s="35">
        <f>IF(B128="","",COUNTIFS('سجل التحفيز'!$AD$5:$AD$2004,"&gt;0",'سجل التحفيز'!$B$5:$B$2004,B128,'سجل التحفيز'!$D$5:$D$2004,"ذهبي"))</f>
        <v/>
      </c>
      <c r="F128" s="35">
        <f>IF(B128="","",SUMIFS('سجل التحفيز'!$G$5:$G$2004,'سجل التحفيز'!$AD$5:$AD$2004,"&gt;0",'سجل التحفيز'!$B$5:$B$2004,B128))</f>
        <v/>
      </c>
      <c r="G128" s="35">
        <f>IF(B128="","",COUNTIF($D$38:$D$187,"&gt;"&amp;D128)+1)</f>
        <v/>
      </c>
      <c r="H128" s="35">
        <f>IF(B128="","",INDEX(الموظفات!$L$5:$L$304,MATCH(B128,الموظفات!$B$5:$B$304,0)))</f>
        <v/>
      </c>
      <c r="K128" s="36">
        <f>IF(91&gt;$B$10,"",91)</f>
        <v/>
      </c>
      <c r="L128" s="37">
        <f>IF($K128="","",INDEX('سجل التحفيز'!$A$5:$A$2004,MATCH($K128,'سجل التحفيز'!$AD$5:$AD$2004,0)))</f>
        <v/>
      </c>
      <c r="M128" s="9">
        <f>IF($K128="","",INDEX('سجل التحفيز'!$B$5:$B$2004,MATCH($K128,'سجل التحفيز'!$AD$5:$AD$2004,0)))</f>
        <v/>
      </c>
      <c r="N128" s="9">
        <f>IF($K128="","",INDEX('سجل التحفيز'!$M$5:$M$2004,MATCH($K128,'سجل التحفيز'!$AD$5:$AD$2004,0)))</f>
        <v/>
      </c>
      <c r="O128" s="9">
        <f>IF($K128="","",INDEX('سجل التحفيز'!$C$5:$C$2004,MATCH($K128,'سجل التحفيز'!$AD$5:$AD$2004,0)))</f>
        <v/>
      </c>
      <c r="P128" s="36">
        <f>IF($K128="","",INDEX('سجل التحفيز'!$D$5:$D$2004,MATCH($K128,'سجل التحفيز'!$AD$5:$AD$2004,0)))</f>
        <v/>
      </c>
      <c r="Q128" s="9">
        <f>IF($K128="","",INDEX('سجل التحفيز'!$E$5:$E$2004,MATCH($K128,'سجل التحفيز'!$AD$5:$AD$2004,0)))</f>
        <v/>
      </c>
      <c r="R128" s="9">
        <f>IF($K128="","",INDEX('سجل التحفيز'!$F$5:$F$2004,MATCH($K128,'سجل التحفيز'!$AD$5:$AD$2004,0)))</f>
        <v/>
      </c>
      <c r="S128" s="35">
        <f>IF($K128="","",INDEX('سجل التحفيز'!$G$5:$G$2004,MATCH($K128,'سجل التحفيز'!$AD$5:$AD$2004,0)))</f>
        <v/>
      </c>
    </row>
    <row r="129">
      <c r="B129" s="34">
        <f>IFERROR(INDEX(الموظفات!$B$5:$B$304,MATCH(92,الموظفات!$X$5:$X$304,0)),"")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التحفيز'!$AD$5:$AD$2004,"&gt;0",'سجل التحفيز'!$B$5:$B$2004,B129))</f>
        <v/>
      </c>
      <c r="E129" s="35">
        <f>IF(B129="","",COUNTIFS('سجل التحفيز'!$AD$5:$AD$2004,"&gt;0",'سجل التحفيز'!$B$5:$B$2004,B129,'سجل التحفيز'!$D$5:$D$2004,"ذهبي"))</f>
        <v/>
      </c>
      <c r="F129" s="35">
        <f>IF(B129="","",SUMIFS('سجل التحفيز'!$G$5:$G$2004,'سجل التحفيز'!$AD$5:$AD$2004,"&gt;0",'سجل التحفيز'!$B$5:$B$2004,B129))</f>
        <v/>
      </c>
      <c r="G129" s="35">
        <f>IF(B129="","",COUNTIF($D$38:$D$187,"&gt;"&amp;D129)+1)</f>
        <v/>
      </c>
      <c r="H129" s="35">
        <f>IF(B129="","",INDEX(الموظفات!$L$5:$L$304,MATCH(B129,الموظفات!$B$5:$B$304,0)))</f>
        <v/>
      </c>
      <c r="K129" s="36">
        <f>IF(92&gt;$B$10,"",92)</f>
        <v/>
      </c>
      <c r="L129" s="37">
        <f>IF($K129="","",INDEX('سجل التحفيز'!$A$5:$A$2004,MATCH($K129,'سجل التحفيز'!$AD$5:$AD$2004,0)))</f>
        <v/>
      </c>
      <c r="M129" s="9">
        <f>IF($K129="","",INDEX('سجل التحفيز'!$B$5:$B$2004,MATCH($K129,'سجل التحفيز'!$AD$5:$AD$2004,0)))</f>
        <v/>
      </c>
      <c r="N129" s="9">
        <f>IF($K129="","",INDEX('سجل التحفيز'!$M$5:$M$2004,MATCH($K129,'سجل التحفيز'!$AD$5:$AD$2004,0)))</f>
        <v/>
      </c>
      <c r="O129" s="9">
        <f>IF($K129="","",INDEX('سجل التحفيز'!$C$5:$C$2004,MATCH($K129,'سجل التحفيز'!$AD$5:$AD$2004,0)))</f>
        <v/>
      </c>
      <c r="P129" s="36">
        <f>IF($K129="","",INDEX('سجل التحفيز'!$D$5:$D$2004,MATCH($K129,'سجل التحفيز'!$AD$5:$AD$2004,0)))</f>
        <v/>
      </c>
      <c r="Q129" s="9">
        <f>IF($K129="","",INDEX('سجل التحفيز'!$E$5:$E$2004,MATCH($K129,'سجل التحفيز'!$AD$5:$AD$2004,0)))</f>
        <v/>
      </c>
      <c r="R129" s="9">
        <f>IF($K129="","",INDEX('سجل التحفيز'!$F$5:$F$2004,MATCH($K129,'سجل التحفيز'!$AD$5:$AD$2004,0)))</f>
        <v/>
      </c>
      <c r="S129" s="35">
        <f>IF($K129="","",INDEX('سجل التحفيز'!$G$5:$G$2004,MATCH($K129,'سجل التحفيز'!$AD$5:$AD$2004,0)))</f>
        <v/>
      </c>
    </row>
    <row r="130">
      <c r="B130" s="34">
        <f>IFERROR(INDEX(الموظفات!$B$5:$B$304,MATCH(93,الموظفات!$X$5:$X$304,0)),"")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التحفيز'!$AD$5:$AD$2004,"&gt;0",'سجل التحفيز'!$B$5:$B$2004,B130))</f>
        <v/>
      </c>
      <c r="E130" s="35">
        <f>IF(B130="","",COUNTIFS('سجل التحفيز'!$AD$5:$AD$2004,"&gt;0",'سجل التحفيز'!$B$5:$B$2004,B130,'سجل التحفيز'!$D$5:$D$2004,"ذهبي"))</f>
        <v/>
      </c>
      <c r="F130" s="35">
        <f>IF(B130="","",SUMIFS('سجل التحفيز'!$G$5:$G$2004,'سجل التحفيز'!$AD$5:$AD$2004,"&gt;0",'سجل التحفيز'!$B$5:$B$2004,B130))</f>
        <v/>
      </c>
      <c r="G130" s="35">
        <f>IF(B130="","",COUNTIF($D$38:$D$187,"&gt;"&amp;D130)+1)</f>
        <v/>
      </c>
      <c r="H130" s="35">
        <f>IF(B130="","",INDEX(الموظفات!$L$5:$L$304,MATCH(B130,الموظفات!$B$5:$B$304,0)))</f>
        <v/>
      </c>
      <c r="K130" s="36">
        <f>IF(93&gt;$B$10,"",93)</f>
        <v/>
      </c>
      <c r="L130" s="37">
        <f>IF($K130="","",INDEX('سجل التحفيز'!$A$5:$A$2004,MATCH($K130,'سجل التحفيز'!$AD$5:$AD$2004,0)))</f>
        <v/>
      </c>
      <c r="M130" s="9">
        <f>IF($K130="","",INDEX('سجل التحفيز'!$B$5:$B$2004,MATCH($K130,'سجل التحفيز'!$AD$5:$AD$2004,0)))</f>
        <v/>
      </c>
      <c r="N130" s="9">
        <f>IF($K130="","",INDEX('سجل التحفيز'!$M$5:$M$2004,MATCH($K130,'سجل التحفيز'!$AD$5:$AD$2004,0)))</f>
        <v/>
      </c>
      <c r="O130" s="9">
        <f>IF($K130="","",INDEX('سجل التحفيز'!$C$5:$C$2004,MATCH($K130,'سجل التحفيز'!$AD$5:$AD$2004,0)))</f>
        <v/>
      </c>
      <c r="P130" s="36">
        <f>IF($K130="","",INDEX('سجل التحفيز'!$D$5:$D$2004,MATCH($K130,'سجل التحفيز'!$AD$5:$AD$2004,0)))</f>
        <v/>
      </c>
      <c r="Q130" s="9">
        <f>IF($K130="","",INDEX('سجل التحفيز'!$E$5:$E$2004,MATCH($K130,'سجل التحفيز'!$AD$5:$AD$2004,0)))</f>
        <v/>
      </c>
      <c r="R130" s="9">
        <f>IF($K130="","",INDEX('سجل التحفيز'!$F$5:$F$2004,MATCH($K130,'سجل التحفيز'!$AD$5:$AD$2004,0)))</f>
        <v/>
      </c>
      <c r="S130" s="35">
        <f>IF($K130="","",INDEX('سجل التحفيز'!$G$5:$G$2004,MATCH($K130,'سجل التحفيز'!$AD$5:$AD$2004,0)))</f>
        <v/>
      </c>
    </row>
    <row r="131">
      <c r="B131" s="34">
        <f>IFERROR(INDEX(الموظفات!$B$5:$B$304,MATCH(94,الموظفات!$X$5:$X$304,0)),"")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التحفيز'!$AD$5:$AD$2004,"&gt;0",'سجل التحفيز'!$B$5:$B$2004,B131))</f>
        <v/>
      </c>
      <c r="E131" s="35">
        <f>IF(B131="","",COUNTIFS('سجل التحفيز'!$AD$5:$AD$2004,"&gt;0",'سجل التحفيز'!$B$5:$B$2004,B131,'سجل التحفيز'!$D$5:$D$2004,"ذهبي"))</f>
        <v/>
      </c>
      <c r="F131" s="35">
        <f>IF(B131="","",SUMIFS('سجل التحفيز'!$G$5:$G$2004,'سجل التحفيز'!$AD$5:$AD$2004,"&gt;0",'سجل التحفيز'!$B$5:$B$2004,B131))</f>
        <v/>
      </c>
      <c r="G131" s="35">
        <f>IF(B131="","",COUNTIF($D$38:$D$187,"&gt;"&amp;D131)+1)</f>
        <v/>
      </c>
      <c r="H131" s="35">
        <f>IF(B131="","",INDEX(الموظفات!$L$5:$L$304,MATCH(B131,الموظفات!$B$5:$B$304,0)))</f>
        <v/>
      </c>
      <c r="K131" s="36">
        <f>IF(94&gt;$B$10,"",94)</f>
        <v/>
      </c>
      <c r="L131" s="37">
        <f>IF($K131="","",INDEX('سجل التحفيز'!$A$5:$A$2004,MATCH($K131,'سجل التحفيز'!$AD$5:$AD$2004,0)))</f>
        <v/>
      </c>
      <c r="M131" s="9">
        <f>IF($K131="","",INDEX('سجل التحفيز'!$B$5:$B$2004,MATCH($K131,'سجل التحفيز'!$AD$5:$AD$2004,0)))</f>
        <v/>
      </c>
      <c r="N131" s="9">
        <f>IF($K131="","",INDEX('سجل التحفيز'!$M$5:$M$2004,MATCH($K131,'سجل التحفيز'!$AD$5:$AD$2004,0)))</f>
        <v/>
      </c>
      <c r="O131" s="9">
        <f>IF($K131="","",INDEX('سجل التحفيز'!$C$5:$C$2004,MATCH($K131,'سجل التحفيز'!$AD$5:$AD$2004,0)))</f>
        <v/>
      </c>
      <c r="P131" s="36">
        <f>IF($K131="","",INDEX('سجل التحفيز'!$D$5:$D$2004,MATCH($K131,'سجل التحفيز'!$AD$5:$AD$2004,0)))</f>
        <v/>
      </c>
      <c r="Q131" s="9">
        <f>IF($K131="","",INDEX('سجل التحفيز'!$E$5:$E$2004,MATCH($K131,'سجل التحفيز'!$AD$5:$AD$2004,0)))</f>
        <v/>
      </c>
      <c r="R131" s="9">
        <f>IF($K131="","",INDEX('سجل التحفيز'!$F$5:$F$2004,MATCH($K131,'سجل التحفيز'!$AD$5:$AD$2004,0)))</f>
        <v/>
      </c>
      <c r="S131" s="35">
        <f>IF($K131="","",INDEX('سجل التحفيز'!$G$5:$G$2004,MATCH($K131,'سجل التحفيز'!$AD$5:$AD$2004,0)))</f>
        <v/>
      </c>
    </row>
    <row r="132">
      <c r="B132" s="34">
        <f>IFERROR(INDEX(الموظفات!$B$5:$B$304,MATCH(95,الموظفات!$X$5:$X$304,0)),"")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التحفيز'!$AD$5:$AD$2004,"&gt;0",'سجل التحفيز'!$B$5:$B$2004,B132))</f>
        <v/>
      </c>
      <c r="E132" s="35">
        <f>IF(B132="","",COUNTIFS('سجل التحفيز'!$AD$5:$AD$2004,"&gt;0",'سجل التحفيز'!$B$5:$B$2004,B132,'سجل التحفيز'!$D$5:$D$2004,"ذهبي"))</f>
        <v/>
      </c>
      <c r="F132" s="35">
        <f>IF(B132="","",SUMIFS('سجل التحفيز'!$G$5:$G$2004,'سجل التحفيز'!$AD$5:$AD$2004,"&gt;0",'سجل التحفيز'!$B$5:$B$2004,B132))</f>
        <v/>
      </c>
      <c r="G132" s="35">
        <f>IF(B132="","",COUNTIF($D$38:$D$187,"&gt;"&amp;D132)+1)</f>
        <v/>
      </c>
      <c r="H132" s="35">
        <f>IF(B132="","",INDEX(الموظفات!$L$5:$L$304,MATCH(B132,الموظفات!$B$5:$B$304,0)))</f>
        <v/>
      </c>
      <c r="K132" s="36">
        <f>IF(95&gt;$B$10,"",95)</f>
        <v/>
      </c>
      <c r="L132" s="37">
        <f>IF($K132="","",INDEX('سجل التحفيز'!$A$5:$A$2004,MATCH($K132,'سجل التحفيز'!$AD$5:$AD$2004,0)))</f>
        <v/>
      </c>
      <c r="M132" s="9">
        <f>IF($K132="","",INDEX('سجل التحفيز'!$B$5:$B$2004,MATCH($K132,'سجل التحفيز'!$AD$5:$AD$2004,0)))</f>
        <v/>
      </c>
      <c r="N132" s="9">
        <f>IF($K132="","",INDEX('سجل التحفيز'!$M$5:$M$2004,MATCH($K132,'سجل التحفيز'!$AD$5:$AD$2004,0)))</f>
        <v/>
      </c>
      <c r="O132" s="9">
        <f>IF($K132="","",INDEX('سجل التحفيز'!$C$5:$C$2004,MATCH($K132,'سجل التحفيز'!$AD$5:$AD$2004,0)))</f>
        <v/>
      </c>
      <c r="P132" s="36">
        <f>IF($K132="","",INDEX('سجل التحفيز'!$D$5:$D$2004,MATCH($K132,'سجل التحفيز'!$AD$5:$AD$2004,0)))</f>
        <v/>
      </c>
      <c r="Q132" s="9">
        <f>IF($K132="","",INDEX('سجل التحفيز'!$E$5:$E$2004,MATCH($K132,'سجل التحفيز'!$AD$5:$AD$2004,0)))</f>
        <v/>
      </c>
      <c r="R132" s="9">
        <f>IF($K132="","",INDEX('سجل التحفيز'!$F$5:$F$2004,MATCH($K132,'سجل التحفيز'!$AD$5:$AD$2004,0)))</f>
        <v/>
      </c>
      <c r="S132" s="35">
        <f>IF($K132="","",INDEX('سجل التحفيز'!$G$5:$G$2004,MATCH($K132,'سجل التحفيز'!$AD$5:$AD$2004,0)))</f>
        <v/>
      </c>
    </row>
    <row r="133">
      <c r="B133" s="34">
        <f>IFERROR(INDEX(الموظفات!$B$5:$B$304,MATCH(96,الموظفات!$X$5:$X$304,0)),"")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التحفيز'!$AD$5:$AD$2004,"&gt;0",'سجل التحفيز'!$B$5:$B$2004,B133))</f>
        <v/>
      </c>
      <c r="E133" s="35">
        <f>IF(B133="","",COUNTIFS('سجل التحفيز'!$AD$5:$AD$2004,"&gt;0",'سجل التحفيز'!$B$5:$B$2004,B133,'سجل التحفيز'!$D$5:$D$2004,"ذهبي"))</f>
        <v/>
      </c>
      <c r="F133" s="35">
        <f>IF(B133="","",SUMIFS('سجل التحفيز'!$G$5:$G$2004,'سجل التحفيز'!$AD$5:$AD$2004,"&gt;0",'سجل التحفيز'!$B$5:$B$2004,B133))</f>
        <v/>
      </c>
      <c r="G133" s="35">
        <f>IF(B133="","",COUNTIF($D$38:$D$187,"&gt;"&amp;D133)+1)</f>
        <v/>
      </c>
      <c r="H133" s="35">
        <f>IF(B133="","",INDEX(الموظفات!$L$5:$L$304,MATCH(B133,الموظفات!$B$5:$B$304,0)))</f>
        <v/>
      </c>
      <c r="K133" s="36">
        <f>IF(96&gt;$B$10,"",96)</f>
        <v/>
      </c>
      <c r="L133" s="37">
        <f>IF($K133="","",INDEX('سجل التحفيز'!$A$5:$A$2004,MATCH($K133,'سجل التحفيز'!$AD$5:$AD$2004,0)))</f>
        <v/>
      </c>
      <c r="M133" s="9">
        <f>IF($K133="","",INDEX('سجل التحفيز'!$B$5:$B$2004,MATCH($K133,'سجل التحفيز'!$AD$5:$AD$2004,0)))</f>
        <v/>
      </c>
      <c r="N133" s="9">
        <f>IF($K133="","",INDEX('سجل التحفيز'!$M$5:$M$2004,MATCH($K133,'سجل التحفيز'!$AD$5:$AD$2004,0)))</f>
        <v/>
      </c>
      <c r="O133" s="9">
        <f>IF($K133="","",INDEX('سجل التحفيز'!$C$5:$C$2004,MATCH($K133,'سجل التحفيز'!$AD$5:$AD$2004,0)))</f>
        <v/>
      </c>
      <c r="P133" s="36">
        <f>IF($K133="","",INDEX('سجل التحفيز'!$D$5:$D$2004,MATCH($K133,'سجل التحفيز'!$AD$5:$AD$2004,0)))</f>
        <v/>
      </c>
      <c r="Q133" s="9">
        <f>IF($K133="","",INDEX('سجل التحفيز'!$E$5:$E$2004,MATCH($K133,'سجل التحفيز'!$AD$5:$AD$2004,0)))</f>
        <v/>
      </c>
      <c r="R133" s="9">
        <f>IF($K133="","",INDEX('سجل التحفيز'!$F$5:$F$2004,MATCH($K133,'سجل التحفيز'!$AD$5:$AD$2004,0)))</f>
        <v/>
      </c>
      <c r="S133" s="35">
        <f>IF($K133="","",INDEX('سجل التحفيز'!$G$5:$G$2004,MATCH($K133,'سجل التحفيز'!$AD$5:$AD$2004,0)))</f>
        <v/>
      </c>
    </row>
    <row r="134">
      <c r="B134" s="34">
        <f>IFERROR(INDEX(الموظفات!$B$5:$B$304,MATCH(97,الموظفات!$X$5:$X$304,0)),"")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التحفيز'!$AD$5:$AD$2004,"&gt;0",'سجل التحفيز'!$B$5:$B$2004,B134))</f>
        <v/>
      </c>
      <c r="E134" s="35">
        <f>IF(B134="","",COUNTIFS('سجل التحفيز'!$AD$5:$AD$2004,"&gt;0",'سجل التحفيز'!$B$5:$B$2004,B134,'سجل التحفيز'!$D$5:$D$2004,"ذهبي"))</f>
        <v/>
      </c>
      <c r="F134" s="35">
        <f>IF(B134="","",SUMIFS('سجل التحفيز'!$G$5:$G$2004,'سجل التحفيز'!$AD$5:$AD$2004,"&gt;0",'سجل التحفيز'!$B$5:$B$2004,B134))</f>
        <v/>
      </c>
      <c r="G134" s="35">
        <f>IF(B134="","",COUNTIF($D$38:$D$187,"&gt;"&amp;D134)+1)</f>
        <v/>
      </c>
      <c r="H134" s="35">
        <f>IF(B134="","",INDEX(الموظفات!$L$5:$L$304,MATCH(B134,الموظفات!$B$5:$B$304,0)))</f>
        <v/>
      </c>
      <c r="K134" s="36">
        <f>IF(97&gt;$B$10,"",97)</f>
        <v/>
      </c>
      <c r="L134" s="37">
        <f>IF($K134="","",INDEX('سجل التحفيز'!$A$5:$A$2004,MATCH($K134,'سجل التحفيز'!$AD$5:$AD$2004,0)))</f>
        <v/>
      </c>
      <c r="M134" s="9">
        <f>IF($K134="","",INDEX('سجل التحفيز'!$B$5:$B$2004,MATCH($K134,'سجل التحفيز'!$AD$5:$AD$2004,0)))</f>
        <v/>
      </c>
      <c r="N134" s="9">
        <f>IF($K134="","",INDEX('سجل التحفيز'!$M$5:$M$2004,MATCH($K134,'سجل التحفيز'!$AD$5:$AD$2004,0)))</f>
        <v/>
      </c>
      <c r="O134" s="9">
        <f>IF($K134="","",INDEX('سجل التحفيز'!$C$5:$C$2004,MATCH($K134,'سجل التحفيز'!$AD$5:$AD$2004,0)))</f>
        <v/>
      </c>
      <c r="P134" s="36">
        <f>IF($K134="","",INDEX('سجل التحفيز'!$D$5:$D$2004,MATCH($K134,'سجل التحفيز'!$AD$5:$AD$2004,0)))</f>
        <v/>
      </c>
      <c r="Q134" s="9">
        <f>IF($K134="","",INDEX('سجل التحفيز'!$E$5:$E$2004,MATCH($K134,'سجل التحفيز'!$AD$5:$AD$2004,0)))</f>
        <v/>
      </c>
      <c r="R134" s="9">
        <f>IF($K134="","",INDEX('سجل التحفيز'!$F$5:$F$2004,MATCH($K134,'سجل التحفيز'!$AD$5:$AD$2004,0)))</f>
        <v/>
      </c>
      <c r="S134" s="35">
        <f>IF($K134="","",INDEX('سجل التحفيز'!$G$5:$G$2004,MATCH($K134,'سجل التحفيز'!$AD$5:$AD$2004,0)))</f>
        <v/>
      </c>
    </row>
    <row r="135">
      <c r="B135" s="34">
        <f>IFERROR(INDEX(الموظفات!$B$5:$B$304,MATCH(98,الموظفات!$X$5:$X$304,0)),"")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التحفيز'!$AD$5:$AD$2004,"&gt;0",'سجل التحفيز'!$B$5:$B$2004,B135))</f>
        <v/>
      </c>
      <c r="E135" s="35">
        <f>IF(B135="","",COUNTIFS('سجل التحفيز'!$AD$5:$AD$2004,"&gt;0",'سجل التحفيز'!$B$5:$B$2004,B135,'سجل التحفيز'!$D$5:$D$2004,"ذهبي"))</f>
        <v/>
      </c>
      <c r="F135" s="35">
        <f>IF(B135="","",SUMIFS('سجل التحفيز'!$G$5:$G$2004,'سجل التحفيز'!$AD$5:$AD$2004,"&gt;0",'سجل التحفيز'!$B$5:$B$2004,B135))</f>
        <v/>
      </c>
      <c r="G135" s="35">
        <f>IF(B135="","",COUNTIF($D$38:$D$187,"&gt;"&amp;D135)+1)</f>
        <v/>
      </c>
      <c r="H135" s="35">
        <f>IF(B135="","",INDEX(الموظفات!$L$5:$L$304,MATCH(B135,الموظفات!$B$5:$B$304,0)))</f>
        <v/>
      </c>
      <c r="K135" s="36">
        <f>IF(98&gt;$B$10,"",98)</f>
        <v/>
      </c>
      <c r="L135" s="37">
        <f>IF($K135="","",INDEX('سجل التحفيز'!$A$5:$A$2004,MATCH($K135,'سجل التحفيز'!$AD$5:$AD$2004,0)))</f>
        <v/>
      </c>
      <c r="M135" s="9">
        <f>IF($K135="","",INDEX('سجل التحفيز'!$B$5:$B$2004,MATCH($K135,'سجل التحفيز'!$AD$5:$AD$2004,0)))</f>
        <v/>
      </c>
      <c r="N135" s="9">
        <f>IF($K135="","",INDEX('سجل التحفيز'!$M$5:$M$2004,MATCH($K135,'سجل التحفيز'!$AD$5:$AD$2004,0)))</f>
        <v/>
      </c>
      <c r="O135" s="9">
        <f>IF($K135="","",INDEX('سجل التحفيز'!$C$5:$C$2004,MATCH($K135,'سجل التحفيز'!$AD$5:$AD$2004,0)))</f>
        <v/>
      </c>
      <c r="P135" s="36">
        <f>IF($K135="","",INDEX('سجل التحفيز'!$D$5:$D$2004,MATCH($K135,'سجل التحفيز'!$AD$5:$AD$2004,0)))</f>
        <v/>
      </c>
      <c r="Q135" s="9">
        <f>IF($K135="","",INDEX('سجل التحفيز'!$E$5:$E$2004,MATCH($K135,'سجل التحفيز'!$AD$5:$AD$2004,0)))</f>
        <v/>
      </c>
      <c r="R135" s="9">
        <f>IF($K135="","",INDEX('سجل التحفيز'!$F$5:$F$2004,MATCH($K135,'سجل التحفيز'!$AD$5:$AD$2004,0)))</f>
        <v/>
      </c>
      <c r="S135" s="35">
        <f>IF($K135="","",INDEX('سجل التحفيز'!$G$5:$G$2004,MATCH($K135,'سجل التحفيز'!$AD$5:$AD$2004,0)))</f>
        <v/>
      </c>
    </row>
    <row r="136">
      <c r="B136" s="34">
        <f>IFERROR(INDEX(الموظفات!$B$5:$B$304,MATCH(99,الموظفات!$X$5:$X$304,0)),"")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التحفيز'!$AD$5:$AD$2004,"&gt;0",'سجل التحفيز'!$B$5:$B$2004,B136))</f>
        <v/>
      </c>
      <c r="E136" s="35">
        <f>IF(B136="","",COUNTIFS('سجل التحفيز'!$AD$5:$AD$2004,"&gt;0",'سجل التحفيز'!$B$5:$B$2004,B136,'سجل التحفيز'!$D$5:$D$2004,"ذهبي"))</f>
        <v/>
      </c>
      <c r="F136" s="35">
        <f>IF(B136="","",SUMIFS('سجل التحفيز'!$G$5:$G$2004,'سجل التحفيز'!$AD$5:$AD$2004,"&gt;0",'سجل التحفيز'!$B$5:$B$2004,B136))</f>
        <v/>
      </c>
      <c r="G136" s="35">
        <f>IF(B136="","",COUNTIF($D$38:$D$187,"&gt;"&amp;D136)+1)</f>
        <v/>
      </c>
      <c r="H136" s="35">
        <f>IF(B136="","",INDEX(الموظفات!$L$5:$L$304,MATCH(B136,الموظفات!$B$5:$B$304,0)))</f>
        <v/>
      </c>
      <c r="K136" s="36">
        <f>IF(99&gt;$B$10,"",99)</f>
        <v/>
      </c>
      <c r="L136" s="37">
        <f>IF($K136="","",INDEX('سجل التحفيز'!$A$5:$A$2004,MATCH($K136,'سجل التحفيز'!$AD$5:$AD$2004,0)))</f>
        <v/>
      </c>
      <c r="M136" s="9">
        <f>IF($K136="","",INDEX('سجل التحفيز'!$B$5:$B$2004,MATCH($K136,'سجل التحفيز'!$AD$5:$AD$2004,0)))</f>
        <v/>
      </c>
      <c r="N136" s="9">
        <f>IF($K136="","",INDEX('سجل التحفيز'!$M$5:$M$2004,MATCH($K136,'سجل التحفيز'!$AD$5:$AD$2004,0)))</f>
        <v/>
      </c>
      <c r="O136" s="9">
        <f>IF($K136="","",INDEX('سجل التحفيز'!$C$5:$C$2004,MATCH($K136,'سجل التحفيز'!$AD$5:$AD$2004,0)))</f>
        <v/>
      </c>
      <c r="P136" s="36">
        <f>IF($K136="","",INDEX('سجل التحفيز'!$D$5:$D$2004,MATCH($K136,'سجل التحفيز'!$AD$5:$AD$2004,0)))</f>
        <v/>
      </c>
      <c r="Q136" s="9">
        <f>IF($K136="","",INDEX('سجل التحفيز'!$E$5:$E$2004,MATCH($K136,'سجل التحفيز'!$AD$5:$AD$2004,0)))</f>
        <v/>
      </c>
      <c r="R136" s="9">
        <f>IF($K136="","",INDEX('سجل التحفيز'!$F$5:$F$2004,MATCH($K136,'سجل التحفيز'!$AD$5:$AD$2004,0)))</f>
        <v/>
      </c>
      <c r="S136" s="35">
        <f>IF($K136="","",INDEX('سجل التحفيز'!$G$5:$G$2004,MATCH($K136,'سجل التحفيز'!$AD$5:$AD$2004,0)))</f>
        <v/>
      </c>
    </row>
    <row r="137">
      <c r="B137" s="34">
        <f>IFERROR(INDEX(الموظفات!$B$5:$B$304,MATCH(100,الموظفات!$X$5:$X$304,0)),"")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التحفيز'!$AD$5:$AD$2004,"&gt;0",'سجل التحفيز'!$B$5:$B$2004,B137))</f>
        <v/>
      </c>
      <c r="E137" s="35">
        <f>IF(B137="","",COUNTIFS('سجل التحفيز'!$AD$5:$AD$2004,"&gt;0",'سجل التحفيز'!$B$5:$B$2004,B137,'سجل التحفيز'!$D$5:$D$2004,"ذهبي"))</f>
        <v/>
      </c>
      <c r="F137" s="35">
        <f>IF(B137="","",SUMIFS('سجل التحفيز'!$G$5:$G$2004,'سجل التحفيز'!$AD$5:$AD$2004,"&gt;0",'سجل التحفيز'!$B$5:$B$2004,B137))</f>
        <v/>
      </c>
      <c r="G137" s="35">
        <f>IF(B137="","",COUNTIF($D$38:$D$187,"&gt;"&amp;D137)+1)</f>
        <v/>
      </c>
      <c r="H137" s="35">
        <f>IF(B137="","",INDEX(الموظفات!$L$5:$L$304,MATCH(B137,الموظفات!$B$5:$B$304,0)))</f>
        <v/>
      </c>
      <c r="K137" s="36">
        <f>IF(100&gt;$B$10,"",100)</f>
        <v/>
      </c>
      <c r="L137" s="37">
        <f>IF($K137="","",INDEX('سجل التحفيز'!$A$5:$A$2004,MATCH($K137,'سجل التحفيز'!$AD$5:$AD$2004,0)))</f>
        <v/>
      </c>
      <c r="M137" s="9">
        <f>IF($K137="","",INDEX('سجل التحفيز'!$B$5:$B$2004,MATCH($K137,'سجل التحفيز'!$AD$5:$AD$2004,0)))</f>
        <v/>
      </c>
      <c r="N137" s="9">
        <f>IF($K137="","",INDEX('سجل التحفيز'!$M$5:$M$2004,MATCH($K137,'سجل التحفيز'!$AD$5:$AD$2004,0)))</f>
        <v/>
      </c>
      <c r="O137" s="9">
        <f>IF($K137="","",INDEX('سجل التحفيز'!$C$5:$C$2004,MATCH($K137,'سجل التحفيز'!$AD$5:$AD$2004,0)))</f>
        <v/>
      </c>
      <c r="P137" s="36">
        <f>IF($K137="","",INDEX('سجل التحفيز'!$D$5:$D$2004,MATCH($K137,'سجل التحفيز'!$AD$5:$AD$2004,0)))</f>
        <v/>
      </c>
      <c r="Q137" s="9">
        <f>IF($K137="","",INDEX('سجل التحفيز'!$E$5:$E$2004,MATCH($K137,'سجل التحفيز'!$AD$5:$AD$2004,0)))</f>
        <v/>
      </c>
      <c r="R137" s="9">
        <f>IF($K137="","",INDEX('سجل التحفيز'!$F$5:$F$2004,MATCH($K137,'سجل التحفيز'!$AD$5:$AD$2004,0)))</f>
        <v/>
      </c>
      <c r="S137" s="35">
        <f>IF($K137="","",INDEX('سجل التحفيز'!$G$5:$G$2004,MATCH($K137,'سجل التحفيز'!$AD$5:$AD$2004,0)))</f>
        <v/>
      </c>
    </row>
    <row r="138">
      <c r="B138" s="34">
        <f>IFERROR(INDEX(الموظفات!$B$5:$B$304,MATCH(101,الموظفات!$X$5:$X$304,0)),"")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التحفيز'!$AD$5:$AD$2004,"&gt;0",'سجل التحفيز'!$B$5:$B$2004,B138))</f>
        <v/>
      </c>
      <c r="E138" s="35">
        <f>IF(B138="","",COUNTIFS('سجل التحفيز'!$AD$5:$AD$2004,"&gt;0",'سجل التحفيز'!$B$5:$B$2004,B138,'سجل التحفيز'!$D$5:$D$2004,"ذهبي"))</f>
        <v/>
      </c>
      <c r="F138" s="35">
        <f>IF(B138="","",SUMIFS('سجل التحفيز'!$G$5:$G$2004,'سجل التحفيز'!$AD$5:$AD$2004,"&gt;0",'سجل التحفيز'!$B$5:$B$2004,B138))</f>
        <v/>
      </c>
      <c r="G138" s="35">
        <f>IF(B138="","",COUNTIF($D$38:$D$187,"&gt;"&amp;D138)+1)</f>
        <v/>
      </c>
      <c r="H138" s="35">
        <f>IF(B138="","",INDEX(الموظفات!$L$5:$L$304,MATCH(B138,الموظفات!$B$5:$B$304,0)))</f>
        <v/>
      </c>
      <c r="K138" s="36">
        <f>IF(101&gt;$B$10,"",101)</f>
        <v/>
      </c>
      <c r="L138" s="37">
        <f>IF($K138="","",INDEX('سجل التحفيز'!$A$5:$A$2004,MATCH($K138,'سجل التحفيز'!$AD$5:$AD$2004,0)))</f>
        <v/>
      </c>
      <c r="M138" s="9">
        <f>IF($K138="","",INDEX('سجل التحفيز'!$B$5:$B$2004,MATCH($K138,'سجل التحفيز'!$AD$5:$AD$2004,0)))</f>
        <v/>
      </c>
      <c r="N138" s="9">
        <f>IF($K138="","",INDEX('سجل التحفيز'!$M$5:$M$2004,MATCH($K138,'سجل التحفيز'!$AD$5:$AD$2004,0)))</f>
        <v/>
      </c>
      <c r="O138" s="9">
        <f>IF($K138="","",INDEX('سجل التحفيز'!$C$5:$C$2004,MATCH($K138,'سجل التحفيز'!$AD$5:$AD$2004,0)))</f>
        <v/>
      </c>
      <c r="P138" s="36">
        <f>IF($K138="","",INDEX('سجل التحفيز'!$D$5:$D$2004,MATCH($K138,'سجل التحفيز'!$AD$5:$AD$2004,0)))</f>
        <v/>
      </c>
      <c r="Q138" s="9">
        <f>IF($K138="","",INDEX('سجل التحفيز'!$E$5:$E$2004,MATCH($K138,'سجل التحفيز'!$AD$5:$AD$2004,0)))</f>
        <v/>
      </c>
      <c r="R138" s="9">
        <f>IF($K138="","",INDEX('سجل التحفيز'!$F$5:$F$2004,MATCH($K138,'سجل التحفيز'!$AD$5:$AD$2004,0)))</f>
        <v/>
      </c>
      <c r="S138" s="35">
        <f>IF($K138="","",INDEX('سجل التحفيز'!$G$5:$G$2004,MATCH($K138,'سجل التحفيز'!$AD$5:$AD$2004,0)))</f>
        <v/>
      </c>
    </row>
    <row r="139">
      <c r="B139" s="34">
        <f>IFERROR(INDEX(الموظفات!$B$5:$B$304,MATCH(102,الموظفات!$X$5:$X$304,0)),"")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التحفيز'!$AD$5:$AD$2004,"&gt;0",'سجل التحفيز'!$B$5:$B$2004,B139))</f>
        <v/>
      </c>
      <c r="E139" s="35">
        <f>IF(B139="","",COUNTIFS('سجل التحفيز'!$AD$5:$AD$2004,"&gt;0",'سجل التحفيز'!$B$5:$B$2004,B139,'سجل التحفيز'!$D$5:$D$2004,"ذهبي"))</f>
        <v/>
      </c>
      <c r="F139" s="35">
        <f>IF(B139="","",SUMIFS('سجل التحفيز'!$G$5:$G$2004,'سجل التحفيز'!$AD$5:$AD$2004,"&gt;0",'سجل التحفيز'!$B$5:$B$2004,B139))</f>
        <v/>
      </c>
      <c r="G139" s="35">
        <f>IF(B139="","",COUNTIF($D$38:$D$187,"&gt;"&amp;D139)+1)</f>
        <v/>
      </c>
      <c r="H139" s="35">
        <f>IF(B139="","",INDEX(الموظفات!$L$5:$L$304,MATCH(B139,الموظفات!$B$5:$B$304,0)))</f>
        <v/>
      </c>
      <c r="K139" s="36">
        <f>IF(102&gt;$B$10,"",102)</f>
        <v/>
      </c>
      <c r="L139" s="37">
        <f>IF($K139="","",INDEX('سجل التحفيز'!$A$5:$A$2004,MATCH($K139,'سجل التحفيز'!$AD$5:$AD$2004,0)))</f>
        <v/>
      </c>
      <c r="M139" s="9">
        <f>IF($K139="","",INDEX('سجل التحفيز'!$B$5:$B$2004,MATCH($K139,'سجل التحفيز'!$AD$5:$AD$2004,0)))</f>
        <v/>
      </c>
      <c r="N139" s="9">
        <f>IF($K139="","",INDEX('سجل التحفيز'!$M$5:$M$2004,MATCH($K139,'سجل التحفيز'!$AD$5:$AD$2004,0)))</f>
        <v/>
      </c>
      <c r="O139" s="9">
        <f>IF($K139="","",INDEX('سجل التحفيز'!$C$5:$C$2004,MATCH($K139,'سجل التحفيز'!$AD$5:$AD$2004,0)))</f>
        <v/>
      </c>
      <c r="P139" s="36">
        <f>IF($K139="","",INDEX('سجل التحفيز'!$D$5:$D$2004,MATCH($K139,'سجل التحفيز'!$AD$5:$AD$2004,0)))</f>
        <v/>
      </c>
      <c r="Q139" s="9">
        <f>IF($K139="","",INDEX('سجل التحفيز'!$E$5:$E$2004,MATCH($K139,'سجل التحفيز'!$AD$5:$AD$2004,0)))</f>
        <v/>
      </c>
      <c r="R139" s="9">
        <f>IF($K139="","",INDEX('سجل التحفيز'!$F$5:$F$2004,MATCH($K139,'سجل التحفيز'!$AD$5:$AD$2004,0)))</f>
        <v/>
      </c>
      <c r="S139" s="35">
        <f>IF($K139="","",INDEX('سجل التحفيز'!$G$5:$G$2004,MATCH($K139,'سجل التحفيز'!$AD$5:$AD$2004,0)))</f>
        <v/>
      </c>
    </row>
    <row r="140">
      <c r="B140" s="34">
        <f>IFERROR(INDEX(الموظفات!$B$5:$B$304,MATCH(103,الموظفات!$X$5:$X$304,0)),"")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التحفيز'!$AD$5:$AD$2004,"&gt;0",'سجل التحفيز'!$B$5:$B$2004,B140))</f>
        <v/>
      </c>
      <c r="E140" s="35">
        <f>IF(B140="","",COUNTIFS('سجل التحفيز'!$AD$5:$AD$2004,"&gt;0",'سجل التحفيز'!$B$5:$B$2004,B140,'سجل التحفيز'!$D$5:$D$2004,"ذهبي"))</f>
        <v/>
      </c>
      <c r="F140" s="35">
        <f>IF(B140="","",SUMIFS('سجل التحفيز'!$G$5:$G$2004,'سجل التحفيز'!$AD$5:$AD$2004,"&gt;0",'سجل التحفيز'!$B$5:$B$2004,B140))</f>
        <v/>
      </c>
      <c r="G140" s="35">
        <f>IF(B140="","",COUNTIF($D$38:$D$187,"&gt;"&amp;D140)+1)</f>
        <v/>
      </c>
      <c r="H140" s="35">
        <f>IF(B140="","",INDEX(الموظفات!$L$5:$L$304,MATCH(B140,الموظفات!$B$5:$B$304,0)))</f>
        <v/>
      </c>
      <c r="K140" s="36">
        <f>IF(103&gt;$B$10,"",103)</f>
        <v/>
      </c>
      <c r="L140" s="37">
        <f>IF($K140="","",INDEX('سجل التحفيز'!$A$5:$A$2004,MATCH($K140,'سجل التحفيز'!$AD$5:$AD$2004,0)))</f>
        <v/>
      </c>
      <c r="M140" s="9">
        <f>IF($K140="","",INDEX('سجل التحفيز'!$B$5:$B$2004,MATCH($K140,'سجل التحفيز'!$AD$5:$AD$2004,0)))</f>
        <v/>
      </c>
      <c r="N140" s="9">
        <f>IF($K140="","",INDEX('سجل التحفيز'!$M$5:$M$2004,MATCH($K140,'سجل التحفيز'!$AD$5:$AD$2004,0)))</f>
        <v/>
      </c>
      <c r="O140" s="9">
        <f>IF($K140="","",INDEX('سجل التحفيز'!$C$5:$C$2004,MATCH($K140,'سجل التحفيز'!$AD$5:$AD$2004,0)))</f>
        <v/>
      </c>
      <c r="P140" s="36">
        <f>IF($K140="","",INDEX('سجل التحفيز'!$D$5:$D$2004,MATCH($K140,'سجل التحفيز'!$AD$5:$AD$2004,0)))</f>
        <v/>
      </c>
      <c r="Q140" s="9">
        <f>IF($K140="","",INDEX('سجل التحفيز'!$E$5:$E$2004,MATCH($K140,'سجل التحفيز'!$AD$5:$AD$2004,0)))</f>
        <v/>
      </c>
      <c r="R140" s="9">
        <f>IF($K140="","",INDEX('سجل التحفيز'!$F$5:$F$2004,MATCH($K140,'سجل التحفيز'!$AD$5:$AD$2004,0)))</f>
        <v/>
      </c>
      <c r="S140" s="35">
        <f>IF($K140="","",INDEX('سجل التحفيز'!$G$5:$G$2004,MATCH($K140,'سجل التحفيز'!$AD$5:$AD$2004,0)))</f>
        <v/>
      </c>
    </row>
    <row r="141">
      <c r="B141" s="34">
        <f>IFERROR(INDEX(الموظفات!$B$5:$B$304,MATCH(104,الموظفات!$X$5:$X$304,0)),"")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التحفيز'!$AD$5:$AD$2004,"&gt;0",'سجل التحفيز'!$B$5:$B$2004,B141))</f>
        <v/>
      </c>
      <c r="E141" s="35">
        <f>IF(B141="","",COUNTIFS('سجل التحفيز'!$AD$5:$AD$2004,"&gt;0",'سجل التحفيز'!$B$5:$B$2004,B141,'سجل التحفيز'!$D$5:$D$2004,"ذهبي"))</f>
        <v/>
      </c>
      <c r="F141" s="35">
        <f>IF(B141="","",SUMIFS('سجل التحفيز'!$G$5:$G$2004,'سجل التحفيز'!$AD$5:$AD$2004,"&gt;0",'سجل التحفيز'!$B$5:$B$2004,B141))</f>
        <v/>
      </c>
      <c r="G141" s="35">
        <f>IF(B141="","",COUNTIF($D$38:$D$187,"&gt;"&amp;D141)+1)</f>
        <v/>
      </c>
      <c r="H141" s="35">
        <f>IF(B141="","",INDEX(الموظفات!$L$5:$L$304,MATCH(B141,الموظفات!$B$5:$B$304,0)))</f>
        <v/>
      </c>
      <c r="K141" s="36">
        <f>IF(104&gt;$B$10,"",104)</f>
        <v/>
      </c>
      <c r="L141" s="37">
        <f>IF($K141="","",INDEX('سجل التحفيز'!$A$5:$A$2004,MATCH($K141,'سجل التحفيز'!$AD$5:$AD$2004,0)))</f>
        <v/>
      </c>
      <c r="M141" s="9">
        <f>IF($K141="","",INDEX('سجل التحفيز'!$B$5:$B$2004,MATCH($K141,'سجل التحفيز'!$AD$5:$AD$2004,0)))</f>
        <v/>
      </c>
      <c r="N141" s="9">
        <f>IF($K141="","",INDEX('سجل التحفيز'!$M$5:$M$2004,MATCH($K141,'سجل التحفيز'!$AD$5:$AD$2004,0)))</f>
        <v/>
      </c>
      <c r="O141" s="9">
        <f>IF($K141="","",INDEX('سجل التحفيز'!$C$5:$C$2004,MATCH($K141,'سجل التحفيز'!$AD$5:$AD$2004,0)))</f>
        <v/>
      </c>
      <c r="P141" s="36">
        <f>IF($K141="","",INDEX('سجل التحفيز'!$D$5:$D$2004,MATCH($K141,'سجل التحفيز'!$AD$5:$AD$2004,0)))</f>
        <v/>
      </c>
      <c r="Q141" s="9">
        <f>IF($K141="","",INDEX('سجل التحفيز'!$E$5:$E$2004,MATCH($K141,'سجل التحفيز'!$AD$5:$AD$2004,0)))</f>
        <v/>
      </c>
      <c r="R141" s="9">
        <f>IF($K141="","",INDEX('سجل التحفيز'!$F$5:$F$2004,MATCH($K141,'سجل التحفيز'!$AD$5:$AD$2004,0)))</f>
        <v/>
      </c>
      <c r="S141" s="35">
        <f>IF($K141="","",INDEX('سجل التحفيز'!$G$5:$G$2004,MATCH($K141,'سجل التحفيز'!$AD$5:$AD$2004,0)))</f>
        <v/>
      </c>
    </row>
    <row r="142">
      <c r="B142" s="34">
        <f>IFERROR(INDEX(الموظفات!$B$5:$B$304,MATCH(105,الموظفات!$X$5:$X$304,0)),"")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التحفيز'!$AD$5:$AD$2004,"&gt;0",'سجل التحفيز'!$B$5:$B$2004,B142))</f>
        <v/>
      </c>
      <c r="E142" s="35">
        <f>IF(B142="","",COUNTIFS('سجل التحفيز'!$AD$5:$AD$2004,"&gt;0",'سجل التحفيز'!$B$5:$B$2004,B142,'سجل التحفيز'!$D$5:$D$2004,"ذهبي"))</f>
        <v/>
      </c>
      <c r="F142" s="35">
        <f>IF(B142="","",SUMIFS('سجل التحفيز'!$G$5:$G$2004,'سجل التحفيز'!$AD$5:$AD$2004,"&gt;0",'سجل التحفيز'!$B$5:$B$2004,B142))</f>
        <v/>
      </c>
      <c r="G142" s="35">
        <f>IF(B142="","",COUNTIF($D$38:$D$187,"&gt;"&amp;D142)+1)</f>
        <v/>
      </c>
      <c r="H142" s="35">
        <f>IF(B142="","",INDEX(الموظفات!$L$5:$L$304,MATCH(B142,الموظفات!$B$5:$B$304,0)))</f>
        <v/>
      </c>
      <c r="K142" s="36">
        <f>IF(105&gt;$B$10,"",105)</f>
        <v/>
      </c>
      <c r="L142" s="37">
        <f>IF($K142="","",INDEX('سجل التحفيز'!$A$5:$A$2004,MATCH($K142,'سجل التحفيز'!$AD$5:$AD$2004,0)))</f>
        <v/>
      </c>
      <c r="M142" s="9">
        <f>IF($K142="","",INDEX('سجل التحفيز'!$B$5:$B$2004,MATCH($K142,'سجل التحفيز'!$AD$5:$AD$2004,0)))</f>
        <v/>
      </c>
      <c r="N142" s="9">
        <f>IF($K142="","",INDEX('سجل التحفيز'!$M$5:$M$2004,MATCH($K142,'سجل التحفيز'!$AD$5:$AD$2004,0)))</f>
        <v/>
      </c>
      <c r="O142" s="9">
        <f>IF($K142="","",INDEX('سجل التحفيز'!$C$5:$C$2004,MATCH($K142,'سجل التحفيز'!$AD$5:$AD$2004,0)))</f>
        <v/>
      </c>
      <c r="P142" s="36">
        <f>IF($K142="","",INDEX('سجل التحفيز'!$D$5:$D$2004,MATCH($K142,'سجل التحفيز'!$AD$5:$AD$2004,0)))</f>
        <v/>
      </c>
      <c r="Q142" s="9">
        <f>IF($K142="","",INDEX('سجل التحفيز'!$E$5:$E$2004,MATCH($K142,'سجل التحفيز'!$AD$5:$AD$2004,0)))</f>
        <v/>
      </c>
      <c r="R142" s="9">
        <f>IF($K142="","",INDEX('سجل التحفيز'!$F$5:$F$2004,MATCH($K142,'سجل التحفيز'!$AD$5:$AD$2004,0)))</f>
        <v/>
      </c>
      <c r="S142" s="35">
        <f>IF($K142="","",INDEX('سجل التحفيز'!$G$5:$G$2004,MATCH($K142,'سجل التحفيز'!$AD$5:$AD$2004,0)))</f>
        <v/>
      </c>
    </row>
    <row r="143">
      <c r="B143" s="34">
        <f>IFERROR(INDEX(الموظفات!$B$5:$B$304,MATCH(106,الموظفات!$X$5:$X$304,0)),"")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التحفيز'!$AD$5:$AD$2004,"&gt;0",'سجل التحفيز'!$B$5:$B$2004,B143))</f>
        <v/>
      </c>
      <c r="E143" s="35">
        <f>IF(B143="","",COUNTIFS('سجل التحفيز'!$AD$5:$AD$2004,"&gt;0",'سجل التحفيز'!$B$5:$B$2004,B143,'سجل التحفيز'!$D$5:$D$2004,"ذهبي"))</f>
        <v/>
      </c>
      <c r="F143" s="35">
        <f>IF(B143="","",SUMIFS('سجل التحفيز'!$G$5:$G$2004,'سجل التحفيز'!$AD$5:$AD$2004,"&gt;0",'سجل التحفيز'!$B$5:$B$2004,B143))</f>
        <v/>
      </c>
      <c r="G143" s="35">
        <f>IF(B143="","",COUNTIF($D$38:$D$187,"&gt;"&amp;D143)+1)</f>
        <v/>
      </c>
      <c r="H143" s="35">
        <f>IF(B143="","",INDEX(الموظفات!$L$5:$L$304,MATCH(B143,الموظفات!$B$5:$B$304,0)))</f>
        <v/>
      </c>
      <c r="K143" s="36">
        <f>IF(106&gt;$B$10,"",106)</f>
        <v/>
      </c>
      <c r="L143" s="37">
        <f>IF($K143="","",INDEX('سجل التحفيز'!$A$5:$A$2004,MATCH($K143,'سجل التحفيز'!$AD$5:$AD$2004,0)))</f>
        <v/>
      </c>
      <c r="M143" s="9">
        <f>IF($K143="","",INDEX('سجل التحفيز'!$B$5:$B$2004,MATCH($K143,'سجل التحفيز'!$AD$5:$AD$2004,0)))</f>
        <v/>
      </c>
      <c r="N143" s="9">
        <f>IF($K143="","",INDEX('سجل التحفيز'!$M$5:$M$2004,MATCH($K143,'سجل التحفيز'!$AD$5:$AD$2004,0)))</f>
        <v/>
      </c>
      <c r="O143" s="9">
        <f>IF($K143="","",INDEX('سجل التحفيز'!$C$5:$C$2004,MATCH($K143,'سجل التحفيز'!$AD$5:$AD$2004,0)))</f>
        <v/>
      </c>
      <c r="P143" s="36">
        <f>IF($K143="","",INDEX('سجل التحفيز'!$D$5:$D$2004,MATCH($K143,'سجل التحفيز'!$AD$5:$AD$2004,0)))</f>
        <v/>
      </c>
      <c r="Q143" s="9">
        <f>IF($K143="","",INDEX('سجل التحفيز'!$E$5:$E$2004,MATCH($K143,'سجل التحفيز'!$AD$5:$AD$2004,0)))</f>
        <v/>
      </c>
      <c r="R143" s="9">
        <f>IF($K143="","",INDEX('سجل التحفيز'!$F$5:$F$2004,MATCH($K143,'سجل التحفيز'!$AD$5:$AD$2004,0)))</f>
        <v/>
      </c>
      <c r="S143" s="35">
        <f>IF($K143="","",INDEX('سجل التحفيز'!$G$5:$G$2004,MATCH($K143,'سجل التحفيز'!$AD$5:$AD$2004,0)))</f>
        <v/>
      </c>
    </row>
    <row r="144">
      <c r="B144" s="34">
        <f>IFERROR(INDEX(الموظفات!$B$5:$B$304,MATCH(107,الموظفات!$X$5:$X$304,0)),"")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التحفيز'!$AD$5:$AD$2004,"&gt;0",'سجل التحفيز'!$B$5:$B$2004,B144))</f>
        <v/>
      </c>
      <c r="E144" s="35">
        <f>IF(B144="","",COUNTIFS('سجل التحفيز'!$AD$5:$AD$2004,"&gt;0",'سجل التحفيز'!$B$5:$B$2004,B144,'سجل التحفيز'!$D$5:$D$2004,"ذهبي"))</f>
        <v/>
      </c>
      <c r="F144" s="35">
        <f>IF(B144="","",SUMIFS('سجل التحفيز'!$G$5:$G$2004,'سجل التحفيز'!$AD$5:$AD$2004,"&gt;0",'سجل التحفيز'!$B$5:$B$2004,B144))</f>
        <v/>
      </c>
      <c r="G144" s="35">
        <f>IF(B144="","",COUNTIF($D$38:$D$187,"&gt;"&amp;D144)+1)</f>
        <v/>
      </c>
      <c r="H144" s="35">
        <f>IF(B144="","",INDEX(الموظفات!$L$5:$L$304,MATCH(B144,الموظفات!$B$5:$B$304,0)))</f>
        <v/>
      </c>
      <c r="K144" s="36">
        <f>IF(107&gt;$B$10,"",107)</f>
        <v/>
      </c>
      <c r="L144" s="37">
        <f>IF($K144="","",INDEX('سجل التحفيز'!$A$5:$A$2004,MATCH($K144,'سجل التحفيز'!$AD$5:$AD$2004,0)))</f>
        <v/>
      </c>
      <c r="M144" s="9">
        <f>IF($K144="","",INDEX('سجل التحفيز'!$B$5:$B$2004,MATCH($K144,'سجل التحفيز'!$AD$5:$AD$2004,0)))</f>
        <v/>
      </c>
      <c r="N144" s="9">
        <f>IF($K144="","",INDEX('سجل التحفيز'!$M$5:$M$2004,MATCH($K144,'سجل التحفيز'!$AD$5:$AD$2004,0)))</f>
        <v/>
      </c>
      <c r="O144" s="9">
        <f>IF($K144="","",INDEX('سجل التحفيز'!$C$5:$C$2004,MATCH($K144,'سجل التحفيز'!$AD$5:$AD$2004,0)))</f>
        <v/>
      </c>
      <c r="P144" s="36">
        <f>IF($K144="","",INDEX('سجل التحفيز'!$D$5:$D$2004,MATCH($K144,'سجل التحفيز'!$AD$5:$AD$2004,0)))</f>
        <v/>
      </c>
      <c r="Q144" s="9">
        <f>IF($K144="","",INDEX('سجل التحفيز'!$E$5:$E$2004,MATCH($K144,'سجل التحفيز'!$AD$5:$AD$2004,0)))</f>
        <v/>
      </c>
      <c r="R144" s="9">
        <f>IF($K144="","",INDEX('سجل التحفيز'!$F$5:$F$2004,MATCH($K144,'سجل التحفيز'!$AD$5:$AD$2004,0)))</f>
        <v/>
      </c>
      <c r="S144" s="35">
        <f>IF($K144="","",INDEX('سجل التحفيز'!$G$5:$G$2004,MATCH($K144,'سجل التحفيز'!$AD$5:$AD$2004,0)))</f>
        <v/>
      </c>
    </row>
    <row r="145">
      <c r="B145" s="34">
        <f>IFERROR(INDEX(الموظفات!$B$5:$B$304,MATCH(108,الموظفات!$X$5:$X$304,0)),"")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التحفيز'!$AD$5:$AD$2004,"&gt;0",'سجل التحفيز'!$B$5:$B$2004,B145))</f>
        <v/>
      </c>
      <c r="E145" s="35">
        <f>IF(B145="","",COUNTIFS('سجل التحفيز'!$AD$5:$AD$2004,"&gt;0",'سجل التحفيز'!$B$5:$B$2004,B145,'سجل التحفيز'!$D$5:$D$2004,"ذهبي"))</f>
        <v/>
      </c>
      <c r="F145" s="35">
        <f>IF(B145="","",SUMIFS('سجل التحفيز'!$G$5:$G$2004,'سجل التحفيز'!$AD$5:$AD$2004,"&gt;0",'سجل التحفيز'!$B$5:$B$2004,B145))</f>
        <v/>
      </c>
      <c r="G145" s="35">
        <f>IF(B145="","",COUNTIF($D$38:$D$187,"&gt;"&amp;D145)+1)</f>
        <v/>
      </c>
      <c r="H145" s="35">
        <f>IF(B145="","",INDEX(الموظفات!$L$5:$L$304,MATCH(B145,الموظفات!$B$5:$B$304,0)))</f>
        <v/>
      </c>
      <c r="K145" s="36">
        <f>IF(108&gt;$B$10,"",108)</f>
        <v/>
      </c>
      <c r="L145" s="37">
        <f>IF($K145="","",INDEX('سجل التحفيز'!$A$5:$A$2004,MATCH($K145,'سجل التحفيز'!$AD$5:$AD$2004,0)))</f>
        <v/>
      </c>
      <c r="M145" s="9">
        <f>IF($K145="","",INDEX('سجل التحفيز'!$B$5:$B$2004,MATCH($K145,'سجل التحفيز'!$AD$5:$AD$2004,0)))</f>
        <v/>
      </c>
      <c r="N145" s="9">
        <f>IF($K145="","",INDEX('سجل التحفيز'!$M$5:$M$2004,MATCH($K145,'سجل التحفيز'!$AD$5:$AD$2004,0)))</f>
        <v/>
      </c>
      <c r="O145" s="9">
        <f>IF($K145="","",INDEX('سجل التحفيز'!$C$5:$C$2004,MATCH($K145,'سجل التحفيز'!$AD$5:$AD$2004,0)))</f>
        <v/>
      </c>
      <c r="P145" s="36">
        <f>IF($K145="","",INDEX('سجل التحفيز'!$D$5:$D$2004,MATCH($K145,'سجل التحفيز'!$AD$5:$AD$2004,0)))</f>
        <v/>
      </c>
      <c r="Q145" s="9">
        <f>IF($K145="","",INDEX('سجل التحفيز'!$E$5:$E$2004,MATCH($K145,'سجل التحفيز'!$AD$5:$AD$2004,0)))</f>
        <v/>
      </c>
      <c r="R145" s="9">
        <f>IF($K145="","",INDEX('سجل التحفيز'!$F$5:$F$2004,MATCH($K145,'سجل التحفيز'!$AD$5:$AD$2004,0)))</f>
        <v/>
      </c>
      <c r="S145" s="35">
        <f>IF($K145="","",INDEX('سجل التحفيز'!$G$5:$G$2004,MATCH($K145,'سجل التحفيز'!$AD$5:$AD$2004,0)))</f>
        <v/>
      </c>
    </row>
    <row r="146">
      <c r="B146" s="34">
        <f>IFERROR(INDEX(الموظفات!$B$5:$B$304,MATCH(109,الموظفات!$X$5:$X$304,0)),"")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التحفيز'!$AD$5:$AD$2004,"&gt;0",'سجل التحفيز'!$B$5:$B$2004,B146))</f>
        <v/>
      </c>
      <c r="E146" s="35">
        <f>IF(B146="","",COUNTIFS('سجل التحفيز'!$AD$5:$AD$2004,"&gt;0",'سجل التحفيز'!$B$5:$B$2004,B146,'سجل التحفيز'!$D$5:$D$2004,"ذهبي"))</f>
        <v/>
      </c>
      <c r="F146" s="35">
        <f>IF(B146="","",SUMIFS('سجل التحفيز'!$G$5:$G$2004,'سجل التحفيز'!$AD$5:$AD$2004,"&gt;0",'سجل التحفيز'!$B$5:$B$2004,B146))</f>
        <v/>
      </c>
      <c r="G146" s="35">
        <f>IF(B146="","",COUNTIF($D$38:$D$187,"&gt;"&amp;D146)+1)</f>
        <v/>
      </c>
      <c r="H146" s="35">
        <f>IF(B146="","",INDEX(الموظفات!$L$5:$L$304,MATCH(B146,الموظفات!$B$5:$B$304,0)))</f>
        <v/>
      </c>
      <c r="K146" s="36">
        <f>IF(109&gt;$B$10,"",109)</f>
        <v/>
      </c>
      <c r="L146" s="37">
        <f>IF($K146="","",INDEX('سجل التحفيز'!$A$5:$A$2004,MATCH($K146,'سجل التحفيز'!$AD$5:$AD$2004,0)))</f>
        <v/>
      </c>
      <c r="M146" s="9">
        <f>IF($K146="","",INDEX('سجل التحفيز'!$B$5:$B$2004,MATCH($K146,'سجل التحفيز'!$AD$5:$AD$2004,0)))</f>
        <v/>
      </c>
      <c r="N146" s="9">
        <f>IF($K146="","",INDEX('سجل التحفيز'!$M$5:$M$2004,MATCH($K146,'سجل التحفيز'!$AD$5:$AD$2004,0)))</f>
        <v/>
      </c>
      <c r="O146" s="9">
        <f>IF($K146="","",INDEX('سجل التحفيز'!$C$5:$C$2004,MATCH($K146,'سجل التحفيز'!$AD$5:$AD$2004,0)))</f>
        <v/>
      </c>
      <c r="P146" s="36">
        <f>IF($K146="","",INDEX('سجل التحفيز'!$D$5:$D$2004,MATCH($K146,'سجل التحفيز'!$AD$5:$AD$2004,0)))</f>
        <v/>
      </c>
      <c r="Q146" s="9">
        <f>IF($K146="","",INDEX('سجل التحفيز'!$E$5:$E$2004,MATCH($K146,'سجل التحفيز'!$AD$5:$AD$2004,0)))</f>
        <v/>
      </c>
      <c r="R146" s="9">
        <f>IF($K146="","",INDEX('سجل التحفيز'!$F$5:$F$2004,MATCH($K146,'سجل التحفيز'!$AD$5:$AD$2004,0)))</f>
        <v/>
      </c>
      <c r="S146" s="35">
        <f>IF($K146="","",INDEX('سجل التحفيز'!$G$5:$G$2004,MATCH($K146,'سجل التحفيز'!$AD$5:$AD$2004,0)))</f>
        <v/>
      </c>
    </row>
    <row r="147">
      <c r="B147" s="34">
        <f>IFERROR(INDEX(الموظفات!$B$5:$B$304,MATCH(110,الموظفات!$X$5:$X$304,0)),"")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التحفيز'!$AD$5:$AD$2004,"&gt;0",'سجل التحفيز'!$B$5:$B$2004,B147))</f>
        <v/>
      </c>
      <c r="E147" s="35">
        <f>IF(B147="","",COUNTIFS('سجل التحفيز'!$AD$5:$AD$2004,"&gt;0",'سجل التحفيز'!$B$5:$B$2004,B147,'سجل التحفيز'!$D$5:$D$2004,"ذهبي"))</f>
        <v/>
      </c>
      <c r="F147" s="35">
        <f>IF(B147="","",SUMIFS('سجل التحفيز'!$G$5:$G$2004,'سجل التحفيز'!$AD$5:$AD$2004,"&gt;0",'سجل التحفيز'!$B$5:$B$2004,B147))</f>
        <v/>
      </c>
      <c r="G147" s="35">
        <f>IF(B147="","",COUNTIF($D$38:$D$187,"&gt;"&amp;D147)+1)</f>
        <v/>
      </c>
      <c r="H147" s="35">
        <f>IF(B147="","",INDEX(الموظفات!$L$5:$L$304,MATCH(B147,الموظفات!$B$5:$B$304,0)))</f>
        <v/>
      </c>
      <c r="K147" s="36">
        <f>IF(110&gt;$B$10,"",110)</f>
        <v/>
      </c>
      <c r="L147" s="37">
        <f>IF($K147="","",INDEX('سجل التحفيز'!$A$5:$A$2004,MATCH($K147,'سجل التحفيز'!$AD$5:$AD$2004,0)))</f>
        <v/>
      </c>
      <c r="M147" s="9">
        <f>IF($K147="","",INDEX('سجل التحفيز'!$B$5:$B$2004,MATCH($K147,'سجل التحفيز'!$AD$5:$AD$2004,0)))</f>
        <v/>
      </c>
      <c r="N147" s="9">
        <f>IF($K147="","",INDEX('سجل التحفيز'!$M$5:$M$2004,MATCH($K147,'سجل التحفيز'!$AD$5:$AD$2004,0)))</f>
        <v/>
      </c>
      <c r="O147" s="9">
        <f>IF($K147="","",INDEX('سجل التحفيز'!$C$5:$C$2004,MATCH($K147,'سجل التحفيز'!$AD$5:$AD$2004,0)))</f>
        <v/>
      </c>
      <c r="P147" s="36">
        <f>IF($K147="","",INDEX('سجل التحفيز'!$D$5:$D$2004,MATCH($K147,'سجل التحفيز'!$AD$5:$AD$2004,0)))</f>
        <v/>
      </c>
      <c r="Q147" s="9">
        <f>IF($K147="","",INDEX('سجل التحفيز'!$E$5:$E$2004,MATCH($K147,'سجل التحفيز'!$AD$5:$AD$2004,0)))</f>
        <v/>
      </c>
      <c r="R147" s="9">
        <f>IF($K147="","",INDEX('سجل التحفيز'!$F$5:$F$2004,MATCH($K147,'سجل التحفيز'!$AD$5:$AD$2004,0)))</f>
        <v/>
      </c>
      <c r="S147" s="35">
        <f>IF($K147="","",INDEX('سجل التحفيز'!$G$5:$G$2004,MATCH($K147,'سجل التحفيز'!$AD$5:$AD$2004,0)))</f>
        <v/>
      </c>
    </row>
    <row r="148">
      <c r="B148" s="34">
        <f>IFERROR(INDEX(الموظفات!$B$5:$B$304,MATCH(111,الموظفات!$X$5:$X$304,0)),"")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التحفيز'!$AD$5:$AD$2004,"&gt;0",'سجل التحفيز'!$B$5:$B$2004,B148))</f>
        <v/>
      </c>
      <c r="E148" s="35">
        <f>IF(B148="","",COUNTIFS('سجل التحفيز'!$AD$5:$AD$2004,"&gt;0",'سجل التحفيز'!$B$5:$B$2004,B148,'سجل التحفيز'!$D$5:$D$2004,"ذهبي"))</f>
        <v/>
      </c>
      <c r="F148" s="35">
        <f>IF(B148="","",SUMIFS('سجل التحفيز'!$G$5:$G$2004,'سجل التحفيز'!$AD$5:$AD$2004,"&gt;0",'سجل التحفيز'!$B$5:$B$2004,B148))</f>
        <v/>
      </c>
      <c r="G148" s="35">
        <f>IF(B148="","",COUNTIF($D$38:$D$187,"&gt;"&amp;D148)+1)</f>
        <v/>
      </c>
      <c r="H148" s="35">
        <f>IF(B148="","",INDEX(الموظفات!$L$5:$L$304,MATCH(B148,الموظفات!$B$5:$B$304,0)))</f>
        <v/>
      </c>
      <c r="K148" s="36">
        <f>IF(111&gt;$B$10,"",111)</f>
        <v/>
      </c>
      <c r="L148" s="37">
        <f>IF($K148="","",INDEX('سجل التحفيز'!$A$5:$A$2004,MATCH($K148,'سجل التحفيز'!$AD$5:$AD$2004,0)))</f>
        <v/>
      </c>
      <c r="M148" s="9">
        <f>IF($K148="","",INDEX('سجل التحفيز'!$B$5:$B$2004,MATCH($K148,'سجل التحفيز'!$AD$5:$AD$2004,0)))</f>
        <v/>
      </c>
      <c r="N148" s="9">
        <f>IF($K148="","",INDEX('سجل التحفيز'!$M$5:$M$2004,MATCH($K148,'سجل التحفيز'!$AD$5:$AD$2004,0)))</f>
        <v/>
      </c>
      <c r="O148" s="9">
        <f>IF($K148="","",INDEX('سجل التحفيز'!$C$5:$C$2004,MATCH($K148,'سجل التحفيز'!$AD$5:$AD$2004,0)))</f>
        <v/>
      </c>
      <c r="P148" s="36">
        <f>IF($K148="","",INDEX('سجل التحفيز'!$D$5:$D$2004,MATCH($K148,'سجل التحفيز'!$AD$5:$AD$2004,0)))</f>
        <v/>
      </c>
      <c r="Q148" s="9">
        <f>IF($K148="","",INDEX('سجل التحفيز'!$E$5:$E$2004,MATCH($K148,'سجل التحفيز'!$AD$5:$AD$2004,0)))</f>
        <v/>
      </c>
      <c r="R148" s="9">
        <f>IF($K148="","",INDEX('سجل التحفيز'!$F$5:$F$2004,MATCH($K148,'سجل التحفيز'!$AD$5:$AD$2004,0)))</f>
        <v/>
      </c>
      <c r="S148" s="35">
        <f>IF($K148="","",INDEX('سجل التحفيز'!$G$5:$G$2004,MATCH($K148,'سجل التحفيز'!$AD$5:$AD$2004,0)))</f>
        <v/>
      </c>
    </row>
    <row r="149">
      <c r="B149" s="34">
        <f>IFERROR(INDEX(الموظفات!$B$5:$B$304,MATCH(112,الموظفات!$X$5:$X$304,0)),"")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التحفيز'!$AD$5:$AD$2004,"&gt;0",'سجل التحفيز'!$B$5:$B$2004,B149))</f>
        <v/>
      </c>
      <c r="E149" s="35">
        <f>IF(B149="","",COUNTIFS('سجل التحفيز'!$AD$5:$AD$2004,"&gt;0",'سجل التحفيز'!$B$5:$B$2004,B149,'سجل التحفيز'!$D$5:$D$2004,"ذهبي"))</f>
        <v/>
      </c>
      <c r="F149" s="35">
        <f>IF(B149="","",SUMIFS('سجل التحفيز'!$G$5:$G$2004,'سجل التحفيز'!$AD$5:$AD$2004,"&gt;0",'سجل التحفيز'!$B$5:$B$2004,B149))</f>
        <v/>
      </c>
      <c r="G149" s="35">
        <f>IF(B149="","",COUNTIF($D$38:$D$187,"&gt;"&amp;D149)+1)</f>
        <v/>
      </c>
      <c r="H149" s="35">
        <f>IF(B149="","",INDEX(الموظفات!$L$5:$L$304,MATCH(B149,الموظفات!$B$5:$B$304,0)))</f>
        <v/>
      </c>
      <c r="K149" s="36">
        <f>IF(112&gt;$B$10,"",112)</f>
        <v/>
      </c>
      <c r="L149" s="37">
        <f>IF($K149="","",INDEX('سجل التحفيز'!$A$5:$A$2004,MATCH($K149,'سجل التحفيز'!$AD$5:$AD$2004,0)))</f>
        <v/>
      </c>
      <c r="M149" s="9">
        <f>IF($K149="","",INDEX('سجل التحفيز'!$B$5:$B$2004,MATCH($K149,'سجل التحفيز'!$AD$5:$AD$2004,0)))</f>
        <v/>
      </c>
      <c r="N149" s="9">
        <f>IF($K149="","",INDEX('سجل التحفيز'!$M$5:$M$2004,MATCH($K149,'سجل التحفيز'!$AD$5:$AD$2004,0)))</f>
        <v/>
      </c>
      <c r="O149" s="9">
        <f>IF($K149="","",INDEX('سجل التحفيز'!$C$5:$C$2004,MATCH($K149,'سجل التحفيز'!$AD$5:$AD$2004,0)))</f>
        <v/>
      </c>
      <c r="P149" s="36">
        <f>IF($K149="","",INDEX('سجل التحفيز'!$D$5:$D$2004,MATCH($K149,'سجل التحفيز'!$AD$5:$AD$2004,0)))</f>
        <v/>
      </c>
      <c r="Q149" s="9">
        <f>IF($K149="","",INDEX('سجل التحفيز'!$E$5:$E$2004,MATCH($K149,'سجل التحفيز'!$AD$5:$AD$2004,0)))</f>
        <v/>
      </c>
      <c r="R149" s="9">
        <f>IF($K149="","",INDEX('سجل التحفيز'!$F$5:$F$2004,MATCH($K149,'سجل التحفيز'!$AD$5:$AD$2004,0)))</f>
        <v/>
      </c>
      <c r="S149" s="35">
        <f>IF($K149="","",INDEX('سجل التحفيز'!$G$5:$G$2004,MATCH($K149,'سجل التحفيز'!$AD$5:$AD$2004,0)))</f>
        <v/>
      </c>
    </row>
    <row r="150">
      <c r="B150" s="34">
        <f>IFERROR(INDEX(الموظفات!$B$5:$B$304,MATCH(113,الموظفات!$X$5:$X$304,0)),"")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التحفيز'!$AD$5:$AD$2004,"&gt;0",'سجل التحفيز'!$B$5:$B$2004,B150))</f>
        <v/>
      </c>
      <c r="E150" s="35">
        <f>IF(B150="","",COUNTIFS('سجل التحفيز'!$AD$5:$AD$2004,"&gt;0",'سجل التحفيز'!$B$5:$B$2004,B150,'سجل التحفيز'!$D$5:$D$2004,"ذهبي"))</f>
        <v/>
      </c>
      <c r="F150" s="35">
        <f>IF(B150="","",SUMIFS('سجل التحفيز'!$G$5:$G$2004,'سجل التحفيز'!$AD$5:$AD$2004,"&gt;0",'سجل التحفيز'!$B$5:$B$2004,B150))</f>
        <v/>
      </c>
      <c r="G150" s="35">
        <f>IF(B150="","",COUNTIF($D$38:$D$187,"&gt;"&amp;D150)+1)</f>
        <v/>
      </c>
      <c r="H150" s="35">
        <f>IF(B150="","",INDEX(الموظفات!$L$5:$L$304,MATCH(B150,الموظفات!$B$5:$B$304,0)))</f>
        <v/>
      </c>
      <c r="K150" s="36">
        <f>IF(113&gt;$B$10,"",113)</f>
        <v/>
      </c>
      <c r="L150" s="37">
        <f>IF($K150="","",INDEX('سجل التحفيز'!$A$5:$A$2004,MATCH($K150,'سجل التحفيز'!$AD$5:$AD$2004,0)))</f>
        <v/>
      </c>
      <c r="M150" s="9">
        <f>IF($K150="","",INDEX('سجل التحفيز'!$B$5:$B$2004,MATCH($K150,'سجل التحفيز'!$AD$5:$AD$2004,0)))</f>
        <v/>
      </c>
      <c r="N150" s="9">
        <f>IF($K150="","",INDEX('سجل التحفيز'!$M$5:$M$2004,MATCH($K150,'سجل التحفيز'!$AD$5:$AD$2004,0)))</f>
        <v/>
      </c>
      <c r="O150" s="9">
        <f>IF($K150="","",INDEX('سجل التحفيز'!$C$5:$C$2004,MATCH($K150,'سجل التحفيز'!$AD$5:$AD$2004,0)))</f>
        <v/>
      </c>
      <c r="P150" s="36">
        <f>IF($K150="","",INDEX('سجل التحفيز'!$D$5:$D$2004,MATCH($K150,'سجل التحفيز'!$AD$5:$AD$2004,0)))</f>
        <v/>
      </c>
      <c r="Q150" s="9">
        <f>IF($K150="","",INDEX('سجل التحفيز'!$E$5:$E$2004,MATCH($K150,'سجل التحفيز'!$AD$5:$AD$2004,0)))</f>
        <v/>
      </c>
      <c r="R150" s="9">
        <f>IF($K150="","",INDEX('سجل التحفيز'!$F$5:$F$2004,MATCH($K150,'سجل التحفيز'!$AD$5:$AD$2004,0)))</f>
        <v/>
      </c>
      <c r="S150" s="35">
        <f>IF($K150="","",INDEX('سجل التحفيز'!$G$5:$G$2004,MATCH($K150,'سجل التحفيز'!$AD$5:$AD$2004,0)))</f>
        <v/>
      </c>
    </row>
    <row r="151">
      <c r="B151" s="34">
        <f>IFERROR(INDEX(الموظفات!$B$5:$B$304,MATCH(114,الموظفات!$X$5:$X$304,0)),"")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التحفيز'!$AD$5:$AD$2004,"&gt;0",'سجل التحفيز'!$B$5:$B$2004,B151))</f>
        <v/>
      </c>
      <c r="E151" s="35">
        <f>IF(B151="","",COUNTIFS('سجل التحفيز'!$AD$5:$AD$2004,"&gt;0",'سجل التحفيز'!$B$5:$B$2004,B151,'سجل التحفيز'!$D$5:$D$2004,"ذهبي"))</f>
        <v/>
      </c>
      <c r="F151" s="35">
        <f>IF(B151="","",SUMIFS('سجل التحفيز'!$G$5:$G$2004,'سجل التحفيز'!$AD$5:$AD$2004,"&gt;0",'سجل التحفيز'!$B$5:$B$2004,B151))</f>
        <v/>
      </c>
      <c r="G151" s="35">
        <f>IF(B151="","",COUNTIF($D$38:$D$187,"&gt;"&amp;D151)+1)</f>
        <v/>
      </c>
      <c r="H151" s="35">
        <f>IF(B151="","",INDEX(الموظفات!$L$5:$L$304,MATCH(B151,الموظفات!$B$5:$B$304,0)))</f>
        <v/>
      </c>
      <c r="K151" s="36">
        <f>IF(114&gt;$B$10,"",114)</f>
        <v/>
      </c>
      <c r="L151" s="37">
        <f>IF($K151="","",INDEX('سجل التحفيز'!$A$5:$A$2004,MATCH($K151,'سجل التحفيز'!$AD$5:$AD$2004,0)))</f>
        <v/>
      </c>
      <c r="M151" s="9">
        <f>IF($K151="","",INDEX('سجل التحفيز'!$B$5:$B$2004,MATCH($K151,'سجل التحفيز'!$AD$5:$AD$2004,0)))</f>
        <v/>
      </c>
      <c r="N151" s="9">
        <f>IF($K151="","",INDEX('سجل التحفيز'!$M$5:$M$2004,MATCH($K151,'سجل التحفيز'!$AD$5:$AD$2004,0)))</f>
        <v/>
      </c>
      <c r="O151" s="9">
        <f>IF($K151="","",INDEX('سجل التحفيز'!$C$5:$C$2004,MATCH($K151,'سجل التحفيز'!$AD$5:$AD$2004,0)))</f>
        <v/>
      </c>
      <c r="P151" s="36">
        <f>IF($K151="","",INDEX('سجل التحفيز'!$D$5:$D$2004,MATCH($K151,'سجل التحفيز'!$AD$5:$AD$2004,0)))</f>
        <v/>
      </c>
      <c r="Q151" s="9">
        <f>IF($K151="","",INDEX('سجل التحفيز'!$E$5:$E$2004,MATCH($K151,'سجل التحفيز'!$AD$5:$AD$2004,0)))</f>
        <v/>
      </c>
      <c r="R151" s="9">
        <f>IF($K151="","",INDEX('سجل التحفيز'!$F$5:$F$2004,MATCH($K151,'سجل التحفيز'!$AD$5:$AD$2004,0)))</f>
        <v/>
      </c>
      <c r="S151" s="35">
        <f>IF($K151="","",INDEX('سجل التحفيز'!$G$5:$G$2004,MATCH($K151,'سجل التحفيز'!$AD$5:$AD$2004,0)))</f>
        <v/>
      </c>
    </row>
    <row r="152">
      <c r="B152" s="34">
        <f>IFERROR(INDEX(الموظفات!$B$5:$B$304,MATCH(115,الموظفات!$X$5:$X$304,0)),"")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التحفيز'!$AD$5:$AD$2004,"&gt;0",'سجل التحفيز'!$B$5:$B$2004,B152))</f>
        <v/>
      </c>
      <c r="E152" s="35">
        <f>IF(B152="","",COUNTIFS('سجل التحفيز'!$AD$5:$AD$2004,"&gt;0",'سجل التحفيز'!$B$5:$B$2004,B152,'سجل التحفيز'!$D$5:$D$2004,"ذهبي"))</f>
        <v/>
      </c>
      <c r="F152" s="35">
        <f>IF(B152="","",SUMIFS('سجل التحفيز'!$G$5:$G$2004,'سجل التحفيز'!$AD$5:$AD$2004,"&gt;0",'سجل التحفيز'!$B$5:$B$2004,B152))</f>
        <v/>
      </c>
      <c r="G152" s="35">
        <f>IF(B152="","",COUNTIF($D$38:$D$187,"&gt;"&amp;D152)+1)</f>
        <v/>
      </c>
      <c r="H152" s="35">
        <f>IF(B152="","",INDEX(الموظفات!$L$5:$L$304,MATCH(B152,الموظفات!$B$5:$B$304,0)))</f>
        <v/>
      </c>
      <c r="K152" s="36">
        <f>IF(115&gt;$B$10,"",115)</f>
        <v/>
      </c>
      <c r="L152" s="37">
        <f>IF($K152="","",INDEX('سجل التحفيز'!$A$5:$A$2004,MATCH($K152,'سجل التحفيز'!$AD$5:$AD$2004,0)))</f>
        <v/>
      </c>
      <c r="M152" s="9">
        <f>IF($K152="","",INDEX('سجل التحفيز'!$B$5:$B$2004,MATCH($K152,'سجل التحفيز'!$AD$5:$AD$2004,0)))</f>
        <v/>
      </c>
      <c r="N152" s="9">
        <f>IF($K152="","",INDEX('سجل التحفيز'!$M$5:$M$2004,MATCH($K152,'سجل التحفيز'!$AD$5:$AD$2004,0)))</f>
        <v/>
      </c>
      <c r="O152" s="9">
        <f>IF($K152="","",INDEX('سجل التحفيز'!$C$5:$C$2004,MATCH($K152,'سجل التحفيز'!$AD$5:$AD$2004,0)))</f>
        <v/>
      </c>
      <c r="P152" s="36">
        <f>IF($K152="","",INDEX('سجل التحفيز'!$D$5:$D$2004,MATCH($K152,'سجل التحفيز'!$AD$5:$AD$2004,0)))</f>
        <v/>
      </c>
      <c r="Q152" s="9">
        <f>IF($K152="","",INDEX('سجل التحفيز'!$E$5:$E$2004,MATCH($K152,'سجل التحفيز'!$AD$5:$AD$2004,0)))</f>
        <v/>
      </c>
      <c r="R152" s="9">
        <f>IF($K152="","",INDEX('سجل التحفيز'!$F$5:$F$2004,MATCH($K152,'سجل التحفيز'!$AD$5:$AD$2004,0)))</f>
        <v/>
      </c>
      <c r="S152" s="35">
        <f>IF($K152="","",INDEX('سجل التحفيز'!$G$5:$G$2004,MATCH($K152,'سجل التحفيز'!$AD$5:$AD$2004,0)))</f>
        <v/>
      </c>
    </row>
    <row r="153">
      <c r="B153" s="34">
        <f>IFERROR(INDEX(الموظفات!$B$5:$B$304,MATCH(116,الموظفات!$X$5:$X$304,0)),"")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التحفيز'!$AD$5:$AD$2004,"&gt;0",'سجل التحفيز'!$B$5:$B$2004,B153))</f>
        <v/>
      </c>
      <c r="E153" s="35">
        <f>IF(B153="","",COUNTIFS('سجل التحفيز'!$AD$5:$AD$2004,"&gt;0",'سجل التحفيز'!$B$5:$B$2004,B153,'سجل التحفيز'!$D$5:$D$2004,"ذهبي"))</f>
        <v/>
      </c>
      <c r="F153" s="35">
        <f>IF(B153="","",SUMIFS('سجل التحفيز'!$G$5:$G$2004,'سجل التحفيز'!$AD$5:$AD$2004,"&gt;0",'سجل التحفيز'!$B$5:$B$2004,B153))</f>
        <v/>
      </c>
      <c r="G153" s="35">
        <f>IF(B153="","",COUNTIF($D$38:$D$187,"&gt;"&amp;D153)+1)</f>
        <v/>
      </c>
      <c r="H153" s="35">
        <f>IF(B153="","",INDEX(الموظفات!$L$5:$L$304,MATCH(B153,الموظفات!$B$5:$B$304,0)))</f>
        <v/>
      </c>
      <c r="K153" s="36">
        <f>IF(116&gt;$B$10,"",116)</f>
        <v/>
      </c>
      <c r="L153" s="37">
        <f>IF($K153="","",INDEX('سجل التحفيز'!$A$5:$A$2004,MATCH($K153,'سجل التحفيز'!$AD$5:$AD$2004,0)))</f>
        <v/>
      </c>
      <c r="M153" s="9">
        <f>IF($K153="","",INDEX('سجل التحفيز'!$B$5:$B$2004,MATCH($K153,'سجل التحفيز'!$AD$5:$AD$2004,0)))</f>
        <v/>
      </c>
      <c r="N153" s="9">
        <f>IF($K153="","",INDEX('سجل التحفيز'!$M$5:$M$2004,MATCH($K153,'سجل التحفيز'!$AD$5:$AD$2004,0)))</f>
        <v/>
      </c>
      <c r="O153" s="9">
        <f>IF($K153="","",INDEX('سجل التحفيز'!$C$5:$C$2004,MATCH($K153,'سجل التحفيز'!$AD$5:$AD$2004,0)))</f>
        <v/>
      </c>
      <c r="P153" s="36">
        <f>IF($K153="","",INDEX('سجل التحفيز'!$D$5:$D$2004,MATCH($K153,'سجل التحفيز'!$AD$5:$AD$2004,0)))</f>
        <v/>
      </c>
      <c r="Q153" s="9">
        <f>IF($K153="","",INDEX('سجل التحفيز'!$E$5:$E$2004,MATCH($K153,'سجل التحفيز'!$AD$5:$AD$2004,0)))</f>
        <v/>
      </c>
      <c r="R153" s="9">
        <f>IF($K153="","",INDEX('سجل التحفيز'!$F$5:$F$2004,MATCH($K153,'سجل التحفيز'!$AD$5:$AD$2004,0)))</f>
        <v/>
      </c>
      <c r="S153" s="35">
        <f>IF($K153="","",INDEX('سجل التحفيز'!$G$5:$G$2004,MATCH($K153,'سجل التحفيز'!$AD$5:$AD$2004,0)))</f>
        <v/>
      </c>
    </row>
    <row r="154">
      <c r="B154" s="34">
        <f>IFERROR(INDEX(الموظفات!$B$5:$B$304,MATCH(117,الموظفات!$X$5:$X$304,0)),"")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التحفيز'!$AD$5:$AD$2004,"&gt;0",'سجل التحفيز'!$B$5:$B$2004,B154))</f>
        <v/>
      </c>
      <c r="E154" s="35">
        <f>IF(B154="","",COUNTIFS('سجل التحفيز'!$AD$5:$AD$2004,"&gt;0",'سجل التحفيز'!$B$5:$B$2004,B154,'سجل التحفيز'!$D$5:$D$2004,"ذهبي"))</f>
        <v/>
      </c>
      <c r="F154" s="35">
        <f>IF(B154="","",SUMIFS('سجل التحفيز'!$G$5:$G$2004,'سجل التحفيز'!$AD$5:$AD$2004,"&gt;0",'سجل التحفيز'!$B$5:$B$2004,B154))</f>
        <v/>
      </c>
      <c r="G154" s="35">
        <f>IF(B154="","",COUNTIF($D$38:$D$187,"&gt;"&amp;D154)+1)</f>
        <v/>
      </c>
      <c r="H154" s="35">
        <f>IF(B154="","",INDEX(الموظفات!$L$5:$L$304,MATCH(B154,الموظفات!$B$5:$B$304,0)))</f>
        <v/>
      </c>
      <c r="K154" s="36">
        <f>IF(117&gt;$B$10,"",117)</f>
        <v/>
      </c>
      <c r="L154" s="37">
        <f>IF($K154="","",INDEX('سجل التحفيز'!$A$5:$A$2004,MATCH($K154,'سجل التحفيز'!$AD$5:$AD$2004,0)))</f>
        <v/>
      </c>
      <c r="M154" s="9">
        <f>IF($K154="","",INDEX('سجل التحفيز'!$B$5:$B$2004,MATCH($K154,'سجل التحفيز'!$AD$5:$AD$2004,0)))</f>
        <v/>
      </c>
      <c r="N154" s="9">
        <f>IF($K154="","",INDEX('سجل التحفيز'!$M$5:$M$2004,MATCH($K154,'سجل التحفيز'!$AD$5:$AD$2004,0)))</f>
        <v/>
      </c>
      <c r="O154" s="9">
        <f>IF($K154="","",INDEX('سجل التحفيز'!$C$5:$C$2004,MATCH($K154,'سجل التحفيز'!$AD$5:$AD$2004,0)))</f>
        <v/>
      </c>
      <c r="P154" s="36">
        <f>IF($K154="","",INDEX('سجل التحفيز'!$D$5:$D$2004,MATCH($K154,'سجل التحفيز'!$AD$5:$AD$2004,0)))</f>
        <v/>
      </c>
      <c r="Q154" s="9">
        <f>IF($K154="","",INDEX('سجل التحفيز'!$E$5:$E$2004,MATCH($K154,'سجل التحفيز'!$AD$5:$AD$2004,0)))</f>
        <v/>
      </c>
      <c r="R154" s="9">
        <f>IF($K154="","",INDEX('سجل التحفيز'!$F$5:$F$2004,MATCH($K154,'سجل التحفيز'!$AD$5:$AD$2004,0)))</f>
        <v/>
      </c>
      <c r="S154" s="35">
        <f>IF($K154="","",INDEX('سجل التحفيز'!$G$5:$G$2004,MATCH($K154,'سجل التحفيز'!$AD$5:$AD$2004,0)))</f>
        <v/>
      </c>
    </row>
    <row r="155">
      <c r="B155" s="34">
        <f>IFERROR(INDEX(الموظفات!$B$5:$B$304,MATCH(118,الموظفات!$X$5:$X$304,0)),"")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التحفيز'!$AD$5:$AD$2004,"&gt;0",'سجل التحفيز'!$B$5:$B$2004,B155))</f>
        <v/>
      </c>
      <c r="E155" s="35">
        <f>IF(B155="","",COUNTIFS('سجل التحفيز'!$AD$5:$AD$2004,"&gt;0",'سجل التحفيز'!$B$5:$B$2004,B155,'سجل التحفيز'!$D$5:$D$2004,"ذهبي"))</f>
        <v/>
      </c>
      <c r="F155" s="35">
        <f>IF(B155="","",SUMIFS('سجل التحفيز'!$G$5:$G$2004,'سجل التحفيز'!$AD$5:$AD$2004,"&gt;0",'سجل التحفيز'!$B$5:$B$2004,B155))</f>
        <v/>
      </c>
      <c r="G155" s="35">
        <f>IF(B155="","",COUNTIF($D$38:$D$187,"&gt;"&amp;D155)+1)</f>
        <v/>
      </c>
      <c r="H155" s="35">
        <f>IF(B155="","",INDEX(الموظفات!$L$5:$L$304,MATCH(B155,الموظفات!$B$5:$B$304,0)))</f>
        <v/>
      </c>
      <c r="K155" s="36">
        <f>IF(118&gt;$B$10,"",118)</f>
        <v/>
      </c>
      <c r="L155" s="37">
        <f>IF($K155="","",INDEX('سجل التحفيز'!$A$5:$A$2004,MATCH($K155,'سجل التحفيز'!$AD$5:$AD$2004,0)))</f>
        <v/>
      </c>
      <c r="M155" s="9">
        <f>IF($K155="","",INDEX('سجل التحفيز'!$B$5:$B$2004,MATCH($K155,'سجل التحفيز'!$AD$5:$AD$2004,0)))</f>
        <v/>
      </c>
      <c r="N155" s="9">
        <f>IF($K155="","",INDEX('سجل التحفيز'!$M$5:$M$2004,MATCH($K155,'سجل التحفيز'!$AD$5:$AD$2004,0)))</f>
        <v/>
      </c>
      <c r="O155" s="9">
        <f>IF($K155="","",INDEX('سجل التحفيز'!$C$5:$C$2004,MATCH($K155,'سجل التحفيز'!$AD$5:$AD$2004,0)))</f>
        <v/>
      </c>
      <c r="P155" s="36">
        <f>IF($K155="","",INDEX('سجل التحفيز'!$D$5:$D$2004,MATCH($K155,'سجل التحفيز'!$AD$5:$AD$2004,0)))</f>
        <v/>
      </c>
      <c r="Q155" s="9">
        <f>IF($K155="","",INDEX('سجل التحفيز'!$E$5:$E$2004,MATCH($K155,'سجل التحفيز'!$AD$5:$AD$2004,0)))</f>
        <v/>
      </c>
      <c r="R155" s="9">
        <f>IF($K155="","",INDEX('سجل التحفيز'!$F$5:$F$2004,MATCH($K155,'سجل التحفيز'!$AD$5:$AD$2004,0)))</f>
        <v/>
      </c>
      <c r="S155" s="35">
        <f>IF($K155="","",INDEX('سجل التحفيز'!$G$5:$G$2004,MATCH($K155,'سجل التحفيز'!$AD$5:$AD$2004,0)))</f>
        <v/>
      </c>
    </row>
    <row r="156">
      <c r="B156" s="34">
        <f>IFERROR(INDEX(الموظفات!$B$5:$B$304,MATCH(119,الموظفات!$X$5:$X$304,0)),"")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التحفيز'!$AD$5:$AD$2004,"&gt;0",'سجل التحفيز'!$B$5:$B$2004,B156))</f>
        <v/>
      </c>
      <c r="E156" s="35">
        <f>IF(B156="","",COUNTIFS('سجل التحفيز'!$AD$5:$AD$2004,"&gt;0",'سجل التحفيز'!$B$5:$B$2004,B156,'سجل التحفيز'!$D$5:$D$2004,"ذهبي"))</f>
        <v/>
      </c>
      <c r="F156" s="35">
        <f>IF(B156="","",SUMIFS('سجل التحفيز'!$G$5:$G$2004,'سجل التحفيز'!$AD$5:$AD$2004,"&gt;0",'سجل التحفيز'!$B$5:$B$2004,B156))</f>
        <v/>
      </c>
      <c r="G156" s="35">
        <f>IF(B156="","",COUNTIF($D$38:$D$187,"&gt;"&amp;D156)+1)</f>
        <v/>
      </c>
      <c r="H156" s="35">
        <f>IF(B156="","",INDEX(الموظفات!$L$5:$L$304,MATCH(B156,الموظفات!$B$5:$B$304,0)))</f>
        <v/>
      </c>
      <c r="K156" s="36">
        <f>IF(119&gt;$B$10,"",119)</f>
        <v/>
      </c>
      <c r="L156" s="37">
        <f>IF($K156="","",INDEX('سجل التحفيز'!$A$5:$A$2004,MATCH($K156,'سجل التحفيز'!$AD$5:$AD$2004,0)))</f>
        <v/>
      </c>
      <c r="M156" s="9">
        <f>IF($K156="","",INDEX('سجل التحفيز'!$B$5:$B$2004,MATCH($K156,'سجل التحفيز'!$AD$5:$AD$2004,0)))</f>
        <v/>
      </c>
      <c r="N156" s="9">
        <f>IF($K156="","",INDEX('سجل التحفيز'!$M$5:$M$2004,MATCH($K156,'سجل التحفيز'!$AD$5:$AD$2004,0)))</f>
        <v/>
      </c>
      <c r="O156" s="9">
        <f>IF($K156="","",INDEX('سجل التحفيز'!$C$5:$C$2004,MATCH($K156,'سجل التحفيز'!$AD$5:$AD$2004,0)))</f>
        <v/>
      </c>
      <c r="P156" s="36">
        <f>IF($K156="","",INDEX('سجل التحفيز'!$D$5:$D$2004,MATCH($K156,'سجل التحفيز'!$AD$5:$AD$2004,0)))</f>
        <v/>
      </c>
      <c r="Q156" s="9">
        <f>IF($K156="","",INDEX('سجل التحفيز'!$E$5:$E$2004,MATCH($K156,'سجل التحفيز'!$AD$5:$AD$2004,0)))</f>
        <v/>
      </c>
      <c r="R156" s="9">
        <f>IF($K156="","",INDEX('سجل التحفيز'!$F$5:$F$2004,MATCH($K156,'سجل التحفيز'!$AD$5:$AD$2004,0)))</f>
        <v/>
      </c>
      <c r="S156" s="35">
        <f>IF($K156="","",INDEX('سجل التحفيز'!$G$5:$G$2004,MATCH($K156,'سجل التحفيز'!$AD$5:$AD$2004,0)))</f>
        <v/>
      </c>
    </row>
    <row r="157">
      <c r="B157" s="34">
        <f>IFERROR(INDEX(الموظفات!$B$5:$B$304,MATCH(120,الموظفات!$X$5:$X$304,0)),"")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التحفيز'!$AD$5:$AD$2004,"&gt;0",'سجل التحفيز'!$B$5:$B$2004,B157))</f>
        <v/>
      </c>
      <c r="E157" s="35">
        <f>IF(B157="","",COUNTIFS('سجل التحفيز'!$AD$5:$AD$2004,"&gt;0",'سجل التحفيز'!$B$5:$B$2004,B157,'سجل التحفيز'!$D$5:$D$2004,"ذهبي"))</f>
        <v/>
      </c>
      <c r="F157" s="35">
        <f>IF(B157="","",SUMIFS('سجل التحفيز'!$G$5:$G$2004,'سجل التحفيز'!$AD$5:$AD$2004,"&gt;0",'سجل التحفيز'!$B$5:$B$2004,B157))</f>
        <v/>
      </c>
      <c r="G157" s="35">
        <f>IF(B157="","",COUNTIF($D$38:$D$187,"&gt;"&amp;D157)+1)</f>
        <v/>
      </c>
      <c r="H157" s="35">
        <f>IF(B157="","",INDEX(الموظفات!$L$5:$L$304,MATCH(B157,الموظفات!$B$5:$B$304,0)))</f>
        <v/>
      </c>
      <c r="K157" s="36">
        <f>IF(120&gt;$B$10,"",120)</f>
        <v/>
      </c>
      <c r="L157" s="37">
        <f>IF($K157="","",INDEX('سجل التحفيز'!$A$5:$A$2004,MATCH($K157,'سجل التحفيز'!$AD$5:$AD$2004,0)))</f>
        <v/>
      </c>
      <c r="M157" s="9">
        <f>IF($K157="","",INDEX('سجل التحفيز'!$B$5:$B$2004,MATCH($K157,'سجل التحفيز'!$AD$5:$AD$2004,0)))</f>
        <v/>
      </c>
      <c r="N157" s="9">
        <f>IF($K157="","",INDEX('سجل التحفيز'!$M$5:$M$2004,MATCH($K157,'سجل التحفيز'!$AD$5:$AD$2004,0)))</f>
        <v/>
      </c>
      <c r="O157" s="9">
        <f>IF($K157="","",INDEX('سجل التحفيز'!$C$5:$C$2004,MATCH($K157,'سجل التحفيز'!$AD$5:$AD$2004,0)))</f>
        <v/>
      </c>
      <c r="P157" s="36">
        <f>IF($K157="","",INDEX('سجل التحفيز'!$D$5:$D$2004,MATCH($K157,'سجل التحفيز'!$AD$5:$AD$2004,0)))</f>
        <v/>
      </c>
      <c r="Q157" s="9">
        <f>IF($K157="","",INDEX('سجل التحفيز'!$E$5:$E$2004,MATCH($K157,'سجل التحفيز'!$AD$5:$AD$2004,0)))</f>
        <v/>
      </c>
      <c r="R157" s="9">
        <f>IF($K157="","",INDEX('سجل التحفيز'!$F$5:$F$2004,MATCH($K157,'سجل التحفيز'!$AD$5:$AD$2004,0)))</f>
        <v/>
      </c>
      <c r="S157" s="35">
        <f>IF($K157="","",INDEX('سجل التحفيز'!$G$5:$G$2004,MATCH($K157,'سجل التحفيز'!$AD$5:$AD$2004,0)))</f>
        <v/>
      </c>
    </row>
    <row r="158">
      <c r="B158" s="34">
        <f>IFERROR(INDEX(الموظفات!$B$5:$B$304,MATCH(121,الموظفات!$X$5:$X$304,0)),"")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التحفيز'!$AD$5:$AD$2004,"&gt;0",'سجل التحفيز'!$B$5:$B$2004,B158))</f>
        <v/>
      </c>
      <c r="E158" s="35">
        <f>IF(B158="","",COUNTIFS('سجل التحفيز'!$AD$5:$AD$2004,"&gt;0",'سجل التحفيز'!$B$5:$B$2004,B158,'سجل التحفيز'!$D$5:$D$2004,"ذهبي"))</f>
        <v/>
      </c>
      <c r="F158" s="35">
        <f>IF(B158="","",SUMIFS('سجل التحفيز'!$G$5:$G$2004,'سجل التحفيز'!$AD$5:$AD$2004,"&gt;0",'سجل التحفيز'!$B$5:$B$2004,B158))</f>
        <v/>
      </c>
      <c r="G158" s="35">
        <f>IF(B158="","",COUNTIF($D$38:$D$187,"&gt;"&amp;D158)+1)</f>
        <v/>
      </c>
      <c r="H158" s="35">
        <f>IF(B158="","",INDEX(الموظفات!$L$5:$L$304,MATCH(B158,الموظفات!$B$5:$B$304,0)))</f>
        <v/>
      </c>
      <c r="K158" s="36">
        <f>IF(121&gt;$B$10,"",121)</f>
        <v/>
      </c>
      <c r="L158" s="37">
        <f>IF($K158="","",INDEX('سجل التحفيز'!$A$5:$A$2004,MATCH($K158,'سجل التحفيز'!$AD$5:$AD$2004,0)))</f>
        <v/>
      </c>
      <c r="M158" s="9">
        <f>IF($K158="","",INDEX('سجل التحفيز'!$B$5:$B$2004,MATCH($K158,'سجل التحفيز'!$AD$5:$AD$2004,0)))</f>
        <v/>
      </c>
      <c r="N158" s="9">
        <f>IF($K158="","",INDEX('سجل التحفيز'!$M$5:$M$2004,MATCH($K158,'سجل التحفيز'!$AD$5:$AD$2004,0)))</f>
        <v/>
      </c>
      <c r="O158" s="9">
        <f>IF($K158="","",INDEX('سجل التحفيز'!$C$5:$C$2004,MATCH($K158,'سجل التحفيز'!$AD$5:$AD$2004,0)))</f>
        <v/>
      </c>
      <c r="P158" s="36">
        <f>IF($K158="","",INDEX('سجل التحفيز'!$D$5:$D$2004,MATCH($K158,'سجل التحفيز'!$AD$5:$AD$2004,0)))</f>
        <v/>
      </c>
      <c r="Q158" s="9">
        <f>IF($K158="","",INDEX('سجل التحفيز'!$E$5:$E$2004,MATCH($K158,'سجل التحفيز'!$AD$5:$AD$2004,0)))</f>
        <v/>
      </c>
      <c r="R158" s="9">
        <f>IF($K158="","",INDEX('سجل التحفيز'!$F$5:$F$2004,MATCH($K158,'سجل التحفيز'!$AD$5:$AD$2004,0)))</f>
        <v/>
      </c>
      <c r="S158" s="35">
        <f>IF($K158="","",INDEX('سجل التحفيز'!$G$5:$G$2004,MATCH($K158,'سجل التحفيز'!$AD$5:$AD$2004,0)))</f>
        <v/>
      </c>
    </row>
    <row r="159">
      <c r="B159" s="34">
        <f>IFERROR(INDEX(الموظفات!$B$5:$B$304,MATCH(122,الموظفات!$X$5:$X$304,0)),"")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التحفيز'!$AD$5:$AD$2004,"&gt;0",'سجل التحفيز'!$B$5:$B$2004,B159))</f>
        <v/>
      </c>
      <c r="E159" s="35">
        <f>IF(B159="","",COUNTIFS('سجل التحفيز'!$AD$5:$AD$2004,"&gt;0",'سجل التحفيز'!$B$5:$B$2004,B159,'سجل التحفيز'!$D$5:$D$2004,"ذهبي"))</f>
        <v/>
      </c>
      <c r="F159" s="35">
        <f>IF(B159="","",SUMIFS('سجل التحفيز'!$G$5:$G$2004,'سجل التحفيز'!$AD$5:$AD$2004,"&gt;0",'سجل التحفيز'!$B$5:$B$2004,B159))</f>
        <v/>
      </c>
      <c r="G159" s="35">
        <f>IF(B159="","",COUNTIF($D$38:$D$187,"&gt;"&amp;D159)+1)</f>
        <v/>
      </c>
      <c r="H159" s="35">
        <f>IF(B159="","",INDEX(الموظفات!$L$5:$L$304,MATCH(B159,الموظفات!$B$5:$B$304,0)))</f>
        <v/>
      </c>
      <c r="K159" s="36">
        <f>IF(122&gt;$B$10,"",122)</f>
        <v/>
      </c>
      <c r="L159" s="37">
        <f>IF($K159="","",INDEX('سجل التحفيز'!$A$5:$A$2004,MATCH($K159,'سجل التحفيز'!$AD$5:$AD$2004,0)))</f>
        <v/>
      </c>
      <c r="M159" s="9">
        <f>IF($K159="","",INDEX('سجل التحفيز'!$B$5:$B$2004,MATCH($K159,'سجل التحفيز'!$AD$5:$AD$2004,0)))</f>
        <v/>
      </c>
      <c r="N159" s="9">
        <f>IF($K159="","",INDEX('سجل التحفيز'!$M$5:$M$2004,MATCH($K159,'سجل التحفيز'!$AD$5:$AD$2004,0)))</f>
        <v/>
      </c>
      <c r="O159" s="9">
        <f>IF($K159="","",INDEX('سجل التحفيز'!$C$5:$C$2004,MATCH($K159,'سجل التحفيز'!$AD$5:$AD$2004,0)))</f>
        <v/>
      </c>
      <c r="P159" s="36">
        <f>IF($K159="","",INDEX('سجل التحفيز'!$D$5:$D$2004,MATCH($K159,'سجل التحفيز'!$AD$5:$AD$2004,0)))</f>
        <v/>
      </c>
      <c r="Q159" s="9">
        <f>IF($K159="","",INDEX('سجل التحفيز'!$E$5:$E$2004,MATCH($K159,'سجل التحفيز'!$AD$5:$AD$2004,0)))</f>
        <v/>
      </c>
      <c r="R159" s="9">
        <f>IF($K159="","",INDEX('سجل التحفيز'!$F$5:$F$2004,MATCH($K159,'سجل التحفيز'!$AD$5:$AD$2004,0)))</f>
        <v/>
      </c>
      <c r="S159" s="35">
        <f>IF($K159="","",INDEX('سجل التحفيز'!$G$5:$G$2004,MATCH($K159,'سجل التحفيز'!$AD$5:$AD$2004,0)))</f>
        <v/>
      </c>
    </row>
    <row r="160">
      <c r="B160" s="34">
        <f>IFERROR(INDEX(الموظفات!$B$5:$B$304,MATCH(123,الموظفات!$X$5:$X$304,0)),"")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التحفيز'!$AD$5:$AD$2004,"&gt;0",'سجل التحفيز'!$B$5:$B$2004,B160))</f>
        <v/>
      </c>
      <c r="E160" s="35">
        <f>IF(B160="","",COUNTIFS('سجل التحفيز'!$AD$5:$AD$2004,"&gt;0",'سجل التحفيز'!$B$5:$B$2004,B160,'سجل التحفيز'!$D$5:$D$2004,"ذهبي"))</f>
        <v/>
      </c>
      <c r="F160" s="35">
        <f>IF(B160="","",SUMIFS('سجل التحفيز'!$G$5:$G$2004,'سجل التحفيز'!$AD$5:$AD$2004,"&gt;0",'سجل التحفيز'!$B$5:$B$2004,B160))</f>
        <v/>
      </c>
      <c r="G160" s="35">
        <f>IF(B160="","",COUNTIF($D$38:$D$187,"&gt;"&amp;D160)+1)</f>
        <v/>
      </c>
      <c r="H160" s="35">
        <f>IF(B160="","",INDEX(الموظفات!$L$5:$L$304,MATCH(B160,الموظفات!$B$5:$B$304,0)))</f>
        <v/>
      </c>
      <c r="K160" s="36">
        <f>IF(123&gt;$B$10,"",123)</f>
        <v/>
      </c>
      <c r="L160" s="37">
        <f>IF($K160="","",INDEX('سجل التحفيز'!$A$5:$A$2004,MATCH($K160,'سجل التحفيز'!$AD$5:$AD$2004,0)))</f>
        <v/>
      </c>
      <c r="M160" s="9">
        <f>IF($K160="","",INDEX('سجل التحفيز'!$B$5:$B$2004,MATCH($K160,'سجل التحفيز'!$AD$5:$AD$2004,0)))</f>
        <v/>
      </c>
      <c r="N160" s="9">
        <f>IF($K160="","",INDEX('سجل التحفيز'!$M$5:$M$2004,MATCH($K160,'سجل التحفيز'!$AD$5:$AD$2004,0)))</f>
        <v/>
      </c>
      <c r="O160" s="9">
        <f>IF($K160="","",INDEX('سجل التحفيز'!$C$5:$C$2004,MATCH($K160,'سجل التحفيز'!$AD$5:$AD$2004,0)))</f>
        <v/>
      </c>
      <c r="P160" s="36">
        <f>IF($K160="","",INDEX('سجل التحفيز'!$D$5:$D$2004,MATCH($K160,'سجل التحفيز'!$AD$5:$AD$2004,0)))</f>
        <v/>
      </c>
      <c r="Q160" s="9">
        <f>IF($K160="","",INDEX('سجل التحفيز'!$E$5:$E$2004,MATCH($K160,'سجل التحفيز'!$AD$5:$AD$2004,0)))</f>
        <v/>
      </c>
      <c r="R160" s="9">
        <f>IF($K160="","",INDEX('سجل التحفيز'!$F$5:$F$2004,MATCH($K160,'سجل التحفيز'!$AD$5:$AD$2004,0)))</f>
        <v/>
      </c>
      <c r="S160" s="35">
        <f>IF($K160="","",INDEX('سجل التحفيز'!$G$5:$G$2004,MATCH($K160,'سجل التحفيز'!$AD$5:$AD$2004,0)))</f>
        <v/>
      </c>
    </row>
    <row r="161">
      <c r="B161" s="34">
        <f>IFERROR(INDEX(الموظفات!$B$5:$B$304,MATCH(124,الموظفات!$X$5:$X$304,0)),"")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التحفيز'!$AD$5:$AD$2004,"&gt;0",'سجل التحفيز'!$B$5:$B$2004,B161))</f>
        <v/>
      </c>
      <c r="E161" s="35">
        <f>IF(B161="","",COUNTIFS('سجل التحفيز'!$AD$5:$AD$2004,"&gt;0",'سجل التحفيز'!$B$5:$B$2004,B161,'سجل التحفيز'!$D$5:$D$2004,"ذهبي"))</f>
        <v/>
      </c>
      <c r="F161" s="35">
        <f>IF(B161="","",SUMIFS('سجل التحفيز'!$G$5:$G$2004,'سجل التحفيز'!$AD$5:$AD$2004,"&gt;0",'سجل التحفيز'!$B$5:$B$2004,B161))</f>
        <v/>
      </c>
      <c r="G161" s="35">
        <f>IF(B161="","",COUNTIF($D$38:$D$187,"&gt;"&amp;D161)+1)</f>
        <v/>
      </c>
      <c r="H161" s="35">
        <f>IF(B161="","",INDEX(الموظفات!$L$5:$L$304,MATCH(B161,الموظفات!$B$5:$B$304,0)))</f>
        <v/>
      </c>
      <c r="K161" s="36">
        <f>IF(124&gt;$B$10,"",124)</f>
        <v/>
      </c>
      <c r="L161" s="37">
        <f>IF($K161="","",INDEX('سجل التحفيز'!$A$5:$A$2004,MATCH($K161,'سجل التحفيز'!$AD$5:$AD$2004,0)))</f>
        <v/>
      </c>
      <c r="M161" s="9">
        <f>IF($K161="","",INDEX('سجل التحفيز'!$B$5:$B$2004,MATCH($K161,'سجل التحفيز'!$AD$5:$AD$2004,0)))</f>
        <v/>
      </c>
      <c r="N161" s="9">
        <f>IF($K161="","",INDEX('سجل التحفيز'!$M$5:$M$2004,MATCH($K161,'سجل التحفيز'!$AD$5:$AD$2004,0)))</f>
        <v/>
      </c>
      <c r="O161" s="9">
        <f>IF($K161="","",INDEX('سجل التحفيز'!$C$5:$C$2004,MATCH($K161,'سجل التحفيز'!$AD$5:$AD$2004,0)))</f>
        <v/>
      </c>
      <c r="P161" s="36">
        <f>IF($K161="","",INDEX('سجل التحفيز'!$D$5:$D$2004,MATCH($K161,'سجل التحفيز'!$AD$5:$AD$2004,0)))</f>
        <v/>
      </c>
      <c r="Q161" s="9">
        <f>IF($K161="","",INDEX('سجل التحفيز'!$E$5:$E$2004,MATCH($K161,'سجل التحفيز'!$AD$5:$AD$2004,0)))</f>
        <v/>
      </c>
      <c r="R161" s="9">
        <f>IF($K161="","",INDEX('سجل التحفيز'!$F$5:$F$2004,MATCH($K161,'سجل التحفيز'!$AD$5:$AD$2004,0)))</f>
        <v/>
      </c>
      <c r="S161" s="35">
        <f>IF($K161="","",INDEX('سجل التحفيز'!$G$5:$G$2004,MATCH($K161,'سجل التحفيز'!$AD$5:$AD$2004,0)))</f>
        <v/>
      </c>
    </row>
    <row r="162">
      <c r="B162" s="34">
        <f>IFERROR(INDEX(الموظفات!$B$5:$B$304,MATCH(125,الموظفات!$X$5:$X$304,0)),"")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التحفيز'!$AD$5:$AD$2004,"&gt;0",'سجل التحفيز'!$B$5:$B$2004,B162))</f>
        <v/>
      </c>
      <c r="E162" s="35">
        <f>IF(B162="","",COUNTIFS('سجل التحفيز'!$AD$5:$AD$2004,"&gt;0",'سجل التحفيز'!$B$5:$B$2004,B162,'سجل التحفيز'!$D$5:$D$2004,"ذهبي"))</f>
        <v/>
      </c>
      <c r="F162" s="35">
        <f>IF(B162="","",SUMIFS('سجل التحفيز'!$G$5:$G$2004,'سجل التحفيز'!$AD$5:$AD$2004,"&gt;0",'سجل التحفيز'!$B$5:$B$2004,B162))</f>
        <v/>
      </c>
      <c r="G162" s="35">
        <f>IF(B162="","",COUNTIF($D$38:$D$187,"&gt;"&amp;D162)+1)</f>
        <v/>
      </c>
      <c r="H162" s="35">
        <f>IF(B162="","",INDEX(الموظفات!$L$5:$L$304,MATCH(B162,الموظفات!$B$5:$B$304,0)))</f>
        <v/>
      </c>
      <c r="K162" s="36">
        <f>IF(125&gt;$B$10,"",125)</f>
        <v/>
      </c>
      <c r="L162" s="37">
        <f>IF($K162="","",INDEX('سجل التحفيز'!$A$5:$A$2004,MATCH($K162,'سجل التحفيز'!$AD$5:$AD$2004,0)))</f>
        <v/>
      </c>
      <c r="M162" s="9">
        <f>IF($K162="","",INDEX('سجل التحفيز'!$B$5:$B$2004,MATCH($K162,'سجل التحفيز'!$AD$5:$AD$2004,0)))</f>
        <v/>
      </c>
      <c r="N162" s="9">
        <f>IF($K162="","",INDEX('سجل التحفيز'!$M$5:$M$2004,MATCH($K162,'سجل التحفيز'!$AD$5:$AD$2004,0)))</f>
        <v/>
      </c>
      <c r="O162" s="9">
        <f>IF($K162="","",INDEX('سجل التحفيز'!$C$5:$C$2004,MATCH($K162,'سجل التحفيز'!$AD$5:$AD$2004,0)))</f>
        <v/>
      </c>
      <c r="P162" s="36">
        <f>IF($K162="","",INDEX('سجل التحفيز'!$D$5:$D$2004,MATCH($K162,'سجل التحفيز'!$AD$5:$AD$2004,0)))</f>
        <v/>
      </c>
      <c r="Q162" s="9">
        <f>IF($K162="","",INDEX('سجل التحفيز'!$E$5:$E$2004,MATCH($K162,'سجل التحفيز'!$AD$5:$AD$2004,0)))</f>
        <v/>
      </c>
      <c r="R162" s="9">
        <f>IF($K162="","",INDEX('سجل التحفيز'!$F$5:$F$2004,MATCH($K162,'سجل التحفيز'!$AD$5:$AD$2004,0)))</f>
        <v/>
      </c>
      <c r="S162" s="35">
        <f>IF($K162="","",INDEX('سجل التحفيز'!$G$5:$G$2004,MATCH($K162,'سجل التحفيز'!$AD$5:$AD$2004,0)))</f>
        <v/>
      </c>
    </row>
    <row r="163">
      <c r="B163" s="34">
        <f>IFERROR(INDEX(الموظفات!$B$5:$B$304,MATCH(126,الموظفات!$X$5:$X$304,0)),"")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التحفيز'!$AD$5:$AD$2004,"&gt;0",'سجل التحفيز'!$B$5:$B$2004,B163))</f>
        <v/>
      </c>
      <c r="E163" s="35">
        <f>IF(B163="","",COUNTIFS('سجل التحفيز'!$AD$5:$AD$2004,"&gt;0",'سجل التحفيز'!$B$5:$B$2004,B163,'سجل التحفيز'!$D$5:$D$2004,"ذهبي"))</f>
        <v/>
      </c>
      <c r="F163" s="35">
        <f>IF(B163="","",SUMIFS('سجل التحفيز'!$G$5:$G$2004,'سجل التحفيز'!$AD$5:$AD$2004,"&gt;0",'سجل التحفيز'!$B$5:$B$2004,B163))</f>
        <v/>
      </c>
      <c r="G163" s="35">
        <f>IF(B163="","",COUNTIF($D$38:$D$187,"&gt;"&amp;D163)+1)</f>
        <v/>
      </c>
      <c r="H163" s="35">
        <f>IF(B163="","",INDEX(الموظفات!$L$5:$L$304,MATCH(B163,الموظفات!$B$5:$B$304,0)))</f>
        <v/>
      </c>
      <c r="K163" s="36">
        <f>IF(126&gt;$B$10,"",126)</f>
        <v/>
      </c>
      <c r="L163" s="37">
        <f>IF($K163="","",INDEX('سجل التحفيز'!$A$5:$A$2004,MATCH($K163,'سجل التحفيز'!$AD$5:$AD$2004,0)))</f>
        <v/>
      </c>
      <c r="M163" s="9">
        <f>IF($K163="","",INDEX('سجل التحفيز'!$B$5:$B$2004,MATCH($K163,'سجل التحفيز'!$AD$5:$AD$2004,0)))</f>
        <v/>
      </c>
      <c r="N163" s="9">
        <f>IF($K163="","",INDEX('سجل التحفيز'!$M$5:$M$2004,MATCH($K163,'سجل التحفيز'!$AD$5:$AD$2004,0)))</f>
        <v/>
      </c>
      <c r="O163" s="9">
        <f>IF($K163="","",INDEX('سجل التحفيز'!$C$5:$C$2004,MATCH($K163,'سجل التحفيز'!$AD$5:$AD$2004,0)))</f>
        <v/>
      </c>
      <c r="P163" s="36">
        <f>IF($K163="","",INDEX('سجل التحفيز'!$D$5:$D$2004,MATCH($K163,'سجل التحفيز'!$AD$5:$AD$2004,0)))</f>
        <v/>
      </c>
      <c r="Q163" s="9">
        <f>IF($K163="","",INDEX('سجل التحفيز'!$E$5:$E$2004,MATCH($K163,'سجل التحفيز'!$AD$5:$AD$2004,0)))</f>
        <v/>
      </c>
      <c r="R163" s="9">
        <f>IF($K163="","",INDEX('سجل التحفيز'!$F$5:$F$2004,MATCH($K163,'سجل التحفيز'!$AD$5:$AD$2004,0)))</f>
        <v/>
      </c>
      <c r="S163" s="35">
        <f>IF($K163="","",INDEX('سجل التحفيز'!$G$5:$G$2004,MATCH($K163,'سجل التحفيز'!$AD$5:$AD$2004,0)))</f>
        <v/>
      </c>
    </row>
    <row r="164">
      <c r="B164" s="34">
        <f>IFERROR(INDEX(الموظفات!$B$5:$B$304,MATCH(127,الموظفات!$X$5:$X$304,0)),"")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التحفيز'!$AD$5:$AD$2004,"&gt;0",'سجل التحفيز'!$B$5:$B$2004,B164))</f>
        <v/>
      </c>
      <c r="E164" s="35">
        <f>IF(B164="","",COUNTIFS('سجل التحفيز'!$AD$5:$AD$2004,"&gt;0",'سجل التحفيز'!$B$5:$B$2004,B164,'سجل التحفيز'!$D$5:$D$2004,"ذهبي"))</f>
        <v/>
      </c>
      <c r="F164" s="35">
        <f>IF(B164="","",SUMIFS('سجل التحفيز'!$G$5:$G$2004,'سجل التحفيز'!$AD$5:$AD$2004,"&gt;0",'سجل التحفيز'!$B$5:$B$2004,B164))</f>
        <v/>
      </c>
      <c r="G164" s="35">
        <f>IF(B164="","",COUNTIF($D$38:$D$187,"&gt;"&amp;D164)+1)</f>
        <v/>
      </c>
      <c r="H164" s="35">
        <f>IF(B164="","",INDEX(الموظفات!$L$5:$L$304,MATCH(B164,الموظفات!$B$5:$B$304,0)))</f>
        <v/>
      </c>
      <c r="K164" s="36">
        <f>IF(127&gt;$B$10,"",127)</f>
        <v/>
      </c>
      <c r="L164" s="37">
        <f>IF($K164="","",INDEX('سجل التحفيز'!$A$5:$A$2004,MATCH($K164,'سجل التحفيز'!$AD$5:$AD$2004,0)))</f>
        <v/>
      </c>
      <c r="M164" s="9">
        <f>IF($K164="","",INDEX('سجل التحفيز'!$B$5:$B$2004,MATCH($K164,'سجل التحفيز'!$AD$5:$AD$2004,0)))</f>
        <v/>
      </c>
      <c r="N164" s="9">
        <f>IF($K164="","",INDEX('سجل التحفيز'!$M$5:$M$2004,MATCH($K164,'سجل التحفيز'!$AD$5:$AD$2004,0)))</f>
        <v/>
      </c>
      <c r="O164" s="9">
        <f>IF($K164="","",INDEX('سجل التحفيز'!$C$5:$C$2004,MATCH($K164,'سجل التحفيز'!$AD$5:$AD$2004,0)))</f>
        <v/>
      </c>
      <c r="P164" s="36">
        <f>IF($K164="","",INDEX('سجل التحفيز'!$D$5:$D$2004,MATCH($K164,'سجل التحفيز'!$AD$5:$AD$2004,0)))</f>
        <v/>
      </c>
      <c r="Q164" s="9">
        <f>IF($K164="","",INDEX('سجل التحفيز'!$E$5:$E$2004,MATCH($K164,'سجل التحفيز'!$AD$5:$AD$2004,0)))</f>
        <v/>
      </c>
      <c r="R164" s="9">
        <f>IF($K164="","",INDEX('سجل التحفيز'!$F$5:$F$2004,MATCH($K164,'سجل التحفيز'!$AD$5:$AD$2004,0)))</f>
        <v/>
      </c>
      <c r="S164" s="35">
        <f>IF($K164="","",INDEX('سجل التحفيز'!$G$5:$G$2004,MATCH($K164,'سجل التحفيز'!$AD$5:$AD$2004,0)))</f>
        <v/>
      </c>
    </row>
    <row r="165">
      <c r="B165" s="34">
        <f>IFERROR(INDEX(الموظفات!$B$5:$B$304,MATCH(128,الموظفات!$X$5:$X$304,0)),"")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التحفيز'!$AD$5:$AD$2004,"&gt;0",'سجل التحفيز'!$B$5:$B$2004,B165))</f>
        <v/>
      </c>
      <c r="E165" s="35">
        <f>IF(B165="","",COUNTIFS('سجل التحفيز'!$AD$5:$AD$2004,"&gt;0",'سجل التحفيز'!$B$5:$B$2004,B165,'سجل التحفيز'!$D$5:$D$2004,"ذهبي"))</f>
        <v/>
      </c>
      <c r="F165" s="35">
        <f>IF(B165="","",SUMIFS('سجل التحفيز'!$G$5:$G$2004,'سجل التحفيز'!$AD$5:$AD$2004,"&gt;0",'سجل التحفيز'!$B$5:$B$2004,B165))</f>
        <v/>
      </c>
      <c r="G165" s="35">
        <f>IF(B165="","",COUNTIF($D$38:$D$187,"&gt;"&amp;D165)+1)</f>
        <v/>
      </c>
      <c r="H165" s="35">
        <f>IF(B165="","",INDEX(الموظفات!$L$5:$L$304,MATCH(B165,الموظفات!$B$5:$B$304,0)))</f>
        <v/>
      </c>
      <c r="K165" s="36">
        <f>IF(128&gt;$B$10,"",128)</f>
        <v/>
      </c>
      <c r="L165" s="37">
        <f>IF($K165="","",INDEX('سجل التحفيز'!$A$5:$A$2004,MATCH($K165,'سجل التحفيز'!$AD$5:$AD$2004,0)))</f>
        <v/>
      </c>
      <c r="M165" s="9">
        <f>IF($K165="","",INDEX('سجل التحفيز'!$B$5:$B$2004,MATCH($K165,'سجل التحفيز'!$AD$5:$AD$2004,0)))</f>
        <v/>
      </c>
      <c r="N165" s="9">
        <f>IF($K165="","",INDEX('سجل التحفيز'!$M$5:$M$2004,MATCH($K165,'سجل التحفيز'!$AD$5:$AD$2004,0)))</f>
        <v/>
      </c>
      <c r="O165" s="9">
        <f>IF($K165="","",INDEX('سجل التحفيز'!$C$5:$C$2004,MATCH($K165,'سجل التحفيز'!$AD$5:$AD$2004,0)))</f>
        <v/>
      </c>
      <c r="P165" s="36">
        <f>IF($K165="","",INDEX('سجل التحفيز'!$D$5:$D$2004,MATCH($K165,'سجل التحفيز'!$AD$5:$AD$2004,0)))</f>
        <v/>
      </c>
      <c r="Q165" s="9">
        <f>IF($K165="","",INDEX('سجل التحفيز'!$E$5:$E$2004,MATCH($K165,'سجل التحفيز'!$AD$5:$AD$2004,0)))</f>
        <v/>
      </c>
      <c r="R165" s="9">
        <f>IF($K165="","",INDEX('سجل التحفيز'!$F$5:$F$2004,MATCH($K165,'سجل التحفيز'!$AD$5:$AD$2004,0)))</f>
        <v/>
      </c>
      <c r="S165" s="35">
        <f>IF($K165="","",INDEX('سجل التحفيز'!$G$5:$G$2004,MATCH($K165,'سجل التحفيز'!$AD$5:$AD$2004,0)))</f>
        <v/>
      </c>
    </row>
    <row r="166">
      <c r="B166" s="34">
        <f>IFERROR(INDEX(الموظفات!$B$5:$B$304,MATCH(129,الموظفات!$X$5:$X$304,0)),"")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التحفيز'!$AD$5:$AD$2004,"&gt;0",'سجل التحفيز'!$B$5:$B$2004,B166))</f>
        <v/>
      </c>
      <c r="E166" s="35">
        <f>IF(B166="","",COUNTIFS('سجل التحفيز'!$AD$5:$AD$2004,"&gt;0",'سجل التحفيز'!$B$5:$B$2004,B166,'سجل التحفيز'!$D$5:$D$2004,"ذهبي"))</f>
        <v/>
      </c>
      <c r="F166" s="35">
        <f>IF(B166="","",SUMIFS('سجل التحفيز'!$G$5:$G$2004,'سجل التحفيز'!$AD$5:$AD$2004,"&gt;0",'سجل التحفيز'!$B$5:$B$2004,B166))</f>
        <v/>
      </c>
      <c r="G166" s="35">
        <f>IF(B166="","",COUNTIF($D$38:$D$187,"&gt;"&amp;D166)+1)</f>
        <v/>
      </c>
      <c r="H166" s="35">
        <f>IF(B166="","",INDEX(الموظفات!$L$5:$L$304,MATCH(B166,الموظفات!$B$5:$B$304,0)))</f>
        <v/>
      </c>
      <c r="K166" s="36">
        <f>IF(129&gt;$B$10,"",129)</f>
        <v/>
      </c>
      <c r="L166" s="37">
        <f>IF($K166="","",INDEX('سجل التحفيز'!$A$5:$A$2004,MATCH($K166,'سجل التحفيز'!$AD$5:$AD$2004,0)))</f>
        <v/>
      </c>
      <c r="M166" s="9">
        <f>IF($K166="","",INDEX('سجل التحفيز'!$B$5:$B$2004,MATCH($K166,'سجل التحفيز'!$AD$5:$AD$2004,0)))</f>
        <v/>
      </c>
      <c r="N166" s="9">
        <f>IF($K166="","",INDEX('سجل التحفيز'!$M$5:$M$2004,MATCH($K166,'سجل التحفيز'!$AD$5:$AD$2004,0)))</f>
        <v/>
      </c>
      <c r="O166" s="9">
        <f>IF($K166="","",INDEX('سجل التحفيز'!$C$5:$C$2004,MATCH($K166,'سجل التحفيز'!$AD$5:$AD$2004,0)))</f>
        <v/>
      </c>
      <c r="P166" s="36">
        <f>IF($K166="","",INDEX('سجل التحفيز'!$D$5:$D$2004,MATCH($K166,'سجل التحفيز'!$AD$5:$AD$2004,0)))</f>
        <v/>
      </c>
      <c r="Q166" s="9">
        <f>IF($K166="","",INDEX('سجل التحفيز'!$E$5:$E$2004,MATCH($K166,'سجل التحفيز'!$AD$5:$AD$2004,0)))</f>
        <v/>
      </c>
      <c r="R166" s="9">
        <f>IF($K166="","",INDEX('سجل التحفيز'!$F$5:$F$2004,MATCH($K166,'سجل التحفيز'!$AD$5:$AD$2004,0)))</f>
        <v/>
      </c>
      <c r="S166" s="35">
        <f>IF($K166="","",INDEX('سجل التحفيز'!$G$5:$G$2004,MATCH($K166,'سجل التحفيز'!$AD$5:$AD$2004,0)))</f>
        <v/>
      </c>
    </row>
    <row r="167">
      <c r="B167" s="34">
        <f>IFERROR(INDEX(الموظفات!$B$5:$B$304,MATCH(130,الموظفات!$X$5:$X$304,0)),"")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التحفيز'!$AD$5:$AD$2004,"&gt;0",'سجل التحفيز'!$B$5:$B$2004,B167))</f>
        <v/>
      </c>
      <c r="E167" s="35">
        <f>IF(B167="","",COUNTIFS('سجل التحفيز'!$AD$5:$AD$2004,"&gt;0",'سجل التحفيز'!$B$5:$B$2004,B167,'سجل التحفيز'!$D$5:$D$2004,"ذهبي"))</f>
        <v/>
      </c>
      <c r="F167" s="35">
        <f>IF(B167="","",SUMIFS('سجل التحفيز'!$G$5:$G$2004,'سجل التحفيز'!$AD$5:$AD$2004,"&gt;0",'سجل التحفيز'!$B$5:$B$2004,B167))</f>
        <v/>
      </c>
      <c r="G167" s="35">
        <f>IF(B167="","",COUNTIF($D$38:$D$187,"&gt;"&amp;D167)+1)</f>
        <v/>
      </c>
      <c r="H167" s="35">
        <f>IF(B167="","",INDEX(الموظفات!$L$5:$L$304,MATCH(B167,الموظفات!$B$5:$B$304,0)))</f>
        <v/>
      </c>
      <c r="K167" s="36">
        <f>IF(130&gt;$B$10,"",130)</f>
        <v/>
      </c>
      <c r="L167" s="37">
        <f>IF($K167="","",INDEX('سجل التحفيز'!$A$5:$A$2004,MATCH($K167,'سجل التحفيز'!$AD$5:$AD$2004,0)))</f>
        <v/>
      </c>
      <c r="M167" s="9">
        <f>IF($K167="","",INDEX('سجل التحفيز'!$B$5:$B$2004,MATCH($K167,'سجل التحفيز'!$AD$5:$AD$2004,0)))</f>
        <v/>
      </c>
      <c r="N167" s="9">
        <f>IF($K167="","",INDEX('سجل التحفيز'!$M$5:$M$2004,MATCH($K167,'سجل التحفيز'!$AD$5:$AD$2004,0)))</f>
        <v/>
      </c>
      <c r="O167" s="9">
        <f>IF($K167="","",INDEX('سجل التحفيز'!$C$5:$C$2004,MATCH($K167,'سجل التحفيز'!$AD$5:$AD$2004,0)))</f>
        <v/>
      </c>
      <c r="P167" s="36">
        <f>IF($K167="","",INDEX('سجل التحفيز'!$D$5:$D$2004,MATCH($K167,'سجل التحفيز'!$AD$5:$AD$2004,0)))</f>
        <v/>
      </c>
      <c r="Q167" s="9">
        <f>IF($K167="","",INDEX('سجل التحفيز'!$E$5:$E$2004,MATCH($K167,'سجل التحفيز'!$AD$5:$AD$2004,0)))</f>
        <v/>
      </c>
      <c r="R167" s="9">
        <f>IF($K167="","",INDEX('سجل التحفيز'!$F$5:$F$2004,MATCH($K167,'سجل التحفيز'!$AD$5:$AD$2004,0)))</f>
        <v/>
      </c>
      <c r="S167" s="35">
        <f>IF($K167="","",INDEX('سجل التحفيز'!$G$5:$G$2004,MATCH($K167,'سجل التحفيز'!$AD$5:$AD$2004,0)))</f>
        <v/>
      </c>
    </row>
    <row r="168">
      <c r="B168" s="34">
        <f>IFERROR(INDEX(الموظفات!$B$5:$B$304,MATCH(131,الموظفات!$X$5:$X$304,0)),"")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التحفيز'!$AD$5:$AD$2004,"&gt;0",'سجل التحفيز'!$B$5:$B$2004,B168))</f>
        <v/>
      </c>
      <c r="E168" s="35">
        <f>IF(B168="","",COUNTIFS('سجل التحفيز'!$AD$5:$AD$2004,"&gt;0",'سجل التحفيز'!$B$5:$B$2004,B168,'سجل التحفيز'!$D$5:$D$2004,"ذهبي"))</f>
        <v/>
      </c>
      <c r="F168" s="35">
        <f>IF(B168="","",SUMIFS('سجل التحفيز'!$G$5:$G$2004,'سجل التحفيز'!$AD$5:$AD$2004,"&gt;0",'سجل التحفيز'!$B$5:$B$2004,B168))</f>
        <v/>
      </c>
      <c r="G168" s="35">
        <f>IF(B168="","",COUNTIF($D$38:$D$187,"&gt;"&amp;D168)+1)</f>
        <v/>
      </c>
      <c r="H168" s="35">
        <f>IF(B168="","",INDEX(الموظفات!$L$5:$L$304,MATCH(B168,الموظفات!$B$5:$B$304,0)))</f>
        <v/>
      </c>
      <c r="K168" s="36">
        <f>IF(131&gt;$B$10,"",131)</f>
        <v/>
      </c>
      <c r="L168" s="37">
        <f>IF($K168="","",INDEX('سجل التحفيز'!$A$5:$A$2004,MATCH($K168,'سجل التحفيز'!$AD$5:$AD$2004,0)))</f>
        <v/>
      </c>
      <c r="M168" s="9">
        <f>IF($K168="","",INDEX('سجل التحفيز'!$B$5:$B$2004,MATCH($K168,'سجل التحفيز'!$AD$5:$AD$2004,0)))</f>
        <v/>
      </c>
      <c r="N168" s="9">
        <f>IF($K168="","",INDEX('سجل التحفيز'!$M$5:$M$2004,MATCH($K168,'سجل التحفيز'!$AD$5:$AD$2004,0)))</f>
        <v/>
      </c>
      <c r="O168" s="9">
        <f>IF($K168="","",INDEX('سجل التحفيز'!$C$5:$C$2004,MATCH($K168,'سجل التحفيز'!$AD$5:$AD$2004,0)))</f>
        <v/>
      </c>
      <c r="P168" s="36">
        <f>IF($K168="","",INDEX('سجل التحفيز'!$D$5:$D$2004,MATCH($K168,'سجل التحفيز'!$AD$5:$AD$2004,0)))</f>
        <v/>
      </c>
      <c r="Q168" s="9">
        <f>IF($K168="","",INDEX('سجل التحفيز'!$E$5:$E$2004,MATCH($K168,'سجل التحفيز'!$AD$5:$AD$2004,0)))</f>
        <v/>
      </c>
      <c r="R168" s="9">
        <f>IF($K168="","",INDEX('سجل التحفيز'!$F$5:$F$2004,MATCH($K168,'سجل التحفيز'!$AD$5:$AD$2004,0)))</f>
        <v/>
      </c>
      <c r="S168" s="35">
        <f>IF($K168="","",INDEX('سجل التحفيز'!$G$5:$G$2004,MATCH($K168,'سجل التحفيز'!$AD$5:$AD$2004,0)))</f>
        <v/>
      </c>
    </row>
    <row r="169">
      <c r="B169" s="34">
        <f>IFERROR(INDEX(الموظفات!$B$5:$B$304,MATCH(132,الموظفات!$X$5:$X$304,0)),"")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التحفيز'!$AD$5:$AD$2004,"&gt;0",'سجل التحفيز'!$B$5:$B$2004,B169))</f>
        <v/>
      </c>
      <c r="E169" s="35">
        <f>IF(B169="","",COUNTIFS('سجل التحفيز'!$AD$5:$AD$2004,"&gt;0",'سجل التحفيز'!$B$5:$B$2004,B169,'سجل التحفيز'!$D$5:$D$2004,"ذهبي"))</f>
        <v/>
      </c>
      <c r="F169" s="35">
        <f>IF(B169="","",SUMIFS('سجل التحفيز'!$G$5:$G$2004,'سجل التحفيز'!$AD$5:$AD$2004,"&gt;0",'سجل التحفيز'!$B$5:$B$2004,B169))</f>
        <v/>
      </c>
      <c r="G169" s="35">
        <f>IF(B169="","",COUNTIF($D$38:$D$187,"&gt;"&amp;D169)+1)</f>
        <v/>
      </c>
      <c r="H169" s="35">
        <f>IF(B169="","",INDEX(الموظفات!$L$5:$L$304,MATCH(B169,الموظفات!$B$5:$B$304,0)))</f>
        <v/>
      </c>
      <c r="K169" s="36">
        <f>IF(132&gt;$B$10,"",132)</f>
        <v/>
      </c>
      <c r="L169" s="37">
        <f>IF($K169="","",INDEX('سجل التحفيز'!$A$5:$A$2004,MATCH($K169,'سجل التحفيز'!$AD$5:$AD$2004,0)))</f>
        <v/>
      </c>
      <c r="M169" s="9">
        <f>IF($K169="","",INDEX('سجل التحفيز'!$B$5:$B$2004,MATCH($K169,'سجل التحفيز'!$AD$5:$AD$2004,0)))</f>
        <v/>
      </c>
      <c r="N169" s="9">
        <f>IF($K169="","",INDEX('سجل التحفيز'!$M$5:$M$2004,MATCH($K169,'سجل التحفيز'!$AD$5:$AD$2004,0)))</f>
        <v/>
      </c>
      <c r="O169" s="9">
        <f>IF($K169="","",INDEX('سجل التحفيز'!$C$5:$C$2004,MATCH($K169,'سجل التحفيز'!$AD$5:$AD$2004,0)))</f>
        <v/>
      </c>
      <c r="P169" s="36">
        <f>IF($K169="","",INDEX('سجل التحفيز'!$D$5:$D$2004,MATCH($K169,'سجل التحفيز'!$AD$5:$AD$2004,0)))</f>
        <v/>
      </c>
      <c r="Q169" s="9">
        <f>IF($K169="","",INDEX('سجل التحفيز'!$E$5:$E$2004,MATCH($K169,'سجل التحفيز'!$AD$5:$AD$2004,0)))</f>
        <v/>
      </c>
      <c r="R169" s="9">
        <f>IF($K169="","",INDEX('سجل التحفيز'!$F$5:$F$2004,MATCH($K169,'سجل التحفيز'!$AD$5:$AD$2004,0)))</f>
        <v/>
      </c>
      <c r="S169" s="35">
        <f>IF($K169="","",INDEX('سجل التحفيز'!$G$5:$G$2004,MATCH($K169,'سجل التحفيز'!$AD$5:$AD$2004,0)))</f>
        <v/>
      </c>
    </row>
    <row r="170">
      <c r="B170" s="34">
        <f>IFERROR(INDEX(الموظفات!$B$5:$B$304,MATCH(133,الموظفات!$X$5:$X$304,0)),"")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التحفيز'!$AD$5:$AD$2004,"&gt;0",'سجل التحفيز'!$B$5:$B$2004,B170))</f>
        <v/>
      </c>
      <c r="E170" s="35">
        <f>IF(B170="","",COUNTIFS('سجل التحفيز'!$AD$5:$AD$2004,"&gt;0",'سجل التحفيز'!$B$5:$B$2004,B170,'سجل التحفيز'!$D$5:$D$2004,"ذهبي"))</f>
        <v/>
      </c>
      <c r="F170" s="35">
        <f>IF(B170="","",SUMIFS('سجل التحفيز'!$G$5:$G$2004,'سجل التحفيز'!$AD$5:$AD$2004,"&gt;0",'سجل التحفيز'!$B$5:$B$2004,B170))</f>
        <v/>
      </c>
      <c r="G170" s="35">
        <f>IF(B170="","",COUNTIF($D$38:$D$187,"&gt;"&amp;D170)+1)</f>
        <v/>
      </c>
      <c r="H170" s="35">
        <f>IF(B170="","",INDEX(الموظفات!$L$5:$L$304,MATCH(B170,الموظفات!$B$5:$B$304,0)))</f>
        <v/>
      </c>
      <c r="K170" s="36">
        <f>IF(133&gt;$B$10,"",133)</f>
        <v/>
      </c>
      <c r="L170" s="37">
        <f>IF($K170="","",INDEX('سجل التحفيز'!$A$5:$A$2004,MATCH($K170,'سجل التحفيز'!$AD$5:$AD$2004,0)))</f>
        <v/>
      </c>
      <c r="M170" s="9">
        <f>IF($K170="","",INDEX('سجل التحفيز'!$B$5:$B$2004,MATCH($K170,'سجل التحفيز'!$AD$5:$AD$2004,0)))</f>
        <v/>
      </c>
      <c r="N170" s="9">
        <f>IF($K170="","",INDEX('سجل التحفيز'!$M$5:$M$2004,MATCH($K170,'سجل التحفيز'!$AD$5:$AD$2004,0)))</f>
        <v/>
      </c>
      <c r="O170" s="9">
        <f>IF($K170="","",INDEX('سجل التحفيز'!$C$5:$C$2004,MATCH($K170,'سجل التحفيز'!$AD$5:$AD$2004,0)))</f>
        <v/>
      </c>
      <c r="P170" s="36">
        <f>IF($K170="","",INDEX('سجل التحفيز'!$D$5:$D$2004,MATCH($K170,'سجل التحفيز'!$AD$5:$AD$2004,0)))</f>
        <v/>
      </c>
      <c r="Q170" s="9">
        <f>IF($K170="","",INDEX('سجل التحفيز'!$E$5:$E$2004,MATCH($K170,'سجل التحفيز'!$AD$5:$AD$2004,0)))</f>
        <v/>
      </c>
      <c r="R170" s="9">
        <f>IF($K170="","",INDEX('سجل التحفيز'!$F$5:$F$2004,MATCH($K170,'سجل التحفيز'!$AD$5:$AD$2004,0)))</f>
        <v/>
      </c>
      <c r="S170" s="35">
        <f>IF($K170="","",INDEX('سجل التحفيز'!$G$5:$G$2004,MATCH($K170,'سجل التحفيز'!$AD$5:$AD$2004,0)))</f>
        <v/>
      </c>
    </row>
    <row r="171">
      <c r="B171" s="34">
        <f>IFERROR(INDEX(الموظفات!$B$5:$B$304,MATCH(134,الموظفات!$X$5:$X$304,0)),"")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التحفيز'!$AD$5:$AD$2004,"&gt;0",'سجل التحفيز'!$B$5:$B$2004,B171))</f>
        <v/>
      </c>
      <c r="E171" s="35">
        <f>IF(B171="","",COUNTIFS('سجل التحفيز'!$AD$5:$AD$2004,"&gt;0",'سجل التحفيز'!$B$5:$B$2004,B171,'سجل التحفيز'!$D$5:$D$2004,"ذهبي"))</f>
        <v/>
      </c>
      <c r="F171" s="35">
        <f>IF(B171="","",SUMIFS('سجل التحفيز'!$G$5:$G$2004,'سجل التحفيز'!$AD$5:$AD$2004,"&gt;0",'سجل التحفيز'!$B$5:$B$2004,B171))</f>
        <v/>
      </c>
      <c r="G171" s="35">
        <f>IF(B171="","",COUNTIF($D$38:$D$187,"&gt;"&amp;D171)+1)</f>
        <v/>
      </c>
      <c r="H171" s="35">
        <f>IF(B171="","",INDEX(الموظفات!$L$5:$L$304,MATCH(B171,الموظفات!$B$5:$B$304,0)))</f>
        <v/>
      </c>
      <c r="K171" s="36">
        <f>IF(134&gt;$B$10,"",134)</f>
        <v/>
      </c>
      <c r="L171" s="37">
        <f>IF($K171="","",INDEX('سجل التحفيز'!$A$5:$A$2004,MATCH($K171,'سجل التحفيز'!$AD$5:$AD$2004,0)))</f>
        <v/>
      </c>
      <c r="M171" s="9">
        <f>IF($K171="","",INDEX('سجل التحفيز'!$B$5:$B$2004,MATCH($K171,'سجل التحفيز'!$AD$5:$AD$2004,0)))</f>
        <v/>
      </c>
      <c r="N171" s="9">
        <f>IF($K171="","",INDEX('سجل التحفيز'!$M$5:$M$2004,MATCH($K171,'سجل التحفيز'!$AD$5:$AD$2004,0)))</f>
        <v/>
      </c>
      <c r="O171" s="9">
        <f>IF($K171="","",INDEX('سجل التحفيز'!$C$5:$C$2004,MATCH($K171,'سجل التحفيز'!$AD$5:$AD$2004,0)))</f>
        <v/>
      </c>
      <c r="P171" s="36">
        <f>IF($K171="","",INDEX('سجل التحفيز'!$D$5:$D$2004,MATCH($K171,'سجل التحفيز'!$AD$5:$AD$2004,0)))</f>
        <v/>
      </c>
      <c r="Q171" s="9">
        <f>IF($K171="","",INDEX('سجل التحفيز'!$E$5:$E$2004,MATCH($K171,'سجل التحفيز'!$AD$5:$AD$2004,0)))</f>
        <v/>
      </c>
      <c r="R171" s="9">
        <f>IF($K171="","",INDEX('سجل التحفيز'!$F$5:$F$2004,MATCH($K171,'سجل التحفيز'!$AD$5:$AD$2004,0)))</f>
        <v/>
      </c>
      <c r="S171" s="35">
        <f>IF($K171="","",INDEX('سجل التحفيز'!$G$5:$G$2004,MATCH($K171,'سجل التحفيز'!$AD$5:$AD$2004,0)))</f>
        <v/>
      </c>
    </row>
    <row r="172">
      <c r="B172" s="34">
        <f>IFERROR(INDEX(الموظفات!$B$5:$B$304,MATCH(135,الموظفات!$X$5:$X$304,0)),"")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التحفيز'!$AD$5:$AD$2004,"&gt;0",'سجل التحفيز'!$B$5:$B$2004,B172))</f>
        <v/>
      </c>
      <c r="E172" s="35">
        <f>IF(B172="","",COUNTIFS('سجل التحفيز'!$AD$5:$AD$2004,"&gt;0",'سجل التحفيز'!$B$5:$B$2004,B172,'سجل التحفيز'!$D$5:$D$2004,"ذهبي"))</f>
        <v/>
      </c>
      <c r="F172" s="35">
        <f>IF(B172="","",SUMIFS('سجل التحفيز'!$G$5:$G$2004,'سجل التحفيز'!$AD$5:$AD$2004,"&gt;0",'سجل التحفيز'!$B$5:$B$2004,B172))</f>
        <v/>
      </c>
      <c r="G172" s="35">
        <f>IF(B172="","",COUNTIF($D$38:$D$187,"&gt;"&amp;D172)+1)</f>
        <v/>
      </c>
      <c r="H172" s="35">
        <f>IF(B172="","",INDEX(الموظفات!$L$5:$L$304,MATCH(B172,الموظفات!$B$5:$B$304,0)))</f>
        <v/>
      </c>
      <c r="K172" s="36">
        <f>IF(135&gt;$B$10,"",135)</f>
        <v/>
      </c>
      <c r="L172" s="37">
        <f>IF($K172="","",INDEX('سجل التحفيز'!$A$5:$A$2004,MATCH($K172,'سجل التحفيز'!$AD$5:$AD$2004,0)))</f>
        <v/>
      </c>
      <c r="M172" s="9">
        <f>IF($K172="","",INDEX('سجل التحفيز'!$B$5:$B$2004,MATCH($K172,'سجل التحفيز'!$AD$5:$AD$2004,0)))</f>
        <v/>
      </c>
      <c r="N172" s="9">
        <f>IF($K172="","",INDEX('سجل التحفيز'!$M$5:$M$2004,MATCH($K172,'سجل التحفيز'!$AD$5:$AD$2004,0)))</f>
        <v/>
      </c>
      <c r="O172" s="9">
        <f>IF($K172="","",INDEX('سجل التحفيز'!$C$5:$C$2004,MATCH($K172,'سجل التحفيز'!$AD$5:$AD$2004,0)))</f>
        <v/>
      </c>
      <c r="P172" s="36">
        <f>IF($K172="","",INDEX('سجل التحفيز'!$D$5:$D$2004,MATCH($K172,'سجل التحفيز'!$AD$5:$AD$2004,0)))</f>
        <v/>
      </c>
      <c r="Q172" s="9">
        <f>IF($K172="","",INDEX('سجل التحفيز'!$E$5:$E$2004,MATCH($K172,'سجل التحفيز'!$AD$5:$AD$2004,0)))</f>
        <v/>
      </c>
      <c r="R172" s="9">
        <f>IF($K172="","",INDEX('سجل التحفيز'!$F$5:$F$2004,MATCH($K172,'سجل التحفيز'!$AD$5:$AD$2004,0)))</f>
        <v/>
      </c>
      <c r="S172" s="35">
        <f>IF($K172="","",INDEX('سجل التحفيز'!$G$5:$G$2004,MATCH($K172,'سجل التحفيز'!$AD$5:$AD$2004,0)))</f>
        <v/>
      </c>
    </row>
    <row r="173">
      <c r="B173" s="34">
        <f>IFERROR(INDEX(الموظفات!$B$5:$B$304,MATCH(136,الموظفات!$X$5:$X$304,0)),"")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التحفيز'!$AD$5:$AD$2004,"&gt;0",'سجل التحفيز'!$B$5:$B$2004,B173))</f>
        <v/>
      </c>
      <c r="E173" s="35">
        <f>IF(B173="","",COUNTIFS('سجل التحفيز'!$AD$5:$AD$2004,"&gt;0",'سجل التحفيز'!$B$5:$B$2004,B173,'سجل التحفيز'!$D$5:$D$2004,"ذهبي"))</f>
        <v/>
      </c>
      <c r="F173" s="35">
        <f>IF(B173="","",SUMIFS('سجل التحفيز'!$G$5:$G$2004,'سجل التحفيز'!$AD$5:$AD$2004,"&gt;0",'سجل التحفيز'!$B$5:$B$2004,B173))</f>
        <v/>
      </c>
      <c r="G173" s="35">
        <f>IF(B173="","",COUNTIF($D$38:$D$187,"&gt;"&amp;D173)+1)</f>
        <v/>
      </c>
      <c r="H173" s="35">
        <f>IF(B173="","",INDEX(الموظفات!$L$5:$L$304,MATCH(B173,الموظفات!$B$5:$B$304,0)))</f>
        <v/>
      </c>
      <c r="K173" s="36">
        <f>IF(136&gt;$B$10,"",136)</f>
        <v/>
      </c>
      <c r="L173" s="37">
        <f>IF($K173="","",INDEX('سجل التحفيز'!$A$5:$A$2004,MATCH($K173,'سجل التحفيز'!$AD$5:$AD$2004,0)))</f>
        <v/>
      </c>
      <c r="M173" s="9">
        <f>IF($K173="","",INDEX('سجل التحفيز'!$B$5:$B$2004,MATCH($K173,'سجل التحفيز'!$AD$5:$AD$2004,0)))</f>
        <v/>
      </c>
      <c r="N173" s="9">
        <f>IF($K173="","",INDEX('سجل التحفيز'!$M$5:$M$2004,MATCH($K173,'سجل التحفيز'!$AD$5:$AD$2004,0)))</f>
        <v/>
      </c>
      <c r="O173" s="9">
        <f>IF($K173="","",INDEX('سجل التحفيز'!$C$5:$C$2004,MATCH($K173,'سجل التحفيز'!$AD$5:$AD$2004,0)))</f>
        <v/>
      </c>
      <c r="P173" s="36">
        <f>IF($K173="","",INDEX('سجل التحفيز'!$D$5:$D$2004,MATCH($K173,'سجل التحفيز'!$AD$5:$AD$2004,0)))</f>
        <v/>
      </c>
      <c r="Q173" s="9">
        <f>IF($K173="","",INDEX('سجل التحفيز'!$E$5:$E$2004,MATCH($K173,'سجل التحفيز'!$AD$5:$AD$2004,0)))</f>
        <v/>
      </c>
      <c r="R173" s="9">
        <f>IF($K173="","",INDEX('سجل التحفيز'!$F$5:$F$2004,MATCH($K173,'سجل التحفيز'!$AD$5:$AD$2004,0)))</f>
        <v/>
      </c>
      <c r="S173" s="35">
        <f>IF($K173="","",INDEX('سجل التحفيز'!$G$5:$G$2004,MATCH($K173,'سجل التحفيز'!$AD$5:$AD$2004,0)))</f>
        <v/>
      </c>
    </row>
    <row r="174">
      <c r="B174" s="34">
        <f>IFERROR(INDEX(الموظفات!$B$5:$B$304,MATCH(137,الموظفات!$X$5:$X$304,0)),"")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التحفيز'!$AD$5:$AD$2004,"&gt;0",'سجل التحفيز'!$B$5:$B$2004,B174))</f>
        <v/>
      </c>
      <c r="E174" s="35">
        <f>IF(B174="","",COUNTIFS('سجل التحفيز'!$AD$5:$AD$2004,"&gt;0",'سجل التحفيز'!$B$5:$B$2004,B174,'سجل التحفيز'!$D$5:$D$2004,"ذهبي"))</f>
        <v/>
      </c>
      <c r="F174" s="35">
        <f>IF(B174="","",SUMIFS('سجل التحفيز'!$G$5:$G$2004,'سجل التحفيز'!$AD$5:$AD$2004,"&gt;0",'سجل التحفيز'!$B$5:$B$2004,B174))</f>
        <v/>
      </c>
      <c r="G174" s="35">
        <f>IF(B174="","",COUNTIF($D$38:$D$187,"&gt;"&amp;D174)+1)</f>
        <v/>
      </c>
      <c r="H174" s="35">
        <f>IF(B174="","",INDEX(الموظفات!$L$5:$L$304,MATCH(B174,الموظفات!$B$5:$B$304,0)))</f>
        <v/>
      </c>
      <c r="K174" s="36">
        <f>IF(137&gt;$B$10,"",137)</f>
        <v/>
      </c>
      <c r="L174" s="37">
        <f>IF($K174="","",INDEX('سجل التحفيز'!$A$5:$A$2004,MATCH($K174,'سجل التحفيز'!$AD$5:$AD$2004,0)))</f>
        <v/>
      </c>
      <c r="M174" s="9">
        <f>IF($K174="","",INDEX('سجل التحفيز'!$B$5:$B$2004,MATCH($K174,'سجل التحفيز'!$AD$5:$AD$2004,0)))</f>
        <v/>
      </c>
      <c r="N174" s="9">
        <f>IF($K174="","",INDEX('سجل التحفيز'!$M$5:$M$2004,MATCH($K174,'سجل التحفيز'!$AD$5:$AD$2004,0)))</f>
        <v/>
      </c>
      <c r="O174" s="9">
        <f>IF($K174="","",INDEX('سجل التحفيز'!$C$5:$C$2004,MATCH($K174,'سجل التحفيز'!$AD$5:$AD$2004,0)))</f>
        <v/>
      </c>
      <c r="P174" s="36">
        <f>IF($K174="","",INDEX('سجل التحفيز'!$D$5:$D$2004,MATCH($K174,'سجل التحفيز'!$AD$5:$AD$2004,0)))</f>
        <v/>
      </c>
      <c r="Q174" s="9">
        <f>IF($K174="","",INDEX('سجل التحفيز'!$E$5:$E$2004,MATCH($K174,'سجل التحفيز'!$AD$5:$AD$2004,0)))</f>
        <v/>
      </c>
      <c r="R174" s="9">
        <f>IF($K174="","",INDEX('سجل التحفيز'!$F$5:$F$2004,MATCH($K174,'سجل التحفيز'!$AD$5:$AD$2004,0)))</f>
        <v/>
      </c>
      <c r="S174" s="35">
        <f>IF($K174="","",INDEX('سجل التحفيز'!$G$5:$G$2004,MATCH($K174,'سجل التحفيز'!$AD$5:$AD$2004,0)))</f>
        <v/>
      </c>
    </row>
    <row r="175">
      <c r="B175" s="34">
        <f>IFERROR(INDEX(الموظفات!$B$5:$B$304,MATCH(138,الموظفات!$X$5:$X$304,0)),"")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التحفيز'!$AD$5:$AD$2004,"&gt;0",'سجل التحفيز'!$B$5:$B$2004,B175))</f>
        <v/>
      </c>
      <c r="E175" s="35">
        <f>IF(B175="","",COUNTIFS('سجل التحفيز'!$AD$5:$AD$2004,"&gt;0",'سجل التحفيز'!$B$5:$B$2004,B175,'سجل التحفيز'!$D$5:$D$2004,"ذهبي"))</f>
        <v/>
      </c>
      <c r="F175" s="35">
        <f>IF(B175="","",SUMIFS('سجل التحفيز'!$G$5:$G$2004,'سجل التحفيز'!$AD$5:$AD$2004,"&gt;0",'سجل التحفيز'!$B$5:$B$2004,B175))</f>
        <v/>
      </c>
      <c r="G175" s="35">
        <f>IF(B175="","",COUNTIF($D$38:$D$187,"&gt;"&amp;D175)+1)</f>
        <v/>
      </c>
      <c r="H175" s="35">
        <f>IF(B175="","",INDEX(الموظفات!$L$5:$L$304,MATCH(B175,الموظفات!$B$5:$B$304,0)))</f>
        <v/>
      </c>
      <c r="K175" s="36">
        <f>IF(138&gt;$B$10,"",138)</f>
        <v/>
      </c>
      <c r="L175" s="37">
        <f>IF($K175="","",INDEX('سجل التحفيز'!$A$5:$A$2004,MATCH($K175,'سجل التحفيز'!$AD$5:$AD$2004,0)))</f>
        <v/>
      </c>
      <c r="M175" s="9">
        <f>IF($K175="","",INDEX('سجل التحفيز'!$B$5:$B$2004,MATCH($K175,'سجل التحفيز'!$AD$5:$AD$2004,0)))</f>
        <v/>
      </c>
      <c r="N175" s="9">
        <f>IF($K175="","",INDEX('سجل التحفيز'!$M$5:$M$2004,MATCH($K175,'سجل التحفيز'!$AD$5:$AD$2004,0)))</f>
        <v/>
      </c>
      <c r="O175" s="9">
        <f>IF($K175="","",INDEX('سجل التحفيز'!$C$5:$C$2004,MATCH($K175,'سجل التحفيز'!$AD$5:$AD$2004,0)))</f>
        <v/>
      </c>
      <c r="P175" s="36">
        <f>IF($K175="","",INDEX('سجل التحفيز'!$D$5:$D$2004,MATCH($K175,'سجل التحفيز'!$AD$5:$AD$2004,0)))</f>
        <v/>
      </c>
      <c r="Q175" s="9">
        <f>IF($K175="","",INDEX('سجل التحفيز'!$E$5:$E$2004,MATCH($K175,'سجل التحفيز'!$AD$5:$AD$2004,0)))</f>
        <v/>
      </c>
      <c r="R175" s="9">
        <f>IF($K175="","",INDEX('سجل التحفيز'!$F$5:$F$2004,MATCH($K175,'سجل التحفيز'!$AD$5:$AD$2004,0)))</f>
        <v/>
      </c>
      <c r="S175" s="35">
        <f>IF($K175="","",INDEX('سجل التحفيز'!$G$5:$G$2004,MATCH($K175,'سجل التحفيز'!$AD$5:$AD$2004,0)))</f>
        <v/>
      </c>
    </row>
    <row r="176">
      <c r="B176" s="34">
        <f>IFERROR(INDEX(الموظفات!$B$5:$B$304,MATCH(139,الموظفات!$X$5:$X$304,0)),"")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التحفيز'!$AD$5:$AD$2004,"&gt;0",'سجل التحفيز'!$B$5:$B$2004,B176))</f>
        <v/>
      </c>
      <c r="E176" s="35">
        <f>IF(B176="","",COUNTIFS('سجل التحفيز'!$AD$5:$AD$2004,"&gt;0",'سجل التحفيز'!$B$5:$B$2004,B176,'سجل التحفيز'!$D$5:$D$2004,"ذهبي"))</f>
        <v/>
      </c>
      <c r="F176" s="35">
        <f>IF(B176="","",SUMIFS('سجل التحفيز'!$G$5:$G$2004,'سجل التحفيز'!$AD$5:$AD$2004,"&gt;0",'سجل التحفيز'!$B$5:$B$2004,B176))</f>
        <v/>
      </c>
      <c r="G176" s="35">
        <f>IF(B176="","",COUNTIF($D$38:$D$187,"&gt;"&amp;D176)+1)</f>
        <v/>
      </c>
      <c r="H176" s="35">
        <f>IF(B176="","",INDEX(الموظفات!$L$5:$L$304,MATCH(B176,الموظفات!$B$5:$B$304,0)))</f>
        <v/>
      </c>
      <c r="K176" s="36">
        <f>IF(139&gt;$B$10,"",139)</f>
        <v/>
      </c>
      <c r="L176" s="37">
        <f>IF($K176="","",INDEX('سجل التحفيز'!$A$5:$A$2004,MATCH($K176,'سجل التحفيز'!$AD$5:$AD$2004,0)))</f>
        <v/>
      </c>
      <c r="M176" s="9">
        <f>IF($K176="","",INDEX('سجل التحفيز'!$B$5:$B$2004,MATCH($K176,'سجل التحفيز'!$AD$5:$AD$2004,0)))</f>
        <v/>
      </c>
      <c r="N176" s="9">
        <f>IF($K176="","",INDEX('سجل التحفيز'!$M$5:$M$2004,MATCH($K176,'سجل التحفيز'!$AD$5:$AD$2004,0)))</f>
        <v/>
      </c>
      <c r="O176" s="9">
        <f>IF($K176="","",INDEX('سجل التحفيز'!$C$5:$C$2004,MATCH($K176,'سجل التحفيز'!$AD$5:$AD$2004,0)))</f>
        <v/>
      </c>
      <c r="P176" s="36">
        <f>IF($K176="","",INDEX('سجل التحفيز'!$D$5:$D$2004,MATCH($K176,'سجل التحفيز'!$AD$5:$AD$2004,0)))</f>
        <v/>
      </c>
      <c r="Q176" s="9">
        <f>IF($K176="","",INDEX('سجل التحفيز'!$E$5:$E$2004,MATCH($K176,'سجل التحفيز'!$AD$5:$AD$2004,0)))</f>
        <v/>
      </c>
      <c r="R176" s="9">
        <f>IF($K176="","",INDEX('سجل التحفيز'!$F$5:$F$2004,MATCH($K176,'سجل التحفيز'!$AD$5:$AD$2004,0)))</f>
        <v/>
      </c>
      <c r="S176" s="35">
        <f>IF($K176="","",INDEX('سجل التحفيز'!$G$5:$G$2004,MATCH($K176,'سجل التحفيز'!$AD$5:$AD$2004,0)))</f>
        <v/>
      </c>
    </row>
    <row r="177">
      <c r="B177" s="34">
        <f>IFERROR(INDEX(الموظفات!$B$5:$B$304,MATCH(140,الموظفات!$X$5:$X$304,0)),"")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التحفيز'!$AD$5:$AD$2004,"&gt;0",'سجل التحفيز'!$B$5:$B$2004,B177))</f>
        <v/>
      </c>
      <c r="E177" s="35">
        <f>IF(B177="","",COUNTIFS('سجل التحفيز'!$AD$5:$AD$2004,"&gt;0",'سجل التحفيز'!$B$5:$B$2004,B177,'سجل التحفيز'!$D$5:$D$2004,"ذهبي"))</f>
        <v/>
      </c>
      <c r="F177" s="35">
        <f>IF(B177="","",SUMIFS('سجل التحفيز'!$G$5:$G$2004,'سجل التحفيز'!$AD$5:$AD$2004,"&gt;0",'سجل التحفيز'!$B$5:$B$2004,B177))</f>
        <v/>
      </c>
      <c r="G177" s="35">
        <f>IF(B177="","",COUNTIF($D$38:$D$187,"&gt;"&amp;D177)+1)</f>
        <v/>
      </c>
      <c r="H177" s="35">
        <f>IF(B177="","",INDEX(الموظفات!$L$5:$L$304,MATCH(B177,الموظفات!$B$5:$B$304,0)))</f>
        <v/>
      </c>
      <c r="K177" s="36">
        <f>IF(140&gt;$B$10,"",140)</f>
        <v/>
      </c>
      <c r="L177" s="37">
        <f>IF($K177="","",INDEX('سجل التحفيز'!$A$5:$A$2004,MATCH($K177,'سجل التحفيز'!$AD$5:$AD$2004,0)))</f>
        <v/>
      </c>
      <c r="M177" s="9">
        <f>IF($K177="","",INDEX('سجل التحفيز'!$B$5:$B$2004,MATCH($K177,'سجل التحفيز'!$AD$5:$AD$2004,0)))</f>
        <v/>
      </c>
      <c r="N177" s="9">
        <f>IF($K177="","",INDEX('سجل التحفيز'!$M$5:$M$2004,MATCH($K177,'سجل التحفيز'!$AD$5:$AD$2004,0)))</f>
        <v/>
      </c>
      <c r="O177" s="9">
        <f>IF($K177="","",INDEX('سجل التحفيز'!$C$5:$C$2004,MATCH($K177,'سجل التحفيز'!$AD$5:$AD$2004,0)))</f>
        <v/>
      </c>
      <c r="P177" s="36">
        <f>IF($K177="","",INDEX('سجل التحفيز'!$D$5:$D$2004,MATCH($K177,'سجل التحفيز'!$AD$5:$AD$2004,0)))</f>
        <v/>
      </c>
      <c r="Q177" s="9">
        <f>IF($K177="","",INDEX('سجل التحفيز'!$E$5:$E$2004,MATCH($K177,'سجل التحفيز'!$AD$5:$AD$2004,0)))</f>
        <v/>
      </c>
      <c r="R177" s="9">
        <f>IF($K177="","",INDEX('سجل التحفيز'!$F$5:$F$2004,MATCH($K177,'سجل التحفيز'!$AD$5:$AD$2004,0)))</f>
        <v/>
      </c>
      <c r="S177" s="35">
        <f>IF($K177="","",INDEX('سجل التحفيز'!$G$5:$G$2004,MATCH($K177,'سجل التحفيز'!$AD$5:$AD$2004,0)))</f>
        <v/>
      </c>
    </row>
    <row r="178">
      <c r="B178" s="34">
        <f>IFERROR(INDEX(الموظفات!$B$5:$B$304,MATCH(141,الموظفات!$X$5:$X$304,0)),"")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التحفيز'!$AD$5:$AD$2004,"&gt;0",'سجل التحفيز'!$B$5:$B$2004,B178))</f>
        <v/>
      </c>
      <c r="E178" s="35">
        <f>IF(B178="","",COUNTIFS('سجل التحفيز'!$AD$5:$AD$2004,"&gt;0",'سجل التحفيز'!$B$5:$B$2004,B178,'سجل التحفيز'!$D$5:$D$2004,"ذهبي"))</f>
        <v/>
      </c>
      <c r="F178" s="35">
        <f>IF(B178="","",SUMIFS('سجل التحفيز'!$G$5:$G$2004,'سجل التحفيز'!$AD$5:$AD$2004,"&gt;0",'سجل التحفيز'!$B$5:$B$2004,B178))</f>
        <v/>
      </c>
      <c r="G178" s="35">
        <f>IF(B178="","",COUNTIF($D$38:$D$187,"&gt;"&amp;D178)+1)</f>
        <v/>
      </c>
      <c r="H178" s="35">
        <f>IF(B178="","",INDEX(الموظفات!$L$5:$L$304,MATCH(B178,الموظفات!$B$5:$B$304,0)))</f>
        <v/>
      </c>
      <c r="K178" s="36">
        <f>IF(141&gt;$B$10,"",141)</f>
        <v/>
      </c>
      <c r="L178" s="37">
        <f>IF($K178="","",INDEX('سجل التحفيز'!$A$5:$A$2004,MATCH($K178,'سجل التحفيز'!$AD$5:$AD$2004,0)))</f>
        <v/>
      </c>
      <c r="M178" s="9">
        <f>IF($K178="","",INDEX('سجل التحفيز'!$B$5:$B$2004,MATCH($K178,'سجل التحفيز'!$AD$5:$AD$2004,0)))</f>
        <v/>
      </c>
      <c r="N178" s="9">
        <f>IF($K178="","",INDEX('سجل التحفيز'!$M$5:$M$2004,MATCH($K178,'سجل التحفيز'!$AD$5:$AD$2004,0)))</f>
        <v/>
      </c>
      <c r="O178" s="9">
        <f>IF($K178="","",INDEX('سجل التحفيز'!$C$5:$C$2004,MATCH($K178,'سجل التحفيز'!$AD$5:$AD$2004,0)))</f>
        <v/>
      </c>
      <c r="P178" s="36">
        <f>IF($K178="","",INDEX('سجل التحفيز'!$D$5:$D$2004,MATCH($K178,'سجل التحفيز'!$AD$5:$AD$2004,0)))</f>
        <v/>
      </c>
      <c r="Q178" s="9">
        <f>IF($K178="","",INDEX('سجل التحفيز'!$E$5:$E$2004,MATCH($K178,'سجل التحفيز'!$AD$5:$AD$2004,0)))</f>
        <v/>
      </c>
      <c r="R178" s="9">
        <f>IF($K178="","",INDEX('سجل التحفيز'!$F$5:$F$2004,MATCH($K178,'سجل التحفيز'!$AD$5:$AD$2004,0)))</f>
        <v/>
      </c>
      <c r="S178" s="35">
        <f>IF($K178="","",INDEX('سجل التحفيز'!$G$5:$G$2004,MATCH($K178,'سجل التحفيز'!$AD$5:$AD$2004,0)))</f>
        <v/>
      </c>
    </row>
    <row r="179">
      <c r="B179" s="34">
        <f>IFERROR(INDEX(الموظفات!$B$5:$B$304,MATCH(142,الموظفات!$X$5:$X$304,0)),"")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التحفيز'!$AD$5:$AD$2004,"&gt;0",'سجل التحفيز'!$B$5:$B$2004,B179))</f>
        <v/>
      </c>
      <c r="E179" s="35">
        <f>IF(B179="","",COUNTIFS('سجل التحفيز'!$AD$5:$AD$2004,"&gt;0",'سجل التحفيز'!$B$5:$B$2004,B179,'سجل التحفيز'!$D$5:$D$2004,"ذهبي"))</f>
        <v/>
      </c>
      <c r="F179" s="35">
        <f>IF(B179="","",SUMIFS('سجل التحفيز'!$G$5:$G$2004,'سجل التحفيز'!$AD$5:$AD$2004,"&gt;0",'سجل التحفيز'!$B$5:$B$2004,B179))</f>
        <v/>
      </c>
      <c r="G179" s="35">
        <f>IF(B179="","",COUNTIF($D$38:$D$187,"&gt;"&amp;D179)+1)</f>
        <v/>
      </c>
      <c r="H179" s="35">
        <f>IF(B179="","",INDEX(الموظفات!$L$5:$L$304,MATCH(B179,الموظفات!$B$5:$B$304,0)))</f>
        <v/>
      </c>
      <c r="K179" s="36">
        <f>IF(142&gt;$B$10,"",142)</f>
        <v/>
      </c>
      <c r="L179" s="37">
        <f>IF($K179="","",INDEX('سجل التحفيز'!$A$5:$A$2004,MATCH($K179,'سجل التحفيز'!$AD$5:$AD$2004,0)))</f>
        <v/>
      </c>
      <c r="M179" s="9">
        <f>IF($K179="","",INDEX('سجل التحفيز'!$B$5:$B$2004,MATCH($K179,'سجل التحفيز'!$AD$5:$AD$2004,0)))</f>
        <v/>
      </c>
      <c r="N179" s="9">
        <f>IF($K179="","",INDEX('سجل التحفيز'!$M$5:$M$2004,MATCH($K179,'سجل التحفيز'!$AD$5:$AD$2004,0)))</f>
        <v/>
      </c>
      <c r="O179" s="9">
        <f>IF($K179="","",INDEX('سجل التحفيز'!$C$5:$C$2004,MATCH($K179,'سجل التحفيز'!$AD$5:$AD$2004,0)))</f>
        <v/>
      </c>
      <c r="P179" s="36">
        <f>IF($K179="","",INDEX('سجل التحفيز'!$D$5:$D$2004,MATCH($K179,'سجل التحفيز'!$AD$5:$AD$2004,0)))</f>
        <v/>
      </c>
      <c r="Q179" s="9">
        <f>IF($K179="","",INDEX('سجل التحفيز'!$E$5:$E$2004,MATCH($K179,'سجل التحفيز'!$AD$5:$AD$2004,0)))</f>
        <v/>
      </c>
      <c r="R179" s="9">
        <f>IF($K179="","",INDEX('سجل التحفيز'!$F$5:$F$2004,MATCH($K179,'سجل التحفيز'!$AD$5:$AD$2004,0)))</f>
        <v/>
      </c>
      <c r="S179" s="35">
        <f>IF($K179="","",INDEX('سجل التحفيز'!$G$5:$G$2004,MATCH($K179,'سجل التحفيز'!$AD$5:$AD$2004,0)))</f>
        <v/>
      </c>
    </row>
    <row r="180">
      <c r="B180" s="34">
        <f>IFERROR(INDEX(الموظفات!$B$5:$B$304,MATCH(143,الموظفات!$X$5:$X$304,0)),"")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التحفيز'!$AD$5:$AD$2004,"&gt;0",'سجل التحفيز'!$B$5:$B$2004,B180))</f>
        <v/>
      </c>
      <c r="E180" s="35">
        <f>IF(B180="","",COUNTIFS('سجل التحفيز'!$AD$5:$AD$2004,"&gt;0",'سجل التحفيز'!$B$5:$B$2004,B180,'سجل التحفيز'!$D$5:$D$2004,"ذهبي"))</f>
        <v/>
      </c>
      <c r="F180" s="35">
        <f>IF(B180="","",SUMIFS('سجل التحفيز'!$G$5:$G$2004,'سجل التحفيز'!$AD$5:$AD$2004,"&gt;0",'سجل التحفيز'!$B$5:$B$2004,B180))</f>
        <v/>
      </c>
      <c r="G180" s="35">
        <f>IF(B180="","",COUNTIF($D$38:$D$187,"&gt;"&amp;D180)+1)</f>
        <v/>
      </c>
      <c r="H180" s="35">
        <f>IF(B180="","",INDEX(الموظفات!$L$5:$L$304,MATCH(B180,الموظفات!$B$5:$B$304,0)))</f>
        <v/>
      </c>
      <c r="K180" s="36">
        <f>IF(143&gt;$B$10,"",143)</f>
        <v/>
      </c>
      <c r="L180" s="37">
        <f>IF($K180="","",INDEX('سجل التحفيز'!$A$5:$A$2004,MATCH($K180,'سجل التحفيز'!$AD$5:$AD$2004,0)))</f>
        <v/>
      </c>
      <c r="M180" s="9">
        <f>IF($K180="","",INDEX('سجل التحفيز'!$B$5:$B$2004,MATCH($K180,'سجل التحفيز'!$AD$5:$AD$2004,0)))</f>
        <v/>
      </c>
      <c r="N180" s="9">
        <f>IF($K180="","",INDEX('سجل التحفيز'!$M$5:$M$2004,MATCH($K180,'سجل التحفيز'!$AD$5:$AD$2004,0)))</f>
        <v/>
      </c>
      <c r="O180" s="9">
        <f>IF($K180="","",INDEX('سجل التحفيز'!$C$5:$C$2004,MATCH($K180,'سجل التحفيز'!$AD$5:$AD$2004,0)))</f>
        <v/>
      </c>
      <c r="P180" s="36">
        <f>IF($K180="","",INDEX('سجل التحفيز'!$D$5:$D$2004,MATCH($K180,'سجل التحفيز'!$AD$5:$AD$2004,0)))</f>
        <v/>
      </c>
      <c r="Q180" s="9">
        <f>IF($K180="","",INDEX('سجل التحفيز'!$E$5:$E$2004,MATCH($K180,'سجل التحفيز'!$AD$5:$AD$2004,0)))</f>
        <v/>
      </c>
      <c r="R180" s="9">
        <f>IF($K180="","",INDEX('سجل التحفيز'!$F$5:$F$2004,MATCH($K180,'سجل التحفيز'!$AD$5:$AD$2004,0)))</f>
        <v/>
      </c>
      <c r="S180" s="35">
        <f>IF($K180="","",INDEX('سجل التحفيز'!$G$5:$G$2004,MATCH($K180,'سجل التحفيز'!$AD$5:$AD$2004,0)))</f>
        <v/>
      </c>
    </row>
    <row r="181">
      <c r="B181" s="34">
        <f>IFERROR(INDEX(الموظفات!$B$5:$B$304,MATCH(144,الموظفات!$X$5:$X$304,0)),"")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التحفيز'!$AD$5:$AD$2004,"&gt;0",'سجل التحفيز'!$B$5:$B$2004,B181))</f>
        <v/>
      </c>
      <c r="E181" s="35">
        <f>IF(B181="","",COUNTIFS('سجل التحفيز'!$AD$5:$AD$2004,"&gt;0",'سجل التحفيز'!$B$5:$B$2004,B181,'سجل التحفيز'!$D$5:$D$2004,"ذهبي"))</f>
        <v/>
      </c>
      <c r="F181" s="35">
        <f>IF(B181="","",SUMIFS('سجل التحفيز'!$G$5:$G$2004,'سجل التحفيز'!$AD$5:$AD$2004,"&gt;0",'سجل التحفيز'!$B$5:$B$2004,B181))</f>
        <v/>
      </c>
      <c r="G181" s="35">
        <f>IF(B181="","",COUNTIF($D$38:$D$187,"&gt;"&amp;D181)+1)</f>
        <v/>
      </c>
      <c r="H181" s="35">
        <f>IF(B181="","",INDEX(الموظفات!$L$5:$L$304,MATCH(B181,الموظفات!$B$5:$B$304,0)))</f>
        <v/>
      </c>
      <c r="K181" s="36">
        <f>IF(144&gt;$B$10,"",144)</f>
        <v/>
      </c>
      <c r="L181" s="37">
        <f>IF($K181="","",INDEX('سجل التحفيز'!$A$5:$A$2004,MATCH($K181,'سجل التحفيز'!$AD$5:$AD$2004,0)))</f>
        <v/>
      </c>
      <c r="M181" s="9">
        <f>IF($K181="","",INDEX('سجل التحفيز'!$B$5:$B$2004,MATCH($K181,'سجل التحفيز'!$AD$5:$AD$2004,0)))</f>
        <v/>
      </c>
      <c r="N181" s="9">
        <f>IF($K181="","",INDEX('سجل التحفيز'!$M$5:$M$2004,MATCH($K181,'سجل التحفيز'!$AD$5:$AD$2004,0)))</f>
        <v/>
      </c>
      <c r="O181" s="9">
        <f>IF($K181="","",INDEX('سجل التحفيز'!$C$5:$C$2004,MATCH($K181,'سجل التحفيز'!$AD$5:$AD$2004,0)))</f>
        <v/>
      </c>
      <c r="P181" s="36">
        <f>IF($K181="","",INDEX('سجل التحفيز'!$D$5:$D$2004,MATCH($K181,'سجل التحفيز'!$AD$5:$AD$2004,0)))</f>
        <v/>
      </c>
      <c r="Q181" s="9">
        <f>IF($K181="","",INDEX('سجل التحفيز'!$E$5:$E$2004,MATCH($K181,'سجل التحفيز'!$AD$5:$AD$2004,0)))</f>
        <v/>
      </c>
      <c r="R181" s="9">
        <f>IF($K181="","",INDEX('سجل التحفيز'!$F$5:$F$2004,MATCH($K181,'سجل التحفيز'!$AD$5:$AD$2004,0)))</f>
        <v/>
      </c>
      <c r="S181" s="35">
        <f>IF($K181="","",INDEX('سجل التحفيز'!$G$5:$G$2004,MATCH($K181,'سجل التحفيز'!$AD$5:$AD$2004,0)))</f>
        <v/>
      </c>
    </row>
    <row r="182">
      <c r="B182" s="34">
        <f>IFERROR(INDEX(الموظفات!$B$5:$B$304,MATCH(145,الموظفات!$X$5:$X$304,0)),"")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التحفيز'!$AD$5:$AD$2004,"&gt;0",'سجل التحفيز'!$B$5:$B$2004,B182))</f>
        <v/>
      </c>
      <c r="E182" s="35">
        <f>IF(B182="","",COUNTIFS('سجل التحفيز'!$AD$5:$AD$2004,"&gt;0",'سجل التحفيز'!$B$5:$B$2004,B182,'سجل التحفيز'!$D$5:$D$2004,"ذهبي"))</f>
        <v/>
      </c>
      <c r="F182" s="35">
        <f>IF(B182="","",SUMIFS('سجل التحفيز'!$G$5:$G$2004,'سجل التحفيز'!$AD$5:$AD$2004,"&gt;0",'سجل التحفيز'!$B$5:$B$2004,B182))</f>
        <v/>
      </c>
      <c r="G182" s="35">
        <f>IF(B182="","",COUNTIF($D$38:$D$187,"&gt;"&amp;D182)+1)</f>
        <v/>
      </c>
      <c r="H182" s="35">
        <f>IF(B182="","",INDEX(الموظفات!$L$5:$L$304,MATCH(B182,الموظفات!$B$5:$B$304,0)))</f>
        <v/>
      </c>
      <c r="K182" s="36">
        <f>IF(145&gt;$B$10,"",145)</f>
        <v/>
      </c>
      <c r="L182" s="37">
        <f>IF($K182="","",INDEX('سجل التحفيز'!$A$5:$A$2004,MATCH($K182,'سجل التحفيز'!$AD$5:$AD$2004,0)))</f>
        <v/>
      </c>
      <c r="M182" s="9">
        <f>IF($K182="","",INDEX('سجل التحفيز'!$B$5:$B$2004,MATCH($K182,'سجل التحفيز'!$AD$5:$AD$2004,0)))</f>
        <v/>
      </c>
      <c r="N182" s="9">
        <f>IF($K182="","",INDEX('سجل التحفيز'!$M$5:$M$2004,MATCH($K182,'سجل التحفيز'!$AD$5:$AD$2004,0)))</f>
        <v/>
      </c>
      <c r="O182" s="9">
        <f>IF($K182="","",INDEX('سجل التحفيز'!$C$5:$C$2004,MATCH($K182,'سجل التحفيز'!$AD$5:$AD$2004,0)))</f>
        <v/>
      </c>
      <c r="P182" s="36">
        <f>IF($K182="","",INDEX('سجل التحفيز'!$D$5:$D$2004,MATCH($K182,'سجل التحفيز'!$AD$5:$AD$2004,0)))</f>
        <v/>
      </c>
      <c r="Q182" s="9">
        <f>IF($K182="","",INDEX('سجل التحفيز'!$E$5:$E$2004,MATCH($K182,'سجل التحفيز'!$AD$5:$AD$2004,0)))</f>
        <v/>
      </c>
      <c r="R182" s="9">
        <f>IF($K182="","",INDEX('سجل التحفيز'!$F$5:$F$2004,MATCH($K182,'سجل التحفيز'!$AD$5:$AD$2004,0)))</f>
        <v/>
      </c>
      <c r="S182" s="35">
        <f>IF($K182="","",INDEX('سجل التحفيز'!$G$5:$G$2004,MATCH($K182,'سجل التحفيز'!$AD$5:$AD$2004,0)))</f>
        <v/>
      </c>
    </row>
    <row r="183">
      <c r="B183" s="34">
        <f>IFERROR(INDEX(الموظفات!$B$5:$B$304,MATCH(146,الموظفات!$X$5:$X$304,0)),"")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التحفيز'!$AD$5:$AD$2004,"&gt;0",'سجل التحفيز'!$B$5:$B$2004,B183))</f>
        <v/>
      </c>
      <c r="E183" s="35">
        <f>IF(B183="","",COUNTIFS('سجل التحفيز'!$AD$5:$AD$2004,"&gt;0",'سجل التحفيز'!$B$5:$B$2004,B183,'سجل التحفيز'!$D$5:$D$2004,"ذهبي"))</f>
        <v/>
      </c>
      <c r="F183" s="35">
        <f>IF(B183="","",SUMIFS('سجل التحفيز'!$G$5:$G$2004,'سجل التحفيز'!$AD$5:$AD$2004,"&gt;0",'سجل التحفيز'!$B$5:$B$2004,B183))</f>
        <v/>
      </c>
      <c r="G183" s="35">
        <f>IF(B183="","",COUNTIF($D$38:$D$187,"&gt;"&amp;D183)+1)</f>
        <v/>
      </c>
      <c r="H183" s="35">
        <f>IF(B183="","",INDEX(الموظفات!$L$5:$L$304,MATCH(B183,الموظفات!$B$5:$B$304,0)))</f>
        <v/>
      </c>
      <c r="K183" s="36">
        <f>IF(146&gt;$B$10,"",146)</f>
        <v/>
      </c>
      <c r="L183" s="37">
        <f>IF($K183="","",INDEX('سجل التحفيز'!$A$5:$A$2004,MATCH($K183,'سجل التحفيز'!$AD$5:$AD$2004,0)))</f>
        <v/>
      </c>
      <c r="M183" s="9">
        <f>IF($K183="","",INDEX('سجل التحفيز'!$B$5:$B$2004,MATCH($K183,'سجل التحفيز'!$AD$5:$AD$2004,0)))</f>
        <v/>
      </c>
      <c r="N183" s="9">
        <f>IF($K183="","",INDEX('سجل التحفيز'!$M$5:$M$2004,MATCH($K183,'سجل التحفيز'!$AD$5:$AD$2004,0)))</f>
        <v/>
      </c>
      <c r="O183" s="9">
        <f>IF($K183="","",INDEX('سجل التحفيز'!$C$5:$C$2004,MATCH($K183,'سجل التحفيز'!$AD$5:$AD$2004,0)))</f>
        <v/>
      </c>
      <c r="P183" s="36">
        <f>IF($K183="","",INDEX('سجل التحفيز'!$D$5:$D$2004,MATCH($K183,'سجل التحفيز'!$AD$5:$AD$2004,0)))</f>
        <v/>
      </c>
      <c r="Q183" s="9">
        <f>IF($K183="","",INDEX('سجل التحفيز'!$E$5:$E$2004,MATCH($K183,'سجل التحفيز'!$AD$5:$AD$2004,0)))</f>
        <v/>
      </c>
      <c r="R183" s="9">
        <f>IF($K183="","",INDEX('سجل التحفيز'!$F$5:$F$2004,MATCH($K183,'سجل التحفيز'!$AD$5:$AD$2004,0)))</f>
        <v/>
      </c>
      <c r="S183" s="35">
        <f>IF($K183="","",INDEX('سجل التحفيز'!$G$5:$G$2004,MATCH($K183,'سجل التحفيز'!$AD$5:$AD$2004,0)))</f>
        <v/>
      </c>
    </row>
    <row r="184">
      <c r="B184" s="34">
        <f>IFERROR(INDEX(الموظفات!$B$5:$B$304,MATCH(147,الموظفات!$X$5:$X$304,0)),"")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التحفيز'!$AD$5:$AD$2004,"&gt;0",'سجل التحفيز'!$B$5:$B$2004,B184))</f>
        <v/>
      </c>
      <c r="E184" s="35">
        <f>IF(B184="","",COUNTIFS('سجل التحفيز'!$AD$5:$AD$2004,"&gt;0",'سجل التحفيز'!$B$5:$B$2004,B184,'سجل التحفيز'!$D$5:$D$2004,"ذهبي"))</f>
        <v/>
      </c>
      <c r="F184" s="35">
        <f>IF(B184="","",SUMIFS('سجل التحفيز'!$G$5:$G$2004,'سجل التحفيز'!$AD$5:$AD$2004,"&gt;0",'سجل التحفيز'!$B$5:$B$2004,B184))</f>
        <v/>
      </c>
      <c r="G184" s="35">
        <f>IF(B184="","",COUNTIF($D$38:$D$187,"&gt;"&amp;D184)+1)</f>
        <v/>
      </c>
      <c r="H184" s="35">
        <f>IF(B184="","",INDEX(الموظفات!$L$5:$L$304,MATCH(B184,الموظفات!$B$5:$B$304,0)))</f>
        <v/>
      </c>
      <c r="K184" s="36">
        <f>IF(147&gt;$B$10,"",147)</f>
        <v/>
      </c>
      <c r="L184" s="37">
        <f>IF($K184="","",INDEX('سجل التحفيز'!$A$5:$A$2004,MATCH($K184,'سجل التحفيز'!$AD$5:$AD$2004,0)))</f>
        <v/>
      </c>
      <c r="M184" s="9">
        <f>IF($K184="","",INDEX('سجل التحفيز'!$B$5:$B$2004,MATCH($K184,'سجل التحفيز'!$AD$5:$AD$2004,0)))</f>
        <v/>
      </c>
      <c r="N184" s="9">
        <f>IF($K184="","",INDEX('سجل التحفيز'!$M$5:$M$2004,MATCH($K184,'سجل التحفيز'!$AD$5:$AD$2004,0)))</f>
        <v/>
      </c>
      <c r="O184" s="9">
        <f>IF($K184="","",INDEX('سجل التحفيز'!$C$5:$C$2004,MATCH($K184,'سجل التحفيز'!$AD$5:$AD$2004,0)))</f>
        <v/>
      </c>
      <c r="P184" s="36">
        <f>IF($K184="","",INDEX('سجل التحفيز'!$D$5:$D$2004,MATCH($K184,'سجل التحفيز'!$AD$5:$AD$2004,0)))</f>
        <v/>
      </c>
      <c r="Q184" s="9">
        <f>IF($K184="","",INDEX('سجل التحفيز'!$E$5:$E$2004,MATCH($K184,'سجل التحفيز'!$AD$5:$AD$2004,0)))</f>
        <v/>
      </c>
      <c r="R184" s="9">
        <f>IF($K184="","",INDEX('سجل التحفيز'!$F$5:$F$2004,MATCH($K184,'سجل التحفيز'!$AD$5:$AD$2004,0)))</f>
        <v/>
      </c>
      <c r="S184" s="35">
        <f>IF($K184="","",INDEX('سجل التحفيز'!$G$5:$G$2004,MATCH($K184,'سجل التحفيز'!$AD$5:$AD$2004,0)))</f>
        <v/>
      </c>
    </row>
    <row r="185">
      <c r="B185" s="34">
        <f>IFERROR(INDEX(الموظفات!$B$5:$B$304,MATCH(148,الموظفات!$X$5:$X$304,0)),"")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التحفيز'!$AD$5:$AD$2004,"&gt;0",'سجل التحفيز'!$B$5:$B$2004,B185))</f>
        <v/>
      </c>
      <c r="E185" s="35">
        <f>IF(B185="","",COUNTIFS('سجل التحفيز'!$AD$5:$AD$2004,"&gt;0",'سجل التحفيز'!$B$5:$B$2004,B185,'سجل التحفيز'!$D$5:$D$2004,"ذهبي"))</f>
        <v/>
      </c>
      <c r="F185" s="35">
        <f>IF(B185="","",SUMIFS('سجل التحفيز'!$G$5:$G$2004,'سجل التحفيز'!$AD$5:$AD$2004,"&gt;0",'سجل التحفيز'!$B$5:$B$2004,B185))</f>
        <v/>
      </c>
      <c r="G185" s="35">
        <f>IF(B185="","",COUNTIF($D$38:$D$187,"&gt;"&amp;D185)+1)</f>
        <v/>
      </c>
      <c r="H185" s="35">
        <f>IF(B185="","",INDEX(الموظفات!$L$5:$L$304,MATCH(B185,الموظفات!$B$5:$B$304,0)))</f>
        <v/>
      </c>
      <c r="K185" s="36">
        <f>IF(148&gt;$B$10,"",148)</f>
        <v/>
      </c>
      <c r="L185" s="37">
        <f>IF($K185="","",INDEX('سجل التحفيز'!$A$5:$A$2004,MATCH($K185,'سجل التحفيز'!$AD$5:$AD$2004,0)))</f>
        <v/>
      </c>
      <c r="M185" s="9">
        <f>IF($K185="","",INDEX('سجل التحفيز'!$B$5:$B$2004,MATCH($K185,'سجل التحفيز'!$AD$5:$AD$2004,0)))</f>
        <v/>
      </c>
      <c r="N185" s="9">
        <f>IF($K185="","",INDEX('سجل التحفيز'!$M$5:$M$2004,MATCH($K185,'سجل التحفيز'!$AD$5:$AD$2004,0)))</f>
        <v/>
      </c>
      <c r="O185" s="9">
        <f>IF($K185="","",INDEX('سجل التحفيز'!$C$5:$C$2004,MATCH($K185,'سجل التحفيز'!$AD$5:$AD$2004,0)))</f>
        <v/>
      </c>
      <c r="P185" s="36">
        <f>IF($K185="","",INDEX('سجل التحفيز'!$D$5:$D$2004,MATCH($K185,'سجل التحفيز'!$AD$5:$AD$2004,0)))</f>
        <v/>
      </c>
      <c r="Q185" s="9">
        <f>IF($K185="","",INDEX('سجل التحفيز'!$E$5:$E$2004,MATCH($K185,'سجل التحفيز'!$AD$5:$AD$2004,0)))</f>
        <v/>
      </c>
      <c r="R185" s="9">
        <f>IF($K185="","",INDEX('سجل التحفيز'!$F$5:$F$2004,MATCH($K185,'سجل التحفيز'!$AD$5:$AD$2004,0)))</f>
        <v/>
      </c>
      <c r="S185" s="35">
        <f>IF($K185="","",INDEX('سجل التحفيز'!$G$5:$G$2004,MATCH($K185,'سجل التحفيز'!$AD$5:$AD$2004,0)))</f>
        <v/>
      </c>
    </row>
    <row r="186">
      <c r="B186" s="34">
        <f>IFERROR(INDEX(الموظفات!$B$5:$B$304,MATCH(149,الموظفات!$X$5:$X$304,0)),"")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التحفيز'!$AD$5:$AD$2004,"&gt;0",'سجل التحفيز'!$B$5:$B$2004,B186))</f>
        <v/>
      </c>
      <c r="E186" s="35">
        <f>IF(B186="","",COUNTIFS('سجل التحفيز'!$AD$5:$AD$2004,"&gt;0",'سجل التحفيز'!$B$5:$B$2004,B186,'سجل التحفيز'!$D$5:$D$2004,"ذهبي"))</f>
        <v/>
      </c>
      <c r="F186" s="35">
        <f>IF(B186="","",SUMIFS('سجل التحفيز'!$G$5:$G$2004,'سجل التحفيز'!$AD$5:$AD$2004,"&gt;0",'سجل التحفيز'!$B$5:$B$2004,B186))</f>
        <v/>
      </c>
      <c r="G186" s="35">
        <f>IF(B186="","",COUNTIF($D$38:$D$187,"&gt;"&amp;D186)+1)</f>
        <v/>
      </c>
      <c r="H186" s="35">
        <f>IF(B186="","",INDEX(الموظفات!$L$5:$L$304,MATCH(B186,الموظفات!$B$5:$B$304,0)))</f>
        <v/>
      </c>
      <c r="K186" s="36">
        <f>IF(149&gt;$B$10,"",149)</f>
        <v/>
      </c>
      <c r="L186" s="37">
        <f>IF($K186="","",INDEX('سجل التحفيز'!$A$5:$A$2004,MATCH($K186,'سجل التحفيز'!$AD$5:$AD$2004,0)))</f>
        <v/>
      </c>
      <c r="M186" s="9">
        <f>IF($K186="","",INDEX('سجل التحفيز'!$B$5:$B$2004,MATCH($K186,'سجل التحفيز'!$AD$5:$AD$2004,0)))</f>
        <v/>
      </c>
      <c r="N186" s="9">
        <f>IF($K186="","",INDEX('سجل التحفيز'!$M$5:$M$2004,MATCH($K186,'سجل التحفيز'!$AD$5:$AD$2004,0)))</f>
        <v/>
      </c>
      <c r="O186" s="9">
        <f>IF($K186="","",INDEX('سجل التحفيز'!$C$5:$C$2004,MATCH($K186,'سجل التحفيز'!$AD$5:$AD$2004,0)))</f>
        <v/>
      </c>
      <c r="P186" s="36">
        <f>IF($K186="","",INDEX('سجل التحفيز'!$D$5:$D$2004,MATCH($K186,'سجل التحفيز'!$AD$5:$AD$2004,0)))</f>
        <v/>
      </c>
      <c r="Q186" s="9">
        <f>IF($K186="","",INDEX('سجل التحفيز'!$E$5:$E$2004,MATCH($K186,'سجل التحفيز'!$AD$5:$AD$2004,0)))</f>
        <v/>
      </c>
      <c r="R186" s="9">
        <f>IF($K186="","",INDEX('سجل التحفيز'!$F$5:$F$2004,MATCH($K186,'سجل التحفيز'!$AD$5:$AD$2004,0)))</f>
        <v/>
      </c>
      <c r="S186" s="35">
        <f>IF($K186="","",INDEX('سجل التحفيز'!$G$5:$G$2004,MATCH($K186,'سجل التحفيز'!$AD$5:$AD$2004,0)))</f>
        <v/>
      </c>
    </row>
    <row r="187">
      <c r="B187" s="34">
        <f>IFERROR(INDEX(الموظفات!$B$5:$B$304,MATCH(150,الموظفات!$X$5:$X$304,0)),"")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التحفيز'!$AD$5:$AD$2004,"&gt;0",'سجل التحفيز'!$B$5:$B$2004,B187))</f>
        <v/>
      </c>
      <c r="E187" s="35">
        <f>IF(B187="","",COUNTIFS('سجل التحفيز'!$AD$5:$AD$2004,"&gt;0",'سجل التحفيز'!$B$5:$B$2004,B187,'سجل التحفيز'!$D$5:$D$2004,"ذهبي"))</f>
        <v/>
      </c>
      <c r="F187" s="35">
        <f>IF(B187="","",SUMIFS('سجل التحفيز'!$G$5:$G$2004,'سجل التحفيز'!$AD$5:$AD$2004,"&gt;0",'سجل التحفيز'!$B$5:$B$2004,B187))</f>
        <v/>
      </c>
      <c r="G187" s="35">
        <f>IF(B187="","",COUNTIF($D$38:$D$187,"&gt;"&amp;D187)+1)</f>
        <v/>
      </c>
      <c r="H187" s="35">
        <f>IF(B187="","",INDEX(الموظفات!$L$5:$L$304,MATCH(B187,الموظفات!$B$5:$B$304,0)))</f>
        <v/>
      </c>
      <c r="K187" s="36">
        <f>IF(150&gt;$B$10,"",150)</f>
        <v/>
      </c>
      <c r="L187" s="37">
        <f>IF($K187="","",INDEX('سجل التحفيز'!$A$5:$A$2004,MATCH($K187,'سجل التحفيز'!$AD$5:$AD$2004,0)))</f>
        <v/>
      </c>
      <c r="M187" s="9">
        <f>IF($K187="","",INDEX('سجل التحفيز'!$B$5:$B$2004,MATCH($K187,'سجل التحفيز'!$AD$5:$AD$2004,0)))</f>
        <v/>
      </c>
      <c r="N187" s="9">
        <f>IF($K187="","",INDEX('سجل التحفيز'!$M$5:$M$2004,MATCH($K187,'سجل التحفيز'!$AD$5:$AD$2004,0)))</f>
        <v/>
      </c>
      <c r="O187" s="9">
        <f>IF($K187="","",INDEX('سجل التحفيز'!$C$5:$C$2004,MATCH($K187,'سجل التحفيز'!$AD$5:$AD$2004,0)))</f>
        <v/>
      </c>
      <c r="P187" s="36">
        <f>IF($K187="","",INDEX('سجل التحفيز'!$D$5:$D$2004,MATCH($K187,'سجل التحفيز'!$AD$5:$AD$2004,0)))</f>
        <v/>
      </c>
      <c r="Q187" s="9">
        <f>IF($K187="","",INDEX('سجل التحفيز'!$E$5:$E$2004,MATCH($K187,'سجل التحفيز'!$AD$5:$AD$2004,0)))</f>
        <v/>
      </c>
      <c r="R187" s="9">
        <f>IF($K187="","",INDEX('سجل التحفيز'!$F$5:$F$2004,MATCH($K187,'سجل التحفيز'!$AD$5:$AD$2004,0)))</f>
        <v/>
      </c>
      <c r="S187" s="35">
        <f>IF($K187="","",INDEX('سجل التحفيز'!$G$5:$G$2004,MATCH($K187,'سجل التحفيز'!$AD$5:$AD$2004,0)))</f>
        <v/>
      </c>
    </row>
    <row r="188">
      <c r="K188" s="36">
        <f>IF(151&gt;$B$10,"",151)</f>
        <v/>
      </c>
      <c r="L188" s="37">
        <f>IF($K188="","",INDEX('سجل التحفيز'!$A$5:$A$2004,MATCH($K188,'سجل التحفيز'!$AD$5:$AD$2004,0)))</f>
        <v/>
      </c>
      <c r="M188" s="9">
        <f>IF($K188="","",INDEX('سجل التحفيز'!$B$5:$B$2004,MATCH($K188,'سجل التحفيز'!$AD$5:$AD$2004,0)))</f>
        <v/>
      </c>
      <c r="N188" s="9">
        <f>IF($K188="","",INDEX('سجل التحفيز'!$M$5:$M$2004,MATCH($K188,'سجل التحفيز'!$AD$5:$AD$2004,0)))</f>
        <v/>
      </c>
      <c r="O188" s="9">
        <f>IF($K188="","",INDEX('سجل التحفيز'!$C$5:$C$2004,MATCH($K188,'سجل التحفيز'!$AD$5:$AD$2004,0)))</f>
        <v/>
      </c>
      <c r="P188" s="36">
        <f>IF($K188="","",INDEX('سجل التحفيز'!$D$5:$D$2004,MATCH($K188,'سجل التحفيز'!$AD$5:$AD$2004,0)))</f>
        <v/>
      </c>
      <c r="Q188" s="9">
        <f>IF($K188="","",INDEX('سجل التحفيز'!$E$5:$E$2004,MATCH($K188,'سجل التحفيز'!$AD$5:$AD$2004,0)))</f>
        <v/>
      </c>
      <c r="R188" s="9">
        <f>IF($K188="","",INDEX('سجل التحفيز'!$F$5:$F$2004,MATCH($K188,'سجل التحفيز'!$AD$5:$AD$2004,0)))</f>
        <v/>
      </c>
      <c r="S188" s="35">
        <f>IF($K188="","",INDEX('سجل التحفيز'!$G$5:$G$2004,MATCH($K188,'سجل التحفيز'!$AD$5:$AD$2004,0)))</f>
        <v/>
      </c>
    </row>
    <row r="189">
      <c r="K189" s="36">
        <f>IF(152&gt;$B$10,"",152)</f>
        <v/>
      </c>
      <c r="L189" s="37">
        <f>IF($K189="","",INDEX('سجل التحفيز'!$A$5:$A$2004,MATCH($K189,'سجل التحفيز'!$AD$5:$AD$2004,0)))</f>
        <v/>
      </c>
      <c r="M189" s="9">
        <f>IF($K189="","",INDEX('سجل التحفيز'!$B$5:$B$2004,MATCH($K189,'سجل التحفيز'!$AD$5:$AD$2004,0)))</f>
        <v/>
      </c>
      <c r="N189" s="9">
        <f>IF($K189="","",INDEX('سجل التحفيز'!$M$5:$M$2004,MATCH($K189,'سجل التحفيز'!$AD$5:$AD$2004,0)))</f>
        <v/>
      </c>
      <c r="O189" s="9">
        <f>IF($K189="","",INDEX('سجل التحفيز'!$C$5:$C$2004,MATCH($K189,'سجل التحفيز'!$AD$5:$AD$2004,0)))</f>
        <v/>
      </c>
      <c r="P189" s="36">
        <f>IF($K189="","",INDEX('سجل التحفيز'!$D$5:$D$2004,MATCH($K189,'سجل التحفيز'!$AD$5:$AD$2004,0)))</f>
        <v/>
      </c>
      <c r="Q189" s="9">
        <f>IF($K189="","",INDEX('سجل التحفيز'!$E$5:$E$2004,MATCH($K189,'سجل التحفيز'!$AD$5:$AD$2004,0)))</f>
        <v/>
      </c>
      <c r="R189" s="9">
        <f>IF($K189="","",INDEX('سجل التحفيز'!$F$5:$F$2004,MATCH($K189,'سجل التحفيز'!$AD$5:$AD$2004,0)))</f>
        <v/>
      </c>
      <c r="S189" s="35">
        <f>IF($K189="","",INDEX('سجل التحفيز'!$G$5:$G$2004,MATCH($K189,'سجل التحفيز'!$AD$5:$AD$2004,0)))</f>
        <v/>
      </c>
    </row>
    <row r="190">
      <c r="K190" s="36">
        <f>IF(153&gt;$B$10,"",153)</f>
        <v/>
      </c>
      <c r="L190" s="37">
        <f>IF($K190="","",INDEX('سجل التحفيز'!$A$5:$A$2004,MATCH($K190,'سجل التحفيز'!$AD$5:$AD$2004,0)))</f>
        <v/>
      </c>
      <c r="M190" s="9">
        <f>IF($K190="","",INDEX('سجل التحفيز'!$B$5:$B$2004,MATCH($K190,'سجل التحفيز'!$AD$5:$AD$2004,0)))</f>
        <v/>
      </c>
      <c r="N190" s="9">
        <f>IF($K190="","",INDEX('سجل التحفيز'!$M$5:$M$2004,MATCH($K190,'سجل التحفيز'!$AD$5:$AD$2004,0)))</f>
        <v/>
      </c>
      <c r="O190" s="9">
        <f>IF($K190="","",INDEX('سجل التحفيز'!$C$5:$C$2004,MATCH($K190,'سجل التحفيز'!$AD$5:$AD$2004,0)))</f>
        <v/>
      </c>
      <c r="P190" s="36">
        <f>IF($K190="","",INDEX('سجل التحفيز'!$D$5:$D$2004,MATCH($K190,'سجل التحفيز'!$AD$5:$AD$2004,0)))</f>
        <v/>
      </c>
      <c r="Q190" s="9">
        <f>IF($K190="","",INDEX('سجل التحفيز'!$E$5:$E$2004,MATCH($K190,'سجل التحفيز'!$AD$5:$AD$2004,0)))</f>
        <v/>
      </c>
      <c r="R190" s="9">
        <f>IF($K190="","",INDEX('سجل التحفيز'!$F$5:$F$2004,MATCH($K190,'سجل التحفيز'!$AD$5:$AD$2004,0)))</f>
        <v/>
      </c>
      <c r="S190" s="35">
        <f>IF($K190="","",INDEX('سجل التحفيز'!$G$5:$G$2004,MATCH($K190,'سجل التحفيز'!$AD$5:$AD$2004,0)))</f>
        <v/>
      </c>
    </row>
    <row r="191">
      <c r="K191" s="36">
        <f>IF(154&gt;$B$10,"",154)</f>
        <v/>
      </c>
      <c r="L191" s="37">
        <f>IF($K191="","",INDEX('سجل التحفيز'!$A$5:$A$2004,MATCH($K191,'سجل التحفيز'!$AD$5:$AD$2004,0)))</f>
        <v/>
      </c>
      <c r="M191" s="9">
        <f>IF($K191="","",INDEX('سجل التحفيز'!$B$5:$B$2004,MATCH($K191,'سجل التحفيز'!$AD$5:$AD$2004,0)))</f>
        <v/>
      </c>
      <c r="N191" s="9">
        <f>IF($K191="","",INDEX('سجل التحفيز'!$M$5:$M$2004,MATCH($K191,'سجل التحفيز'!$AD$5:$AD$2004,0)))</f>
        <v/>
      </c>
      <c r="O191" s="9">
        <f>IF($K191="","",INDEX('سجل التحفيز'!$C$5:$C$2004,MATCH($K191,'سجل التحفيز'!$AD$5:$AD$2004,0)))</f>
        <v/>
      </c>
      <c r="P191" s="36">
        <f>IF($K191="","",INDEX('سجل التحفيز'!$D$5:$D$2004,MATCH($K191,'سجل التحفيز'!$AD$5:$AD$2004,0)))</f>
        <v/>
      </c>
      <c r="Q191" s="9">
        <f>IF($K191="","",INDEX('سجل التحفيز'!$E$5:$E$2004,MATCH($K191,'سجل التحفيز'!$AD$5:$AD$2004,0)))</f>
        <v/>
      </c>
      <c r="R191" s="9">
        <f>IF($K191="","",INDEX('سجل التحفيز'!$F$5:$F$2004,MATCH($K191,'سجل التحفيز'!$AD$5:$AD$2004,0)))</f>
        <v/>
      </c>
      <c r="S191" s="35">
        <f>IF($K191="","",INDEX('سجل التحفيز'!$G$5:$G$2004,MATCH($K191,'سجل التحفيز'!$AD$5:$AD$2004,0)))</f>
        <v/>
      </c>
    </row>
    <row r="192">
      <c r="K192" s="36">
        <f>IF(155&gt;$B$10,"",155)</f>
        <v/>
      </c>
      <c r="L192" s="37">
        <f>IF($K192="","",INDEX('سجل التحفيز'!$A$5:$A$2004,MATCH($K192,'سجل التحفيز'!$AD$5:$AD$2004,0)))</f>
        <v/>
      </c>
      <c r="M192" s="9">
        <f>IF($K192="","",INDEX('سجل التحفيز'!$B$5:$B$2004,MATCH($K192,'سجل التحفيز'!$AD$5:$AD$2004,0)))</f>
        <v/>
      </c>
      <c r="N192" s="9">
        <f>IF($K192="","",INDEX('سجل التحفيز'!$M$5:$M$2004,MATCH($K192,'سجل التحفيز'!$AD$5:$AD$2004,0)))</f>
        <v/>
      </c>
      <c r="O192" s="9">
        <f>IF($K192="","",INDEX('سجل التحفيز'!$C$5:$C$2004,MATCH($K192,'سجل التحفيز'!$AD$5:$AD$2004,0)))</f>
        <v/>
      </c>
      <c r="P192" s="36">
        <f>IF($K192="","",INDEX('سجل التحفيز'!$D$5:$D$2004,MATCH($K192,'سجل التحفيز'!$AD$5:$AD$2004,0)))</f>
        <v/>
      </c>
      <c r="Q192" s="9">
        <f>IF($K192="","",INDEX('سجل التحفيز'!$E$5:$E$2004,MATCH($K192,'سجل التحفيز'!$AD$5:$AD$2004,0)))</f>
        <v/>
      </c>
      <c r="R192" s="9">
        <f>IF($K192="","",INDEX('سجل التحفيز'!$F$5:$F$2004,MATCH($K192,'سجل التحفيز'!$AD$5:$AD$2004,0)))</f>
        <v/>
      </c>
      <c r="S192" s="35">
        <f>IF($K192="","",INDEX('سجل التحفيز'!$G$5:$G$2004,MATCH($K192,'سجل التحفيز'!$AD$5:$AD$2004,0)))</f>
        <v/>
      </c>
    </row>
    <row r="193">
      <c r="K193" s="36">
        <f>IF(156&gt;$B$10,"",156)</f>
        <v/>
      </c>
      <c r="L193" s="37">
        <f>IF($K193="","",INDEX('سجل التحفيز'!$A$5:$A$2004,MATCH($K193,'سجل التحفيز'!$AD$5:$AD$2004,0)))</f>
        <v/>
      </c>
      <c r="M193" s="9">
        <f>IF($K193="","",INDEX('سجل التحفيز'!$B$5:$B$2004,MATCH($K193,'سجل التحفيز'!$AD$5:$AD$2004,0)))</f>
        <v/>
      </c>
      <c r="N193" s="9">
        <f>IF($K193="","",INDEX('سجل التحفيز'!$M$5:$M$2004,MATCH($K193,'سجل التحفيز'!$AD$5:$AD$2004,0)))</f>
        <v/>
      </c>
      <c r="O193" s="9">
        <f>IF($K193="","",INDEX('سجل التحفيز'!$C$5:$C$2004,MATCH($K193,'سجل التحفيز'!$AD$5:$AD$2004,0)))</f>
        <v/>
      </c>
      <c r="P193" s="36">
        <f>IF($K193="","",INDEX('سجل التحفيز'!$D$5:$D$2004,MATCH($K193,'سجل التحفيز'!$AD$5:$AD$2004,0)))</f>
        <v/>
      </c>
      <c r="Q193" s="9">
        <f>IF($K193="","",INDEX('سجل التحفيز'!$E$5:$E$2004,MATCH($K193,'سجل التحفيز'!$AD$5:$AD$2004,0)))</f>
        <v/>
      </c>
      <c r="R193" s="9">
        <f>IF($K193="","",INDEX('سجل التحفيز'!$F$5:$F$2004,MATCH($K193,'سجل التحفيز'!$AD$5:$AD$2004,0)))</f>
        <v/>
      </c>
      <c r="S193" s="35">
        <f>IF($K193="","",INDEX('سجل التحفيز'!$G$5:$G$2004,MATCH($K193,'سجل التحفيز'!$AD$5:$AD$2004,0)))</f>
        <v/>
      </c>
    </row>
    <row r="194">
      <c r="K194" s="36">
        <f>IF(157&gt;$B$10,"",157)</f>
        <v/>
      </c>
      <c r="L194" s="37">
        <f>IF($K194="","",INDEX('سجل التحفيز'!$A$5:$A$2004,MATCH($K194,'سجل التحفيز'!$AD$5:$AD$2004,0)))</f>
        <v/>
      </c>
      <c r="M194" s="9">
        <f>IF($K194="","",INDEX('سجل التحفيز'!$B$5:$B$2004,MATCH($K194,'سجل التحفيز'!$AD$5:$AD$2004,0)))</f>
        <v/>
      </c>
      <c r="N194" s="9">
        <f>IF($K194="","",INDEX('سجل التحفيز'!$M$5:$M$2004,MATCH($K194,'سجل التحفيز'!$AD$5:$AD$2004,0)))</f>
        <v/>
      </c>
      <c r="O194" s="9">
        <f>IF($K194="","",INDEX('سجل التحفيز'!$C$5:$C$2004,MATCH($K194,'سجل التحفيز'!$AD$5:$AD$2004,0)))</f>
        <v/>
      </c>
      <c r="P194" s="36">
        <f>IF($K194="","",INDEX('سجل التحفيز'!$D$5:$D$2004,MATCH($K194,'سجل التحفيز'!$AD$5:$AD$2004,0)))</f>
        <v/>
      </c>
      <c r="Q194" s="9">
        <f>IF($K194="","",INDEX('سجل التحفيز'!$E$5:$E$2004,MATCH($K194,'سجل التحفيز'!$AD$5:$AD$2004,0)))</f>
        <v/>
      </c>
      <c r="R194" s="9">
        <f>IF($K194="","",INDEX('سجل التحفيز'!$F$5:$F$2004,MATCH($K194,'سجل التحفيز'!$AD$5:$AD$2004,0)))</f>
        <v/>
      </c>
      <c r="S194" s="35">
        <f>IF($K194="","",INDEX('سجل التحفيز'!$G$5:$G$2004,MATCH($K194,'سجل التحفيز'!$AD$5:$AD$2004,0)))</f>
        <v/>
      </c>
    </row>
    <row r="195">
      <c r="K195" s="36">
        <f>IF(158&gt;$B$10,"",158)</f>
        <v/>
      </c>
      <c r="L195" s="37">
        <f>IF($K195="","",INDEX('سجل التحفيز'!$A$5:$A$2004,MATCH($K195,'سجل التحفيز'!$AD$5:$AD$2004,0)))</f>
        <v/>
      </c>
      <c r="M195" s="9">
        <f>IF($K195="","",INDEX('سجل التحفيز'!$B$5:$B$2004,MATCH($K195,'سجل التحفيز'!$AD$5:$AD$2004,0)))</f>
        <v/>
      </c>
      <c r="N195" s="9">
        <f>IF($K195="","",INDEX('سجل التحفيز'!$M$5:$M$2004,MATCH($K195,'سجل التحفيز'!$AD$5:$AD$2004,0)))</f>
        <v/>
      </c>
      <c r="O195" s="9">
        <f>IF($K195="","",INDEX('سجل التحفيز'!$C$5:$C$2004,MATCH($K195,'سجل التحفيز'!$AD$5:$AD$2004,0)))</f>
        <v/>
      </c>
      <c r="P195" s="36">
        <f>IF($K195="","",INDEX('سجل التحفيز'!$D$5:$D$2004,MATCH($K195,'سجل التحفيز'!$AD$5:$AD$2004,0)))</f>
        <v/>
      </c>
      <c r="Q195" s="9">
        <f>IF($K195="","",INDEX('سجل التحفيز'!$E$5:$E$2004,MATCH($K195,'سجل التحفيز'!$AD$5:$AD$2004,0)))</f>
        <v/>
      </c>
      <c r="R195" s="9">
        <f>IF($K195="","",INDEX('سجل التحفيز'!$F$5:$F$2004,MATCH($K195,'سجل التحفيز'!$AD$5:$AD$2004,0)))</f>
        <v/>
      </c>
      <c r="S195" s="35">
        <f>IF($K195="","",INDEX('سجل التحفيز'!$G$5:$G$2004,MATCH($K195,'سجل التحفيز'!$AD$5:$AD$2004,0)))</f>
        <v/>
      </c>
    </row>
    <row r="196">
      <c r="K196" s="36">
        <f>IF(159&gt;$B$10,"",159)</f>
        <v/>
      </c>
      <c r="L196" s="37">
        <f>IF($K196="","",INDEX('سجل التحفيز'!$A$5:$A$2004,MATCH($K196,'سجل التحفيز'!$AD$5:$AD$2004,0)))</f>
        <v/>
      </c>
      <c r="M196" s="9">
        <f>IF($K196="","",INDEX('سجل التحفيز'!$B$5:$B$2004,MATCH($K196,'سجل التحفيز'!$AD$5:$AD$2004,0)))</f>
        <v/>
      </c>
      <c r="N196" s="9">
        <f>IF($K196="","",INDEX('سجل التحفيز'!$M$5:$M$2004,MATCH($K196,'سجل التحفيز'!$AD$5:$AD$2004,0)))</f>
        <v/>
      </c>
      <c r="O196" s="9">
        <f>IF($K196="","",INDEX('سجل التحفيز'!$C$5:$C$2004,MATCH($K196,'سجل التحفيز'!$AD$5:$AD$2004,0)))</f>
        <v/>
      </c>
      <c r="P196" s="36">
        <f>IF($K196="","",INDEX('سجل التحفيز'!$D$5:$D$2004,MATCH($K196,'سجل التحفيز'!$AD$5:$AD$2004,0)))</f>
        <v/>
      </c>
      <c r="Q196" s="9">
        <f>IF($K196="","",INDEX('سجل التحفيز'!$E$5:$E$2004,MATCH($K196,'سجل التحفيز'!$AD$5:$AD$2004,0)))</f>
        <v/>
      </c>
      <c r="R196" s="9">
        <f>IF($K196="","",INDEX('سجل التحفيز'!$F$5:$F$2004,MATCH($K196,'سجل التحفيز'!$AD$5:$AD$2004,0)))</f>
        <v/>
      </c>
      <c r="S196" s="35">
        <f>IF($K196="","",INDEX('سجل التحفيز'!$G$5:$G$2004,MATCH($K196,'سجل التحفيز'!$AD$5:$AD$2004,0)))</f>
        <v/>
      </c>
    </row>
    <row r="197">
      <c r="K197" s="36">
        <f>IF(160&gt;$B$10,"",160)</f>
        <v/>
      </c>
      <c r="L197" s="37">
        <f>IF($K197="","",INDEX('سجل التحفيز'!$A$5:$A$2004,MATCH($K197,'سجل التحفيز'!$AD$5:$AD$2004,0)))</f>
        <v/>
      </c>
      <c r="M197" s="9">
        <f>IF($K197="","",INDEX('سجل التحفيز'!$B$5:$B$2004,MATCH($K197,'سجل التحفيز'!$AD$5:$AD$2004,0)))</f>
        <v/>
      </c>
      <c r="N197" s="9">
        <f>IF($K197="","",INDEX('سجل التحفيز'!$M$5:$M$2004,MATCH($K197,'سجل التحفيز'!$AD$5:$AD$2004,0)))</f>
        <v/>
      </c>
      <c r="O197" s="9">
        <f>IF($K197="","",INDEX('سجل التحفيز'!$C$5:$C$2004,MATCH($K197,'سجل التحفيز'!$AD$5:$AD$2004,0)))</f>
        <v/>
      </c>
      <c r="P197" s="36">
        <f>IF($K197="","",INDEX('سجل التحفيز'!$D$5:$D$2004,MATCH($K197,'سجل التحفيز'!$AD$5:$AD$2004,0)))</f>
        <v/>
      </c>
      <c r="Q197" s="9">
        <f>IF($K197="","",INDEX('سجل التحفيز'!$E$5:$E$2004,MATCH($K197,'سجل التحفيز'!$AD$5:$AD$2004,0)))</f>
        <v/>
      </c>
      <c r="R197" s="9">
        <f>IF($K197="","",INDEX('سجل التحفيز'!$F$5:$F$2004,MATCH($K197,'سجل التحفيز'!$AD$5:$AD$2004,0)))</f>
        <v/>
      </c>
      <c r="S197" s="35">
        <f>IF($K197="","",INDEX('سجل التحفيز'!$G$5:$G$2004,MATCH($K197,'سجل التحفيز'!$AD$5:$AD$2004,0)))</f>
        <v/>
      </c>
    </row>
    <row r="198">
      <c r="K198" s="36">
        <f>IF(161&gt;$B$10,"",161)</f>
        <v/>
      </c>
      <c r="L198" s="37">
        <f>IF($K198="","",INDEX('سجل التحفيز'!$A$5:$A$2004,MATCH($K198,'سجل التحفيز'!$AD$5:$AD$2004,0)))</f>
        <v/>
      </c>
      <c r="M198" s="9">
        <f>IF($K198="","",INDEX('سجل التحفيز'!$B$5:$B$2004,MATCH($K198,'سجل التحفيز'!$AD$5:$AD$2004,0)))</f>
        <v/>
      </c>
      <c r="N198" s="9">
        <f>IF($K198="","",INDEX('سجل التحفيز'!$M$5:$M$2004,MATCH($K198,'سجل التحفيز'!$AD$5:$AD$2004,0)))</f>
        <v/>
      </c>
      <c r="O198" s="9">
        <f>IF($K198="","",INDEX('سجل التحفيز'!$C$5:$C$2004,MATCH($K198,'سجل التحفيز'!$AD$5:$AD$2004,0)))</f>
        <v/>
      </c>
      <c r="P198" s="36">
        <f>IF($K198="","",INDEX('سجل التحفيز'!$D$5:$D$2004,MATCH($K198,'سجل التحفيز'!$AD$5:$AD$2004,0)))</f>
        <v/>
      </c>
      <c r="Q198" s="9">
        <f>IF($K198="","",INDEX('سجل التحفيز'!$E$5:$E$2004,MATCH($K198,'سجل التحفيز'!$AD$5:$AD$2004,0)))</f>
        <v/>
      </c>
      <c r="R198" s="9">
        <f>IF($K198="","",INDEX('سجل التحفيز'!$F$5:$F$2004,MATCH($K198,'سجل التحفيز'!$AD$5:$AD$2004,0)))</f>
        <v/>
      </c>
      <c r="S198" s="35">
        <f>IF($K198="","",INDEX('سجل التحفيز'!$G$5:$G$2004,MATCH($K198,'سجل التحفيز'!$AD$5:$AD$2004,0)))</f>
        <v/>
      </c>
    </row>
    <row r="199">
      <c r="K199" s="36">
        <f>IF(162&gt;$B$10,"",162)</f>
        <v/>
      </c>
      <c r="L199" s="37">
        <f>IF($K199="","",INDEX('سجل التحفيز'!$A$5:$A$2004,MATCH($K199,'سجل التحفيز'!$AD$5:$AD$2004,0)))</f>
        <v/>
      </c>
      <c r="M199" s="9">
        <f>IF($K199="","",INDEX('سجل التحفيز'!$B$5:$B$2004,MATCH($K199,'سجل التحفيز'!$AD$5:$AD$2004,0)))</f>
        <v/>
      </c>
      <c r="N199" s="9">
        <f>IF($K199="","",INDEX('سجل التحفيز'!$M$5:$M$2004,MATCH($K199,'سجل التحفيز'!$AD$5:$AD$2004,0)))</f>
        <v/>
      </c>
      <c r="O199" s="9">
        <f>IF($K199="","",INDEX('سجل التحفيز'!$C$5:$C$2004,MATCH($K199,'سجل التحفيز'!$AD$5:$AD$2004,0)))</f>
        <v/>
      </c>
      <c r="P199" s="36">
        <f>IF($K199="","",INDEX('سجل التحفيز'!$D$5:$D$2004,MATCH($K199,'سجل التحفيز'!$AD$5:$AD$2004,0)))</f>
        <v/>
      </c>
      <c r="Q199" s="9">
        <f>IF($K199="","",INDEX('سجل التحفيز'!$E$5:$E$2004,MATCH($K199,'سجل التحفيز'!$AD$5:$AD$2004,0)))</f>
        <v/>
      </c>
      <c r="R199" s="9">
        <f>IF($K199="","",INDEX('سجل التحفيز'!$F$5:$F$2004,MATCH($K199,'سجل التحفيز'!$AD$5:$AD$2004,0)))</f>
        <v/>
      </c>
      <c r="S199" s="35">
        <f>IF($K199="","",INDEX('سجل التحفيز'!$G$5:$G$2004,MATCH($K199,'سجل التحفيز'!$AD$5:$AD$2004,0)))</f>
        <v/>
      </c>
    </row>
    <row r="200">
      <c r="K200" s="36">
        <f>IF(163&gt;$B$10,"",163)</f>
        <v/>
      </c>
      <c r="L200" s="37">
        <f>IF($K200="","",INDEX('سجل التحفيز'!$A$5:$A$2004,MATCH($K200,'سجل التحفيز'!$AD$5:$AD$2004,0)))</f>
        <v/>
      </c>
      <c r="M200" s="9">
        <f>IF($K200="","",INDEX('سجل التحفيز'!$B$5:$B$2004,MATCH($K200,'سجل التحفيز'!$AD$5:$AD$2004,0)))</f>
        <v/>
      </c>
      <c r="N200" s="9">
        <f>IF($K200="","",INDEX('سجل التحفيز'!$M$5:$M$2004,MATCH($K200,'سجل التحفيز'!$AD$5:$AD$2004,0)))</f>
        <v/>
      </c>
      <c r="O200" s="9">
        <f>IF($K200="","",INDEX('سجل التحفيز'!$C$5:$C$2004,MATCH($K200,'سجل التحفيز'!$AD$5:$AD$2004,0)))</f>
        <v/>
      </c>
      <c r="P200" s="36">
        <f>IF($K200="","",INDEX('سجل التحفيز'!$D$5:$D$2004,MATCH($K200,'سجل التحفيز'!$AD$5:$AD$2004,0)))</f>
        <v/>
      </c>
      <c r="Q200" s="9">
        <f>IF($K200="","",INDEX('سجل التحفيز'!$E$5:$E$2004,MATCH($K200,'سجل التحفيز'!$AD$5:$AD$2004,0)))</f>
        <v/>
      </c>
      <c r="R200" s="9">
        <f>IF($K200="","",INDEX('سجل التحفيز'!$F$5:$F$2004,MATCH($K200,'سجل التحفيز'!$AD$5:$AD$2004,0)))</f>
        <v/>
      </c>
      <c r="S200" s="35">
        <f>IF($K200="","",INDEX('سجل التحفيز'!$G$5:$G$2004,MATCH($K200,'سجل التحفيز'!$AD$5:$AD$2004,0)))</f>
        <v/>
      </c>
    </row>
    <row r="201">
      <c r="K201" s="36">
        <f>IF(164&gt;$B$10,"",164)</f>
        <v/>
      </c>
      <c r="L201" s="37">
        <f>IF($K201="","",INDEX('سجل التحفيز'!$A$5:$A$2004,MATCH($K201,'سجل التحفيز'!$AD$5:$AD$2004,0)))</f>
        <v/>
      </c>
      <c r="M201" s="9">
        <f>IF($K201="","",INDEX('سجل التحفيز'!$B$5:$B$2004,MATCH($K201,'سجل التحفيز'!$AD$5:$AD$2004,0)))</f>
        <v/>
      </c>
      <c r="N201" s="9">
        <f>IF($K201="","",INDEX('سجل التحفيز'!$M$5:$M$2004,MATCH($K201,'سجل التحفيز'!$AD$5:$AD$2004,0)))</f>
        <v/>
      </c>
      <c r="O201" s="9">
        <f>IF($K201="","",INDEX('سجل التحفيز'!$C$5:$C$2004,MATCH($K201,'سجل التحفيز'!$AD$5:$AD$2004,0)))</f>
        <v/>
      </c>
      <c r="P201" s="36">
        <f>IF($K201="","",INDEX('سجل التحفيز'!$D$5:$D$2004,MATCH($K201,'سجل التحفيز'!$AD$5:$AD$2004,0)))</f>
        <v/>
      </c>
      <c r="Q201" s="9">
        <f>IF($K201="","",INDEX('سجل التحفيز'!$E$5:$E$2004,MATCH($K201,'سجل التحفيز'!$AD$5:$AD$2004,0)))</f>
        <v/>
      </c>
      <c r="R201" s="9">
        <f>IF($K201="","",INDEX('سجل التحفيز'!$F$5:$F$2004,MATCH($K201,'سجل التحفيز'!$AD$5:$AD$2004,0)))</f>
        <v/>
      </c>
      <c r="S201" s="35">
        <f>IF($K201="","",INDEX('سجل التحفيز'!$G$5:$G$2004,MATCH($K201,'سجل التحفيز'!$AD$5:$AD$2004,0)))</f>
        <v/>
      </c>
    </row>
    <row r="202">
      <c r="K202" s="36">
        <f>IF(165&gt;$B$10,"",165)</f>
        <v/>
      </c>
      <c r="L202" s="37">
        <f>IF($K202="","",INDEX('سجل التحفيز'!$A$5:$A$2004,MATCH($K202,'سجل التحفيز'!$AD$5:$AD$2004,0)))</f>
        <v/>
      </c>
      <c r="M202" s="9">
        <f>IF($K202="","",INDEX('سجل التحفيز'!$B$5:$B$2004,MATCH($K202,'سجل التحفيز'!$AD$5:$AD$2004,0)))</f>
        <v/>
      </c>
      <c r="N202" s="9">
        <f>IF($K202="","",INDEX('سجل التحفيز'!$M$5:$M$2004,MATCH($K202,'سجل التحفيز'!$AD$5:$AD$2004,0)))</f>
        <v/>
      </c>
      <c r="O202" s="9">
        <f>IF($K202="","",INDEX('سجل التحفيز'!$C$5:$C$2004,MATCH($K202,'سجل التحفيز'!$AD$5:$AD$2004,0)))</f>
        <v/>
      </c>
      <c r="P202" s="36">
        <f>IF($K202="","",INDEX('سجل التحفيز'!$D$5:$D$2004,MATCH($K202,'سجل التحفيز'!$AD$5:$AD$2004,0)))</f>
        <v/>
      </c>
      <c r="Q202" s="9">
        <f>IF($K202="","",INDEX('سجل التحفيز'!$E$5:$E$2004,MATCH($K202,'سجل التحفيز'!$AD$5:$AD$2004,0)))</f>
        <v/>
      </c>
      <c r="R202" s="9">
        <f>IF($K202="","",INDEX('سجل التحفيز'!$F$5:$F$2004,MATCH($K202,'سجل التحفيز'!$AD$5:$AD$2004,0)))</f>
        <v/>
      </c>
      <c r="S202" s="35">
        <f>IF($K202="","",INDEX('سجل التحفيز'!$G$5:$G$2004,MATCH($K202,'سجل التحفيز'!$AD$5:$AD$2004,0)))</f>
        <v/>
      </c>
    </row>
    <row r="203">
      <c r="K203" s="36">
        <f>IF(166&gt;$B$10,"",166)</f>
        <v/>
      </c>
      <c r="L203" s="37">
        <f>IF($K203="","",INDEX('سجل التحفيز'!$A$5:$A$2004,MATCH($K203,'سجل التحفيز'!$AD$5:$AD$2004,0)))</f>
        <v/>
      </c>
      <c r="M203" s="9">
        <f>IF($K203="","",INDEX('سجل التحفيز'!$B$5:$B$2004,MATCH($K203,'سجل التحفيز'!$AD$5:$AD$2004,0)))</f>
        <v/>
      </c>
      <c r="N203" s="9">
        <f>IF($K203="","",INDEX('سجل التحفيز'!$M$5:$M$2004,MATCH($K203,'سجل التحفيز'!$AD$5:$AD$2004,0)))</f>
        <v/>
      </c>
      <c r="O203" s="9">
        <f>IF($K203="","",INDEX('سجل التحفيز'!$C$5:$C$2004,MATCH($K203,'سجل التحفيز'!$AD$5:$AD$2004,0)))</f>
        <v/>
      </c>
      <c r="P203" s="36">
        <f>IF($K203="","",INDEX('سجل التحفيز'!$D$5:$D$2004,MATCH($K203,'سجل التحفيز'!$AD$5:$AD$2004,0)))</f>
        <v/>
      </c>
      <c r="Q203" s="9">
        <f>IF($K203="","",INDEX('سجل التحفيز'!$E$5:$E$2004,MATCH($K203,'سجل التحفيز'!$AD$5:$AD$2004,0)))</f>
        <v/>
      </c>
      <c r="R203" s="9">
        <f>IF($K203="","",INDEX('سجل التحفيز'!$F$5:$F$2004,MATCH($K203,'سجل التحفيز'!$AD$5:$AD$2004,0)))</f>
        <v/>
      </c>
      <c r="S203" s="35">
        <f>IF($K203="","",INDEX('سجل التحفيز'!$G$5:$G$2004,MATCH($K203,'سجل التحفيز'!$AD$5:$AD$2004,0)))</f>
        <v/>
      </c>
    </row>
    <row r="204">
      <c r="K204" s="36">
        <f>IF(167&gt;$B$10,"",167)</f>
        <v/>
      </c>
      <c r="L204" s="37">
        <f>IF($K204="","",INDEX('سجل التحفيز'!$A$5:$A$2004,MATCH($K204,'سجل التحفيز'!$AD$5:$AD$2004,0)))</f>
        <v/>
      </c>
      <c r="M204" s="9">
        <f>IF($K204="","",INDEX('سجل التحفيز'!$B$5:$B$2004,MATCH($K204,'سجل التحفيز'!$AD$5:$AD$2004,0)))</f>
        <v/>
      </c>
      <c r="N204" s="9">
        <f>IF($K204="","",INDEX('سجل التحفيز'!$M$5:$M$2004,MATCH($K204,'سجل التحفيز'!$AD$5:$AD$2004,0)))</f>
        <v/>
      </c>
      <c r="O204" s="9">
        <f>IF($K204="","",INDEX('سجل التحفيز'!$C$5:$C$2004,MATCH($K204,'سجل التحفيز'!$AD$5:$AD$2004,0)))</f>
        <v/>
      </c>
      <c r="P204" s="36">
        <f>IF($K204="","",INDEX('سجل التحفيز'!$D$5:$D$2004,MATCH($K204,'سجل التحفيز'!$AD$5:$AD$2004,0)))</f>
        <v/>
      </c>
      <c r="Q204" s="9">
        <f>IF($K204="","",INDEX('سجل التحفيز'!$E$5:$E$2004,MATCH($K204,'سجل التحفيز'!$AD$5:$AD$2004,0)))</f>
        <v/>
      </c>
      <c r="R204" s="9">
        <f>IF($K204="","",INDEX('سجل التحفيز'!$F$5:$F$2004,MATCH($K204,'سجل التحفيز'!$AD$5:$AD$2004,0)))</f>
        <v/>
      </c>
      <c r="S204" s="35">
        <f>IF($K204="","",INDEX('سجل التحفيز'!$G$5:$G$2004,MATCH($K204,'سجل التحفيز'!$AD$5:$AD$2004,0)))</f>
        <v/>
      </c>
    </row>
    <row r="205">
      <c r="K205" s="36">
        <f>IF(168&gt;$B$10,"",168)</f>
        <v/>
      </c>
      <c r="L205" s="37">
        <f>IF($K205="","",INDEX('سجل التحفيز'!$A$5:$A$2004,MATCH($K205,'سجل التحفيز'!$AD$5:$AD$2004,0)))</f>
        <v/>
      </c>
      <c r="M205" s="9">
        <f>IF($K205="","",INDEX('سجل التحفيز'!$B$5:$B$2004,MATCH($K205,'سجل التحفيز'!$AD$5:$AD$2004,0)))</f>
        <v/>
      </c>
      <c r="N205" s="9">
        <f>IF($K205="","",INDEX('سجل التحفيز'!$M$5:$M$2004,MATCH($K205,'سجل التحفيز'!$AD$5:$AD$2004,0)))</f>
        <v/>
      </c>
      <c r="O205" s="9">
        <f>IF($K205="","",INDEX('سجل التحفيز'!$C$5:$C$2004,MATCH($K205,'سجل التحفيز'!$AD$5:$AD$2004,0)))</f>
        <v/>
      </c>
      <c r="P205" s="36">
        <f>IF($K205="","",INDEX('سجل التحفيز'!$D$5:$D$2004,MATCH($K205,'سجل التحفيز'!$AD$5:$AD$2004,0)))</f>
        <v/>
      </c>
      <c r="Q205" s="9">
        <f>IF($K205="","",INDEX('سجل التحفيز'!$E$5:$E$2004,MATCH($K205,'سجل التحفيز'!$AD$5:$AD$2004,0)))</f>
        <v/>
      </c>
      <c r="R205" s="9">
        <f>IF($K205="","",INDEX('سجل التحفيز'!$F$5:$F$2004,MATCH($K205,'سجل التحفيز'!$AD$5:$AD$2004,0)))</f>
        <v/>
      </c>
      <c r="S205" s="35">
        <f>IF($K205="","",INDEX('سجل التحفيز'!$G$5:$G$2004,MATCH($K205,'سجل التحفيز'!$AD$5:$AD$2004,0)))</f>
        <v/>
      </c>
    </row>
    <row r="206">
      <c r="K206" s="36">
        <f>IF(169&gt;$B$10,"",169)</f>
        <v/>
      </c>
      <c r="L206" s="37">
        <f>IF($K206="","",INDEX('سجل التحفيز'!$A$5:$A$2004,MATCH($K206,'سجل التحفيز'!$AD$5:$AD$2004,0)))</f>
        <v/>
      </c>
      <c r="M206" s="9">
        <f>IF($K206="","",INDEX('سجل التحفيز'!$B$5:$B$2004,MATCH($K206,'سجل التحفيز'!$AD$5:$AD$2004,0)))</f>
        <v/>
      </c>
      <c r="N206" s="9">
        <f>IF($K206="","",INDEX('سجل التحفيز'!$M$5:$M$2004,MATCH($K206,'سجل التحفيز'!$AD$5:$AD$2004,0)))</f>
        <v/>
      </c>
      <c r="O206" s="9">
        <f>IF($K206="","",INDEX('سجل التحفيز'!$C$5:$C$2004,MATCH($K206,'سجل التحفيز'!$AD$5:$AD$2004,0)))</f>
        <v/>
      </c>
      <c r="P206" s="36">
        <f>IF($K206="","",INDEX('سجل التحفيز'!$D$5:$D$2004,MATCH($K206,'سجل التحفيز'!$AD$5:$AD$2004,0)))</f>
        <v/>
      </c>
      <c r="Q206" s="9">
        <f>IF($K206="","",INDEX('سجل التحفيز'!$E$5:$E$2004,MATCH($K206,'سجل التحفيز'!$AD$5:$AD$2004,0)))</f>
        <v/>
      </c>
      <c r="R206" s="9">
        <f>IF($K206="","",INDEX('سجل التحفيز'!$F$5:$F$2004,MATCH($K206,'سجل التحفيز'!$AD$5:$AD$2004,0)))</f>
        <v/>
      </c>
      <c r="S206" s="35">
        <f>IF($K206="","",INDEX('سجل التحفيز'!$G$5:$G$2004,MATCH($K206,'سجل التحفيز'!$AD$5:$AD$2004,0)))</f>
        <v/>
      </c>
    </row>
    <row r="207">
      <c r="K207" s="36">
        <f>IF(170&gt;$B$10,"",170)</f>
        <v/>
      </c>
      <c r="L207" s="37">
        <f>IF($K207="","",INDEX('سجل التحفيز'!$A$5:$A$2004,MATCH($K207,'سجل التحفيز'!$AD$5:$AD$2004,0)))</f>
        <v/>
      </c>
      <c r="M207" s="9">
        <f>IF($K207="","",INDEX('سجل التحفيز'!$B$5:$B$2004,MATCH($K207,'سجل التحفيز'!$AD$5:$AD$2004,0)))</f>
        <v/>
      </c>
      <c r="N207" s="9">
        <f>IF($K207="","",INDEX('سجل التحفيز'!$M$5:$M$2004,MATCH($K207,'سجل التحفيز'!$AD$5:$AD$2004,0)))</f>
        <v/>
      </c>
      <c r="O207" s="9">
        <f>IF($K207="","",INDEX('سجل التحفيز'!$C$5:$C$2004,MATCH($K207,'سجل التحفيز'!$AD$5:$AD$2004,0)))</f>
        <v/>
      </c>
      <c r="P207" s="36">
        <f>IF($K207="","",INDEX('سجل التحفيز'!$D$5:$D$2004,MATCH($K207,'سجل التحفيز'!$AD$5:$AD$2004,0)))</f>
        <v/>
      </c>
      <c r="Q207" s="9">
        <f>IF($K207="","",INDEX('سجل التحفيز'!$E$5:$E$2004,MATCH($K207,'سجل التحفيز'!$AD$5:$AD$2004,0)))</f>
        <v/>
      </c>
      <c r="R207" s="9">
        <f>IF($K207="","",INDEX('سجل التحفيز'!$F$5:$F$2004,MATCH($K207,'سجل التحفيز'!$AD$5:$AD$2004,0)))</f>
        <v/>
      </c>
      <c r="S207" s="35">
        <f>IF($K207="","",INDEX('سجل التحفيز'!$G$5:$G$2004,MATCH($K207,'سجل التحفيز'!$AD$5:$AD$2004,0)))</f>
        <v/>
      </c>
    </row>
    <row r="208">
      <c r="K208" s="36">
        <f>IF(171&gt;$B$10,"",171)</f>
        <v/>
      </c>
      <c r="L208" s="37">
        <f>IF($K208="","",INDEX('سجل التحفيز'!$A$5:$A$2004,MATCH($K208,'سجل التحفيز'!$AD$5:$AD$2004,0)))</f>
        <v/>
      </c>
      <c r="M208" s="9">
        <f>IF($K208="","",INDEX('سجل التحفيز'!$B$5:$B$2004,MATCH($K208,'سجل التحفيز'!$AD$5:$AD$2004,0)))</f>
        <v/>
      </c>
      <c r="N208" s="9">
        <f>IF($K208="","",INDEX('سجل التحفيز'!$M$5:$M$2004,MATCH($K208,'سجل التحفيز'!$AD$5:$AD$2004,0)))</f>
        <v/>
      </c>
      <c r="O208" s="9">
        <f>IF($K208="","",INDEX('سجل التحفيز'!$C$5:$C$2004,MATCH($K208,'سجل التحفيز'!$AD$5:$AD$2004,0)))</f>
        <v/>
      </c>
      <c r="P208" s="36">
        <f>IF($K208="","",INDEX('سجل التحفيز'!$D$5:$D$2004,MATCH($K208,'سجل التحفيز'!$AD$5:$AD$2004,0)))</f>
        <v/>
      </c>
      <c r="Q208" s="9">
        <f>IF($K208="","",INDEX('سجل التحفيز'!$E$5:$E$2004,MATCH($K208,'سجل التحفيز'!$AD$5:$AD$2004,0)))</f>
        <v/>
      </c>
      <c r="R208" s="9">
        <f>IF($K208="","",INDEX('سجل التحفيز'!$F$5:$F$2004,MATCH($K208,'سجل التحفيز'!$AD$5:$AD$2004,0)))</f>
        <v/>
      </c>
      <c r="S208" s="35">
        <f>IF($K208="","",INDEX('سجل التحفيز'!$G$5:$G$2004,MATCH($K208,'سجل التحفيز'!$AD$5:$AD$2004,0)))</f>
        <v/>
      </c>
    </row>
    <row r="209">
      <c r="K209" s="36">
        <f>IF(172&gt;$B$10,"",172)</f>
        <v/>
      </c>
      <c r="L209" s="37">
        <f>IF($K209="","",INDEX('سجل التحفيز'!$A$5:$A$2004,MATCH($K209,'سجل التحفيز'!$AD$5:$AD$2004,0)))</f>
        <v/>
      </c>
      <c r="M209" s="9">
        <f>IF($K209="","",INDEX('سجل التحفيز'!$B$5:$B$2004,MATCH($K209,'سجل التحفيز'!$AD$5:$AD$2004,0)))</f>
        <v/>
      </c>
      <c r="N209" s="9">
        <f>IF($K209="","",INDEX('سجل التحفيز'!$M$5:$M$2004,MATCH($K209,'سجل التحفيز'!$AD$5:$AD$2004,0)))</f>
        <v/>
      </c>
      <c r="O209" s="9">
        <f>IF($K209="","",INDEX('سجل التحفيز'!$C$5:$C$2004,MATCH($K209,'سجل التحفيز'!$AD$5:$AD$2004,0)))</f>
        <v/>
      </c>
      <c r="P209" s="36">
        <f>IF($K209="","",INDEX('سجل التحفيز'!$D$5:$D$2004,MATCH($K209,'سجل التحفيز'!$AD$5:$AD$2004,0)))</f>
        <v/>
      </c>
      <c r="Q209" s="9">
        <f>IF($K209="","",INDEX('سجل التحفيز'!$E$5:$E$2004,MATCH($K209,'سجل التحفيز'!$AD$5:$AD$2004,0)))</f>
        <v/>
      </c>
      <c r="R209" s="9">
        <f>IF($K209="","",INDEX('سجل التحفيز'!$F$5:$F$2004,MATCH($K209,'سجل التحفيز'!$AD$5:$AD$2004,0)))</f>
        <v/>
      </c>
      <c r="S209" s="35">
        <f>IF($K209="","",INDEX('سجل التحفيز'!$G$5:$G$2004,MATCH($K209,'سجل التحفيز'!$AD$5:$AD$2004,0)))</f>
        <v/>
      </c>
    </row>
    <row r="210">
      <c r="K210" s="36">
        <f>IF(173&gt;$B$10,"",173)</f>
        <v/>
      </c>
      <c r="L210" s="37">
        <f>IF($K210="","",INDEX('سجل التحفيز'!$A$5:$A$2004,MATCH($K210,'سجل التحفيز'!$AD$5:$AD$2004,0)))</f>
        <v/>
      </c>
      <c r="M210" s="9">
        <f>IF($K210="","",INDEX('سجل التحفيز'!$B$5:$B$2004,MATCH($K210,'سجل التحفيز'!$AD$5:$AD$2004,0)))</f>
        <v/>
      </c>
      <c r="N210" s="9">
        <f>IF($K210="","",INDEX('سجل التحفيز'!$M$5:$M$2004,MATCH($K210,'سجل التحفيز'!$AD$5:$AD$2004,0)))</f>
        <v/>
      </c>
      <c r="O210" s="9">
        <f>IF($K210="","",INDEX('سجل التحفيز'!$C$5:$C$2004,MATCH($K210,'سجل التحفيز'!$AD$5:$AD$2004,0)))</f>
        <v/>
      </c>
      <c r="P210" s="36">
        <f>IF($K210="","",INDEX('سجل التحفيز'!$D$5:$D$2004,MATCH($K210,'سجل التحفيز'!$AD$5:$AD$2004,0)))</f>
        <v/>
      </c>
      <c r="Q210" s="9">
        <f>IF($K210="","",INDEX('سجل التحفيز'!$E$5:$E$2004,MATCH($K210,'سجل التحفيز'!$AD$5:$AD$2004,0)))</f>
        <v/>
      </c>
      <c r="R210" s="9">
        <f>IF($K210="","",INDEX('سجل التحفيز'!$F$5:$F$2004,MATCH($K210,'سجل التحفيز'!$AD$5:$AD$2004,0)))</f>
        <v/>
      </c>
      <c r="S210" s="35">
        <f>IF($K210="","",INDEX('سجل التحفيز'!$G$5:$G$2004,MATCH($K210,'سجل التحفيز'!$AD$5:$AD$2004,0)))</f>
        <v/>
      </c>
    </row>
    <row r="211">
      <c r="K211" s="36">
        <f>IF(174&gt;$B$10,"",174)</f>
        <v/>
      </c>
      <c r="L211" s="37">
        <f>IF($K211="","",INDEX('سجل التحفيز'!$A$5:$A$2004,MATCH($K211,'سجل التحفيز'!$AD$5:$AD$2004,0)))</f>
        <v/>
      </c>
      <c r="M211" s="9">
        <f>IF($K211="","",INDEX('سجل التحفيز'!$B$5:$B$2004,MATCH($K211,'سجل التحفيز'!$AD$5:$AD$2004,0)))</f>
        <v/>
      </c>
      <c r="N211" s="9">
        <f>IF($K211="","",INDEX('سجل التحفيز'!$M$5:$M$2004,MATCH($K211,'سجل التحفيز'!$AD$5:$AD$2004,0)))</f>
        <v/>
      </c>
      <c r="O211" s="9">
        <f>IF($K211="","",INDEX('سجل التحفيز'!$C$5:$C$2004,MATCH($K211,'سجل التحفيز'!$AD$5:$AD$2004,0)))</f>
        <v/>
      </c>
      <c r="P211" s="36">
        <f>IF($K211="","",INDEX('سجل التحفيز'!$D$5:$D$2004,MATCH($K211,'سجل التحفيز'!$AD$5:$AD$2004,0)))</f>
        <v/>
      </c>
      <c r="Q211" s="9">
        <f>IF($K211="","",INDEX('سجل التحفيز'!$E$5:$E$2004,MATCH($K211,'سجل التحفيز'!$AD$5:$AD$2004,0)))</f>
        <v/>
      </c>
      <c r="R211" s="9">
        <f>IF($K211="","",INDEX('سجل التحفيز'!$F$5:$F$2004,MATCH($K211,'سجل التحفيز'!$AD$5:$AD$2004,0)))</f>
        <v/>
      </c>
      <c r="S211" s="35">
        <f>IF($K211="","",INDEX('سجل التحفيز'!$G$5:$G$2004,MATCH($K211,'سجل التحفيز'!$AD$5:$AD$2004,0)))</f>
        <v/>
      </c>
    </row>
    <row r="212">
      <c r="K212" s="36">
        <f>IF(175&gt;$B$10,"",175)</f>
        <v/>
      </c>
      <c r="L212" s="37">
        <f>IF($K212="","",INDEX('سجل التحفيز'!$A$5:$A$2004,MATCH($K212,'سجل التحفيز'!$AD$5:$AD$2004,0)))</f>
        <v/>
      </c>
      <c r="M212" s="9">
        <f>IF($K212="","",INDEX('سجل التحفيز'!$B$5:$B$2004,MATCH($K212,'سجل التحفيز'!$AD$5:$AD$2004,0)))</f>
        <v/>
      </c>
      <c r="N212" s="9">
        <f>IF($K212="","",INDEX('سجل التحفيز'!$M$5:$M$2004,MATCH($K212,'سجل التحفيز'!$AD$5:$AD$2004,0)))</f>
        <v/>
      </c>
      <c r="O212" s="9">
        <f>IF($K212="","",INDEX('سجل التحفيز'!$C$5:$C$2004,MATCH($K212,'سجل التحفيز'!$AD$5:$AD$2004,0)))</f>
        <v/>
      </c>
      <c r="P212" s="36">
        <f>IF($K212="","",INDEX('سجل التحفيز'!$D$5:$D$2004,MATCH($K212,'سجل التحفيز'!$AD$5:$AD$2004,0)))</f>
        <v/>
      </c>
      <c r="Q212" s="9">
        <f>IF($K212="","",INDEX('سجل التحفيز'!$E$5:$E$2004,MATCH($K212,'سجل التحفيز'!$AD$5:$AD$2004,0)))</f>
        <v/>
      </c>
      <c r="R212" s="9">
        <f>IF($K212="","",INDEX('سجل التحفيز'!$F$5:$F$2004,MATCH($K212,'سجل التحفيز'!$AD$5:$AD$2004,0)))</f>
        <v/>
      </c>
      <c r="S212" s="35">
        <f>IF($K212="","",INDEX('سجل التحفيز'!$G$5:$G$2004,MATCH($K212,'سجل التحفيز'!$AD$5:$AD$2004,0)))</f>
        <v/>
      </c>
    </row>
    <row r="213">
      <c r="K213" s="36">
        <f>IF(176&gt;$B$10,"",176)</f>
        <v/>
      </c>
      <c r="L213" s="37">
        <f>IF($K213="","",INDEX('سجل التحفيز'!$A$5:$A$2004,MATCH($K213,'سجل التحفيز'!$AD$5:$AD$2004,0)))</f>
        <v/>
      </c>
      <c r="M213" s="9">
        <f>IF($K213="","",INDEX('سجل التحفيز'!$B$5:$B$2004,MATCH($K213,'سجل التحفيز'!$AD$5:$AD$2004,0)))</f>
        <v/>
      </c>
      <c r="N213" s="9">
        <f>IF($K213="","",INDEX('سجل التحفيز'!$M$5:$M$2004,MATCH($K213,'سجل التحفيز'!$AD$5:$AD$2004,0)))</f>
        <v/>
      </c>
      <c r="O213" s="9">
        <f>IF($K213="","",INDEX('سجل التحفيز'!$C$5:$C$2004,MATCH($K213,'سجل التحفيز'!$AD$5:$AD$2004,0)))</f>
        <v/>
      </c>
      <c r="P213" s="36">
        <f>IF($K213="","",INDEX('سجل التحفيز'!$D$5:$D$2004,MATCH($K213,'سجل التحفيز'!$AD$5:$AD$2004,0)))</f>
        <v/>
      </c>
      <c r="Q213" s="9">
        <f>IF($K213="","",INDEX('سجل التحفيز'!$E$5:$E$2004,MATCH($K213,'سجل التحفيز'!$AD$5:$AD$2004,0)))</f>
        <v/>
      </c>
      <c r="R213" s="9">
        <f>IF($K213="","",INDEX('سجل التحفيز'!$F$5:$F$2004,MATCH($K213,'سجل التحفيز'!$AD$5:$AD$2004,0)))</f>
        <v/>
      </c>
      <c r="S213" s="35">
        <f>IF($K213="","",INDEX('سجل التحفيز'!$G$5:$G$2004,MATCH($K213,'سجل التحفيز'!$AD$5:$AD$2004,0)))</f>
        <v/>
      </c>
    </row>
    <row r="214">
      <c r="K214" s="36">
        <f>IF(177&gt;$B$10,"",177)</f>
        <v/>
      </c>
      <c r="L214" s="37">
        <f>IF($K214="","",INDEX('سجل التحفيز'!$A$5:$A$2004,MATCH($K214,'سجل التحفيز'!$AD$5:$AD$2004,0)))</f>
        <v/>
      </c>
      <c r="M214" s="9">
        <f>IF($K214="","",INDEX('سجل التحفيز'!$B$5:$B$2004,MATCH($K214,'سجل التحفيز'!$AD$5:$AD$2004,0)))</f>
        <v/>
      </c>
      <c r="N214" s="9">
        <f>IF($K214="","",INDEX('سجل التحفيز'!$M$5:$M$2004,MATCH($K214,'سجل التحفيز'!$AD$5:$AD$2004,0)))</f>
        <v/>
      </c>
      <c r="O214" s="9">
        <f>IF($K214="","",INDEX('سجل التحفيز'!$C$5:$C$2004,MATCH($K214,'سجل التحفيز'!$AD$5:$AD$2004,0)))</f>
        <v/>
      </c>
      <c r="P214" s="36">
        <f>IF($K214="","",INDEX('سجل التحفيز'!$D$5:$D$2004,MATCH($K214,'سجل التحفيز'!$AD$5:$AD$2004,0)))</f>
        <v/>
      </c>
      <c r="Q214" s="9">
        <f>IF($K214="","",INDEX('سجل التحفيز'!$E$5:$E$2004,MATCH($K214,'سجل التحفيز'!$AD$5:$AD$2004,0)))</f>
        <v/>
      </c>
      <c r="R214" s="9">
        <f>IF($K214="","",INDEX('سجل التحفيز'!$F$5:$F$2004,MATCH($K214,'سجل التحفيز'!$AD$5:$AD$2004,0)))</f>
        <v/>
      </c>
      <c r="S214" s="35">
        <f>IF($K214="","",INDEX('سجل التحفيز'!$G$5:$G$2004,MATCH($K214,'سجل التحفيز'!$AD$5:$AD$2004,0)))</f>
        <v/>
      </c>
    </row>
    <row r="215">
      <c r="K215" s="36">
        <f>IF(178&gt;$B$10,"",178)</f>
        <v/>
      </c>
      <c r="L215" s="37">
        <f>IF($K215="","",INDEX('سجل التحفيز'!$A$5:$A$2004,MATCH($K215,'سجل التحفيز'!$AD$5:$AD$2004,0)))</f>
        <v/>
      </c>
      <c r="M215" s="9">
        <f>IF($K215="","",INDEX('سجل التحفيز'!$B$5:$B$2004,MATCH($K215,'سجل التحفيز'!$AD$5:$AD$2004,0)))</f>
        <v/>
      </c>
      <c r="N215" s="9">
        <f>IF($K215="","",INDEX('سجل التحفيز'!$M$5:$M$2004,MATCH($K215,'سجل التحفيز'!$AD$5:$AD$2004,0)))</f>
        <v/>
      </c>
      <c r="O215" s="9">
        <f>IF($K215="","",INDEX('سجل التحفيز'!$C$5:$C$2004,MATCH($K215,'سجل التحفيز'!$AD$5:$AD$2004,0)))</f>
        <v/>
      </c>
      <c r="P215" s="36">
        <f>IF($K215="","",INDEX('سجل التحفيز'!$D$5:$D$2004,MATCH($K215,'سجل التحفيز'!$AD$5:$AD$2004,0)))</f>
        <v/>
      </c>
      <c r="Q215" s="9">
        <f>IF($K215="","",INDEX('سجل التحفيز'!$E$5:$E$2004,MATCH($K215,'سجل التحفيز'!$AD$5:$AD$2004,0)))</f>
        <v/>
      </c>
      <c r="R215" s="9">
        <f>IF($K215="","",INDEX('سجل التحفيز'!$F$5:$F$2004,MATCH($K215,'سجل التحفيز'!$AD$5:$AD$2004,0)))</f>
        <v/>
      </c>
      <c r="S215" s="35">
        <f>IF($K215="","",INDEX('سجل التحفيز'!$G$5:$G$2004,MATCH($K215,'سجل التحفيز'!$AD$5:$AD$2004,0)))</f>
        <v/>
      </c>
    </row>
    <row r="216">
      <c r="K216" s="36">
        <f>IF(179&gt;$B$10,"",179)</f>
        <v/>
      </c>
      <c r="L216" s="37">
        <f>IF($K216="","",INDEX('سجل التحفيز'!$A$5:$A$2004,MATCH($K216,'سجل التحفيز'!$AD$5:$AD$2004,0)))</f>
        <v/>
      </c>
      <c r="M216" s="9">
        <f>IF($K216="","",INDEX('سجل التحفيز'!$B$5:$B$2004,MATCH($K216,'سجل التحفيز'!$AD$5:$AD$2004,0)))</f>
        <v/>
      </c>
      <c r="N216" s="9">
        <f>IF($K216="","",INDEX('سجل التحفيز'!$M$5:$M$2004,MATCH($K216,'سجل التحفيز'!$AD$5:$AD$2004,0)))</f>
        <v/>
      </c>
      <c r="O216" s="9">
        <f>IF($K216="","",INDEX('سجل التحفيز'!$C$5:$C$2004,MATCH($K216,'سجل التحفيز'!$AD$5:$AD$2004,0)))</f>
        <v/>
      </c>
      <c r="P216" s="36">
        <f>IF($K216="","",INDEX('سجل التحفيز'!$D$5:$D$2004,MATCH($K216,'سجل التحفيز'!$AD$5:$AD$2004,0)))</f>
        <v/>
      </c>
      <c r="Q216" s="9">
        <f>IF($K216="","",INDEX('سجل التحفيز'!$E$5:$E$2004,MATCH($K216,'سجل التحفيز'!$AD$5:$AD$2004,0)))</f>
        <v/>
      </c>
      <c r="R216" s="9">
        <f>IF($K216="","",INDEX('سجل التحفيز'!$F$5:$F$2004,MATCH($K216,'سجل التحفيز'!$AD$5:$AD$2004,0)))</f>
        <v/>
      </c>
      <c r="S216" s="35">
        <f>IF($K216="","",INDEX('سجل التحفيز'!$G$5:$G$2004,MATCH($K216,'سجل التحفيز'!$AD$5:$AD$2004,0)))</f>
        <v/>
      </c>
    </row>
    <row r="217">
      <c r="K217" s="36">
        <f>IF(180&gt;$B$10,"",180)</f>
        <v/>
      </c>
      <c r="L217" s="37">
        <f>IF($K217="","",INDEX('سجل التحفيز'!$A$5:$A$2004,MATCH($K217,'سجل التحفيز'!$AD$5:$AD$2004,0)))</f>
        <v/>
      </c>
      <c r="M217" s="9">
        <f>IF($K217="","",INDEX('سجل التحفيز'!$B$5:$B$2004,MATCH($K217,'سجل التحفيز'!$AD$5:$AD$2004,0)))</f>
        <v/>
      </c>
      <c r="N217" s="9">
        <f>IF($K217="","",INDEX('سجل التحفيز'!$M$5:$M$2004,MATCH($K217,'سجل التحفيز'!$AD$5:$AD$2004,0)))</f>
        <v/>
      </c>
      <c r="O217" s="9">
        <f>IF($K217="","",INDEX('سجل التحفيز'!$C$5:$C$2004,MATCH($K217,'سجل التحفيز'!$AD$5:$AD$2004,0)))</f>
        <v/>
      </c>
      <c r="P217" s="36">
        <f>IF($K217="","",INDEX('سجل التحفيز'!$D$5:$D$2004,MATCH($K217,'سجل التحفيز'!$AD$5:$AD$2004,0)))</f>
        <v/>
      </c>
      <c r="Q217" s="9">
        <f>IF($K217="","",INDEX('سجل التحفيز'!$E$5:$E$2004,MATCH($K217,'سجل التحفيز'!$AD$5:$AD$2004,0)))</f>
        <v/>
      </c>
      <c r="R217" s="9">
        <f>IF($K217="","",INDEX('سجل التحفيز'!$F$5:$F$2004,MATCH($K217,'سجل التحفيز'!$AD$5:$AD$2004,0)))</f>
        <v/>
      </c>
      <c r="S217" s="35">
        <f>IF($K217="","",INDEX('سجل التحفيز'!$G$5:$G$2004,MATCH($K217,'سجل التحفيز'!$AD$5:$AD$2004,0)))</f>
        <v/>
      </c>
    </row>
    <row r="218">
      <c r="K218" s="36">
        <f>IF(181&gt;$B$10,"",181)</f>
        <v/>
      </c>
      <c r="L218" s="37">
        <f>IF($K218="","",INDEX('سجل التحفيز'!$A$5:$A$2004,MATCH($K218,'سجل التحفيز'!$AD$5:$AD$2004,0)))</f>
        <v/>
      </c>
      <c r="M218" s="9">
        <f>IF($K218="","",INDEX('سجل التحفيز'!$B$5:$B$2004,MATCH($K218,'سجل التحفيز'!$AD$5:$AD$2004,0)))</f>
        <v/>
      </c>
      <c r="N218" s="9">
        <f>IF($K218="","",INDEX('سجل التحفيز'!$M$5:$M$2004,MATCH($K218,'سجل التحفيز'!$AD$5:$AD$2004,0)))</f>
        <v/>
      </c>
      <c r="O218" s="9">
        <f>IF($K218="","",INDEX('سجل التحفيز'!$C$5:$C$2004,MATCH($K218,'سجل التحفيز'!$AD$5:$AD$2004,0)))</f>
        <v/>
      </c>
      <c r="P218" s="36">
        <f>IF($K218="","",INDEX('سجل التحفيز'!$D$5:$D$2004,MATCH($K218,'سجل التحفيز'!$AD$5:$AD$2004,0)))</f>
        <v/>
      </c>
      <c r="Q218" s="9">
        <f>IF($K218="","",INDEX('سجل التحفيز'!$E$5:$E$2004,MATCH($K218,'سجل التحفيز'!$AD$5:$AD$2004,0)))</f>
        <v/>
      </c>
      <c r="R218" s="9">
        <f>IF($K218="","",INDEX('سجل التحفيز'!$F$5:$F$2004,MATCH($K218,'سجل التحفيز'!$AD$5:$AD$2004,0)))</f>
        <v/>
      </c>
      <c r="S218" s="35">
        <f>IF($K218="","",INDEX('سجل التحفيز'!$G$5:$G$2004,MATCH($K218,'سجل التحفيز'!$AD$5:$AD$2004,0)))</f>
        <v/>
      </c>
    </row>
    <row r="219">
      <c r="K219" s="36">
        <f>IF(182&gt;$B$10,"",182)</f>
        <v/>
      </c>
      <c r="L219" s="37">
        <f>IF($K219="","",INDEX('سجل التحفيز'!$A$5:$A$2004,MATCH($K219,'سجل التحفيز'!$AD$5:$AD$2004,0)))</f>
        <v/>
      </c>
      <c r="M219" s="9">
        <f>IF($K219="","",INDEX('سجل التحفيز'!$B$5:$B$2004,MATCH($K219,'سجل التحفيز'!$AD$5:$AD$2004,0)))</f>
        <v/>
      </c>
      <c r="N219" s="9">
        <f>IF($K219="","",INDEX('سجل التحفيز'!$M$5:$M$2004,MATCH($K219,'سجل التحفيز'!$AD$5:$AD$2004,0)))</f>
        <v/>
      </c>
      <c r="O219" s="9">
        <f>IF($K219="","",INDEX('سجل التحفيز'!$C$5:$C$2004,MATCH($K219,'سجل التحفيز'!$AD$5:$AD$2004,0)))</f>
        <v/>
      </c>
      <c r="P219" s="36">
        <f>IF($K219="","",INDEX('سجل التحفيز'!$D$5:$D$2004,MATCH($K219,'سجل التحفيز'!$AD$5:$AD$2004,0)))</f>
        <v/>
      </c>
      <c r="Q219" s="9">
        <f>IF($K219="","",INDEX('سجل التحفيز'!$E$5:$E$2004,MATCH($K219,'سجل التحفيز'!$AD$5:$AD$2004,0)))</f>
        <v/>
      </c>
      <c r="R219" s="9">
        <f>IF($K219="","",INDEX('سجل التحفيز'!$F$5:$F$2004,MATCH($K219,'سجل التحفيز'!$AD$5:$AD$2004,0)))</f>
        <v/>
      </c>
      <c r="S219" s="35">
        <f>IF($K219="","",INDEX('سجل التحفيز'!$G$5:$G$2004,MATCH($K219,'سجل التحفيز'!$AD$5:$AD$2004,0)))</f>
        <v/>
      </c>
    </row>
    <row r="220">
      <c r="K220" s="36">
        <f>IF(183&gt;$B$10,"",183)</f>
        <v/>
      </c>
      <c r="L220" s="37">
        <f>IF($K220="","",INDEX('سجل التحفيز'!$A$5:$A$2004,MATCH($K220,'سجل التحفيز'!$AD$5:$AD$2004,0)))</f>
        <v/>
      </c>
      <c r="M220" s="9">
        <f>IF($K220="","",INDEX('سجل التحفيز'!$B$5:$B$2004,MATCH($K220,'سجل التحفيز'!$AD$5:$AD$2004,0)))</f>
        <v/>
      </c>
      <c r="N220" s="9">
        <f>IF($K220="","",INDEX('سجل التحفيز'!$M$5:$M$2004,MATCH($K220,'سجل التحفيز'!$AD$5:$AD$2004,0)))</f>
        <v/>
      </c>
      <c r="O220" s="9">
        <f>IF($K220="","",INDEX('سجل التحفيز'!$C$5:$C$2004,MATCH($K220,'سجل التحفيز'!$AD$5:$AD$2004,0)))</f>
        <v/>
      </c>
      <c r="P220" s="36">
        <f>IF($K220="","",INDEX('سجل التحفيز'!$D$5:$D$2004,MATCH($K220,'سجل التحفيز'!$AD$5:$AD$2004,0)))</f>
        <v/>
      </c>
      <c r="Q220" s="9">
        <f>IF($K220="","",INDEX('سجل التحفيز'!$E$5:$E$2004,MATCH($K220,'سجل التحفيز'!$AD$5:$AD$2004,0)))</f>
        <v/>
      </c>
      <c r="R220" s="9">
        <f>IF($K220="","",INDEX('سجل التحفيز'!$F$5:$F$2004,MATCH($K220,'سجل التحفيز'!$AD$5:$AD$2004,0)))</f>
        <v/>
      </c>
      <c r="S220" s="35">
        <f>IF($K220="","",INDEX('سجل التحفيز'!$G$5:$G$2004,MATCH($K220,'سجل التحفيز'!$AD$5:$AD$2004,0)))</f>
        <v/>
      </c>
    </row>
    <row r="221">
      <c r="K221" s="36">
        <f>IF(184&gt;$B$10,"",184)</f>
        <v/>
      </c>
      <c r="L221" s="37">
        <f>IF($K221="","",INDEX('سجل التحفيز'!$A$5:$A$2004,MATCH($K221,'سجل التحفيز'!$AD$5:$AD$2004,0)))</f>
        <v/>
      </c>
      <c r="M221" s="9">
        <f>IF($K221="","",INDEX('سجل التحفيز'!$B$5:$B$2004,MATCH($K221,'سجل التحفيز'!$AD$5:$AD$2004,0)))</f>
        <v/>
      </c>
      <c r="N221" s="9">
        <f>IF($K221="","",INDEX('سجل التحفيز'!$M$5:$M$2004,MATCH($K221,'سجل التحفيز'!$AD$5:$AD$2004,0)))</f>
        <v/>
      </c>
      <c r="O221" s="9">
        <f>IF($K221="","",INDEX('سجل التحفيز'!$C$5:$C$2004,MATCH($K221,'سجل التحفيز'!$AD$5:$AD$2004,0)))</f>
        <v/>
      </c>
      <c r="P221" s="36">
        <f>IF($K221="","",INDEX('سجل التحفيز'!$D$5:$D$2004,MATCH($K221,'سجل التحفيز'!$AD$5:$AD$2004,0)))</f>
        <v/>
      </c>
      <c r="Q221" s="9">
        <f>IF($K221="","",INDEX('سجل التحفيز'!$E$5:$E$2004,MATCH($K221,'سجل التحفيز'!$AD$5:$AD$2004,0)))</f>
        <v/>
      </c>
      <c r="R221" s="9">
        <f>IF($K221="","",INDEX('سجل التحفيز'!$F$5:$F$2004,MATCH($K221,'سجل التحفيز'!$AD$5:$AD$2004,0)))</f>
        <v/>
      </c>
      <c r="S221" s="35">
        <f>IF($K221="","",INDEX('سجل التحفيز'!$G$5:$G$2004,MATCH($K221,'سجل التحفيز'!$AD$5:$AD$2004,0)))</f>
        <v/>
      </c>
    </row>
    <row r="222">
      <c r="K222" s="36">
        <f>IF(185&gt;$B$10,"",185)</f>
        <v/>
      </c>
      <c r="L222" s="37">
        <f>IF($K222="","",INDEX('سجل التحفيز'!$A$5:$A$2004,MATCH($K222,'سجل التحفيز'!$AD$5:$AD$2004,0)))</f>
        <v/>
      </c>
      <c r="M222" s="9">
        <f>IF($K222="","",INDEX('سجل التحفيز'!$B$5:$B$2004,MATCH($K222,'سجل التحفيز'!$AD$5:$AD$2004,0)))</f>
        <v/>
      </c>
      <c r="N222" s="9">
        <f>IF($K222="","",INDEX('سجل التحفيز'!$M$5:$M$2004,MATCH($K222,'سجل التحفيز'!$AD$5:$AD$2004,0)))</f>
        <v/>
      </c>
      <c r="O222" s="9">
        <f>IF($K222="","",INDEX('سجل التحفيز'!$C$5:$C$2004,MATCH($K222,'سجل التحفيز'!$AD$5:$AD$2004,0)))</f>
        <v/>
      </c>
      <c r="P222" s="36">
        <f>IF($K222="","",INDEX('سجل التحفيز'!$D$5:$D$2004,MATCH($K222,'سجل التحفيز'!$AD$5:$AD$2004,0)))</f>
        <v/>
      </c>
      <c r="Q222" s="9">
        <f>IF($K222="","",INDEX('سجل التحفيز'!$E$5:$E$2004,MATCH($K222,'سجل التحفيز'!$AD$5:$AD$2004,0)))</f>
        <v/>
      </c>
      <c r="R222" s="9">
        <f>IF($K222="","",INDEX('سجل التحفيز'!$F$5:$F$2004,MATCH($K222,'سجل التحفيز'!$AD$5:$AD$2004,0)))</f>
        <v/>
      </c>
      <c r="S222" s="35">
        <f>IF($K222="","",INDEX('سجل التحفيز'!$G$5:$G$2004,MATCH($K222,'سجل التحفيز'!$AD$5:$AD$2004,0)))</f>
        <v/>
      </c>
    </row>
    <row r="223">
      <c r="K223" s="36">
        <f>IF(186&gt;$B$10,"",186)</f>
        <v/>
      </c>
      <c r="L223" s="37">
        <f>IF($K223="","",INDEX('سجل التحفيز'!$A$5:$A$2004,MATCH($K223,'سجل التحفيز'!$AD$5:$AD$2004,0)))</f>
        <v/>
      </c>
      <c r="M223" s="9">
        <f>IF($K223="","",INDEX('سجل التحفيز'!$B$5:$B$2004,MATCH($K223,'سجل التحفيز'!$AD$5:$AD$2004,0)))</f>
        <v/>
      </c>
      <c r="N223" s="9">
        <f>IF($K223="","",INDEX('سجل التحفيز'!$M$5:$M$2004,MATCH($K223,'سجل التحفيز'!$AD$5:$AD$2004,0)))</f>
        <v/>
      </c>
      <c r="O223" s="9">
        <f>IF($K223="","",INDEX('سجل التحفيز'!$C$5:$C$2004,MATCH($K223,'سجل التحفيز'!$AD$5:$AD$2004,0)))</f>
        <v/>
      </c>
      <c r="P223" s="36">
        <f>IF($K223="","",INDEX('سجل التحفيز'!$D$5:$D$2004,MATCH($K223,'سجل التحفيز'!$AD$5:$AD$2004,0)))</f>
        <v/>
      </c>
      <c r="Q223" s="9">
        <f>IF($K223="","",INDEX('سجل التحفيز'!$E$5:$E$2004,MATCH($K223,'سجل التحفيز'!$AD$5:$AD$2004,0)))</f>
        <v/>
      </c>
      <c r="R223" s="9">
        <f>IF($K223="","",INDEX('سجل التحفيز'!$F$5:$F$2004,MATCH($K223,'سجل التحفيز'!$AD$5:$AD$2004,0)))</f>
        <v/>
      </c>
      <c r="S223" s="35">
        <f>IF($K223="","",INDEX('سجل التحفيز'!$G$5:$G$2004,MATCH($K223,'سجل التحفيز'!$AD$5:$AD$2004,0)))</f>
        <v/>
      </c>
    </row>
    <row r="224">
      <c r="K224" s="36">
        <f>IF(187&gt;$B$10,"",187)</f>
        <v/>
      </c>
      <c r="L224" s="37">
        <f>IF($K224="","",INDEX('سجل التحفيز'!$A$5:$A$2004,MATCH($K224,'سجل التحفيز'!$AD$5:$AD$2004,0)))</f>
        <v/>
      </c>
      <c r="M224" s="9">
        <f>IF($K224="","",INDEX('سجل التحفيز'!$B$5:$B$2004,MATCH($K224,'سجل التحفيز'!$AD$5:$AD$2004,0)))</f>
        <v/>
      </c>
      <c r="N224" s="9">
        <f>IF($K224="","",INDEX('سجل التحفيز'!$M$5:$M$2004,MATCH($K224,'سجل التحفيز'!$AD$5:$AD$2004,0)))</f>
        <v/>
      </c>
      <c r="O224" s="9">
        <f>IF($K224="","",INDEX('سجل التحفيز'!$C$5:$C$2004,MATCH($K224,'سجل التحفيز'!$AD$5:$AD$2004,0)))</f>
        <v/>
      </c>
      <c r="P224" s="36">
        <f>IF($K224="","",INDEX('سجل التحفيز'!$D$5:$D$2004,MATCH($K224,'سجل التحفيز'!$AD$5:$AD$2004,0)))</f>
        <v/>
      </c>
      <c r="Q224" s="9">
        <f>IF($K224="","",INDEX('سجل التحفيز'!$E$5:$E$2004,MATCH($K224,'سجل التحفيز'!$AD$5:$AD$2004,0)))</f>
        <v/>
      </c>
      <c r="R224" s="9">
        <f>IF($K224="","",INDEX('سجل التحفيز'!$F$5:$F$2004,MATCH($K224,'سجل التحفيز'!$AD$5:$AD$2004,0)))</f>
        <v/>
      </c>
      <c r="S224" s="35">
        <f>IF($K224="","",INDEX('سجل التحفيز'!$G$5:$G$2004,MATCH($K224,'سجل التحفيز'!$AD$5:$AD$2004,0)))</f>
        <v/>
      </c>
    </row>
    <row r="225">
      <c r="K225" s="36">
        <f>IF(188&gt;$B$10,"",188)</f>
        <v/>
      </c>
      <c r="L225" s="37">
        <f>IF($K225="","",INDEX('سجل التحفيز'!$A$5:$A$2004,MATCH($K225,'سجل التحفيز'!$AD$5:$AD$2004,0)))</f>
        <v/>
      </c>
      <c r="M225" s="9">
        <f>IF($K225="","",INDEX('سجل التحفيز'!$B$5:$B$2004,MATCH($K225,'سجل التحفيز'!$AD$5:$AD$2004,0)))</f>
        <v/>
      </c>
      <c r="N225" s="9">
        <f>IF($K225="","",INDEX('سجل التحفيز'!$M$5:$M$2004,MATCH($K225,'سجل التحفيز'!$AD$5:$AD$2004,0)))</f>
        <v/>
      </c>
      <c r="O225" s="9">
        <f>IF($K225="","",INDEX('سجل التحفيز'!$C$5:$C$2004,MATCH($K225,'سجل التحفيز'!$AD$5:$AD$2004,0)))</f>
        <v/>
      </c>
      <c r="P225" s="36">
        <f>IF($K225="","",INDEX('سجل التحفيز'!$D$5:$D$2004,MATCH($K225,'سجل التحفيز'!$AD$5:$AD$2004,0)))</f>
        <v/>
      </c>
      <c r="Q225" s="9">
        <f>IF($K225="","",INDEX('سجل التحفيز'!$E$5:$E$2004,MATCH($K225,'سجل التحفيز'!$AD$5:$AD$2004,0)))</f>
        <v/>
      </c>
      <c r="R225" s="9">
        <f>IF($K225="","",INDEX('سجل التحفيز'!$F$5:$F$2004,MATCH($K225,'سجل التحفيز'!$AD$5:$AD$2004,0)))</f>
        <v/>
      </c>
      <c r="S225" s="35">
        <f>IF($K225="","",INDEX('سجل التحفيز'!$G$5:$G$2004,MATCH($K225,'سجل التحفيز'!$AD$5:$AD$2004,0)))</f>
        <v/>
      </c>
    </row>
    <row r="226">
      <c r="K226" s="36">
        <f>IF(189&gt;$B$10,"",189)</f>
        <v/>
      </c>
      <c r="L226" s="37">
        <f>IF($K226="","",INDEX('سجل التحفيز'!$A$5:$A$2004,MATCH($K226,'سجل التحفيز'!$AD$5:$AD$2004,0)))</f>
        <v/>
      </c>
      <c r="M226" s="9">
        <f>IF($K226="","",INDEX('سجل التحفيز'!$B$5:$B$2004,MATCH($K226,'سجل التحفيز'!$AD$5:$AD$2004,0)))</f>
        <v/>
      </c>
      <c r="N226" s="9">
        <f>IF($K226="","",INDEX('سجل التحفيز'!$M$5:$M$2004,MATCH($K226,'سجل التحفيز'!$AD$5:$AD$2004,0)))</f>
        <v/>
      </c>
      <c r="O226" s="9">
        <f>IF($K226="","",INDEX('سجل التحفيز'!$C$5:$C$2004,MATCH($K226,'سجل التحفيز'!$AD$5:$AD$2004,0)))</f>
        <v/>
      </c>
      <c r="P226" s="36">
        <f>IF($K226="","",INDEX('سجل التحفيز'!$D$5:$D$2004,MATCH($K226,'سجل التحفيز'!$AD$5:$AD$2004,0)))</f>
        <v/>
      </c>
      <c r="Q226" s="9">
        <f>IF($K226="","",INDEX('سجل التحفيز'!$E$5:$E$2004,MATCH($K226,'سجل التحفيز'!$AD$5:$AD$2004,0)))</f>
        <v/>
      </c>
      <c r="R226" s="9">
        <f>IF($K226="","",INDEX('سجل التحفيز'!$F$5:$F$2004,MATCH($K226,'سجل التحفيز'!$AD$5:$AD$2004,0)))</f>
        <v/>
      </c>
      <c r="S226" s="35">
        <f>IF($K226="","",INDEX('سجل التحفيز'!$G$5:$G$2004,MATCH($K226,'سجل التحفيز'!$AD$5:$AD$2004,0)))</f>
        <v/>
      </c>
    </row>
    <row r="227">
      <c r="K227" s="36">
        <f>IF(190&gt;$B$10,"",190)</f>
        <v/>
      </c>
      <c r="L227" s="37">
        <f>IF($K227="","",INDEX('سجل التحفيز'!$A$5:$A$2004,MATCH($K227,'سجل التحفيز'!$AD$5:$AD$2004,0)))</f>
        <v/>
      </c>
      <c r="M227" s="9">
        <f>IF($K227="","",INDEX('سجل التحفيز'!$B$5:$B$2004,MATCH($K227,'سجل التحفيز'!$AD$5:$AD$2004,0)))</f>
        <v/>
      </c>
      <c r="N227" s="9">
        <f>IF($K227="","",INDEX('سجل التحفيز'!$M$5:$M$2004,MATCH($K227,'سجل التحفيز'!$AD$5:$AD$2004,0)))</f>
        <v/>
      </c>
      <c r="O227" s="9">
        <f>IF($K227="","",INDEX('سجل التحفيز'!$C$5:$C$2004,MATCH($K227,'سجل التحفيز'!$AD$5:$AD$2004,0)))</f>
        <v/>
      </c>
      <c r="P227" s="36">
        <f>IF($K227="","",INDEX('سجل التحفيز'!$D$5:$D$2004,MATCH($K227,'سجل التحفيز'!$AD$5:$AD$2004,0)))</f>
        <v/>
      </c>
      <c r="Q227" s="9">
        <f>IF($K227="","",INDEX('سجل التحفيز'!$E$5:$E$2004,MATCH($K227,'سجل التحفيز'!$AD$5:$AD$2004,0)))</f>
        <v/>
      </c>
      <c r="R227" s="9">
        <f>IF($K227="","",INDEX('سجل التحفيز'!$F$5:$F$2004,MATCH($K227,'سجل التحفيز'!$AD$5:$AD$2004,0)))</f>
        <v/>
      </c>
      <c r="S227" s="35">
        <f>IF($K227="","",INDEX('سجل التحفيز'!$G$5:$G$2004,MATCH($K227,'سجل التحفيز'!$AD$5:$AD$2004,0)))</f>
        <v/>
      </c>
    </row>
    <row r="228">
      <c r="K228" s="36">
        <f>IF(191&gt;$B$10,"",191)</f>
        <v/>
      </c>
      <c r="L228" s="37">
        <f>IF($K228="","",INDEX('سجل التحفيز'!$A$5:$A$2004,MATCH($K228,'سجل التحفيز'!$AD$5:$AD$2004,0)))</f>
        <v/>
      </c>
      <c r="M228" s="9">
        <f>IF($K228="","",INDEX('سجل التحفيز'!$B$5:$B$2004,MATCH($K228,'سجل التحفيز'!$AD$5:$AD$2004,0)))</f>
        <v/>
      </c>
      <c r="N228" s="9">
        <f>IF($K228="","",INDEX('سجل التحفيز'!$M$5:$M$2004,MATCH($K228,'سجل التحفيز'!$AD$5:$AD$2004,0)))</f>
        <v/>
      </c>
      <c r="O228" s="9">
        <f>IF($K228="","",INDEX('سجل التحفيز'!$C$5:$C$2004,MATCH($K228,'سجل التحفيز'!$AD$5:$AD$2004,0)))</f>
        <v/>
      </c>
      <c r="P228" s="36">
        <f>IF($K228="","",INDEX('سجل التحفيز'!$D$5:$D$2004,MATCH($K228,'سجل التحفيز'!$AD$5:$AD$2004,0)))</f>
        <v/>
      </c>
      <c r="Q228" s="9">
        <f>IF($K228="","",INDEX('سجل التحفيز'!$E$5:$E$2004,MATCH($K228,'سجل التحفيز'!$AD$5:$AD$2004,0)))</f>
        <v/>
      </c>
      <c r="R228" s="9">
        <f>IF($K228="","",INDEX('سجل التحفيز'!$F$5:$F$2004,MATCH($K228,'سجل التحفيز'!$AD$5:$AD$2004,0)))</f>
        <v/>
      </c>
      <c r="S228" s="35">
        <f>IF($K228="","",INDEX('سجل التحفيز'!$G$5:$G$2004,MATCH($K228,'سجل التحفيز'!$AD$5:$AD$2004,0)))</f>
        <v/>
      </c>
    </row>
    <row r="229">
      <c r="K229" s="36">
        <f>IF(192&gt;$B$10,"",192)</f>
        <v/>
      </c>
      <c r="L229" s="37">
        <f>IF($K229="","",INDEX('سجل التحفيز'!$A$5:$A$2004,MATCH($K229,'سجل التحفيز'!$AD$5:$AD$2004,0)))</f>
        <v/>
      </c>
      <c r="M229" s="9">
        <f>IF($K229="","",INDEX('سجل التحفيز'!$B$5:$B$2004,MATCH($K229,'سجل التحفيز'!$AD$5:$AD$2004,0)))</f>
        <v/>
      </c>
      <c r="N229" s="9">
        <f>IF($K229="","",INDEX('سجل التحفيز'!$M$5:$M$2004,MATCH($K229,'سجل التحفيز'!$AD$5:$AD$2004,0)))</f>
        <v/>
      </c>
      <c r="O229" s="9">
        <f>IF($K229="","",INDEX('سجل التحفيز'!$C$5:$C$2004,MATCH($K229,'سجل التحفيز'!$AD$5:$AD$2004,0)))</f>
        <v/>
      </c>
      <c r="P229" s="36">
        <f>IF($K229="","",INDEX('سجل التحفيز'!$D$5:$D$2004,MATCH($K229,'سجل التحفيز'!$AD$5:$AD$2004,0)))</f>
        <v/>
      </c>
      <c r="Q229" s="9">
        <f>IF($K229="","",INDEX('سجل التحفيز'!$E$5:$E$2004,MATCH($K229,'سجل التحفيز'!$AD$5:$AD$2004,0)))</f>
        <v/>
      </c>
      <c r="R229" s="9">
        <f>IF($K229="","",INDEX('سجل التحفيز'!$F$5:$F$2004,MATCH($K229,'سجل التحفيز'!$AD$5:$AD$2004,0)))</f>
        <v/>
      </c>
      <c r="S229" s="35">
        <f>IF($K229="","",INDEX('سجل التحفيز'!$G$5:$G$2004,MATCH($K229,'سجل التحفيز'!$AD$5:$AD$2004,0)))</f>
        <v/>
      </c>
    </row>
    <row r="230">
      <c r="K230" s="36">
        <f>IF(193&gt;$B$10,"",193)</f>
        <v/>
      </c>
      <c r="L230" s="37">
        <f>IF($K230="","",INDEX('سجل التحفيز'!$A$5:$A$2004,MATCH($K230,'سجل التحفيز'!$AD$5:$AD$2004,0)))</f>
        <v/>
      </c>
      <c r="M230" s="9">
        <f>IF($K230="","",INDEX('سجل التحفيز'!$B$5:$B$2004,MATCH($K230,'سجل التحفيز'!$AD$5:$AD$2004,0)))</f>
        <v/>
      </c>
      <c r="N230" s="9">
        <f>IF($K230="","",INDEX('سجل التحفيز'!$M$5:$M$2004,MATCH($K230,'سجل التحفيز'!$AD$5:$AD$2004,0)))</f>
        <v/>
      </c>
      <c r="O230" s="9">
        <f>IF($K230="","",INDEX('سجل التحفيز'!$C$5:$C$2004,MATCH($K230,'سجل التحفيز'!$AD$5:$AD$2004,0)))</f>
        <v/>
      </c>
      <c r="P230" s="36">
        <f>IF($K230="","",INDEX('سجل التحفيز'!$D$5:$D$2004,MATCH($K230,'سجل التحفيز'!$AD$5:$AD$2004,0)))</f>
        <v/>
      </c>
      <c r="Q230" s="9">
        <f>IF($K230="","",INDEX('سجل التحفيز'!$E$5:$E$2004,MATCH($K230,'سجل التحفيز'!$AD$5:$AD$2004,0)))</f>
        <v/>
      </c>
      <c r="R230" s="9">
        <f>IF($K230="","",INDEX('سجل التحفيز'!$F$5:$F$2004,MATCH($K230,'سجل التحفيز'!$AD$5:$AD$2004,0)))</f>
        <v/>
      </c>
      <c r="S230" s="35">
        <f>IF($K230="","",INDEX('سجل التحفيز'!$G$5:$G$2004,MATCH($K230,'سجل التحفيز'!$AD$5:$AD$2004,0)))</f>
        <v/>
      </c>
    </row>
    <row r="231">
      <c r="K231" s="36">
        <f>IF(194&gt;$B$10,"",194)</f>
        <v/>
      </c>
      <c r="L231" s="37">
        <f>IF($K231="","",INDEX('سجل التحفيز'!$A$5:$A$2004,MATCH($K231,'سجل التحفيز'!$AD$5:$AD$2004,0)))</f>
        <v/>
      </c>
      <c r="M231" s="9">
        <f>IF($K231="","",INDEX('سجل التحفيز'!$B$5:$B$2004,MATCH($K231,'سجل التحفيز'!$AD$5:$AD$2004,0)))</f>
        <v/>
      </c>
      <c r="N231" s="9">
        <f>IF($K231="","",INDEX('سجل التحفيز'!$M$5:$M$2004,MATCH($K231,'سجل التحفيز'!$AD$5:$AD$2004,0)))</f>
        <v/>
      </c>
      <c r="O231" s="9">
        <f>IF($K231="","",INDEX('سجل التحفيز'!$C$5:$C$2004,MATCH($K231,'سجل التحفيز'!$AD$5:$AD$2004,0)))</f>
        <v/>
      </c>
      <c r="P231" s="36">
        <f>IF($K231="","",INDEX('سجل التحفيز'!$D$5:$D$2004,MATCH($K231,'سجل التحفيز'!$AD$5:$AD$2004,0)))</f>
        <v/>
      </c>
      <c r="Q231" s="9">
        <f>IF($K231="","",INDEX('سجل التحفيز'!$E$5:$E$2004,MATCH($K231,'سجل التحفيز'!$AD$5:$AD$2004,0)))</f>
        <v/>
      </c>
      <c r="R231" s="9">
        <f>IF($K231="","",INDEX('سجل التحفيز'!$F$5:$F$2004,MATCH($K231,'سجل التحفيز'!$AD$5:$AD$2004,0)))</f>
        <v/>
      </c>
      <c r="S231" s="35">
        <f>IF($K231="","",INDEX('سجل التحفيز'!$G$5:$G$2004,MATCH($K231,'سجل التحفيز'!$AD$5:$AD$2004,0)))</f>
        <v/>
      </c>
    </row>
    <row r="232">
      <c r="K232" s="36">
        <f>IF(195&gt;$B$10,"",195)</f>
        <v/>
      </c>
      <c r="L232" s="37">
        <f>IF($K232="","",INDEX('سجل التحفيز'!$A$5:$A$2004,MATCH($K232,'سجل التحفيز'!$AD$5:$AD$2004,0)))</f>
        <v/>
      </c>
      <c r="M232" s="9">
        <f>IF($K232="","",INDEX('سجل التحفيز'!$B$5:$B$2004,MATCH($K232,'سجل التحفيز'!$AD$5:$AD$2004,0)))</f>
        <v/>
      </c>
      <c r="N232" s="9">
        <f>IF($K232="","",INDEX('سجل التحفيز'!$M$5:$M$2004,MATCH($K232,'سجل التحفيز'!$AD$5:$AD$2004,0)))</f>
        <v/>
      </c>
      <c r="O232" s="9">
        <f>IF($K232="","",INDEX('سجل التحفيز'!$C$5:$C$2004,MATCH($K232,'سجل التحفيز'!$AD$5:$AD$2004,0)))</f>
        <v/>
      </c>
      <c r="P232" s="36">
        <f>IF($K232="","",INDEX('سجل التحفيز'!$D$5:$D$2004,MATCH($K232,'سجل التحفيز'!$AD$5:$AD$2004,0)))</f>
        <v/>
      </c>
      <c r="Q232" s="9">
        <f>IF($K232="","",INDEX('سجل التحفيز'!$E$5:$E$2004,MATCH($K232,'سجل التحفيز'!$AD$5:$AD$2004,0)))</f>
        <v/>
      </c>
      <c r="R232" s="9">
        <f>IF($K232="","",INDEX('سجل التحفيز'!$F$5:$F$2004,MATCH($K232,'سجل التحفيز'!$AD$5:$AD$2004,0)))</f>
        <v/>
      </c>
      <c r="S232" s="35">
        <f>IF($K232="","",INDEX('سجل التحفيز'!$G$5:$G$2004,MATCH($K232,'سجل التحفيز'!$AD$5:$AD$2004,0)))</f>
        <v/>
      </c>
    </row>
    <row r="233">
      <c r="K233" s="36">
        <f>IF(196&gt;$B$10,"",196)</f>
        <v/>
      </c>
      <c r="L233" s="37">
        <f>IF($K233="","",INDEX('سجل التحفيز'!$A$5:$A$2004,MATCH($K233,'سجل التحفيز'!$AD$5:$AD$2004,0)))</f>
        <v/>
      </c>
      <c r="M233" s="9">
        <f>IF($K233="","",INDEX('سجل التحفيز'!$B$5:$B$2004,MATCH($K233,'سجل التحفيز'!$AD$5:$AD$2004,0)))</f>
        <v/>
      </c>
      <c r="N233" s="9">
        <f>IF($K233="","",INDEX('سجل التحفيز'!$M$5:$M$2004,MATCH($K233,'سجل التحفيز'!$AD$5:$AD$2004,0)))</f>
        <v/>
      </c>
      <c r="O233" s="9">
        <f>IF($K233="","",INDEX('سجل التحفيز'!$C$5:$C$2004,MATCH($K233,'سجل التحفيز'!$AD$5:$AD$2004,0)))</f>
        <v/>
      </c>
      <c r="P233" s="36">
        <f>IF($K233="","",INDEX('سجل التحفيز'!$D$5:$D$2004,MATCH($K233,'سجل التحفيز'!$AD$5:$AD$2004,0)))</f>
        <v/>
      </c>
      <c r="Q233" s="9">
        <f>IF($K233="","",INDEX('سجل التحفيز'!$E$5:$E$2004,MATCH($K233,'سجل التحفيز'!$AD$5:$AD$2004,0)))</f>
        <v/>
      </c>
      <c r="R233" s="9">
        <f>IF($K233="","",INDEX('سجل التحفيز'!$F$5:$F$2004,MATCH($K233,'سجل التحفيز'!$AD$5:$AD$2004,0)))</f>
        <v/>
      </c>
      <c r="S233" s="35">
        <f>IF($K233="","",INDEX('سجل التحفيز'!$G$5:$G$2004,MATCH($K233,'سجل التحفيز'!$AD$5:$AD$2004,0)))</f>
        <v/>
      </c>
    </row>
    <row r="234">
      <c r="K234" s="36">
        <f>IF(197&gt;$B$10,"",197)</f>
        <v/>
      </c>
      <c r="L234" s="37">
        <f>IF($K234="","",INDEX('سجل التحفيز'!$A$5:$A$2004,MATCH($K234,'سجل التحفيز'!$AD$5:$AD$2004,0)))</f>
        <v/>
      </c>
      <c r="M234" s="9">
        <f>IF($K234="","",INDEX('سجل التحفيز'!$B$5:$B$2004,MATCH($K234,'سجل التحفيز'!$AD$5:$AD$2004,0)))</f>
        <v/>
      </c>
      <c r="N234" s="9">
        <f>IF($K234="","",INDEX('سجل التحفيز'!$M$5:$M$2004,MATCH($K234,'سجل التحفيز'!$AD$5:$AD$2004,0)))</f>
        <v/>
      </c>
      <c r="O234" s="9">
        <f>IF($K234="","",INDEX('سجل التحفيز'!$C$5:$C$2004,MATCH($K234,'سجل التحفيز'!$AD$5:$AD$2004,0)))</f>
        <v/>
      </c>
      <c r="P234" s="36">
        <f>IF($K234="","",INDEX('سجل التحفيز'!$D$5:$D$2004,MATCH($K234,'سجل التحفيز'!$AD$5:$AD$2004,0)))</f>
        <v/>
      </c>
      <c r="Q234" s="9">
        <f>IF($K234="","",INDEX('سجل التحفيز'!$E$5:$E$2004,MATCH($K234,'سجل التحفيز'!$AD$5:$AD$2004,0)))</f>
        <v/>
      </c>
      <c r="R234" s="9">
        <f>IF($K234="","",INDEX('سجل التحفيز'!$F$5:$F$2004,MATCH($K234,'سجل التحفيز'!$AD$5:$AD$2004,0)))</f>
        <v/>
      </c>
      <c r="S234" s="35">
        <f>IF($K234="","",INDEX('سجل التحفيز'!$G$5:$G$2004,MATCH($K234,'سجل التحفيز'!$AD$5:$AD$2004,0)))</f>
        <v/>
      </c>
    </row>
    <row r="235">
      <c r="K235" s="36">
        <f>IF(198&gt;$B$10,"",198)</f>
        <v/>
      </c>
      <c r="L235" s="37">
        <f>IF($K235="","",INDEX('سجل التحفيز'!$A$5:$A$2004,MATCH($K235,'سجل التحفيز'!$AD$5:$AD$2004,0)))</f>
        <v/>
      </c>
      <c r="M235" s="9">
        <f>IF($K235="","",INDEX('سجل التحفيز'!$B$5:$B$2004,MATCH($K235,'سجل التحفيز'!$AD$5:$AD$2004,0)))</f>
        <v/>
      </c>
      <c r="N235" s="9">
        <f>IF($K235="","",INDEX('سجل التحفيز'!$M$5:$M$2004,MATCH($K235,'سجل التحفيز'!$AD$5:$AD$2004,0)))</f>
        <v/>
      </c>
      <c r="O235" s="9">
        <f>IF($K235="","",INDEX('سجل التحفيز'!$C$5:$C$2004,MATCH($K235,'سجل التحفيز'!$AD$5:$AD$2004,0)))</f>
        <v/>
      </c>
      <c r="P235" s="36">
        <f>IF($K235="","",INDEX('سجل التحفيز'!$D$5:$D$2004,MATCH($K235,'سجل التحفيز'!$AD$5:$AD$2004,0)))</f>
        <v/>
      </c>
      <c r="Q235" s="9">
        <f>IF($K235="","",INDEX('سجل التحفيز'!$E$5:$E$2004,MATCH($K235,'سجل التحفيز'!$AD$5:$AD$2004,0)))</f>
        <v/>
      </c>
      <c r="R235" s="9">
        <f>IF($K235="","",INDEX('سجل التحفيز'!$F$5:$F$2004,MATCH($K235,'سجل التحفيز'!$AD$5:$AD$2004,0)))</f>
        <v/>
      </c>
      <c r="S235" s="35">
        <f>IF($K235="","",INDEX('سجل التحفيز'!$G$5:$G$2004,MATCH($K235,'سجل التحفيز'!$AD$5:$AD$2004,0)))</f>
        <v/>
      </c>
    </row>
    <row r="236">
      <c r="K236" s="36">
        <f>IF(199&gt;$B$10,"",199)</f>
        <v/>
      </c>
      <c r="L236" s="37">
        <f>IF($K236="","",INDEX('سجل التحفيز'!$A$5:$A$2004,MATCH($K236,'سجل التحفيز'!$AD$5:$AD$2004,0)))</f>
        <v/>
      </c>
      <c r="M236" s="9">
        <f>IF($K236="","",INDEX('سجل التحفيز'!$B$5:$B$2004,MATCH($K236,'سجل التحفيز'!$AD$5:$AD$2004,0)))</f>
        <v/>
      </c>
      <c r="N236" s="9">
        <f>IF($K236="","",INDEX('سجل التحفيز'!$M$5:$M$2004,MATCH($K236,'سجل التحفيز'!$AD$5:$AD$2004,0)))</f>
        <v/>
      </c>
      <c r="O236" s="9">
        <f>IF($K236="","",INDEX('سجل التحفيز'!$C$5:$C$2004,MATCH($K236,'سجل التحفيز'!$AD$5:$AD$2004,0)))</f>
        <v/>
      </c>
      <c r="P236" s="36">
        <f>IF($K236="","",INDEX('سجل التحفيز'!$D$5:$D$2004,MATCH($K236,'سجل التحفيز'!$AD$5:$AD$2004,0)))</f>
        <v/>
      </c>
      <c r="Q236" s="9">
        <f>IF($K236="","",INDEX('سجل التحفيز'!$E$5:$E$2004,MATCH($K236,'سجل التحفيز'!$AD$5:$AD$2004,0)))</f>
        <v/>
      </c>
      <c r="R236" s="9">
        <f>IF($K236="","",INDEX('سجل التحفيز'!$F$5:$F$2004,MATCH($K236,'سجل التحفيز'!$AD$5:$AD$2004,0)))</f>
        <v/>
      </c>
      <c r="S236" s="35">
        <f>IF($K236="","",INDEX('سجل التحفيز'!$G$5:$G$2004,MATCH($K236,'سجل التحفيز'!$AD$5:$AD$2004,0)))</f>
        <v/>
      </c>
    </row>
    <row r="237">
      <c r="K237" s="36">
        <f>IF(200&gt;$B$10,"",200)</f>
        <v/>
      </c>
      <c r="L237" s="37">
        <f>IF($K237="","",INDEX('سجل التحفيز'!$A$5:$A$2004,MATCH($K237,'سجل التحفيز'!$AD$5:$AD$2004,0)))</f>
        <v/>
      </c>
      <c r="M237" s="9">
        <f>IF($K237="","",INDEX('سجل التحفيز'!$B$5:$B$2004,MATCH($K237,'سجل التحفيز'!$AD$5:$AD$2004,0)))</f>
        <v/>
      </c>
      <c r="N237" s="9">
        <f>IF($K237="","",INDEX('سجل التحفيز'!$M$5:$M$2004,MATCH($K237,'سجل التحفيز'!$AD$5:$AD$2004,0)))</f>
        <v/>
      </c>
      <c r="O237" s="9">
        <f>IF($K237="","",INDEX('سجل التحفيز'!$C$5:$C$2004,MATCH($K237,'سجل التحفيز'!$AD$5:$AD$2004,0)))</f>
        <v/>
      </c>
      <c r="P237" s="36">
        <f>IF($K237="","",INDEX('سجل التحفيز'!$D$5:$D$2004,MATCH($K237,'سجل التحفيز'!$AD$5:$AD$2004,0)))</f>
        <v/>
      </c>
      <c r="Q237" s="9">
        <f>IF($K237="","",INDEX('سجل التحفيز'!$E$5:$E$2004,MATCH($K237,'سجل التحفيز'!$AD$5:$AD$2004,0)))</f>
        <v/>
      </c>
      <c r="R237" s="9">
        <f>IF($K237="","",INDEX('سجل التحفيز'!$F$5:$F$2004,MATCH($K237,'سجل التحفيز'!$AD$5:$AD$2004,0)))</f>
        <v/>
      </c>
      <c r="S237" s="35">
        <f>IF($K237="","",INDEX('سجل التحفيز'!$G$5:$G$2004,MATCH($K237,'سجل التحفيز'!$AD$5:$AD$2004,0)))</f>
        <v/>
      </c>
    </row>
    <row r="238">
      <c r="K238" s="36">
        <f>IF(201&gt;$B$10,"",201)</f>
        <v/>
      </c>
      <c r="L238" s="37">
        <f>IF($K238="","",INDEX('سجل التحفيز'!$A$5:$A$2004,MATCH($K238,'سجل التحفيز'!$AD$5:$AD$2004,0)))</f>
        <v/>
      </c>
      <c r="M238" s="9">
        <f>IF($K238="","",INDEX('سجل التحفيز'!$B$5:$B$2004,MATCH($K238,'سجل التحفيز'!$AD$5:$AD$2004,0)))</f>
        <v/>
      </c>
      <c r="N238" s="9">
        <f>IF($K238="","",INDEX('سجل التحفيز'!$M$5:$M$2004,MATCH($K238,'سجل التحفيز'!$AD$5:$AD$2004,0)))</f>
        <v/>
      </c>
      <c r="O238" s="9">
        <f>IF($K238="","",INDEX('سجل التحفيز'!$C$5:$C$2004,MATCH($K238,'سجل التحفيز'!$AD$5:$AD$2004,0)))</f>
        <v/>
      </c>
      <c r="P238" s="36">
        <f>IF($K238="","",INDEX('سجل التحفيز'!$D$5:$D$2004,MATCH($K238,'سجل التحفيز'!$AD$5:$AD$2004,0)))</f>
        <v/>
      </c>
      <c r="Q238" s="9">
        <f>IF($K238="","",INDEX('سجل التحفيز'!$E$5:$E$2004,MATCH($K238,'سجل التحفيز'!$AD$5:$AD$2004,0)))</f>
        <v/>
      </c>
      <c r="R238" s="9">
        <f>IF($K238="","",INDEX('سجل التحفيز'!$F$5:$F$2004,MATCH($K238,'سجل التحفيز'!$AD$5:$AD$2004,0)))</f>
        <v/>
      </c>
      <c r="S238" s="35">
        <f>IF($K238="","",INDEX('سجل التحفيز'!$G$5:$G$2004,MATCH($K238,'سجل التحفيز'!$AD$5:$AD$2004,0)))</f>
        <v/>
      </c>
    </row>
    <row r="239">
      <c r="K239" s="36">
        <f>IF(202&gt;$B$10,"",202)</f>
        <v/>
      </c>
      <c r="L239" s="37">
        <f>IF($K239="","",INDEX('سجل التحفيز'!$A$5:$A$2004,MATCH($K239,'سجل التحفيز'!$AD$5:$AD$2004,0)))</f>
        <v/>
      </c>
      <c r="M239" s="9">
        <f>IF($K239="","",INDEX('سجل التحفيز'!$B$5:$B$2004,MATCH($K239,'سجل التحفيز'!$AD$5:$AD$2004,0)))</f>
        <v/>
      </c>
      <c r="N239" s="9">
        <f>IF($K239="","",INDEX('سجل التحفيز'!$M$5:$M$2004,MATCH($K239,'سجل التحفيز'!$AD$5:$AD$2004,0)))</f>
        <v/>
      </c>
      <c r="O239" s="9">
        <f>IF($K239="","",INDEX('سجل التحفيز'!$C$5:$C$2004,MATCH($K239,'سجل التحفيز'!$AD$5:$AD$2004,0)))</f>
        <v/>
      </c>
      <c r="P239" s="36">
        <f>IF($K239="","",INDEX('سجل التحفيز'!$D$5:$D$2004,MATCH($K239,'سجل التحفيز'!$AD$5:$AD$2004,0)))</f>
        <v/>
      </c>
      <c r="Q239" s="9">
        <f>IF($K239="","",INDEX('سجل التحفيز'!$E$5:$E$2004,MATCH($K239,'سجل التحفيز'!$AD$5:$AD$2004,0)))</f>
        <v/>
      </c>
      <c r="R239" s="9">
        <f>IF($K239="","",INDEX('سجل التحفيز'!$F$5:$F$2004,MATCH($K239,'سجل التحفيز'!$AD$5:$AD$2004,0)))</f>
        <v/>
      </c>
      <c r="S239" s="35">
        <f>IF($K239="","",INDEX('سجل التحفيز'!$G$5:$G$2004,MATCH($K239,'سجل التحفيز'!$AD$5:$AD$2004,0)))</f>
        <v/>
      </c>
    </row>
    <row r="240">
      <c r="K240" s="36">
        <f>IF(203&gt;$B$10,"",203)</f>
        <v/>
      </c>
      <c r="L240" s="37">
        <f>IF($K240="","",INDEX('سجل التحفيز'!$A$5:$A$2004,MATCH($K240,'سجل التحفيز'!$AD$5:$AD$2004,0)))</f>
        <v/>
      </c>
      <c r="M240" s="9">
        <f>IF($K240="","",INDEX('سجل التحفيز'!$B$5:$B$2004,MATCH($K240,'سجل التحفيز'!$AD$5:$AD$2004,0)))</f>
        <v/>
      </c>
      <c r="N240" s="9">
        <f>IF($K240="","",INDEX('سجل التحفيز'!$M$5:$M$2004,MATCH($K240,'سجل التحفيز'!$AD$5:$AD$2004,0)))</f>
        <v/>
      </c>
      <c r="O240" s="9">
        <f>IF($K240="","",INDEX('سجل التحفيز'!$C$5:$C$2004,MATCH($K240,'سجل التحفيز'!$AD$5:$AD$2004,0)))</f>
        <v/>
      </c>
      <c r="P240" s="36">
        <f>IF($K240="","",INDEX('سجل التحفيز'!$D$5:$D$2004,MATCH($K240,'سجل التحفيز'!$AD$5:$AD$2004,0)))</f>
        <v/>
      </c>
      <c r="Q240" s="9">
        <f>IF($K240="","",INDEX('سجل التحفيز'!$E$5:$E$2004,MATCH($K240,'سجل التحفيز'!$AD$5:$AD$2004,0)))</f>
        <v/>
      </c>
      <c r="R240" s="9">
        <f>IF($K240="","",INDEX('سجل التحفيز'!$F$5:$F$2004,MATCH($K240,'سجل التحفيز'!$AD$5:$AD$2004,0)))</f>
        <v/>
      </c>
      <c r="S240" s="35">
        <f>IF($K240="","",INDEX('سجل التحفيز'!$G$5:$G$2004,MATCH($K240,'سجل التحفيز'!$AD$5:$AD$2004,0)))</f>
        <v/>
      </c>
    </row>
    <row r="241">
      <c r="K241" s="36">
        <f>IF(204&gt;$B$10,"",204)</f>
        <v/>
      </c>
      <c r="L241" s="37">
        <f>IF($K241="","",INDEX('سجل التحفيز'!$A$5:$A$2004,MATCH($K241,'سجل التحفيز'!$AD$5:$AD$2004,0)))</f>
        <v/>
      </c>
      <c r="M241" s="9">
        <f>IF($K241="","",INDEX('سجل التحفيز'!$B$5:$B$2004,MATCH($K241,'سجل التحفيز'!$AD$5:$AD$2004,0)))</f>
        <v/>
      </c>
      <c r="N241" s="9">
        <f>IF($K241="","",INDEX('سجل التحفيز'!$M$5:$M$2004,MATCH($K241,'سجل التحفيز'!$AD$5:$AD$2004,0)))</f>
        <v/>
      </c>
      <c r="O241" s="9">
        <f>IF($K241="","",INDEX('سجل التحفيز'!$C$5:$C$2004,MATCH($K241,'سجل التحفيز'!$AD$5:$AD$2004,0)))</f>
        <v/>
      </c>
      <c r="P241" s="36">
        <f>IF($K241="","",INDEX('سجل التحفيز'!$D$5:$D$2004,MATCH($K241,'سجل التحفيز'!$AD$5:$AD$2004,0)))</f>
        <v/>
      </c>
      <c r="Q241" s="9">
        <f>IF($K241="","",INDEX('سجل التحفيز'!$E$5:$E$2004,MATCH($K241,'سجل التحفيز'!$AD$5:$AD$2004,0)))</f>
        <v/>
      </c>
      <c r="R241" s="9">
        <f>IF($K241="","",INDEX('سجل التحفيز'!$F$5:$F$2004,MATCH($K241,'سجل التحفيز'!$AD$5:$AD$2004,0)))</f>
        <v/>
      </c>
      <c r="S241" s="35">
        <f>IF($K241="","",INDEX('سجل التحفيز'!$G$5:$G$2004,MATCH($K241,'سجل التحفيز'!$AD$5:$AD$2004,0)))</f>
        <v/>
      </c>
    </row>
    <row r="242">
      <c r="K242" s="36">
        <f>IF(205&gt;$B$10,"",205)</f>
        <v/>
      </c>
      <c r="L242" s="37">
        <f>IF($K242="","",INDEX('سجل التحفيز'!$A$5:$A$2004,MATCH($K242,'سجل التحفيز'!$AD$5:$AD$2004,0)))</f>
        <v/>
      </c>
      <c r="M242" s="9">
        <f>IF($K242="","",INDEX('سجل التحفيز'!$B$5:$B$2004,MATCH($K242,'سجل التحفيز'!$AD$5:$AD$2004,0)))</f>
        <v/>
      </c>
      <c r="N242" s="9">
        <f>IF($K242="","",INDEX('سجل التحفيز'!$M$5:$M$2004,MATCH($K242,'سجل التحفيز'!$AD$5:$AD$2004,0)))</f>
        <v/>
      </c>
      <c r="O242" s="9">
        <f>IF($K242="","",INDEX('سجل التحفيز'!$C$5:$C$2004,MATCH($K242,'سجل التحفيز'!$AD$5:$AD$2004,0)))</f>
        <v/>
      </c>
      <c r="P242" s="36">
        <f>IF($K242="","",INDEX('سجل التحفيز'!$D$5:$D$2004,MATCH($K242,'سجل التحفيز'!$AD$5:$AD$2004,0)))</f>
        <v/>
      </c>
      <c r="Q242" s="9">
        <f>IF($K242="","",INDEX('سجل التحفيز'!$E$5:$E$2004,MATCH($K242,'سجل التحفيز'!$AD$5:$AD$2004,0)))</f>
        <v/>
      </c>
      <c r="R242" s="9">
        <f>IF($K242="","",INDEX('سجل التحفيز'!$F$5:$F$2004,MATCH($K242,'سجل التحفيز'!$AD$5:$AD$2004,0)))</f>
        <v/>
      </c>
      <c r="S242" s="35">
        <f>IF($K242="","",INDEX('سجل التحفيز'!$G$5:$G$2004,MATCH($K242,'سجل التحفيز'!$AD$5:$AD$2004,0)))</f>
        <v/>
      </c>
    </row>
    <row r="243">
      <c r="K243" s="36">
        <f>IF(206&gt;$B$10,"",206)</f>
        <v/>
      </c>
      <c r="L243" s="37">
        <f>IF($K243="","",INDEX('سجل التحفيز'!$A$5:$A$2004,MATCH($K243,'سجل التحفيز'!$AD$5:$AD$2004,0)))</f>
        <v/>
      </c>
      <c r="M243" s="9">
        <f>IF($K243="","",INDEX('سجل التحفيز'!$B$5:$B$2004,MATCH($K243,'سجل التحفيز'!$AD$5:$AD$2004,0)))</f>
        <v/>
      </c>
      <c r="N243" s="9">
        <f>IF($K243="","",INDEX('سجل التحفيز'!$M$5:$M$2004,MATCH($K243,'سجل التحفيز'!$AD$5:$AD$2004,0)))</f>
        <v/>
      </c>
      <c r="O243" s="9">
        <f>IF($K243="","",INDEX('سجل التحفيز'!$C$5:$C$2004,MATCH($K243,'سجل التحفيز'!$AD$5:$AD$2004,0)))</f>
        <v/>
      </c>
      <c r="P243" s="36">
        <f>IF($K243="","",INDEX('سجل التحفيز'!$D$5:$D$2004,MATCH($K243,'سجل التحفيز'!$AD$5:$AD$2004,0)))</f>
        <v/>
      </c>
      <c r="Q243" s="9">
        <f>IF($K243="","",INDEX('سجل التحفيز'!$E$5:$E$2004,MATCH($K243,'سجل التحفيز'!$AD$5:$AD$2004,0)))</f>
        <v/>
      </c>
      <c r="R243" s="9">
        <f>IF($K243="","",INDEX('سجل التحفيز'!$F$5:$F$2004,MATCH($K243,'سجل التحفيز'!$AD$5:$AD$2004,0)))</f>
        <v/>
      </c>
      <c r="S243" s="35">
        <f>IF($K243="","",INDEX('سجل التحفيز'!$G$5:$G$2004,MATCH($K243,'سجل التحفيز'!$AD$5:$AD$2004,0)))</f>
        <v/>
      </c>
    </row>
    <row r="244">
      <c r="K244" s="36">
        <f>IF(207&gt;$B$10,"",207)</f>
        <v/>
      </c>
      <c r="L244" s="37">
        <f>IF($K244="","",INDEX('سجل التحفيز'!$A$5:$A$2004,MATCH($K244,'سجل التحفيز'!$AD$5:$AD$2004,0)))</f>
        <v/>
      </c>
      <c r="M244" s="9">
        <f>IF($K244="","",INDEX('سجل التحفيز'!$B$5:$B$2004,MATCH($K244,'سجل التحفيز'!$AD$5:$AD$2004,0)))</f>
        <v/>
      </c>
      <c r="N244" s="9">
        <f>IF($K244="","",INDEX('سجل التحفيز'!$M$5:$M$2004,MATCH($K244,'سجل التحفيز'!$AD$5:$AD$2004,0)))</f>
        <v/>
      </c>
      <c r="O244" s="9">
        <f>IF($K244="","",INDEX('سجل التحفيز'!$C$5:$C$2004,MATCH($K244,'سجل التحفيز'!$AD$5:$AD$2004,0)))</f>
        <v/>
      </c>
      <c r="P244" s="36">
        <f>IF($K244="","",INDEX('سجل التحفيز'!$D$5:$D$2004,MATCH($K244,'سجل التحفيز'!$AD$5:$AD$2004,0)))</f>
        <v/>
      </c>
      <c r="Q244" s="9">
        <f>IF($K244="","",INDEX('سجل التحفيز'!$E$5:$E$2004,MATCH($K244,'سجل التحفيز'!$AD$5:$AD$2004,0)))</f>
        <v/>
      </c>
      <c r="R244" s="9">
        <f>IF($K244="","",INDEX('سجل التحفيز'!$F$5:$F$2004,MATCH($K244,'سجل التحفيز'!$AD$5:$AD$2004,0)))</f>
        <v/>
      </c>
      <c r="S244" s="35">
        <f>IF($K244="","",INDEX('سجل التحفيز'!$G$5:$G$2004,MATCH($K244,'سجل التحفيز'!$AD$5:$AD$2004,0)))</f>
        <v/>
      </c>
    </row>
    <row r="245">
      <c r="K245" s="36">
        <f>IF(208&gt;$B$10,"",208)</f>
        <v/>
      </c>
      <c r="L245" s="37">
        <f>IF($K245="","",INDEX('سجل التحفيز'!$A$5:$A$2004,MATCH($K245,'سجل التحفيز'!$AD$5:$AD$2004,0)))</f>
        <v/>
      </c>
      <c r="M245" s="9">
        <f>IF($K245="","",INDEX('سجل التحفيز'!$B$5:$B$2004,MATCH($K245,'سجل التحفيز'!$AD$5:$AD$2004,0)))</f>
        <v/>
      </c>
      <c r="N245" s="9">
        <f>IF($K245="","",INDEX('سجل التحفيز'!$M$5:$M$2004,MATCH($K245,'سجل التحفيز'!$AD$5:$AD$2004,0)))</f>
        <v/>
      </c>
      <c r="O245" s="9">
        <f>IF($K245="","",INDEX('سجل التحفيز'!$C$5:$C$2004,MATCH($K245,'سجل التحفيز'!$AD$5:$AD$2004,0)))</f>
        <v/>
      </c>
      <c r="P245" s="36">
        <f>IF($K245="","",INDEX('سجل التحفيز'!$D$5:$D$2004,MATCH($K245,'سجل التحفيز'!$AD$5:$AD$2004,0)))</f>
        <v/>
      </c>
      <c r="Q245" s="9">
        <f>IF($K245="","",INDEX('سجل التحفيز'!$E$5:$E$2004,MATCH($K245,'سجل التحفيز'!$AD$5:$AD$2004,0)))</f>
        <v/>
      </c>
      <c r="R245" s="9">
        <f>IF($K245="","",INDEX('سجل التحفيز'!$F$5:$F$2004,MATCH($K245,'سجل التحفيز'!$AD$5:$AD$2004,0)))</f>
        <v/>
      </c>
      <c r="S245" s="35">
        <f>IF($K245="","",INDEX('سجل التحفيز'!$G$5:$G$2004,MATCH($K245,'سجل التحفيز'!$AD$5:$AD$2004,0)))</f>
        <v/>
      </c>
    </row>
    <row r="246">
      <c r="K246" s="36">
        <f>IF(209&gt;$B$10,"",209)</f>
        <v/>
      </c>
      <c r="L246" s="37">
        <f>IF($K246="","",INDEX('سجل التحفيز'!$A$5:$A$2004,MATCH($K246,'سجل التحفيز'!$AD$5:$AD$2004,0)))</f>
        <v/>
      </c>
      <c r="M246" s="9">
        <f>IF($K246="","",INDEX('سجل التحفيز'!$B$5:$B$2004,MATCH($K246,'سجل التحفيز'!$AD$5:$AD$2004,0)))</f>
        <v/>
      </c>
      <c r="N246" s="9">
        <f>IF($K246="","",INDEX('سجل التحفيز'!$M$5:$M$2004,MATCH($K246,'سجل التحفيز'!$AD$5:$AD$2004,0)))</f>
        <v/>
      </c>
      <c r="O246" s="9">
        <f>IF($K246="","",INDEX('سجل التحفيز'!$C$5:$C$2004,MATCH($K246,'سجل التحفيز'!$AD$5:$AD$2004,0)))</f>
        <v/>
      </c>
      <c r="P246" s="36">
        <f>IF($K246="","",INDEX('سجل التحفيز'!$D$5:$D$2004,MATCH($K246,'سجل التحفيز'!$AD$5:$AD$2004,0)))</f>
        <v/>
      </c>
      <c r="Q246" s="9">
        <f>IF($K246="","",INDEX('سجل التحفيز'!$E$5:$E$2004,MATCH($K246,'سجل التحفيز'!$AD$5:$AD$2004,0)))</f>
        <v/>
      </c>
      <c r="R246" s="9">
        <f>IF($K246="","",INDEX('سجل التحفيز'!$F$5:$F$2004,MATCH($K246,'سجل التحفيز'!$AD$5:$AD$2004,0)))</f>
        <v/>
      </c>
      <c r="S246" s="35">
        <f>IF($K246="","",INDEX('سجل التحفيز'!$G$5:$G$2004,MATCH($K246,'سجل التحفيز'!$AD$5:$AD$2004,0)))</f>
        <v/>
      </c>
    </row>
    <row r="247">
      <c r="K247" s="36">
        <f>IF(210&gt;$B$10,"",210)</f>
        <v/>
      </c>
      <c r="L247" s="37">
        <f>IF($K247="","",INDEX('سجل التحفيز'!$A$5:$A$2004,MATCH($K247,'سجل التحفيز'!$AD$5:$AD$2004,0)))</f>
        <v/>
      </c>
      <c r="M247" s="9">
        <f>IF($K247="","",INDEX('سجل التحفيز'!$B$5:$B$2004,MATCH($K247,'سجل التحفيز'!$AD$5:$AD$2004,0)))</f>
        <v/>
      </c>
      <c r="N247" s="9">
        <f>IF($K247="","",INDEX('سجل التحفيز'!$M$5:$M$2004,MATCH($K247,'سجل التحفيز'!$AD$5:$AD$2004,0)))</f>
        <v/>
      </c>
      <c r="O247" s="9">
        <f>IF($K247="","",INDEX('سجل التحفيز'!$C$5:$C$2004,MATCH($K247,'سجل التحفيز'!$AD$5:$AD$2004,0)))</f>
        <v/>
      </c>
      <c r="P247" s="36">
        <f>IF($K247="","",INDEX('سجل التحفيز'!$D$5:$D$2004,MATCH($K247,'سجل التحفيز'!$AD$5:$AD$2004,0)))</f>
        <v/>
      </c>
      <c r="Q247" s="9">
        <f>IF($K247="","",INDEX('سجل التحفيز'!$E$5:$E$2004,MATCH($K247,'سجل التحفيز'!$AD$5:$AD$2004,0)))</f>
        <v/>
      </c>
      <c r="R247" s="9">
        <f>IF($K247="","",INDEX('سجل التحفيز'!$F$5:$F$2004,MATCH($K247,'سجل التحفيز'!$AD$5:$AD$2004,0)))</f>
        <v/>
      </c>
      <c r="S247" s="35">
        <f>IF($K247="","",INDEX('سجل التحفيز'!$G$5:$G$2004,MATCH($K247,'سجل التحفيز'!$AD$5:$AD$2004,0)))</f>
        <v/>
      </c>
    </row>
    <row r="248">
      <c r="K248" s="36">
        <f>IF(211&gt;$B$10,"",211)</f>
        <v/>
      </c>
      <c r="L248" s="37">
        <f>IF($K248="","",INDEX('سجل التحفيز'!$A$5:$A$2004,MATCH($K248,'سجل التحفيز'!$AD$5:$AD$2004,0)))</f>
        <v/>
      </c>
      <c r="M248" s="9">
        <f>IF($K248="","",INDEX('سجل التحفيز'!$B$5:$B$2004,MATCH($K248,'سجل التحفيز'!$AD$5:$AD$2004,0)))</f>
        <v/>
      </c>
      <c r="N248" s="9">
        <f>IF($K248="","",INDEX('سجل التحفيز'!$M$5:$M$2004,MATCH($K248,'سجل التحفيز'!$AD$5:$AD$2004,0)))</f>
        <v/>
      </c>
      <c r="O248" s="9">
        <f>IF($K248="","",INDEX('سجل التحفيز'!$C$5:$C$2004,MATCH($K248,'سجل التحفيز'!$AD$5:$AD$2004,0)))</f>
        <v/>
      </c>
      <c r="P248" s="36">
        <f>IF($K248="","",INDEX('سجل التحفيز'!$D$5:$D$2004,MATCH($K248,'سجل التحفيز'!$AD$5:$AD$2004,0)))</f>
        <v/>
      </c>
      <c r="Q248" s="9">
        <f>IF($K248="","",INDEX('سجل التحفيز'!$E$5:$E$2004,MATCH($K248,'سجل التحفيز'!$AD$5:$AD$2004,0)))</f>
        <v/>
      </c>
      <c r="R248" s="9">
        <f>IF($K248="","",INDEX('سجل التحفيز'!$F$5:$F$2004,MATCH($K248,'سجل التحفيز'!$AD$5:$AD$2004,0)))</f>
        <v/>
      </c>
      <c r="S248" s="35">
        <f>IF($K248="","",INDEX('سجل التحفيز'!$G$5:$G$2004,MATCH($K248,'سجل التحفيز'!$AD$5:$AD$2004,0)))</f>
        <v/>
      </c>
    </row>
    <row r="249">
      <c r="K249" s="36">
        <f>IF(212&gt;$B$10,"",212)</f>
        <v/>
      </c>
      <c r="L249" s="37">
        <f>IF($K249="","",INDEX('سجل التحفيز'!$A$5:$A$2004,MATCH($K249,'سجل التحفيز'!$AD$5:$AD$2004,0)))</f>
        <v/>
      </c>
      <c r="M249" s="9">
        <f>IF($K249="","",INDEX('سجل التحفيز'!$B$5:$B$2004,MATCH($K249,'سجل التحفيز'!$AD$5:$AD$2004,0)))</f>
        <v/>
      </c>
      <c r="N249" s="9">
        <f>IF($K249="","",INDEX('سجل التحفيز'!$M$5:$M$2004,MATCH($K249,'سجل التحفيز'!$AD$5:$AD$2004,0)))</f>
        <v/>
      </c>
      <c r="O249" s="9">
        <f>IF($K249="","",INDEX('سجل التحفيز'!$C$5:$C$2004,MATCH($K249,'سجل التحفيز'!$AD$5:$AD$2004,0)))</f>
        <v/>
      </c>
      <c r="P249" s="36">
        <f>IF($K249="","",INDEX('سجل التحفيز'!$D$5:$D$2004,MATCH($K249,'سجل التحفيز'!$AD$5:$AD$2004,0)))</f>
        <v/>
      </c>
      <c r="Q249" s="9">
        <f>IF($K249="","",INDEX('سجل التحفيز'!$E$5:$E$2004,MATCH($K249,'سجل التحفيز'!$AD$5:$AD$2004,0)))</f>
        <v/>
      </c>
      <c r="R249" s="9">
        <f>IF($K249="","",INDEX('سجل التحفيز'!$F$5:$F$2004,MATCH($K249,'سجل التحفيز'!$AD$5:$AD$2004,0)))</f>
        <v/>
      </c>
      <c r="S249" s="35">
        <f>IF($K249="","",INDEX('سجل التحفيز'!$G$5:$G$2004,MATCH($K249,'سجل التحفيز'!$AD$5:$AD$2004,0)))</f>
        <v/>
      </c>
    </row>
    <row r="250">
      <c r="K250" s="36">
        <f>IF(213&gt;$B$10,"",213)</f>
        <v/>
      </c>
      <c r="L250" s="37">
        <f>IF($K250="","",INDEX('سجل التحفيز'!$A$5:$A$2004,MATCH($K250,'سجل التحفيز'!$AD$5:$AD$2004,0)))</f>
        <v/>
      </c>
      <c r="M250" s="9">
        <f>IF($K250="","",INDEX('سجل التحفيز'!$B$5:$B$2004,MATCH($K250,'سجل التحفيز'!$AD$5:$AD$2004,0)))</f>
        <v/>
      </c>
      <c r="N250" s="9">
        <f>IF($K250="","",INDEX('سجل التحفيز'!$M$5:$M$2004,MATCH($K250,'سجل التحفيز'!$AD$5:$AD$2004,0)))</f>
        <v/>
      </c>
      <c r="O250" s="9">
        <f>IF($K250="","",INDEX('سجل التحفيز'!$C$5:$C$2004,MATCH($K250,'سجل التحفيز'!$AD$5:$AD$2004,0)))</f>
        <v/>
      </c>
      <c r="P250" s="36">
        <f>IF($K250="","",INDEX('سجل التحفيز'!$D$5:$D$2004,MATCH($K250,'سجل التحفيز'!$AD$5:$AD$2004,0)))</f>
        <v/>
      </c>
      <c r="Q250" s="9">
        <f>IF($K250="","",INDEX('سجل التحفيز'!$E$5:$E$2004,MATCH($K250,'سجل التحفيز'!$AD$5:$AD$2004,0)))</f>
        <v/>
      </c>
      <c r="R250" s="9">
        <f>IF($K250="","",INDEX('سجل التحفيز'!$F$5:$F$2004,MATCH($K250,'سجل التحفيز'!$AD$5:$AD$2004,0)))</f>
        <v/>
      </c>
      <c r="S250" s="35">
        <f>IF($K250="","",INDEX('سجل التحفيز'!$G$5:$G$2004,MATCH($K250,'سجل التحفيز'!$AD$5:$AD$2004,0)))</f>
        <v/>
      </c>
    </row>
    <row r="251">
      <c r="K251" s="36">
        <f>IF(214&gt;$B$10,"",214)</f>
        <v/>
      </c>
      <c r="L251" s="37">
        <f>IF($K251="","",INDEX('سجل التحفيز'!$A$5:$A$2004,MATCH($K251,'سجل التحفيز'!$AD$5:$AD$2004,0)))</f>
        <v/>
      </c>
      <c r="M251" s="9">
        <f>IF($K251="","",INDEX('سجل التحفيز'!$B$5:$B$2004,MATCH($K251,'سجل التحفيز'!$AD$5:$AD$2004,0)))</f>
        <v/>
      </c>
      <c r="N251" s="9">
        <f>IF($K251="","",INDEX('سجل التحفيز'!$M$5:$M$2004,MATCH($K251,'سجل التحفيز'!$AD$5:$AD$2004,0)))</f>
        <v/>
      </c>
      <c r="O251" s="9">
        <f>IF($K251="","",INDEX('سجل التحفيز'!$C$5:$C$2004,MATCH($K251,'سجل التحفيز'!$AD$5:$AD$2004,0)))</f>
        <v/>
      </c>
      <c r="P251" s="36">
        <f>IF($K251="","",INDEX('سجل التحفيز'!$D$5:$D$2004,MATCH($K251,'سجل التحفيز'!$AD$5:$AD$2004,0)))</f>
        <v/>
      </c>
      <c r="Q251" s="9">
        <f>IF($K251="","",INDEX('سجل التحفيز'!$E$5:$E$2004,MATCH($K251,'سجل التحفيز'!$AD$5:$AD$2004,0)))</f>
        <v/>
      </c>
      <c r="R251" s="9">
        <f>IF($K251="","",INDEX('سجل التحفيز'!$F$5:$F$2004,MATCH($K251,'سجل التحفيز'!$AD$5:$AD$2004,0)))</f>
        <v/>
      </c>
      <c r="S251" s="35">
        <f>IF($K251="","",INDEX('سجل التحفيز'!$G$5:$G$2004,MATCH($K251,'سجل التحفيز'!$AD$5:$AD$2004,0)))</f>
        <v/>
      </c>
    </row>
    <row r="252">
      <c r="K252" s="36">
        <f>IF(215&gt;$B$10,"",215)</f>
        <v/>
      </c>
      <c r="L252" s="37">
        <f>IF($K252="","",INDEX('سجل التحفيز'!$A$5:$A$2004,MATCH($K252,'سجل التحفيز'!$AD$5:$AD$2004,0)))</f>
        <v/>
      </c>
      <c r="M252" s="9">
        <f>IF($K252="","",INDEX('سجل التحفيز'!$B$5:$B$2004,MATCH($K252,'سجل التحفيز'!$AD$5:$AD$2004,0)))</f>
        <v/>
      </c>
      <c r="N252" s="9">
        <f>IF($K252="","",INDEX('سجل التحفيز'!$M$5:$M$2004,MATCH($K252,'سجل التحفيز'!$AD$5:$AD$2004,0)))</f>
        <v/>
      </c>
      <c r="O252" s="9">
        <f>IF($K252="","",INDEX('سجل التحفيز'!$C$5:$C$2004,MATCH($K252,'سجل التحفيز'!$AD$5:$AD$2004,0)))</f>
        <v/>
      </c>
      <c r="P252" s="36">
        <f>IF($K252="","",INDEX('سجل التحفيز'!$D$5:$D$2004,MATCH($K252,'سجل التحفيز'!$AD$5:$AD$2004,0)))</f>
        <v/>
      </c>
      <c r="Q252" s="9">
        <f>IF($K252="","",INDEX('سجل التحفيز'!$E$5:$E$2004,MATCH($K252,'سجل التحفيز'!$AD$5:$AD$2004,0)))</f>
        <v/>
      </c>
      <c r="R252" s="9">
        <f>IF($K252="","",INDEX('سجل التحفيز'!$F$5:$F$2004,MATCH($K252,'سجل التحفيز'!$AD$5:$AD$2004,0)))</f>
        <v/>
      </c>
      <c r="S252" s="35">
        <f>IF($K252="","",INDEX('سجل التحفيز'!$G$5:$G$2004,MATCH($K252,'سجل التحفيز'!$AD$5:$AD$2004,0)))</f>
        <v/>
      </c>
    </row>
    <row r="253">
      <c r="K253" s="36">
        <f>IF(216&gt;$B$10,"",216)</f>
        <v/>
      </c>
      <c r="L253" s="37">
        <f>IF($K253="","",INDEX('سجل التحفيز'!$A$5:$A$2004,MATCH($K253,'سجل التحفيز'!$AD$5:$AD$2004,0)))</f>
        <v/>
      </c>
      <c r="M253" s="9">
        <f>IF($K253="","",INDEX('سجل التحفيز'!$B$5:$B$2004,MATCH($K253,'سجل التحفيز'!$AD$5:$AD$2004,0)))</f>
        <v/>
      </c>
      <c r="N253" s="9">
        <f>IF($K253="","",INDEX('سجل التحفيز'!$M$5:$M$2004,MATCH($K253,'سجل التحفيز'!$AD$5:$AD$2004,0)))</f>
        <v/>
      </c>
      <c r="O253" s="9">
        <f>IF($K253="","",INDEX('سجل التحفيز'!$C$5:$C$2004,MATCH($K253,'سجل التحفيز'!$AD$5:$AD$2004,0)))</f>
        <v/>
      </c>
      <c r="P253" s="36">
        <f>IF($K253="","",INDEX('سجل التحفيز'!$D$5:$D$2004,MATCH($K253,'سجل التحفيز'!$AD$5:$AD$2004,0)))</f>
        <v/>
      </c>
      <c r="Q253" s="9">
        <f>IF($K253="","",INDEX('سجل التحفيز'!$E$5:$E$2004,MATCH($K253,'سجل التحفيز'!$AD$5:$AD$2004,0)))</f>
        <v/>
      </c>
      <c r="R253" s="9">
        <f>IF($K253="","",INDEX('سجل التحفيز'!$F$5:$F$2004,MATCH($K253,'سجل التحفيز'!$AD$5:$AD$2004,0)))</f>
        <v/>
      </c>
      <c r="S253" s="35">
        <f>IF($K253="","",INDEX('سجل التحفيز'!$G$5:$G$2004,MATCH($K253,'سجل التحفيز'!$AD$5:$AD$2004,0)))</f>
        <v/>
      </c>
    </row>
    <row r="254">
      <c r="K254" s="36">
        <f>IF(217&gt;$B$10,"",217)</f>
        <v/>
      </c>
      <c r="L254" s="37">
        <f>IF($K254="","",INDEX('سجل التحفيز'!$A$5:$A$2004,MATCH($K254,'سجل التحفيز'!$AD$5:$AD$2004,0)))</f>
        <v/>
      </c>
      <c r="M254" s="9">
        <f>IF($K254="","",INDEX('سجل التحفيز'!$B$5:$B$2004,MATCH($K254,'سجل التحفيز'!$AD$5:$AD$2004,0)))</f>
        <v/>
      </c>
      <c r="N254" s="9">
        <f>IF($K254="","",INDEX('سجل التحفيز'!$M$5:$M$2004,MATCH($K254,'سجل التحفيز'!$AD$5:$AD$2004,0)))</f>
        <v/>
      </c>
      <c r="O254" s="9">
        <f>IF($K254="","",INDEX('سجل التحفيز'!$C$5:$C$2004,MATCH($K254,'سجل التحفيز'!$AD$5:$AD$2004,0)))</f>
        <v/>
      </c>
      <c r="P254" s="36">
        <f>IF($K254="","",INDEX('سجل التحفيز'!$D$5:$D$2004,MATCH($K254,'سجل التحفيز'!$AD$5:$AD$2004,0)))</f>
        <v/>
      </c>
      <c r="Q254" s="9">
        <f>IF($K254="","",INDEX('سجل التحفيز'!$E$5:$E$2004,MATCH($K254,'سجل التحفيز'!$AD$5:$AD$2004,0)))</f>
        <v/>
      </c>
      <c r="R254" s="9">
        <f>IF($K254="","",INDEX('سجل التحفيز'!$F$5:$F$2004,MATCH($K254,'سجل التحفيز'!$AD$5:$AD$2004,0)))</f>
        <v/>
      </c>
      <c r="S254" s="35">
        <f>IF($K254="","",INDEX('سجل التحفيز'!$G$5:$G$2004,MATCH($K254,'سجل التحفيز'!$AD$5:$AD$2004,0)))</f>
        <v/>
      </c>
    </row>
    <row r="255">
      <c r="K255" s="36">
        <f>IF(218&gt;$B$10,"",218)</f>
        <v/>
      </c>
      <c r="L255" s="37">
        <f>IF($K255="","",INDEX('سجل التحفيز'!$A$5:$A$2004,MATCH($K255,'سجل التحفيز'!$AD$5:$AD$2004,0)))</f>
        <v/>
      </c>
      <c r="M255" s="9">
        <f>IF($K255="","",INDEX('سجل التحفيز'!$B$5:$B$2004,MATCH($K255,'سجل التحفيز'!$AD$5:$AD$2004,0)))</f>
        <v/>
      </c>
      <c r="N255" s="9">
        <f>IF($K255="","",INDEX('سجل التحفيز'!$M$5:$M$2004,MATCH($K255,'سجل التحفيز'!$AD$5:$AD$2004,0)))</f>
        <v/>
      </c>
      <c r="O255" s="9">
        <f>IF($K255="","",INDEX('سجل التحفيز'!$C$5:$C$2004,MATCH($K255,'سجل التحفيز'!$AD$5:$AD$2004,0)))</f>
        <v/>
      </c>
      <c r="P255" s="36">
        <f>IF($K255="","",INDEX('سجل التحفيز'!$D$5:$D$2004,MATCH($K255,'سجل التحفيز'!$AD$5:$AD$2004,0)))</f>
        <v/>
      </c>
      <c r="Q255" s="9">
        <f>IF($K255="","",INDEX('سجل التحفيز'!$E$5:$E$2004,MATCH($K255,'سجل التحفيز'!$AD$5:$AD$2004,0)))</f>
        <v/>
      </c>
      <c r="R255" s="9">
        <f>IF($K255="","",INDEX('سجل التحفيز'!$F$5:$F$2004,MATCH($K255,'سجل التحفيز'!$AD$5:$AD$2004,0)))</f>
        <v/>
      </c>
      <c r="S255" s="35">
        <f>IF($K255="","",INDEX('سجل التحفيز'!$G$5:$G$2004,MATCH($K255,'سجل التحفيز'!$AD$5:$AD$2004,0)))</f>
        <v/>
      </c>
    </row>
    <row r="256">
      <c r="K256" s="36">
        <f>IF(219&gt;$B$10,"",219)</f>
        <v/>
      </c>
      <c r="L256" s="37">
        <f>IF($K256="","",INDEX('سجل التحفيز'!$A$5:$A$2004,MATCH($K256,'سجل التحفيز'!$AD$5:$AD$2004,0)))</f>
        <v/>
      </c>
      <c r="M256" s="9">
        <f>IF($K256="","",INDEX('سجل التحفيز'!$B$5:$B$2004,MATCH($K256,'سجل التحفيز'!$AD$5:$AD$2004,0)))</f>
        <v/>
      </c>
      <c r="N256" s="9">
        <f>IF($K256="","",INDEX('سجل التحفيز'!$M$5:$M$2004,MATCH($K256,'سجل التحفيز'!$AD$5:$AD$2004,0)))</f>
        <v/>
      </c>
      <c r="O256" s="9">
        <f>IF($K256="","",INDEX('سجل التحفيز'!$C$5:$C$2004,MATCH($K256,'سجل التحفيز'!$AD$5:$AD$2004,0)))</f>
        <v/>
      </c>
      <c r="P256" s="36">
        <f>IF($K256="","",INDEX('سجل التحفيز'!$D$5:$D$2004,MATCH($K256,'سجل التحفيز'!$AD$5:$AD$2004,0)))</f>
        <v/>
      </c>
      <c r="Q256" s="9">
        <f>IF($K256="","",INDEX('سجل التحفيز'!$E$5:$E$2004,MATCH($K256,'سجل التحفيز'!$AD$5:$AD$2004,0)))</f>
        <v/>
      </c>
      <c r="R256" s="9">
        <f>IF($K256="","",INDEX('سجل التحفيز'!$F$5:$F$2004,MATCH($K256,'سجل التحفيز'!$AD$5:$AD$2004,0)))</f>
        <v/>
      </c>
      <c r="S256" s="35">
        <f>IF($K256="","",INDEX('سجل التحفيز'!$G$5:$G$2004,MATCH($K256,'سجل التحفيز'!$AD$5:$AD$2004,0)))</f>
        <v/>
      </c>
    </row>
    <row r="257">
      <c r="K257" s="36">
        <f>IF(220&gt;$B$10,"",220)</f>
        <v/>
      </c>
      <c r="L257" s="37">
        <f>IF($K257="","",INDEX('سجل التحفيز'!$A$5:$A$2004,MATCH($K257,'سجل التحفيز'!$AD$5:$AD$2004,0)))</f>
        <v/>
      </c>
      <c r="M257" s="9">
        <f>IF($K257="","",INDEX('سجل التحفيز'!$B$5:$B$2004,MATCH($K257,'سجل التحفيز'!$AD$5:$AD$2004,0)))</f>
        <v/>
      </c>
      <c r="N257" s="9">
        <f>IF($K257="","",INDEX('سجل التحفيز'!$M$5:$M$2004,MATCH($K257,'سجل التحفيز'!$AD$5:$AD$2004,0)))</f>
        <v/>
      </c>
      <c r="O257" s="9">
        <f>IF($K257="","",INDEX('سجل التحفيز'!$C$5:$C$2004,MATCH($K257,'سجل التحفيز'!$AD$5:$AD$2004,0)))</f>
        <v/>
      </c>
      <c r="P257" s="36">
        <f>IF($K257="","",INDEX('سجل التحفيز'!$D$5:$D$2004,MATCH($K257,'سجل التحفيز'!$AD$5:$AD$2004,0)))</f>
        <v/>
      </c>
      <c r="Q257" s="9">
        <f>IF($K257="","",INDEX('سجل التحفيز'!$E$5:$E$2004,MATCH($K257,'سجل التحفيز'!$AD$5:$AD$2004,0)))</f>
        <v/>
      </c>
      <c r="R257" s="9">
        <f>IF($K257="","",INDEX('سجل التحفيز'!$F$5:$F$2004,MATCH($K257,'سجل التحفيز'!$AD$5:$AD$2004,0)))</f>
        <v/>
      </c>
      <c r="S257" s="35">
        <f>IF($K257="","",INDEX('سجل التحفيز'!$G$5:$G$2004,MATCH($K257,'سجل التحفيز'!$AD$5:$AD$2004,0)))</f>
        <v/>
      </c>
    </row>
    <row r="258">
      <c r="K258" s="36">
        <f>IF(221&gt;$B$10,"",221)</f>
        <v/>
      </c>
      <c r="L258" s="37">
        <f>IF($K258="","",INDEX('سجل التحفيز'!$A$5:$A$2004,MATCH($K258,'سجل التحفيز'!$AD$5:$AD$2004,0)))</f>
        <v/>
      </c>
      <c r="M258" s="9">
        <f>IF($K258="","",INDEX('سجل التحفيز'!$B$5:$B$2004,MATCH($K258,'سجل التحفيز'!$AD$5:$AD$2004,0)))</f>
        <v/>
      </c>
      <c r="N258" s="9">
        <f>IF($K258="","",INDEX('سجل التحفيز'!$M$5:$M$2004,MATCH($K258,'سجل التحفيز'!$AD$5:$AD$2004,0)))</f>
        <v/>
      </c>
      <c r="O258" s="9">
        <f>IF($K258="","",INDEX('سجل التحفيز'!$C$5:$C$2004,MATCH($K258,'سجل التحفيز'!$AD$5:$AD$2004,0)))</f>
        <v/>
      </c>
      <c r="P258" s="36">
        <f>IF($K258="","",INDEX('سجل التحفيز'!$D$5:$D$2004,MATCH($K258,'سجل التحفيز'!$AD$5:$AD$2004,0)))</f>
        <v/>
      </c>
      <c r="Q258" s="9">
        <f>IF($K258="","",INDEX('سجل التحفيز'!$E$5:$E$2004,MATCH($K258,'سجل التحفيز'!$AD$5:$AD$2004,0)))</f>
        <v/>
      </c>
      <c r="R258" s="9">
        <f>IF($K258="","",INDEX('سجل التحفيز'!$F$5:$F$2004,MATCH($K258,'سجل التحفيز'!$AD$5:$AD$2004,0)))</f>
        <v/>
      </c>
      <c r="S258" s="35">
        <f>IF($K258="","",INDEX('سجل التحفيز'!$G$5:$G$2004,MATCH($K258,'سجل التحفيز'!$AD$5:$AD$2004,0)))</f>
        <v/>
      </c>
    </row>
    <row r="259">
      <c r="K259" s="36">
        <f>IF(222&gt;$B$10,"",222)</f>
        <v/>
      </c>
      <c r="L259" s="37">
        <f>IF($K259="","",INDEX('سجل التحفيز'!$A$5:$A$2004,MATCH($K259,'سجل التحفيز'!$AD$5:$AD$2004,0)))</f>
        <v/>
      </c>
      <c r="M259" s="9">
        <f>IF($K259="","",INDEX('سجل التحفيز'!$B$5:$B$2004,MATCH($K259,'سجل التحفيز'!$AD$5:$AD$2004,0)))</f>
        <v/>
      </c>
      <c r="N259" s="9">
        <f>IF($K259="","",INDEX('سجل التحفيز'!$M$5:$M$2004,MATCH($K259,'سجل التحفيز'!$AD$5:$AD$2004,0)))</f>
        <v/>
      </c>
      <c r="O259" s="9">
        <f>IF($K259="","",INDEX('سجل التحفيز'!$C$5:$C$2004,MATCH($K259,'سجل التحفيز'!$AD$5:$AD$2004,0)))</f>
        <v/>
      </c>
      <c r="P259" s="36">
        <f>IF($K259="","",INDEX('سجل التحفيز'!$D$5:$D$2004,MATCH($K259,'سجل التحفيز'!$AD$5:$AD$2004,0)))</f>
        <v/>
      </c>
      <c r="Q259" s="9">
        <f>IF($K259="","",INDEX('سجل التحفيز'!$E$5:$E$2004,MATCH($K259,'سجل التحفيز'!$AD$5:$AD$2004,0)))</f>
        <v/>
      </c>
      <c r="R259" s="9">
        <f>IF($K259="","",INDEX('سجل التحفيز'!$F$5:$F$2004,MATCH($K259,'سجل التحفيز'!$AD$5:$AD$2004,0)))</f>
        <v/>
      </c>
      <c r="S259" s="35">
        <f>IF($K259="","",INDEX('سجل التحفيز'!$G$5:$G$2004,MATCH($K259,'سجل التحفيز'!$AD$5:$AD$2004,0)))</f>
        <v/>
      </c>
    </row>
    <row r="260">
      <c r="K260" s="36">
        <f>IF(223&gt;$B$10,"",223)</f>
        <v/>
      </c>
      <c r="L260" s="37">
        <f>IF($K260="","",INDEX('سجل التحفيز'!$A$5:$A$2004,MATCH($K260,'سجل التحفيز'!$AD$5:$AD$2004,0)))</f>
        <v/>
      </c>
      <c r="M260" s="9">
        <f>IF($K260="","",INDEX('سجل التحفيز'!$B$5:$B$2004,MATCH($K260,'سجل التحفيز'!$AD$5:$AD$2004,0)))</f>
        <v/>
      </c>
      <c r="N260" s="9">
        <f>IF($K260="","",INDEX('سجل التحفيز'!$M$5:$M$2004,MATCH($K260,'سجل التحفيز'!$AD$5:$AD$2004,0)))</f>
        <v/>
      </c>
      <c r="O260" s="9">
        <f>IF($K260="","",INDEX('سجل التحفيز'!$C$5:$C$2004,MATCH($K260,'سجل التحفيز'!$AD$5:$AD$2004,0)))</f>
        <v/>
      </c>
      <c r="P260" s="36">
        <f>IF($K260="","",INDEX('سجل التحفيز'!$D$5:$D$2004,MATCH($K260,'سجل التحفيز'!$AD$5:$AD$2004,0)))</f>
        <v/>
      </c>
      <c r="Q260" s="9">
        <f>IF($K260="","",INDEX('سجل التحفيز'!$E$5:$E$2004,MATCH($K260,'سجل التحفيز'!$AD$5:$AD$2004,0)))</f>
        <v/>
      </c>
      <c r="R260" s="9">
        <f>IF($K260="","",INDEX('سجل التحفيز'!$F$5:$F$2004,MATCH($K260,'سجل التحفيز'!$AD$5:$AD$2004,0)))</f>
        <v/>
      </c>
      <c r="S260" s="35">
        <f>IF($K260="","",INDEX('سجل التحفيز'!$G$5:$G$2004,MATCH($K260,'سجل التحفيز'!$AD$5:$AD$2004,0)))</f>
        <v/>
      </c>
    </row>
    <row r="261">
      <c r="K261" s="36">
        <f>IF(224&gt;$B$10,"",224)</f>
        <v/>
      </c>
      <c r="L261" s="37">
        <f>IF($K261="","",INDEX('سجل التحفيز'!$A$5:$A$2004,MATCH($K261,'سجل التحفيز'!$AD$5:$AD$2004,0)))</f>
        <v/>
      </c>
      <c r="M261" s="9">
        <f>IF($K261="","",INDEX('سجل التحفيز'!$B$5:$B$2004,MATCH($K261,'سجل التحفيز'!$AD$5:$AD$2004,0)))</f>
        <v/>
      </c>
      <c r="N261" s="9">
        <f>IF($K261="","",INDEX('سجل التحفيز'!$M$5:$M$2004,MATCH($K261,'سجل التحفيز'!$AD$5:$AD$2004,0)))</f>
        <v/>
      </c>
      <c r="O261" s="9">
        <f>IF($K261="","",INDEX('سجل التحفيز'!$C$5:$C$2004,MATCH($K261,'سجل التحفيز'!$AD$5:$AD$2004,0)))</f>
        <v/>
      </c>
      <c r="P261" s="36">
        <f>IF($K261="","",INDEX('سجل التحفيز'!$D$5:$D$2004,MATCH($K261,'سجل التحفيز'!$AD$5:$AD$2004,0)))</f>
        <v/>
      </c>
      <c r="Q261" s="9">
        <f>IF($K261="","",INDEX('سجل التحفيز'!$E$5:$E$2004,MATCH($K261,'سجل التحفيز'!$AD$5:$AD$2004,0)))</f>
        <v/>
      </c>
      <c r="R261" s="9">
        <f>IF($K261="","",INDEX('سجل التحفيز'!$F$5:$F$2004,MATCH($K261,'سجل التحفيز'!$AD$5:$AD$2004,0)))</f>
        <v/>
      </c>
      <c r="S261" s="35">
        <f>IF($K261="","",INDEX('سجل التحفيز'!$G$5:$G$2004,MATCH($K261,'سجل التحفيز'!$AD$5:$AD$2004,0)))</f>
        <v/>
      </c>
    </row>
    <row r="262">
      <c r="K262" s="36">
        <f>IF(225&gt;$B$10,"",225)</f>
        <v/>
      </c>
      <c r="L262" s="37">
        <f>IF($K262="","",INDEX('سجل التحفيز'!$A$5:$A$2004,MATCH($K262,'سجل التحفيز'!$AD$5:$AD$2004,0)))</f>
        <v/>
      </c>
      <c r="M262" s="9">
        <f>IF($K262="","",INDEX('سجل التحفيز'!$B$5:$B$2004,MATCH($K262,'سجل التحفيز'!$AD$5:$AD$2004,0)))</f>
        <v/>
      </c>
      <c r="N262" s="9">
        <f>IF($K262="","",INDEX('سجل التحفيز'!$M$5:$M$2004,MATCH($K262,'سجل التحفيز'!$AD$5:$AD$2004,0)))</f>
        <v/>
      </c>
      <c r="O262" s="9">
        <f>IF($K262="","",INDEX('سجل التحفيز'!$C$5:$C$2004,MATCH($K262,'سجل التحفيز'!$AD$5:$AD$2004,0)))</f>
        <v/>
      </c>
      <c r="P262" s="36">
        <f>IF($K262="","",INDEX('سجل التحفيز'!$D$5:$D$2004,MATCH($K262,'سجل التحفيز'!$AD$5:$AD$2004,0)))</f>
        <v/>
      </c>
      <c r="Q262" s="9">
        <f>IF($K262="","",INDEX('سجل التحفيز'!$E$5:$E$2004,MATCH($K262,'سجل التحفيز'!$AD$5:$AD$2004,0)))</f>
        <v/>
      </c>
      <c r="R262" s="9">
        <f>IF($K262="","",INDEX('سجل التحفيز'!$F$5:$F$2004,MATCH($K262,'سجل التحفيز'!$AD$5:$AD$2004,0)))</f>
        <v/>
      </c>
      <c r="S262" s="35">
        <f>IF($K262="","",INDEX('سجل التحفيز'!$G$5:$G$2004,MATCH($K262,'سجل التحفيز'!$AD$5:$AD$2004,0)))</f>
        <v/>
      </c>
    </row>
    <row r="263">
      <c r="K263" s="36">
        <f>IF(226&gt;$B$10,"",226)</f>
        <v/>
      </c>
      <c r="L263" s="37">
        <f>IF($K263="","",INDEX('سجل التحفيز'!$A$5:$A$2004,MATCH($K263,'سجل التحفيز'!$AD$5:$AD$2004,0)))</f>
        <v/>
      </c>
      <c r="M263" s="9">
        <f>IF($K263="","",INDEX('سجل التحفيز'!$B$5:$B$2004,MATCH($K263,'سجل التحفيز'!$AD$5:$AD$2004,0)))</f>
        <v/>
      </c>
      <c r="N263" s="9">
        <f>IF($K263="","",INDEX('سجل التحفيز'!$M$5:$M$2004,MATCH($K263,'سجل التحفيز'!$AD$5:$AD$2004,0)))</f>
        <v/>
      </c>
      <c r="O263" s="9">
        <f>IF($K263="","",INDEX('سجل التحفيز'!$C$5:$C$2004,MATCH($K263,'سجل التحفيز'!$AD$5:$AD$2004,0)))</f>
        <v/>
      </c>
      <c r="P263" s="36">
        <f>IF($K263="","",INDEX('سجل التحفيز'!$D$5:$D$2004,MATCH($K263,'سجل التحفيز'!$AD$5:$AD$2004,0)))</f>
        <v/>
      </c>
      <c r="Q263" s="9">
        <f>IF($K263="","",INDEX('سجل التحفيز'!$E$5:$E$2004,MATCH($K263,'سجل التحفيز'!$AD$5:$AD$2004,0)))</f>
        <v/>
      </c>
      <c r="R263" s="9">
        <f>IF($K263="","",INDEX('سجل التحفيز'!$F$5:$F$2004,MATCH($K263,'سجل التحفيز'!$AD$5:$AD$2004,0)))</f>
        <v/>
      </c>
      <c r="S263" s="35">
        <f>IF($K263="","",INDEX('سجل التحفيز'!$G$5:$G$2004,MATCH($K263,'سجل التحفيز'!$AD$5:$AD$2004,0)))</f>
        <v/>
      </c>
    </row>
    <row r="264">
      <c r="K264" s="36">
        <f>IF(227&gt;$B$10,"",227)</f>
        <v/>
      </c>
      <c r="L264" s="37">
        <f>IF($K264="","",INDEX('سجل التحفيز'!$A$5:$A$2004,MATCH($K264,'سجل التحفيز'!$AD$5:$AD$2004,0)))</f>
        <v/>
      </c>
      <c r="M264" s="9">
        <f>IF($K264="","",INDEX('سجل التحفيز'!$B$5:$B$2004,MATCH($K264,'سجل التحفيز'!$AD$5:$AD$2004,0)))</f>
        <v/>
      </c>
      <c r="N264" s="9">
        <f>IF($K264="","",INDEX('سجل التحفيز'!$M$5:$M$2004,MATCH($K264,'سجل التحفيز'!$AD$5:$AD$2004,0)))</f>
        <v/>
      </c>
      <c r="O264" s="9">
        <f>IF($K264="","",INDEX('سجل التحفيز'!$C$5:$C$2004,MATCH($K264,'سجل التحفيز'!$AD$5:$AD$2004,0)))</f>
        <v/>
      </c>
      <c r="P264" s="36">
        <f>IF($K264="","",INDEX('سجل التحفيز'!$D$5:$D$2004,MATCH($K264,'سجل التحفيز'!$AD$5:$AD$2004,0)))</f>
        <v/>
      </c>
      <c r="Q264" s="9">
        <f>IF($K264="","",INDEX('سجل التحفيز'!$E$5:$E$2004,MATCH($K264,'سجل التحفيز'!$AD$5:$AD$2004,0)))</f>
        <v/>
      </c>
      <c r="R264" s="9">
        <f>IF($K264="","",INDEX('سجل التحفيز'!$F$5:$F$2004,MATCH($K264,'سجل التحفيز'!$AD$5:$AD$2004,0)))</f>
        <v/>
      </c>
      <c r="S264" s="35">
        <f>IF($K264="","",INDEX('سجل التحفيز'!$G$5:$G$2004,MATCH($K264,'سجل التحفيز'!$AD$5:$AD$2004,0)))</f>
        <v/>
      </c>
    </row>
    <row r="265">
      <c r="K265" s="36">
        <f>IF(228&gt;$B$10,"",228)</f>
        <v/>
      </c>
      <c r="L265" s="37">
        <f>IF($K265="","",INDEX('سجل التحفيز'!$A$5:$A$2004,MATCH($K265,'سجل التحفيز'!$AD$5:$AD$2004,0)))</f>
        <v/>
      </c>
      <c r="M265" s="9">
        <f>IF($K265="","",INDEX('سجل التحفيز'!$B$5:$B$2004,MATCH($K265,'سجل التحفيز'!$AD$5:$AD$2004,0)))</f>
        <v/>
      </c>
      <c r="N265" s="9">
        <f>IF($K265="","",INDEX('سجل التحفيز'!$M$5:$M$2004,MATCH($K265,'سجل التحفيز'!$AD$5:$AD$2004,0)))</f>
        <v/>
      </c>
      <c r="O265" s="9">
        <f>IF($K265="","",INDEX('سجل التحفيز'!$C$5:$C$2004,MATCH($K265,'سجل التحفيز'!$AD$5:$AD$2004,0)))</f>
        <v/>
      </c>
      <c r="P265" s="36">
        <f>IF($K265="","",INDEX('سجل التحفيز'!$D$5:$D$2004,MATCH($K265,'سجل التحفيز'!$AD$5:$AD$2004,0)))</f>
        <v/>
      </c>
      <c r="Q265" s="9">
        <f>IF($K265="","",INDEX('سجل التحفيز'!$E$5:$E$2004,MATCH($K265,'سجل التحفيز'!$AD$5:$AD$2004,0)))</f>
        <v/>
      </c>
      <c r="R265" s="9">
        <f>IF($K265="","",INDEX('سجل التحفيز'!$F$5:$F$2004,MATCH($K265,'سجل التحفيز'!$AD$5:$AD$2004,0)))</f>
        <v/>
      </c>
      <c r="S265" s="35">
        <f>IF($K265="","",INDEX('سجل التحفيز'!$G$5:$G$2004,MATCH($K265,'سجل التحفيز'!$AD$5:$AD$2004,0)))</f>
        <v/>
      </c>
    </row>
    <row r="266">
      <c r="K266" s="36">
        <f>IF(229&gt;$B$10,"",229)</f>
        <v/>
      </c>
      <c r="L266" s="37">
        <f>IF($K266="","",INDEX('سجل التحفيز'!$A$5:$A$2004,MATCH($K266,'سجل التحفيز'!$AD$5:$AD$2004,0)))</f>
        <v/>
      </c>
      <c r="M266" s="9">
        <f>IF($K266="","",INDEX('سجل التحفيز'!$B$5:$B$2004,MATCH($K266,'سجل التحفيز'!$AD$5:$AD$2004,0)))</f>
        <v/>
      </c>
      <c r="N266" s="9">
        <f>IF($K266="","",INDEX('سجل التحفيز'!$M$5:$M$2004,MATCH($K266,'سجل التحفيز'!$AD$5:$AD$2004,0)))</f>
        <v/>
      </c>
      <c r="O266" s="9">
        <f>IF($K266="","",INDEX('سجل التحفيز'!$C$5:$C$2004,MATCH($K266,'سجل التحفيز'!$AD$5:$AD$2004,0)))</f>
        <v/>
      </c>
      <c r="P266" s="36">
        <f>IF($K266="","",INDEX('سجل التحفيز'!$D$5:$D$2004,MATCH($K266,'سجل التحفيز'!$AD$5:$AD$2004,0)))</f>
        <v/>
      </c>
      <c r="Q266" s="9">
        <f>IF($K266="","",INDEX('سجل التحفيز'!$E$5:$E$2004,MATCH($K266,'سجل التحفيز'!$AD$5:$AD$2004,0)))</f>
        <v/>
      </c>
      <c r="R266" s="9">
        <f>IF($K266="","",INDEX('سجل التحفيز'!$F$5:$F$2004,MATCH($K266,'سجل التحفيز'!$AD$5:$AD$2004,0)))</f>
        <v/>
      </c>
      <c r="S266" s="35">
        <f>IF($K266="","",INDEX('سجل التحفيز'!$G$5:$G$2004,MATCH($K266,'سجل التحفيز'!$AD$5:$AD$2004,0)))</f>
        <v/>
      </c>
    </row>
    <row r="267">
      <c r="K267" s="36">
        <f>IF(230&gt;$B$10,"",230)</f>
        <v/>
      </c>
      <c r="L267" s="37">
        <f>IF($K267="","",INDEX('سجل التحفيز'!$A$5:$A$2004,MATCH($K267,'سجل التحفيز'!$AD$5:$AD$2004,0)))</f>
        <v/>
      </c>
      <c r="M267" s="9">
        <f>IF($K267="","",INDEX('سجل التحفيز'!$B$5:$B$2004,MATCH($K267,'سجل التحفيز'!$AD$5:$AD$2004,0)))</f>
        <v/>
      </c>
      <c r="N267" s="9">
        <f>IF($K267="","",INDEX('سجل التحفيز'!$M$5:$M$2004,MATCH($K267,'سجل التحفيز'!$AD$5:$AD$2004,0)))</f>
        <v/>
      </c>
      <c r="O267" s="9">
        <f>IF($K267="","",INDEX('سجل التحفيز'!$C$5:$C$2004,MATCH($K267,'سجل التحفيز'!$AD$5:$AD$2004,0)))</f>
        <v/>
      </c>
      <c r="P267" s="36">
        <f>IF($K267="","",INDEX('سجل التحفيز'!$D$5:$D$2004,MATCH($K267,'سجل التحفيز'!$AD$5:$AD$2004,0)))</f>
        <v/>
      </c>
      <c r="Q267" s="9">
        <f>IF($K267="","",INDEX('سجل التحفيز'!$E$5:$E$2004,MATCH($K267,'سجل التحفيز'!$AD$5:$AD$2004,0)))</f>
        <v/>
      </c>
      <c r="R267" s="9">
        <f>IF($K267="","",INDEX('سجل التحفيز'!$F$5:$F$2004,MATCH($K267,'سجل التحفيز'!$AD$5:$AD$2004,0)))</f>
        <v/>
      </c>
      <c r="S267" s="35">
        <f>IF($K267="","",INDEX('سجل التحفيز'!$G$5:$G$2004,MATCH($K267,'سجل التحفيز'!$AD$5:$AD$2004,0)))</f>
        <v/>
      </c>
    </row>
    <row r="268">
      <c r="K268" s="36">
        <f>IF(231&gt;$B$10,"",231)</f>
        <v/>
      </c>
      <c r="L268" s="37">
        <f>IF($K268="","",INDEX('سجل التحفيز'!$A$5:$A$2004,MATCH($K268,'سجل التحفيز'!$AD$5:$AD$2004,0)))</f>
        <v/>
      </c>
      <c r="M268" s="9">
        <f>IF($K268="","",INDEX('سجل التحفيز'!$B$5:$B$2004,MATCH($K268,'سجل التحفيز'!$AD$5:$AD$2004,0)))</f>
        <v/>
      </c>
      <c r="N268" s="9">
        <f>IF($K268="","",INDEX('سجل التحفيز'!$M$5:$M$2004,MATCH($K268,'سجل التحفيز'!$AD$5:$AD$2004,0)))</f>
        <v/>
      </c>
      <c r="O268" s="9">
        <f>IF($K268="","",INDEX('سجل التحفيز'!$C$5:$C$2004,MATCH($K268,'سجل التحفيز'!$AD$5:$AD$2004,0)))</f>
        <v/>
      </c>
      <c r="P268" s="36">
        <f>IF($K268="","",INDEX('سجل التحفيز'!$D$5:$D$2004,MATCH($K268,'سجل التحفيز'!$AD$5:$AD$2004,0)))</f>
        <v/>
      </c>
      <c r="Q268" s="9">
        <f>IF($K268="","",INDEX('سجل التحفيز'!$E$5:$E$2004,MATCH($K268,'سجل التحفيز'!$AD$5:$AD$2004,0)))</f>
        <v/>
      </c>
      <c r="R268" s="9">
        <f>IF($K268="","",INDEX('سجل التحفيز'!$F$5:$F$2004,MATCH($K268,'سجل التحفيز'!$AD$5:$AD$2004,0)))</f>
        <v/>
      </c>
      <c r="S268" s="35">
        <f>IF($K268="","",INDEX('سجل التحفيز'!$G$5:$G$2004,MATCH($K268,'سجل التحفيز'!$AD$5:$AD$2004,0)))</f>
        <v/>
      </c>
    </row>
    <row r="269">
      <c r="K269" s="36">
        <f>IF(232&gt;$B$10,"",232)</f>
        <v/>
      </c>
      <c r="L269" s="37">
        <f>IF($K269="","",INDEX('سجل التحفيز'!$A$5:$A$2004,MATCH($K269,'سجل التحفيز'!$AD$5:$AD$2004,0)))</f>
        <v/>
      </c>
      <c r="M269" s="9">
        <f>IF($K269="","",INDEX('سجل التحفيز'!$B$5:$B$2004,MATCH($K269,'سجل التحفيز'!$AD$5:$AD$2004,0)))</f>
        <v/>
      </c>
      <c r="N269" s="9">
        <f>IF($K269="","",INDEX('سجل التحفيز'!$M$5:$M$2004,MATCH($K269,'سجل التحفيز'!$AD$5:$AD$2004,0)))</f>
        <v/>
      </c>
      <c r="O269" s="9">
        <f>IF($K269="","",INDEX('سجل التحفيز'!$C$5:$C$2004,MATCH($K269,'سجل التحفيز'!$AD$5:$AD$2004,0)))</f>
        <v/>
      </c>
      <c r="P269" s="36">
        <f>IF($K269="","",INDEX('سجل التحفيز'!$D$5:$D$2004,MATCH($K269,'سجل التحفيز'!$AD$5:$AD$2004,0)))</f>
        <v/>
      </c>
      <c r="Q269" s="9">
        <f>IF($K269="","",INDEX('سجل التحفيز'!$E$5:$E$2004,MATCH($K269,'سجل التحفيز'!$AD$5:$AD$2004,0)))</f>
        <v/>
      </c>
      <c r="R269" s="9">
        <f>IF($K269="","",INDEX('سجل التحفيز'!$F$5:$F$2004,MATCH($K269,'سجل التحفيز'!$AD$5:$AD$2004,0)))</f>
        <v/>
      </c>
      <c r="S269" s="35">
        <f>IF($K269="","",INDEX('سجل التحفيز'!$G$5:$G$2004,MATCH($K269,'سجل التحفيز'!$AD$5:$AD$2004,0)))</f>
        <v/>
      </c>
    </row>
    <row r="270">
      <c r="K270" s="36">
        <f>IF(233&gt;$B$10,"",233)</f>
        <v/>
      </c>
      <c r="L270" s="37">
        <f>IF($K270="","",INDEX('سجل التحفيز'!$A$5:$A$2004,MATCH($K270,'سجل التحفيز'!$AD$5:$AD$2004,0)))</f>
        <v/>
      </c>
      <c r="M270" s="9">
        <f>IF($K270="","",INDEX('سجل التحفيز'!$B$5:$B$2004,MATCH($K270,'سجل التحفيز'!$AD$5:$AD$2004,0)))</f>
        <v/>
      </c>
      <c r="N270" s="9">
        <f>IF($K270="","",INDEX('سجل التحفيز'!$M$5:$M$2004,MATCH($K270,'سجل التحفيز'!$AD$5:$AD$2004,0)))</f>
        <v/>
      </c>
      <c r="O270" s="9">
        <f>IF($K270="","",INDEX('سجل التحفيز'!$C$5:$C$2004,MATCH($K270,'سجل التحفيز'!$AD$5:$AD$2004,0)))</f>
        <v/>
      </c>
      <c r="P270" s="36">
        <f>IF($K270="","",INDEX('سجل التحفيز'!$D$5:$D$2004,MATCH($K270,'سجل التحفيز'!$AD$5:$AD$2004,0)))</f>
        <v/>
      </c>
      <c r="Q270" s="9">
        <f>IF($K270="","",INDEX('سجل التحفيز'!$E$5:$E$2004,MATCH($K270,'سجل التحفيز'!$AD$5:$AD$2004,0)))</f>
        <v/>
      </c>
      <c r="R270" s="9">
        <f>IF($K270="","",INDEX('سجل التحفيز'!$F$5:$F$2004,MATCH($K270,'سجل التحفيز'!$AD$5:$AD$2004,0)))</f>
        <v/>
      </c>
      <c r="S270" s="35">
        <f>IF($K270="","",INDEX('سجل التحفيز'!$G$5:$G$2004,MATCH($K270,'سجل التحفيز'!$AD$5:$AD$2004,0)))</f>
        <v/>
      </c>
    </row>
    <row r="271">
      <c r="K271" s="36">
        <f>IF(234&gt;$B$10,"",234)</f>
        <v/>
      </c>
      <c r="L271" s="37">
        <f>IF($K271="","",INDEX('سجل التحفيز'!$A$5:$A$2004,MATCH($K271,'سجل التحفيز'!$AD$5:$AD$2004,0)))</f>
        <v/>
      </c>
      <c r="M271" s="9">
        <f>IF($K271="","",INDEX('سجل التحفيز'!$B$5:$B$2004,MATCH($K271,'سجل التحفيز'!$AD$5:$AD$2004,0)))</f>
        <v/>
      </c>
      <c r="N271" s="9">
        <f>IF($K271="","",INDEX('سجل التحفيز'!$M$5:$M$2004,MATCH($K271,'سجل التحفيز'!$AD$5:$AD$2004,0)))</f>
        <v/>
      </c>
      <c r="O271" s="9">
        <f>IF($K271="","",INDEX('سجل التحفيز'!$C$5:$C$2004,MATCH($K271,'سجل التحفيز'!$AD$5:$AD$2004,0)))</f>
        <v/>
      </c>
      <c r="P271" s="36">
        <f>IF($K271="","",INDEX('سجل التحفيز'!$D$5:$D$2004,MATCH($K271,'سجل التحفيز'!$AD$5:$AD$2004,0)))</f>
        <v/>
      </c>
      <c r="Q271" s="9">
        <f>IF($K271="","",INDEX('سجل التحفيز'!$E$5:$E$2004,MATCH($K271,'سجل التحفيز'!$AD$5:$AD$2004,0)))</f>
        <v/>
      </c>
      <c r="R271" s="9">
        <f>IF($K271="","",INDEX('سجل التحفيز'!$F$5:$F$2004,MATCH($K271,'سجل التحفيز'!$AD$5:$AD$2004,0)))</f>
        <v/>
      </c>
      <c r="S271" s="35">
        <f>IF($K271="","",INDEX('سجل التحفيز'!$G$5:$G$2004,MATCH($K271,'سجل التحفيز'!$AD$5:$AD$2004,0)))</f>
        <v/>
      </c>
    </row>
    <row r="272">
      <c r="K272" s="36">
        <f>IF(235&gt;$B$10,"",235)</f>
        <v/>
      </c>
      <c r="L272" s="37">
        <f>IF($K272="","",INDEX('سجل التحفيز'!$A$5:$A$2004,MATCH($K272,'سجل التحفيز'!$AD$5:$AD$2004,0)))</f>
        <v/>
      </c>
      <c r="M272" s="9">
        <f>IF($K272="","",INDEX('سجل التحفيز'!$B$5:$B$2004,MATCH($K272,'سجل التحفيز'!$AD$5:$AD$2004,0)))</f>
        <v/>
      </c>
      <c r="N272" s="9">
        <f>IF($K272="","",INDEX('سجل التحفيز'!$M$5:$M$2004,MATCH($K272,'سجل التحفيز'!$AD$5:$AD$2004,0)))</f>
        <v/>
      </c>
      <c r="O272" s="9">
        <f>IF($K272="","",INDEX('سجل التحفيز'!$C$5:$C$2004,MATCH($K272,'سجل التحفيز'!$AD$5:$AD$2004,0)))</f>
        <v/>
      </c>
      <c r="P272" s="36">
        <f>IF($K272="","",INDEX('سجل التحفيز'!$D$5:$D$2004,MATCH($K272,'سجل التحفيز'!$AD$5:$AD$2004,0)))</f>
        <v/>
      </c>
      <c r="Q272" s="9">
        <f>IF($K272="","",INDEX('سجل التحفيز'!$E$5:$E$2004,MATCH($K272,'سجل التحفيز'!$AD$5:$AD$2004,0)))</f>
        <v/>
      </c>
      <c r="R272" s="9">
        <f>IF($K272="","",INDEX('سجل التحفيز'!$F$5:$F$2004,MATCH($K272,'سجل التحفيز'!$AD$5:$AD$2004,0)))</f>
        <v/>
      </c>
      <c r="S272" s="35">
        <f>IF($K272="","",INDEX('سجل التحفيز'!$G$5:$G$2004,MATCH($K272,'سجل التحفيز'!$AD$5:$AD$2004,0)))</f>
        <v/>
      </c>
    </row>
    <row r="273">
      <c r="K273" s="36">
        <f>IF(236&gt;$B$10,"",236)</f>
        <v/>
      </c>
      <c r="L273" s="37">
        <f>IF($K273="","",INDEX('سجل التحفيز'!$A$5:$A$2004,MATCH($K273,'سجل التحفيز'!$AD$5:$AD$2004,0)))</f>
        <v/>
      </c>
      <c r="M273" s="9">
        <f>IF($K273="","",INDEX('سجل التحفيز'!$B$5:$B$2004,MATCH($K273,'سجل التحفيز'!$AD$5:$AD$2004,0)))</f>
        <v/>
      </c>
      <c r="N273" s="9">
        <f>IF($K273="","",INDEX('سجل التحفيز'!$M$5:$M$2004,MATCH($K273,'سجل التحفيز'!$AD$5:$AD$2004,0)))</f>
        <v/>
      </c>
      <c r="O273" s="9">
        <f>IF($K273="","",INDEX('سجل التحفيز'!$C$5:$C$2004,MATCH($K273,'سجل التحفيز'!$AD$5:$AD$2004,0)))</f>
        <v/>
      </c>
      <c r="P273" s="36">
        <f>IF($K273="","",INDEX('سجل التحفيز'!$D$5:$D$2004,MATCH($K273,'سجل التحفيز'!$AD$5:$AD$2004,0)))</f>
        <v/>
      </c>
      <c r="Q273" s="9">
        <f>IF($K273="","",INDEX('سجل التحفيز'!$E$5:$E$2004,MATCH($K273,'سجل التحفيز'!$AD$5:$AD$2004,0)))</f>
        <v/>
      </c>
      <c r="R273" s="9">
        <f>IF($K273="","",INDEX('سجل التحفيز'!$F$5:$F$2004,MATCH($K273,'سجل التحفيز'!$AD$5:$AD$2004,0)))</f>
        <v/>
      </c>
      <c r="S273" s="35">
        <f>IF($K273="","",INDEX('سجل التحفيز'!$G$5:$G$2004,MATCH($K273,'سجل التحفيز'!$AD$5:$AD$2004,0)))</f>
        <v/>
      </c>
    </row>
    <row r="274">
      <c r="K274" s="36">
        <f>IF(237&gt;$B$10,"",237)</f>
        <v/>
      </c>
      <c r="L274" s="37">
        <f>IF($K274="","",INDEX('سجل التحفيز'!$A$5:$A$2004,MATCH($K274,'سجل التحفيز'!$AD$5:$AD$2004,0)))</f>
        <v/>
      </c>
      <c r="M274" s="9">
        <f>IF($K274="","",INDEX('سجل التحفيز'!$B$5:$B$2004,MATCH($K274,'سجل التحفيز'!$AD$5:$AD$2004,0)))</f>
        <v/>
      </c>
      <c r="N274" s="9">
        <f>IF($K274="","",INDEX('سجل التحفيز'!$M$5:$M$2004,MATCH($K274,'سجل التحفيز'!$AD$5:$AD$2004,0)))</f>
        <v/>
      </c>
      <c r="O274" s="9">
        <f>IF($K274="","",INDEX('سجل التحفيز'!$C$5:$C$2004,MATCH($K274,'سجل التحفيز'!$AD$5:$AD$2004,0)))</f>
        <v/>
      </c>
      <c r="P274" s="36">
        <f>IF($K274="","",INDEX('سجل التحفيز'!$D$5:$D$2004,MATCH($K274,'سجل التحفيز'!$AD$5:$AD$2004,0)))</f>
        <v/>
      </c>
      <c r="Q274" s="9">
        <f>IF($K274="","",INDEX('سجل التحفيز'!$E$5:$E$2004,MATCH($K274,'سجل التحفيز'!$AD$5:$AD$2004,0)))</f>
        <v/>
      </c>
      <c r="R274" s="9">
        <f>IF($K274="","",INDEX('سجل التحفيز'!$F$5:$F$2004,MATCH($K274,'سجل التحفيز'!$AD$5:$AD$2004,0)))</f>
        <v/>
      </c>
      <c r="S274" s="35">
        <f>IF($K274="","",INDEX('سجل التحفيز'!$G$5:$G$2004,MATCH($K274,'سجل التحفيز'!$AD$5:$AD$2004,0)))</f>
        <v/>
      </c>
    </row>
    <row r="275">
      <c r="K275" s="36">
        <f>IF(238&gt;$B$10,"",238)</f>
        <v/>
      </c>
      <c r="L275" s="37">
        <f>IF($K275="","",INDEX('سجل التحفيز'!$A$5:$A$2004,MATCH($K275,'سجل التحفيز'!$AD$5:$AD$2004,0)))</f>
        <v/>
      </c>
      <c r="M275" s="9">
        <f>IF($K275="","",INDEX('سجل التحفيز'!$B$5:$B$2004,MATCH($K275,'سجل التحفيز'!$AD$5:$AD$2004,0)))</f>
        <v/>
      </c>
      <c r="N275" s="9">
        <f>IF($K275="","",INDEX('سجل التحفيز'!$M$5:$M$2004,MATCH($K275,'سجل التحفيز'!$AD$5:$AD$2004,0)))</f>
        <v/>
      </c>
      <c r="O275" s="9">
        <f>IF($K275="","",INDEX('سجل التحفيز'!$C$5:$C$2004,MATCH($K275,'سجل التحفيز'!$AD$5:$AD$2004,0)))</f>
        <v/>
      </c>
      <c r="P275" s="36">
        <f>IF($K275="","",INDEX('سجل التحفيز'!$D$5:$D$2004,MATCH($K275,'سجل التحفيز'!$AD$5:$AD$2004,0)))</f>
        <v/>
      </c>
      <c r="Q275" s="9">
        <f>IF($K275="","",INDEX('سجل التحفيز'!$E$5:$E$2004,MATCH($K275,'سجل التحفيز'!$AD$5:$AD$2004,0)))</f>
        <v/>
      </c>
      <c r="R275" s="9">
        <f>IF($K275="","",INDEX('سجل التحفيز'!$F$5:$F$2004,MATCH($K275,'سجل التحفيز'!$AD$5:$AD$2004,0)))</f>
        <v/>
      </c>
      <c r="S275" s="35">
        <f>IF($K275="","",INDEX('سجل التحفيز'!$G$5:$G$2004,MATCH($K275,'سجل التحفيز'!$AD$5:$AD$2004,0)))</f>
        <v/>
      </c>
    </row>
    <row r="276">
      <c r="K276" s="36">
        <f>IF(239&gt;$B$10,"",239)</f>
        <v/>
      </c>
      <c r="L276" s="37">
        <f>IF($K276="","",INDEX('سجل التحفيز'!$A$5:$A$2004,MATCH($K276,'سجل التحفيز'!$AD$5:$AD$2004,0)))</f>
        <v/>
      </c>
      <c r="M276" s="9">
        <f>IF($K276="","",INDEX('سجل التحفيز'!$B$5:$B$2004,MATCH($K276,'سجل التحفيز'!$AD$5:$AD$2004,0)))</f>
        <v/>
      </c>
      <c r="N276" s="9">
        <f>IF($K276="","",INDEX('سجل التحفيز'!$M$5:$M$2004,MATCH($K276,'سجل التحفيز'!$AD$5:$AD$2004,0)))</f>
        <v/>
      </c>
      <c r="O276" s="9">
        <f>IF($K276="","",INDEX('سجل التحفيز'!$C$5:$C$2004,MATCH($K276,'سجل التحفيز'!$AD$5:$AD$2004,0)))</f>
        <v/>
      </c>
      <c r="P276" s="36">
        <f>IF($K276="","",INDEX('سجل التحفيز'!$D$5:$D$2004,MATCH($K276,'سجل التحفيز'!$AD$5:$AD$2004,0)))</f>
        <v/>
      </c>
      <c r="Q276" s="9">
        <f>IF($K276="","",INDEX('سجل التحفيز'!$E$5:$E$2004,MATCH($K276,'سجل التحفيز'!$AD$5:$AD$2004,0)))</f>
        <v/>
      </c>
      <c r="R276" s="9">
        <f>IF($K276="","",INDEX('سجل التحفيز'!$F$5:$F$2004,MATCH($K276,'سجل التحفيز'!$AD$5:$AD$2004,0)))</f>
        <v/>
      </c>
      <c r="S276" s="35">
        <f>IF($K276="","",INDEX('سجل التحفيز'!$G$5:$G$2004,MATCH($K276,'سجل التحفيز'!$AD$5:$AD$2004,0)))</f>
        <v/>
      </c>
    </row>
    <row r="277">
      <c r="K277" s="36">
        <f>IF(240&gt;$B$10,"",240)</f>
        <v/>
      </c>
      <c r="L277" s="37">
        <f>IF($K277="","",INDEX('سجل التحفيز'!$A$5:$A$2004,MATCH($K277,'سجل التحفيز'!$AD$5:$AD$2004,0)))</f>
        <v/>
      </c>
      <c r="M277" s="9">
        <f>IF($K277="","",INDEX('سجل التحفيز'!$B$5:$B$2004,MATCH($K277,'سجل التحفيز'!$AD$5:$AD$2004,0)))</f>
        <v/>
      </c>
      <c r="N277" s="9">
        <f>IF($K277="","",INDEX('سجل التحفيز'!$M$5:$M$2004,MATCH($K277,'سجل التحفيز'!$AD$5:$AD$2004,0)))</f>
        <v/>
      </c>
      <c r="O277" s="9">
        <f>IF($K277="","",INDEX('سجل التحفيز'!$C$5:$C$2004,MATCH($K277,'سجل التحفيز'!$AD$5:$AD$2004,0)))</f>
        <v/>
      </c>
      <c r="P277" s="36">
        <f>IF($K277="","",INDEX('سجل التحفيز'!$D$5:$D$2004,MATCH($K277,'سجل التحفيز'!$AD$5:$AD$2004,0)))</f>
        <v/>
      </c>
      <c r="Q277" s="9">
        <f>IF($K277="","",INDEX('سجل التحفيز'!$E$5:$E$2004,MATCH($K277,'سجل التحفيز'!$AD$5:$AD$2004,0)))</f>
        <v/>
      </c>
      <c r="R277" s="9">
        <f>IF($K277="","",INDEX('سجل التحفيز'!$F$5:$F$2004,MATCH($K277,'سجل التحفيز'!$AD$5:$AD$2004,0)))</f>
        <v/>
      </c>
      <c r="S277" s="35">
        <f>IF($K277="","",INDEX('سجل التحفيز'!$G$5:$G$2004,MATCH($K277,'سجل التحفيز'!$AD$5:$AD$2004,0)))</f>
        <v/>
      </c>
    </row>
    <row r="278">
      <c r="K278" s="36">
        <f>IF(241&gt;$B$10,"",241)</f>
        <v/>
      </c>
      <c r="L278" s="37">
        <f>IF($K278="","",INDEX('سجل التحفيز'!$A$5:$A$2004,MATCH($K278,'سجل التحفيز'!$AD$5:$AD$2004,0)))</f>
        <v/>
      </c>
      <c r="M278" s="9">
        <f>IF($K278="","",INDEX('سجل التحفيز'!$B$5:$B$2004,MATCH($K278,'سجل التحفيز'!$AD$5:$AD$2004,0)))</f>
        <v/>
      </c>
      <c r="N278" s="9">
        <f>IF($K278="","",INDEX('سجل التحفيز'!$M$5:$M$2004,MATCH($K278,'سجل التحفيز'!$AD$5:$AD$2004,0)))</f>
        <v/>
      </c>
      <c r="O278" s="9">
        <f>IF($K278="","",INDEX('سجل التحفيز'!$C$5:$C$2004,MATCH($K278,'سجل التحفيز'!$AD$5:$AD$2004,0)))</f>
        <v/>
      </c>
      <c r="P278" s="36">
        <f>IF($K278="","",INDEX('سجل التحفيز'!$D$5:$D$2004,MATCH($K278,'سجل التحفيز'!$AD$5:$AD$2004,0)))</f>
        <v/>
      </c>
      <c r="Q278" s="9">
        <f>IF($K278="","",INDEX('سجل التحفيز'!$E$5:$E$2004,MATCH($K278,'سجل التحفيز'!$AD$5:$AD$2004,0)))</f>
        <v/>
      </c>
      <c r="R278" s="9">
        <f>IF($K278="","",INDEX('سجل التحفيز'!$F$5:$F$2004,MATCH($K278,'سجل التحفيز'!$AD$5:$AD$2004,0)))</f>
        <v/>
      </c>
      <c r="S278" s="35">
        <f>IF($K278="","",INDEX('سجل التحفيز'!$G$5:$G$2004,MATCH($K278,'سجل التحفيز'!$AD$5:$AD$2004,0)))</f>
        <v/>
      </c>
    </row>
    <row r="279">
      <c r="K279" s="36">
        <f>IF(242&gt;$B$10,"",242)</f>
        <v/>
      </c>
      <c r="L279" s="37">
        <f>IF($K279="","",INDEX('سجل التحفيز'!$A$5:$A$2004,MATCH($K279,'سجل التحفيز'!$AD$5:$AD$2004,0)))</f>
        <v/>
      </c>
      <c r="M279" s="9">
        <f>IF($K279="","",INDEX('سجل التحفيز'!$B$5:$B$2004,MATCH($K279,'سجل التحفيز'!$AD$5:$AD$2004,0)))</f>
        <v/>
      </c>
      <c r="N279" s="9">
        <f>IF($K279="","",INDEX('سجل التحفيز'!$M$5:$M$2004,MATCH($K279,'سجل التحفيز'!$AD$5:$AD$2004,0)))</f>
        <v/>
      </c>
      <c r="O279" s="9">
        <f>IF($K279="","",INDEX('سجل التحفيز'!$C$5:$C$2004,MATCH($K279,'سجل التحفيز'!$AD$5:$AD$2004,0)))</f>
        <v/>
      </c>
      <c r="P279" s="36">
        <f>IF($K279="","",INDEX('سجل التحفيز'!$D$5:$D$2004,MATCH($K279,'سجل التحفيز'!$AD$5:$AD$2004,0)))</f>
        <v/>
      </c>
      <c r="Q279" s="9">
        <f>IF($K279="","",INDEX('سجل التحفيز'!$E$5:$E$2004,MATCH($K279,'سجل التحفيز'!$AD$5:$AD$2004,0)))</f>
        <v/>
      </c>
      <c r="R279" s="9">
        <f>IF($K279="","",INDEX('سجل التحفيز'!$F$5:$F$2004,MATCH($K279,'سجل التحفيز'!$AD$5:$AD$2004,0)))</f>
        <v/>
      </c>
      <c r="S279" s="35">
        <f>IF($K279="","",INDEX('سجل التحفيز'!$G$5:$G$2004,MATCH($K279,'سجل التحفيز'!$AD$5:$AD$2004,0)))</f>
        <v/>
      </c>
    </row>
    <row r="280">
      <c r="K280" s="36">
        <f>IF(243&gt;$B$10,"",243)</f>
        <v/>
      </c>
      <c r="L280" s="37">
        <f>IF($K280="","",INDEX('سجل التحفيز'!$A$5:$A$2004,MATCH($K280,'سجل التحفيز'!$AD$5:$AD$2004,0)))</f>
        <v/>
      </c>
      <c r="M280" s="9">
        <f>IF($K280="","",INDEX('سجل التحفيز'!$B$5:$B$2004,MATCH($K280,'سجل التحفيز'!$AD$5:$AD$2004,0)))</f>
        <v/>
      </c>
      <c r="N280" s="9">
        <f>IF($K280="","",INDEX('سجل التحفيز'!$M$5:$M$2004,MATCH($K280,'سجل التحفيز'!$AD$5:$AD$2004,0)))</f>
        <v/>
      </c>
      <c r="O280" s="9">
        <f>IF($K280="","",INDEX('سجل التحفيز'!$C$5:$C$2004,MATCH($K280,'سجل التحفيز'!$AD$5:$AD$2004,0)))</f>
        <v/>
      </c>
      <c r="P280" s="36">
        <f>IF($K280="","",INDEX('سجل التحفيز'!$D$5:$D$2004,MATCH($K280,'سجل التحفيز'!$AD$5:$AD$2004,0)))</f>
        <v/>
      </c>
      <c r="Q280" s="9">
        <f>IF($K280="","",INDEX('سجل التحفيز'!$E$5:$E$2004,MATCH($K280,'سجل التحفيز'!$AD$5:$AD$2004,0)))</f>
        <v/>
      </c>
      <c r="R280" s="9">
        <f>IF($K280="","",INDEX('سجل التحفيز'!$F$5:$F$2004,MATCH($K280,'سجل التحفيز'!$AD$5:$AD$2004,0)))</f>
        <v/>
      </c>
      <c r="S280" s="35">
        <f>IF($K280="","",INDEX('سجل التحفيز'!$G$5:$G$2004,MATCH($K280,'سجل التحفيز'!$AD$5:$AD$2004,0)))</f>
        <v/>
      </c>
    </row>
    <row r="281">
      <c r="K281" s="36">
        <f>IF(244&gt;$B$10,"",244)</f>
        <v/>
      </c>
      <c r="L281" s="37">
        <f>IF($K281="","",INDEX('سجل التحفيز'!$A$5:$A$2004,MATCH($K281,'سجل التحفيز'!$AD$5:$AD$2004,0)))</f>
        <v/>
      </c>
      <c r="M281" s="9">
        <f>IF($K281="","",INDEX('سجل التحفيز'!$B$5:$B$2004,MATCH($K281,'سجل التحفيز'!$AD$5:$AD$2004,0)))</f>
        <v/>
      </c>
      <c r="N281" s="9">
        <f>IF($K281="","",INDEX('سجل التحفيز'!$M$5:$M$2004,MATCH($K281,'سجل التحفيز'!$AD$5:$AD$2004,0)))</f>
        <v/>
      </c>
      <c r="O281" s="9">
        <f>IF($K281="","",INDEX('سجل التحفيز'!$C$5:$C$2004,MATCH($K281,'سجل التحفيز'!$AD$5:$AD$2004,0)))</f>
        <v/>
      </c>
      <c r="P281" s="36">
        <f>IF($K281="","",INDEX('سجل التحفيز'!$D$5:$D$2004,MATCH($K281,'سجل التحفيز'!$AD$5:$AD$2004,0)))</f>
        <v/>
      </c>
      <c r="Q281" s="9">
        <f>IF($K281="","",INDEX('سجل التحفيز'!$E$5:$E$2004,MATCH($K281,'سجل التحفيز'!$AD$5:$AD$2004,0)))</f>
        <v/>
      </c>
      <c r="R281" s="9">
        <f>IF($K281="","",INDEX('سجل التحفيز'!$F$5:$F$2004,MATCH($K281,'سجل التحفيز'!$AD$5:$AD$2004,0)))</f>
        <v/>
      </c>
      <c r="S281" s="35">
        <f>IF($K281="","",INDEX('سجل التحفيز'!$G$5:$G$2004,MATCH($K281,'سجل التحفيز'!$AD$5:$AD$2004,0)))</f>
        <v/>
      </c>
    </row>
    <row r="282">
      <c r="K282" s="36">
        <f>IF(245&gt;$B$10,"",245)</f>
        <v/>
      </c>
      <c r="L282" s="37">
        <f>IF($K282="","",INDEX('سجل التحفيز'!$A$5:$A$2004,MATCH($K282,'سجل التحفيز'!$AD$5:$AD$2004,0)))</f>
        <v/>
      </c>
      <c r="M282" s="9">
        <f>IF($K282="","",INDEX('سجل التحفيز'!$B$5:$B$2004,MATCH($K282,'سجل التحفيز'!$AD$5:$AD$2004,0)))</f>
        <v/>
      </c>
      <c r="N282" s="9">
        <f>IF($K282="","",INDEX('سجل التحفيز'!$M$5:$M$2004,MATCH($K282,'سجل التحفيز'!$AD$5:$AD$2004,0)))</f>
        <v/>
      </c>
      <c r="O282" s="9">
        <f>IF($K282="","",INDEX('سجل التحفيز'!$C$5:$C$2004,MATCH($K282,'سجل التحفيز'!$AD$5:$AD$2004,0)))</f>
        <v/>
      </c>
      <c r="P282" s="36">
        <f>IF($K282="","",INDEX('سجل التحفيز'!$D$5:$D$2004,MATCH($K282,'سجل التحفيز'!$AD$5:$AD$2004,0)))</f>
        <v/>
      </c>
      <c r="Q282" s="9">
        <f>IF($K282="","",INDEX('سجل التحفيز'!$E$5:$E$2004,MATCH($K282,'سجل التحفيز'!$AD$5:$AD$2004,0)))</f>
        <v/>
      </c>
      <c r="R282" s="9">
        <f>IF($K282="","",INDEX('سجل التحفيز'!$F$5:$F$2004,MATCH($K282,'سجل التحفيز'!$AD$5:$AD$2004,0)))</f>
        <v/>
      </c>
      <c r="S282" s="35">
        <f>IF($K282="","",INDEX('سجل التحفيز'!$G$5:$G$2004,MATCH($K282,'سجل التحفيز'!$AD$5:$AD$2004,0)))</f>
        <v/>
      </c>
    </row>
    <row r="283">
      <c r="K283" s="36">
        <f>IF(246&gt;$B$10,"",246)</f>
        <v/>
      </c>
      <c r="L283" s="37">
        <f>IF($K283="","",INDEX('سجل التحفيز'!$A$5:$A$2004,MATCH($K283,'سجل التحفيز'!$AD$5:$AD$2004,0)))</f>
        <v/>
      </c>
      <c r="M283" s="9">
        <f>IF($K283="","",INDEX('سجل التحفيز'!$B$5:$B$2004,MATCH($K283,'سجل التحفيز'!$AD$5:$AD$2004,0)))</f>
        <v/>
      </c>
      <c r="N283" s="9">
        <f>IF($K283="","",INDEX('سجل التحفيز'!$M$5:$M$2004,MATCH($K283,'سجل التحفيز'!$AD$5:$AD$2004,0)))</f>
        <v/>
      </c>
      <c r="O283" s="9">
        <f>IF($K283="","",INDEX('سجل التحفيز'!$C$5:$C$2004,MATCH($K283,'سجل التحفيز'!$AD$5:$AD$2004,0)))</f>
        <v/>
      </c>
      <c r="P283" s="36">
        <f>IF($K283="","",INDEX('سجل التحفيز'!$D$5:$D$2004,MATCH($K283,'سجل التحفيز'!$AD$5:$AD$2004,0)))</f>
        <v/>
      </c>
      <c r="Q283" s="9">
        <f>IF($K283="","",INDEX('سجل التحفيز'!$E$5:$E$2004,MATCH($K283,'سجل التحفيز'!$AD$5:$AD$2004,0)))</f>
        <v/>
      </c>
      <c r="R283" s="9">
        <f>IF($K283="","",INDEX('سجل التحفيز'!$F$5:$F$2004,MATCH($K283,'سجل التحفيز'!$AD$5:$AD$2004,0)))</f>
        <v/>
      </c>
      <c r="S283" s="35">
        <f>IF($K283="","",INDEX('سجل التحفيز'!$G$5:$G$2004,MATCH($K283,'سجل التحفيز'!$AD$5:$AD$2004,0)))</f>
        <v/>
      </c>
    </row>
    <row r="284">
      <c r="K284" s="36">
        <f>IF(247&gt;$B$10,"",247)</f>
        <v/>
      </c>
      <c r="L284" s="37">
        <f>IF($K284="","",INDEX('سجل التحفيز'!$A$5:$A$2004,MATCH($K284,'سجل التحفيز'!$AD$5:$AD$2004,0)))</f>
        <v/>
      </c>
      <c r="M284" s="9">
        <f>IF($K284="","",INDEX('سجل التحفيز'!$B$5:$B$2004,MATCH($K284,'سجل التحفيز'!$AD$5:$AD$2004,0)))</f>
        <v/>
      </c>
      <c r="N284" s="9">
        <f>IF($K284="","",INDEX('سجل التحفيز'!$M$5:$M$2004,MATCH($K284,'سجل التحفيز'!$AD$5:$AD$2004,0)))</f>
        <v/>
      </c>
      <c r="O284" s="9">
        <f>IF($K284="","",INDEX('سجل التحفيز'!$C$5:$C$2004,MATCH($K284,'سجل التحفيز'!$AD$5:$AD$2004,0)))</f>
        <v/>
      </c>
      <c r="P284" s="36">
        <f>IF($K284="","",INDEX('سجل التحفيز'!$D$5:$D$2004,MATCH($K284,'سجل التحفيز'!$AD$5:$AD$2004,0)))</f>
        <v/>
      </c>
      <c r="Q284" s="9">
        <f>IF($K284="","",INDEX('سجل التحفيز'!$E$5:$E$2004,MATCH($K284,'سجل التحفيز'!$AD$5:$AD$2004,0)))</f>
        <v/>
      </c>
      <c r="R284" s="9">
        <f>IF($K284="","",INDEX('سجل التحفيز'!$F$5:$F$2004,MATCH($K284,'سجل التحفيز'!$AD$5:$AD$2004,0)))</f>
        <v/>
      </c>
      <c r="S284" s="35">
        <f>IF($K284="","",INDEX('سجل التحفيز'!$G$5:$G$2004,MATCH($K284,'سجل التحفيز'!$AD$5:$AD$2004,0)))</f>
        <v/>
      </c>
    </row>
    <row r="285">
      <c r="K285" s="36">
        <f>IF(248&gt;$B$10,"",248)</f>
        <v/>
      </c>
      <c r="L285" s="37">
        <f>IF($K285="","",INDEX('سجل التحفيز'!$A$5:$A$2004,MATCH($K285,'سجل التحفيز'!$AD$5:$AD$2004,0)))</f>
        <v/>
      </c>
      <c r="M285" s="9">
        <f>IF($K285="","",INDEX('سجل التحفيز'!$B$5:$B$2004,MATCH($K285,'سجل التحفيز'!$AD$5:$AD$2004,0)))</f>
        <v/>
      </c>
      <c r="N285" s="9">
        <f>IF($K285="","",INDEX('سجل التحفيز'!$M$5:$M$2004,MATCH($K285,'سجل التحفيز'!$AD$5:$AD$2004,0)))</f>
        <v/>
      </c>
      <c r="O285" s="9">
        <f>IF($K285="","",INDEX('سجل التحفيز'!$C$5:$C$2004,MATCH($K285,'سجل التحفيز'!$AD$5:$AD$2004,0)))</f>
        <v/>
      </c>
      <c r="P285" s="36">
        <f>IF($K285="","",INDEX('سجل التحفيز'!$D$5:$D$2004,MATCH($K285,'سجل التحفيز'!$AD$5:$AD$2004,0)))</f>
        <v/>
      </c>
      <c r="Q285" s="9">
        <f>IF($K285="","",INDEX('سجل التحفيز'!$E$5:$E$2004,MATCH($K285,'سجل التحفيز'!$AD$5:$AD$2004,0)))</f>
        <v/>
      </c>
      <c r="R285" s="9">
        <f>IF($K285="","",INDEX('سجل التحفيز'!$F$5:$F$2004,MATCH($K285,'سجل التحفيز'!$AD$5:$AD$2004,0)))</f>
        <v/>
      </c>
      <c r="S285" s="35">
        <f>IF($K285="","",INDEX('سجل التحفيز'!$G$5:$G$2004,MATCH($K285,'سجل التحفيز'!$AD$5:$AD$2004,0)))</f>
        <v/>
      </c>
    </row>
    <row r="286">
      <c r="K286" s="36">
        <f>IF(249&gt;$B$10,"",249)</f>
        <v/>
      </c>
      <c r="L286" s="37">
        <f>IF($K286="","",INDEX('سجل التحفيز'!$A$5:$A$2004,MATCH($K286,'سجل التحفيز'!$AD$5:$AD$2004,0)))</f>
        <v/>
      </c>
      <c r="M286" s="9">
        <f>IF($K286="","",INDEX('سجل التحفيز'!$B$5:$B$2004,MATCH($K286,'سجل التحفيز'!$AD$5:$AD$2004,0)))</f>
        <v/>
      </c>
      <c r="N286" s="9">
        <f>IF($K286="","",INDEX('سجل التحفيز'!$M$5:$M$2004,MATCH($K286,'سجل التحفيز'!$AD$5:$AD$2004,0)))</f>
        <v/>
      </c>
      <c r="O286" s="9">
        <f>IF($K286="","",INDEX('سجل التحفيز'!$C$5:$C$2004,MATCH($K286,'سجل التحفيز'!$AD$5:$AD$2004,0)))</f>
        <v/>
      </c>
      <c r="P286" s="36">
        <f>IF($K286="","",INDEX('سجل التحفيز'!$D$5:$D$2004,MATCH($K286,'سجل التحفيز'!$AD$5:$AD$2004,0)))</f>
        <v/>
      </c>
      <c r="Q286" s="9">
        <f>IF($K286="","",INDEX('سجل التحفيز'!$E$5:$E$2004,MATCH($K286,'سجل التحفيز'!$AD$5:$AD$2004,0)))</f>
        <v/>
      </c>
      <c r="R286" s="9">
        <f>IF($K286="","",INDEX('سجل التحفيز'!$F$5:$F$2004,MATCH($K286,'سجل التحفيز'!$AD$5:$AD$2004,0)))</f>
        <v/>
      </c>
      <c r="S286" s="35">
        <f>IF($K286="","",INDEX('سجل التحفيز'!$G$5:$G$2004,MATCH($K286,'سجل التحفيز'!$AD$5:$AD$2004,0)))</f>
        <v/>
      </c>
    </row>
    <row r="287">
      <c r="K287" s="36">
        <f>IF(250&gt;$B$10,"",250)</f>
        <v/>
      </c>
      <c r="L287" s="37">
        <f>IF($K287="","",INDEX('سجل التحفيز'!$A$5:$A$2004,MATCH($K287,'سجل التحفيز'!$AD$5:$AD$2004,0)))</f>
        <v/>
      </c>
      <c r="M287" s="9">
        <f>IF($K287="","",INDEX('سجل التحفيز'!$B$5:$B$2004,MATCH($K287,'سجل التحفيز'!$AD$5:$AD$2004,0)))</f>
        <v/>
      </c>
      <c r="N287" s="9">
        <f>IF($K287="","",INDEX('سجل التحفيز'!$M$5:$M$2004,MATCH($K287,'سجل التحفيز'!$AD$5:$AD$2004,0)))</f>
        <v/>
      </c>
      <c r="O287" s="9">
        <f>IF($K287="","",INDEX('سجل التحفيز'!$C$5:$C$2004,MATCH($K287,'سجل التحفيز'!$AD$5:$AD$2004,0)))</f>
        <v/>
      </c>
      <c r="P287" s="36">
        <f>IF($K287="","",INDEX('سجل التحفيز'!$D$5:$D$2004,MATCH($K287,'سجل التحفيز'!$AD$5:$AD$2004,0)))</f>
        <v/>
      </c>
      <c r="Q287" s="9">
        <f>IF($K287="","",INDEX('سجل التحفيز'!$E$5:$E$2004,MATCH($K287,'سجل التحفيز'!$AD$5:$AD$2004,0)))</f>
        <v/>
      </c>
      <c r="R287" s="9">
        <f>IF($K287="","",INDEX('سجل التحفيز'!$F$5:$F$2004,MATCH($K287,'سجل التحفيز'!$AD$5:$AD$2004,0)))</f>
        <v/>
      </c>
      <c r="S287" s="35">
        <f>IF($K287="","",INDEX('سجل التحفيز'!$G$5:$G$2004,MATCH($K287,'سجل التحفيز'!$AD$5:$AD$2004,0)))</f>
        <v/>
      </c>
    </row>
    <row r="288">
      <c r="K288" s="36">
        <f>IF(251&gt;$B$10,"",251)</f>
        <v/>
      </c>
      <c r="L288" s="37">
        <f>IF($K288="","",INDEX('سجل التحفيز'!$A$5:$A$2004,MATCH($K288,'سجل التحفيز'!$AD$5:$AD$2004,0)))</f>
        <v/>
      </c>
      <c r="M288" s="9">
        <f>IF($K288="","",INDEX('سجل التحفيز'!$B$5:$B$2004,MATCH($K288,'سجل التحفيز'!$AD$5:$AD$2004,0)))</f>
        <v/>
      </c>
      <c r="N288" s="9">
        <f>IF($K288="","",INDEX('سجل التحفيز'!$M$5:$M$2004,MATCH($K288,'سجل التحفيز'!$AD$5:$AD$2004,0)))</f>
        <v/>
      </c>
      <c r="O288" s="9">
        <f>IF($K288="","",INDEX('سجل التحفيز'!$C$5:$C$2004,MATCH($K288,'سجل التحفيز'!$AD$5:$AD$2004,0)))</f>
        <v/>
      </c>
      <c r="P288" s="36">
        <f>IF($K288="","",INDEX('سجل التحفيز'!$D$5:$D$2004,MATCH($K288,'سجل التحفيز'!$AD$5:$AD$2004,0)))</f>
        <v/>
      </c>
      <c r="Q288" s="9">
        <f>IF($K288="","",INDEX('سجل التحفيز'!$E$5:$E$2004,MATCH($K288,'سجل التحفيز'!$AD$5:$AD$2004,0)))</f>
        <v/>
      </c>
      <c r="R288" s="9">
        <f>IF($K288="","",INDEX('سجل التحفيز'!$F$5:$F$2004,MATCH($K288,'سجل التحفيز'!$AD$5:$AD$2004,0)))</f>
        <v/>
      </c>
      <c r="S288" s="35">
        <f>IF($K288="","",INDEX('سجل التحفيز'!$G$5:$G$2004,MATCH($K288,'سجل التحفيز'!$AD$5:$AD$2004,0)))</f>
        <v/>
      </c>
    </row>
    <row r="289">
      <c r="K289" s="36">
        <f>IF(252&gt;$B$10,"",252)</f>
        <v/>
      </c>
      <c r="L289" s="37">
        <f>IF($K289="","",INDEX('سجل التحفيز'!$A$5:$A$2004,MATCH($K289,'سجل التحفيز'!$AD$5:$AD$2004,0)))</f>
        <v/>
      </c>
      <c r="M289" s="9">
        <f>IF($K289="","",INDEX('سجل التحفيز'!$B$5:$B$2004,MATCH($K289,'سجل التحفيز'!$AD$5:$AD$2004,0)))</f>
        <v/>
      </c>
      <c r="N289" s="9">
        <f>IF($K289="","",INDEX('سجل التحفيز'!$M$5:$M$2004,MATCH($K289,'سجل التحفيز'!$AD$5:$AD$2004,0)))</f>
        <v/>
      </c>
      <c r="O289" s="9">
        <f>IF($K289="","",INDEX('سجل التحفيز'!$C$5:$C$2004,MATCH($K289,'سجل التحفيز'!$AD$5:$AD$2004,0)))</f>
        <v/>
      </c>
      <c r="P289" s="36">
        <f>IF($K289="","",INDEX('سجل التحفيز'!$D$5:$D$2004,MATCH($K289,'سجل التحفيز'!$AD$5:$AD$2004,0)))</f>
        <v/>
      </c>
      <c r="Q289" s="9">
        <f>IF($K289="","",INDEX('سجل التحفيز'!$E$5:$E$2004,MATCH($K289,'سجل التحفيز'!$AD$5:$AD$2004,0)))</f>
        <v/>
      </c>
      <c r="R289" s="9">
        <f>IF($K289="","",INDEX('سجل التحفيز'!$F$5:$F$2004,MATCH($K289,'سجل التحفيز'!$AD$5:$AD$2004,0)))</f>
        <v/>
      </c>
      <c r="S289" s="35">
        <f>IF($K289="","",INDEX('سجل التحفيز'!$G$5:$G$2004,MATCH($K289,'سجل التحفيز'!$AD$5:$AD$2004,0)))</f>
        <v/>
      </c>
    </row>
    <row r="290">
      <c r="K290" s="36">
        <f>IF(253&gt;$B$10,"",253)</f>
        <v/>
      </c>
      <c r="L290" s="37">
        <f>IF($K290="","",INDEX('سجل التحفيز'!$A$5:$A$2004,MATCH($K290,'سجل التحفيز'!$AD$5:$AD$2004,0)))</f>
        <v/>
      </c>
      <c r="M290" s="9">
        <f>IF($K290="","",INDEX('سجل التحفيز'!$B$5:$B$2004,MATCH($K290,'سجل التحفيز'!$AD$5:$AD$2004,0)))</f>
        <v/>
      </c>
      <c r="N290" s="9">
        <f>IF($K290="","",INDEX('سجل التحفيز'!$M$5:$M$2004,MATCH($K290,'سجل التحفيز'!$AD$5:$AD$2004,0)))</f>
        <v/>
      </c>
      <c r="O290" s="9">
        <f>IF($K290="","",INDEX('سجل التحفيز'!$C$5:$C$2004,MATCH($K290,'سجل التحفيز'!$AD$5:$AD$2004,0)))</f>
        <v/>
      </c>
      <c r="P290" s="36">
        <f>IF($K290="","",INDEX('سجل التحفيز'!$D$5:$D$2004,MATCH($K290,'سجل التحفيز'!$AD$5:$AD$2004,0)))</f>
        <v/>
      </c>
      <c r="Q290" s="9">
        <f>IF($K290="","",INDEX('سجل التحفيز'!$E$5:$E$2004,MATCH($K290,'سجل التحفيز'!$AD$5:$AD$2004,0)))</f>
        <v/>
      </c>
      <c r="R290" s="9">
        <f>IF($K290="","",INDEX('سجل التحفيز'!$F$5:$F$2004,MATCH($K290,'سجل التحفيز'!$AD$5:$AD$2004,0)))</f>
        <v/>
      </c>
      <c r="S290" s="35">
        <f>IF($K290="","",INDEX('سجل التحفيز'!$G$5:$G$2004,MATCH($K290,'سجل التحفيز'!$AD$5:$AD$2004,0)))</f>
        <v/>
      </c>
    </row>
    <row r="291">
      <c r="K291" s="36">
        <f>IF(254&gt;$B$10,"",254)</f>
        <v/>
      </c>
      <c r="L291" s="37">
        <f>IF($K291="","",INDEX('سجل التحفيز'!$A$5:$A$2004,MATCH($K291,'سجل التحفيز'!$AD$5:$AD$2004,0)))</f>
        <v/>
      </c>
      <c r="M291" s="9">
        <f>IF($K291="","",INDEX('سجل التحفيز'!$B$5:$B$2004,MATCH($K291,'سجل التحفيز'!$AD$5:$AD$2004,0)))</f>
        <v/>
      </c>
      <c r="N291" s="9">
        <f>IF($K291="","",INDEX('سجل التحفيز'!$M$5:$M$2004,MATCH($K291,'سجل التحفيز'!$AD$5:$AD$2004,0)))</f>
        <v/>
      </c>
      <c r="O291" s="9">
        <f>IF($K291="","",INDEX('سجل التحفيز'!$C$5:$C$2004,MATCH($K291,'سجل التحفيز'!$AD$5:$AD$2004,0)))</f>
        <v/>
      </c>
      <c r="P291" s="36">
        <f>IF($K291="","",INDEX('سجل التحفيز'!$D$5:$D$2004,MATCH($K291,'سجل التحفيز'!$AD$5:$AD$2004,0)))</f>
        <v/>
      </c>
      <c r="Q291" s="9">
        <f>IF($K291="","",INDEX('سجل التحفيز'!$E$5:$E$2004,MATCH($K291,'سجل التحفيز'!$AD$5:$AD$2004,0)))</f>
        <v/>
      </c>
      <c r="R291" s="9">
        <f>IF($K291="","",INDEX('سجل التحفيز'!$F$5:$F$2004,MATCH($K291,'سجل التحفيز'!$AD$5:$AD$2004,0)))</f>
        <v/>
      </c>
      <c r="S291" s="35">
        <f>IF($K291="","",INDEX('سجل التحفيز'!$G$5:$G$2004,MATCH($K291,'سجل التحفيز'!$AD$5:$AD$2004,0)))</f>
        <v/>
      </c>
    </row>
    <row r="292">
      <c r="K292" s="36">
        <f>IF(255&gt;$B$10,"",255)</f>
        <v/>
      </c>
      <c r="L292" s="37">
        <f>IF($K292="","",INDEX('سجل التحفيز'!$A$5:$A$2004,MATCH($K292,'سجل التحفيز'!$AD$5:$AD$2004,0)))</f>
        <v/>
      </c>
      <c r="M292" s="9">
        <f>IF($K292="","",INDEX('سجل التحفيز'!$B$5:$B$2004,MATCH($K292,'سجل التحفيز'!$AD$5:$AD$2004,0)))</f>
        <v/>
      </c>
      <c r="N292" s="9">
        <f>IF($K292="","",INDEX('سجل التحفيز'!$M$5:$M$2004,MATCH($K292,'سجل التحفيز'!$AD$5:$AD$2004,0)))</f>
        <v/>
      </c>
      <c r="O292" s="9">
        <f>IF($K292="","",INDEX('سجل التحفيز'!$C$5:$C$2004,MATCH($K292,'سجل التحفيز'!$AD$5:$AD$2004,0)))</f>
        <v/>
      </c>
      <c r="P292" s="36">
        <f>IF($K292="","",INDEX('سجل التحفيز'!$D$5:$D$2004,MATCH($K292,'سجل التحفيز'!$AD$5:$AD$2004,0)))</f>
        <v/>
      </c>
      <c r="Q292" s="9">
        <f>IF($K292="","",INDEX('سجل التحفيز'!$E$5:$E$2004,MATCH($K292,'سجل التحفيز'!$AD$5:$AD$2004,0)))</f>
        <v/>
      </c>
      <c r="R292" s="9">
        <f>IF($K292="","",INDEX('سجل التحفيز'!$F$5:$F$2004,MATCH($K292,'سجل التحفيز'!$AD$5:$AD$2004,0)))</f>
        <v/>
      </c>
      <c r="S292" s="35">
        <f>IF($K292="","",INDEX('سجل التحفيز'!$G$5:$G$2004,MATCH($K292,'سجل التحفيز'!$AD$5:$AD$2004,0)))</f>
        <v/>
      </c>
    </row>
    <row r="293">
      <c r="K293" s="36">
        <f>IF(256&gt;$B$10,"",256)</f>
        <v/>
      </c>
      <c r="L293" s="37">
        <f>IF($K293="","",INDEX('سجل التحفيز'!$A$5:$A$2004,MATCH($K293,'سجل التحفيز'!$AD$5:$AD$2004,0)))</f>
        <v/>
      </c>
      <c r="M293" s="9">
        <f>IF($K293="","",INDEX('سجل التحفيز'!$B$5:$B$2004,MATCH($K293,'سجل التحفيز'!$AD$5:$AD$2004,0)))</f>
        <v/>
      </c>
      <c r="N293" s="9">
        <f>IF($K293="","",INDEX('سجل التحفيز'!$M$5:$M$2004,MATCH($K293,'سجل التحفيز'!$AD$5:$AD$2004,0)))</f>
        <v/>
      </c>
      <c r="O293" s="9">
        <f>IF($K293="","",INDEX('سجل التحفيز'!$C$5:$C$2004,MATCH($K293,'سجل التحفيز'!$AD$5:$AD$2004,0)))</f>
        <v/>
      </c>
      <c r="P293" s="36">
        <f>IF($K293="","",INDEX('سجل التحفيز'!$D$5:$D$2004,MATCH($K293,'سجل التحفيز'!$AD$5:$AD$2004,0)))</f>
        <v/>
      </c>
      <c r="Q293" s="9">
        <f>IF($K293="","",INDEX('سجل التحفيز'!$E$5:$E$2004,MATCH($K293,'سجل التحفيز'!$AD$5:$AD$2004,0)))</f>
        <v/>
      </c>
      <c r="R293" s="9">
        <f>IF($K293="","",INDEX('سجل التحفيز'!$F$5:$F$2004,MATCH($K293,'سجل التحفيز'!$AD$5:$AD$2004,0)))</f>
        <v/>
      </c>
      <c r="S293" s="35">
        <f>IF($K293="","",INDEX('سجل التحفيز'!$G$5:$G$2004,MATCH($K293,'سجل التحفيز'!$AD$5:$AD$2004,0)))</f>
        <v/>
      </c>
    </row>
    <row r="294">
      <c r="K294" s="36">
        <f>IF(257&gt;$B$10,"",257)</f>
        <v/>
      </c>
      <c r="L294" s="37">
        <f>IF($K294="","",INDEX('سجل التحفيز'!$A$5:$A$2004,MATCH($K294,'سجل التحفيز'!$AD$5:$AD$2004,0)))</f>
        <v/>
      </c>
      <c r="M294" s="9">
        <f>IF($K294="","",INDEX('سجل التحفيز'!$B$5:$B$2004,MATCH($K294,'سجل التحفيز'!$AD$5:$AD$2004,0)))</f>
        <v/>
      </c>
      <c r="N294" s="9">
        <f>IF($K294="","",INDEX('سجل التحفيز'!$M$5:$M$2004,MATCH($K294,'سجل التحفيز'!$AD$5:$AD$2004,0)))</f>
        <v/>
      </c>
      <c r="O294" s="9">
        <f>IF($K294="","",INDEX('سجل التحفيز'!$C$5:$C$2004,MATCH($K294,'سجل التحفيز'!$AD$5:$AD$2004,0)))</f>
        <v/>
      </c>
      <c r="P294" s="36">
        <f>IF($K294="","",INDEX('سجل التحفيز'!$D$5:$D$2004,MATCH($K294,'سجل التحفيز'!$AD$5:$AD$2004,0)))</f>
        <v/>
      </c>
      <c r="Q294" s="9">
        <f>IF($K294="","",INDEX('سجل التحفيز'!$E$5:$E$2004,MATCH($K294,'سجل التحفيز'!$AD$5:$AD$2004,0)))</f>
        <v/>
      </c>
      <c r="R294" s="9">
        <f>IF($K294="","",INDEX('سجل التحفيز'!$F$5:$F$2004,MATCH($K294,'سجل التحفيز'!$AD$5:$AD$2004,0)))</f>
        <v/>
      </c>
      <c r="S294" s="35">
        <f>IF($K294="","",INDEX('سجل التحفيز'!$G$5:$G$2004,MATCH($K294,'سجل التحفيز'!$AD$5:$AD$2004,0)))</f>
        <v/>
      </c>
    </row>
    <row r="295">
      <c r="K295" s="36">
        <f>IF(258&gt;$B$10,"",258)</f>
        <v/>
      </c>
      <c r="L295" s="37">
        <f>IF($K295="","",INDEX('سجل التحفيز'!$A$5:$A$2004,MATCH($K295,'سجل التحفيز'!$AD$5:$AD$2004,0)))</f>
        <v/>
      </c>
      <c r="M295" s="9">
        <f>IF($K295="","",INDEX('سجل التحفيز'!$B$5:$B$2004,MATCH($K295,'سجل التحفيز'!$AD$5:$AD$2004,0)))</f>
        <v/>
      </c>
      <c r="N295" s="9">
        <f>IF($K295="","",INDEX('سجل التحفيز'!$M$5:$M$2004,MATCH($K295,'سجل التحفيز'!$AD$5:$AD$2004,0)))</f>
        <v/>
      </c>
      <c r="O295" s="9">
        <f>IF($K295="","",INDEX('سجل التحفيز'!$C$5:$C$2004,MATCH($K295,'سجل التحفيز'!$AD$5:$AD$2004,0)))</f>
        <v/>
      </c>
      <c r="P295" s="36">
        <f>IF($K295="","",INDEX('سجل التحفيز'!$D$5:$D$2004,MATCH($K295,'سجل التحفيز'!$AD$5:$AD$2004,0)))</f>
        <v/>
      </c>
      <c r="Q295" s="9">
        <f>IF($K295="","",INDEX('سجل التحفيز'!$E$5:$E$2004,MATCH($K295,'سجل التحفيز'!$AD$5:$AD$2004,0)))</f>
        <v/>
      </c>
      <c r="R295" s="9">
        <f>IF($K295="","",INDEX('سجل التحفيز'!$F$5:$F$2004,MATCH($K295,'سجل التحفيز'!$AD$5:$AD$2004,0)))</f>
        <v/>
      </c>
      <c r="S295" s="35">
        <f>IF($K295="","",INDEX('سجل التحفيز'!$G$5:$G$2004,MATCH($K295,'سجل التحفيز'!$AD$5:$AD$2004,0)))</f>
        <v/>
      </c>
    </row>
    <row r="296">
      <c r="K296" s="36">
        <f>IF(259&gt;$B$10,"",259)</f>
        <v/>
      </c>
      <c r="L296" s="37">
        <f>IF($K296="","",INDEX('سجل التحفيز'!$A$5:$A$2004,MATCH($K296,'سجل التحفيز'!$AD$5:$AD$2004,0)))</f>
        <v/>
      </c>
      <c r="M296" s="9">
        <f>IF($K296="","",INDEX('سجل التحفيز'!$B$5:$B$2004,MATCH($K296,'سجل التحفيز'!$AD$5:$AD$2004,0)))</f>
        <v/>
      </c>
      <c r="N296" s="9">
        <f>IF($K296="","",INDEX('سجل التحفيز'!$M$5:$M$2004,MATCH($K296,'سجل التحفيز'!$AD$5:$AD$2004,0)))</f>
        <v/>
      </c>
      <c r="O296" s="9">
        <f>IF($K296="","",INDEX('سجل التحفيز'!$C$5:$C$2004,MATCH($K296,'سجل التحفيز'!$AD$5:$AD$2004,0)))</f>
        <v/>
      </c>
      <c r="P296" s="36">
        <f>IF($K296="","",INDEX('سجل التحفيز'!$D$5:$D$2004,MATCH($K296,'سجل التحفيز'!$AD$5:$AD$2004,0)))</f>
        <v/>
      </c>
      <c r="Q296" s="9">
        <f>IF($K296="","",INDEX('سجل التحفيز'!$E$5:$E$2004,MATCH($K296,'سجل التحفيز'!$AD$5:$AD$2004,0)))</f>
        <v/>
      </c>
      <c r="R296" s="9">
        <f>IF($K296="","",INDEX('سجل التحفيز'!$F$5:$F$2004,MATCH($K296,'سجل التحفيز'!$AD$5:$AD$2004,0)))</f>
        <v/>
      </c>
      <c r="S296" s="35">
        <f>IF($K296="","",INDEX('سجل التحفيز'!$G$5:$G$2004,MATCH($K296,'سجل التحفيز'!$AD$5:$AD$2004,0)))</f>
        <v/>
      </c>
    </row>
    <row r="297">
      <c r="K297" s="36">
        <f>IF(260&gt;$B$10,"",260)</f>
        <v/>
      </c>
      <c r="L297" s="37">
        <f>IF($K297="","",INDEX('سجل التحفيز'!$A$5:$A$2004,MATCH($K297,'سجل التحفيز'!$AD$5:$AD$2004,0)))</f>
        <v/>
      </c>
      <c r="M297" s="9">
        <f>IF($K297="","",INDEX('سجل التحفيز'!$B$5:$B$2004,MATCH($K297,'سجل التحفيز'!$AD$5:$AD$2004,0)))</f>
        <v/>
      </c>
      <c r="N297" s="9">
        <f>IF($K297="","",INDEX('سجل التحفيز'!$M$5:$M$2004,MATCH($K297,'سجل التحفيز'!$AD$5:$AD$2004,0)))</f>
        <v/>
      </c>
      <c r="O297" s="9">
        <f>IF($K297="","",INDEX('سجل التحفيز'!$C$5:$C$2004,MATCH($K297,'سجل التحفيز'!$AD$5:$AD$2004,0)))</f>
        <v/>
      </c>
      <c r="P297" s="36">
        <f>IF($K297="","",INDEX('سجل التحفيز'!$D$5:$D$2004,MATCH($K297,'سجل التحفيز'!$AD$5:$AD$2004,0)))</f>
        <v/>
      </c>
      <c r="Q297" s="9">
        <f>IF($K297="","",INDEX('سجل التحفيز'!$E$5:$E$2004,MATCH($K297,'سجل التحفيز'!$AD$5:$AD$2004,0)))</f>
        <v/>
      </c>
      <c r="R297" s="9">
        <f>IF($K297="","",INDEX('سجل التحفيز'!$F$5:$F$2004,MATCH($K297,'سجل التحفيز'!$AD$5:$AD$2004,0)))</f>
        <v/>
      </c>
      <c r="S297" s="35">
        <f>IF($K297="","",INDEX('سجل التحفيز'!$G$5:$G$2004,MATCH($K297,'سجل التحفيز'!$AD$5:$AD$2004,0)))</f>
        <v/>
      </c>
    </row>
    <row r="298">
      <c r="K298" s="36">
        <f>IF(261&gt;$B$10,"",261)</f>
        <v/>
      </c>
      <c r="L298" s="37">
        <f>IF($K298="","",INDEX('سجل التحفيز'!$A$5:$A$2004,MATCH($K298,'سجل التحفيز'!$AD$5:$AD$2004,0)))</f>
        <v/>
      </c>
      <c r="M298" s="9">
        <f>IF($K298="","",INDEX('سجل التحفيز'!$B$5:$B$2004,MATCH($K298,'سجل التحفيز'!$AD$5:$AD$2004,0)))</f>
        <v/>
      </c>
      <c r="N298" s="9">
        <f>IF($K298="","",INDEX('سجل التحفيز'!$M$5:$M$2004,MATCH($K298,'سجل التحفيز'!$AD$5:$AD$2004,0)))</f>
        <v/>
      </c>
      <c r="O298" s="9">
        <f>IF($K298="","",INDEX('سجل التحفيز'!$C$5:$C$2004,MATCH($K298,'سجل التحفيز'!$AD$5:$AD$2004,0)))</f>
        <v/>
      </c>
      <c r="P298" s="36">
        <f>IF($K298="","",INDEX('سجل التحفيز'!$D$5:$D$2004,MATCH($K298,'سجل التحفيز'!$AD$5:$AD$2004,0)))</f>
        <v/>
      </c>
      <c r="Q298" s="9">
        <f>IF($K298="","",INDEX('سجل التحفيز'!$E$5:$E$2004,MATCH($K298,'سجل التحفيز'!$AD$5:$AD$2004,0)))</f>
        <v/>
      </c>
      <c r="R298" s="9">
        <f>IF($K298="","",INDEX('سجل التحفيز'!$F$5:$F$2004,MATCH($K298,'سجل التحفيز'!$AD$5:$AD$2004,0)))</f>
        <v/>
      </c>
      <c r="S298" s="35">
        <f>IF($K298="","",INDEX('سجل التحفيز'!$G$5:$G$2004,MATCH($K298,'سجل التحفيز'!$AD$5:$AD$2004,0)))</f>
        <v/>
      </c>
    </row>
    <row r="299">
      <c r="K299" s="36">
        <f>IF(262&gt;$B$10,"",262)</f>
        <v/>
      </c>
      <c r="L299" s="37">
        <f>IF($K299="","",INDEX('سجل التحفيز'!$A$5:$A$2004,MATCH($K299,'سجل التحفيز'!$AD$5:$AD$2004,0)))</f>
        <v/>
      </c>
      <c r="M299" s="9">
        <f>IF($K299="","",INDEX('سجل التحفيز'!$B$5:$B$2004,MATCH($K299,'سجل التحفيز'!$AD$5:$AD$2004,0)))</f>
        <v/>
      </c>
      <c r="N299" s="9">
        <f>IF($K299="","",INDEX('سجل التحفيز'!$M$5:$M$2004,MATCH($K299,'سجل التحفيز'!$AD$5:$AD$2004,0)))</f>
        <v/>
      </c>
      <c r="O299" s="9">
        <f>IF($K299="","",INDEX('سجل التحفيز'!$C$5:$C$2004,MATCH($K299,'سجل التحفيز'!$AD$5:$AD$2004,0)))</f>
        <v/>
      </c>
      <c r="P299" s="36">
        <f>IF($K299="","",INDEX('سجل التحفيز'!$D$5:$D$2004,MATCH($K299,'سجل التحفيز'!$AD$5:$AD$2004,0)))</f>
        <v/>
      </c>
      <c r="Q299" s="9">
        <f>IF($K299="","",INDEX('سجل التحفيز'!$E$5:$E$2004,MATCH($K299,'سجل التحفيز'!$AD$5:$AD$2004,0)))</f>
        <v/>
      </c>
      <c r="R299" s="9">
        <f>IF($K299="","",INDEX('سجل التحفيز'!$F$5:$F$2004,MATCH($K299,'سجل التحفيز'!$AD$5:$AD$2004,0)))</f>
        <v/>
      </c>
      <c r="S299" s="35">
        <f>IF($K299="","",INDEX('سجل التحفيز'!$G$5:$G$2004,MATCH($K299,'سجل التحفيز'!$AD$5:$AD$2004,0)))</f>
        <v/>
      </c>
    </row>
    <row r="300">
      <c r="K300" s="36">
        <f>IF(263&gt;$B$10,"",263)</f>
        <v/>
      </c>
      <c r="L300" s="37">
        <f>IF($K300="","",INDEX('سجل التحفيز'!$A$5:$A$2004,MATCH($K300,'سجل التحفيز'!$AD$5:$AD$2004,0)))</f>
        <v/>
      </c>
      <c r="M300" s="9">
        <f>IF($K300="","",INDEX('سجل التحفيز'!$B$5:$B$2004,MATCH($K300,'سجل التحفيز'!$AD$5:$AD$2004,0)))</f>
        <v/>
      </c>
      <c r="N300" s="9">
        <f>IF($K300="","",INDEX('سجل التحفيز'!$M$5:$M$2004,MATCH($K300,'سجل التحفيز'!$AD$5:$AD$2004,0)))</f>
        <v/>
      </c>
      <c r="O300" s="9">
        <f>IF($K300="","",INDEX('سجل التحفيز'!$C$5:$C$2004,MATCH($K300,'سجل التحفيز'!$AD$5:$AD$2004,0)))</f>
        <v/>
      </c>
      <c r="P300" s="36">
        <f>IF($K300="","",INDEX('سجل التحفيز'!$D$5:$D$2004,MATCH($K300,'سجل التحفيز'!$AD$5:$AD$2004,0)))</f>
        <v/>
      </c>
      <c r="Q300" s="9">
        <f>IF($K300="","",INDEX('سجل التحفيز'!$E$5:$E$2004,MATCH($K300,'سجل التحفيز'!$AD$5:$AD$2004,0)))</f>
        <v/>
      </c>
      <c r="R300" s="9">
        <f>IF($K300="","",INDEX('سجل التحفيز'!$F$5:$F$2004,MATCH($K300,'سجل التحفيز'!$AD$5:$AD$2004,0)))</f>
        <v/>
      </c>
      <c r="S300" s="35">
        <f>IF($K300="","",INDEX('سجل التحفيز'!$G$5:$G$2004,MATCH($K300,'سجل التحفيز'!$AD$5:$AD$2004,0)))</f>
        <v/>
      </c>
    </row>
    <row r="301">
      <c r="K301" s="36">
        <f>IF(264&gt;$B$10,"",264)</f>
        <v/>
      </c>
      <c r="L301" s="37">
        <f>IF($K301="","",INDEX('سجل التحفيز'!$A$5:$A$2004,MATCH($K301,'سجل التحفيز'!$AD$5:$AD$2004,0)))</f>
        <v/>
      </c>
      <c r="M301" s="9">
        <f>IF($K301="","",INDEX('سجل التحفيز'!$B$5:$B$2004,MATCH($K301,'سجل التحفيز'!$AD$5:$AD$2004,0)))</f>
        <v/>
      </c>
      <c r="N301" s="9">
        <f>IF($K301="","",INDEX('سجل التحفيز'!$M$5:$M$2004,MATCH($K301,'سجل التحفيز'!$AD$5:$AD$2004,0)))</f>
        <v/>
      </c>
      <c r="O301" s="9">
        <f>IF($K301="","",INDEX('سجل التحفيز'!$C$5:$C$2004,MATCH($K301,'سجل التحفيز'!$AD$5:$AD$2004,0)))</f>
        <v/>
      </c>
      <c r="P301" s="36">
        <f>IF($K301="","",INDEX('سجل التحفيز'!$D$5:$D$2004,MATCH($K301,'سجل التحفيز'!$AD$5:$AD$2004,0)))</f>
        <v/>
      </c>
      <c r="Q301" s="9">
        <f>IF($K301="","",INDEX('سجل التحفيز'!$E$5:$E$2004,MATCH($K301,'سجل التحفيز'!$AD$5:$AD$2004,0)))</f>
        <v/>
      </c>
      <c r="R301" s="9">
        <f>IF($K301="","",INDEX('سجل التحفيز'!$F$5:$F$2004,MATCH($K301,'سجل التحفيز'!$AD$5:$AD$2004,0)))</f>
        <v/>
      </c>
      <c r="S301" s="35">
        <f>IF($K301="","",INDEX('سجل التحفيز'!$G$5:$G$2004,MATCH($K301,'سجل التحفيز'!$AD$5:$AD$2004,0)))</f>
        <v/>
      </c>
    </row>
    <row r="302">
      <c r="K302" s="36">
        <f>IF(265&gt;$B$10,"",265)</f>
        <v/>
      </c>
      <c r="L302" s="37">
        <f>IF($K302="","",INDEX('سجل التحفيز'!$A$5:$A$2004,MATCH($K302,'سجل التحفيز'!$AD$5:$AD$2004,0)))</f>
        <v/>
      </c>
      <c r="M302" s="9">
        <f>IF($K302="","",INDEX('سجل التحفيز'!$B$5:$B$2004,MATCH($K302,'سجل التحفيز'!$AD$5:$AD$2004,0)))</f>
        <v/>
      </c>
      <c r="N302" s="9">
        <f>IF($K302="","",INDEX('سجل التحفيز'!$M$5:$M$2004,MATCH($K302,'سجل التحفيز'!$AD$5:$AD$2004,0)))</f>
        <v/>
      </c>
      <c r="O302" s="9">
        <f>IF($K302="","",INDEX('سجل التحفيز'!$C$5:$C$2004,MATCH($K302,'سجل التحفيز'!$AD$5:$AD$2004,0)))</f>
        <v/>
      </c>
      <c r="P302" s="36">
        <f>IF($K302="","",INDEX('سجل التحفيز'!$D$5:$D$2004,MATCH($K302,'سجل التحفيز'!$AD$5:$AD$2004,0)))</f>
        <v/>
      </c>
      <c r="Q302" s="9">
        <f>IF($K302="","",INDEX('سجل التحفيز'!$E$5:$E$2004,MATCH($K302,'سجل التحفيز'!$AD$5:$AD$2004,0)))</f>
        <v/>
      </c>
      <c r="R302" s="9">
        <f>IF($K302="","",INDEX('سجل التحفيز'!$F$5:$F$2004,MATCH($K302,'سجل التحفيز'!$AD$5:$AD$2004,0)))</f>
        <v/>
      </c>
      <c r="S302" s="35">
        <f>IF($K302="","",INDEX('سجل التحفيز'!$G$5:$G$2004,MATCH($K302,'سجل التحفيز'!$AD$5:$AD$2004,0)))</f>
        <v/>
      </c>
    </row>
    <row r="303">
      <c r="K303" s="36">
        <f>IF(266&gt;$B$10,"",266)</f>
        <v/>
      </c>
      <c r="L303" s="37">
        <f>IF($K303="","",INDEX('سجل التحفيز'!$A$5:$A$2004,MATCH($K303,'سجل التحفيز'!$AD$5:$AD$2004,0)))</f>
        <v/>
      </c>
      <c r="M303" s="9">
        <f>IF($K303="","",INDEX('سجل التحفيز'!$B$5:$B$2004,MATCH($K303,'سجل التحفيز'!$AD$5:$AD$2004,0)))</f>
        <v/>
      </c>
      <c r="N303" s="9">
        <f>IF($K303="","",INDEX('سجل التحفيز'!$M$5:$M$2004,MATCH($K303,'سجل التحفيز'!$AD$5:$AD$2004,0)))</f>
        <v/>
      </c>
      <c r="O303" s="9">
        <f>IF($K303="","",INDEX('سجل التحفيز'!$C$5:$C$2004,MATCH($K303,'سجل التحفيز'!$AD$5:$AD$2004,0)))</f>
        <v/>
      </c>
      <c r="P303" s="36">
        <f>IF($K303="","",INDEX('سجل التحفيز'!$D$5:$D$2004,MATCH($K303,'سجل التحفيز'!$AD$5:$AD$2004,0)))</f>
        <v/>
      </c>
      <c r="Q303" s="9">
        <f>IF($K303="","",INDEX('سجل التحفيز'!$E$5:$E$2004,MATCH($K303,'سجل التحفيز'!$AD$5:$AD$2004,0)))</f>
        <v/>
      </c>
      <c r="R303" s="9">
        <f>IF($K303="","",INDEX('سجل التحفيز'!$F$5:$F$2004,MATCH($K303,'سجل التحفيز'!$AD$5:$AD$2004,0)))</f>
        <v/>
      </c>
      <c r="S303" s="35">
        <f>IF($K303="","",INDEX('سجل التحفيز'!$G$5:$G$2004,MATCH($K303,'سجل التحفيز'!$AD$5:$AD$2004,0)))</f>
        <v/>
      </c>
    </row>
    <row r="304">
      <c r="K304" s="36">
        <f>IF(267&gt;$B$10,"",267)</f>
        <v/>
      </c>
      <c r="L304" s="37">
        <f>IF($K304="","",INDEX('سجل التحفيز'!$A$5:$A$2004,MATCH($K304,'سجل التحفيز'!$AD$5:$AD$2004,0)))</f>
        <v/>
      </c>
      <c r="M304" s="9">
        <f>IF($K304="","",INDEX('سجل التحفيز'!$B$5:$B$2004,MATCH($K304,'سجل التحفيز'!$AD$5:$AD$2004,0)))</f>
        <v/>
      </c>
      <c r="N304" s="9">
        <f>IF($K304="","",INDEX('سجل التحفيز'!$M$5:$M$2004,MATCH($K304,'سجل التحفيز'!$AD$5:$AD$2004,0)))</f>
        <v/>
      </c>
      <c r="O304" s="9">
        <f>IF($K304="","",INDEX('سجل التحفيز'!$C$5:$C$2004,MATCH($K304,'سجل التحفيز'!$AD$5:$AD$2004,0)))</f>
        <v/>
      </c>
      <c r="P304" s="36">
        <f>IF($K304="","",INDEX('سجل التحفيز'!$D$5:$D$2004,MATCH($K304,'سجل التحفيز'!$AD$5:$AD$2004,0)))</f>
        <v/>
      </c>
      <c r="Q304" s="9">
        <f>IF($K304="","",INDEX('سجل التحفيز'!$E$5:$E$2004,MATCH($K304,'سجل التحفيز'!$AD$5:$AD$2004,0)))</f>
        <v/>
      </c>
      <c r="R304" s="9">
        <f>IF($K304="","",INDEX('سجل التحفيز'!$F$5:$F$2004,MATCH($K304,'سجل التحفيز'!$AD$5:$AD$2004,0)))</f>
        <v/>
      </c>
      <c r="S304" s="35">
        <f>IF($K304="","",INDEX('سجل التحفيز'!$G$5:$G$2004,MATCH($K304,'سجل التحفيز'!$AD$5:$AD$2004,0)))</f>
        <v/>
      </c>
    </row>
    <row r="305">
      <c r="K305" s="36">
        <f>IF(268&gt;$B$10,"",268)</f>
        <v/>
      </c>
      <c r="L305" s="37">
        <f>IF($K305="","",INDEX('سجل التحفيز'!$A$5:$A$2004,MATCH($K305,'سجل التحفيز'!$AD$5:$AD$2004,0)))</f>
        <v/>
      </c>
      <c r="M305" s="9">
        <f>IF($K305="","",INDEX('سجل التحفيز'!$B$5:$B$2004,MATCH($K305,'سجل التحفيز'!$AD$5:$AD$2004,0)))</f>
        <v/>
      </c>
      <c r="N305" s="9">
        <f>IF($K305="","",INDEX('سجل التحفيز'!$M$5:$M$2004,MATCH($K305,'سجل التحفيز'!$AD$5:$AD$2004,0)))</f>
        <v/>
      </c>
      <c r="O305" s="9">
        <f>IF($K305="","",INDEX('سجل التحفيز'!$C$5:$C$2004,MATCH($K305,'سجل التحفيز'!$AD$5:$AD$2004,0)))</f>
        <v/>
      </c>
      <c r="P305" s="36">
        <f>IF($K305="","",INDEX('سجل التحفيز'!$D$5:$D$2004,MATCH($K305,'سجل التحفيز'!$AD$5:$AD$2004,0)))</f>
        <v/>
      </c>
      <c r="Q305" s="9">
        <f>IF($K305="","",INDEX('سجل التحفيز'!$E$5:$E$2004,MATCH($K305,'سجل التحفيز'!$AD$5:$AD$2004,0)))</f>
        <v/>
      </c>
      <c r="R305" s="9">
        <f>IF($K305="","",INDEX('سجل التحفيز'!$F$5:$F$2004,MATCH($K305,'سجل التحفيز'!$AD$5:$AD$2004,0)))</f>
        <v/>
      </c>
      <c r="S305" s="35">
        <f>IF($K305="","",INDEX('سجل التحفيز'!$G$5:$G$2004,MATCH($K305,'سجل التحفيز'!$AD$5:$AD$2004,0)))</f>
        <v/>
      </c>
    </row>
    <row r="306">
      <c r="K306" s="36">
        <f>IF(269&gt;$B$10,"",269)</f>
        <v/>
      </c>
      <c r="L306" s="37">
        <f>IF($K306="","",INDEX('سجل التحفيز'!$A$5:$A$2004,MATCH($K306,'سجل التحفيز'!$AD$5:$AD$2004,0)))</f>
        <v/>
      </c>
      <c r="M306" s="9">
        <f>IF($K306="","",INDEX('سجل التحفيز'!$B$5:$B$2004,MATCH($K306,'سجل التحفيز'!$AD$5:$AD$2004,0)))</f>
        <v/>
      </c>
      <c r="N306" s="9">
        <f>IF($K306="","",INDEX('سجل التحفيز'!$M$5:$M$2004,MATCH($K306,'سجل التحفيز'!$AD$5:$AD$2004,0)))</f>
        <v/>
      </c>
      <c r="O306" s="9">
        <f>IF($K306="","",INDEX('سجل التحفيز'!$C$5:$C$2004,MATCH($K306,'سجل التحفيز'!$AD$5:$AD$2004,0)))</f>
        <v/>
      </c>
      <c r="P306" s="36">
        <f>IF($K306="","",INDEX('سجل التحفيز'!$D$5:$D$2004,MATCH($K306,'سجل التحفيز'!$AD$5:$AD$2004,0)))</f>
        <v/>
      </c>
      <c r="Q306" s="9">
        <f>IF($K306="","",INDEX('سجل التحفيز'!$E$5:$E$2004,MATCH($K306,'سجل التحفيز'!$AD$5:$AD$2004,0)))</f>
        <v/>
      </c>
      <c r="R306" s="9">
        <f>IF($K306="","",INDEX('سجل التحفيز'!$F$5:$F$2004,MATCH($K306,'سجل التحفيز'!$AD$5:$AD$2004,0)))</f>
        <v/>
      </c>
      <c r="S306" s="35">
        <f>IF($K306="","",INDEX('سجل التحفيز'!$G$5:$G$2004,MATCH($K306,'سجل التحفيز'!$AD$5:$AD$2004,0)))</f>
        <v/>
      </c>
    </row>
    <row r="307">
      <c r="K307" s="36">
        <f>IF(270&gt;$B$10,"",270)</f>
        <v/>
      </c>
      <c r="L307" s="37">
        <f>IF($K307="","",INDEX('سجل التحفيز'!$A$5:$A$2004,MATCH($K307,'سجل التحفيز'!$AD$5:$AD$2004,0)))</f>
        <v/>
      </c>
      <c r="M307" s="9">
        <f>IF($K307="","",INDEX('سجل التحفيز'!$B$5:$B$2004,MATCH($K307,'سجل التحفيز'!$AD$5:$AD$2004,0)))</f>
        <v/>
      </c>
      <c r="N307" s="9">
        <f>IF($K307="","",INDEX('سجل التحفيز'!$M$5:$M$2004,MATCH($K307,'سجل التحفيز'!$AD$5:$AD$2004,0)))</f>
        <v/>
      </c>
      <c r="O307" s="9">
        <f>IF($K307="","",INDEX('سجل التحفيز'!$C$5:$C$2004,MATCH($K307,'سجل التحفيز'!$AD$5:$AD$2004,0)))</f>
        <v/>
      </c>
      <c r="P307" s="36">
        <f>IF($K307="","",INDEX('سجل التحفيز'!$D$5:$D$2004,MATCH($K307,'سجل التحفيز'!$AD$5:$AD$2004,0)))</f>
        <v/>
      </c>
      <c r="Q307" s="9">
        <f>IF($K307="","",INDEX('سجل التحفيز'!$E$5:$E$2004,MATCH($K307,'سجل التحفيز'!$AD$5:$AD$2004,0)))</f>
        <v/>
      </c>
      <c r="R307" s="9">
        <f>IF($K307="","",INDEX('سجل التحفيز'!$F$5:$F$2004,MATCH($K307,'سجل التحفيز'!$AD$5:$AD$2004,0)))</f>
        <v/>
      </c>
      <c r="S307" s="35">
        <f>IF($K307="","",INDEX('سجل التحفيز'!$G$5:$G$2004,MATCH($K307,'سجل التحفيز'!$AD$5:$AD$2004,0)))</f>
        <v/>
      </c>
    </row>
    <row r="308">
      <c r="K308" s="36">
        <f>IF(271&gt;$B$10,"",271)</f>
        <v/>
      </c>
      <c r="L308" s="37">
        <f>IF($K308="","",INDEX('سجل التحفيز'!$A$5:$A$2004,MATCH($K308,'سجل التحفيز'!$AD$5:$AD$2004,0)))</f>
        <v/>
      </c>
      <c r="M308" s="9">
        <f>IF($K308="","",INDEX('سجل التحفيز'!$B$5:$B$2004,MATCH($K308,'سجل التحفيز'!$AD$5:$AD$2004,0)))</f>
        <v/>
      </c>
      <c r="N308" s="9">
        <f>IF($K308="","",INDEX('سجل التحفيز'!$M$5:$M$2004,MATCH($K308,'سجل التحفيز'!$AD$5:$AD$2004,0)))</f>
        <v/>
      </c>
      <c r="O308" s="9">
        <f>IF($K308="","",INDEX('سجل التحفيز'!$C$5:$C$2004,MATCH($K308,'سجل التحفيز'!$AD$5:$AD$2004,0)))</f>
        <v/>
      </c>
      <c r="P308" s="36">
        <f>IF($K308="","",INDEX('سجل التحفيز'!$D$5:$D$2004,MATCH($K308,'سجل التحفيز'!$AD$5:$AD$2004,0)))</f>
        <v/>
      </c>
      <c r="Q308" s="9">
        <f>IF($K308="","",INDEX('سجل التحفيز'!$E$5:$E$2004,MATCH($K308,'سجل التحفيز'!$AD$5:$AD$2004,0)))</f>
        <v/>
      </c>
      <c r="R308" s="9">
        <f>IF($K308="","",INDEX('سجل التحفيز'!$F$5:$F$2004,MATCH($K308,'سجل التحفيز'!$AD$5:$AD$2004,0)))</f>
        <v/>
      </c>
      <c r="S308" s="35">
        <f>IF($K308="","",INDEX('سجل التحفيز'!$G$5:$G$2004,MATCH($K308,'سجل التحفيز'!$AD$5:$AD$2004,0)))</f>
        <v/>
      </c>
    </row>
    <row r="309">
      <c r="K309" s="36">
        <f>IF(272&gt;$B$10,"",272)</f>
        <v/>
      </c>
      <c r="L309" s="37">
        <f>IF($K309="","",INDEX('سجل التحفيز'!$A$5:$A$2004,MATCH($K309,'سجل التحفيز'!$AD$5:$AD$2004,0)))</f>
        <v/>
      </c>
      <c r="M309" s="9">
        <f>IF($K309="","",INDEX('سجل التحفيز'!$B$5:$B$2004,MATCH($K309,'سجل التحفيز'!$AD$5:$AD$2004,0)))</f>
        <v/>
      </c>
      <c r="N309" s="9">
        <f>IF($K309="","",INDEX('سجل التحفيز'!$M$5:$M$2004,MATCH($K309,'سجل التحفيز'!$AD$5:$AD$2004,0)))</f>
        <v/>
      </c>
      <c r="O309" s="9">
        <f>IF($K309="","",INDEX('سجل التحفيز'!$C$5:$C$2004,MATCH($K309,'سجل التحفيز'!$AD$5:$AD$2004,0)))</f>
        <v/>
      </c>
      <c r="P309" s="36">
        <f>IF($K309="","",INDEX('سجل التحفيز'!$D$5:$D$2004,MATCH($K309,'سجل التحفيز'!$AD$5:$AD$2004,0)))</f>
        <v/>
      </c>
      <c r="Q309" s="9">
        <f>IF($K309="","",INDEX('سجل التحفيز'!$E$5:$E$2004,MATCH($K309,'سجل التحفيز'!$AD$5:$AD$2004,0)))</f>
        <v/>
      </c>
      <c r="R309" s="9">
        <f>IF($K309="","",INDEX('سجل التحفيز'!$F$5:$F$2004,MATCH($K309,'سجل التحفيز'!$AD$5:$AD$2004,0)))</f>
        <v/>
      </c>
      <c r="S309" s="35">
        <f>IF($K309="","",INDEX('سجل التحفيز'!$G$5:$G$2004,MATCH($K309,'سجل التحفيز'!$AD$5:$AD$2004,0)))</f>
        <v/>
      </c>
    </row>
    <row r="310">
      <c r="K310" s="36">
        <f>IF(273&gt;$B$10,"",273)</f>
        <v/>
      </c>
      <c r="L310" s="37">
        <f>IF($K310="","",INDEX('سجل التحفيز'!$A$5:$A$2004,MATCH($K310,'سجل التحفيز'!$AD$5:$AD$2004,0)))</f>
        <v/>
      </c>
      <c r="M310" s="9">
        <f>IF($K310="","",INDEX('سجل التحفيز'!$B$5:$B$2004,MATCH($K310,'سجل التحفيز'!$AD$5:$AD$2004,0)))</f>
        <v/>
      </c>
      <c r="N310" s="9">
        <f>IF($K310="","",INDEX('سجل التحفيز'!$M$5:$M$2004,MATCH($K310,'سجل التحفيز'!$AD$5:$AD$2004,0)))</f>
        <v/>
      </c>
      <c r="O310" s="9">
        <f>IF($K310="","",INDEX('سجل التحفيز'!$C$5:$C$2004,MATCH($K310,'سجل التحفيز'!$AD$5:$AD$2004,0)))</f>
        <v/>
      </c>
      <c r="P310" s="36">
        <f>IF($K310="","",INDEX('سجل التحفيز'!$D$5:$D$2004,MATCH($K310,'سجل التحفيز'!$AD$5:$AD$2004,0)))</f>
        <v/>
      </c>
      <c r="Q310" s="9">
        <f>IF($K310="","",INDEX('سجل التحفيز'!$E$5:$E$2004,MATCH($K310,'سجل التحفيز'!$AD$5:$AD$2004,0)))</f>
        <v/>
      </c>
      <c r="R310" s="9">
        <f>IF($K310="","",INDEX('سجل التحفيز'!$F$5:$F$2004,MATCH($K310,'سجل التحفيز'!$AD$5:$AD$2004,0)))</f>
        <v/>
      </c>
      <c r="S310" s="35">
        <f>IF($K310="","",INDEX('سجل التحفيز'!$G$5:$G$2004,MATCH($K310,'سجل التحفيز'!$AD$5:$AD$2004,0)))</f>
        <v/>
      </c>
    </row>
    <row r="311">
      <c r="K311" s="36">
        <f>IF(274&gt;$B$10,"",274)</f>
        <v/>
      </c>
      <c r="L311" s="37">
        <f>IF($K311="","",INDEX('سجل التحفيز'!$A$5:$A$2004,MATCH($K311,'سجل التحفيز'!$AD$5:$AD$2004,0)))</f>
        <v/>
      </c>
      <c r="M311" s="9">
        <f>IF($K311="","",INDEX('سجل التحفيز'!$B$5:$B$2004,MATCH($K311,'سجل التحفيز'!$AD$5:$AD$2004,0)))</f>
        <v/>
      </c>
      <c r="N311" s="9">
        <f>IF($K311="","",INDEX('سجل التحفيز'!$M$5:$M$2004,MATCH($K311,'سجل التحفيز'!$AD$5:$AD$2004,0)))</f>
        <v/>
      </c>
      <c r="O311" s="9">
        <f>IF($K311="","",INDEX('سجل التحفيز'!$C$5:$C$2004,MATCH($K311,'سجل التحفيز'!$AD$5:$AD$2004,0)))</f>
        <v/>
      </c>
      <c r="P311" s="36">
        <f>IF($K311="","",INDEX('سجل التحفيز'!$D$5:$D$2004,MATCH($K311,'سجل التحفيز'!$AD$5:$AD$2004,0)))</f>
        <v/>
      </c>
      <c r="Q311" s="9">
        <f>IF($K311="","",INDEX('سجل التحفيز'!$E$5:$E$2004,MATCH($K311,'سجل التحفيز'!$AD$5:$AD$2004,0)))</f>
        <v/>
      </c>
      <c r="R311" s="9">
        <f>IF($K311="","",INDEX('سجل التحفيز'!$F$5:$F$2004,MATCH($K311,'سجل التحفيز'!$AD$5:$AD$2004,0)))</f>
        <v/>
      </c>
      <c r="S311" s="35">
        <f>IF($K311="","",INDEX('سجل التحفيز'!$G$5:$G$2004,MATCH($K311,'سجل التحفيز'!$AD$5:$AD$2004,0)))</f>
        <v/>
      </c>
    </row>
    <row r="312">
      <c r="K312" s="36">
        <f>IF(275&gt;$B$10,"",275)</f>
        <v/>
      </c>
      <c r="L312" s="37">
        <f>IF($K312="","",INDEX('سجل التحفيز'!$A$5:$A$2004,MATCH($K312,'سجل التحفيز'!$AD$5:$AD$2004,0)))</f>
        <v/>
      </c>
      <c r="M312" s="9">
        <f>IF($K312="","",INDEX('سجل التحفيز'!$B$5:$B$2004,MATCH($K312,'سجل التحفيز'!$AD$5:$AD$2004,0)))</f>
        <v/>
      </c>
      <c r="N312" s="9">
        <f>IF($K312="","",INDEX('سجل التحفيز'!$M$5:$M$2004,MATCH($K312,'سجل التحفيز'!$AD$5:$AD$2004,0)))</f>
        <v/>
      </c>
      <c r="O312" s="9">
        <f>IF($K312="","",INDEX('سجل التحفيز'!$C$5:$C$2004,MATCH($K312,'سجل التحفيز'!$AD$5:$AD$2004,0)))</f>
        <v/>
      </c>
      <c r="P312" s="36">
        <f>IF($K312="","",INDEX('سجل التحفيز'!$D$5:$D$2004,MATCH($K312,'سجل التحفيز'!$AD$5:$AD$2004,0)))</f>
        <v/>
      </c>
      <c r="Q312" s="9">
        <f>IF($K312="","",INDEX('سجل التحفيز'!$E$5:$E$2004,MATCH($K312,'سجل التحفيز'!$AD$5:$AD$2004,0)))</f>
        <v/>
      </c>
      <c r="R312" s="9">
        <f>IF($K312="","",INDEX('سجل التحفيز'!$F$5:$F$2004,MATCH($K312,'سجل التحفيز'!$AD$5:$AD$2004,0)))</f>
        <v/>
      </c>
      <c r="S312" s="35">
        <f>IF($K312="","",INDEX('سجل التحفيز'!$G$5:$G$2004,MATCH($K312,'سجل التحفيز'!$AD$5:$AD$2004,0)))</f>
        <v/>
      </c>
    </row>
    <row r="313">
      <c r="K313" s="36">
        <f>IF(276&gt;$B$10,"",276)</f>
        <v/>
      </c>
      <c r="L313" s="37">
        <f>IF($K313="","",INDEX('سجل التحفيز'!$A$5:$A$2004,MATCH($K313,'سجل التحفيز'!$AD$5:$AD$2004,0)))</f>
        <v/>
      </c>
      <c r="M313" s="9">
        <f>IF($K313="","",INDEX('سجل التحفيز'!$B$5:$B$2004,MATCH($K313,'سجل التحفيز'!$AD$5:$AD$2004,0)))</f>
        <v/>
      </c>
      <c r="N313" s="9">
        <f>IF($K313="","",INDEX('سجل التحفيز'!$M$5:$M$2004,MATCH($K313,'سجل التحفيز'!$AD$5:$AD$2004,0)))</f>
        <v/>
      </c>
      <c r="O313" s="9">
        <f>IF($K313="","",INDEX('سجل التحفيز'!$C$5:$C$2004,MATCH($K313,'سجل التحفيز'!$AD$5:$AD$2004,0)))</f>
        <v/>
      </c>
      <c r="P313" s="36">
        <f>IF($K313="","",INDEX('سجل التحفيز'!$D$5:$D$2004,MATCH($K313,'سجل التحفيز'!$AD$5:$AD$2004,0)))</f>
        <v/>
      </c>
      <c r="Q313" s="9">
        <f>IF($K313="","",INDEX('سجل التحفيز'!$E$5:$E$2004,MATCH($K313,'سجل التحفيز'!$AD$5:$AD$2004,0)))</f>
        <v/>
      </c>
      <c r="R313" s="9">
        <f>IF($K313="","",INDEX('سجل التحفيز'!$F$5:$F$2004,MATCH($K313,'سجل التحفيز'!$AD$5:$AD$2004,0)))</f>
        <v/>
      </c>
      <c r="S313" s="35">
        <f>IF($K313="","",INDEX('سجل التحفيز'!$G$5:$G$2004,MATCH($K313,'سجل التحفيز'!$AD$5:$AD$2004,0)))</f>
        <v/>
      </c>
    </row>
    <row r="314">
      <c r="K314" s="36">
        <f>IF(277&gt;$B$10,"",277)</f>
        <v/>
      </c>
      <c r="L314" s="37">
        <f>IF($K314="","",INDEX('سجل التحفيز'!$A$5:$A$2004,MATCH($K314,'سجل التحفيز'!$AD$5:$AD$2004,0)))</f>
        <v/>
      </c>
      <c r="M314" s="9">
        <f>IF($K314="","",INDEX('سجل التحفيز'!$B$5:$B$2004,MATCH($K314,'سجل التحفيز'!$AD$5:$AD$2004,0)))</f>
        <v/>
      </c>
      <c r="N314" s="9">
        <f>IF($K314="","",INDEX('سجل التحفيز'!$M$5:$M$2004,MATCH($K314,'سجل التحفيز'!$AD$5:$AD$2004,0)))</f>
        <v/>
      </c>
      <c r="O314" s="9">
        <f>IF($K314="","",INDEX('سجل التحفيز'!$C$5:$C$2004,MATCH($K314,'سجل التحفيز'!$AD$5:$AD$2004,0)))</f>
        <v/>
      </c>
      <c r="P314" s="36">
        <f>IF($K314="","",INDEX('سجل التحفيز'!$D$5:$D$2004,MATCH($K314,'سجل التحفيز'!$AD$5:$AD$2004,0)))</f>
        <v/>
      </c>
      <c r="Q314" s="9">
        <f>IF($K314="","",INDEX('سجل التحفيز'!$E$5:$E$2004,MATCH($K314,'سجل التحفيز'!$AD$5:$AD$2004,0)))</f>
        <v/>
      </c>
      <c r="R314" s="9">
        <f>IF($K314="","",INDEX('سجل التحفيز'!$F$5:$F$2004,MATCH($K314,'سجل التحفيز'!$AD$5:$AD$2004,0)))</f>
        <v/>
      </c>
      <c r="S314" s="35">
        <f>IF($K314="","",INDEX('سجل التحفيز'!$G$5:$G$2004,MATCH($K314,'سجل التحفيز'!$AD$5:$AD$2004,0)))</f>
        <v/>
      </c>
    </row>
    <row r="315">
      <c r="K315" s="36">
        <f>IF(278&gt;$B$10,"",278)</f>
        <v/>
      </c>
      <c r="L315" s="37">
        <f>IF($K315="","",INDEX('سجل التحفيز'!$A$5:$A$2004,MATCH($K315,'سجل التحفيز'!$AD$5:$AD$2004,0)))</f>
        <v/>
      </c>
      <c r="M315" s="9">
        <f>IF($K315="","",INDEX('سجل التحفيز'!$B$5:$B$2004,MATCH($K315,'سجل التحفيز'!$AD$5:$AD$2004,0)))</f>
        <v/>
      </c>
      <c r="N315" s="9">
        <f>IF($K315="","",INDEX('سجل التحفيز'!$M$5:$M$2004,MATCH($K315,'سجل التحفيز'!$AD$5:$AD$2004,0)))</f>
        <v/>
      </c>
      <c r="O315" s="9">
        <f>IF($K315="","",INDEX('سجل التحفيز'!$C$5:$C$2004,MATCH($K315,'سجل التحفيز'!$AD$5:$AD$2004,0)))</f>
        <v/>
      </c>
      <c r="P315" s="36">
        <f>IF($K315="","",INDEX('سجل التحفيز'!$D$5:$D$2004,MATCH($K315,'سجل التحفيز'!$AD$5:$AD$2004,0)))</f>
        <v/>
      </c>
      <c r="Q315" s="9">
        <f>IF($K315="","",INDEX('سجل التحفيز'!$E$5:$E$2004,MATCH($K315,'سجل التحفيز'!$AD$5:$AD$2004,0)))</f>
        <v/>
      </c>
      <c r="R315" s="9">
        <f>IF($K315="","",INDEX('سجل التحفيز'!$F$5:$F$2004,MATCH($K315,'سجل التحفيز'!$AD$5:$AD$2004,0)))</f>
        <v/>
      </c>
      <c r="S315" s="35">
        <f>IF($K315="","",INDEX('سجل التحفيز'!$G$5:$G$2004,MATCH($K315,'سجل التحفيز'!$AD$5:$AD$2004,0)))</f>
        <v/>
      </c>
    </row>
    <row r="316">
      <c r="K316" s="36">
        <f>IF(279&gt;$B$10,"",279)</f>
        <v/>
      </c>
      <c r="L316" s="37">
        <f>IF($K316="","",INDEX('سجل التحفيز'!$A$5:$A$2004,MATCH($K316,'سجل التحفيز'!$AD$5:$AD$2004,0)))</f>
        <v/>
      </c>
      <c r="M316" s="9">
        <f>IF($K316="","",INDEX('سجل التحفيز'!$B$5:$B$2004,MATCH($K316,'سجل التحفيز'!$AD$5:$AD$2004,0)))</f>
        <v/>
      </c>
      <c r="N316" s="9">
        <f>IF($K316="","",INDEX('سجل التحفيز'!$M$5:$M$2004,MATCH($K316,'سجل التحفيز'!$AD$5:$AD$2004,0)))</f>
        <v/>
      </c>
      <c r="O316" s="9">
        <f>IF($K316="","",INDEX('سجل التحفيز'!$C$5:$C$2004,MATCH($K316,'سجل التحفيز'!$AD$5:$AD$2004,0)))</f>
        <v/>
      </c>
      <c r="P316" s="36">
        <f>IF($K316="","",INDEX('سجل التحفيز'!$D$5:$D$2004,MATCH($K316,'سجل التحفيز'!$AD$5:$AD$2004,0)))</f>
        <v/>
      </c>
      <c r="Q316" s="9">
        <f>IF($K316="","",INDEX('سجل التحفيز'!$E$5:$E$2004,MATCH($K316,'سجل التحفيز'!$AD$5:$AD$2004,0)))</f>
        <v/>
      </c>
      <c r="R316" s="9">
        <f>IF($K316="","",INDEX('سجل التحفيز'!$F$5:$F$2004,MATCH($K316,'سجل التحفيز'!$AD$5:$AD$2004,0)))</f>
        <v/>
      </c>
      <c r="S316" s="35">
        <f>IF($K316="","",INDEX('سجل التحفيز'!$G$5:$G$2004,MATCH($K316,'سجل التحفيز'!$AD$5:$AD$2004,0)))</f>
        <v/>
      </c>
    </row>
    <row r="317">
      <c r="K317" s="36">
        <f>IF(280&gt;$B$10,"",280)</f>
        <v/>
      </c>
      <c r="L317" s="37">
        <f>IF($K317="","",INDEX('سجل التحفيز'!$A$5:$A$2004,MATCH($K317,'سجل التحفيز'!$AD$5:$AD$2004,0)))</f>
        <v/>
      </c>
      <c r="M317" s="9">
        <f>IF($K317="","",INDEX('سجل التحفيز'!$B$5:$B$2004,MATCH($K317,'سجل التحفيز'!$AD$5:$AD$2004,0)))</f>
        <v/>
      </c>
      <c r="N317" s="9">
        <f>IF($K317="","",INDEX('سجل التحفيز'!$M$5:$M$2004,MATCH($K317,'سجل التحفيز'!$AD$5:$AD$2004,0)))</f>
        <v/>
      </c>
      <c r="O317" s="9">
        <f>IF($K317="","",INDEX('سجل التحفيز'!$C$5:$C$2004,MATCH($K317,'سجل التحفيز'!$AD$5:$AD$2004,0)))</f>
        <v/>
      </c>
      <c r="P317" s="36">
        <f>IF($K317="","",INDEX('سجل التحفيز'!$D$5:$D$2004,MATCH($K317,'سجل التحفيز'!$AD$5:$AD$2004,0)))</f>
        <v/>
      </c>
      <c r="Q317" s="9">
        <f>IF($K317="","",INDEX('سجل التحفيز'!$E$5:$E$2004,MATCH($K317,'سجل التحفيز'!$AD$5:$AD$2004,0)))</f>
        <v/>
      </c>
      <c r="R317" s="9">
        <f>IF($K317="","",INDEX('سجل التحفيز'!$F$5:$F$2004,MATCH($K317,'سجل التحفيز'!$AD$5:$AD$2004,0)))</f>
        <v/>
      </c>
      <c r="S317" s="35">
        <f>IF($K317="","",INDEX('سجل التحفيز'!$G$5:$G$2004,MATCH($K317,'سجل التحفيز'!$AD$5:$AD$2004,0)))</f>
        <v/>
      </c>
    </row>
    <row r="318">
      <c r="K318" s="36">
        <f>IF(281&gt;$B$10,"",281)</f>
        <v/>
      </c>
      <c r="L318" s="37">
        <f>IF($K318="","",INDEX('سجل التحفيز'!$A$5:$A$2004,MATCH($K318,'سجل التحفيز'!$AD$5:$AD$2004,0)))</f>
        <v/>
      </c>
      <c r="M318" s="9">
        <f>IF($K318="","",INDEX('سجل التحفيز'!$B$5:$B$2004,MATCH($K318,'سجل التحفيز'!$AD$5:$AD$2004,0)))</f>
        <v/>
      </c>
      <c r="N318" s="9">
        <f>IF($K318="","",INDEX('سجل التحفيز'!$M$5:$M$2004,MATCH($K318,'سجل التحفيز'!$AD$5:$AD$2004,0)))</f>
        <v/>
      </c>
      <c r="O318" s="9">
        <f>IF($K318="","",INDEX('سجل التحفيز'!$C$5:$C$2004,MATCH($K318,'سجل التحفيز'!$AD$5:$AD$2004,0)))</f>
        <v/>
      </c>
      <c r="P318" s="36">
        <f>IF($K318="","",INDEX('سجل التحفيز'!$D$5:$D$2004,MATCH($K318,'سجل التحفيز'!$AD$5:$AD$2004,0)))</f>
        <v/>
      </c>
      <c r="Q318" s="9">
        <f>IF($K318="","",INDEX('سجل التحفيز'!$E$5:$E$2004,MATCH($K318,'سجل التحفيز'!$AD$5:$AD$2004,0)))</f>
        <v/>
      </c>
      <c r="R318" s="9">
        <f>IF($K318="","",INDEX('سجل التحفيز'!$F$5:$F$2004,MATCH($K318,'سجل التحفيز'!$AD$5:$AD$2004,0)))</f>
        <v/>
      </c>
      <c r="S318" s="35">
        <f>IF($K318="","",INDEX('سجل التحفيز'!$G$5:$G$2004,MATCH($K318,'سجل التحفيز'!$AD$5:$AD$2004,0)))</f>
        <v/>
      </c>
    </row>
    <row r="319">
      <c r="K319" s="36">
        <f>IF(282&gt;$B$10,"",282)</f>
        <v/>
      </c>
      <c r="L319" s="37">
        <f>IF($K319="","",INDEX('سجل التحفيز'!$A$5:$A$2004,MATCH($K319,'سجل التحفيز'!$AD$5:$AD$2004,0)))</f>
        <v/>
      </c>
      <c r="M319" s="9">
        <f>IF($K319="","",INDEX('سجل التحفيز'!$B$5:$B$2004,MATCH($K319,'سجل التحفيز'!$AD$5:$AD$2004,0)))</f>
        <v/>
      </c>
      <c r="N319" s="9">
        <f>IF($K319="","",INDEX('سجل التحفيز'!$M$5:$M$2004,MATCH($K319,'سجل التحفيز'!$AD$5:$AD$2004,0)))</f>
        <v/>
      </c>
      <c r="O319" s="9">
        <f>IF($K319="","",INDEX('سجل التحفيز'!$C$5:$C$2004,MATCH($K319,'سجل التحفيز'!$AD$5:$AD$2004,0)))</f>
        <v/>
      </c>
      <c r="P319" s="36">
        <f>IF($K319="","",INDEX('سجل التحفيز'!$D$5:$D$2004,MATCH($K319,'سجل التحفيز'!$AD$5:$AD$2004,0)))</f>
        <v/>
      </c>
      <c r="Q319" s="9">
        <f>IF($K319="","",INDEX('سجل التحفيز'!$E$5:$E$2004,MATCH($K319,'سجل التحفيز'!$AD$5:$AD$2004,0)))</f>
        <v/>
      </c>
      <c r="R319" s="9">
        <f>IF($K319="","",INDEX('سجل التحفيز'!$F$5:$F$2004,MATCH($K319,'سجل التحفيز'!$AD$5:$AD$2004,0)))</f>
        <v/>
      </c>
      <c r="S319" s="35">
        <f>IF($K319="","",INDEX('سجل التحفيز'!$G$5:$G$2004,MATCH($K319,'سجل التحفيز'!$AD$5:$AD$2004,0)))</f>
        <v/>
      </c>
    </row>
    <row r="320">
      <c r="K320" s="36">
        <f>IF(283&gt;$B$10,"",283)</f>
        <v/>
      </c>
      <c r="L320" s="37">
        <f>IF($K320="","",INDEX('سجل التحفيز'!$A$5:$A$2004,MATCH($K320,'سجل التحفيز'!$AD$5:$AD$2004,0)))</f>
        <v/>
      </c>
      <c r="M320" s="9">
        <f>IF($K320="","",INDEX('سجل التحفيز'!$B$5:$B$2004,MATCH($K320,'سجل التحفيز'!$AD$5:$AD$2004,0)))</f>
        <v/>
      </c>
      <c r="N320" s="9">
        <f>IF($K320="","",INDEX('سجل التحفيز'!$M$5:$M$2004,MATCH($K320,'سجل التحفيز'!$AD$5:$AD$2004,0)))</f>
        <v/>
      </c>
      <c r="O320" s="9">
        <f>IF($K320="","",INDEX('سجل التحفيز'!$C$5:$C$2004,MATCH($K320,'سجل التحفيز'!$AD$5:$AD$2004,0)))</f>
        <v/>
      </c>
      <c r="P320" s="36">
        <f>IF($K320="","",INDEX('سجل التحفيز'!$D$5:$D$2004,MATCH($K320,'سجل التحفيز'!$AD$5:$AD$2004,0)))</f>
        <v/>
      </c>
      <c r="Q320" s="9">
        <f>IF($K320="","",INDEX('سجل التحفيز'!$E$5:$E$2004,MATCH($K320,'سجل التحفيز'!$AD$5:$AD$2004,0)))</f>
        <v/>
      </c>
      <c r="R320" s="9">
        <f>IF($K320="","",INDEX('سجل التحفيز'!$F$5:$F$2004,MATCH($K320,'سجل التحفيز'!$AD$5:$AD$2004,0)))</f>
        <v/>
      </c>
      <c r="S320" s="35">
        <f>IF($K320="","",INDEX('سجل التحفيز'!$G$5:$G$2004,MATCH($K320,'سجل التحفيز'!$AD$5:$AD$2004,0)))</f>
        <v/>
      </c>
    </row>
    <row r="321">
      <c r="K321" s="36">
        <f>IF(284&gt;$B$10,"",284)</f>
        <v/>
      </c>
      <c r="L321" s="37">
        <f>IF($K321="","",INDEX('سجل التحفيز'!$A$5:$A$2004,MATCH($K321,'سجل التحفيز'!$AD$5:$AD$2004,0)))</f>
        <v/>
      </c>
      <c r="M321" s="9">
        <f>IF($K321="","",INDEX('سجل التحفيز'!$B$5:$B$2004,MATCH($K321,'سجل التحفيز'!$AD$5:$AD$2004,0)))</f>
        <v/>
      </c>
      <c r="N321" s="9">
        <f>IF($K321="","",INDEX('سجل التحفيز'!$M$5:$M$2004,MATCH($K321,'سجل التحفيز'!$AD$5:$AD$2004,0)))</f>
        <v/>
      </c>
      <c r="O321" s="9">
        <f>IF($K321="","",INDEX('سجل التحفيز'!$C$5:$C$2004,MATCH($K321,'سجل التحفيز'!$AD$5:$AD$2004,0)))</f>
        <v/>
      </c>
      <c r="P321" s="36">
        <f>IF($K321="","",INDEX('سجل التحفيز'!$D$5:$D$2004,MATCH($K321,'سجل التحفيز'!$AD$5:$AD$2004,0)))</f>
        <v/>
      </c>
      <c r="Q321" s="9">
        <f>IF($K321="","",INDEX('سجل التحفيز'!$E$5:$E$2004,MATCH($K321,'سجل التحفيز'!$AD$5:$AD$2004,0)))</f>
        <v/>
      </c>
      <c r="R321" s="9">
        <f>IF($K321="","",INDEX('سجل التحفيز'!$F$5:$F$2004,MATCH($K321,'سجل التحفيز'!$AD$5:$AD$2004,0)))</f>
        <v/>
      </c>
      <c r="S321" s="35">
        <f>IF($K321="","",INDEX('سجل التحفيز'!$G$5:$G$2004,MATCH($K321,'سجل التحفيز'!$AD$5:$AD$2004,0)))</f>
        <v/>
      </c>
    </row>
    <row r="322">
      <c r="K322" s="36">
        <f>IF(285&gt;$B$10,"",285)</f>
        <v/>
      </c>
      <c r="L322" s="37">
        <f>IF($K322="","",INDEX('سجل التحفيز'!$A$5:$A$2004,MATCH($K322,'سجل التحفيز'!$AD$5:$AD$2004,0)))</f>
        <v/>
      </c>
      <c r="M322" s="9">
        <f>IF($K322="","",INDEX('سجل التحفيز'!$B$5:$B$2004,MATCH($K322,'سجل التحفيز'!$AD$5:$AD$2004,0)))</f>
        <v/>
      </c>
      <c r="N322" s="9">
        <f>IF($K322="","",INDEX('سجل التحفيز'!$M$5:$M$2004,MATCH($K322,'سجل التحفيز'!$AD$5:$AD$2004,0)))</f>
        <v/>
      </c>
      <c r="O322" s="9">
        <f>IF($K322="","",INDEX('سجل التحفيز'!$C$5:$C$2004,MATCH($K322,'سجل التحفيز'!$AD$5:$AD$2004,0)))</f>
        <v/>
      </c>
      <c r="P322" s="36">
        <f>IF($K322="","",INDEX('سجل التحفيز'!$D$5:$D$2004,MATCH($K322,'سجل التحفيز'!$AD$5:$AD$2004,0)))</f>
        <v/>
      </c>
      <c r="Q322" s="9">
        <f>IF($K322="","",INDEX('سجل التحفيز'!$E$5:$E$2004,MATCH($K322,'سجل التحفيز'!$AD$5:$AD$2004,0)))</f>
        <v/>
      </c>
      <c r="R322" s="9">
        <f>IF($K322="","",INDEX('سجل التحفيز'!$F$5:$F$2004,MATCH($K322,'سجل التحفيز'!$AD$5:$AD$2004,0)))</f>
        <v/>
      </c>
      <c r="S322" s="35">
        <f>IF($K322="","",INDEX('سجل التحفيز'!$G$5:$G$2004,MATCH($K322,'سجل التحفيز'!$AD$5:$AD$2004,0)))</f>
        <v/>
      </c>
    </row>
    <row r="323">
      <c r="K323" s="36">
        <f>IF(286&gt;$B$10,"",286)</f>
        <v/>
      </c>
      <c r="L323" s="37">
        <f>IF($K323="","",INDEX('سجل التحفيز'!$A$5:$A$2004,MATCH($K323,'سجل التحفيز'!$AD$5:$AD$2004,0)))</f>
        <v/>
      </c>
      <c r="M323" s="9">
        <f>IF($K323="","",INDEX('سجل التحفيز'!$B$5:$B$2004,MATCH($K323,'سجل التحفيز'!$AD$5:$AD$2004,0)))</f>
        <v/>
      </c>
      <c r="N323" s="9">
        <f>IF($K323="","",INDEX('سجل التحفيز'!$M$5:$M$2004,MATCH($K323,'سجل التحفيز'!$AD$5:$AD$2004,0)))</f>
        <v/>
      </c>
      <c r="O323" s="9">
        <f>IF($K323="","",INDEX('سجل التحفيز'!$C$5:$C$2004,MATCH($K323,'سجل التحفيز'!$AD$5:$AD$2004,0)))</f>
        <v/>
      </c>
      <c r="P323" s="36">
        <f>IF($K323="","",INDEX('سجل التحفيز'!$D$5:$D$2004,MATCH($K323,'سجل التحفيز'!$AD$5:$AD$2004,0)))</f>
        <v/>
      </c>
      <c r="Q323" s="9">
        <f>IF($K323="","",INDEX('سجل التحفيز'!$E$5:$E$2004,MATCH($K323,'سجل التحفيز'!$AD$5:$AD$2004,0)))</f>
        <v/>
      </c>
      <c r="R323" s="9">
        <f>IF($K323="","",INDEX('سجل التحفيز'!$F$5:$F$2004,MATCH($K323,'سجل التحفيز'!$AD$5:$AD$2004,0)))</f>
        <v/>
      </c>
      <c r="S323" s="35">
        <f>IF($K323="","",INDEX('سجل التحفيز'!$G$5:$G$2004,MATCH($K323,'سجل التحفيز'!$AD$5:$AD$2004,0)))</f>
        <v/>
      </c>
    </row>
    <row r="324">
      <c r="K324" s="36">
        <f>IF(287&gt;$B$10,"",287)</f>
        <v/>
      </c>
      <c r="L324" s="37">
        <f>IF($K324="","",INDEX('سجل التحفيز'!$A$5:$A$2004,MATCH($K324,'سجل التحفيز'!$AD$5:$AD$2004,0)))</f>
        <v/>
      </c>
      <c r="M324" s="9">
        <f>IF($K324="","",INDEX('سجل التحفيز'!$B$5:$B$2004,MATCH($K324,'سجل التحفيز'!$AD$5:$AD$2004,0)))</f>
        <v/>
      </c>
      <c r="N324" s="9">
        <f>IF($K324="","",INDEX('سجل التحفيز'!$M$5:$M$2004,MATCH($K324,'سجل التحفيز'!$AD$5:$AD$2004,0)))</f>
        <v/>
      </c>
      <c r="O324" s="9">
        <f>IF($K324="","",INDEX('سجل التحفيز'!$C$5:$C$2004,MATCH($K324,'سجل التحفيز'!$AD$5:$AD$2004,0)))</f>
        <v/>
      </c>
      <c r="P324" s="36">
        <f>IF($K324="","",INDEX('سجل التحفيز'!$D$5:$D$2004,MATCH($K324,'سجل التحفيز'!$AD$5:$AD$2004,0)))</f>
        <v/>
      </c>
      <c r="Q324" s="9">
        <f>IF($K324="","",INDEX('سجل التحفيز'!$E$5:$E$2004,MATCH($K324,'سجل التحفيز'!$AD$5:$AD$2004,0)))</f>
        <v/>
      </c>
      <c r="R324" s="9">
        <f>IF($K324="","",INDEX('سجل التحفيز'!$F$5:$F$2004,MATCH($K324,'سجل التحفيز'!$AD$5:$AD$2004,0)))</f>
        <v/>
      </c>
      <c r="S324" s="35">
        <f>IF($K324="","",INDEX('سجل التحفيز'!$G$5:$G$2004,MATCH($K324,'سجل التحفيز'!$AD$5:$AD$2004,0)))</f>
        <v/>
      </c>
    </row>
    <row r="325">
      <c r="K325" s="36">
        <f>IF(288&gt;$B$10,"",288)</f>
        <v/>
      </c>
      <c r="L325" s="37">
        <f>IF($K325="","",INDEX('سجل التحفيز'!$A$5:$A$2004,MATCH($K325,'سجل التحفيز'!$AD$5:$AD$2004,0)))</f>
        <v/>
      </c>
      <c r="M325" s="9">
        <f>IF($K325="","",INDEX('سجل التحفيز'!$B$5:$B$2004,MATCH($K325,'سجل التحفيز'!$AD$5:$AD$2004,0)))</f>
        <v/>
      </c>
      <c r="N325" s="9">
        <f>IF($K325="","",INDEX('سجل التحفيز'!$M$5:$M$2004,MATCH($K325,'سجل التحفيز'!$AD$5:$AD$2004,0)))</f>
        <v/>
      </c>
      <c r="O325" s="9">
        <f>IF($K325="","",INDEX('سجل التحفيز'!$C$5:$C$2004,MATCH($K325,'سجل التحفيز'!$AD$5:$AD$2004,0)))</f>
        <v/>
      </c>
      <c r="P325" s="36">
        <f>IF($K325="","",INDEX('سجل التحفيز'!$D$5:$D$2004,MATCH($K325,'سجل التحفيز'!$AD$5:$AD$2004,0)))</f>
        <v/>
      </c>
      <c r="Q325" s="9">
        <f>IF($K325="","",INDEX('سجل التحفيز'!$E$5:$E$2004,MATCH($K325,'سجل التحفيز'!$AD$5:$AD$2004,0)))</f>
        <v/>
      </c>
      <c r="R325" s="9">
        <f>IF($K325="","",INDEX('سجل التحفيز'!$F$5:$F$2004,MATCH($K325,'سجل التحفيز'!$AD$5:$AD$2004,0)))</f>
        <v/>
      </c>
      <c r="S325" s="35">
        <f>IF($K325="","",INDEX('سجل التحفيز'!$G$5:$G$2004,MATCH($K325,'سجل التحفيز'!$AD$5:$AD$2004,0)))</f>
        <v/>
      </c>
    </row>
    <row r="326">
      <c r="K326" s="36">
        <f>IF(289&gt;$B$10,"",289)</f>
        <v/>
      </c>
      <c r="L326" s="37">
        <f>IF($K326="","",INDEX('سجل التحفيز'!$A$5:$A$2004,MATCH($K326,'سجل التحفيز'!$AD$5:$AD$2004,0)))</f>
        <v/>
      </c>
      <c r="M326" s="9">
        <f>IF($K326="","",INDEX('سجل التحفيز'!$B$5:$B$2004,MATCH($K326,'سجل التحفيز'!$AD$5:$AD$2004,0)))</f>
        <v/>
      </c>
      <c r="N326" s="9">
        <f>IF($K326="","",INDEX('سجل التحفيز'!$M$5:$M$2004,MATCH($K326,'سجل التحفيز'!$AD$5:$AD$2004,0)))</f>
        <v/>
      </c>
      <c r="O326" s="9">
        <f>IF($K326="","",INDEX('سجل التحفيز'!$C$5:$C$2004,MATCH($K326,'سجل التحفيز'!$AD$5:$AD$2004,0)))</f>
        <v/>
      </c>
      <c r="P326" s="36">
        <f>IF($K326="","",INDEX('سجل التحفيز'!$D$5:$D$2004,MATCH($K326,'سجل التحفيز'!$AD$5:$AD$2004,0)))</f>
        <v/>
      </c>
      <c r="Q326" s="9">
        <f>IF($K326="","",INDEX('سجل التحفيز'!$E$5:$E$2004,MATCH($K326,'سجل التحفيز'!$AD$5:$AD$2004,0)))</f>
        <v/>
      </c>
      <c r="R326" s="9">
        <f>IF($K326="","",INDEX('سجل التحفيز'!$F$5:$F$2004,MATCH($K326,'سجل التحفيز'!$AD$5:$AD$2004,0)))</f>
        <v/>
      </c>
      <c r="S326" s="35">
        <f>IF($K326="","",INDEX('سجل التحفيز'!$G$5:$G$2004,MATCH($K326,'سجل التحفيز'!$AD$5:$AD$2004,0)))</f>
        <v/>
      </c>
    </row>
    <row r="327">
      <c r="K327" s="36">
        <f>IF(290&gt;$B$10,"",290)</f>
        <v/>
      </c>
      <c r="L327" s="37">
        <f>IF($K327="","",INDEX('سجل التحفيز'!$A$5:$A$2004,MATCH($K327,'سجل التحفيز'!$AD$5:$AD$2004,0)))</f>
        <v/>
      </c>
      <c r="M327" s="9">
        <f>IF($K327="","",INDEX('سجل التحفيز'!$B$5:$B$2004,MATCH($K327,'سجل التحفيز'!$AD$5:$AD$2004,0)))</f>
        <v/>
      </c>
      <c r="N327" s="9">
        <f>IF($K327="","",INDEX('سجل التحفيز'!$M$5:$M$2004,MATCH($K327,'سجل التحفيز'!$AD$5:$AD$2004,0)))</f>
        <v/>
      </c>
      <c r="O327" s="9">
        <f>IF($K327="","",INDEX('سجل التحفيز'!$C$5:$C$2004,MATCH($K327,'سجل التحفيز'!$AD$5:$AD$2004,0)))</f>
        <v/>
      </c>
      <c r="P327" s="36">
        <f>IF($K327="","",INDEX('سجل التحفيز'!$D$5:$D$2004,MATCH($K327,'سجل التحفيز'!$AD$5:$AD$2004,0)))</f>
        <v/>
      </c>
      <c r="Q327" s="9">
        <f>IF($K327="","",INDEX('سجل التحفيز'!$E$5:$E$2004,MATCH($K327,'سجل التحفيز'!$AD$5:$AD$2004,0)))</f>
        <v/>
      </c>
      <c r="R327" s="9">
        <f>IF($K327="","",INDEX('سجل التحفيز'!$F$5:$F$2004,MATCH($K327,'سجل التحفيز'!$AD$5:$AD$2004,0)))</f>
        <v/>
      </c>
      <c r="S327" s="35">
        <f>IF($K327="","",INDEX('سجل التحفيز'!$G$5:$G$2004,MATCH($K327,'سجل التحفيز'!$AD$5:$AD$2004,0)))</f>
        <v/>
      </c>
    </row>
    <row r="328">
      <c r="K328" s="36">
        <f>IF(291&gt;$B$10,"",291)</f>
        <v/>
      </c>
      <c r="L328" s="37">
        <f>IF($K328="","",INDEX('سجل التحفيز'!$A$5:$A$2004,MATCH($K328,'سجل التحفيز'!$AD$5:$AD$2004,0)))</f>
        <v/>
      </c>
      <c r="M328" s="9">
        <f>IF($K328="","",INDEX('سجل التحفيز'!$B$5:$B$2004,MATCH($K328,'سجل التحفيز'!$AD$5:$AD$2004,0)))</f>
        <v/>
      </c>
      <c r="N328" s="9">
        <f>IF($K328="","",INDEX('سجل التحفيز'!$M$5:$M$2004,MATCH($K328,'سجل التحفيز'!$AD$5:$AD$2004,0)))</f>
        <v/>
      </c>
      <c r="O328" s="9">
        <f>IF($K328="","",INDEX('سجل التحفيز'!$C$5:$C$2004,MATCH($K328,'سجل التحفيز'!$AD$5:$AD$2004,0)))</f>
        <v/>
      </c>
      <c r="P328" s="36">
        <f>IF($K328="","",INDEX('سجل التحفيز'!$D$5:$D$2004,MATCH($K328,'سجل التحفيز'!$AD$5:$AD$2004,0)))</f>
        <v/>
      </c>
      <c r="Q328" s="9">
        <f>IF($K328="","",INDEX('سجل التحفيز'!$E$5:$E$2004,MATCH($K328,'سجل التحفيز'!$AD$5:$AD$2004,0)))</f>
        <v/>
      </c>
      <c r="R328" s="9">
        <f>IF($K328="","",INDEX('سجل التحفيز'!$F$5:$F$2004,MATCH($K328,'سجل التحفيز'!$AD$5:$AD$2004,0)))</f>
        <v/>
      </c>
      <c r="S328" s="35">
        <f>IF($K328="","",INDEX('سجل التحفيز'!$G$5:$G$2004,MATCH($K328,'سجل التحفيز'!$AD$5:$AD$2004,0)))</f>
        <v/>
      </c>
    </row>
    <row r="329">
      <c r="K329" s="36">
        <f>IF(292&gt;$B$10,"",292)</f>
        <v/>
      </c>
      <c r="L329" s="37">
        <f>IF($K329="","",INDEX('سجل التحفيز'!$A$5:$A$2004,MATCH($K329,'سجل التحفيز'!$AD$5:$AD$2004,0)))</f>
        <v/>
      </c>
      <c r="M329" s="9">
        <f>IF($K329="","",INDEX('سجل التحفيز'!$B$5:$B$2004,MATCH($K329,'سجل التحفيز'!$AD$5:$AD$2004,0)))</f>
        <v/>
      </c>
      <c r="N329" s="9">
        <f>IF($K329="","",INDEX('سجل التحفيز'!$M$5:$M$2004,MATCH($K329,'سجل التحفيز'!$AD$5:$AD$2004,0)))</f>
        <v/>
      </c>
      <c r="O329" s="9">
        <f>IF($K329="","",INDEX('سجل التحفيز'!$C$5:$C$2004,MATCH($K329,'سجل التحفيز'!$AD$5:$AD$2004,0)))</f>
        <v/>
      </c>
      <c r="P329" s="36">
        <f>IF($K329="","",INDEX('سجل التحفيز'!$D$5:$D$2004,MATCH($K329,'سجل التحفيز'!$AD$5:$AD$2004,0)))</f>
        <v/>
      </c>
      <c r="Q329" s="9">
        <f>IF($K329="","",INDEX('سجل التحفيز'!$E$5:$E$2004,MATCH($K329,'سجل التحفيز'!$AD$5:$AD$2004,0)))</f>
        <v/>
      </c>
      <c r="R329" s="9">
        <f>IF($K329="","",INDEX('سجل التحفيز'!$F$5:$F$2004,MATCH($K329,'سجل التحفيز'!$AD$5:$AD$2004,0)))</f>
        <v/>
      </c>
      <c r="S329" s="35">
        <f>IF($K329="","",INDEX('سجل التحفيز'!$G$5:$G$2004,MATCH($K329,'سجل التحفيز'!$AD$5:$AD$2004,0)))</f>
        <v/>
      </c>
    </row>
    <row r="330">
      <c r="K330" s="36">
        <f>IF(293&gt;$B$10,"",293)</f>
        <v/>
      </c>
      <c r="L330" s="37">
        <f>IF($K330="","",INDEX('سجل التحفيز'!$A$5:$A$2004,MATCH($K330,'سجل التحفيز'!$AD$5:$AD$2004,0)))</f>
        <v/>
      </c>
      <c r="M330" s="9">
        <f>IF($K330="","",INDEX('سجل التحفيز'!$B$5:$B$2004,MATCH($K330,'سجل التحفيز'!$AD$5:$AD$2004,0)))</f>
        <v/>
      </c>
      <c r="N330" s="9">
        <f>IF($K330="","",INDEX('سجل التحفيز'!$M$5:$M$2004,MATCH($K330,'سجل التحفيز'!$AD$5:$AD$2004,0)))</f>
        <v/>
      </c>
      <c r="O330" s="9">
        <f>IF($K330="","",INDEX('سجل التحفيز'!$C$5:$C$2004,MATCH($K330,'سجل التحفيز'!$AD$5:$AD$2004,0)))</f>
        <v/>
      </c>
      <c r="P330" s="36">
        <f>IF($K330="","",INDEX('سجل التحفيز'!$D$5:$D$2004,MATCH($K330,'سجل التحفيز'!$AD$5:$AD$2004,0)))</f>
        <v/>
      </c>
      <c r="Q330" s="9">
        <f>IF($K330="","",INDEX('سجل التحفيز'!$E$5:$E$2004,MATCH($K330,'سجل التحفيز'!$AD$5:$AD$2004,0)))</f>
        <v/>
      </c>
      <c r="R330" s="9">
        <f>IF($K330="","",INDEX('سجل التحفيز'!$F$5:$F$2004,MATCH($K330,'سجل التحفيز'!$AD$5:$AD$2004,0)))</f>
        <v/>
      </c>
      <c r="S330" s="35">
        <f>IF($K330="","",INDEX('سجل التحفيز'!$G$5:$G$2004,MATCH($K330,'سجل التحفيز'!$AD$5:$AD$2004,0)))</f>
        <v/>
      </c>
    </row>
    <row r="331">
      <c r="K331" s="36">
        <f>IF(294&gt;$B$10,"",294)</f>
        <v/>
      </c>
      <c r="L331" s="37">
        <f>IF($K331="","",INDEX('سجل التحفيز'!$A$5:$A$2004,MATCH($K331,'سجل التحفيز'!$AD$5:$AD$2004,0)))</f>
        <v/>
      </c>
      <c r="M331" s="9">
        <f>IF($K331="","",INDEX('سجل التحفيز'!$B$5:$B$2004,MATCH($K331,'سجل التحفيز'!$AD$5:$AD$2004,0)))</f>
        <v/>
      </c>
      <c r="N331" s="9">
        <f>IF($K331="","",INDEX('سجل التحفيز'!$M$5:$M$2004,MATCH($K331,'سجل التحفيز'!$AD$5:$AD$2004,0)))</f>
        <v/>
      </c>
      <c r="O331" s="9">
        <f>IF($K331="","",INDEX('سجل التحفيز'!$C$5:$C$2004,MATCH($K331,'سجل التحفيز'!$AD$5:$AD$2004,0)))</f>
        <v/>
      </c>
      <c r="P331" s="36">
        <f>IF($K331="","",INDEX('سجل التحفيز'!$D$5:$D$2004,MATCH($K331,'سجل التحفيز'!$AD$5:$AD$2004,0)))</f>
        <v/>
      </c>
      <c r="Q331" s="9">
        <f>IF($K331="","",INDEX('سجل التحفيز'!$E$5:$E$2004,MATCH($K331,'سجل التحفيز'!$AD$5:$AD$2004,0)))</f>
        <v/>
      </c>
      <c r="R331" s="9">
        <f>IF($K331="","",INDEX('سجل التحفيز'!$F$5:$F$2004,MATCH($K331,'سجل التحفيز'!$AD$5:$AD$2004,0)))</f>
        <v/>
      </c>
      <c r="S331" s="35">
        <f>IF($K331="","",INDEX('سجل التحفيز'!$G$5:$G$2004,MATCH($K331,'سجل التحفيز'!$AD$5:$AD$2004,0)))</f>
        <v/>
      </c>
    </row>
    <row r="332">
      <c r="K332" s="36">
        <f>IF(295&gt;$B$10,"",295)</f>
        <v/>
      </c>
      <c r="L332" s="37">
        <f>IF($K332="","",INDEX('سجل التحفيز'!$A$5:$A$2004,MATCH($K332,'سجل التحفيز'!$AD$5:$AD$2004,0)))</f>
        <v/>
      </c>
      <c r="M332" s="9">
        <f>IF($K332="","",INDEX('سجل التحفيز'!$B$5:$B$2004,MATCH($K332,'سجل التحفيز'!$AD$5:$AD$2004,0)))</f>
        <v/>
      </c>
      <c r="N332" s="9">
        <f>IF($K332="","",INDEX('سجل التحفيز'!$M$5:$M$2004,MATCH($K332,'سجل التحفيز'!$AD$5:$AD$2004,0)))</f>
        <v/>
      </c>
      <c r="O332" s="9">
        <f>IF($K332="","",INDEX('سجل التحفيز'!$C$5:$C$2004,MATCH($K332,'سجل التحفيز'!$AD$5:$AD$2004,0)))</f>
        <v/>
      </c>
      <c r="P332" s="36">
        <f>IF($K332="","",INDEX('سجل التحفيز'!$D$5:$D$2004,MATCH($K332,'سجل التحفيز'!$AD$5:$AD$2004,0)))</f>
        <v/>
      </c>
      <c r="Q332" s="9">
        <f>IF($K332="","",INDEX('سجل التحفيز'!$E$5:$E$2004,MATCH($K332,'سجل التحفيز'!$AD$5:$AD$2004,0)))</f>
        <v/>
      </c>
      <c r="R332" s="9">
        <f>IF($K332="","",INDEX('سجل التحفيز'!$F$5:$F$2004,MATCH($K332,'سجل التحفيز'!$AD$5:$AD$2004,0)))</f>
        <v/>
      </c>
      <c r="S332" s="35">
        <f>IF($K332="","",INDEX('سجل التحفيز'!$G$5:$G$2004,MATCH($K332,'سجل التحفيز'!$AD$5:$AD$2004,0)))</f>
        <v/>
      </c>
    </row>
    <row r="333">
      <c r="K333" s="36">
        <f>IF(296&gt;$B$10,"",296)</f>
        <v/>
      </c>
      <c r="L333" s="37">
        <f>IF($K333="","",INDEX('سجل التحفيز'!$A$5:$A$2004,MATCH($K333,'سجل التحفيز'!$AD$5:$AD$2004,0)))</f>
        <v/>
      </c>
      <c r="M333" s="9">
        <f>IF($K333="","",INDEX('سجل التحفيز'!$B$5:$B$2004,MATCH($K333,'سجل التحفيز'!$AD$5:$AD$2004,0)))</f>
        <v/>
      </c>
      <c r="N333" s="9">
        <f>IF($K333="","",INDEX('سجل التحفيز'!$M$5:$M$2004,MATCH($K333,'سجل التحفيز'!$AD$5:$AD$2004,0)))</f>
        <v/>
      </c>
      <c r="O333" s="9">
        <f>IF($K333="","",INDEX('سجل التحفيز'!$C$5:$C$2004,MATCH($K333,'سجل التحفيز'!$AD$5:$AD$2004,0)))</f>
        <v/>
      </c>
      <c r="P333" s="36">
        <f>IF($K333="","",INDEX('سجل التحفيز'!$D$5:$D$2004,MATCH($K333,'سجل التحفيز'!$AD$5:$AD$2004,0)))</f>
        <v/>
      </c>
      <c r="Q333" s="9">
        <f>IF($K333="","",INDEX('سجل التحفيز'!$E$5:$E$2004,MATCH($K333,'سجل التحفيز'!$AD$5:$AD$2004,0)))</f>
        <v/>
      </c>
      <c r="R333" s="9">
        <f>IF($K333="","",INDEX('سجل التحفيز'!$F$5:$F$2004,MATCH($K333,'سجل التحفيز'!$AD$5:$AD$2004,0)))</f>
        <v/>
      </c>
      <c r="S333" s="35">
        <f>IF($K333="","",INDEX('سجل التحفيز'!$G$5:$G$2004,MATCH($K333,'سجل التحفيز'!$AD$5:$AD$2004,0)))</f>
        <v/>
      </c>
    </row>
    <row r="334">
      <c r="K334" s="36">
        <f>IF(297&gt;$B$10,"",297)</f>
        <v/>
      </c>
      <c r="L334" s="37">
        <f>IF($K334="","",INDEX('سجل التحفيز'!$A$5:$A$2004,MATCH($K334,'سجل التحفيز'!$AD$5:$AD$2004,0)))</f>
        <v/>
      </c>
      <c r="M334" s="9">
        <f>IF($K334="","",INDEX('سجل التحفيز'!$B$5:$B$2004,MATCH($K334,'سجل التحفيز'!$AD$5:$AD$2004,0)))</f>
        <v/>
      </c>
      <c r="N334" s="9">
        <f>IF($K334="","",INDEX('سجل التحفيز'!$M$5:$M$2004,MATCH($K334,'سجل التحفيز'!$AD$5:$AD$2004,0)))</f>
        <v/>
      </c>
      <c r="O334" s="9">
        <f>IF($K334="","",INDEX('سجل التحفيز'!$C$5:$C$2004,MATCH($K334,'سجل التحفيز'!$AD$5:$AD$2004,0)))</f>
        <v/>
      </c>
      <c r="P334" s="36">
        <f>IF($K334="","",INDEX('سجل التحفيز'!$D$5:$D$2004,MATCH($K334,'سجل التحفيز'!$AD$5:$AD$2004,0)))</f>
        <v/>
      </c>
      <c r="Q334" s="9">
        <f>IF($K334="","",INDEX('سجل التحفيز'!$E$5:$E$2004,MATCH($K334,'سجل التحفيز'!$AD$5:$AD$2004,0)))</f>
        <v/>
      </c>
      <c r="R334" s="9">
        <f>IF($K334="","",INDEX('سجل التحفيز'!$F$5:$F$2004,MATCH($K334,'سجل التحفيز'!$AD$5:$AD$2004,0)))</f>
        <v/>
      </c>
      <c r="S334" s="35">
        <f>IF($K334="","",INDEX('سجل التحفيز'!$G$5:$G$2004,MATCH($K334,'سجل التحفيز'!$AD$5:$AD$2004,0)))</f>
        <v/>
      </c>
    </row>
    <row r="335">
      <c r="K335" s="36">
        <f>IF(298&gt;$B$10,"",298)</f>
        <v/>
      </c>
      <c r="L335" s="37">
        <f>IF($K335="","",INDEX('سجل التحفيز'!$A$5:$A$2004,MATCH($K335,'سجل التحفيز'!$AD$5:$AD$2004,0)))</f>
        <v/>
      </c>
      <c r="M335" s="9">
        <f>IF($K335="","",INDEX('سجل التحفيز'!$B$5:$B$2004,MATCH($K335,'سجل التحفيز'!$AD$5:$AD$2004,0)))</f>
        <v/>
      </c>
      <c r="N335" s="9">
        <f>IF($K335="","",INDEX('سجل التحفيز'!$M$5:$M$2004,MATCH($K335,'سجل التحفيز'!$AD$5:$AD$2004,0)))</f>
        <v/>
      </c>
      <c r="O335" s="9">
        <f>IF($K335="","",INDEX('سجل التحفيز'!$C$5:$C$2004,MATCH($K335,'سجل التحفيز'!$AD$5:$AD$2004,0)))</f>
        <v/>
      </c>
      <c r="P335" s="36">
        <f>IF($K335="","",INDEX('سجل التحفيز'!$D$5:$D$2004,MATCH($K335,'سجل التحفيز'!$AD$5:$AD$2004,0)))</f>
        <v/>
      </c>
      <c r="Q335" s="9">
        <f>IF($K335="","",INDEX('سجل التحفيز'!$E$5:$E$2004,MATCH($K335,'سجل التحفيز'!$AD$5:$AD$2004,0)))</f>
        <v/>
      </c>
      <c r="R335" s="9">
        <f>IF($K335="","",INDEX('سجل التحفيز'!$F$5:$F$2004,MATCH($K335,'سجل التحفيز'!$AD$5:$AD$2004,0)))</f>
        <v/>
      </c>
      <c r="S335" s="35">
        <f>IF($K335="","",INDEX('سجل التحفيز'!$G$5:$G$2004,MATCH($K335,'سجل التحفيز'!$AD$5:$AD$2004,0)))</f>
        <v/>
      </c>
    </row>
    <row r="336">
      <c r="K336" s="36">
        <f>IF(299&gt;$B$10,"",299)</f>
        <v/>
      </c>
      <c r="L336" s="37">
        <f>IF($K336="","",INDEX('سجل التحفيز'!$A$5:$A$2004,MATCH($K336,'سجل التحفيز'!$AD$5:$AD$2004,0)))</f>
        <v/>
      </c>
      <c r="M336" s="9">
        <f>IF($K336="","",INDEX('سجل التحفيز'!$B$5:$B$2004,MATCH($K336,'سجل التحفيز'!$AD$5:$AD$2004,0)))</f>
        <v/>
      </c>
      <c r="N336" s="9">
        <f>IF($K336="","",INDEX('سجل التحفيز'!$M$5:$M$2004,MATCH($K336,'سجل التحفيز'!$AD$5:$AD$2004,0)))</f>
        <v/>
      </c>
      <c r="O336" s="9">
        <f>IF($K336="","",INDEX('سجل التحفيز'!$C$5:$C$2004,MATCH($K336,'سجل التحفيز'!$AD$5:$AD$2004,0)))</f>
        <v/>
      </c>
      <c r="P336" s="36">
        <f>IF($K336="","",INDEX('سجل التحفيز'!$D$5:$D$2004,MATCH($K336,'سجل التحفيز'!$AD$5:$AD$2004,0)))</f>
        <v/>
      </c>
      <c r="Q336" s="9">
        <f>IF($K336="","",INDEX('سجل التحفيز'!$E$5:$E$2004,MATCH($K336,'سجل التحفيز'!$AD$5:$AD$2004,0)))</f>
        <v/>
      </c>
      <c r="R336" s="9">
        <f>IF($K336="","",INDEX('سجل التحفيز'!$F$5:$F$2004,MATCH($K336,'سجل التحفيز'!$AD$5:$AD$2004,0)))</f>
        <v/>
      </c>
      <c r="S336" s="35">
        <f>IF($K336="","",INDEX('سجل التحفيز'!$G$5:$G$2004,MATCH($K336,'سجل التحفيز'!$AD$5:$AD$2004,0)))</f>
        <v/>
      </c>
    </row>
    <row r="337">
      <c r="K337" s="36">
        <f>IF(300&gt;$B$10,"",300)</f>
        <v/>
      </c>
      <c r="L337" s="37">
        <f>IF($K337="","",INDEX('سجل التحفيز'!$A$5:$A$2004,MATCH($K337,'سجل التحفيز'!$AD$5:$AD$2004,0)))</f>
        <v/>
      </c>
      <c r="M337" s="9">
        <f>IF($K337="","",INDEX('سجل التحفيز'!$B$5:$B$2004,MATCH($K337,'سجل التحفيز'!$AD$5:$AD$2004,0)))</f>
        <v/>
      </c>
      <c r="N337" s="9">
        <f>IF($K337="","",INDEX('سجل التحفيز'!$M$5:$M$2004,MATCH($K337,'سجل التحفيز'!$AD$5:$AD$2004,0)))</f>
        <v/>
      </c>
      <c r="O337" s="9">
        <f>IF($K337="","",INDEX('سجل التحفيز'!$C$5:$C$2004,MATCH($K337,'سجل التحفيز'!$AD$5:$AD$2004,0)))</f>
        <v/>
      </c>
      <c r="P337" s="36">
        <f>IF($K337="","",INDEX('سجل التحفيز'!$D$5:$D$2004,MATCH($K337,'سجل التحفيز'!$AD$5:$AD$2004,0)))</f>
        <v/>
      </c>
      <c r="Q337" s="9">
        <f>IF($K337="","",INDEX('سجل التحفيز'!$E$5:$E$2004,MATCH($K337,'سجل التحفيز'!$AD$5:$AD$2004,0)))</f>
        <v/>
      </c>
      <c r="R337" s="9">
        <f>IF($K337="","",INDEX('سجل التحفيز'!$F$5:$F$2004,MATCH($K337,'سجل التحفيز'!$AD$5:$AD$2004,0)))</f>
        <v/>
      </c>
      <c r="S337" s="35">
        <f>IF($K337="","",INDEX('سجل التحفيز'!$G$5:$G$2004,MATCH($K337,'سجل التحفيز'!$AD$5:$AD$2004,0)))</f>
        <v/>
      </c>
    </row>
    <row r="339">
      <c r="K339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38:H187">
    <cfRule type="expression" priority="1" dxfId="3">
      <formula>$B38&lt;&gt;""</formula>
    </cfRule>
    <cfRule type="expression" priority="2" dxfId="1">
      <formula>AND($B38&lt;&gt;"",$G38=1)</formula>
    </cfRule>
  </conditionalFormatting>
  <conditionalFormatting sqref="K38:S337">
    <cfRule type="expression" priority="3" dxfId="3">
      <formula>$K38&lt;&gt;""</formula>
    </cfRule>
    <cfRule type="expression" priority="4" dxfId="4">
      <formula>AND($K38&lt;&gt;"",$P38="ذهبي")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S33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التقرير الشهري — مايو</t>
        </is>
      </c>
    </row>
    <row r="2" ht="30" customHeight="1">
      <c r="A2" s="2" t="inlineStr">
        <is>
          <t>تقرير ثابت لهذا الشهر — للسنة الدراسية الحالية (الخلية C4).</t>
        </is>
      </c>
    </row>
    <row r="4">
      <c r="B4" s="22" t="inlineStr">
        <is>
          <t>السنة الدراسية</t>
        </is>
      </c>
      <c r="C4" s="23">
        <f>الإعدادات!$B$4</f>
        <v/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5" t="inlineStr">
        <is>
          <t>شهري</t>
        </is>
      </c>
    </row>
    <row r="6">
      <c r="B6" s="22" t="inlineStr">
        <is>
          <t>الشهر</t>
        </is>
      </c>
      <c r="C6" s="25" t="inlineStr">
        <is>
          <t>مايو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5" t="inlineStr">
        <is>
          <t>—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التحفيز'!$AE$5:$AE$2004)</f>
        <v/>
      </c>
      <c r="C10" s="28">
        <f>COUNT(الموظفات!$Y$5:$Y$304)</f>
        <v/>
      </c>
      <c r="D10" s="28">
        <f>COUNTIFS('سجل التحفيز'!$AE$5:$AE$2004,"&gt;0",'سجل التحفيز'!$D$5:$D$2004,"ذهبي")</f>
        <v/>
      </c>
      <c r="E10" s="28">
        <f>COUNTIFS('سجل التحفيز'!$AE$5:$AE$2004,"&gt;0",'سجل التحفيز'!$D$5:$D$2004,"أساسي")</f>
        <v/>
      </c>
      <c r="F10" s="28">
        <f>SUMIFS('سجل التحفيز'!$G$5:$G$2004,'سجل التحفيز'!$AE$5:$AE$2004,"&gt;0")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التحفيز'!$AE$5:$AE$2004,"&gt;0",'سجل التحفيز'!$C$5:$C$2004,B14,'سجل التحفيز'!$D$5:$D$2004,"أساسي")</f>
        <v/>
      </c>
      <c r="D14" s="31">
        <f>COUNTIFS('سجل التحفيز'!$AE$5:$AE$2004,"&gt;0",'سجل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التحفيز'!$AE$5:$AE$2004,"&gt;0",'سجل التحفيز'!$C$5:$C$2004,B14)</f>
        <v/>
      </c>
    </row>
    <row r="15">
      <c r="B15" s="30">
        <f>الإعدادات!A8</f>
        <v/>
      </c>
      <c r="C15" s="31">
        <f>COUNTIFS('سجل التحفيز'!$AE$5:$AE$2004,"&gt;0",'سجل التحفيز'!$C$5:$C$2004,B15,'سجل التحفيز'!$D$5:$D$2004,"أساسي")</f>
        <v/>
      </c>
      <c r="D15" s="31">
        <f>COUNTIFS('سجل التحفيز'!$AE$5:$AE$2004,"&gt;0",'سجل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التحفيز'!$AE$5:$AE$2004,"&gt;0",'سجل التحفيز'!$C$5:$C$2004,B15)</f>
        <v/>
      </c>
    </row>
    <row r="16">
      <c r="B16" s="30">
        <f>الإعدادات!A9</f>
        <v/>
      </c>
      <c r="C16" s="31">
        <f>COUNTIFS('سجل التحفيز'!$AE$5:$AE$2004,"&gt;0",'سجل التحفيز'!$C$5:$C$2004,B16,'سجل التحفيز'!$D$5:$D$2004,"أساسي")</f>
        <v/>
      </c>
      <c r="D16" s="31">
        <f>COUNTIFS('سجل التحفيز'!$AE$5:$AE$2004,"&gt;0",'سجل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التحفيز'!$AE$5:$AE$2004,"&gt;0",'سجل التحفيز'!$C$5:$C$2004,B16)</f>
        <v/>
      </c>
    </row>
    <row r="17">
      <c r="B17" s="30">
        <f>الإعدادات!A10</f>
        <v/>
      </c>
      <c r="C17" s="31">
        <f>COUNTIFS('سجل التحفيز'!$AE$5:$AE$2004,"&gt;0",'سجل التحفيز'!$C$5:$C$2004,B17,'سجل التحفيز'!$D$5:$D$2004,"أساسي")</f>
        <v/>
      </c>
      <c r="D17" s="31">
        <f>COUNTIFS('سجل التحفيز'!$AE$5:$AE$2004,"&gt;0",'سجل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التحفيز'!$AE$5:$AE$2004,"&gt;0",'سجل التحفيز'!$C$5:$C$2004,B17)</f>
        <v/>
      </c>
    </row>
    <row r="18">
      <c r="B18" s="30">
        <f>الإعدادات!A11</f>
        <v/>
      </c>
      <c r="C18" s="31">
        <f>COUNTIFS('سجل التحفيز'!$AE$5:$AE$2004,"&gt;0",'سجل التحفيز'!$C$5:$C$2004,B18,'سجل التحفيز'!$D$5:$D$2004,"أساسي")</f>
        <v/>
      </c>
      <c r="D18" s="31">
        <f>COUNTIFS('سجل التحفيز'!$AE$5:$AE$2004,"&gt;0",'سجل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التحفيز'!$AE$5:$AE$2004,"&gt;0",'سجل التحفيز'!$C$5:$C$2004,B18)</f>
        <v/>
      </c>
    </row>
    <row r="19">
      <c r="B19" s="30">
        <f>الإعدادات!A12</f>
        <v/>
      </c>
      <c r="C19" s="31">
        <f>COUNTIFS('سجل التحفيز'!$AE$5:$AE$2004,"&gt;0",'سجل التحفيز'!$C$5:$C$2004,B19,'سجل التحفيز'!$D$5:$D$2004,"أساسي")</f>
        <v/>
      </c>
      <c r="D19" s="31">
        <f>COUNTIFS('سجل التحفيز'!$AE$5:$AE$2004,"&gt;0",'سجل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التحفيز'!$AE$5:$AE$2004,"&gt;0",'سجل التحفيز'!$C$5:$C$2004,B19)</f>
        <v/>
      </c>
    </row>
    <row r="20">
      <c r="B20" s="30">
        <f>الإعدادات!A13</f>
        <v/>
      </c>
      <c r="C20" s="31">
        <f>COUNTIFS('سجل التحفيز'!$AE$5:$AE$2004,"&gt;0",'سجل التحفيز'!$C$5:$C$2004,B20,'سجل التحفيز'!$D$5:$D$2004,"أساسي")</f>
        <v/>
      </c>
      <c r="D20" s="31">
        <f>COUNTIFS('سجل التحفيز'!$AE$5:$AE$2004,"&gt;0",'سجل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التحفيز'!$AE$5:$AE$2004,"&gt;0",'سجل التحفيز'!$C$5:$C$2004,B20)</f>
        <v/>
      </c>
    </row>
    <row r="21">
      <c r="B21" s="30">
        <f>الإعدادات!A14</f>
        <v/>
      </c>
      <c r="C21" s="31">
        <f>COUNTIFS('سجل التحفيز'!$AE$5:$AE$2004,"&gt;0",'سجل التحفيز'!$C$5:$C$2004,B21,'سجل التحفيز'!$D$5:$D$2004,"أساسي")</f>
        <v/>
      </c>
      <c r="D21" s="31">
        <f>COUNTIFS('سجل التحفيز'!$AE$5:$AE$2004,"&gt;0",'سجل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التحفيز'!$AE$5:$AE$2004,"&gt;0",'سجل التحفيز'!$C$5:$C$2004,B21)</f>
        <v/>
      </c>
    </row>
    <row r="22">
      <c r="B22" s="30">
        <f>الإعدادات!A15</f>
        <v/>
      </c>
      <c r="C22" s="31">
        <f>COUNTIFS('سجل التحفيز'!$AE$5:$AE$2004,"&gt;0",'سجل التحفيز'!$C$5:$C$2004,B22,'سجل التحفيز'!$D$5:$D$2004,"أساسي")</f>
        <v/>
      </c>
      <c r="D22" s="31">
        <f>COUNTIFS('سجل التحفيز'!$AE$5:$AE$2004,"&gt;0",'سجل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التحفيز'!$AE$5:$AE$2004,"&gt;0",'سجل التحفيز'!$C$5:$C$2004,B22)</f>
        <v/>
      </c>
    </row>
    <row r="23">
      <c r="B23" s="30">
        <f>الإعدادات!A16</f>
        <v/>
      </c>
      <c r="C23" s="31">
        <f>COUNTIFS('سجل التحفيز'!$AE$5:$AE$2004,"&gt;0",'سجل التحفيز'!$C$5:$C$2004,B23,'سجل التحفيز'!$D$5:$D$2004,"أساسي")</f>
        <v/>
      </c>
      <c r="D23" s="31">
        <f>COUNTIFS('سجل التحفيز'!$AE$5:$AE$2004,"&gt;0",'سجل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التحفيز'!$AE$5:$AE$2004,"&gt;0",'سجل التحفيز'!$C$5:$C$2004,B23)</f>
        <v/>
      </c>
    </row>
    <row r="24">
      <c r="B24" s="30">
        <f>الإعدادات!A17</f>
        <v/>
      </c>
      <c r="C24" s="31">
        <f>COUNTIFS('سجل التحفيز'!$AE$5:$AE$2004,"&gt;0",'سجل التحفيز'!$C$5:$C$2004,B24,'سجل التحفيز'!$D$5:$D$2004,"أساسي")</f>
        <v/>
      </c>
      <c r="D24" s="31">
        <f>COUNTIFS('سجل التحفيز'!$AE$5:$AE$2004,"&gt;0",'سجل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التحفيز'!$AE$5:$AE$2004,"&gt;0",'سجل التحفيز'!$C$5:$C$2004,B24)</f>
        <v/>
      </c>
    </row>
    <row r="25">
      <c r="B25" s="30">
        <f>الإعدادات!A18</f>
        <v/>
      </c>
      <c r="C25" s="31">
        <f>COUNTIFS('سجل التحفيز'!$AE$5:$AE$2004,"&gt;0",'سجل التحفيز'!$C$5:$C$2004,B25,'سجل التحفيز'!$D$5:$D$2004,"أساسي")</f>
        <v/>
      </c>
      <c r="D25" s="31">
        <f>COUNTIFS('سجل التحفيز'!$AE$5:$AE$2004,"&gt;0",'سجل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التحفيز'!$AE$5:$AE$2004,"&gt;0",'سجل التحفيز'!$C$5:$C$2004,B25)</f>
        <v/>
      </c>
    </row>
    <row r="26">
      <c r="B26" s="30">
        <f>الإعدادات!A19</f>
        <v/>
      </c>
      <c r="C26" s="31">
        <f>COUNTIFS('سجل التحفيز'!$AE$5:$AE$2004,"&gt;0",'سجل التحفيز'!$C$5:$C$2004,B26,'سجل التحفيز'!$D$5:$D$2004,"أساسي")</f>
        <v/>
      </c>
      <c r="D26" s="31">
        <f>COUNTIFS('سجل التحفيز'!$AE$5:$AE$2004,"&gt;0",'سجل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التحفيز'!$AE$5:$AE$2004,"&gt;0",'سجل التحفيز'!$C$5:$C$2004,B26)</f>
        <v/>
      </c>
    </row>
    <row r="27">
      <c r="B27" s="30">
        <f>الإعدادات!A20</f>
        <v/>
      </c>
      <c r="C27" s="31">
        <f>COUNTIFS('سجل التحفيز'!$AE$5:$AE$2004,"&gt;0",'سجل التحفيز'!$C$5:$C$2004,B27,'سجل التحفيز'!$D$5:$D$2004,"أساسي")</f>
        <v/>
      </c>
      <c r="D27" s="31">
        <f>COUNTIFS('سجل التحفيز'!$AE$5:$AE$2004,"&gt;0",'سجل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التحفيز'!$AE$5:$AE$2004,"&gt;0",'سجل التحفيز'!$C$5:$C$2004,B27)</f>
        <v/>
      </c>
    </row>
    <row r="28">
      <c r="B28" s="30">
        <f>الإعدادات!A21</f>
        <v/>
      </c>
      <c r="C28" s="31">
        <f>COUNTIFS('سجل التحفيز'!$AE$5:$AE$2004,"&gt;0",'سجل التحفيز'!$C$5:$C$2004,B28,'سجل التحفيز'!$D$5:$D$2004,"أساسي")</f>
        <v/>
      </c>
      <c r="D28" s="31">
        <f>COUNTIFS('سجل التحفيز'!$AE$5:$AE$2004,"&gt;0",'سجل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التحفيز'!$AE$5:$AE$2004,"&gt;0",'سجل التحفيز'!$C$5:$C$2004,B28)</f>
        <v/>
      </c>
    </row>
    <row r="29">
      <c r="B29" s="30">
        <f>الإعدادات!A22</f>
        <v/>
      </c>
      <c r="C29" s="31">
        <f>COUNTIFS('سجل التحفيز'!$AE$5:$AE$2004,"&gt;0",'سجل التحفيز'!$C$5:$C$2004,B29,'سجل التحفيز'!$D$5:$D$2004,"أساسي")</f>
        <v/>
      </c>
      <c r="D29" s="31">
        <f>COUNTIFS('سجل التحفيز'!$AE$5:$AE$2004,"&gt;0",'سجل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التحفيز'!$AE$5:$AE$2004,"&gt;0",'سجل التحفيز'!$C$5:$C$2004,B29)</f>
        <v/>
      </c>
    </row>
    <row r="30">
      <c r="B30" s="30">
        <f>الإعدادات!A23</f>
        <v/>
      </c>
      <c r="C30" s="31">
        <f>COUNTIFS('سجل التحفيز'!$AE$5:$AE$2004,"&gt;0",'سجل التحفيز'!$C$5:$C$2004,B30,'سجل التحفيز'!$D$5:$D$2004,"أساسي")</f>
        <v/>
      </c>
      <c r="D30" s="31">
        <f>COUNTIFS('سجل التحفيز'!$AE$5:$AE$2004,"&gt;0",'سجل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التحفيز'!$AE$5:$AE$2004,"&gt;0",'سجل التحفيز'!$C$5:$C$2004,B30)</f>
        <v/>
      </c>
    </row>
    <row r="31">
      <c r="B31" s="30">
        <f>الإعدادات!A24</f>
        <v/>
      </c>
      <c r="C31" s="31">
        <f>COUNTIFS('سجل التحفيز'!$AE$5:$AE$2004,"&gt;0",'سجل التحفيز'!$C$5:$C$2004,B31,'سجل التحفيز'!$D$5:$D$2004,"أساسي")</f>
        <v/>
      </c>
      <c r="D31" s="31">
        <f>COUNTIFS('سجل التحفيز'!$AE$5:$AE$2004,"&gt;0",'سجل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التحفيز'!$AE$5:$AE$2004,"&gt;0",'سجل التحفيز'!$C$5:$C$2004,B31)</f>
        <v/>
      </c>
    </row>
    <row r="32">
      <c r="B32" s="30">
        <f>الإعدادات!A25</f>
        <v/>
      </c>
      <c r="C32" s="31">
        <f>COUNTIFS('سجل التحفيز'!$AE$5:$AE$2004,"&gt;0",'سجل التحفيز'!$C$5:$C$2004,B32,'سجل التحفيز'!$D$5:$D$2004,"أساسي")</f>
        <v/>
      </c>
      <c r="D32" s="31">
        <f>COUNTIFS('سجل التحفيز'!$AE$5:$AE$2004,"&gt;0",'سجل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التحفيز'!$AE$5:$AE$2004,"&gt;0",'سجل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الموظفات المُكرَّمات ضمن فترة التقرير</t>
        </is>
      </c>
      <c r="K36" s="29" t="inlineStr">
        <is>
          <t>تفاصيل التكريمات ضمن فترة التقرير</t>
        </is>
      </c>
    </row>
    <row r="37">
      <c r="B37" s="13" t="inlineStr">
        <is>
          <t>اسم الموظفة</t>
        </is>
      </c>
      <c r="C37" s="13" t="inlineStr">
        <is>
          <t>القسم</t>
        </is>
      </c>
      <c r="D37" s="13" t="inlineStr">
        <is>
          <t>عدد التكريمات</t>
        </is>
      </c>
      <c r="E37" s="13" t="inlineStr">
        <is>
          <t>معايير ذهبية</t>
        </is>
      </c>
      <c r="F37" s="13" t="inlineStr">
        <is>
          <t>القيمة (ر.ق)</t>
        </is>
      </c>
      <c r="G37" s="13" t="inlineStr">
        <is>
          <t>الترتيب</t>
        </is>
      </c>
      <c r="H37" s="13" t="inlineStr">
        <is>
          <t>أمري تدللي (السنة)</t>
        </is>
      </c>
      <c r="K37" s="13" t="inlineStr">
        <is>
          <t>م</t>
        </is>
      </c>
      <c r="L37" s="13" t="inlineStr">
        <is>
          <t>التاريخ</t>
        </is>
      </c>
      <c r="M37" s="13" t="inlineStr">
        <is>
          <t>اسم الموظفة</t>
        </is>
      </c>
      <c r="N37" s="13" t="inlineStr">
        <is>
          <t>القسم</t>
        </is>
      </c>
      <c r="O37" s="13" t="inlineStr">
        <is>
          <t>المجال</t>
        </is>
      </c>
      <c r="P37" s="13" t="inlineStr">
        <is>
          <t>المستوى</t>
        </is>
      </c>
      <c r="Q37" s="13" t="inlineStr">
        <is>
          <t>المعيار المحقق</t>
        </is>
      </c>
      <c r="R37" s="13" t="inlineStr">
        <is>
          <t>المكافأة الممنوحة</t>
        </is>
      </c>
      <c r="S37" s="13" t="inlineStr">
        <is>
          <t>القيمة (ر.ق)</t>
        </is>
      </c>
    </row>
    <row r="38">
      <c r="B38" s="34">
        <f>IFERROR(INDEX(الموظفات!$B$5:$B$304,MATCH(1,الموظفات!$Y$5:$Y$304,0)),"")</f>
        <v/>
      </c>
      <c r="C38" s="34">
        <f>IF(B38="","",INDEX(الموظفات!$D$5:$D$304,MATCH(B38,الموظفات!$B$5:$B$304,0))&amp;"")</f>
        <v/>
      </c>
      <c r="D38" s="35">
        <f>IF(B38="","",COUNTIFS('سجل التحفيز'!$AE$5:$AE$2004,"&gt;0",'سجل التحفيز'!$B$5:$B$2004,B38))</f>
        <v/>
      </c>
      <c r="E38" s="35">
        <f>IF(B38="","",COUNTIFS('سجل التحفيز'!$AE$5:$AE$2004,"&gt;0",'سجل التحفيز'!$B$5:$B$2004,B38,'سجل التحفيز'!$D$5:$D$2004,"ذهبي"))</f>
        <v/>
      </c>
      <c r="F38" s="35">
        <f>IF(B38="","",SUMIFS('سجل التحفيز'!$G$5:$G$2004,'سجل التحفيز'!$AE$5:$AE$2004,"&gt;0",'سجل التحفيز'!$B$5:$B$2004,B38))</f>
        <v/>
      </c>
      <c r="G38" s="35">
        <f>IF(B38="","",COUNTIF($D$38:$D$187,"&gt;"&amp;D38)+1)</f>
        <v/>
      </c>
      <c r="H38" s="35">
        <f>IF(B38="","",INDEX(الموظفات!$L$5:$L$304,MATCH(B38,الموظفات!$B$5:$B$304,0)))</f>
        <v/>
      </c>
      <c r="K38" s="36">
        <f>IF(1&gt;$B$10,"",1)</f>
        <v/>
      </c>
      <c r="L38" s="37">
        <f>IF($K38="","",INDEX('سجل التحفيز'!$A$5:$A$2004,MATCH($K38,'سجل التحفيز'!$AE$5:$AE$2004,0)))</f>
        <v/>
      </c>
      <c r="M38" s="9">
        <f>IF($K38="","",INDEX('سجل التحفيز'!$B$5:$B$2004,MATCH($K38,'سجل التحفيز'!$AE$5:$AE$2004,0)))</f>
        <v/>
      </c>
      <c r="N38" s="9">
        <f>IF($K38="","",INDEX('سجل التحفيز'!$M$5:$M$2004,MATCH($K38,'سجل التحفيز'!$AE$5:$AE$2004,0)))</f>
        <v/>
      </c>
      <c r="O38" s="9">
        <f>IF($K38="","",INDEX('سجل التحفيز'!$C$5:$C$2004,MATCH($K38,'سجل التحفيز'!$AE$5:$AE$2004,0)))</f>
        <v/>
      </c>
      <c r="P38" s="36">
        <f>IF($K38="","",INDEX('سجل التحفيز'!$D$5:$D$2004,MATCH($K38,'سجل التحفيز'!$AE$5:$AE$2004,0)))</f>
        <v/>
      </c>
      <c r="Q38" s="9">
        <f>IF($K38="","",INDEX('سجل التحفيز'!$E$5:$E$2004,MATCH($K38,'سجل التحفيز'!$AE$5:$AE$2004,0)))</f>
        <v/>
      </c>
      <c r="R38" s="9">
        <f>IF($K38="","",INDEX('سجل التحفيز'!$F$5:$F$2004,MATCH($K38,'سجل التحفيز'!$AE$5:$AE$2004,0)))</f>
        <v/>
      </c>
      <c r="S38" s="35">
        <f>IF($K38="","",INDEX('سجل التحفيز'!$G$5:$G$2004,MATCH($K38,'سجل التحفيز'!$AE$5:$AE$2004,0)))</f>
        <v/>
      </c>
    </row>
    <row r="39">
      <c r="B39" s="34">
        <f>IFERROR(INDEX(الموظفات!$B$5:$B$304,MATCH(2,الموظفات!$Y$5:$Y$304,0)),"")</f>
        <v/>
      </c>
      <c r="C39" s="34">
        <f>IF(B39="","",INDEX(الموظفات!$D$5:$D$304,MATCH(B39,الموظفات!$B$5:$B$304,0))&amp;"")</f>
        <v/>
      </c>
      <c r="D39" s="35">
        <f>IF(B39="","",COUNTIFS('سجل التحفيز'!$AE$5:$AE$2004,"&gt;0",'سجل التحفيز'!$B$5:$B$2004,B39))</f>
        <v/>
      </c>
      <c r="E39" s="35">
        <f>IF(B39="","",COUNTIFS('سجل التحفيز'!$AE$5:$AE$2004,"&gt;0",'سجل التحفيز'!$B$5:$B$2004,B39,'سجل التحفيز'!$D$5:$D$2004,"ذهبي"))</f>
        <v/>
      </c>
      <c r="F39" s="35">
        <f>IF(B39="","",SUMIFS('سجل التحفيز'!$G$5:$G$2004,'سجل التحفيز'!$AE$5:$AE$2004,"&gt;0",'سجل التحفيز'!$B$5:$B$2004,B39))</f>
        <v/>
      </c>
      <c r="G39" s="35">
        <f>IF(B39="","",COUNTIF($D$38:$D$187,"&gt;"&amp;D39)+1)</f>
        <v/>
      </c>
      <c r="H39" s="35">
        <f>IF(B39="","",INDEX(الموظفات!$L$5:$L$304,MATCH(B39,الموظفات!$B$5:$B$304,0)))</f>
        <v/>
      </c>
      <c r="K39" s="36">
        <f>IF(2&gt;$B$10,"",2)</f>
        <v/>
      </c>
      <c r="L39" s="37">
        <f>IF($K39="","",INDEX('سجل التحفيز'!$A$5:$A$2004,MATCH($K39,'سجل التحفيز'!$AE$5:$AE$2004,0)))</f>
        <v/>
      </c>
      <c r="M39" s="9">
        <f>IF($K39="","",INDEX('سجل التحفيز'!$B$5:$B$2004,MATCH($K39,'سجل التحفيز'!$AE$5:$AE$2004,0)))</f>
        <v/>
      </c>
      <c r="N39" s="9">
        <f>IF($K39="","",INDEX('سجل التحفيز'!$M$5:$M$2004,MATCH($K39,'سجل التحفيز'!$AE$5:$AE$2004,0)))</f>
        <v/>
      </c>
      <c r="O39" s="9">
        <f>IF($K39="","",INDEX('سجل التحفيز'!$C$5:$C$2004,MATCH($K39,'سجل التحفيز'!$AE$5:$AE$2004,0)))</f>
        <v/>
      </c>
      <c r="P39" s="36">
        <f>IF($K39="","",INDEX('سجل التحفيز'!$D$5:$D$2004,MATCH($K39,'سجل التحفيز'!$AE$5:$AE$2004,0)))</f>
        <v/>
      </c>
      <c r="Q39" s="9">
        <f>IF($K39="","",INDEX('سجل التحفيز'!$E$5:$E$2004,MATCH($K39,'سجل التحفيز'!$AE$5:$AE$2004,0)))</f>
        <v/>
      </c>
      <c r="R39" s="9">
        <f>IF($K39="","",INDEX('سجل التحفيز'!$F$5:$F$2004,MATCH($K39,'سجل التحفيز'!$AE$5:$AE$2004,0)))</f>
        <v/>
      </c>
      <c r="S39" s="35">
        <f>IF($K39="","",INDEX('سجل التحفيز'!$G$5:$G$2004,MATCH($K39,'سجل التحفيز'!$AE$5:$AE$2004,0)))</f>
        <v/>
      </c>
    </row>
    <row r="40">
      <c r="B40" s="34">
        <f>IFERROR(INDEX(الموظفات!$B$5:$B$304,MATCH(3,الموظفات!$Y$5:$Y$304,0)),"")</f>
        <v/>
      </c>
      <c r="C40" s="34">
        <f>IF(B40="","",INDEX(الموظفات!$D$5:$D$304,MATCH(B40,الموظفات!$B$5:$B$304,0))&amp;"")</f>
        <v/>
      </c>
      <c r="D40" s="35">
        <f>IF(B40="","",COUNTIFS('سجل التحفيز'!$AE$5:$AE$2004,"&gt;0",'سجل التحفيز'!$B$5:$B$2004,B40))</f>
        <v/>
      </c>
      <c r="E40" s="35">
        <f>IF(B40="","",COUNTIFS('سجل التحفيز'!$AE$5:$AE$2004,"&gt;0",'سجل التحفيز'!$B$5:$B$2004,B40,'سجل التحفيز'!$D$5:$D$2004,"ذهبي"))</f>
        <v/>
      </c>
      <c r="F40" s="35">
        <f>IF(B40="","",SUMIFS('سجل التحفيز'!$G$5:$G$2004,'سجل التحفيز'!$AE$5:$AE$2004,"&gt;0",'سجل التحفيز'!$B$5:$B$2004,B40))</f>
        <v/>
      </c>
      <c r="G40" s="35">
        <f>IF(B40="","",COUNTIF($D$38:$D$187,"&gt;"&amp;D40)+1)</f>
        <v/>
      </c>
      <c r="H40" s="35">
        <f>IF(B40="","",INDEX(الموظفات!$L$5:$L$304,MATCH(B40,الموظفات!$B$5:$B$304,0)))</f>
        <v/>
      </c>
      <c r="K40" s="36">
        <f>IF(3&gt;$B$10,"",3)</f>
        <v/>
      </c>
      <c r="L40" s="37">
        <f>IF($K40="","",INDEX('سجل التحفيز'!$A$5:$A$2004,MATCH($K40,'سجل التحفيز'!$AE$5:$AE$2004,0)))</f>
        <v/>
      </c>
      <c r="M40" s="9">
        <f>IF($K40="","",INDEX('سجل التحفيز'!$B$5:$B$2004,MATCH($K40,'سجل التحفيز'!$AE$5:$AE$2004,0)))</f>
        <v/>
      </c>
      <c r="N40" s="9">
        <f>IF($K40="","",INDEX('سجل التحفيز'!$M$5:$M$2004,MATCH($K40,'سجل التحفيز'!$AE$5:$AE$2004,0)))</f>
        <v/>
      </c>
      <c r="O40" s="9">
        <f>IF($K40="","",INDEX('سجل التحفيز'!$C$5:$C$2004,MATCH($K40,'سجل التحفيز'!$AE$5:$AE$2004,0)))</f>
        <v/>
      </c>
      <c r="P40" s="36">
        <f>IF($K40="","",INDEX('سجل التحفيز'!$D$5:$D$2004,MATCH($K40,'سجل التحفيز'!$AE$5:$AE$2004,0)))</f>
        <v/>
      </c>
      <c r="Q40" s="9">
        <f>IF($K40="","",INDEX('سجل التحفيز'!$E$5:$E$2004,MATCH($K40,'سجل التحفيز'!$AE$5:$AE$2004,0)))</f>
        <v/>
      </c>
      <c r="R40" s="9">
        <f>IF($K40="","",INDEX('سجل التحفيز'!$F$5:$F$2004,MATCH($K40,'سجل التحفيز'!$AE$5:$AE$2004,0)))</f>
        <v/>
      </c>
      <c r="S40" s="35">
        <f>IF($K40="","",INDEX('سجل التحفيز'!$G$5:$G$2004,MATCH($K40,'سجل التحفيز'!$AE$5:$AE$2004,0)))</f>
        <v/>
      </c>
    </row>
    <row r="41">
      <c r="B41" s="34">
        <f>IFERROR(INDEX(الموظفات!$B$5:$B$304,MATCH(4,الموظفات!$Y$5:$Y$304,0)),"")</f>
        <v/>
      </c>
      <c r="C41" s="34">
        <f>IF(B41="","",INDEX(الموظفات!$D$5:$D$304,MATCH(B41,الموظفات!$B$5:$B$304,0))&amp;"")</f>
        <v/>
      </c>
      <c r="D41" s="35">
        <f>IF(B41="","",COUNTIFS('سجل التحفيز'!$AE$5:$AE$2004,"&gt;0",'سجل التحفيز'!$B$5:$B$2004,B41))</f>
        <v/>
      </c>
      <c r="E41" s="35">
        <f>IF(B41="","",COUNTIFS('سجل التحفيز'!$AE$5:$AE$2004,"&gt;0",'سجل التحفيز'!$B$5:$B$2004,B41,'سجل التحفيز'!$D$5:$D$2004,"ذهبي"))</f>
        <v/>
      </c>
      <c r="F41" s="35">
        <f>IF(B41="","",SUMIFS('سجل التحفيز'!$G$5:$G$2004,'سجل التحفيز'!$AE$5:$AE$2004,"&gt;0",'سجل التحفيز'!$B$5:$B$2004,B41))</f>
        <v/>
      </c>
      <c r="G41" s="35">
        <f>IF(B41="","",COUNTIF($D$38:$D$187,"&gt;"&amp;D41)+1)</f>
        <v/>
      </c>
      <c r="H41" s="35">
        <f>IF(B41="","",INDEX(الموظفات!$L$5:$L$304,MATCH(B41,الموظفات!$B$5:$B$304,0)))</f>
        <v/>
      </c>
      <c r="K41" s="36">
        <f>IF(4&gt;$B$10,"",4)</f>
        <v/>
      </c>
      <c r="L41" s="37">
        <f>IF($K41="","",INDEX('سجل التحفيز'!$A$5:$A$2004,MATCH($K41,'سجل التحفيز'!$AE$5:$AE$2004,0)))</f>
        <v/>
      </c>
      <c r="M41" s="9">
        <f>IF($K41="","",INDEX('سجل التحفيز'!$B$5:$B$2004,MATCH($K41,'سجل التحفيز'!$AE$5:$AE$2004,0)))</f>
        <v/>
      </c>
      <c r="N41" s="9">
        <f>IF($K41="","",INDEX('سجل التحفيز'!$M$5:$M$2004,MATCH($K41,'سجل التحفيز'!$AE$5:$AE$2004,0)))</f>
        <v/>
      </c>
      <c r="O41" s="9">
        <f>IF($K41="","",INDEX('سجل التحفيز'!$C$5:$C$2004,MATCH($K41,'سجل التحفيز'!$AE$5:$AE$2004,0)))</f>
        <v/>
      </c>
      <c r="P41" s="36">
        <f>IF($K41="","",INDEX('سجل التحفيز'!$D$5:$D$2004,MATCH($K41,'سجل التحفيز'!$AE$5:$AE$2004,0)))</f>
        <v/>
      </c>
      <c r="Q41" s="9">
        <f>IF($K41="","",INDEX('سجل التحفيز'!$E$5:$E$2004,MATCH($K41,'سجل التحفيز'!$AE$5:$AE$2004,0)))</f>
        <v/>
      </c>
      <c r="R41" s="9">
        <f>IF($K41="","",INDEX('سجل التحفيز'!$F$5:$F$2004,MATCH($K41,'سجل التحفيز'!$AE$5:$AE$2004,0)))</f>
        <v/>
      </c>
      <c r="S41" s="35">
        <f>IF($K41="","",INDEX('سجل التحفيز'!$G$5:$G$2004,MATCH($K41,'سجل التحفيز'!$AE$5:$AE$2004,0)))</f>
        <v/>
      </c>
    </row>
    <row r="42">
      <c r="B42" s="34">
        <f>IFERROR(INDEX(الموظفات!$B$5:$B$304,MATCH(5,الموظفات!$Y$5:$Y$304,0)),"")</f>
        <v/>
      </c>
      <c r="C42" s="34">
        <f>IF(B42="","",INDEX(الموظفات!$D$5:$D$304,MATCH(B42,الموظفات!$B$5:$B$304,0))&amp;"")</f>
        <v/>
      </c>
      <c r="D42" s="35">
        <f>IF(B42="","",COUNTIFS('سجل التحفيز'!$AE$5:$AE$2004,"&gt;0",'سجل التحفيز'!$B$5:$B$2004,B42))</f>
        <v/>
      </c>
      <c r="E42" s="35">
        <f>IF(B42="","",COUNTIFS('سجل التحفيز'!$AE$5:$AE$2004,"&gt;0",'سجل التحفيز'!$B$5:$B$2004,B42,'سجل التحفيز'!$D$5:$D$2004,"ذهبي"))</f>
        <v/>
      </c>
      <c r="F42" s="35">
        <f>IF(B42="","",SUMIFS('سجل التحفيز'!$G$5:$G$2004,'سجل التحفيز'!$AE$5:$AE$2004,"&gt;0",'سجل التحفيز'!$B$5:$B$2004,B42))</f>
        <v/>
      </c>
      <c r="G42" s="35">
        <f>IF(B42="","",COUNTIF($D$38:$D$187,"&gt;"&amp;D42)+1)</f>
        <v/>
      </c>
      <c r="H42" s="35">
        <f>IF(B42="","",INDEX(الموظفات!$L$5:$L$304,MATCH(B42,الموظفات!$B$5:$B$304,0)))</f>
        <v/>
      </c>
      <c r="K42" s="36">
        <f>IF(5&gt;$B$10,"",5)</f>
        <v/>
      </c>
      <c r="L42" s="37">
        <f>IF($K42="","",INDEX('سجل التحفيز'!$A$5:$A$2004,MATCH($K42,'سجل التحفيز'!$AE$5:$AE$2004,0)))</f>
        <v/>
      </c>
      <c r="M42" s="9">
        <f>IF($K42="","",INDEX('سجل التحفيز'!$B$5:$B$2004,MATCH($K42,'سجل التحفيز'!$AE$5:$AE$2004,0)))</f>
        <v/>
      </c>
      <c r="N42" s="9">
        <f>IF($K42="","",INDEX('سجل التحفيز'!$M$5:$M$2004,MATCH($K42,'سجل التحفيز'!$AE$5:$AE$2004,0)))</f>
        <v/>
      </c>
      <c r="O42" s="9">
        <f>IF($K42="","",INDEX('سجل التحفيز'!$C$5:$C$2004,MATCH($K42,'سجل التحفيز'!$AE$5:$AE$2004,0)))</f>
        <v/>
      </c>
      <c r="P42" s="36">
        <f>IF($K42="","",INDEX('سجل التحفيز'!$D$5:$D$2004,MATCH($K42,'سجل التحفيز'!$AE$5:$AE$2004,0)))</f>
        <v/>
      </c>
      <c r="Q42" s="9">
        <f>IF($K42="","",INDEX('سجل التحفيز'!$E$5:$E$2004,MATCH($K42,'سجل التحفيز'!$AE$5:$AE$2004,0)))</f>
        <v/>
      </c>
      <c r="R42" s="9">
        <f>IF($K42="","",INDEX('سجل التحفيز'!$F$5:$F$2004,MATCH($K42,'سجل التحفيز'!$AE$5:$AE$2004,0)))</f>
        <v/>
      </c>
      <c r="S42" s="35">
        <f>IF($K42="","",INDEX('سجل التحفيز'!$G$5:$G$2004,MATCH($K42,'سجل التحفيز'!$AE$5:$AE$2004,0)))</f>
        <v/>
      </c>
    </row>
    <row r="43">
      <c r="B43" s="34">
        <f>IFERROR(INDEX(الموظفات!$B$5:$B$304,MATCH(6,الموظفات!$Y$5:$Y$304,0)),"")</f>
        <v/>
      </c>
      <c r="C43" s="34">
        <f>IF(B43="","",INDEX(الموظفات!$D$5:$D$304,MATCH(B43,الموظفات!$B$5:$B$304,0))&amp;"")</f>
        <v/>
      </c>
      <c r="D43" s="35">
        <f>IF(B43="","",COUNTIFS('سجل التحفيز'!$AE$5:$AE$2004,"&gt;0",'سجل التحفيز'!$B$5:$B$2004,B43))</f>
        <v/>
      </c>
      <c r="E43" s="35">
        <f>IF(B43="","",COUNTIFS('سجل التحفيز'!$AE$5:$AE$2004,"&gt;0",'سجل التحفيز'!$B$5:$B$2004,B43,'سجل التحفيز'!$D$5:$D$2004,"ذهبي"))</f>
        <v/>
      </c>
      <c r="F43" s="35">
        <f>IF(B43="","",SUMIFS('سجل التحفيز'!$G$5:$G$2004,'سجل التحفيز'!$AE$5:$AE$2004,"&gt;0",'سجل التحفيز'!$B$5:$B$2004,B43))</f>
        <v/>
      </c>
      <c r="G43" s="35">
        <f>IF(B43="","",COUNTIF($D$38:$D$187,"&gt;"&amp;D43)+1)</f>
        <v/>
      </c>
      <c r="H43" s="35">
        <f>IF(B43="","",INDEX(الموظفات!$L$5:$L$304,MATCH(B43,الموظفات!$B$5:$B$304,0)))</f>
        <v/>
      </c>
      <c r="K43" s="36">
        <f>IF(6&gt;$B$10,"",6)</f>
        <v/>
      </c>
      <c r="L43" s="37">
        <f>IF($K43="","",INDEX('سجل التحفيز'!$A$5:$A$2004,MATCH($K43,'سجل التحفيز'!$AE$5:$AE$2004,0)))</f>
        <v/>
      </c>
      <c r="M43" s="9">
        <f>IF($K43="","",INDEX('سجل التحفيز'!$B$5:$B$2004,MATCH($K43,'سجل التحفيز'!$AE$5:$AE$2004,0)))</f>
        <v/>
      </c>
      <c r="N43" s="9">
        <f>IF($K43="","",INDEX('سجل التحفيز'!$M$5:$M$2004,MATCH($K43,'سجل التحفيز'!$AE$5:$AE$2004,0)))</f>
        <v/>
      </c>
      <c r="O43" s="9">
        <f>IF($K43="","",INDEX('سجل التحفيز'!$C$5:$C$2004,MATCH($K43,'سجل التحفيز'!$AE$5:$AE$2004,0)))</f>
        <v/>
      </c>
      <c r="P43" s="36">
        <f>IF($K43="","",INDEX('سجل التحفيز'!$D$5:$D$2004,MATCH($K43,'سجل التحفيز'!$AE$5:$AE$2004,0)))</f>
        <v/>
      </c>
      <c r="Q43" s="9">
        <f>IF($K43="","",INDEX('سجل التحفيز'!$E$5:$E$2004,MATCH($K43,'سجل التحفيز'!$AE$5:$AE$2004,0)))</f>
        <v/>
      </c>
      <c r="R43" s="9">
        <f>IF($K43="","",INDEX('سجل التحفيز'!$F$5:$F$2004,MATCH($K43,'سجل التحفيز'!$AE$5:$AE$2004,0)))</f>
        <v/>
      </c>
      <c r="S43" s="35">
        <f>IF($K43="","",INDEX('سجل التحفيز'!$G$5:$G$2004,MATCH($K43,'سجل التحفيز'!$AE$5:$AE$2004,0)))</f>
        <v/>
      </c>
    </row>
    <row r="44">
      <c r="B44" s="34">
        <f>IFERROR(INDEX(الموظفات!$B$5:$B$304,MATCH(7,الموظفات!$Y$5:$Y$304,0)),"")</f>
        <v/>
      </c>
      <c r="C44" s="34">
        <f>IF(B44="","",INDEX(الموظفات!$D$5:$D$304,MATCH(B44,الموظفات!$B$5:$B$304,0))&amp;"")</f>
        <v/>
      </c>
      <c r="D44" s="35">
        <f>IF(B44="","",COUNTIFS('سجل التحفيز'!$AE$5:$AE$2004,"&gt;0",'سجل التحفيز'!$B$5:$B$2004,B44))</f>
        <v/>
      </c>
      <c r="E44" s="35">
        <f>IF(B44="","",COUNTIFS('سجل التحفيز'!$AE$5:$AE$2004,"&gt;0",'سجل التحفيز'!$B$5:$B$2004,B44,'سجل التحفيز'!$D$5:$D$2004,"ذهبي"))</f>
        <v/>
      </c>
      <c r="F44" s="35">
        <f>IF(B44="","",SUMIFS('سجل التحفيز'!$G$5:$G$2004,'سجل التحفيز'!$AE$5:$AE$2004,"&gt;0",'سجل التحفيز'!$B$5:$B$2004,B44))</f>
        <v/>
      </c>
      <c r="G44" s="35">
        <f>IF(B44="","",COUNTIF($D$38:$D$187,"&gt;"&amp;D44)+1)</f>
        <v/>
      </c>
      <c r="H44" s="35">
        <f>IF(B44="","",INDEX(الموظفات!$L$5:$L$304,MATCH(B44,الموظفات!$B$5:$B$304,0)))</f>
        <v/>
      </c>
      <c r="K44" s="36">
        <f>IF(7&gt;$B$10,"",7)</f>
        <v/>
      </c>
      <c r="L44" s="37">
        <f>IF($K44="","",INDEX('سجل التحفيز'!$A$5:$A$2004,MATCH($K44,'سجل التحفيز'!$AE$5:$AE$2004,0)))</f>
        <v/>
      </c>
      <c r="M44" s="9">
        <f>IF($K44="","",INDEX('سجل التحفيز'!$B$5:$B$2004,MATCH($K44,'سجل التحفيز'!$AE$5:$AE$2004,0)))</f>
        <v/>
      </c>
      <c r="N44" s="9">
        <f>IF($K44="","",INDEX('سجل التحفيز'!$M$5:$M$2004,MATCH($K44,'سجل التحفيز'!$AE$5:$AE$2004,0)))</f>
        <v/>
      </c>
      <c r="O44" s="9">
        <f>IF($K44="","",INDEX('سجل التحفيز'!$C$5:$C$2004,MATCH($K44,'سجل التحفيز'!$AE$5:$AE$2004,0)))</f>
        <v/>
      </c>
      <c r="P44" s="36">
        <f>IF($K44="","",INDEX('سجل التحفيز'!$D$5:$D$2004,MATCH($K44,'سجل التحفيز'!$AE$5:$AE$2004,0)))</f>
        <v/>
      </c>
      <c r="Q44" s="9">
        <f>IF($K44="","",INDEX('سجل التحفيز'!$E$5:$E$2004,MATCH($K44,'سجل التحفيز'!$AE$5:$AE$2004,0)))</f>
        <v/>
      </c>
      <c r="R44" s="9">
        <f>IF($K44="","",INDEX('سجل التحفيز'!$F$5:$F$2004,MATCH($K44,'سجل التحفيز'!$AE$5:$AE$2004,0)))</f>
        <v/>
      </c>
      <c r="S44" s="35">
        <f>IF($K44="","",INDEX('سجل التحفيز'!$G$5:$G$2004,MATCH($K44,'سجل التحفيز'!$AE$5:$AE$2004,0)))</f>
        <v/>
      </c>
    </row>
    <row r="45">
      <c r="B45" s="34">
        <f>IFERROR(INDEX(الموظفات!$B$5:$B$304,MATCH(8,الموظفات!$Y$5:$Y$304,0)),"")</f>
        <v/>
      </c>
      <c r="C45" s="34">
        <f>IF(B45="","",INDEX(الموظفات!$D$5:$D$304,MATCH(B45,الموظفات!$B$5:$B$304,0))&amp;"")</f>
        <v/>
      </c>
      <c r="D45" s="35">
        <f>IF(B45="","",COUNTIFS('سجل التحفيز'!$AE$5:$AE$2004,"&gt;0",'سجل التحفيز'!$B$5:$B$2004,B45))</f>
        <v/>
      </c>
      <c r="E45" s="35">
        <f>IF(B45="","",COUNTIFS('سجل التحفيز'!$AE$5:$AE$2004,"&gt;0",'سجل التحفيز'!$B$5:$B$2004,B45,'سجل التحفيز'!$D$5:$D$2004,"ذهبي"))</f>
        <v/>
      </c>
      <c r="F45" s="35">
        <f>IF(B45="","",SUMIFS('سجل التحفيز'!$G$5:$G$2004,'سجل التحفيز'!$AE$5:$AE$2004,"&gt;0",'سجل التحفيز'!$B$5:$B$2004,B45))</f>
        <v/>
      </c>
      <c r="G45" s="35">
        <f>IF(B45="","",COUNTIF($D$38:$D$187,"&gt;"&amp;D45)+1)</f>
        <v/>
      </c>
      <c r="H45" s="35">
        <f>IF(B45="","",INDEX(الموظفات!$L$5:$L$304,MATCH(B45,الموظفات!$B$5:$B$304,0)))</f>
        <v/>
      </c>
      <c r="K45" s="36">
        <f>IF(8&gt;$B$10,"",8)</f>
        <v/>
      </c>
      <c r="L45" s="37">
        <f>IF($K45="","",INDEX('سجل التحفيز'!$A$5:$A$2004,MATCH($K45,'سجل التحفيز'!$AE$5:$AE$2004,0)))</f>
        <v/>
      </c>
      <c r="M45" s="9">
        <f>IF($K45="","",INDEX('سجل التحفيز'!$B$5:$B$2004,MATCH($K45,'سجل التحفيز'!$AE$5:$AE$2004,0)))</f>
        <v/>
      </c>
      <c r="N45" s="9">
        <f>IF($K45="","",INDEX('سجل التحفيز'!$M$5:$M$2004,MATCH($K45,'سجل التحفيز'!$AE$5:$AE$2004,0)))</f>
        <v/>
      </c>
      <c r="O45" s="9">
        <f>IF($K45="","",INDEX('سجل التحفيز'!$C$5:$C$2004,MATCH($K45,'سجل التحفيز'!$AE$5:$AE$2004,0)))</f>
        <v/>
      </c>
      <c r="P45" s="36">
        <f>IF($K45="","",INDEX('سجل التحفيز'!$D$5:$D$2004,MATCH($K45,'سجل التحفيز'!$AE$5:$AE$2004,0)))</f>
        <v/>
      </c>
      <c r="Q45" s="9">
        <f>IF($K45="","",INDEX('سجل التحفيز'!$E$5:$E$2004,MATCH($K45,'سجل التحفيز'!$AE$5:$AE$2004,0)))</f>
        <v/>
      </c>
      <c r="R45" s="9">
        <f>IF($K45="","",INDEX('سجل التحفيز'!$F$5:$F$2004,MATCH($K45,'سجل التحفيز'!$AE$5:$AE$2004,0)))</f>
        <v/>
      </c>
      <c r="S45" s="35">
        <f>IF($K45="","",INDEX('سجل التحفيز'!$G$5:$G$2004,MATCH($K45,'سجل التحفيز'!$AE$5:$AE$2004,0)))</f>
        <v/>
      </c>
    </row>
    <row r="46">
      <c r="B46" s="34">
        <f>IFERROR(INDEX(الموظفات!$B$5:$B$304,MATCH(9,الموظفات!$Y$5:$Y$304,0)),"")</f>
        <v/>
      </c>
      <c r="C46" s="34">
        <f>IF(B46="","",INDEX(الموظفات!$D$5:$D$304,MATCH(B46,الموظفات!$B$5:$B$304,0))&amp;"")</f>
        <v/>
      </c>
      <c r="D46" s="35">
        <f>IF(B46="","",COUNTIFS('سجل التحفيز'!$AE$5:$AE$2004,"&gt;0",'سجل التحفيز'!$B$5:$B$2004,B46))</f>
        <v/>
      </c>
      <c r="E46" s="35">
        <f>IF(B46="","",COUNTIFS('سجل التحفيز'!$AE$5:$AE$2004,"&gt;0",'سجل التحفيز'!$B$5:$B$2004,B46,'سجل التحفيز'!$D$5:$D$2004,"ذهبي"))</f>
        <v/>
      </c>
      <c r="F46" s="35">
        <f>IF(B46="","",SUMIFS('سجل التحفيز'!$G$5:$G$2004,'سجل التحفيز'!$AE$5:$AE$2004,"&gt;0",'سجل التحفيز'!$B$5:$B$2004,B46))</f>
        <v/>
      </c>
      <c r="G46" s="35">
        <f>IF(B46="","",COUNTIF($D$38:$D$187,"&gt;"&amp;D46)+1)</f>
        <v/>
      </c>
      <c r="H46" s="35">
        <f>IF(B46="","",INDEX(الموظفات!$L$5:$L$304,MATCH(B46,الموظفات!$B$5:$B$304,0)))</f>
        <v/>
      </c>
      <c r="K46" s="36">
        <f>IF(9&gt;$B$10,"",9)</f>
        <v/>
      </c>
      <c r="L46" s="37">
        <f>IF($K46="","",INDEX('سجل التحفيز'!$A$5:$A$2004,MATCH($K46,'سجل التحفيز'!$AE$5:$AE$2004,0)))</f>
        <v/>
      </c>
      <c r="M46" s="9">
        <f>IF($K46="","",INDEX('سجل التحفيز'!$B$5:$B$2004,MATCH($K46,'سجل التحفيز'!$AE$5:$AE$2004,0)))</f>
        <v/>
      </c>
      <c r="N46" s="9">
        <f>IF($K46="","",INDEX('سجل التحفيز'!$M$5:$M$2004,MATCH($K46,'سجل التحفيز'!$AE$5:$AE$2004,0)))</f>
        <v/>
      </c>
      <c r="O46" s="9">
        <f>IF($K46="","",INDEX('سجل التحفيز'!$C$5:$C$2004,MATCH($K46,'سجل التحفيز'!$AE$5:$AE$2004,0)))</f>
        <v/>
      </c>
      <c r="P46" s="36">
        <f>IF($K46="","",INDEX('سجل التحفيز'!$D$5:$D$2004,MATCH($K46,'سجل التحفيز'!$AE$5:$AE$2004,0)))</f>
        <v/>
      </c>
      <c r="Q46" s="9">
        <f>IF($K46="","",INDEX('سجل التحفيز'!$E$5:$E$2004,MATCH($K46,'سجل التحفيز'!$AE$5:$AE$2004,0)))</f>
        <v/>
      </c>
      <c r="R46" s="9">
        <f>IF($K46="","",INDEX('سجل التحفيز'!$F$5:$F$2004,MATCH($K46,'سجل التحفيز'!$AE$5:$AE$2004,0)))</f>
        <v/>
      </c>
      <c r="S46" s="35">
        <f>IF($K46="","",INDEX('سجل التحفيز'!$G$5:$G$2004,MATCH($K46,'سجل التحفيز'!$AE$5:$AE$2004,0)))</f>
        <v/>
      </c>
    </row>
    <row r="47">
      <c r="B47" s="34">
        <f>IFERROR(INDEX(الموظفات!$B$5:$B$304,MATCH(10,الموظفات!$Y$5:$Y$304,0)),"")</f>
        <v/>
      </c>
      <c r="C47" s="34">
        <f>IF(B47="","",INDEX(الموظفات!$D$5:$D$304,MATCH(B47,الموظفات!$B$5:$B$304,0))&amp;"")</f>
        <v/>
      </c>
      <c r="D47" s="35">
        <f>IF(B47="","",COUNTIFS('سجل التحفيز'!$AE$5:$AE$2004,"&gt;0",'سجل التحفيز'!$B$5:$B$2004,B47))</f>
        <v/>
      </c>
      <c r="E47" s="35">
        <f>IF(B47="","",COUNTIFS('سجل التحفيز'!$AE$5:$AE$2004,"&gt;0",'سجل التحفيز'!$B$5:$B$2004,B47,'سجل التحفيز'!$D$5:$D$2004,"ذهبي"))</f>
        <v/>
      </c>
      <c r="F47" s="35">
        <f>IF(B47="","",SUMIFS('سجل التحفيز'!$G$5:$G$2004,'سجل التحفيز'!$AE$5:$AE$2004,"&gt;0",'سجل التحفيز'!$B$5:$B$2004,B47))</f>
        <v/>
      </c>
      <c r="G47" s="35">
        <f>IF(B47="","",COUNTIF($D$38:$D$187,"&gt;"&amp;D47)+1)</f>
        <v/>
      </c>
      <c r="H47" s="35">
        <f>IF(B47="","",INDEX(الموظفات!$L$5:$L$304,MATCH(B47,الموظفات!$B$5:$B$304,0)))</f>
        <v/>
      </c>
      <c r="K47" s="36">
        <f>IF(10&gt;$B$10,"",10)</f>
        <v/>
      </c>
      <c r="L47" s="37">
        <f>IF($K47="","",INDEX('سجل التحفيز'!$A$5:$A$2004,MATCH($K47,'سجل التحفيز'!$AE$5:$AE$2004,0)))</f>
        <v/>
      </c>
      <c r="M47" s="9">
        <f>IF($K47="","",INDEX('سجل التحفيز'!$B$5:$B$2004,MATCH($K47,'سجل التحفيز'!$AE$5:$AE$2004,0)))</f>
        <v/>
      </c>
      <c r="N47" s="9">
        <f>IF($K47="","",INDEX('سجل التحفيز'!$M$5:$M$2004,MATCH($K47,'سجل التحفيز'!$AE$5:$AE$2004,0)))</f>
        <v/>
      </c>
      <c r="O47" s="9">
        <f>IF($K47="","",INDEX('سجل التحفيز'!$C$5:$C$2004,MATCH($K47,'سجل التحفيز'!$AE$5:$AE$2004,0)))</f>
        <v/>
      </c>
      <c r="P47" s="36">
        <f>IF($K47="","",INDEX('سجل التحفيز'!$D$5:$D$2004,MATCH($K47,'سجل التحفيز'!$AE$5:$AE$2004,0)))</f>
        <v/>
      </c>
      <c r="Q47" s="9">
        <f>IF($K47="","",INDEX('سجل التحفيز'!$E$5:$E$2004,MATCH($K47,'سجل التحفيز'!$AE$5:$AE$2004,0)))</f>
        <v/>
      </c>
      <c r="R47" s="9">
        <f>IF($K47="","",INDEX('سجل التحفيز'!$F$5:$F$2004,MATCH($K47,'سجل التحفيز'!$AE$5:$AE$2004,0)))</f>
        <v/>
      </c>
      <c r="S47" s="35">
        <f>IF($K47="","",INDEX('سجل التحفيز'!$G$5:$G$2004,MATCH($K47,'سجل التحفيز'!$AE$5:$AE$2004,0)))</f>
        <v/>
      </c>
    </row>
    <row r="48">
      <c r="B48" s="34">
        <f>IFERROR(INDEX(الموظفات!$B$5:$B$304,MATCH(11,الموظفات!$Y$5:$Y$304,0)),"")</f>
        <v/>
      </c>
      <c r="C48" s="34">
        <f>IF(B48="","",INDEX(الموظفات!$D$5:$D$304,MATCH(B48,الموظفات!$B$5:$B$304,0))&amp;"")</f>
        <v/>
      </c>
      <c r="D48" s="35">
        <f>IF(B48="","",COUNTIFS('سجل التحفيز'!$AE$5:$AE$2004,"&gt;0",'سجل التحفيز'!$B$5:$B$2004,B48))</f>
        <v/>
      </c>
      <c r="E48" s="35">
        <f>IF(B48="","",COUNTIFS('سجل التحفيز'!$AE$5:$AE$2004,"&gt;0",'سجل التحفيز'!$B$5:$B$2004,B48,'سجل التحفيز'!$D$5:$D$2004,"ذهبي"))</f>
        <v/>
      </c>
      <c r="F48" s="35">
        <f>IF(B48="","",SUMIFS('سجل التحفيز'!$G$5:$G$2004,'سجل التحفيز'!$AE$5:$AE$2004,"&gt;0",'سجل التحفيز'!$B$5:$B$2004,B48))</f>
        <v/>
      </c>
      <c r="G48" s="35">
        <f>IF(B48="","",COUNTIF($D$38:$D$187,"&gt;"&amp;D48)+1)</f>
        <v/>
      </c>
      <c r="H48" s="35">
        <f>IF(B48="","",INDEX(الموظفات!$L$5:$L$304,MATCH(B48,الموظفات!$B$5:$B$304,0)))</f>
        <v/>
      </c>
      <c r="K48" s="36">
        <f>IF(11&gt;$B$10,"",11)</f>
        <v/>
      </c>
      <c r="L48" s="37">
        <f>IF($K48="","",INDEX('سجل التحفيز'!$A$5:$A$2004,MATCH($K48,'سجل التحفيز'!$AE$5:$AE$2004,0)))</f>
        <v/>
      </c>
      <c r="M48" s="9">
        <f>IF($K48="","",INDEX('سجل التحفيز'!$B$5:$B$2004,MATCH($K48,'سجل التحفيز'!$AE$5:$AE$2004,0)))</f>
        <v/>
      </c>
      <c r="N48" s="9">
        <f>IF($K48="","",INDEX('سجل التحفيز'!$M$5:$M$2004,MATCH($K48,'سجل التحفيز'!$AE$5:$AE$2004,0)))</f>
        <v/>
      </c>
      <c r="O48" s="9">
        <f>IF($K48="","",INDEX('سجل التحفيز'!$C$5:$C$2004,MATCH($K48,'سجل التحفيز'!$AE$5:$AE$2004,0)))</f>
        <v/>
      </c>
      <c r="P48" s="36">
        <f>IF($K48="","",INDEX('سجل التحفيز'!$D$5:$D$2004,MATCH($K48,'سجل التحفيز'!$AE$5:$AE$2004,0)))</f>
        <v/>
      </c>
      <c r="Q48" s="9">
        <f>IF($K48="","",INDEX('سجل التحفيز'!$E$5:$E$2004,MATCH($K48,'سجل التحفيز'!$AE$5:$AE$2004,0)))</f>
        <v/>
      </c>
      <c r="R48" s="9">
        <f>IF($K48="","",INDEX('سجل التحفيز'!$F$5:$F$2004,MATCH($K48,'سجل التحفيز'!$AE$5:$AE$2004,0)))</f>
        <v/>
      </c>
      <c r="S48" s="35">
        <f>IF($K48="","",INDEX('سجل التحفيز'!$G$5:$G$2004,MATCH($K48,'سجل التحفيز'!$AE$5:$AE$2004,0)))</f>
        <v/>
      </c>
    </row>
    <row r="49">
      <c r="B49" s="34">
        <f>IFERROR(INDEX(الموظفات!$B$5:$B$304,MATCH(12,الموظفات!$Y$5:$Y$304,0)),"")</f>
        <v/>
      </c>
      <c r="C49" s="34">
        <f>IF(B49="","",INDEX(الموظفات!$D$5:$D$304,MATCH(B49,الموظفات!$B$5:$B$304,0))&amp;"")</f>
        <v/>
      </c>
      <c r="D49" s="35">
        <f>IF(B49="","",COUNTIFS('سجل التحفيز'!$AE$5:$AE$2004,"&gt;0",'سجل التحفيز'!$B$5:$B$2004,B49))</f>
        <v/>
      </c>
      <c r="E49" s="35">
        <f>IF(B49="","",COUNTIFS('سجل التحفيز'!$AE$5:$AE$2004,"&gt;0",'سجل التحفيز'!$B$5:$B$2004,B49,'سجل التحفيز'!$D$5:$D$2004,"ذهبي"))</f>
        <v/>
      </c>
      <c r="F49" s="35">
        <f>IF(B49="","",SUMIFS('سجل التحفيز'!$G$5:$G$2004,'سجل التحفيز'!$AE$5:$AE$2004,"&gt;0",'سجل التحفيز'!$B$5:$B$2004,B49))</f>
        <v/>
      </c>
      <c r="G49" s="35">
        <f>IF(B49="","",COUNTIF($D$38:$D$187,"&gt;"&amp;D49)+1)</f>
        <v/>
      </c>
      <c r="H49" s="35">
        <f>IF(B49="","",INDEX(الموظفات!$L$5:$L$304,MATCH(B49,الموظفات!$B$5:$B$304,0)))</f>
        <v/>
      </c>
      <c r="K49" s="36">
        <f>IF(12&gt;$B$10,"",12)</f>
        <v/>
      </c>
      <c r="L49" s="37">
        <f>IF($K49="","",INDEX('سجل التحفيز'!$A$5:$A$2004,MATCH($K49,'سجل التحفيز'!$AE$5:$AE$2004,0)))</f>
        <v/>
      </c>
      <c r="M49" s="9">
        <f>IF($K49="","",INDEX('سجل التحفيز'!$B$5:$B$2004,MATCH($K49,'سجل التحفيز'!$AE$5:$AE$2004,0)))</f>
        <v/>
      </c>
      <c r="N49" s="9">
        <f>IF($K49="","",INDEX('سجل التحفيز'!$M$5:$M$2004,MATCH($K49,'سجل التحفيز'!$AE$5:$AE$2004,0)))</f>
        <v/>
      </c>
      <c r="O49" s="9">
        <f>IF($K49="","",INDEX('سجل التحفيز'!$C$5:$C$2004,MATCH($K49,'سجل التحفيز'!$AE$5:$AE$2004,0)))</f>
        <v/>
      </c>
      <c r="P49" s="36">
        <f>IF($K49="","",INDEX('سجل التحفيز'!$D$5:$D$2004,MATCH($K49,'سجل التحفيز'!$AE$5:$AE$2004,0)))</f>
        <v/>
      </c>
      <c r="Q49" s="9">
        <f>IF($K49="","",INDEX('سجل التحفيز'!$E$5:$E$2004,MATCH($K49,'سجل التحفيز'!$AE$5:$AE$2004,0)))</f>
        <v/>
      </c>
      <c r="R49" s="9">
        <f>IF($K49="","",INDEX('سجل التحفيز'!$F$5:$F$2004,MATCH($K49,'سجل التحفيز'!$AE$5:$AE$2004,0)))</f>
        <v/>
      </c>
      <c r="S49" s="35">
        <f>IF($K49="","",INDEX('سجل التحفيز'!$G$5:$G$2004,MATCH($K49,'سجل التحفيز'!$AE$5:$AE$2004,0)))</f>
        <v/>
      </c>
    </row>
    <row r="50">
      <c r="B50" s="34">
        <f>IFERROR(INDEX(الموظفات!$B$5:$B$304,MATCH(13,الموظفات!$Y$5:$Y$304,0)),"")</f>
        <v/>
      </c>
      <c r="C50" s="34">
        <f>IF(B50="","",INDEX(الموظفات!$D$5:$D$304,MATCH(B50,الموظفات!$B$5:$B$304,0))&amp;"")</f>
        <v/>
      </c>
      <c r="D50" s="35">
        <f>IF(B50="","",COUNTIFS('سجل التحفيز'!$AE$5:$AE$2004,"&gt;0",'سجل التحفيز'!$B$5:$B$2004,B50))</f>
        <v/>
      </c>
      <c r="E50" s="35">
        <f>IF(B50="","",COUNTIFS('سجل التحفيز'!$AE$5:$AE$2004,"&gt;0",'سجل التحفيز'!$B$5:$B$2004,B50,'سجل التحفيز'!$D$5:$D$2004,"ذهبي"))</f>
        <v/>
      </c>
      <c r="F50" s="35">
        <f>IF(B50="","",SUMIFS('سجل التحفيز'!$G$5:$G$2004,'سجل التحفيز'!$AE$5:$AE$2004,"&gt;0",'سجل التحفيز'!$B$5:$B$2004,B50))</f>
        <v/>
      </c>
      <c r="G50" s="35">
        <f>IF(B50="","",COUNTIF($D$38:$D$187,"&gt;"&amp;D50)+1)</f>
        <v/>
      </c>
      <c r="H50" s="35">
        <f>IF(B50="","",INDEX(الموظفات!$L$5:$L$304,MATCH(B50,الموظفات!$B$5:$B$304,0)))</f>
        <v/>
      </c>
      <c r="K50" s="36">
        <f>IF(13&gt;$B$10,"",13)</f>
        <v/>
      </c>
      <c r="L50" s="37">
        <f>IF($K50="","",INDEX('سجل التحفيز'!$A$5:$A$2004,MATCH($K50,'سجل التحفيز'!$AE$5:$AE$2004,0)))</f>
        <v/>
      </c>
      <c r="M50" s="9">
        <f>IF($K50="","",INDEX('سجل التحفيز'!$B$5:$B$2004,MATCH($K50,'سجل التحفيز'!$AE$5:$AE$2004,0)))</f>
        <v/>
      </c>
      <c r="N50" s="9">
        <f>IF($K50="","",INDEX('سجل التحفيز'!$M$5:$M$2004,MATCH($K50,'سجل التحفيز'!$AE$5:$AE$2004,0)))</f>
        <v/>
      </c>
      <c r="O50" s="9">
        <f>IF($K50="","",INDEX('سجل التحفيز'!$C$5:$C$2004,MATCH($K50,'سجل التحفيز'!$AE$5:$AE$2004,0)))</f>
        <v/>
      </c>
      <c r="P50" s="36">
        <f>IF($K50="","",INDEX('سجل التحفيز'!$D$5:$D$2004,MATCH($K50,'سجل التحفيز'!$AE$5:$AE$2004,0)))</f>
        <v/>
      </c>
      <c r="Q50" s="9">
        <f>IF($K50="","",INDEX('سجل التحفيز'!$E$5:$E$2004,MATCH($K50,'سجل التحفيز'!$AE$5:$AE$2004,0)))</f>
        <v/>
      </c>
      <c r="R50" s="9">
        <f>IF($K50="","",INDEX('سجل التحفيز'!$F$5:$F$2004,MATCH($K50,'سجل التحفيز'!$AE$5:$AE$2004,0)))</f>
        <v/>
      </c>
      <c r="S50" s="35">
        <f>IF($K50="","",INDEX('سجل التحفيز'!$G$5:$G$2004,MATCH($K50,'سجل التحفيز'!$AE$5:$AE$2004,0)))</f>
        <v/>
      </c>
    </row>
    <row r="51">
      <c r="B51" s="34">
        <f>IFERROR(INDEX(الموظفات!$B$5:$B$304,MATCH(14,الموظفات!$Y$5:$Y$304,0)),"")</f>
        <v/>
      </c>
      <c r="C51" s="34">
        <f>IF(B51="","",INDEX(الموظفات!$D$5:$D$304,MATCH(B51,الموظفات!$B$5:$B$304,0))&amp;"")</f>
        <v/>
      </c>
      <c r="D51" s="35">
        <f>IF(B51="","",COUNTIFS('سجل التحفيز'!$AE$5:$AE$2004,"&gt;0",'سجل التحفيز'!$B$5:$B$2004,B51))</f>
        <v/>
      </c>
      <c r="E51" s="35">
        <f>IF(B51="","",COUNTIFS('سجل التحفيز'!$AE$5:$AE$2004,"&gt;0",'سجل التحفيز'!$B$5:$B$2004,B51,'سجل التحفيز'!$D$5:$D$2004,"ذهبي"))</f>
        <v/>
      </c>
      <c r="F51" s="35">
        <f>IF(B51="","",SUMIFS('سجل التحفيز'!$G$5:$G$2004,'سجل التحفيز'!$AE$5:$AE$2004,"&gt;0",'سجل التحفيز'!$B$5:$B$2004,B51))</f>
        <v/>
      </c>
      <c r="G51" s="35">
        <f>IF(B51="","",COUNTIF($D$38:$D$187,"&gt;"&amp;D51)+1)</f>
        <v/>
      </c>
      <c r="H51" s="35">
        <f>IF(B51="","",INDEX(الموظفات!$L$5:$L$304,MATCH(B51,الموظفات!$B$5:$B$304,0)))</f>
        <v/>
      </c>
      <c r="K51" s="36">
        <f>IF(14&gt;$B$10,"",14)</f>
        <v/>
      </c>
      <c r="L51" s="37">
        <f>IF($K51="","",INDEX('سجل التحفيز'!$A$5:$A$2004,MATCH($K51,'سجل التحفيز'!$AE$5:$AE$2004,0)))</f>
        <v/>
      </c>
      <c r="M51" s="9">
        <f>IF($K51="","",INDEX('سجل التحفيز'!$B$5:$B$2004,MATCH($K51,'سجل التحفيز'!$AE$5:$AE$2004,0)))</f>
        <v/>
      </c>
      <c r="N51" s="9">
        <f>IF($K51="","",INDEX('سجل التحفيز'!$M$5:$M$2004,MATCH($K51,'سجل التحفيز'!$AE$5:$AE$2004,0)))</f>
        <v/>
      </c>
      <c r="O51" s="9">
        <f>IF($K51="","",INDEX('سجل التحفيز'!$C$5:$C$2004,MATCH($K51,'سجل التحفيز'!$AE$5:$AE$2004,0)))</f>
        <v/>
      </c>
      <c r="P51" s="36">
        <f>IF($K51="","",INDEX('سجل التحفيز'!$D$5:$D$2004,MATCH($K51,'سجل التحفيز'!$AE$5:$AE$2004,0)))</f>
        <v/>
      </c>
      <c r="Q51" s="9">
        <f>IF($K51="","",INDEX('سجل التحفيز'!$E$5:$E$2004,MATCH($K51,'سجل التحفيز'!$AE$5:$AE$2004,0)))</f>
        <v/>
      </c>
      <c r="R51" s="9">
        <f>IF($K51="","",INDEX('سجل التحفيز'!$F$5:$F$2004,MATCH($K51,'سجل التحفيز'!$AE$5:$AE$2004,0)))</f>
        <v/>
      </c>
      <c r="S51" s="35">
        <f>IF($K51="","",INDEX('سجل التحفيز'!$G$5:$G$2004,MATCH($K51,'سجل التحفيز'!$AE$5:$AE$2004,0)))</f>
        <v/>
      </c>
    </row>
    <row r="52">
      <c r="B52" s="34">
        <f>IFERROR(INDEX(الموظفات!$B$5:$B$304,MATCH(15,الموظفات!$Y$5:$Y$304,0)),"")</f>
        <v/>
      </c>
      <c r="C52" s="34">
        <f>IF(B52="","",INDEX(الموظفات!$D$5:$D$304,MATCH(B52,الموظفات!$B$5:$B$304,0))&amp;"")</f>
        <v/>
      </c>
      <c r="D52" s="35">
        <f>IF(B52="","",COUNTIFS('سجل التحفيز'!$AE$5:$AE$2004,"&gt;0",'سجل التحفيز'!$B$5:$B$2004,B52))</f>
        <v/>
      </c>
      <c r="E52" s="35">
        <f>IF(B52="","",COUNTIFS('سجل التحفيز'!$AE$5:$AE$2004,"&gt;0",'سجل التحفيز'!$B$5:$B$2004,B52,'سجل التحفيز'!$D$5:$D$2004,"ذهبي"))</f>
        <v/>
      </c>
      <c r="F52" s="35">
        <f>IF(B52="","",SUMIFS('سجل التحفيز'!$G$5:$G$2004,'سجل التحفيز'!$AE$5:$AE$2004,"&gt;0",'سجل التحفيز'!$B$5:$B$2004,B52))</f>
        <v/>
      </c>
      <c r="G52" s="35">
        <f>IF(B52="","",COUNTIF($D$38:$D$187,"&gt;"&amp;D52)+1)</f>
        <v/>
      </c>
      <c r="H52" s="35">
        <f>IF(B52="","",INDEX(الموظفات!$L$5:$L$304,MATCH(B52,الموظفات!$B$5:$B$304,0)))</f>
        <v/>
      </c>
      <c r="K52" s="36">
        <f>IF(15&gt;$B$10,"",15)</f>
        <v/>
      </c>
      <c r="L52" s="37">
        <f>IF($K52="","",INDEX('سجل التحفيز'!$A$5:$A$2004,MATCH($K52,'سجل التحفيز'!$AE$5:$AE$2004,0)))</f>
        <v/>
      </c>
      <c r="M52" s="9">
        <f>IF($K52="","",INDEX('سجل التحفيز'!$B$5:$B$2004,MATCH($K52,'سجل التحفيز'!$AE$5:$AE$2004,0)))</f>
        <v/>
      </c>
      <c r="N52" s="9">
        <f>IF($K52="","",INDEX('سجل التحفيز'!$M$5:$M$2004,MATCH($K52,'سجل التحفيز'!$AE$5:$AE$2004,0)))</f>
        <v/>
      </c>
      <c r="O52" s="9">
        <f>IF($K52="","",INDEX('سجل التحفيز'!$C$5:$C$2004,MATCH($K52,'سجل التحفيز'!$AE$5:$AE$2004,0)))</f>
        <v/>
      </c>
      <c r="P52" s="36">
        <f>IF($K52="","",INDEX('سجل التحفيز'!$D$5:$D$2004,MATCH($K52,'سجل التحفيز'!$AE$5:$AE$2004,0)))</f>
        <v/>
      </c>
      <c r="Q52" s="9">
        <f>IF($K52="","",INDEX('سجل التحفيز'!$E$5:$E$2004,MATCH($K52,'سجل التحفيز'!$AE$5:$AE$2004,0)))</f>
        <v/>
      </c>
      <c r="R52" s="9">
        <f>IF($K52="","",INDEX('سجل التحفيز'!$F$5:$F$2004,MATCH($K52,'سجل التحفيز'!$AE$5:$AE$2004,0)))</f>
        <v/>
      </c>
      <c r="S52" s="35">
        <f>IF($K52="","",INDEX('سجل التحفيز'!$G$5:$G$2004,MATCH($K52,'سجل التحفيز'!$AE$5:$AE$2004,0)))</f>
        <v/>
      </c>
    </row>
    <row r="53">
      <c r="B53" s="34">
        <f>IFERROR(INDEX(الموظفات!$B$5:$B$304,MATCH(16,الموظفات!$Y$5:$Y$304,0)),"")</f>
        <v/>
      </c>
      <c r="C53" s="34">
        <f>IF(B53="","",INDEX(الموظفات!$D$5:$D$304,MATCH(B53,الموظفات!$B$5:$B$304,0))&amp;"")</f>
        <v/>
      </c>
      <c r="D53" s="35">
        <f>IF(B53="","",COUNTIFS('سجل التحفيز'!$AE$5:$AE$2004,"&gt;0",'سجل التحفيز'!$B$5:$B$2004,B53))</f>
        <v/>
      </c>
      <c r="E53" s="35">
        <f>IF(B53="","",COUNTIFS('سجل التحفيز'!$AE$5:$AE$2004,"&gt;0",'سجل التحفيز'!$B$5:$B$2004,B53,'سجل التحفيز'!$D$5:$D$2004,"ذهبي"))</f>
        <v/>
      </c>
      <c r="F53" s="35">
        <f>IF(B53="","",SUMIFS('سجل التحفيز'!$G$5:$G$2004,'سجل التحفيز'!$AE$5:$AE$2004,"&gt;0",'سجل التحفيز'!$B$5:$B$2004,B53))</f>
        <v/>
      </c>
      <c r="G53" s="35">
        <f>IF(B53="","",COUNTIF($D$38:$D$187,"&gt;"&amp;D53)+1)</f>
        <v/>
      </c>
      <c r="H53" s="35">
        <f>IF(B53="","",INDEX(الموظفات!$L$5:$L$304,MATCH(B53,الموظفات!$B$5:$B$304,0)))</f>
        <v/>
      </c>
      <c r="K53" s="36">
        <f>IF(16&gt;$B$10,"",16)</f>
        <v/>
      </c>
      <c r="L53" s="37">
        <f>IF($K53="","",INDEX('سجل التحفيز'!$A$5:$A$2004,MATCH($K53,'سجل التحفيز'!$AE$5:$AE$2004,0)))</f>
        <v/>
      </c>
      <c r="M53" s="9">
        <f>IF($K53="","",INDEX('سجل التحفيز'!$B$5:$B$2004,MATCH($K53,'سجل التحفيز'!$AE$5:$AE$2004,0)))</f>
        <v/>
      </c>
      <c r="N53" s="9">
        <f>IF($K53="","",INDEX('سجل التحفيز'!$M$5:$M$2004,MATCH($K53,'سجل التحفيز'!$AE$5:$AE$2004,0)))</f>
        <v/>
      </c>
      <c r="O53" s="9">
        <f>IF($K53="","",INDEX('سجل التحفيز'!$C$5:$C$2004,MATCH($K53,'سجل التحفيز'!$AE$5:$AE$2004,0)))</f>
        <v/>
      </c>
      <c r="P53" s="36">
        <f>IF($K53="","",INDEX('سجل التحفيز'!$D$5:$D$2004,MATCH($K53,'سجل التحفيز'!$AE$5:$AE$2004,0)))</f>
        <v/>
      </c>
      <c r="Q53" s="9">
        <f>IF($K53="","",INDEX('سجل التحفيز'!$E$5:$E$2004,MATCH($K53,'سجل التحفيز'!$AE$5:$AE$2004,0)))</f>
        <v/>
      </c>
      <c r="R53" s="9">
        <f>IF($K53="","",INDEX('سجل التحفيز'!$F$5:$F$2004,MATCH($K53,'سجل التحفيز'!$AE$5:$AE$2004,0)))</f>
        <v/>
      </c>
      <c r="S53" s="35">
        <f>IF($K53="","",INDEX('سجل التحفيز'!$G$5:$G$2004,MATCH($K53,'سجل التحفيز'!$AE$5:$AE$2004,0)))</f>
        <v/>
      </c>
    </row>
    <row r="54">
      <c r="B54" s="34">
        <f>IFERROR(INDEX(الموظفات!$B$5:$B$304,MATCH(17,الموظفات!$Y$5:$Y$304,0)),"")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التحفيز'!$AE$5:$AE$2004,"&gt;0",'سجل التحفيز'!$B$5:$B$2004,B54))</f>
        <v/>
      </c>
      <c r="E54" s="35">
        <f>IF(B54="","",COUNTIFS('سجل التحفيز'!$AE$5:$AE$2004,"&gt;0",'سجل التحفيز'!$B$5:$B$2004,B54,'سجل التحفيز'!$D$5:$D$2004,"ذهبي"))</f>
        <v/>
      </c>
      <c r="F54" s="35">
        <f>IF(B54="","",SUMIFS('سجل التحفيز'!$G$5:$G$2004,'سجل التحفيز'!$AE$5:$AE$2004,"&gt;0",'سجل التحفيز'!$B$5:$B$2004,B54))</f>
        <v/>
      </c>
      <c r="G54" s="35">
        <f>IF(B54="","",COUNTIF($D$38:$D$187,"&gt;"&amp;D54)+1)</f>
        <v/>
      </c>
      <c r="H54" s="35">
        <f>IF(B54="","",INDEX(الموظفات!$L$5:$L$304,MATCH(B54,الموظفات!$B$5:$B$304,0)))</f>
        <v/>
      </c>
      <c r="K54" s="36">
        <f>IF(17&gt;$B$10,"",17)</f>
        <v/>
      </c>
      <c r="L54" s="37">
        <f>IF($K54="","",INDEX('سجل التحفيز'!$A$5:$A$2004,MATCH($K54,'سجل التحفيز'!$AE$5:$AE$2004,0)))</f>
        <v/>
      </c>
      <c r="M54" s="9">
        <f>IF($K54="","",INDEX('سجل التحفيز'!$B$5:$B$2004,MATCH($K54,'سجل التحفيز'!$AE$5:$AE$2004,0)))</f>
        <v/>
      </c>
      <c r="N54" s="9">
        <f>IF($K54="","",INDEX('سجل التحفيز'!$M$5:$M$2004,MATCH($K54,'سجل التحفيز'!$AE$5:$AE$2004,0)))</f>
        <v/>
      </c>
      <c r="O54" s="9">
        <f>IF($K54="","",INDEX('سجل التحفيز'!$C$5:$C$2004,MATCH($K54,'سجل التحفيز'!$AE$5:$AE$2004,0)))</f>
        <v/>
      </c>
      <c r="P54" s="36">
        <f>IF($K54="","",INDEX('سجل التحفيز'!$D$5:$D$2004,MATCH($K54,'سجل التحفيز'!$AE$5:$AE$2004,0)))</f>
        <v/>
      </c>
      <c r="Q54" s="9">
        <f>IF($K54="","",INDEX('سجل التحفيز'!$E$5:$E$2004,MATCH($K54,'سجل التحفيز'!$AE$5:$AE$2004,0)))</f>
        <v/>
      </c>
      <c r="R54" s="9">
        <f>IF($K54="","",INDEX('سجل التحفيز'!$F$5:$F$2004,MATCH($K54,'سجل التحفيز'!$AE$5:$AE$2004,0)))</f>
        <v/>
      </c>
      <c r="S54" s="35">
        <f>IF($K54="","",INDEX('سجل التحفيز'!$G$5:$G$2004,MATCH($K54,'سجل التحفيز'!$AE$5:$AE$2004,0)))</f>
        <v/>
      </c>
    </row>
    <row r="55">
      <c r="B55" s="34">
        <f>IFERROR(INDEX(الموظفات!$B$5:$B$304,MATCH(18,الموظفات!$Y$5:$Y$304,0)),"")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التحفيز'!$AE$5:$AE$2004,"&gt;0",'سجل التحفيز'!$B$5:$B$2004,B55))</f>
        <v/>
      </c>
      <c r="E55" s="35">
        <f>IF(B55="","",COUNTIFS('سجل التحفيز'!$AE$5:$AE$2004,"&gt;0",'سجل التحفيز'!$B$5:$B$2004,B55,'سجل التحفيز'!$D$5:$D$2004,"ذهبي"))</f>
        <v/>
      </c>
      <c r="F55" s="35">
        <f>IF(B55="","",SUMIFS('سجل التحفيز'!$G$5:$G$2004,'سجل التحفيز'!$AE$5:$AE$2004,"&gt;0",'سجل التحفيز'!$B$5:$B$2004,B55))</f>
        <v/>
      </c>
      <c r="G55" s="35">
        <f>IF(B55="","",COUNTIF($D$38:$D$187,"&gt;"&amp;D55)+1)</f>
        <v/>
      </c>
      <c r="H55" s="35">
        <f>IF(B55="","",INDEX(الموظفات!$L$5:$L$304,MATCH(B55,الموظفات!$B$5:$B$304,0)))</f>
        <v/>
      </c>
      <c r="K55" s="36">
        <f>IF(18&gt;$B$10,"",18)</f>
        <v/>
      </c>
      <c r="L55" s="37">
        <f>IF($K55="","",INDEX('سجل التحفيز'!$A$5:$A$2004,MATCH($K55,'سجل التحفيز'!$AE$5:$AE$2004,0)))</f>
        <v/>
      </c>
      <c r="M55" s="9">
        <f>IF($K55="","",INDEX('سجل التحفيز'!$B$5:$B$2004,MATCH($K55,'سجل التحفيز'!$AE$5:$AE$2004,0)))</f>
        <v/>
      </c>
      <c r="N55" s="9">
        <f>IF($K55="","",INDEX('سجل التحفيز'!$M$5:$M$2004,MATCH($K55,'سجل التحفيز'!$AE$5:$AE$2004,0)))</f>
        <v/>
      </c>
      <c r="O55" s="9">
        <f>IF($K55="","",INDEX('سجل التحفيز'!$C$5:$C$2004,MATCH($K55,'سجل التحفيز'!$AE$5:$AE$2004,0)))</f>
        <v/>
      </c>
      <c r="P55" s="36">
        <f>IF($K55="","",INDEX('سجل التحفيز'!$D$5:$D$2004,MATCH($K55,'سجل التحفيز'!$AE$5:$AE$2004,0)))</f>
        <v/>
      </c>
      <c r="Q55" s="9">
        <f>IF($K55="","",INDEX('سجل التحفيز'!$E$5:$E$2004,MATCH($K55,'سجل التحفيز'!$AE$5:$AE$2004,0)))</f>
        <v/>
      </c>
      <c r="R55" s="9">
        <f>IF($K55="","",INDEX('سجل التحفيز'!$F$5:$F$2004,MATCH($K55,'سجل التحفيز'!$AE$5:$AE$2004,0)))</f>
        <v/>
      </c>
      <c r="S55" s="35">
        <f>IF($K55="","",INDEX('سجل التحفيز'!$G$5:$G$2004,MATCH($K55,'سجل التحفيز'!$AE$5:$AE$2004,0)))</f>
        <v/>
      </c>
    </row>
    <row r="56">
      <c r="B56" s="34">
        <f>IFERROR(INDEX(الموظفات!$B$5:$B$304,MATCH(19,الموظفات!$Y$5:$Y$304,0)),"")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التحفيز'!$AE$5:$AE$2004,"&gt;0",'سجل التحفيز'!$B$5:$B$2004,B56))</f>
        <v/>
      </c>
      <c r="E56" s="35">
        <f>IF(B56="","",COUNTIFS('سجل التحفيز'!$AE$5:$AE$2004,"&gt;0",'سجل التحفيز'!$B$5:$B$2004,B56,'سجل التحفيز'!$D$5:$D$2004,"ذهبي"))</f>
        <v/>
      </c>
      <c r="F56" s="35">
        <f>IF(B56="","",SUMIFS('سجل التحفيز'!$G$5:$G$2004,'سجل التحفيز'!$AE$5:$AE$2004,"&gt;0",'سجل التحفيز'!$B$5:$B$2004,B56))</f>
        <v/>
      </c>
      <c r="G56" s="35">
        <f>IF(B56="","",COUNTIF($D$38:$D$187,"&gt;"&amp;D56)+1)</f>
        <v/>
      </c>
      <c r="H56" s="35">
        <f>IF(B56="","",INDEX(الموظفات!$L$5:$L$304,MATCH(B56,الموظفات!$B$5:$B$304,0)))</f>
        <v/>
      </c>
      <c r="K56" s="36">
        <f>IF(19&gt;$B$10,"",19)</f>
        <v/>
      </c>
      <c r="L56" s="37">
        <f>IF($K56="","",INDEX('سجل التحفيز'!$A$5:$A$2004,MATCH($K56,'سجل التحفيز'!$AE$5:$AE$2004,0)))</f>
        <v/>
      </c>
      <c r="M56" s="9">
        <f>IF($K56="","",INDEX('سجل التحفيز'!$B$5:$B$2004,MATCH($K56,'سجل التحفيز'!$AE$5:$AE$2004,0)))</f>
        <v/>
      </c>
      <c r="N56" s="9">
        <f>IF($K56="","",INDEX('سجل التحفيز'!$M$5:$M$2004,MATCH($K56,'سجل التحفيز'!$AE$5:$AE$2004,0)))</f>
        <v/>
      </c>
      <c r="O56" s="9">
        <f>IF($K56="","",INDEX('سجل التحفيز'!$C$5:$C$2004,MATCH($K56,'سجل التحفيز'!$AE$5:$AE$2004,0)))</f>
        <v/>
      </c>
      <c r="P56" s="36">
        <f>IF($K56="","",INDEX('سجل التحفيز'!$D$5:$D$2004,MATCH($K56,'سجل التحفيز'!$AE$5:$AE$2004,0)))</f>
        <v/>
      </c>
      <c r="Q56" s="9">
        <f>IF($K56="","",INDEX('سجل التحفيز'!$E$5:$E$2004,MATCH($K56,'سجل التحفيز'!$AE$5:$AE$2004,0)))</f>
        <v/>
      </c>
      <c r="R56" s="9">
        <f>IF($K56="","",INDEX('سجل التحفيز'!$F$5:$F$2004,MATCH($K56,'سجل التحفيز'!$AE$5:$AE$2004,0)))</f>
        <v/>
      </c>
      <c r="S56" s="35">
        <f>IF($K56="","",INDEX('سجل التحفيز'!$G$5:$G$2004,MATCH($K56,'سجل التحفيز'!$AE$5:$AE$2004,0)))</f>
        <v/>
      </c>
    </row>
    <row r="57">
      <c r="B57" s="34">
        <f>IFERROR(INDEX(الموظفات!$B$5:$B$304,MATCH(20,الموظفات!$Y$5:$Y$304,0)),"")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التحفيز'!$AE$5:$AE$2004,"&gt;0",'سجل التحفيز'!$B$5:$B$2004,B57))</f>
        <v/>
      </c>
      <c r="E57" s="35">
        <f>IF(B57="","",COUNTIFS('سجل التحفيز'!$AE$5:$AE$2004,"&gt;0",'سجل التحفيز'!$B$5:$B$2004,B57,'سجل التحفيز'!$D$5:$D$2004,"ذهبي"))</f>
        <v/>
      </c>
      <c r="F57" s="35">
        <f>IF(B57="","",SUMIFS('سجل التحفيز'!$G$5:$G$2004,'سجل التحفيز'!$AE$5:$AE$2004,"&gt;0",'سجل التحفيز'!$B$5:$B$2004,B57))</f>
        <v/>
      </c>
      <c r="G57" s="35">
        <f>IF(B57="","",COUNTIF($D$38:$D$187,"&gt;"&amp;D57)+1)</f>
        <v/>
      </c>
      <c r="H57" s="35">
        <f>IF(B57="","",INDEX(الموظفات!$L$5:$L$304,MATCH(B57,الموظفات!$B$5:$B$304,0)))</f>
        <v/>
      </c>
      <c r="K57" s="36">
        <f>IF(20&gt;$B$10,"",20)</f>
        <v/>
      </c>
      <c r="L57" s="37">
        <f>IF($K57="","",INDEX('سجل التحفيز'!$A$5:$A$2004,MATCH($K57,'سجل التحفيز'!$AE$5:$AE$2004,0)))</f>
        <v/>
      </c>
      <c r="M57" s="9">
        <f>IF($K57="","",INDEX('سجل التحفيز'!$B$5:$B$2004,MATCH($K57,'سجل التحفيز'!$AE$5:$AE$2004,0)))</f>
        <v/>
      </c>
      <c r="N57" s="9">
        <f>IF($K57="","",INDEX('سجل التحفيز'!$M$5:$M$2004,MATCH($K57,'سجل التحفيز'!$AE$5:$AE$2004,0)))</f>
        <v/>
      </c>
      <c r="O57" s="9">
        <f>IF($K57="","",INDEX('سجل التحفيز'!$C$5:$C$2004,MATCH($K57,'سجل التحفيز'!$AE$5:$AE$2004,0)))</f>
        <v/>
      </c>
      <c r="P57" s="36">
        <f>IF($K57="","",INDEX('سجل التحفيز'!$D$5:$D$2004,MATCH($K57,'سجل التحفيز'!$AE$5:$AE$2004,0)))</f>
        <v/>
      </c>
      <c r="Q57" s="9">
        <f>IF($K57="","",INDEX('سجل التحفيز'!$E$5:$E$2004,MATCH($K57,'سجل التحفيز'!$AE$5:$AE$2004,0)))</f>
        <v/>
      </c>
      <c r="R57" s="9">
        <f>IF($K57="","",INDEX('سجل التحفيز'!$F$5:$F$2004,MATCH($K57,'سجل التحفيز'!$AE$5:$AE$2004,0)))</f>
        <v/>
      </c>
      <c r="S57" s="35">
        <f>IF($K57="","",INDEX('سجل التحفيز'!$G$5:$G$2004,MATCH($K57,'سجل التحفيز'!$AE$5:$AE$2004,0)))</f>
        <v/>
      </c>
    </row>
    <row r="58">
      <c r="B58" s="34">
        <f>IFERROR(INDEX(الموظفات!$B$5:$B$304,MATCH(21,الموظفات!$Y$5:$Y$304,0)),"")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التحفيز'!$AE$5:$AE$2004,"&gt;0",'سجل التحفيز'!$B$5:$B$2004,B58))</f>
        <v/>
      </c>
      <c r="E58" s="35">
        <f>IF(B58="","",COUNTIFS('سجل التحفيز'!$AE$5:$AE$2004,"&gt;0",'سجل التحفيز'!$B$5:$B$2004,B58,'سجل التحفيز'!$D$5:$D$2004,"ذهبي"))</f>
        <v/>
      </c>
      <c r="F58" s="35">
        <f>IF(B58="","",SUMIFS('سجل التحفيز'!$G$5:$G$2004,'سجل التحفيز'!$AE$5:$AE$2004,"&gt;0",'سجل التحفيز'!$B$5:$B$2004,B58))</f>
        <v/>
      </c>
      <c r="G58" s="35">
        <f>IF(B58="","",COUNTIF($D$38:$D$187,"&gt;"&amp;D58)+1)</f>
        <v/>
      </c>
      <c r="H58" s="35">
        <f>IF(B58="","",INDEX(الموظفات!$L$5:$L$304,MATCH(B58,الموظفات!$B$5:$B$304,0)))</f>
        <v/>
      </c>
      <c r="K58" s="36">
        <f>IF(21&gt;$B$10,"",21)</f>
        <v/>
      </c>
      <c r="L58" s="37">
        <f>IF($K58="","",INDEX('سجل التحفيز'!$A$5:$A$2004,MATCH($K58,'سجل التحفيز'!$AE$5:$AE$2004,0)))</f>
        <v/>
      </c>
      <c r="M58" s="9">
        <f>IF($K58="","",INDEX('سجل التحفيز'!$B$5:$B$2004,MATCH($K58,'سجل التحفيز'!$AE$5:$AE$2004,0)))</f>
        <v/>
      </c>
      <c r="N58" s="9">
        <f>IF($K58="","",INDEX('سجل التحفيز'!$M$5:$M$2004,MATCH($K58,'سجل التحفيز'!$AE$5:$AE$2004,0)))</f>
        <v/>
      </c>
      <c r="O58" s="9">
        <f>IF($K58="","",INDEX('سجل التحفيز'!$C$5:$C$2004,MATCH($K58,'سجل التحفيز'!$AE$5:$AE$2004,0)))</f>
        <v/>
      </c>
      <c r="P58" s="36">
        <f>IF($K58="","",INDEX('سجل التحفيز'!$D$5:$D$2004,MATCH($K58,'سجل التحفيز'!$AE$5:$AE$2004,0)))</f>
        <v/>
      </c>
      <c r="Q58" s="9">
        <f>IF($K58="","",INDEX('سجل التحفيز'!$E$5:$E$2004,MATCH($K58,'سجل التحفيز'!$AE$5:$AE$2004,0)))</f>
        <v/>
      </c>
      <c r="R58" s="9">
        <f>IF($K58="","",INDEX('سجل التحفيز'!$F$5:$F$2004,MATCH($K58,'سجل التحفيز'!$AE$5:$AE$2004,0)))</f>
        <v/>
      </c>
      <c r="S58" s="35">
        <f>IF($K58="","",INDEX('سجل التحفيز'!$G$5:$G$2004,MATCH($K58,'سجل التحفيز'!$AE$5:$AE$2004,0)))</f>
        <v/>
      </c>
    </row>
    <row r="59">
      <c r="B59" s="34">
        <f>IFERROR(INDEX(الموظفات!$B$5:$B$304,MATCH(22,الموظفات!$Y$5:$Y$304,0)),"")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التحفيز'!$AE$5:$AE$2004,"&gt;0",'سجل التحفيز'!$B$5:$B$2004,B59))</f>
        <v/>
      </c>
      <c r="E59" s="35">
        <f>IF(B59="","",COUNTIFS('سجل التحفيز'!$AE$5:$AE$2004,"&gt;0",'سجل التحفيز'!$B$5:$B$2004,B59,'سجل التحفيز'!$D$5:$D$2004,"ذهبي"))</f>
        <v/>
      </c>
      <c r="F59" s="35">
        <f>IF(B59="","",SUMIFS('سجل التحفيز'!$G$5:$G$2004,'سجل التحفيز'!$AE$5:$AE$2004,"&gt;0",'سجل التحفيز'!$B$5:$B$2004,B59))</f>
        <v/>
      </c>
      <c r="G59" s="35">
        <f>IF(B59="","",COUNTIF($D$38:$D$187,"&gt;"&amp;D59)+1)</f>
        <v/>
      </c>
      <c r="H59" s="35">
        <f>IF(B59="","",INDEX(الموظفات!$L$5:$L$304,MATCH(B59,الموظفات!$B$5:$B$304,0)))</f>
        <v/>
      </c>
      <c r="K59" s="36">
        <f>IF(22&gt;$B$10,"",22)</f>
        <v/>
      </c>
      <c r="L59" s="37">
        <f>IF($K59="","",INDEX('سجل التحفيز'!$A$5:$A$2004,MATCH($K59,'سجل التحفيز'!$AE$5:$AE$2004,0)))</f>
        <v/>
      </c>
      <c r="M59" s="9">
        <f>IF($K59="","",INDEX('سجل التحفيز'!$B$5:$B$2004,MATCH($K59,'سجل التحفيز'!$AE$5:$AE$2004,0)))</f>
        <v/>
      </c>
      <c r="N59" s="9">
        <f>IF($K59="","",INDEX('سجل التحفيز'!$M$5:$M$2004,MATCH($K59,'سجل التحفيز'!$AE$5:$AE$2004,0)))</f>
        <v/>
      </c>
      <c r="O59" s="9">
        <f>IF($K59="","",INDEX('سجل التحفيز'!$C$5:$C$2004,MATCH($K59,'سجل التحفيز'!$AE$5:$AE$2004,0)))</f>
        <v/>
      </c>
      <c r="P59" s="36">
        <f>IF($K59="","",INDEX('سجل التحفيز'!$D$5:$D$2004,MATCH($K59,'سجل التحفيز'!$AE$5:$AE$2004,0)))</f>
        <v/>
      </c>
      <c r="Q59" s="9">
        <f>IF($K59="","",INDEX('سجل التحفيز'!$E$5:$E$2004,MATCH($K59,'سجل التحفيز'!$AE$5:$AE$2004,0)))</f>
        <v/>
      </c>
      <c r="R59" s="9">
        <f>IF($K59="","",INDEX('سجل التحفيز'!$F$5:$F$2004,MATCH($K59,'سجل التحفيز'!$AE$5:$AE$2004,0)))</f>
        <v/>
      </c>
      <c r="S59" s="35">
        <f>IF($K59="","",INDEX('سجل التحفيز'!$G$5:$G$2004,MATCH($K59,'سجل التحفيز'!$AE$5:$AE$2004,0)))</f>
        <v/>
      </c>
    </row>
    <row r="60">
      <c r="B60" s="34">
        <f>IFERROR(INDEX(الموظفات!$B$5:$B$304,MATCH(23,الموظفات!$Y$5:$Y$304,0)),"")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التحفيز'!$AE$5:$AE$2004,"&gt;0",'سجل التحفيز'!$B$5:$B$2004,B60))</f>
        <v/>
      </c>
      <c r="E60" s="35">
        <f>IF(B60="","",COUNTIFS('سجل التحفيز'!$AE$5:$AE$2004,"&gt;0",'سجل التحفيز'!$B$5:$B$2004,B60,'سجل التحفيز'!$D$5:$D$2004,"ذهبي"))</f>
        <v/>
      </c>
      <c r="F60" s="35">
        <f>IF(B60="","",SUMIFS('سجل التحفيز'!$G$5:$G$2004,'سجل التحفيز'!$AE$5:$AE$2004,"&gt;0",'سجل التحفيز'!$B$5:$B$2004,B60))</f>
        <v/>
      </c>
      <c r="G60" s="35">
        <f>IF(B60="","",COUNTIF($D$38:$D$187,"&gt;"&amp;D60)+1)</f>
        <v/>
      </c>
      <c r="H60" s="35">
        <f>IF(B60="","",INDEX(الموظفات!$L$5:$L$304,MATCH(B60,الموظفات!$B$5:$B$304,0)))</f>
        <v/>
      </c>
      <c r="K60" s="36">
        <f>IF(23&gt;$B$10,"",23)</f>
        <v/>
      </c>
      <c r="L60" s="37">
        <f>IF($K60="","",INDEX('سجل التحفيز'!$A$5:$A$2004,MATCH($K60,'سجل التحفيز'!$AE$5:$AE$2004,0)))</f>
        <v/>
      </c>
      <c r="M60" s="9">
        <f>IF($K60="","",INDEX('سجل التحفيز'!$B$5:$B$2004,MATCH($K60,'سجل التحفيز'!$AE$5:$AE$2004,0)))</f>
        <v/>
      </c>
      <c r="N60" s="9">
        <f>IF($K60="","",INDEX('سجل التحفيز'!$M$5:$M$2004,MATCH($K60,'سجل التحفيز'!$AE$5:$AE$2004,0)))</f>
        <v/>
      </c>
      <c r="O60" s="9">
        <f>IF($K60="","",INDEX('سجل التحفيز'!$C$5:$C$2004,MATCH($K60,'سجل التحفيز'!$AE$5:$AE$2004,0)))</f>
        <v/>
      </c>
      <c r="P60" s="36">
        <f>IF($K60="","",INDEX('سجل التحفيز'!$D$5:$D$2004,MATCH($K60,'سجل التحفيز'!$AE$5:$AE$2004,0)))</f>
        <v/>
      </c>
      <c r="Q60" s="9">
        <f>IF($K60="","",INDEX('سجل التحفيز'!$E$5:$E$2004,MATCH($K60,'سجل التحفيز'!$AE$5:$AE$2004,0)))</f>
        <v/>
      </c>
      <c r="R60" s="9">
        <f>IF($K60="","",INDEX('سجل التحفيز'!$F$5:$F$2004,MATCH($K60,'سجل التحفيز'!$AE$5:$AE$2004,0)))</f>
        <v/>
      </c>
      <c r="S60" s="35">
        <f>IF($K60="","",INDEX('سجل التحفيز'!$G$5:$G$2004,MATCH($K60,'سجل التحفيز'!$AE$5:$AE$2004,0)))</f>
        <v/>
      </c>
    </row>
    <row r="61">
      <c r="B61" s="34">
        <f>IFERROR(INDEX(الموظفات!$B$5:$B$304,MATCH(24,الموظفات!$Y$5:$Y$304,0)),"")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التحفيز'!$AE$5:$AE$2004,"&gt;0",'سجل التحفيز'!$B$5:$B$2004,B61))</f>
        <v/>
      </c>
      <c r="E61" s="35">
        <f>IF(B61="","",COUNTIFS('سجل التحفيز'!$AE$5:$AE$2004,"&gt;0",'سجل التحفيز'!$B$5:$B$2004,B61,'سجل التحفيز'!$D$5:$D$2004,"ذهبي"))</f>
        <v/>
      </c>
      <c r="F61" s="35">
        <f>IF(B61="","",SUMIFS('سجل التحفيز'!$G$5:$G$2004,'سجل التحفيز'!$AE$5:$AE$2004,"&gt;0",'سجل التحفيز'!$B$5:$B$2004,B61))</f>
        <v/>
      </c>
      <c r="G61" s="35">
        <f>IF(B61="","",COUNTIF($D$38:$D$187,"&gt;"&amp;D61)+1)</f>
        <v/>
      </c>
      <c r="H61" s="35">
        <f>IF(B61="","",INDEX(الموظفات!$L$5:$L$304,MATCH(B61,الموظفات!$B$5:$B$304,0)))</f>
        <v/>
      </c>
      <c r="K61" s="36">
        <f>IF(24&gt;$B$10,"",24)</f>
        <v/>
      </c>
      <c r="L61" s="37">
        <f>IF($K61="","",INDEX('سجل التحفيز'!$A$5:$A$2004,MATCH($K61,'سجل التحفيز'!$AE$5:$AE$2004,0)))</f>
        <v/>
      </c>
      <c r="M61" s="9">
        <f>IF($K61="","",INDEX('سجل التحفيز'!$B$5:$B$2004,MATCH($K61,'سجل التحفيز'!$AE$5:$AE$2004,0)))</f>
        <v/>
      </c>
      <c r="N61" s="9">
        <f>IF($K61="","",INDEX('سجل التحفيز'!$M$5:$M$2004,MATCH($K61,'سجل التحفيز'!$AE$5:$AE$2004,0)))</f>
        <v/>
      </c>
      <c r="O61" s="9">
        <f>IF($K61="","",INDEX('سجل التحفيز'!$C$5:$C$2004,MATCH($K61,'سجل التحفيز'!$AE$5:$AE$2004,0)))</f>
        <v/>
      </c>
      <c r="P61" s="36">
        <f>IF($K61="","",INDEX('سجل التحفيز'!$D$5:$D$2004,MATCH($K61,'سجل التحفيز'!$AE$5:$AE$2004,0)))</f>
        <v/>
      </c>
      <c r="Q61" s="9">
        <f>IF($K61="","",INDEX('سجل التحفيز'!$E$5:$E$2004,MATCH($K61,'سجل التحفيز'!$AE$5:$AE$2004,0)))</f>
        <v/>
      </c>
      <c r="R61" s="9">
        <f>IF($K61="","",INDEX('سجل التحفيز'!$F$5:$F$2004,MATCH($K61,'سجل التحفيز'!$AE$5:$AE$2004,0)))</f>
        <v/>
      </c>
      <c r="S61" s="35">
        <f>IF($K61="","",INDEX('سجل التحفيز'!$G$5:$G$2004,MATCH($K61,'سجل التحفيز'!$AE$5:$AE$2004,0)))</f>
        <v/>
      </c>
    </row>
    <row r="62">
      <c r="B62" s="34">
        <f>IFERROR(INDEX(الموظفات!$B$5:$B$304,MATCH(25,الموظفات!$Y$5:$Y$304,0)),"")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التحفيز'!$AE$5:$AE$2004,"&gt;0",'سجل التحفيز'!$B$5:$B$2004,B62))</f>
        <v/>
      </c>
      <c r="E62" s="35">
        <f>IF(B62="","",COUNTIFS('سجل التحفيز'!$AE$5:$AE$2004,"&gt;0",'سجل التحفيز'!$B$5:$B$2004,B62,'سجل التحفيز'!$D$5:$D$2004,"ذهبي"))</f>
        <v/>
      </c>
      <c r="F62" s="35">
        <f>IF(B62="","",SUMIFS('سجل التحفيز'!$G$5:$G$2004,'سجل التحفيز'!$AE$5:$AE$2004,"&gt;0",'سجل التحفيز'!$B$5:$B$2004,B62))</f>
        <v/>
      </c>
      <c r="G62" s="35">
        <f>IF(B62="","",COUNTIF($D$38:$D$187,"&gt;"&amp;D62)+1)</f>
        <v/>
      </c>
      <c r="H62" s="35">
        <f>IF(B62="","",INDEX(الموظفات!$L$5:$L$304,MATCH(B62,الموظفات!$B$5:$B$304,0)))</f>
        <v/>
      </c>
      <c r="K62" s="36">
        <f>IF(25&gt;$B$10,"",25)</f>
        <v/>
      </c>
      <c r="L62" s="37">
        <f>IF($K62="","",INDEX('سجل التحفيز'!$A$5:$A$2004,MATCH($K62,'سجل التحفيز'!$AE$5:$AE$2004,0)))</f>
        <v/>
      </c>
      <c r="M62" s="9">
        <f>IF($K62="","",INDEX('سجل التحفيز'!$B$5:$B$2004,MATCH($K62,'سجل التحفيز'!$AE$5:$AE$2004,0)))</f>
        <v/>
      </c>
      <c r="N62" s="9">
        <f>IF($K62="","",INDEX('سجل التحفيز'!$M$5:$M$2004,MATCH($K62,'سجل التحفيز'!$AE$5:$AE$2004,0)))</f>
        <v/>
      </c>
      <c r="O62" s="9">
        <f>IF($K62="","",INDEX('سجل التحفيز'!$C$5:$C$2004,MATCH($K62,'سجل التحفيز'!$AE$5:$AE$2004,0)))</f>
        <v/>
      </c>
      <c r="P62" s="36">
        <f>IF($K62="","",INDEX('سجل التحفيز'!$D$5:$D$2004,MATCH($K62,'سجل التحفيز'!$AE$5:$AE$2004,0)))</f>
        <v/>
      </c>
      <c r="Q62" s="9">
        <f>IF($K62="","",INDEX('سجل التحفيز'!$E$5:$E$2004,MATCH($K62,'سجل التحفيز'!$AE$5:$AE$2004,0)))</f>
        <v/>
      </c>
      <c r="R62" s="9">
        <f>IF($K62="","",INDEX('سجل التحفيز'!$F$5:$F$2004,MATCH($K62,'سجل التحفيز'!$AE$5:$AE$2004,0)))</f>
        <v/>
      </c>
      <c r="S62" s="35">
        <f>IF($K62="","",INDEX('سجل التحفيز'!$G$5:$G$2004,MATCH($K62,'سجل التحفيز'!$AE$5:$AE$2004,0)))</f>
        <v/>
      </c>
    </row>
    <row r="63">
      <c r="B63" s="34">
        <f>IFERROR(INDEX(الموظفات!$B$5:$B$304,MATCH(26,الموظفات!$Y$5:$Y$304,0)),"")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التحفيز'!$AE$5:$AE$2004,"&gt;0",'سجل التحفيز'!$B$5:$B$2004,B63))</f>
        <v/>
      </c>
      <c r="E63" s="35">
        <f>IF(B63="","",COUNTIFS('سجل التحفيز'!$AE$5:$AE$2004,"&gt;0",'سجل التحفيز'!$B$5:$B$2004,B63,'سجل التحفيز'!$D$5:$D$2004,"ذهبي"))</f>
        <v/>
      </c>
      <c r="F63" s="35">
        <f>IF(B63="","",SUMIFS('سجل التحفيز'!$G$5:$G$2004,'سجل التحفيز'!$AE$5:$AE$2004,"&gt;0",'سجل التحفيز'!$B$5:$B$2004,B63))</f>
        <v/>
      </c>
      <c r="G63" s="35">
        <f>IF(B63="","",COUNTIF($D$38:$D$187,"&gt;"&amp;D63)+1)</f>
        <v/>
      </c>
      <c r="H63" s="35">
        <f>IF(B63="","",INDEX(الموظفات!$L$5:$L$304,MATCH(B63,الموظفات!$B$5:$B$304,0)))</f>
        <v/>
      </c>
      <c r="K63" s="36">
        <f>IF(26&gt;$B$10,"",26)</f>
        <v/>
      </c>
      <c r="L63" s="37">
        <f>IF($K63="","",INDEX('سجل التحفيز'!$A$5:$A$2004,MATCH($K63,'سجل التحفيز'!$AE$5:$AE$2004,0)))</f>
        <v/>
      </c>
      <c r="M63" s="9">
        <f>IF($K63="","",INDEX('سجل التحفيز'!$B$5:$B$2004,MATCH($K63,'سجل التحفيز'!$AE$5:$AE$2004,0)))</f>
        <v/>
      </c>
      <c r="N63" s="9">
        <f>IF($K63="","",INDEX('سجل التحفيز'!$M$5:$M$2004,MATCH($K63,'سجل التحفيز'!$AE$5:$AE$2004,0)))</f>
        <v/>
      </c>
      <c r="O63" s="9">
        <f>IF($K63="","",INDEX('سجل التحفيز'!$C$5:$C$2004,MATCH($K63,'سجل التحفيز'!$AE$5:$AE$2004,0)))</f>
        <v/>
      </c>
      <c r="P63" s="36">
        <f>IF($K63="","",INDEX('سجل التحفيز'!$D$5:$D$2004,MATCH($K63,'سجل التحفيز'!$AE$5:$AE$2004,0)))</f>
        <v/>
      </c>
      <c r="Q63" s="9">
        <f>IF($K63="","",INDEX('سجل التحفيز'!$E$5:$E$2004,MATCH($K63,'سجل التحفيز'!$AE$5:$AE$2004,0)))</f>
        <v/>
      </c>
      <c r="R63" s="9">
        <f>IF($K63="","",INDEX('سجل التحفيز'!$F$5:$F$2004,MATCH($K63,'سجل التحفيز'!$AE$5:$AE$2004,0)))</f>
        <v/>
      </c>
      <c r="S63" s="35">
        <f>IF($K63="","",INDEX('سجل التحفيز'!$G$5:$G$2004,MATCH($K63,'سجل التحفيز'!$AE$5:$AE$2004,0)))</f>
        <v/>
      </c>
    </row>
    <row r="64">
      <c r="B64" s="34">
        <f>IFERROR(INDEX(الموظفات!$B$5:$B$304,MATCH(27,الموظفات!$Y$5:$Y$304,0)),"")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التحفيز'!$AE$5:$AE$2004,"&gt;0",'سجل التحفيز'!$B$5:$B$2004,B64))</f>
        <v/>
      </c>
      <c r="E64" s="35">
        <f>IF(B64="","",COUNTIFS('سجل التحفيز'!$AE$5:$AE$2004,"&gt;0",'سجل التحفيز'!$B$5:$B$2004,B64,'سجل التحفيز'!$D$5:$D$2004,"ذهبي"))</f>
        <v/>
      </c>
      <c r="F64" s="35">
        <f>IF(B64="","",SUMIFS('سجل التحفيز'!$G$5:$G$2004,'سجل التحفيز'!$AE$5:$AE$2004,"&gt;0",'سجل التحفيز'!$B$5:$B$2004,B64))</f>
        <v/>
      </c>
      <c r="G64" s="35">
        <f>IF(B64="","",COUNTIF($D$38:$D$187,"&gt;"&amp;D64)+1)</f>
        <v/>
      </c>
      <c r="H64" s="35">
        <f>IF(B64="","",INDEX(الموظفات!$L$5:$L$304,MATCH(B64,الموظفات!$B$5:$B$304,0)))</f>
        <v/>
      </c>
      <c r="K64" s="36">
        <f>IF(27&gt;$B$10,"",27)</f>
        <v/>
      </c>
      <c r="L64" s="37">
        <f>IF($K64="","",INDEX('سجل التحفيز'!$A$5:$A$2004,MATCH($K64,'سجل التحفيز'!$AE$5:$AE$2004,0)))</f>
        <v/>
      </c>
      <c r="M64" s="9">
        <f>IF($K64="","",INDEX('سجل التحفيز'!$B$5:$B$2004,MATCH($K64,'سجل التحفيز'!$AE$5:$AE$2004,0)))</f>
        <v/>
      </c>
      <c r="N64" s="9">
        <f>IF($K64="","",INDEX('سجل التحفيز'!$M$5:$M$2004,MATCH($K64,'سجل التحفيز'!$AE$5:$AE$2004,0)))</f>
        <v/>
      </c>
      <c r="O64" s="9">
        <f>IF($K64="","",INDEX('سجل التحفيز'!$C$5:$C$2004,MATCH($K64,'سجل التحفيز'!$AE$5:$AE$2004,0)))</f>
        <v/>
      </c>
      <c r="P64" s="36">
        <f>IF($K64="","",INDEX('سجل التحفيز'!$D$5:$D$2004,MATCH($K64,'سجل التحفيز'!$AE$5:$AE$2004,0)))</f>
        <v/>
      </c>
      <c r="Q64" s="9">
        <f>IF($K64="","",INDEX('سجل التحفيز'!$E$5:$E$2004,MATCH($K64,'سجل التحفيز'!$AE$5:$AE$2004,0)))</f>
        <v/>
      </c>
      <c r="R64" s="9">
        <f>IF($K64="","",INDEX('سجل التحفيز'!$F$5:$F$2004,MATCH($K64,'سجل التحفيز'!$AE$5:$AE$2004,0)))</f>
        <v/>
      </c>
      <c r="S64" s="35">
        <f>IF($K64="","",INDEX('سجل التحفيز'!$G$5:$G$2004,MATCH($K64,'سجل التحفيز'!$AE$5:$AE$2004,0)))</f>
        <v/>
      </c>
    </row>
    <row r="65">
      <c r="B65" s="34">
        <f>IFERROR(INDEX(الموظفات!$B$5:$B$304,MATCH(28,الموظفات!$Y$5:$Y$304,0)),"")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التحفيز'!$AE$5:$AE$2004,"&gt;0",'سجل التحفيز'!$B$5:$B$2004,B65))</f>
        <v/>
      </c>
      <c r="E65" s="35">
        <f>IF(B65="","",COUNTIFS('سجل التحفيز'!$AE$5:$AE$2004,"&gt;0",'سجل التحفيز'!$B$5:$B$2004,B65,'سجل التحفيز'!$D$5:$D$2004,"ذهبي"))</f>
        <v/>
      </c>
      <c r="F65" s="35">
        <f>IF(B65="","",SUMIFS('سجل التحفيز'!$G$5:$G$2004,'سجل التحفيز'!$AE$5:$AE$2004,"&gt;0",'سجل التحفيز'!$B$5:$B$2004,B65))</f>
        <v/>
      </c>
      <c r="G65" s="35">
        <f>IF(B65="","",COUNTIF($D$38:$D$187,"&gt;"&amp;D65)+1)</f>
        <v/>
      </c>
      <c r="H65" s="35">
        <f>IF(B65="","",INDEX(الموظفات!$L$5:$L$304,MATCH(B65,الموظفات!$B$5:$B$304,0)))</f>
        <v/>
      </c>
      <c r="K65" s="36">
        <f>IF(28&gt;$B$10,"",28)</f>
        <v/>
      </c>
      <c r="L65" s="37">
        <f>IF($K65="","",INDEX('سجل التحفيز'!$A$5:$A$2004,MATCH($K65,'سجل التحفيز'!$AE$5:$AE$2004,0)))</f>
        <v/>
      </c>
      <c r="M65" s="9">
        <f>IF($K65="","",INDEX('سجل التحفيز'!$B$5:$B$2004,MATCH($K65,'سجل التحفيز'!$AE$5:$AE$2004,0)))</f>
        <v/>
      </c>
      <c r="N65" s="9">
        <f>IF($K65="","",INDEX('سجل التحفيز'!$M$5:$M$2004,MATCH($K65,'سجل التحفيز'!$AE$5:$AE$2004,0)))</f>
        <v/>
      </c>
      <c r="O65" s="9">
        <f>IF($K65="","",INDEX('سجل التحفيز'!$C$5:$C$2004,MATCH($K65,'سجل التحفيز'!$AE$5:$AE$2004,0)))</f>
        <v/>
      </c>
      <c r="P65" s="36">
        <f>IF($K65="","",INDEX('سجل التحفيز'!$D$5:$D$2004,MATCH($K65,'سجل التحفيز'!$AE$5:$AE$2004,0)))</f>
        <v/>
      </c>
      <c r="Q65" s="9">
        <f>IF($K65="","",INDEX('سجل التحفيز'!$E$5:$E$2004,MATCH($K65,'سجل التحفيز'!$AE$5:$AE$2004,0)))</f>
        <v/>
      </c>
      <c r="R65" s="9">
        <f>IF($K65="","",INDEX('سجل التحفيز'!$F$5:$F$2004,MATCH($K65,'سجل التحفيز'!$AE$5:$AE$2004,0)))</f>
        <v/>
      </c>
      <c r="S65" s="35">
        <f>IF($K65="","",INDEX('سجل التحفيز'!$G$5:$G$2004,MATCH($K65,'سجل التحفيز'!$AE$5:$AE$2004,0)))</f>
        <v/>
      </c>
    </row>
    <row r="66">
      <c r="B66" s="34">
        <f>IFERROR(INDEX(الموظفات!$B$5:$B$304,MATCH(29,الموظفات!$Y$5:$Y$304,0)),"")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التحفيز'!$AE$5:$AE$2004,"&gt;0",'سجل التحفيز'!$B$5:$B$2004,B66))</f>
        <v/>
      </c>
      <c r="E66" s="35">
        <f>IF(B66="","",COUNTIFS('سجل التحفيز'!$AE$5:$AE$2004,"&gt;0",'سجل التحفيز'!$B$5:$B$2004,B66,'سجل التحفيز'!$D$5:$D$2004,"ذهبي"))</f>
        <v/>
      </c>
      <c r="F66" s="35">
        <f>IF(B66="","",SUMIFS('سجل التحفيز'!$G$5:$G$2004,'سجل التحفيز'!$AE$5:$AE$2004,"&gt;0",'سجل التحفيز'!$B$5:$B$2004,B66))</f>
        <v/>
      </c>
      <c r="G66" s="35">
        <f>IF(B66="","",COUNTIF($D$38:$D$187,"&gt;"&amp;D66)+1)</f>
        <v/>
      </c>
      <c r="H66" s="35">
        <f>IF(B66="","",INDEX(الموظفات!$L$5:$L$304,MATCH(B66,الموظفات!$B$5:$B$304,0)))</f>
        <v/>
      </c>
      <c r="K66" s="36">
        <f>IF(29&gt;$B$10,"",29)</f>
        <v/>
      </c>
      <c r="L66" s="37">
        <f>IF($K66="","",INDEX('سجل التحفيز'!$A$5:$A$2004,MATCH($K66,'سجل التحفيز'!$AE$5:$AE$2004,0)))</f>
        <v/>
      </c>
      <c r="M66" s="9">
        <f>IF($K66="","",INDEX('سجل التحفيز'!$B$5:$B$2004,MATCH($K66,'سجل التحفيز'!$AE$5:$AE$2004,0)))</f>
        <v/>
      </c>
      <c r="N66" s="9">
        <f>IF($K66="","",INDEX('سجل التحفيز'!$M$5:$M$2004,MATCH($K66,'سجل التحفيز'!$AE$5:$AE$2004,0)))</f>
        <v/>
      </c>
      <c r="O66" s="9">
        <f>IF($K66="","",INDEX('سجل التحفيز'!$C$5:$C$2004,MATCH($K66,'سجل التحفيز'!$AE$5:$AE$2004,0)))</f>
        <v/>
      </c>
      <c r="P66" s="36">
        <f>IF($K66="","",INDEX('سجل التحفيز'!$D$5:$D$2004,MATCH($K66,'سجل التحفيز'!$AE$5:$AE$2004,0)))</f>
        <v/>
      </c>
      <c r="Q66" s="9">
        <f>IF($K66="","",INDEX('سجل التحفيز'!$E$5:$E$2004,MATCH($K66,'سجل التحفيز'!$AE$5:$AE$2004,0)))</f>
        <v/>
      </c>
      <c r="R66" s="9">
        <f>IF($K66="","",INDEX('سجل التحفيز'!$F$5:$F$2004,MATCH($K66,'سجل التحفيز'!$AE$5:$AE$2004,0)))</f>
        <v/>
      </c>
      <c r="S66" s="35">
        <f>IF($K66="","",INDEX('سجل التحفيز'!$G$5:$G$2004,MATCH($K66,'سجل التحفيز'!$AE$5:$AE$2004,0)))</f>
        <v/>
      </c>
    </row>
    <row r="67">
      <c r="B67" s="34">
        <f>IFERROR(INDEX(الموظفات!$B$5:$B$304,MATCH(30,الموظفات!$Y$5:$Y$304,0)),"")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التحفيز'!$AE$5:$AE$2004,"&gt;0",'سجل التحفيز'!$B$5:$B$2004,B67))</f>
        <v/>
      </c>
      <c r="E67" s="35">
        <f>IF(B67="","",COUNTIFS('سجل التحفيز'!$AE$5:$AE$2004,"&gt;0",'سجل التحفيز'!$B$5:$B$2004,B67,'سجل التحفيز'!$D$5:$D$2004,"ذهبي"))</f>
        <v/>
      </c>
      <c r="F67" s="35">
        <f>IF(B67="","",SUMIFS('سجل التحفيز'!$G$5:$G$2004,'سجل التحفيز'!$AE$5:$AE$2004,"&gt;0",'سجل التحفيز'!$B$5:$B$2004,B67))</f>
        <v/>
      </c>
      <c r="G67" s="35">
        <f>IF(B67="","",COUNTIF($D$38:$D$187,"&gt;"&amp;D67)+1)</f>
        <v/>
      </c>
      <c r="H67" s="35">
        <f>IF(B67="","",INDEX(الموظفات!$L$5:$L$304,MATCH(B67,الموظفات!$B$5:$B$304,0)))</f>
        <v/>
      </c>
      <c r="K67" s="36">
        <f>IF(30&gt;$B$10,"",30)</f>
        <v/>
      </c>
      <c r="L67" s="37">
        <f>IF($K67="","",INDEX('سجل التحفيز'!$A$5:$A$2004,MATCH($K67,'سجل التحفيز'!$AE$5:$AE$2004,0)))</f>
        <v/>
      </c>
      <c r="M67" s="9">
        <f>IF($K67="","",INDEX('سجل التحفيز'!$B$5:$B$2004,MATCH($K67,'سجل التحفيز'!$AE$5:$AE$2004,0)))</f>
        <v/>
      </c>
      <c r="N67" s="9">
        <f>IF($K67="","",INDEX('سجل التحفيز'!$M$5:$M$2004,MATCH($K67,'سجل التحفيز'!$AE$5:$AE$2004,0)))</f>
        <v/>
      </c>
      <c r="O67" s="9">
        <f>IF($K67="","",INDEX('سجل التحفيز'!$C$5:$C$2004,MATCH($K67,'سجل التحفيز'!$AE$5:$AE$2004,0)))</f>
        <v/>
      </c>
      <c r="P67" s="36">
        <f>IF($K67="","",INDEX('سجل التحفيز'!$D$5:$D$2004,MATCH($K67,'سجل التحفيز'!$AE$5:$AE$2004,0)))</f>
        <v/>
      </c>
      <c r="Q67" s="9">
        <f>IF($K67="","",INDEX('سجل التحفيز'!$E$5:$E$2004,MATCH($K67,'سجل التحفيز'!$AE$5:$AE$2004,0)))</f>
        <v/>
      </c>
      <c r="R67" s="9">
        <f>IF($K67="","",INDEX('سجل التحفيز'!$F$5:$F$2004,MATCH($K67,'سجل التحفيز'!$AE$5:$AE$2004,0)))</f>
        <v/>
      </c>
      <c r="S67" s="35">
        <f>IF($K67="","",INDEX('سجل التحفيز'!$G$5:$G$2004,MATCH($K67,'سجل التحفيز'!$AE$5:$AE$2004,0)))</f>
        <v/>
      </c>
    </row>
    <row r="68">
      <c r="B68" s="34">
        <f>IFERROR(INDEX(الموظفات!$B$5:$B$304,MATCH(31,الموظفات!$Y$5:$Y$304,0)),"")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التحفيز'!$AE$5:$AE$2004,"&gt;0",'سجل التحفيز'!$B$5:$B$2004,B68))</f>
        <v/>
      </c>
      <c r="E68" s="35">
        <f>IF(B68="","",COUNTIFS('سجل التحفيز'!$AE$5:$AE$2004,"&gt;0",'سجل التحفيز'!$B$5:$B$2004,B68,'سجل التحفيز'!$D$5:$D$2004,"ذهبي"))</f>
        <v/>
      </c>
      <c r="F68" s="35">
        <f>IF(B68="","",SUMIFS('سجل التحفيز'!$G$5:$G$2004,'سجل التحفيز'!$AE$5:$AE$2004,"&gt;0",'سجل التحفيز'!$B$5:$B$2004,B68))</f>
        <v/>
      </c>
      <c r="G68" s="35">
        <f>IF(B68="","",COUNTIF($D$38:$D$187,"&gt;"&amp;D68)+1)</f>
        <v/>
      </c>
      <c r="H68" s="35">
        <f>IF(B68="","",INDEX(الموظفات!$L$5:$L$304,MATCH(B68,الموظفات!$B$5:$B$304,0)))</f>
        <v/>
      </c>
      <c r="K68" s="36">
        <f>IF(31&gt;$B$10,"",31)</f>
        <v/>
      </c>
      <c r="L68" s="37">
        <f>IF($K68="","",INDEX('سجل التحفيز'!$A$5:$A$2004,MATCH($K68,'سجل التحفيز'!$AE$5:$AE$2004,0)))</f>
        <v/>
      </c>
      <c r="M68" s="9">
        <f>IF($K68="","",INDEX('سجل التحفيز'!$B$5:$B$2004,MATCH($K68,'سجل التحفيز'!$AE$5:$AE$2004,0)))</f>
        <v/>
      </c>
      <c r="N68" s="9">
        <f>IF($K68="","",INDEX('سجل التحفيز'!$M$5:$M$2004,MATCH($K68,'سجل التحفيز'!$AE$5:$AE$2004,0)))</f>
        <v/>
      </c>
      <c r="O68" s="9">
        <f>IF($K68="","",INDEX('سجل التحفيز'!$C$5:$C$2004,MATCH($K68,'سجل التحفيز'!$AE$5:$AE$2004,0)))</f>
        <v/>
      </c>
      <c r="P68" s="36">
        <f>IF($K68="","",INDEX('سجل التحفيز'!$D$5:$D$2004,MATCH($K68,'سجل التحفيز'!$AE$5:$AE$2004,0)))</f>
        <v/>
      </c>
      <c r="Q68" s="9">
        <f>IF($K68="","",INDEX('سجل التحفيز'!$E$5:$E$2004,MATCH($K68,'سجل التحفيز'!$AE$5:$AE$2004,0)))</f>
        <v/>
      </c>
      <c r="R68" s="9">
        <f>IF($K68="","",INDEX('سجل التحفيز'!$F$5:$F$2004,MATCH($K68,'سجل التحفيز'!$AE$5:$AE$2004,0)))</f>
        <v/>
      </c>
      <c r="S68" s="35">
        <f>IF($K68="","",INDEX('سجل التحفيز'!$G$5:$G$2004,MATCH($K68,'سجل التحفيز'!$AE$5:$AE$2004,0)))</f>
        <v/>
      </c>
    </row>
    <row r="69">
      <c r="B69" s="34">
        <f>IFERROR(INDEX(الموظفات!$B$5:$B$304,MATCH(32,الموظفات!$Y$5:$Y$304,0)),"")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التحفيز'!$AE$5:$AE$2004,"&gt;0",'سجل التحفيز'!$B$5:$B$2004,B69))</f>
        <v/>
      </c>
      <c r="E69" s="35">
        <f>IF(B69="","",COUNTIFS('سجل التحفيز'!$AE$5:$AE$2004,"&gt;0",'سجل التحفيز'!$B$5:$B$2004,B69,'سجل التحفيز'!$D$5:$D$2004,"ذهبي"))</f>
        <v/>
      </c>
      <c r="F69" s="35">
        <f>IF(B69="","",SUMIFS('سجل التحفيز'!$G$5:$G$2004,'سجل التحفيز'!$AE$5:$AE$2004,"&gt;0",'سجل التحفيز'!$B$5:$B$2004,B69))</f>
        <v/>
      </c>
      <c r="G69" s="35">
        <f>IF(B69="","",COUNTIF($D$38:$D$187,"&gt;"&amp;D69)+1)</f>
        <v/>
      </c>
      <c r="H69" s="35">
        <f>IF(B69="","",INDEX(الموظفات!$L$5:$L$304,MATCH(B69,الموظفات!$B$5:$B$304,0)))</f>
        <v/>
      </c>
      <c r="K69" s="36">
        <f>IF(32&gt;$B$10,"",32)</f>
        <v/>
      </c>
      <c r="L69" s="37">
        <f>IF($K69="","",INDEX('سجل التحفيز'!$A$5:$A$2004,MATCH($K69,'سجل التحفيز'!$AE$5:$AE$2004,0)))</f>
        <v/>
      </c>
      <c r="M69" s="9">
        <f>IF($K69="","",INDEX('سجل التحفيز'!$B$5:$B$2004,MATCH($K69,'سجل التحفيز'!$AE$5:$AE$2004,0)))</f>
        <v/>
      </c>
      <c r="N69" s="9">
        <f>IF($K69="","",INDEX('سجل التحفيز'!$M$5:$M$2004,MATCH($K69,'سجل التحفيز'!$AE$5:$AE$2004,0)))</f>
        <v/>
      </c>
      <c r="O69" s="9">
        <f>IF($K69="","",INDEX('سجل التحفيز'!$C$5:$C$2004,MATCH($K69,'سجل التحفيز'!$AE$5:$AE$2004,0)))</f>
        <v/>
      </c>
      <c r="P69" s="36">
        <f>IF($K69="","",INDEX('سجل التحفيز'!$D$5:$D$2004,MATCH($K69,'سجل التحفيز'!$AE$5:$AE$2004,0)))</f>
        <v/>
      </c>
      <c r="Q69" s="9">
        <f>IF($K69="","",INDEX('سجل التحفيز'!$E$5:$E$2004,MATCH($K69,'سجل التحفيز'!$AE$5:$AE$2004,0)))</f>
        <v/>
      </c>
      <c r="R69" s="9">
        <f>IF($K69="","",INDEX('سجل التحفيز'!$F$5:$F$2004,MATCH($K69,'سجل التحفيز'!$AE$5:$AE$2004,0)))</f>
        <v/>
      </c>
      <c r="S69" s="35">
        <f>IF($K69="","",INDEX('سجل التحفيز'!$G$5:$G$2004,MATCH($K69,'سجل التحفيز'!$AE$5:$AE$2004,0)))</f>
        <v/>
      </c>
    </row>
    <row r="70">
      <c r="B70" s="34">
        <f>IFERROR(INDEX(الموظفات!$B$5:$B$304,MATCH(33,الموظفات!$Y$5:$Y$304,0)),"")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التحفيز'!$AE$5:$AE$2004,"&gt;0",'سجل التحفيز'!$B$5:$B$2004,B70))</f>
        <v/>
      </c>
      <c r="E70" s="35">
        <f>IF(B70="","",COUNTIFS('سجل التحفيز'!$AE$5:$AE$2004,"&gt;0",'سجل التحفيز'!$B$5:$B$2004,B70,'سجل التحفيز'!$D$5:$D$2004,"ذهبي"))</f>
        <v/>
      </c>
      <c r="F70" s="35">
        <f>IF(B70="","",SUMIFS('سجل التحفيز'!$G$5:$G$2004,'سجل التحفيز'!$AE$5:$AE$2004,"&gt;0",'سجل التحفيز'!$B$5:$B$2004,B70))</f>
        <v/>
      </c>
      <c r="G70" s="35">
        <f>IF(B70="","",COUNTIF($D$38:$D$187,"&gt;"&amp;D70)+1)</f>
        <v/>
      </c>
      <c r="H70" s="35">
        <f>IF(B70="","",INDEX(الموظفات!$L$5:$L$304,MATCH(B70,الموظفات!$B$5:$B$304,0)))</f>
        <v/>
      </c>
      <c r="K70" s="36">
        <f>IF(33&gt;$B$10,"",33)</f>
        <v/>
      </c>
      <c r="L70" s="37">
        <f>IF($K70="","",INDEX('سجل التحفيز'!$A$5:$A$2004,MATCH($K70,'سجل التحفيز'!$AE$5:$AE$2004,0)))</f>
        <v/>
      </c>
      <c r="M70" s="9">
        <f>IF($K70="","",INDEX('سجل التحفيز'!$B$5:$B$2004,MATCH($K70,'سجل التحفيز'!$AE$5:$AE$2004,0)))</f>
        <v/>
      </c>
      <c r="N70" s="9">
        <f>IF($K70="","",INDEX('سجل التحفيز'!$M$5:$M$2004,MATCH($K70,'سجل التحفيز'!$AE$5:$AE$2004,0)))</f>
        <v/>
      </c>
      <c r="O70" s="9">
        <f>IF($K70="","",INDEX('سجل التحفيز'!$C$5:$C$2004,MATCH($K70,'سجل التحفيز'!$AE$5:$AE$2004,0)))</f>
        <v/>
      </c>
      <c r="P70" s="36">
        <f>IF($K70="","",INDEX('سجل التحفيز'!$D$5:$D$2004,MATCH($K70,'سجل التحفيز'!$AE$5:$AE$2004,0)))</f>
        <v/>
      </c>
      <c r="Q70" s="9">
        <f>IF($K70="","",INDEX('سجل التحفيز'!$E$5:$E$2004,MATCH($K70,'سجل التحفيز'!$AE$5:$AE$2004,0)))</f>
        <v/>
      </c>
      <c r="R70" s="9">
        <f>IF($K70="","",INDEX('سجل التحفيز'!$F$5:$F$2004,MATCH($K70,'سجل التحفيز'!$AE$5:$AE$2004,0)))</f>
        <v/>
      </c>
      <c r="S70" s="35">
        <f>IF($K70="","",INDEX('سجل التحفيز'!$G$5:$G$2004,MATCH($K70,'سجل التحفيز'!$AE$5:$AE$2004,0)))</f>
        <v/>
      </c>
    </row>
    <row r="71">
      <c r="B71" s="34">
        <f>IFERROR(INDEX(الموظفات!$B$5:$B$304,MATCH(34,الموظفات!$Y$5:$Y$304,0)),"")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التحفيز'!$AE$5:$AE$2004,"&gt;0",'سجل التحفيز'!$B$5:$B$2004,B71))</f>
        <v/>
      </c>
      <c r="E71" s="35">
        <f>IF(B71="","",COUNTIFS('سجل التحفيز'!$AE$5:$AE$2004,"&gt;0",'سجل التحفيز'!$B$5:$B$2004,B71,'سجل التحفيز'!$D$5:$D$2004,"ذهبي"))</f>
        <v/>
      </c>
      <c r="F71" s="35">
        <f>IF(B71="","",SUMIFS('سجل التحفيز'!$G$5:$G$2004,'سجل التحفيز'!$AE$5:$AE$2004,"&gt;0",'سجل التحفيز'!$B$5:$B$2004,B71))</f>
        <v/>
      </c>
      <c r="G71" s="35">
        <f>IF(B71="","",COUNTIF($D$38:$D$187,"&gt;"&amp;D71)+1)</f>
        <v/>
      </c>
      <c r="H71" s="35">
        <f>IF(B71="","",INDEX(الموظفات!$L$5:$L$304,MATCH(B71,الموظفات!$B$5:$B$304,0)))</f>
        <v/>
      </c>
      <c r="K71" s="36">
        <f>IF(34&gt;$B$10,"",34)</f>
        <v/>
      </c>
      <c r="L71" s="37">
        <f>IF($K71="","",INDEX('سجل التحفيز'!$A$5:$A$2004,MATCH($K71,'سجل التحفيز'!$AE$5:$AE$2004,0)))</f>
        <v/>
      </c>
      <c r="M71" s="9">
        <f>IF($K71="","",INDEX('سجل التحفيز'!$B$5:$B$2004,MATCH($K71,'سجل التحفيز'!$AE$5:$AE$2004,0)))</f>
        <v/>
      </c>
      <c r="N71" s="9">
        <f>IF($K71="","",INDEX('سجل التحفيز'!$M$5:$M$2004,MATCH($K71,'سجل التحفيز'!$AE$5:$AE$2004,0)))</f>
        <v/>
      </c>
      <c r="O71" s="9">
        <f>IF($K71="","",INDEX('سجل التحفيز'!$C$5:$C$2004,MATCH($K71,'سجل التحفيز'!$AE$5:$AE$2004,0)))</f>
        <v/>
      </c>
      <c r="P71" s="36">
        <f>IF($K71="","",INDEX('سجل التحفيز'!$D$5:$D$2004,MATCH($K71,'سجل التحفيز'!$AE$5:$AE$2004,0)))</f>
        <v/>
      </c>
      <c r="Q71" s="9">
        <f>IF($K71="","",INDEX('سجل التحفيز'!$E$5:$E$2004,MATCH($K71,'سجل التحفيز'!$AE$5:$AE$2004,0)))</f>
        <v/>
      </c>
      <c r="R71" s="9">
        <f>IF($K71="","",INDEX('سجل التحفيز'!$F$5:$F$2004,MATCH($K71,'سجل التحفيز'!$AE$5:$AE$2004,0)))</f>
        <v/>
      </c>
      <c r="S71" s="35">
        <f>IF($K71="","",INDEX('سجل التحفيز'!$G$5:$G$2004,MATCH($K71,'سجل التحفيز'!$AE$5:$AE$2004,0)))</f>
        <v/>
      </c>
    </row>
    <row r="72">
      <c r="B72" s="34">
        <f>IFERROR(INDEX(الموظفات!$B$5:$B$304,MATCH(35,الموظفات!$Y$5:$Y$304,0)),"")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التحفيز'!$AE$5:$AE$2004,"&gt;0",'سجل التحفيز'!$B$5:$B$2004,B72))</f>
        <v/>
      </c>
      <c r="E72" s="35">
        <f>IF(B72="","",COUNTIFS('سجل التحفيز'!$AE$5:$AE$2004,"&gt;0",'سجل التحفيز'!$B$5:$B$2004,B72,'سجل التحفيز'!$D$5:$D$2004,"ذهبي"))</f>
        <v/>
      </c>
      <c r="F72" s="35">
        <f>IF(B72="","",SUMIFS('سجل التحفيز'!$G$5:$G$2004,'سجل التحفيز'!$AE$5:$AE$2004,"&gt;0",'سجل التحفيز'!$B$5:$B$2004,B72))</f>
        <v/>
      </c>
      <c r="G72" s="35">
        <f>IF(B72="","",COUNTIF($D$38:$D$187,"&gt;"&amp;D72)+1)</f>
        <v/>
      </c>
      <c r="H72" s="35">
        <f>IF(B72="","",INDEX(الموظفات!$L$5:$L$304,MATCH(B72,الموظفات!$B$5:$B$304,0)))</f>
        <v/>
      </c>
      <c r="K72" s="36">
        <f>IF(35&gt;$B$10,"",35)</f>
        <v/>
      </c>
      <c r="L72" s="37">
        <f>IF($K72="","",INDEX('سجل التحفيز'!$A$5:$A$2004,MATCH($K72,'سجل التحفيز'!$AE$5:$AE$2004,0)))</f>
        <v/>
      </c>
      <c r="M72" s="9">
        <f>IF($K72="","",INDEX('سجل التحفيز'!$B$5:$B$2004,MATCH($K72,'سجل التحفيز'!$AE$5:$AE$2004,0)))</f>
        <v/>
      </c>
      <c r="N72" s="9">
        <f>IF($K72="","",INDEX('سجل التحفيز'!$M$5:$M$2004,MATCH($K72,'سجل التحفيز'!$AE$5:$AE$2004,0)))</f>
        <v/>
      </c>
      <c r="O72" s="9">
        <f>IF($K72="","",INDEX('سجل التحفيز'!$C$5:$C$2004,MATCH($K72,'سجل التحفيز'!$AE$5:$AE$2004,0)))</f>
        <v/>
      </c>
      <c r="P72" s="36">
        <f>IF($K72="","",INDEX('سجل التحفيز'!$D$5:$D$2004,MATCH($K72,'سجل التحفيز'!$AE$5:$AE$2004,0)))</f>
        <v/>
      </c>
      <c r="Q72" s="9">
        <f>IF($K72="","",INDEX('سجل التحفيز'!$E$5:$E$2004,MATCH($K72,'سجل التحفيز'!$AE$5:$AE$2004,0)))</f>
        <v/>
      </c>
      <c r="R72" s="9">
        <f>IF($K72="","",INDEX('سجل التحفيز'!$F$5:$F$2004,MATCH($K72,'سجل التحفيز'!$AE$5:$AE$2004,0)))</f>
        <v/>
      </c>
      <c r="S72" s="35">
        <f>IF($K72="","",INDEX('سجل التحفيز'!$G$5:$G$2004,MATCH($K72,'سجل التحفيز'!$AE$5:$AE$2004,0)))</f>
        <v/>
      </c>
    </row>
    <row r="73">
      <c r="B73" s="34">
        <f>IFERROR(INDEX(الموظفات!$B$5:$B$304,MATCH(36,الموظفات!$Y$5:$Y$304,0)),"")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التحفيز'!$AE$5:$AE$2004,"&gt;0",'سجل التحفيز'!$B$5:$B$2004,B73))</f>
        <v/>
      </c>
      <c r="E73" s="35">
        <f>IF(B73="","",COUNTIFS('سجل التحفيز'!$AE$5:$AE$2004,"&gt;0",'سجل التحفيز'!$B$5:$B$2004,B73,'سجل التحفيز'!$D$5:$D$2004,"ذهبي"))</f>
        <v/>
      </c>
      <c r="F73" s="35">
        <f>IF(B73="","",SUMIFS('سجل التحفيز'!$G$5:$G$2004,'سجل التحفيز'!$AE$5:$AE$2004,"&gt;0",'سجل التحفيز'!$B$5:$B$2004,B73))</f>
        <v/>
      </c>
      <c r="G73" s="35">
        <f>IF(B73="","",COUNTIF($D$38:$D$187,"&gt;"&amp;D73)+1)</f>
        <v/>
      </c>
      <c r="H73" s="35">
        <f>IF(B73="","",INDEX(الموظفات!$L$5:$L$304,MATCH(B73,الموظفات!$B$5:$B$304,0)))</f>
        <v/>
      </c>
      <c r="K73" s="36">
        <f>IF(36&gt;$B$10,"",36)</f>
        <v/>
      </c>
      <c r="L73" s="37">
        <f>IF($K73="","",INDEX('سجل التحفيز'!$A$5:$A$2004,MATCH($K73,'سجل التحفيز'!$AE$5:$AE$2004,0)))</f>
        <v/>
      </c>
      <c r="M73" s="9">
        <f>IF($K73="","",INDEX('سجل التحفيز'!$B$5:$B$2004,MATCH($K73,'سجل التحفيز'!$AE$5:$AE$2004,0)))</f>
        <v/>
      </c>
      <c r="N73" s="9">
        <f>IF($K73="","",INDEX('سجل التحفيز'!$M$5:$M$2004,MATCH($K73,'سجل التحفيز'!$AE$5:$AE$2004,0)))</f>
        <v/>
      </c>
      <c r="O73" s="9">
        <f>IF($K73="","",INDEX('سجل التحفيز'!$C$5:$C$2004,MATCH($K73,'سجل التحفيز'!$AE$5:$AE$2004,0)))</f>
        <v/>
      </c>
      <c r="P73" s="36">
        <f>IF($K73="","",INDEX('سجل التحفيز'!$D$5:$D$2004,MATCH($K73,'سجل التحفيز'!$AE$5:$AE$2004,0)))</f>
        <v/>
      </c>
      <c r="Q73" s="9">
        <f>IF($K73="","",INDEX('سجل التحفيز'!$E$5:$E$2004,MATCH($K73,'سجل التحفيز'!$AE$5:$AE$2004,0)))</f>
        <v/>
      </c>
      <c r="R73" s="9">
        <f>IF($K73="","",INDEX('سجل التحفيز'!$F$5:$F$2004,MATCH($K73,'سجل التحفيز'!$AE$5:$AE$2004,0)))</f>
        <v/>
      </c>
      <c r="S73" s="35">
        <f>IF($K73="","",INDEX('سجل التحفيز'!$G$5:$G$2004,MATCH($K73,'سجل التحفيز'!$AE$5:$AE$2004,0)))</f>
        <v/>
      </c>
    </row>
    <row r="74">
      <c r="B74" s="34">
        <f>IFERROR(INDEX(الموظفات!$B$5:$B$304,MATCH(37,الموظفات!$Y$5:$Y$304,0)),"")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التحفيز'!$AE$5:$AE$2004,"&gt;0",'سجل التحفيز'!$B$5:$B$2004,B74))</f>
        <v/>
      </c>
      <c r="E74" s="35">
        <f>IF(B74="","",COUNTIFS('سجل التحفيز'!$AE$5:$AE$2004,"&gt;0",'سجل التحفيز'!$B$5:$B$2004,B74,'سجل التحفيز'!$D$5:$D$2004,"ذهبي"))</f>
        <v/>
      </c>
      <c r="F74" s="35">
        <f>IF(B74="","",SUMIFS('سجل التحفيز'!$G$5:$G$2004,'سجل التحفيز'!$AE$5:$AE$2004,"&gt;0",'سجل التحفيز'!$B$5:$B$2004,B74))</f>
        <v/>
      </c>
      <c r="G74" s="35">
        <f>IF(B74="","",COUNTIF($D$38:$D$187,"&gt;"&amp;D74)+1)</f>
        <v/>
      </c>
      <c r="H74" s="35">
        <f>IF(B74="","",INDEX(الموظفات!$L$5:$L$304,MATCH(B74,الموظفات!$B$5:$B$304,0)))</f>
        <v/>
      </c>
      <c r="K74" s="36">
        <f>IF(37&gt;$B$10,"",37)</f>
        <v/>
      </c>
      <c r="L74" s="37">
        <f>IF($K74="","",INDEX('سجل التحفيز'!$A$5:$A$2004,MATCH($K74,'سجل التحفيز'!$AE$5:$AE$2004,0)))</f>
        <v/>
      </c>
      <c r="M74" s="9">
        <f>IF($K74="","",INDEX('سجل التحفيز'!$B$5:$B$2004,MATCH($K74,'سجل التحفيز'!$AE$5:$AE$2004,0)))</f>
        <v/>
      </c>
      <c r="N74" s="9">
        <f>IF($K74="","",INDEX('سجل التحفيز'!$M$5:$M$2004,MATCH($K74,'سجل التحفيز'!$AE$5:$AE$2004,0)))</f>
        <v/>
      </c>
      <c r="O74" s="9">
        <f>IF($K74="","",INDEX('سجل التحفيز'!$C$5:$C$2004,MATCH($K74,'سجل التحفيز'!$AE$5:$AE$2004,0)))</f>
        <v/>
      </c>
      <c r="P74" s="36">
        <f>IF($K74="","",INDEX('سجل التحفيز'!$D$5:$D$2004,MATCH($K74,'سجل التحفيز'!$AE$5:$AE$2004,0)))</f>
        <v/>
      </c>
      <c r="Q74" s="9">
        <f>IF($K74="","",INDEX('سجل التحفيز'!$E$5:$E$2004,MATCH($K74,'سجل التحفيز'!$AE$5:$AE$2004,0)))</f>
        <v/>
      </c>
      <c r="R74" s="9">
        <f>IF($K74="","",INDEX('سجل التحفيز'!$F$5:$F$2004,MATCH($K74,'سجل التحفيز'!$AE$5:$AE$2004,0)))</f>
        <v/>
      </c>
      <c r="S74" s="35">
        <f>IF($K74="","",INDEX('سجل التحفيز'!$G$5:$G$2004,MATCH($K74,'سجل التحفيز'!$AE$5:$AE$2004,0)))</f>
        <v/>
      </c>
    </row>
    <row r="75">
      <c r="B75" s="34">
        <f>IFERROR(INDEX(الموظفات!$B$5:$B$304,MATCH(38,الموظفات!$Y$5:$Y$304,0)),"")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التحفيز'!$AE$5:$AE$2004,"&gt;0",'سجل التحفيز'!$B$5:$B$2004,B75))</f>
        <v/>
      </c>
      <c r="E75" s="35">
        <f>IF(B75="","",COUNTIFS('سجل التحفيز'!$AE$5:$AE$2004,"&gt;0",'سجل التحفيز'!$B$5:$B$2004,B75,'سجل التحفيز'!$D$5:$D$2004,"ذهبي"))</f>
        <v/>
      </c>
      <c r="F75" s="35">
        <f>IF(B75="","",SUMIFS('سجل التحفيز'!$G$5:$G$2004,'سجل التحفيز'!$AE$5:$AE$2004,"&gt;0",'سجل التحفيز'!$B$5:$B$2004,B75))</f>
        <v/>
      </c>
      <c r="G75" s="35">
        <f>IF(B75="","",COUNTIF($D$38:$D$187,"&gt;"&amp;D75)+1)</f>
        <v/>
      </c>
      <c r="H75" s="35">
        <f>IF(B75="","",INDEX(الموظفات!$L$5:$L$304,MATCH(B75,الموظفات!$B$5:$B$304,0)))</f>
        <v/>
      </c>
      <c r="K75" s="36">
        <f>IF(38&gt;$B$10,"",38)</f>
        <v/>
      </c>
      <c r="L75" s="37">
        <f>IF($K75="","",INDEX('سجل التحفيز'!$A$5:$A$2004,MATCH($K75,'سجل التحفيز'!$AE$5:$AE$2004,0)))</f>
        <v/>
      </c>
      <c r="M75" s="9">
        <f>IF($K75="","",INDEX('سجل التحفيز'!$B$5:$B$2004,MATCH($K75,'سجل التحفيز'!$AE$5:$AE$2004,0)))</f>
        <v/>
      </c>
      <c r="N75" s="9">
        <f>IF($K75="","",INDEX('سجل التحفيز'!$M$5:$M$2004,MATCH($K75,'سجل التحفيز'!$AE$5:$AE$2004,0)))</f>
        <v/>
      </c>
      <c r="O75" s="9">
        <f>IF($K75="","",INDEX('سجل التحفيز'!$C$5:$C$2004,MATCH($K75,'سجل التحفيز'!$AE$5:$AE$2004,0)))</f>
        <v/>
      </c>
      <c r="P75" s="36">
        <f>IF($K75="","",INDEX('سجل التحفيز'!$D$5:$D$2004,MATCH($K75,'سجل التحفيز'!$AE$5:$AE$2004,0)))</f>
        <v/>
      </c>
      <c r="Q75" s="9">
        <f>IF($K75="","",INDEX('سجل التحفيز'!$E$5:$E$2004,MATCH($K75,'سجل التحفيز'!$AE$5:$AE$2004,0)))</f>
        <v/>
      </c>
      <c r="R75" s="9">
        <f>IF($K75="","",INDEX('سجل التحفيز'!$F$5:$F$2004,MATCH($K75,'سجل التحفيز'!$AE$5:$AE$2004,0)))</f>
        <v/>
      </c>
      <c r="S75" s="35">
        <f>IF($K75="","",INDEX('سجل التحفيز'!$G$5:$G$2004,MATCH($K75,'سجل التحفيز'!$AE$5:$AE$2004,0)))</f>
        <v/>
      </c>
    </row>
    <row r="76">
      <c r="B76" s="34">
        <f>IFERROR(INDEX(الموظفات!$B$5:$B$304,MATCH(39,الموظفات!$Y$5:$Y$304,0)),"")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التحفيز'!$AE$5:$AE$2004,"&gt;0",'سجل التحفيز'!$B$5:$B$2004,B76))</f>
        <v/>
      </c>
      <c r="E76" s="35">
        <f>IF(B76="","",COUNTIFS('سجل التحفيز'!$AE$5:$AE$2004,"&gt;0",'سجل التحفيز'!$B$5:$B$2004,B76,'سجل التحفيز'!$D$5:$D$2004,"ذهبي"))</f>
        <v/>
      </c>
      <c r="F76" s="35">
        <f>IF(B76="","",SUMIFS('سجل التحفيز'!$G$5:$G$2004,'سجل التحفيز'!$AE$5:$AE$2004,"&gt;0",'سجل التحفيز'!$B$5:$B$2004,B76))</f>
        <v/>
      </c>
      <c r="G76" s="35">
        <f>IF(B76="","",COUNTIF($D$38:$D$187,"&gt;"&amp;D76)+1)</f>
        <v/>
      </c>
      <c r="H76" s="35">
        <f>IF(B76="","",INDEX(الموظفات!$L$5:$L$304,MATCH(B76,الموظفات!$B$5:$B$304,0)))</f>
        <v/>
      </c>
      <c r="K76" s="36">
        <f>IF(39&gt;$B$10,"",39)</f>
        <v/>
      </c>
      <c r="L76" s="37">
        <f>IF($K76="","",INDEX('سجل التحفيز'!$A$5:$A$2004,MATCH($K76,'سجل التحفيز'!$AE$5:$AE$2004,0)))</f>
        <v/>
      </c>
      <c r="M76" s="9">
        <f>IF($K76="","",INDEX('سجل التحفيز'!$B$5:$B$2004,MATCH($K76,'سجل التحفيز'!$AE$5:$AE$2004,0)))</f>
        <v/>
      </c>
      <c r="N76" s="9">
        <f>IF($K76="","",INDEX('سجل التحفيز'!$M$5:$M$2004,MATCH($K76,'سجل التحفيز'!$AE$5:$AE$2004,0)))</f>
        <v/>
      </c>
      <c r="O76" s="9">
        <f>IF($K76="","",INDEX('سجل التحفيز'!$C$5:$C$2004,MATCH($K76,'سجل التحفيز'!$AE$5:$AE$2004,0)))</f>
        <v/>
      </c>
      <c r="P76" s="36">
        <f>IF($K76="","",INDEX('سجل التحفيز'!$D$5:$D$2004,MATCH($K76,'سجل التحفيز'!$AE$5:$AE$2004,0)))</f>
        <v/>
      </c>
      <c r="Q76" s="9">
        <f>IF($K76="","",INDEX('سجل التحفيز'!$E$5:$E$2004,MATCH($K76,'سجل التحفيز'!$AE$5:$AE$2004,0)))</f>
        <v/>
      </c>
      <c r="R76" s="9">
        <f>IF($K76="","",INDEX('سجل التحفيز'!$F$5:$F$2004,MATCH($K76,'سجل التحفيز'!$AE$5:$AE$2004,0)))</f>
        <v/>
      </c>
      <c r="S76" s="35">
        <f>IF($K76="","",INDEX('سجل التحفيز'!$G$5:$G$2004,MATCH($K76,'سجل التحفيز'!$AE$5:$AE$2004,0)))</f>
        <v/>
      </c>
    </row>
    <row r="77">
      <c r="B77" s="34">
        <f>IFERROR(INDEX(الموظفات!$B$5:$B$304,MATCH(40,الموظفات!$Y$5:$Y$304,0)),"")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التحفيز'!$AE$5:$AE$2004,"&gt;0",'سجل التحفيز'!$B$5:$B$2004,B77))</f>
        <v/>
      </c>
      <c r="E77" s="35">
        <f>IF(B77="","",COUNTIFS('سجل التحفيز'!$AE$5:$AE$2004,"&gt;0",'سجل التحفيز'!$B$5:$B$2004,B77,'سجل التحفيز'!$D$5:$D$2004,"ذهبي"))</f>
        <v/>
      </c>
      <c r="F77" s="35">
        <f>IF(B77="","",SUMIFS('سجل التحفيز'!$G$5:$G$2004,'سجل التحفيز'!$AE$5:$AE$2004,"&gt;0",'سجل التحفيز'!$B$5:$B$2004,B77))</f>
        <v/>
      </c>
      <c r="G77" s="35">
        <f>IF(B77="","",COUNTIF($D$38:$D$187,"&gt;"&amp;D77)+1)</f>
        <v/>
      </c>
      <c r="H77" s="35">
        <f>IF(B77="","",INDEX(الموظفات!$L$5:$L$304,MATCH(B77,الموظفات!$B$5:$B$304,0)))</f>
        <v/>
      </c>
      <c r="K77" s="36">
        <f>IF(40&gt;$B$10,"",40)</f>
        <v/>
      </c>
      <c r="L77" s="37">
        <f>IF($K77="","",INDEX('سجل التحفيز'!$A$5:$A$2004,MATCH($K77,'سجل التحفيز'!$AE$5:$AE$2004,0)))</f>
        <v/>
      </c>
      <c r="M77" s="9">
        <f>IF($K77="","",INDEX('سجل التحفيز'!$B$5:$B$2004,MATCH($K77,'سجل التحفيز'!$AE$5:$AE$2004,0)))</f>
        <v/>
      </c>
      <c r="N77" s="9">
        <f>IF($K77="","",INDEX('سجل التحفيز'!$M$5:$M$2004,MATCH($K77,'سجل التحفيز'!$AE$5:$AE$2004,0)))</f>
        <v/>
      </c>
      <c r="O77" s="9">
        <f>IF($K77="","",INDEX('سجل التحفيز'!$C$5:$C$2004,MATCH($K77,'سجل التحفيز'!$AE$5:$AE$2004,0)))</f>
        <v/>
      </c>
      <c r="P77" s="36">
        <f>IF($K77="","",INDEX('سجل التحفيز'!$D$5:$D$2004,MATCH($K77,'سجل التحفيز'!$AE$5:$AE$2004,0)))</f>
        <v/>
      </c>
      <c r="Q77" s="9">
        <f>IF($K77="","",INDEX('سجل التحفيز'!$E$5:$E$2004,MATCH($K77,'سجل التحفيز'!$AE$5:$AE$2004,0)))</f>
        <v/>
      </c>
      <c r="R77" s="9">
        <f>IF($K77="","",INDEX('سجل التحفيز'!$F$5:$F$2004,MATCH($K77,'سجل التحفيز'!$AE$5:$AE$2004,0)))</f>
        <v/>
      </c>
      <c r="S77" s="35">
        <f>IF($K77="","",INDEX('سجل التحفيز'!$G$5:$G$2004,MATCH($K77,'سجل التحفيز'!$AE$5:$AE$2004,0)))</f>
        <v/>
      </c>
    </row>
    <row r="78">
      <c r="B78" s="34">
        <f>IFERROR(INDEX(الموظفات!$B$5:$B$304,MATCH(41,الموظفات!$Y$5:$Y$304,0)),"")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التحفيز'!$AE$5:$AE$2004,"&gt;0",'سجل التحفيز'!$B$5:$B$2004,B78))</f>
        <v/>
      </c>
      <c r="E78" s="35">
        <f>IF(B78="","",COUNTIFS('سجل التحفيز'!$AE$5:$AE$2004,"&gt;0",'سجل التحفيز'!$B$5:$B$2004,B78,'سجل التحفيز'!$D$5:$D$2004,"ذهبي"))</f>
        <v/>
      </c>
      <c r="F78" s="35">
        <f>IF(B78="","",SUMIFS('سجل التحفيز'!$G$5:$G$2004,'سجل التحفيز'!$AE$5:$AE$2004,"&gt;0",'سجل التحفيز'!$B$5:$B$2004,B78))</f>
        <v/>
      </c>
      <c r="G78" s="35">
        <f>IF(B78="","",COUNTIF($D$38:$D$187,"&gt;"&amp;D78)+1)</f>
        <v/>
      </c>
      <c r="H78" s="35">
        <f>IF(B78="","",INDEX(الموظفات!$L$5:$L$304,MATCH(B78,الموظفات!$B$5:$B$304,0)))</f>
        <v/>
      </c>
      <c r="K78" s="36">
        <f>IF(41&gt;$B$10,"",41)</f>
        <v/>
      </c>
      <c r="L78" s="37">
        <f>IF($K78="","",INDEX('سجل التحفيز'!$A$5:$A$2004,MATCH($K78,'سجل التحفيز'!$AE$5:$AE$2004,0)))</f>
        <v/>
      </c>
      <c r="M78" s="9">
        <f>IF($K78="","",INDEX('سجل التحفيز'!$B$5:$B$2004,MATCH($K78,'سجل التحفيز'!$AE$5:$AE$2004,0)))</f>
        <v/>
      </c>
      <c r="N78" s="9">
        <f>IF($K78="","",INDEX('سجل التحفيز'!$M$5:$M$2004,MATCH($K78,'سجل التحفيز'!$AE$5:$AE$2004,0)))</f>
        <v/>
      </c>
      <c r="O78" s="9">
        <f>IF($K78="","",INDEX('سجل التحفيز'!$C$5:$C$2004,MATCH($K78,'سجل التحفيز'!$AE$5:$AE$2004,0)))</f>
        <v/>
      </c>
      <c r="P78" s="36">
        <f>IF($K78="","",INDEX('سجل التحفيز'!$D$5:$D$2004,MATCH($K78,'سجل التحفيز'!$AE$5:$AE$2004,0)))</f>
        <v/>
      </c>
      <c r="Q78" s="9">
        <f>IF($K78="","",INDEX('سجل التحفيز'!$E$5:$E$2004,MATCH($K78,'سجل التحفيز'!$AE$5:$AE$2004,0)))</f>
        <v/>
      </c>
      <c r="R78" s="9">
        <f>IF($K78="","",INDEX('سجل التحفيز'!$F$5:$F$2004,MATCH($K78,'سجل التحفيز'!$AE$5:$AE$2004,0)))</f>
        <v/>
      </c>
      <c r="S78" s="35">
        <f>IF($K78="","",INDEX('سجل التحفيز'!$G$5:$G$2004,MATCH($K78,'سجل التحفيز'!$AE$5:$AE$2004,0)))</f>
        <v/>
      </c>
    </row>
    <row r="79">
      <c r="B79" s="34">
        <f>IFERROR(INDEX(الموظفات!$B$5:$B$304,MATCH(42,الموظفات!$Y$5:$Y$304,0)),"")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التحفيز'!$AE$5:$AE$2004,"&gt;0",'سجل التحفيز'!$B$5:$B$2004,B79))</f>
        <v/>
      </c>
      <c r="E79" s="35">
        <f>IF(B79="","",COUNTIFS('سجل التحفيز'!$AE$5:$AE$2004,"&gt;0",'سجل التحفيز'!$B$5:$B$2004,B79,'سجل التحفيز'!$D$5:$D$2004,"ذهبي"))</f>
        <v/>
      </c>
      <c r="F79" s="35">
        <f>IF(B79="","",SUMIFS('سجل التحفيز'!$G$5:$G$2004,'سجل التحفيز'!$AE$5:$AE$2004,"&gt;0",'سجل التحفيز'!$B$5:$B$2004,B79))</f>
        <v/>
      </c>
      <c r="G79" s="35">
        <f>IF(B79="","",COUNTIF($D$38:$D$187,"&gt;"&amp;D79)+1)</f>
        <v/>
      </c>
      <c r="H79" s="35">
        <f>IF(B79="","",INDEX(الموظفات!$L$5:$L$304,MATCH(B79,الموظفات!$B$5:$B$304,0)))</f>
        <v/>
      </c>
      <c r="K79" s="36">
        <f>IF(42&gt;$B$10,"",42)</f>
        <v/>
      </c>
      <c r="L79" s="37">
        <f>IF($K79="","",INDEX('سجل التحفيز'!$A$5:$A$2004,MATCH($K79,'سجل التحفيز'!$AE$5:$AE$2004,0)))</f>
        <v/>
      </c>
      <c r="M79" s="9">
        <f>IF($K79="","",INDEX('سجل التحفيز'!$B$5:$B$2004,MATCH($K79,'سجل التحفيز'!$AE$5:$AE$2004,0)))</f>
        <v/>
      </c>
      <c r="N79" s="9">
        <f>IF($K79="","",INDEX('سجل التحفيز'!$M$5:$M$2004,MATCH($K79,'سجل التحفيز'!$AE$5:$AE$2004,0)))</f>
        <v/>
      </c>
      <c r="O79" s="9">
        <f>IF($K79="","",INDEX('سجل التحفيز'!$C$5:$C$2004,MATCH($K79,'سجل التحفيز'!$AE$5:$AE$2004,0)))</f>
        <v/>
      </c>
      <c r="P79" s="36">
        <f>IF($K79="","",INDEX('سجل التحفيز'!$D$5:$D$2004,MATCH($K79,'سجل التحفيز'!$AE$5:$AE$2004,0)))</f>
        <v/>
      </c>
      <c r="Q79" s="9">
        <f>IF($K79="","",INDEX('سجل التحفيز'!$E$5:$E$2004,MATCH($K79,'سجل التحفيز'!$AE$5:$AE$2004,0)))</f>
        <v/>
      </c>
      <c r="R79" s="9">
        <f>IF($K79="","",INDEX('سجل التحفيز'!$F$5:$F$2004,MATCH($K79,'سجل التحفيز'!$AE$5:$AE$2004,0)))</f>
        <v/>
      </c>
      <c r="S79" s="35">
        <f>IF($K79="","",INDEX('سجل التحفيز'!$G$5:$G$2004,MATCH($K79,'سجل التحفيز'!$AE$5:$AE$2004,0)))</f>
        <v/>
      </c>
    </row>
    <row r="80">
      <c r="B80" s="34">
        <f>IFERROR(INDEX(الموظفات!$B$5:$B$304,MATCH(43,الموظفات!$Y$5:$Y$304,0)),"")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التحفيز'!$AE$5:$AE$2004,"&gt;0",'سجل التحفيز'!$B$5:$B$2004,B80))</f>
        <v/>
      </c>
      <c r="E80" s="35">
        <f>IF(B80="","",COUNTIFS('سجل التحفيز'!$AE$5:$AE$2004,"&gt;0",'سجل التحفيز'!$B$5:$B$2004,B80,'سجل التحفيز'!$D$5:$D$2004,"ذهبي"))</f>
        <v/>
      </c>
      <c r="F80" s="35">
        <f>IF(B80="","",SUMIFS('سجل التحفيز'!$G$5:$G$2004,'سجل التحفيز'!$AE$5:$AE$2004,"&gt;0",'سجل التحفيز'!$B$5:$B$2004,B80))</f>
        <v/>
      </c>
      <c r="G80" s="35">
        <f>IF(B80="","",COUNTIF($D$38:$D$187,"&gt;"&amp;D80)+1)</f>
        <v/>
      </c>
      <c r="H80" s="35">
        <f>IF(B80="","",INDEX(الموظفات!$L$5:$L$304,MATCH(B80,الموظفات!$B$5:$B$304,0)))</f>
        <v/>
      </c>
      <c r="K80" s="36">
        <f>IF(43&gt;$B$10,"",43)</f>
        <v/>
      </c>
      <c r="L80" s="37">
        <f>IF($K80="","",INDEX('سجل التحفيز'!$A$5:$A$2004,MATCH($K80,'سجل التحفيز'!$AE$5:$AE$2004,0)))</f>
        <v/>
      </c>
      <c r="M80" s="9">
        <f>IF($K80="","",INDEX('سجل التحفيز'!$B$5:$B$2004,MATCH($K80,'سجل التحفيز'!$AE$5:$AE$2004,0)))</f>
        <v/>
      </c>
      <c r="N80" s="9">
        <f>IF($K80="","",INDEX('سجل التحفيز'!$M$5:$M$2004,MATCH($K80,'سجل التحفيز'!$AE$5:$AE$2004,0)))</f>
        <v/>
      </c>
      <c r="O80" s="9">
        <f>IF($K80="","",INDEX('سجل التحفيز'!$C$5:$C$2004,MATCH($K80,'سجل التحفيز'!$AE$5:$AE$2004,0)))</f>
        <v/>
      </c>
      <c r="P80" s="36">
        <f>IF($K80="","",INDEX('سجل التحفيز'!$D$5:$D$2004,MATCH($K80,'سجل التحفيز'!$AE$5:$AE$2004,0)))</f>
        <v/>
      </c>
      <c r="Q80" s="9">
        <f>IF($K80="","",INDEX('سجل التحفيز'!$E$5:$E$2004,MATCH($K80,'سجل التحفيز'!$AE$5:$AE$2004,0)))</f>
        <v/>
      </c>
      <c r="R80" s="9">
        <f>IF($K80="","",INDEX('سجل التحفيز'!$F$5:$F$2004,MATCH($K80,'سجل التحفيز'!$AE$5:$AE$2004,0)))</f>
        <v/>
      </c>
      <c r="S80" s="35">
        <f>IF($K80="","",INDEX('سجل التحفيز'!$G$5:$G$2004,MATCH($K80,'سجل التحفيز'!$AE$5:$AE$2004,0)))</f>
        <v/>
      </c>
    </row>
    <row r="81">
      <c r="B81" s="34">
        <f>IFERROR(INDEX(الموظفات!$B$5:$B$304,MATCH(44,الموظفات!$Y$5:$Y$304,0)),"")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التحفيز'!$AE$5:$AE$2004,"&gt;0",'سجل التحفيز'!$B$5:$B$2004,B81))</f>
        <v/>
      </c>
      <c r="E81" s="35">
        <f>IF(B81="","",COUNTIFS('سجل التحفيز'!$AE$5:$AE$2004,"&gt;0",'سجل التحفيز'!$B$5:$B$2004,B81,'سجل التحفيز'!$D$5:$D$2004,"ذهبي"))</f>
        <v/>
      </c>
      <c r="F81" s="35">
        <f>IF(B81="","",SUMIFS('سجل التحفيز'!$G$5:$G$2004,'سجل التحفيز'!$AE$5:$AE$2004,"&gt;0",'سجل التحفيز'!$B$5:$B$2004,B81))</f>
        <v/>
      </c>
      <c r="G81" s="35">
        <f>IF(B81="","",COUNTIF($D$38:$D$187,"&gt;"&amp;D81)+1)</f>
        <v/>
      </c>
      <c r="H81" s="35">
        <f>IF(B81="","",INDEX(الموظفات!$L$5:$L$304,MATCH(B81,الموظفات!$B$5:$B$304,0)))</f>
        <v/>
      </c>
      <c r="K81" s="36">
        <f>IF(44&gt;$B$10,"",44)</f>
        <v/>
      </c>
      <c r="L81" s="37">
        <f>IF($K81="","",INDEX('سجل التحفيز'!$A$5:$A$2004,MATCH($K81,'سجل التحفيز'!$AE$5:$AE$2004,0)))</f>
        <v/>
      </c>
      <c r="M81" s="9">
        <f>IF($K81="","",INDEX('سجل التحفيز'!$B$5:$B$2004,MATCH($K81,'سجل التحفيز'!$AE$5:$AE$2004,0)))</f>
        <v/>
      </c>
      <c r="N81" s="9">
        <f>IF($K81="","",INDEX('سجل التحفيز'!$M$5:$M$2004,MATCH($K81,'سجل التحفيز'!$AE$5:$AE$2004,0)))</f>
        <v/>
      </c>
      <c r="O81" s="9">
        <f>IF($K81="","",INDEX('سجل التحفيز'!$C$5:$C$2004,MATCH($K81,'سجل التحفيز'!$AE$5:$AE$2004,0)))</f>
        <v/>
      </c>
      <c r="P81" s="36">
        <f>IF($K81="","",INDEX('سجل التحفيز'!$D$5:$D$2004,MATCH($K81,'سجل التحفيز'!$AE$5:$AE$2004,0)))</f>
        <v/>
      </c>
      <c r="Q81" s="9">
        <f>IF($K81="","",INDEX('سجل التحفيز'!$E$5:$E$2004,MATCH($K81,'سجل التحفيز'!$AE$5:$AE$2004,0)))</f>
        <v/>
      </c>
      <c r="R81" s="9">
        <f>IF($K81="","",INDEX('سجل التحفيز'!$F$5:$F$2004,MATCH($K81,'سجل التحفيز'!$AE$5:$AE$2004,0)))</f>
        <v/>
      </c>
      <c r="S81" s="35">
        <f>IF($K81="","",INDEX('سجل التحفيز'!$G$5:$G$2004,MATCH($K81,'سجل التحفيز'!$AE$5:$AE$2004,0)))</f>
        <v/>
      </c>
    </row>
    <row r="82">
      <c r="B82" s="34">
        <f>IFERROR(INDEX(الموظفات!$B$5:$B$304,MATCH(45,الموظفات!$Y$5:$Y$304,0)),"")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التحفيز'!$AE$5:$AE$2004,"&gt;0",'سجل التحفيز'!$B$5:$B$2004,B82))</f>
        <v/>
      </c>
      <c r="E82" s="35">
        <f>IF(B82="","",COUNTIFS('سجل التحفيز'!$AE$5:$AE$2004,"&gt;0",'سجل التحفيز'!$B$5:$B$2004,B82,'سجل التحفيز'!$D$5:$D$2004,"ذهبي"))</f>
        <v/>
      </c>
      <c r="F82" s="35">
        <f>IF(B82="","",SUMIFS('سجل التحفيز'!$G$5:$G$2004,'سجل التحفيز'!$AE$5:$AE$2004,"&gt;0",'سجل التحفيز'!$B$5:$B$2004,B82))</f>
        <v/>
      </c>
      <c r="G82" s="35">
        <f>IF(B82="","",COUNTIF($D$38:$D$187,"&gt;"&amp;D82)+1)</f>
        <v/>
      </c>
      <c r="H82" s="35">
        <f>IF(B82="","",INDEX(الموظفات!$L$5:$L$304,MATCH(B82,الموظفات!$B$5:$B$304,0)))</f>
        <v/>
      </c>
      <c r="K82" s="36">
        <f>IF(45&gt;$B$10,"",45)</f>
        <v/>
      </c>
      <c r="L82" s="37">
        <f>IF($K82="","",INDEX('سجل التحفيز'!$A$5:$A$2004,MATCH($K82,'سجل التحفيز'!$AE$5:$AE$2004,0)))</f>
        <v/>
      </c>
      <c r="M82" s="9">
        <f>IF($K82="","",INDEX('سجل التحفيز'!$B$5:$B$2004,MATCH($K82,'سجل التحفيز'!$AE$5:$AE$2004,0)))</f>
        <v/>
      </c>
      <c r="N82" s="9">
        <f>IF($K82="","",INDEX('سجل التحفيز'!$M$5:$M$2004,MATCH($K82,'سجل التحفيز'!$AE$5:$AE$2004,0)))</f>
        <v/>
      </c>
      <c r="O82" s="9">
        <f>IF($K82="","",INDEX('سجل التحفيز'!$C$5:$C$2004,MATCH($K82,'سجل التحفيز'!$AE$5:$AE$2004,0)))</f>
        <v/>
      </c>
      <c r="P82" s="36">
        <f>IF($K82="","",INDEX('سجل التحفيز'!$D$5:$D$2004,MATCH($K82,'سجل التحفيز'!$AE$5:$AE$2004,0)))</f>
        <v/>
      </c>
      <c r="Q82" s="9">
        <f>IF($K82="","",INDEX('سجل التحفيز'!$E$5:$E$2004,MATCH($K82,'سجل التحفيز'!$AE$5:$AE$2004,0)))</f>
        <v/>
      </c>
      <c r="R82" s="9">
        <f>IF($K82="","",INDEX('سجل التحفيز'!$F$5:$F$2004,MATCH($K82,'سجل التحفيز'!$AE$5:$AE$2004,0)))</f>
        <v/>
      </c>
      <c r="S82" s="35">
        <f>IF($K82="","",INDEX('سجل التحفيز'!$G$5:$G$2004,MATCH($K82,'سجل التحفيز'!$AE$5:$AE$2004,0)))</f>
        <v/>
      </c>
    </row>
    <row r="83">
      <c r="B83" s="34">
        <f>IFERROR(INDEX(الموظفات!$B$5:$B$304,MATCH(46,الموظفات!$Y$5:$Y$304,0)),"")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التحفيز'!$AE$5:$AE$2004,"&gt;0",'سجل التحفيز'!$B$5:$B$2004,B83))</f>
        <v/>
      </c>
      <c r="E83" s="35">
        <f>IF(B83="","",COUNTIFS('سجل التحفيز'!$AE$5:$AE$2004,"&gt;0",'سجل التحفيز'!$B$5:$B$2004,B83,'سجل التحفيز'!$D$5:$D$2004,"ذهبي"))</f>
        <v/>
      </c>
      <c r="F83" s="35">
        <f>IF(B83="","",SUMIFS('سجل التحفيز'!$G$5:$G$2004,'سجل التحفيز'!$AE$5:$AE$2004,"&gt;0",'سجل التحفيز'!$B$5:$B$2004,B83))</f>
        <v/>
      </c>
      <c r="G83" s="35">
        <f>IF(B83="","",COUNTIF($D$38:$D$187,"&gt;"&amp;D83)+1)</f>
        <v/>
      </c>
      <c r="H83" s="35">
        <f>IF(B83="","",INDEX(الموظفات!$L$5:$L$304,MATCH(B83,الموظفات!$B$5:$B$304,0)))</f>
        <v/>
      </c>
      <c r="K83" s="36">
        <f>IF(46&gt;$B$10,"",46)</f>
        <v/>
      </c>
      <c r="L83" s="37">
        <f>IF($K83="","",INDEX('سجل التحفيز'!$A$5:$A$2004,MATCH($K83,'سجل التحفيز'!$AE$5:$AE$2004,0)))</f>
        <v/>
      </c>
      <c r="M83" s="9">
        <f>IF($K83="","",INDEX('سجل التحفيز'!$B$5:$B$2004,MATCH($K83,'سجل التحفيز'!$AE$5:$AE$2004,0)))</f>
        <v/>
      </c>
      <c r="N83" s="9">
        <f>IF($K83="","",INDEX('سجل التحفيز'!$M$5:$M$2004,MATCH($K83,'سجل التحفيز'!$AE$5:$AE$2004,0)))</f>
        <v/>
      </c>
      <c r="O83" s="9">
        <f>IF($K83="","",INDEX('سجل التحفيز'!$C$5:$C$2004,MATCH($K83,'سجل التحفيز'!$AE$5:$AE$2004,0)))</f>
        <v/>
      </c>
      <c r="P83" s="36">
        <f>IF($K83="","",INDEX('سجل التحفيز'!$D$5:$D$2004,MATCH($K83,'سجل التحفيز'!$AE$5:$AE$2004,0)))</f>
        <v/>
      </c>
      <c r="Q83" s="9">
        <f>IF($K83="","",INDEX('سجل التحفيز'!$E$5:$E$2004,MATCH($K83,'سجل التحفيز'!$AE$5:$AE$2004,0)))</f>
        <v/>
      </c>
      <c r="R83" s="9">
        <f>IF($K83="","",INDEX('سجل التحفيز'!$F$5:$F$2004,MATCH($K83,'سجل التحفيز'!$AE$5:$AE$2004,0)))</f>
        <v/>
      </c>
      <c r="S83" s="35">
        <f>IF($K83="","",INDEX('سجل التحفيز'!$G$5:$G$2004,MATCH($K83,'سجل التحفيز'!$AE$5:$AE$2004,0)))</f>
        <v/>
      </c>
    </row>
    <row r="84">
      <c r="B84" s="34">
        <f>IFERROR(INDEX(الموظفات!$B$5:$B$304,MATCH(47,الموظفات!$Y$5:$Y$304,0)),"")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التحفيز'!$AE$5:$AE$2004,"&gt;0",'سجل التحفيز'!$B$5:$B$2004,B84))</f>
        <v/>
      </c>
      <c r="E84" s="35">
        <f>IF(B84="","",COUNTIFS('سجل التحفيز'!$AE$5:$AE$2004,"&gt;0",'سجل التحفيز'!$B$5:$B$2004,B84,'سجل التحفيز'!$D$5:$D$2004,"ذهبي"))</f>
        <v/>
      </c>
      <c r="F84" s="35">
        <f>IF(B84="","",SUMIFS('سجل التحفيز'!$G$5:$G$2004,'سجل التحفيز'!$AE$5:$AE$2004,"&gt;0",'سجل التحفيز'!$B$5:$B$2004,B84))</f>
        <v/>
      </c>
      <c r="G84" s="35">
        <f>IF(B84="","",COUNTIF($D$38:$D$187,"&gt;"&amp;D84)+1)</f>
        <v/>
      </c>
      <c r="H84" s="35">
        <f>IF(B84="","",INDEX(الموظفات!$L$5:$L$304,MATCH(B84,الموظفات!$B$5:$B$304,0)))</f>
        <v/>
      </c>
      <c r="K84" s="36">
        <f>IF(47&gt;$B$10,"",47)</f>
        <v/>
      </c>
      <c r="L84" s="37">
        <f>IF($K84="","",INDEX('سجل التحفيز'!$A$5:$A$2004,MATCH($K84,'سجل التحفيز'!$AE$5:$AE$2004,0)))</f>
        <v/>
      </c>
      <c r="M84" s="9">
        <f>IF($K84="","",INDEX('سجل التحفيز'!$B$5:$B$2004,MATCH($K84,'سجل التحفيز'!$AE$5:$AE$2004,0)))</f>
        <v/>
      </c>
      <c r="N84" s="9">
        <f>IF($K84="","",INDEX('سجل التحفيز'!$M$5:$M$2004,MATCH($K84,'سجل التحفيز'!$AE$5:$AE$2004,0)))</f>
        <v/>
      </c>
      <c r="O84" s="9">
        <f>IF($K84="","",INDEX('سجل التحفيز'!$C$5:$C$2004,MATCH($K84,'سجل التحفيز'!$AE$5:$AE$2004,0)))</f>
        <v/>
      </c>
      <c r="P84" s="36">
        <f>IF($K84="","",INDEX('سجل التحفيز'!$D$5:$D$2004,MATCH($K84,'سجل التحفيز'!$AE$5:$AE$2004,0)))</f>
        <v/>
      </c>
      <c r="Q84" s="9">
        <f>IF($K84="","",INDEX('سجل التحفيز'!$E$5:$E$2004,MATCH($K84,'سجل التحفيز'!$AE$5:$AE$2004,0)))</f>
        <v/>
      </c>
      <c r="R84" s="9">
        <f>IF($K84="","",INDEX('سجل التحفيز'!$F$5:$F$2004,MATCH($K84,'سجل التحفيز'!$AE$5:$AE$2004,0)))</f>
        <v/>
      </c>
      <c r="S84" s="35">
        <f>IF($K84="","",INDEX('سجل التحفيز'!$G$5:$G$2004,MATCH($K84,'سجل التحفيز'!$AE$5:$AE$2004,0)))</f>
        <v/>
      </c>
    </row>
    <row r="85">
      <c r="B85" s="34">
        <f>IFERROR(INDEX(الموظفات!$B$5:$B$304,MATCH(48,الموظفات!$Y$5:$Y$304,0)),"")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التحفيز'!$AE$5:$AE$2004,"&gt;0",'سجل التحفيز'!$B$5:$B$2004,B85))</f>
        <v/>
      </c>
      <c r="E85" s="35">
        <f>IF(B85="","",COUNTIFS('سجل التحفيز'!$AE$5:$AE$2004,"&gt;0",'سجل التحفيز'!$B$5:$B$2004,B85,'سجل التحفيز'!$D$5:$D$2004,"ذهبي"))</f>
        <v/>
      </c>
      <c r="F85" s="35">
        <f>IF(B85="","",SUMIFS('سجل التحفيز'!$G$5:$G$2004,'سجل التحفيز'!$AE$5:$AE$2004,"&gt;0",'سجل التحفيز'!$B$5:$B$2004,B85))</f>
        <v/>
      </c>
      <c r="G85" s="35">
        <f>IF(B85="","",COUNTIF($D$38:$D$187,"&gt;"&amp;D85)+1)</f>
        <v/>
      </c>
      <c r="H85" s="35">
        <f>IF(B85="","",INDEX(الموظفات!$L$5:$L$304,MATCH(B85,الموظفات!$B$5:$B$304,0)))</f>
        <v/>
      </c>
      <c r="K85" s="36">
        <f>IF(48&gt;$B$10,"",48)</f>
        <v/>
      </c>
      <c r="L85" s="37">
        <f>IF($K85="","",INDEX('سجل التحفيز'!$A$5:$A$2004,MATCH($K85,'سجل التحفيز'!$AE$5:$AE$2004,0)))</f>
        <v/>
      </c>
      <c r="M85" s="9">
        <f>IF($K85="","",INDEX('سجل التحفيز'!$B$5:$B$2004,MATCH($K85,'سجل التحفيز'!$AE$5:$AE$2004,0)))</f>
        <v/>
      </c>
      <c r="N85" s="9">
        <f>IF($K85="","",INDEX('سجل التحفيز'!$M$5:$M$2004,MATCH($K85,'سجل التحفيز'!$AE$5:$AE$2004,0)))</f>
        <v/>
      </c>
      <c r="O85" s="9">
        <f>IF($K85="","",INDEX('سجل التحفيز'!$C$5:$C$2004,MATCH($K85,'سجل التحفيز'!$AE$5:$AE$2004,0)))</f>
        <v/>
      </c>
      <c r="P85" s="36">
        <f>IF($K85="","",INDEX('سجل التحفيز'!$D$5:$D$2004,MATCH($K85,'سجل التحفيز'!$AE$5:$AE$2004,0)))</f>
        <v/>
      </c>
      <c r="Q85" s="9">
        <f>IF($K85="","",INDEX('سجل التحفيز'!$E$5:$E$2004,MATCH($K85,'سجل التحفيز'!$AE$5:$AE$2004,0)))</f>
        <v/>
      </c>
      <c r="R85" s="9">
        <f>IF($K85="","",INDEX('سجل التحفيز'!$F$5:$F$2004,MATCH($K85,'سجل التحفيز'!$AE$5:$AE$2004,0)))</f>
        <v/>
      </c>
      <c r="S85" s="35">
        <f>IF($K85="","",INDEX('سجل التحفيز'!$G$5:$G$2004,MATCH($K85,'سجل التحفيز'!$AE$5:$AE$2004,0)))</f>
        <v/>
      </c>
    </row>
    <row r="86">
      <c r="B86" s="34">
        <f>IFERROR(INDEX(الموظفات!$B$5:$B$304,MATCH(49,الموظفات!$Y$5:$Y$304,0)),"")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التحفيز'!$AE$5:$AE$2004,"&gt;0",'سجل التحفيز'!$B$5:$B$2004,B86))</f>
        <v/>
      </c>
      <c r="E86" s="35">
        <f>IF(B86="","",COUNTIFS('سجل التحفيز'!$AE$5:$AE$2004,"&gt;0",'سجل التحفيز'!$B$5:$B$2004,B86,'سجل التحفيز'!$D$5:$D$2004,"ذهبي"))</f>
        <v/>
      </c>
      <c r="F86" s="35">
        <f>IF(B86="","",SUMIFS('سجل التحفيز'!$G$5:$G$2004,'سجل التحفيز'!$AE$5:$AE$2004,"&gt;0",'سجل التحفيز'!$B$5:$B$2004,B86))</f>
        <v/>
      </c>
      <c r="G86" s="35">
        <f>IF(B86="","",COUNTIF($D$38:$D$187,"&gt;"&amp;D86)+1)</f>
        <v/>
      </c>
      <c r="H86" s="35">
        <f>IF(B86="","",INDEX(الموظفات!$L$5:$L$304,MATCH(B86,الموظفات!$B$5:$B$304,0)))</f>
        <v/>
      </c>
      <c r="K86" s="36">
        <f>IF(49&gt;$B$10,"",49)</f>
        <v/>
      </c>
      <c r="L86" s="37">
        <f>IF($K86="","",INDEX('سجل التحفيز'!$A$5:$A$2004,MATCH($K86,'سجل التحفيز'!$AE$5:$AE$2004,0)))</f>
        <v/>
      </c>
      <c r="M86" s="9">
        <f>IF($K86="","",INDEX('سجل التحفيز'!$B$5:$B$2004,MATCH($K86,'سجل التحفيز'!$AE$5:$AE$2004,0)))</f>
        <v/>
      </c>
      <c r="N86" s="9">
        <f>IF($K86="","",INDEX('سجل التحفيز'!$M$5:$M$2004,MATCH($K86,'سجل التحفيز'!$AE$5:$AE$2004,0)))</f>
        <v/>
      </c>
      <c r="O86" s="9">
        <f>IF($K86="","",INDEX('سجل التحفيز'!$C$5:$C$2004,MATCH($K86,'سجل التحفيز'!$AE$5:$AE$2004,0)))</f>
        <v/>
      </c>
      <c r="P86" s="36">
        <f>IF($K86="","",INDEX('سجل التحفيز'!$D$5:$D$2004,MATCH($K86,'سجل التحفيز'!$AE$5:$AE$2004,0)))</f>
        <v/>
      </c>
      <c r="Q86" s="9">
        <f>IF($K86="","",INDEX('سجل التحفيز'!$E$5:$E$2004,MATCH($K86,'سجل التحفيز'!$AE$5:$AE$2004,0)))</f>
        <v/>
      </c>
      <c r="R86" s="9">
        <f>IF($K86="","",INDEX('سجل التحفيز'!$F$5:$F$2004,MATCH($K86,'سجل التحفيز'!$AE$5:$AE$2004,0)))</f>
        <v/>
      </c>
      <c r="S86" s="35">
        <f>IF($K86="","",INDEX('سجل التحفيز'!$G$5:$G$2004,MATCH($K86,'سجل التحفيز'!$AE$5:$AE$2004,0)))</f>
        <v/>
      </c>
    </row>
    <row r="87">
      <c r="B87" s="34">
        <f>IFERROR(INDEX(الموظفات!$B$5:$B$304,MATCH(50,الموظفات!$Y$5:$Y$304,0)),"")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التحفيز'!$AE$5:$AE$2004,"&gt;0",'سجل التحفيز'!$B$5:$B$2004,B87))</f>
        <v/>
      </c>
      <c r="E87" s="35">
        <f>IF(B87="","",COUNTIFS('سجل التحفيز'!$AE$5:$AE$2004,"&gt;0",'سجل التحفيز'!$B$5:$B$2004,B87,'سجل التحفيز'!$D$5:$D$2004,"ذهبي"))</f>
        <v/>
      </c>
      <c r="F87" s="35">
        <f>IF(B87="","",SUMIFS('سجل التحفيز'!$G$5:$G$2004,'سجل التحفيز'!$AE$5:$AE$2004,"&gt;0",'سجل التحفيز'!$B$5:$B$2004,B87))</f>
        <v/>
      </c>
      <c r="G87" s="35">
        <f>IF(B87="","",COUNTIF($D$38:$D$187,"&gt;"&amp;D87)+1)</f>
        <v/>
      </c>
      <c r="H87" s="35">
        <f>IF(B87="","",INDEX(الموظفات!$L$5:$L$304,MATCH(B87,الموظفات!$B$5:$B$304,0)))</f>
        <v/>
      </c>
      <c r="K87" s="36">
        <f>IF(50&gt;$B$10,"",50)</f>
        <v/>
      </c>
      <c r="L87" s="37">
        <f>IF($K87="","",INDEX('سجل التحفيز'!$A$5:$A$2004,MATCH($K87,'سجل التحفيز'!$AE$5:$AE$2004,0)))</f>
        <v/>
      </c>
      <c r="M87" s="9">
        <f>IF($K87="","",INDEX('سجل التحفيز'!$B$5:$B$2004,MATCH($K87,'سجل التحفيز'!$AE$5:$AE$2004,0)))</f>
        <v/>
      </c>
      <c r="N87" s="9">
        <f>IF($K87="","",INDEX('سجل التحفيز'!$M$5:$M$2004,MATCH($K87,'سجل التحفيز'!$AE$5:$AE$2004,0)))</f>
        <v/>
      </c>
      <c r="O87" s="9">
        <f>IF($K87="","",INDEX('سجل التحفيز'!$C$5:$C$2004,MATCH($K87,'سجل التحفيز'!$AE$5:$AE$2004,0)))</f>
        <v/>
      </c>
      <c r="P87" s="36">
        <f>IF($K87="","",INDEX('سجل التحفيز'!$D$5:$D$2004,MATCH($K87,'سجل التحفيز'!$AE$5:$AE$2004,0)))</f>
        <v/>
      </c>
      <c r="Q87" s="9">
        <f>IF($K87="","",INDEX('سجل التحفيز'!$E$5:$E$2004,MATCH($K87,'سجل التحفيز'!$AE$5:$AE$2004,0)))</f>
        <v/>
      </c>
      <c r="R87" s="9">
        <f>IF($K87="","",INDEX('سجل التحفيز'!$F$5:$F$2004,MATCH($K87,'سجل التحفيز'!$AE$5:$AE$2004,0)))</f>
        <v/>
      </c>
      <c r="S87" s="35">
        <f>IF($K87="","",INDEX('سجل التحفيز'!$G$5:$G$2004,MATCH($K87,'سجل التحفيز'!$AE$5:$AE$2004,0)))</f>
        <v/>
      </c>
    </row>
    <row r="88">
      <c r="B88" s="34">
        <f>IFERROR(INDEX(الموظفات!$B$5:$B$304,MATCH(51,الموظفات!$Y$5:$Y$304,0)),"")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التحفيز'!$AE$5:$AE$2004,"&gt;0",'سجل التحفيز'!$B$5:$B$2004,B88))</f>
        <v/>
      </c>
      <c r="E88" s="35">
        <f>IF(B88="","",COUNTIFS('سجل التحفيز'!$AE$5:$AE$2004,"&gt;0",'سجل التحفيز'!$B$5:$B$2004,B88,'سجل التحفيز'!$D$5:$D$2004,"ذهبي"))</f>
        <v/>
      </c>
      <c r="F88" s="35">
        <f>IF(B88="","",SUMIFS('سجل التحفيز'!$G$5:$G$2004,'سجل التحفيز'!$AE$5:$AE$2004,"&gt;0",'سجل التحفيز'!$B$5:$B$2004,B88))</f>
        <v/>
      </c>
      <c r="G88" s="35">
        <f>IF(B88="","",COUNTIF($D$38:$D$187,"&gt;"&amp;D88)+1)</f>
        <v/>
      </c>
      <c r="H88" s="35">
        <f>IF(B88="","",INDEX(الموظفات!$L$5:$L$304,MATCH(B88,الموظفات!$B$5:$B$304,0)))</f>
        <v/>
      </c>
      <c r="K88" s="36">
        <f>IF(51&gt;$B$10,"",51)</f>
        <v/>
      </c>
      <c r="L88" s="37">
        <f>IF($K88="","",INDEX('سجل التحفيز'!$A$5:$A$2004,MATCH($K88,'سجل التحفيز'!$AE$5:$AE$2004,0)))</f>
        <v/>
      </c>
      <c r="M88" s="9">
        <f>IF($K88="","",INDEX('سجل التحفيز'!$B$5:$B$2004,MATCH($K88,'سجل التحفيز'!$AE$5:$AE$2004,0)))</f>
        <v/>
      </c>
      <c r="N88" s="9">
        <f>IF($K88="","",INDEX('سجل التحفيز'!$M$5:$M$2004,MATCH($K88,'سجل التحفيز'!$AE$5:$AE$2004,0)))</f>
        <v/>
      </c>
      <c r="O88" s="9">
        <f>IF($K88="","",INDEX('سجل التحفيز'!$C$5:$C$2004,MATCH($K88,'سجل التحفيز'!$AE$5:$AE$2004,0)))</f>
        <v/>
      </c>
      <c r="P88" s="36">
        <f>IF($K88="","",INDEX('سجل التحفيز'!$D$5:$D$2004,MATCH($K88,'سجل التحفيز'!$AE$5:$AE$2004,0)))</f>
        <v/>
      </c>
      <c r="Q88" s="9">
        <f>IF($K88="","",INDEX('سجل التحفيز'!$E$5:$E$2004,MATCH($K88,'سجل التحفيز'!$AE$5:$AE$2004,0)))</f>
        <v/>
      </c>
      <c r="R88" s="9">
        <f>IF($K88="","",INDEX('سجل التحفيز'!$F$5:$F$2004,MATCH($K88,'سجل التحفيز'!$AE$5:$AE$2004,0)))</f>
        <v/>
      </c>
      <c r="S88" s="35">
        <f>IF($K88="","",INDEX('سجل التحفيز'!$G$5:$G$2004,MATCH($K88,'سجل التحفيز'!$AE$5:$AE$2004,0)))</f>
        <v/>
      </c>
    </row>
    <row r="89">
      <c r="B89" s="34">
        <f>IFERROR(INDEX(الموظفات!$B$5:$B$304,MATCH(52,الموظفات!$Y$5:$Y$304,0)),"")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التحفيز'!$AE$5:$AE$2004,"&gt;0",'سجل التحفيز'!$B$5:$B$2004,B89))</f>
        <v/>
      </c>
      <c r="E89" s="35">
        <f>IF(B89="","",COUNTIFS('سجل التحفيز'!$AE$5:$AE$2004,"&gt;0",'سجل التحفيز'!$B$5:$B$2004,B89,'سجل التحفيز'!$D$5:$D$2004,"ذهبي"))</f>
        <v/>
      </c>
      <c r="F89" s="35">
        <f>IF(B89="","",SUMIFS('سجل التحفيز'!$G$5:$G$2004,'سجل التحفيز'!$AE$5:$AE$2004,"&gt;0",'سجل التحفيز'!$B$5:$B$2004,B89))</f>
        <v/>
      </c>
      <c r="G89" s="35">
        <f>IF(B89="","",COUNTIF($D$38:$D$187,"&gt;"&amp;D89)+1)</f>
        <v/>
      </c>
      <c r="H89" s="35">
        <f>IF(B89="","",INDEX(الموظفات!$L$5:$L$304,MATCH(B89,الموظفات!$B$5:$B$304,0)))</f>
        <v/>
      </c>
      <c r="K89" s="36">
        <f>IF(52&gt;$B$10,"",52)</f>
        <v/>
      </c>
      <c r="L89" s="37">
        <f>IF($K89="","",INDEX('سجل التحفيز'!$A$5:$A$2004,MATCH($K89,'سجل التحفيز'!$AE$5:$AE$2004,0)))</f>
        <v/>
      </c>
      <c r="M89" s="9">
        <f>IF($K89="","",INDEX('سجل التحفيز'!$B$5:$B$2004,MATCH($K89,'سجل التحفيز'!$AE$5:$AE$2004,0)))</f>
        <v/>
      </c>
      <c r="N89" s="9">
        <f>IF($K89="","",INDEX('سجل التحفيز'!$M$5:$M$2004,MATCH($K89,'سجل التحفيز'!$AE$5:$AE$2004,0)))</f>
        <v/>
      </c>
      <c r="O89" s="9">
        <f>IF($K89="","",INDEX('سجل التحفيز'!$C$5:$C$2004,MATCH($K89,'سجل التحفيز'!$AE$5:$AE$2004,0)))</f>
        <v/>
      </c>
      <c r="P89" s="36">
        <f>IF($K89="","",INDEX('سجل التحفيز'!$D$5:$D$2004,MATCH($K89,'سجل التحفيز'!$AE$5:$AE$2004,0)))</f>
        <v/>
      </c>
      <c r="Q89" s="9">
        <f>IF($K89="","",INDEX('سجل التحفيز'!$E$5:$E$2004,MATCH($K89,'سجل التحفيز'!$AE$5:$AE$2004,0)))</f>
        <v/>
      </c>
      <c r="R89" s="9">
        <f>IF($K89="","",INDEX('سجل التحفيز'!$F$5:$F$2004,MATCH($K89,'سجل التحفيز'!$AE$5:$AE$2004,0)))</f>
        <v/>
      </c>
      <c r="S89" s="35">
        <f>IF($K89="","",INDEX('سجل التحفيز'!$G$5:$G$2004,MATCH($K89,'سجل التحفيز'!$AE$5:$AE$2004,0)))</f>
        <v/>
      </c>
    </row>
    <row r="90">
      <c r="B90" s="34">
        <f>IFERROR(INDEX(الموظفات!$B$5:$B$304,MATCH(53,الموظفات!$Y$5:$Y$304,0)),"")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التحفيز'!$AE$5:$AE$2004,"&gt;0",'سجل التحفيز'!$B$5:$B$2004,B90))</f>
        <v/>
      </c>
      <c r="E90" s="35">
        <f>IF(B90="","",COUNTIFS('سجل التحفيز'!$AE$5:$AE$2004,"&gt;0",'سجل التحفيز'!$B$5:$B$2004,B90,'سجل التحفيز'!$D$5:$D$2004,"ذهبي"))</f>
        <v/>
      </c>
      <c r="F90" s="35">
        <f>IF(B90="","",SUMIFS('سجل التحفيز'!$G$5:$G$2004,'سجل التحفيز'!$AE$5:$AE$2004,"&gt;0",'سجل التحفيز'!$B$5:$B$2004,B90))</f>
        <v/>
      </c>
      <c r="G90" s="35">
        <f>IF(B90="","",COUNTIF($D$38:$D$187,"&gt;"&amp;D90)+1)</f>
        <v/>
      </c>
      <c r="H90" s="35">
        <f>IF(B90="","",INDEX(الموظفات!$L$5:$L$304,MATCH(B90,الموظفات!$B$5:$B$304,0)))</f>
        <v/>
      </c>
      <c r="K90" s="36">
        <f>IF(53&gt;$B$10,"",53)</f>
        <v/>
      </c>
      <c r="L90" s="37">
        <f>IF($K90="","",INDEX('سجل التحفيز'!$A$5:$A$2004,MATCH($K90,'سجل التحفيز'!$AE$5:$AE$2004,0)))</f>
        <v/>
      </c>
      <c r="M90" s="9">
        <f>IF($K90="","",INDEX('سجل التحفيز'!$B$5:$B$2004,MATCH($K90,'سجل التحفيز'!$AE$5:$AE$2004,0)))</f>
        <v/>
      </c>
      <c r="N90" s="9">
        <f>IF($K90="","",INDEX('سجل التحفيز'!$M$5:$M$2004,MATCH($K90,'سجل التحفيز'!$AE$5:$AE$2004,0)))</f>
        <v/>
      </c>
      <c r="O90" s="9">
        <f>IF($K90="","",INDEX('سجل التحفيز'!$C$5:$C$2004,MATCH($K90,'سجل التحفيز'!$AE$5:$AE$2004,0)))</f>
        <v/>
      </c>
      <c r="P90" s="36">
        <f>IF($K90="","",INDEX('سجل التحفيز'!$D$5:$D$2004,MATCH($K90,'سجل التحفيز'!$AE$5:$AE$2004,0)))</f>
        <v/>
      </c>
      <c r="Q90" s="9">
        <f>IF($K90="","",INDEX('سجل التحفيز'!$E$5:$E$2004,MATCH($K90,'سجل التحفيز'!$AE$5:$AE$2004,0)))</f>
        <v/>
      </c>
      <c r="R90" s="9">
        <f>IF($K90="","",INDEX('سجل التحفيز'!$F$5:$F$2004,MATCH($K90,'سجل التحفيز'!$AE$5:$AE$2004,0)))</f>
        <v/>
      </c>
      <c r="S90" s="35">
        <f>IF($K90="","",INDEX('سجل التحفيز'!$G$5:$G$2004,MATCH($K90,'سجل التحفيز'!$AE$5:$AE$2004,0)))</f>
        <v/>
      </c>
    </row>
    <row r="91">
      <c r="B91" s="34">
        <f>IFERROR(INDEX(الموظفات!$B$5:$B$304,MATCH(54,الموظفات!$Y$5:$Y$304,0)),"")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التحفيز'!$AE$5:$AE$2004,"&gt;0",'سجل التحفيز'!$B$5:$B$2004,B91))</f>
        <v/>
      </c>
      <c r="E91" s="35">
        <f>IF(B91="","",COUNTIFS('سجل التحفيز'!$AE$5:$AE$2004,"&gt;0",'سجل التحفيز'!$B$5:$B$2004,B91,'سجل التحفيز'!$D$5:$D$2004,"ذهبي"))</f>
        <v/>
      </c>
      <c r="F91" s="35">
        <f>IF(B91="","",SUMIFS('سجل التحفيز'!$G$5:$G$2004,'سجل التحفيز'!$AE$5:$AE$2004,"&gt;0",'سجل التحفيز'!$B$5:$B$2004,B91))</f>
        <v/>
      </c>
      <c r="G91" s="35">
        <f>IF(B91="","",COUNTIF($D$38:$D$187,"&gt;"&amp;D91)+1)</f>
        <v/>
      </c>
      <c r="H91" s="35">
        <f>IF(B91="","",INDEX(الموظفات!$L$5:$L$304,MATCH(B91,الموظفات!$B$5:$B$304,0)))</f>
        <v/>
      </c>
      <c r="K91" s="36">
        <f>IF(54&gt;$B$10,"",54)</f>
        <v/>
      </c>
      <c r="L91" s="37">
        <f>IF($K91="","",INDEX('سجل التحفيز'!$A$5:$A$2004,MATCH($K91,'سجل التحفيز'!$AE$5:$AE$2004,0)))</f>
        <v/>
      </c>
      <c r="M91" s="9">
        <f>IF($K91="","",INDEX('سجل التحفيز'!$B$5:$B$2004,MATCH($K91,'سجل التحفيز'!$AE$5:$AE$2004,0)))</f>
        <v/>
      </c>
      <c r="N91" s="9">
        <f>IF($K91="","",INDEX('سجل التحفيز'!$M$5:$M$2004,MATCH($K91,'سجل التحفيز'!$AE$5:$AE$2004,0)))</f>
        <v/>
      </c>
      <c r="O91" s="9">
        <f>IF($K91="","",INDEX('سجل التحفيز'!$C$5:$C$2004,MATCH($K91,'سجل التحفيز'!$AE$5:$AE$2004,0)))</f>
        <v/>
      </c>
      <c r="P91" s="36">
        <f>IF($K91="","",INDEX('سجل التحفيز'!$D$5:$D$2004,MATCH($K91,'سجل التحفيز'!$AE$5:$AE$2004,0)))</f>
        <v/>
      </c>
      <c r="Q91" s="9">
        <f>IF($K91="","",INDEX('سجل التحفيز'!$E$5:$E$2004,MATCH($K91,'سجل التحفيز'!$AE$5:$AE$2004,0)))</f>
        <v/>
      </c>
      <c r="R91" s="9">
        <f>IF($K91="","",INDEX('سجل التحفيز'!$F$5:$F$2004,MATCH($K91,'سجل التحفيز'!$AE$5:$AE$2004,0)))</f>
        <v/>
      </c>
      <c r="S91" s="35">
        <f>IF($K91="","",INDEX('سجل التحفيز'!$G$5:$G$2004,MATCH($K91,'سجل التحفيز'!$AE$5:$AE$2004,0)))</f>
        <v/>
      </c>
    </row>
    <row r="92">
      <c r="B92" s="34">
        <f>IFERROR(INDEX(الموظفات!$B$5:$B$304,MATCH(55,الموظفات!$Y$5:$Y$304,0)),"")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التحفيز'!$AE$5:$AE$2004,"&gt;0",'سجل التحفيز'!$B$5:$B$2004,B92))</f>
        <v/>
      </c>
      <c r="E92" s="35">
        <f>IF(B92="","",COUNTIFS('سجل التحفيز'!$AE$5:$AE$2004,"&gt;0",'سجل التحفيز'!$B$5:$B$2004,B92,'سجل التحفيز'!$D$5:$D$2004,"ذهبي"))</f>
        <v/>
      </c>
      <c r="F92" s="35">
        <f>IF(B92="","",SUMIFS('سجل التحفيز'!$G$5:$G$2004,'سجل التحفيز'!$AE$5:$AE$2004,"&gt;0",'سجل التحفيز'!$B$5:$B$2004,B92))</f>
        <v/>
      </c>
      <c r="G92" s="35">
        <f>IF(B92="","",COUNTIF($D$38:$D$187,"&gt;"&amp;D92)+1)</f>
        <v/>
      </c>
      <c r="H92" s="35">
        <f>IF(B92="","",INDEX(الموظفات!$L$5:$L$304,MATCH(B92,الموظفات!$B$5:$B$304,0)))</f>
        <v/>
      </c>
      <c r="K92" s="36">
        <f>IF(55&gt;$B$10,"",55)</f>
        <v/>
      </c>
      <c r="L92" s="37">
        <f>IF($K92="","",INDEX('سجل التحفيز'!$A$5:$A$2004,MATCH($K92,'سجل التحفيز'!$AE$5:$AE$2004,0)))</f>
        <v/>
      </c>
      <c r="M92" s="9">
        <f>IF($K92="","",INDEX('سجل التحفيز'!$B$5:$B$2004,MATCH($K92,'سجل التحفيز'!$AE$5:$AE$2004,0)))</f>
        <v/>
      </c>
      <c r="N92" s="9">
        <f>IF($K92="","",INDEX('سجل التحفيز'!$M$5:$M$2004,MATCH($K92,'سجل التحفيز'!$AE$5:$AE$2004,0)))</f>
        <v/>
      </c>
      <c r="O92" s="9">
        <f>IF($K92="","",INDEX('سجل التحفيز'!$C$5:$C$2004,MATCH($K92,'سجل التحفيز'!$AE$5:$AE$2004,0)))</f>
        <v/>
      </c>
      <c r="P92" s="36">
        <f>IF($K92="","",INDEX('سجل التحفيز'!$D$5:$D$2004,MATCH($K92,'سجل التحفيز'!$AE$5:$AE$2004,0)))</f>
        <v/>
      </c>
      <c r="Q92" s="9">
        <f>IF($K92="","",INDEX('سجل التحفيز'!$E$5:$E$2004,MATCH($K92,'سجل التحفيز'!$AE$5:$AE$2004,0)))</f>
        <v/>
      </c>
      <c r="R92" s="9">
        <f>IF($K92="","",INDEX('سجل التحفيز'!$F$5:$F$2004,MATCH($K92,'سجل التحفيز'!$AE$5:$AE$2004,0)))</f>
        <v/>
      </c>
      <c r="S92" s="35">
        <f>IF($K92="","",INDEX('سجل التحفيز'!$G$5:$G$2004,MATCH($K92,'سجل التحفيز'!$AE$5:$AE$2004,0)))</f>
        <v/>
      </c>
    </row>
    <row r="93">
      <c r="B93" s="34">
        <f>IFERROR(INDEX(الموظفات!$B$5:$B$304,MATCH(56,الموظفات!$Y$5:$Y$304,0)),"")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التحفيز'!$AE$5:$AE$2004,"&gt;0",'سجل التحفيز'!$B$5:$B$2004,B93))</f>
        <v/>
      </c>
      <c r="E93" s="35">
        <f>IF(B93="","",COUNTIFS('سجل التحفيز'!$AE$5:$AE$2004,"&gt;0",'سجل التحفيز'!$B$5:$B$2004,B93,'سجل التحفيز'!$D$5:$D$2004,"ذهبي"))</f>
        <v/>
      </c>
      <c r="F93" s="35">
        <f>IF(B93="","",SUMIFS('سجل التحفيز'!$G$5:$G$2004,'سجل التحفيز'!$AE$5:$AE$2004,"&gt;0",'سجل التحفيز'!$B$5:$B$2004,B93))</f>
        <v/>
      </c>
      <c r="G93" s="35">
        <f>IF(B93="","",COUNTIF($D$38:$D$187,"&gt;"&amp;D93)+1)</f>
        <v/>
      </c>
      <c r="H93" s="35">
        <f>IF(B93="","",INDEX(الموظفات!$L$5:$L$304,MATCH(B93,الموظفات!$B$5:$B$304,0)))</f>
        <v/>
      </c>
      <c r="K93" s="36">
        <f>IF(56&gt;$B$10,"",56)</f>
        <v/>
      </c>
      <c r="L93" s="37">
        <f>IF($K93="","",INDEX('سجل التحفيز'!$A$5:$A$2004,MATCH($K93,'سجل التحفيز'!$AE$5:$AE$2004,0)))</f>
        <v/>
      </c>
      <c r="M93" s="9">
        <f>IF($K93="","",INDEX('سجل التحفيز'!$B$5:$B$2004,MATCH($K93,'سجل التحفيز'!$AE$5:$AE$2004,0)))</f>
        <v/>
      </c>
      <c r="N93" s="9">
        <f>IF($K93="","",INDEX('سجل التحفيز'!$M$5:$M$2004,MATCH($K93,'سجل التحفيز'!$AE$5:$AE$2004,0)))</f>
        <v/>
      </c>
      <c r="O93" s="9">
        <f>IF($K93="","",INDEX('سجل التحفيز'!$C$5:$C$2004,MATCH($K93,'سجل التحفيز'!$AE$5:$AE$2004,0)))</f>
        <v/>
      </c>
      <c r="P93" s="36">
        <f>IF($K93="","",INDEX('سجل التحفيز'!$D$5:$D$2004,MATCH($K93,'سجل التحفيز'!$AE$5:$AE$2004,0)))</f>
        <v/>
      </c>
      <c r="Q93" s="9">
        <f>IF($K93="","",INDEX('سجل التحفيز'!$E$5:$E$2004,MATCH($K93,'سجل التحفيز'!$AE$5:$AE$2004,0)))</f>
        <v/>
      </c>
      <c r="R93" s="9">
        <f>IF($K93="","",INDEX('سجل التحفيز'!$F$5:$F$2004,MATCH($K93,'سجل التحفيز'!$AE$5:$AE$2004,0)))</f>
        <v/>
      </c>
      <c r="S93" s="35">
        <f>IF($K93="","",INDEX('سجل التحفيز'!$G$5:$G$2004,MATCH($K93,'سجل التحفيز'!$AE$5:$AE$2004,0)))</f>
        <v/>
      </c>
    </row>
    <row r="94">
      <c r="B94" s="34">
        <f>IFERROR(INDEX(الموظفات!$B$5:$B$304,MATCH(57,الموظفات!$Y$5:$Y$304,0)),"")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التحفيز'!$AE$5:$AE$2004,"&gt;0",'سجل التحفيز'!$B$5:$B$2004,B94))</f>
        <v/>
      </c>
      <c r="E94" s="35">
        <f>IF(B94="","",COUNTIFS('سجل التحفيز'!$AE$5:$AE$2004,"&gt;0",'سجل التحفيز'!$B$5:$B$2004,B94,'سجل التحفيز'!$D$5:$D$2004,"ذهبي"))</f>
        <v/>
      </c>
      <c r="F94" s="35">
        <f>IF(B94="","",SUMIFS('سجل التحفيز'!$G$5:$G$2004,'سجل التحفيز'!$AE$5:$AE$2004,"&gt;0",'سجل التحفيز'!$B$5:$B$2004,B94))</f>
        <v/>
      </c>
      <c r="G94" s="35">
        <f>IF(B94="","",COUNTIF($D$38:$D$187,"&gt;"&amp;D94)+1)</f>
        <v/>
      </c>
      <c r="H94" s="35">
        <f>IF(B94="","",INDEX(الموظفات!$L$5:$L$304,MATCH(B94,الموظفات!$B$5:$B$304,0)))</f>
        <v/>
      </c>
      <c r="K94" s="36">
        <f>IF(57&gt;$B$10,"",57)</f>
        <v/>
      </c>
      <c r="L94" s="37">
        <f>IF($K94="","",INDEX('سجل التحفيز'!$A$5:$A$2004,MATCH($K94,'سجل التحفيز'!$AE$5:$AE$2004,0)))</f>
        <v/>
      </c>
      <c r="M94" s="9">
        <f>IF($K94="","",INDEX('سجل التحفيز'!$B$5:$B$2004,MATCH($K94,'سجل التحفيز'!$AE$5:$AE$2004,0)))</f>
        <v/>
      </c>
      <c r="N94" s="9">
        <f>IF($K94="","",INDEX('سجل التحفيز'!$M$5:$M$2004,MATCH($K94,'سجل التحفيز'!$AE$5:$AE$2004,0)))</f>
        <v/>
      </c>
      <c r="O94" s="9">
        <f>IF($K94="","",INDEX('سجل التحفيز'!$C$5:$C$2004,MATCH($K94,'سجل التحفيز'!$AE$5:$AE$2004,0)))</f>
        <v/>
      </c>
      <c r="P94" s="36">
        <f>IF($K94="","",INDEX('سجل التحفيز'!$D$5:$D$2004,MATCH($K94,'سجل التحفيز'!$AE$5:$AE$2004,0)))</f>
        <v/>
      </c>
      <c r="Q94" s="9">
        <f>IF($K94="","",INDEX('سجل التحفيز'!$E$5:$E$2004,MATCH($K94,'سجل التحفيز'!$AE$5:$AE$2004,0)))</f>
        <v/>
      </c>
      <c r="R94" s="9">
        <f>IF($K94="","",INDEX('سجل التحفيز'!$F$5:$F$2004,MATCH($K94,'سجل التحفيز'!$AE$5:$AE$2004,0)))</f>
        <v/>
      </c>
      <c r="S94" s="35">
        <f>IF($K94="","",INDEX('سجل التحفيز'!$G$5:$G$2004,MATCH($K94,'سجل التحفيز'!$AE$5:$AE$2004,0)))</f>
        <v/>
      </c>
    </row>
    <row r="95">
      <c r="B95" s="34">
        <f>IFERROR(INDEX(الموظفات!$B$5:$B$304,MATCH(58,الموظفات!$Y$5:$Y$304,0)),"")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التحفيز'!$AE$5:$AE$2004,"&gt;0",'سجل التحفيز'!$B$5:$B$2004,B95))</f>
        <v/>
      </c>
      <c r="E95" s="35">
        <f>IF(B95="","",COUNTIFS('سجل التحفيز'!$AE$5:$AE$2004,"&gt;0",'سجل التحفيز'!$B$5:$B$2004,B95,'سجل التحفيز'!$D$5:$D$2004,"ذهبي"))</f>
        <v/>
      </c>
      <c r="F95" s="35">
        <f>IF(B95="","",SUMIFS('سجل التحفيز'!$G$5:$G$2004,'سجل التحفيز'!$AE$5:$AE$2004,"&gt;0",'سجل التحفيز'!$B$5:$B$2004,B95))</f>
        <v/>
      </c>
      <c r="G95" s="35">
        <f>IF(B95="","",COUNTIF($D$38:$D$187,"&gt;"&amp;D95)+1)</f>
        <v/>
      </c>
      <c r="H95" s="35">
        <f>IF(B95="","",INDEX(الموظفات!$L$5:$L$304,MATCH(B95,الموظفات!$B$5:$B$304,0)))</f>
        <v/>
      </c>
      <c r="K95" s="36">
        <f>IF(58&gt;$B$10,"",58)</f>
        <v/>
      </c>
      <c r="L95" s="37">
        <f>IF($K95="","",INDEX('سجل التحفيز'!$A$5:$A$2004,MATCH($K95,'سجل التحفيز'!$AE$5:$AE$2004,0)))</f>
        <v/>
      </c>
      <c r="M95" s="9">
        <f>IF($K95="","",INDEX('سجل التحفيز'!$B$5:$B$2004,MATCH($K95,'سجل التحفيز'!$AE$5:$AE$2004,0)))</f>
        <v/>
      </c>
      <c r="N95" s="9">
        <f>IF($K95="","",INDEX('سجل التحفيز'!$M$5:$M$2004,MATCH($K95,'سجل التحفيز'!$AE$5:$AE$2004,0)))</f>
        <v/>
      </c>
      <c r="O95" s="9">
        <f>IF($K95="","",INDEX('سجل التحفيز'!$C$5:$C$2004,MATCH($K95,'سجل التحفيز'!$AE$5:$AE$2004,0)))</f>
        <v/>
      </c>
      <c r="P95" s="36">
        <f>IF($K95="","",INDEX('سجل التحفيز'!$D$5:$D$2004,MATCH($K95,'سجل التحفيز'!$AE$5:$AE$2004,0)))</f>
        <v/>
      </c>
      <c r="Q95" s="9">
        <f>IF($K95="","",INDEX('سجل التحفيز'!$E$5:$E$2004,MATCH($K95,'سجل التحفيز'!$AE$5:$AE$2004,0)))</f>
        <v/>
      </c>
      <c r="R95" s="9">
        <f>IF($K95="","",INDEX('سجل التحفيز'!$F$5:$F$2004,MATCH($K95,'سجل التحفيز'!$AE$5:$AE$2004,0)))</f>
        <v/>
      </c>
      <c r="S95" s="35">
        <f>IF($K95="","",INDEX('سجل التحفيز'!$G$5:$G$2004,MATCH($K95,'سجل التحفيز'!$AE$5:$AE$2004,0)))</f>
        <v/>
      </c>
    </row>
    <row r="96">
      <c r="B96" s="34">
        <f>IFERROR(INDEX(الموظفات!$B$5:$B$304,MATCH(59,الموظفات!$Y$5:$Y$304,0)),"")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التحفيز'!$AE$5:$AE$2004,"&gt;0",'سجل التحفيز'!$B$5:$B$2004,B96))</f>
        <v/>
      </c>
      <c r="E96" s="35">
        <f>IF(B96="","",COUNTIFS('سجل التحفيز'!$AE$5:$AE$2004,"&gt;0",'سجل التحفيز'!$B$5:$B$2004,B96,'سجل التحفيز'!$D$5:$D$2004,"ذهبي"))</f>
        <v/>
      </c>
      <c r="F96" s="35">
        <f>IF(B96="","",SUMIFS('سجل التحفيز'!$G$5:$G$2004,'سجل التحفيز'!$AE$5:$AE$2004,"&gt;0",'سجل التحفيز'!$B$5:$B$2004,B96))</f>
        <v/>
      </c>
      <c r="G96" s="35">
        <f>IF(B96="","",COUNTIF($D$38:$D$187,"&gt;"&amp;D96)+1)</f>
        <v/>
      </c>
      <c r="H96" s="35">
        <f>IF(B96="","",INDEX(الموظفات!$L$5:$L$304,MATCH(B96,الموظفات!$B$5:$B$304,0)))</f>
        <v/>
      </c>
      <c r="K96" s="36">
        <f>IF(59&gt;$B$10,"",59)</f>
        <v/>
      </c>
      <c r="L96" s="37">
        <f>IF($K96="","",INDEX('سجل التحفيز'!$A$5:$A$2004,MATCH($K96,'سجل التحفيز'!$AE$5:$AE$2004,0)))</f>
        <v/>
      </c>
      <c r="M96" s="9">
        <f>IF($K96="","",INDEX('سجل التحفيز'!$B$5:$B$2004,MATCH($K96,'سجل التحفيز'!$AE$5:$AE$2004,0)))</f>
        <v/>
      </c>
      <c r="N96" s="9">
        <f>IF($K96="","",INDEX('سجل التحفيز'!$M$5:$M$2004,MATCH($K96,'سجل التحفيز'!$AE$5:$AE$2004,0)))</f>
        <v/>
      </c>
      <c r="O96" s="9">
        <f>IF($K96="","",INDEX('سجل التحفيز'!$C$5:$C$2004,MATCH($K96,'سجل التحفيز'!$AE$5:$AE$2004,0)))</f>
        <v/>
      </c>
      <c r="P96" s="36">
        <f>IF($K96="","",INDEX('سجل التحفيز'!$D$5:$D$2004,MATCH($K96,'سجل التحفيز'!$AE$5:$AE$2004,0)))</f>
        <v/>
      </c>
      <c r="Q96" s="9">
        <f>IF($K96="","",INDEX('سجل التحفيز'!$E$5:$E$2004,MATCH($K96,'سجل التحفيز'!$AE$5:$AE$2004,0)))</f>
        <v/>
      </c>
      <c r="R96" s="9">
        <f>IF($K96="","",INDEX('سجل التحفيز'!$F$5:$F$2004,MATCH($K96,'سجل التحفيز'!$AE$5:$AE$2004,0)))</f>
        <v/>
      </c>
      <c r="S96" s="35">
        <f>IF($K96="","",INDEX('سجل التحفيز'!$G$5:$G$2004,MATCH($K96,'سجل التحفيز'!$AE$5:$AE$2004,0)))</f>
        <v/>
      </c>
    </row>
    <row r="97">
      <c r="B97" s="34">
        <f>IFERROR(INDEX(الموظفات!$B$5:$B$304,MATCH(60,الموظفات!$Y$5:$Y$304,0)),"")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التحفيز'!$AE$5:$AE$2004,"&gt;0",'سجل التحفيز'!$B$5:$B$2004,B97))</f>
        <v/>
      </c>
      <c r="E97" s="35">
        <f>IF(B97="","",COUNTIFS('سجل التحفيز'!$AE$5:$AE$2004,"&gt;0",'سجل التحفيز'!$B$5:$B$2004,B97,'سجل التحفيز'!$D$5:$D$2004,"ذهبي"))</f>
        <v/>
      </c>
      <c r="F97" s="35">
        <f>IF(B97="","",SUMIFS('سجل التحفيز'!$G$5:$G$2004,'سجل التحفيز'!$AE$5:$AE$2004,"&gt;0",'سجل التحفيز'!$B$5:$B$2004,B97))</f>
        <v/>
      </c>
      <c r="G97" s="35">
        <f>IF(B97="","",COUNTIF($D$38:$D$187,"&gt;"&amp;D97)+1)</f>
        <v/>
      </c>
      <c r="H97" s="35">
        <f>IF(B97="","",INDEX(الموظفات!$L$5:$L$304,MATCH(B97,الموظفات!$B$5:$B$304,0)))</f>
        <v/>
      </c>
      <c r="K97" s="36">
        <f>IF(60&gt;$B$10,"",60)</f>
        <v/>
      </c>
      <c r="L97" s="37">
        <f>IF($K97="","",INDEX('سجل التحفيز'!$A$5:$A$2004,MATCH($K97,'سجل التحفيز'!$AE$5:$AE$2004,0)))</f>
        <v/>
      </c>
      <c r="M97" s="9">
        <f>IF($K97="","",INDEX('سجل التحفيز'!$B$5:$B$2004,MATCH($K97,'سجل التحفيز'!$AE$5:$AE$2004,0)))</f>
        <v/>
      </c>
      <c r="N97" s="9">
        <f>IF($K97="","",INDEX('سجل التحفيز'!$M$5:$M$2004,MATCH($K97,'سجل التحفيز'!$AE$5:$AE$2004,0)))</f>
        <v/>
      </c>
      <c r="O97" s="9">
        <f>IF($K97="","",INDEX('سجل التحفيز'!$C$5:$C$2004,MATCH($K97,'سجل التحفيز'!$AE$5:$AE$2004,0)))</f>
        <v/>
      </c>
      <c r="P97" s="36">
        <f>IF($K97="","",INDEX('سجل التحفيز'!$D$5:$D$2004,MATCH($K97,'سجل التحفيز'!$AE$5:$AE$2004,0)))</f>
        <v/>
      </c>
      <c r="Q97" s="9">
        <f>IF($K97="","",INDEX('سجل التحفيز'!$E$5:$E$2004,MATCH($K97,'سجل التحفيز'!$AE$5:$AE$2004,0)))</f>
        <v/>
      </c>
      <c r="R97" s="9">
        <f>IF($K97="","",INDEX('سجل التحفيز'!$F$5:$F$2004,MATCH($K97,'سجل التحفيز'!$AE$5:$AE$2004,0)))</f>
        <v/>
      </c>
      <c r="S97" s="35">
        <f>IF($K97="","",INDEX('سجل التحفيز'!$G$5:$G$2004,MATCH($K97,'سجل التحفيز'!$AE$5:$AE$2004,0)))</f>
        <v/>
      </c>
    </row>
    <row r="98">
      <c r="B98" s="34">
        <f>IFERROR(INDEX(الموظفات!$B$5:$B$304,MATCH(61,الموظفات!$Y$5:$Y$304,0)),"")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التحفيز'!$AE$5:$AE$2004,"&gt;0",'سجل التحفيز'!$B$5:$B$2004,B98))</f>
        <v/>
      </c>
      <c r="E98" s="35">
        <f>IF(B98="","",COUNTIFS('سجل التحفيز'!$AE$5:$AE$2004,"&gt;0",'سجل التحفيز'!$B$5:$B$2004,B98,'سجل التحفيز'!$D$5:$D$2004,"ذهبي"))</f>
        <v/>
      </c>
      <c r="F98" s="35">
        <f>IF(B98="","",SUMIFS('سجل التحفيز'!$G$5:$G$2004,'سجل التحفيز'!$AE$5:$AE$2004,"&gt;0",'سجل التحفيز'!$B$5:$B$2004,B98))</f>
        <v/>
      </c>
      <c r="G98" s="35">
        <f>IF(B98="","",COUNTIF($D$38:$D$187,"&gt;"&amp;D98)+1)</f>
        <v/>
      </c>
      <c r="H98" s="35">
        <f>IF(B98="","",INDEX(الموظفات!$L$5:$L$304,MATCH(B98,الموظفات!$B$5:$B$304,0)))</f>
        <v/>
      </c>
      <c r="K98" s="36">
        <f>IF(61&gt;$B$10,"",61)</f>
        <v/>
      </c>
      <c r="L98" s="37">
        <f>IF($K98="","",INDEX('سجل التحفيز'!$A$5:$A$2004,MATCH($K98,'سجل التحفيز'!$AE$5:$AE$2004,0)))</f>
        <v/>
      </c>
      <c r="M98" s="9">
        <f>IF($K98="","",INDEX('سجل التحفيز'!$B$5:$B$2004,MATCH($K98,'سجل التحفيز'!$AE$5:$AE$2004,0)))</f>
        <v/>
      </c>
      <c r="N98" s="9">
        <f>IF($K98="","",INDEX('سجل التحفيز'!$M$5:$M$2004,MATCH($K98,'سجل التحفيز'!$AE$5:$AE$2004,0)))</f>
        <v/>
      </c>
      <c r="O98" s="9">
        <f>IF($K98="","",INDEX('سجل التحفيز'!$C$5:$C$2004,MATCH($K98,'سجل التحفيز'!$AE$5:$AE$2004,0)))</f>
        <v/>
      </c>
      <c r="P98" s="36">
        <f>IF($K98="","",INDEX('سجل التحفيز'!$D$5:$D$2004,MATCH($K98,'سجل التحفيز'!$AE$5:$AE$2004,0)))</f>
        <v/>
      </c>
      <c r="Q98" s="9">
        <f>IF($K98="","",INDEX('سجل التحفيز'!$E$5:$E$2004,MATCH($K98,'سجل التحفيز'!$AE$5:$AE$2004,0)))</f>
        <v/>
      </c>
      <c r="R98" s="9">
        <f>IF($K98="","",INDEX('سجل التحفيز'!$F$5:$F$2004,MATCH($K98,'سجل التحفيز'!$AE$5:$AE$2004,0)))</f>
        <v/>
      </c>
      <c r="S98" s="35">
        <f>IF($K98="","",INDEX('سجل التحفيز'!$G$5:$G$2004,MATCH($K98,'سجل التحفيز'!$AE$5:$AE$2004,0)))</f>
        <v/>
      </c>
    </row>
    <row r="99">
      <c r="B99" s="34">
        <f>IFERROR(INDEX(الموظفات!$B$5:$B$304,MATCH(62,الموظفات!$Y$5:$Y$304,0)),"")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التحفيز'!$AE$5:$AE$2004,"&gt;0",'سجل التحفيز'!$B$5:$B$2004,B99))</f>
        <v/>
      </c>
      <c r="E99" s="35">
        <f>IF(B99="","",COUNTIFS('سجل التحفيز'!$AE$5:$AE$2004,"&gt;0",'سجل التحفيز'!$B$5:$B$2004,B99,'سجل التحفيز'!$D$5:$D$2004,"ذهبي"))</f>
        <v/>
      </c>
      <c r="F99" s="35">
        <f>IF(B99="","",SUMIFS('سجل التحفيز'!$G$5:$G$2004,'سجل التحفيز'!$AE$5:$AE$2004,"&gt;0",'سجل التحفيز'!$B$5:$B$2004,B99))</f>
        <v/>
      </c>
      <c r="G99" s="35">
        <f>IF(B99="","",COUNTIF($D$38:$D$187,"&gt;"&amp;D99)+1)</f>
        <v/>
      </c>
      <c r="H99" s="35">
        <f>IF(B99="","",INDEX(الموظفات!$L$5:$L$304,MATCH(B99,الموظفات!$B$5:$B$304,0)))</f>
        <v/>
      </c>
      <c r="K99" s="36">
        <f>IF(62&gt;$B$10,"",62)</f>
        <v/>
      </c>
      <c r="L99" s="37">
        <f>IF($K99="","",INDEX('سجل التحفيز'!$A$5:$A$2004,MATCH($K99,'سجل التحفيز'!$AE$5:$AE$2004,0)))</f>
        <v/>
      </c>
      <c r="M99" s="9">
        <f>IF($K99="","",INDEX('سجل التحفيز'!$B$5:$B$2004,MATCH($K99,'سجل التحفيز'!$AE$5:$AE$2004,0)))</f>
        <v/>
      </c>
      <c r="N99" s="9">
        <f>IF($K99="","",INDEX('سجل التحفيز'!$M$5:$M$2004,MATCH($K99,'سجل التحفيز'!$AE$5:$AE$2004,0)))</f>
        <v/>
      </c>
      <c r="O99" s="9">
        <f>IF($K99="","",INDEX('سجل التحفيز'!$C$5:$C$2004,MATCH($K99,'سجل التحفيز'!$AE$5:$AE$2004,0)))</f>
        <v/>
      </c>
      <c r="P99" s="36">
        <f>IF($K99="","",INDEX('سجل التحفيز'!$D$5:$D$2004,MATCH($K99,'سجل التحفيز'!$AE$5:$AE$2004,0)))</f>
        <v/>
      </c>
      <c r="Q99" s="9">
        <f>IF($K99="","",INDEX('سجل التحفيز'!$E$5:$E$2004,MATCH($K99,'سجل التحفيز'!$AE$5:$AE$2004,0)))</f>
        <v/>
      </c>
      <c r="R99" s="9">
        <f>IF($K99="","",INDEX('سجل التحفيز'!$F$5:$F$2004,MATCH($K99,'سجل التحفيز'!$AE$5:$AE$2004,0)))</f>
        <v/>
      </c>
      <c r="S99" s="35">
        <f>IF($K99="","",INDEX('سجل التحفيز'!$G$5:$G$2004,MATCH($K99,'سجل التحفيز'!$AE$5:$AE$2004,0)))</f>
        <v/>
      </c>
    </row>
    <row r="100">
      <c r="B100" s="34">
        <f>IFERROR(INDEX(الموظفات!$B$5:$B$304,MATCH(63,الموظفات!$Y$5:$Y$304,0)),"")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التحفيز'!$AE$5:$AE$2004,"&gt;0",'سجل التحفيز'!$B$5:$B$2004,B100))</f>
        <v/>
      </c>
      <c r="E100" s="35">
        <f>IF(B100="","",COUNTIFS('سجل التحفيز'!$AE$5:$AE$2004,"&gt;0",'سجل التحفيز'!$B$5:$B$2004,B100,'سجل التحفيز'!$D$5:$D$2004,"ذهبي"))</f>
        <v/>
      </c>
      <c r="F100" s="35">
        <f>IF(B100="","",SUMIFS('سجل التحفيز'!$G$5:$G$2004,'سجل التحفيز'!$AE$5:$AE$2004,"&gt;0",'سجل التحفيز'!$B$5:$B$2004,B100))</f>
        <v/>
      </c>
      <c r="G100" s="35">
        <f>IF(B100="","",COUNTIF($D$38:$D$187,"&gt;"&amp;D100)+1)</f>
        <v/>
      </c>
      <c r="H100" s="35">
        <f>IF(B100="","",INDEX(الموظفات!$L$5:$L$304,MATCH(B100,الموظفات!$B$5:$B$304,0)))</f>
        <v/>
      </c>
      <c r="K100" s="36">
        <f>IF(63&gt;$B$10,"",63)</f>
        <v/>
      </c>
      <c r="L100" s="37">
        <f>IF($K100="","",INDEX('سجل التحفيز'!$A$5:$A$2004,MATCH($K100,'سجل التحفيز'!$AE$5:$AE$2004,0)))</f>
        <v/>
      </c>
      <c r="M100" s="9">
        <f>IF($K100="","",INDEX('سجل التحفيز'!$B$5:$B$2004,MATCH($K100,'سجل التحفيز'!$AE$5:$AE$2004,0)))</f>
        <v/>
      </c>
      <c r="N100" s="9">
        <f>IF($K100="","",INDEX('سجل التحفيز'!$M$5:$M$2004,MATCH($K100,'سجل التحفيز'!$AE$5:$AE$2004,0)))</f>
        <v/>
      </c>
      <c r="O100" s="9">
        <f>IF($K100="","",INDEX('سجل التحفيز'!$C$5:$C$2004,MATCH($K100,'سجل التحفيز'!$AE$5:$AE$2004,0)))</f>
        <v/>
      </c>
      <c r="P100" s="36">
        <f>IF($K100="","",INDEX('سجل التحفيز'!$D$5:$D$2004,MATCH($K100,'سجل التحفيز'!$AE$5:$AE$2004,0)))</f>
        <v/>
      </c>
      <c r="Q100" s="9">
        <f>IF($K100="","",INDEX('سجل التحفيز'!$E$5:$E$2004,MATCH($K100,'سجل التحفيز'!$AE$5:$AE$2004,0)))</f>
        <v/>
      </c>
      <c r="R100" s="9">
        <f>IF($K100="","",INDEX('سجل التحفيز'!$F$5:$F$2004,MATCH($K100,'سجل التحفيز'!$AE$5:$AE$2004,0)))</f>
        <v/>
      </c>
      <c r="S100" s="35">
        <f>IF($K100="","",INDEX('سجل التحفيز'!$G$5:$G$2004,MATCH($K100,'سجل التحفيز'!$AE$5:$AE$2004,0)))</f>
        <v/>
      </c>
    </row>
    <row r="101">
      <c r="B101" s="34">
        <f>IFERROR(INDEX(الموظفات!$B$5:$B$304,MATCH(64,الموظفات!$Y$5:$Y$304,0)),"")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التحفيز'!$AE$5:$AE$2004,"&gt;0",'سجل التحفيز'!$B$5:$B$2004,B101))</f>
        <v/>
      </c>
      <c r="E101" s="35">
        <f>IF(B101="","",COUNTIFS('سجل التحفيز'!$AE$5:$AE$2004,"&gt;0",'سجل التحفيز'!$B$5:$B$2004,B101,'سجل التحفيز'!$D$5:$D$2004,"ذهبي"))</f>
        <v/>
      </c>
      <c r="F101" s="35">
        <f>IF(B101="","",SUMIFS('سجل التحفيز'!$G$5:$G$2004,'سجل التحفيز'!$AE$5:$AE$2004,"&gt;0",'سجل التحفيز'!$B$5:$B$2004,B101))</f>
        <v/>
      </c>
      <c r="G101" s="35">
        <f>IF(B101="","",COUNTIF($D$38:$D$187,"&gt;"&amp;D101)+1)</f>
        <v/>
      </c>
      <c r="H101" s="35">
        <f>IF(B101="","",INDEX(الموظفات!$L$5:$L$304,MATCH(B101,الموظفات!$B$5:$B$304,0)))</f>
        <v/>
      </c>
      <c r="K101" s="36">
        <f>IF(64&gt;$B$10,"",64)</f>
        <v/>
      </c>
      <c r="L101" s="37">
        <f>IF($K101="","",INDEX('سجل التحفيز'!$A$5:$A$2004,MATCH($K101,'سجل التحفيز'!$AE$5:$AE$2004,0)))</f>
        <v/>
      </c>
      <c r="M101" s="9">
        <f>IF($K101="","",INDEX('سجل التحفيز'!$B$5:$B$2004,MATCH($K101,'سجل التحفيز'!$AE$5:$AE$2004,0)))</f>
        <v/>
      </c>
      <c r="N101" s="9">
        <f>IF($K101="","",INDEX('سجل التحفيز'!$M$5:$M$2004,MATCH($K101,'سجل التحفيز'!$AE$5:$AE$2004,0)))</f>
        <v/>
      </c>
      <c r="O101" s="9">
        <f>IF($K101="","",INDEX('سجل التحفيز'!$C$5:$C$2004,MATCH($K101,'سجل التحفيز'!$AE$5:$AE$2004,0)))</f>
        <v/>
      </c>
      <c r="P101" s="36">
        <f>IF($K101="","",INDEX('سجل التحفيز'!$D$5:$D$2004,MATCH($K101,'سجل التحفيز'!$AE$5:$AE$2004,0)))</f>
        <v/>
      </c>
      <c r="Q101" s="9">
        <f>IF($K101="","",INDEX('سجل التحفيز'!$E$5:$E$2004,MATCH($K101,'سجل التحفيز'!$AE$5:$AE$2004,0)))</f>
        <v/>
      </c>
      <c r="R101" s="9">
        <f>IF($K101="","",INDEX('سجل التحفيز'!$F$5:$F$2004,MATCH($K101,'سجل التحفيز'!$AE$5:$AE$2004,0)))</f>
        <v/>
      </c>
      <c r="S101" s="35">
        <f>IF($K101="","",INDEX('سجل التحفيز'!$G$5:$G$2004,MATCH($K101,'سجل التحفيز'!$AE$5:$AE$2004,0)))</f>
        <v/>
      </c>
    </row>
    <row r="102">
      <c r="B102" s="34">
        <f>IFERROR(INDEX(الموظفات!$B$5:$B$304,MATCH(65,الموظفات!$Y$5:$Y$304,0)),"")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التحفيز'!$AE$5:$AE$2004,"&gt;0",'سجل التحفيز'!$B$5:$B$2004,B102))</f>
        <v/>
      </c>
      <c r="E102" s="35">
        <f>IF(B102="","",COUNTIFS('سجل التحفيز'!$AE$5:$AE$2004,"&gt;0",'سجل التحفيز'!$B$5:$B$2004,B102,'سجل التحفيز'!$D$5:$D$2004,"ذهبي"))</f>
        <v/>
      </c>
      <c r="F102" s="35">
        <f>IF(B102="","",SUMIFS('سجل التحفيز'!$G$5:$G$2004,'سجل التحفيز'!$AE$5:$AE$2004,"&gt;0",'سجل التحفيز'!$B$5:$B$2004,B102))</f>
        <v/>
      </c>
      <c r="G102" s="35">
        <f>IF(B102="","",COUNTIF($D$38:$D$187,"&gt;"&amp;D102)+1)</f>
        <v/>
      </c>
      <c r="H102" s="35">
        <f>IF(B102="","",INDEX(الموظفات!$L$5:$L$304,MATCH(B102,الموظفات!$B$5:$B$304,0)))</f>
        <v/>
      </c>
      <c r="K102" s="36">
        <f>IF(65&gt;$B$10,"",65)</f>
        <v/>
      </c>
      <c r="L102" s="37">
        <f>IF($K102="","",INDEX('سجل التحفيز'!$A$5:$A$2004,MATCH($K102,'سجل التحفيز'!$AE$5:$AE$2004,0)))</f>
        <v/>
      </c>
      <c r="M102" s="9">
        <f>IF($K102="","",INDEX('سجل التحفيز'!$B$5:$B$2004,MATCH($K102,'سجل التحفيز'!$AE$5:$AE$2004,0)))</f>
        <v/>
      </c>
      <c r="N102" s="9">
        <f>IF($K102="","",INDEX('سجل التحفيز'!$M$5:$M$2004,MATCH($K102,'سجل التحفيز'!$AE$5:$AE$2004,0)))</f>
        <v/>
      </c>
      <c r="O102" s="9">
        <f>IF($K102="","",INDEX('سجل التحفيز'!$C$5:$C$2004,MATCH($K102,'سجل التحفيز'!$AE$5:$AE$2004,0)))</f>
        <v/>
      </c>
      <c r="P102" s="36">
        <f>IF($K102="","",INDEX('سجل التحفيز'!$D$5:$D$2004,MATCH($K102,'سجل التحفيز'!$AE$5:$AE$2004,0)))</f>
        <v/>
      </c>
      <c r="Q102" s="9">
        <f>IF($K102="","",INDEX('سجل التحفيز'!$E$5:$E$2004,MATCH($K102,'سجل التحفيز'!$AE$5:$AE$2004,0)))</f>
        <v/>
      </c>
      <c r="R102" s="9">
        <f>IF($K102="","",INDEX('سجل التحفيز'!$F$5:$F$2004,MATCH($K102,'سجل التحفيز'!$AE$5:$AE$2004,0)))</f>
        <v/>
      </c>
      <c r="S102" s="35">
        <f>IF($K102="","",INDEX('سجل التحفيز'!$G$5:$G$2004,MATCH($K102,'سجل التحفيز'!$AE$5:$AE$2004,0)))</f>
        <v/>
      </c>
    </row>
    <row r="103">
      <c r="B103" s="34">
        <f>IFERROR(INDEX(الموظفات!$B$5:$B$304,MATCH(66,الموظفات!$Y$5:$Y$304,0)),"")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التحفيز'!$AE$5:$AE$2004,"&gt;0",'سجل التحفيز'!$B$5:$B$2004,B103))</f>
        <v/>
      </c>
      <c r="E103" s="35">
        <f>IF(B103="","",COUNTIFS('سجل التحفيز'!$AE$5:$AE$2004,"&gt;0",'سجل التحفيز'!$B$5:$B$2004,B103,'سجل التحفيز'!$D$5:$D$2004,"ذهبي"))</f>
        <v/>
      </c>
      <c r="F103" s="35">
        <f>IF(B103="","",SUMIFS('سجل التحفيز'!$G$5:$G$2004,'سجل التحفيز'!$AE$5:$AE$2004,"&gt;0",'سجل التحفيز'!$B$5:$B$2004,B103))</f>
        <v/>
      </c>
      <c r="G103" s="35">
        <f>IF(B103="","",COUNTIF($D$38:$D$187,"&gt;"&amp;D103)+1)</f>
        <v/>
      </c>
      <c r="H103" s="35">
        <f>IF(B103="","",INDEX(الموظفات!$L$5:$L$304,MATCH(B103,الموظفات!$B$5:$B$304,0)))</f>
        <v/>
      </c>
      <c r="K103" s="36">
        <f>IF(66&gt;$B$10,"",66)</f>
        <v/>
      </c>
      <c r="L103" s="37">
        <f>IF($K103="","",INDEX('سجل التحفيز'!$A$5:$A$2004,MATCH($K103,'سجل التحفيز'!$AE$5:$AE$2004,0)))</f>
        <v/>
      </c>
      <c r="M103" s="9">
        <f>IF($K103="","",INDEX('سجل التحفيز'!$B$5:$B$2004,MATCH($K103,'سجل التحفيز'!$AE$5:$AE$2004,0)))</f>
        <v/>
      </c>
      <c r="N103" s="9">
        <f>IF($K103="","",INDEX('سجل التحفيز'!$M$5:$M$2004,MATCH($K103,'سجل التحفيز'!$AE$5:$AE$2004,0)))</f>
        <v/>
      </c>
      <c r="O103" s="9">
        <f>IF($K103="","",INDEX('سجل التحفيز'!$C$5:$C$2004,MATCH($K103,'سجل التحفيز'!$AE$5:$AE$2004,0)))</f>
        <v/>
      </c>
      <c r="P103" s="36">
        <f>IF($K103="","",INDEX('سجل التحفيز'!$D$5:$D$2004,MATCH($K103,'سجل التحفيز'!$AE$5:$AE$2004,0)))</f>
        <v/>
      </c>
      <c r="Q103" s="9">
        <f>IF($K103="","",INDEX('سجل التحفيز'!$E$5:$E$2004,MATCH($K103,'سجل التحفيز'!$AE$5:$AE$2004,0)))</f>
        <v/>
      </c>
      <c r="R103" s="9">
        <f>IF($K103="","",INDEX('سجل التحفيز'!$F$5:$F$2004,MATCH($K103,'سجل التحفيز'!$AE$5:$AE$2004,0)))</f>
        <v/>
      </c>
      <c r="S103" s="35">
        <f>IF($K103="","",INDEX('سجل التحفيز'!$G$5:$G$2004,MATCH($K103,'سجل التحفيز'!$AE$5:$AE$2004,0)))</f>
        <v/>
      </c>
    </row>
    <row r="104">
      <c r="B104" s="34">
        <f>IFERROR(INDEX(الموظفات!$B$5:$B$304,MATCH(67,الموظفات!$Y$5:$Y$304,0)),"")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التحفيز'!$AE$5:$AE$2004,"&gt;0",'سجل التحفيز'!$B$5:$B$2004,B104))</f>
        <v/>
      </c>
      <c r="E104" s="35">
        <f>IF(B104="","",COUNTIFS('سجل التحفيز'!$AE$5:$AE$2004,"&gt;0",'سجل التحفيز'!$B$5:$B$2004,B104,'سجل التحفيز'!$D$5:$D$2004,"ذهبي"))</f>
        <v/>
      </c>
      <c r="F104" s="35">
        <f>IF(B104="","",SUMIFS('سجل التحفيز'!$G$5:$G$2004,'سجل التحفيز'!$AE$5:$AE$2004,"&gt;0",'سجل التحفيز'!$B$5:$B$2004,B104))</f>
        <v/>
      </c>
      <c r="G104" s="35">
        <f>IF(B104="","",COUNTIF($D$38:$D$187,"&gt;"&amp;D104)+1)</f>
        <v/>
      </c>
      <c r="H104" s="35">
        <f>IF(B104="","",INDEX(الموظفات!$L$5:$L$304,MATCH(B104,الموظفات!$B$5:$B$304,0)))</f>
        <v/>
      </c>
      <c r="K104" s="36">
        <f>IF(67&gt;$B$10,"",67)</f>
        <v/>
      </c>
      <c r="L104" s="37">
        <f>IF($K104="","",INDEX('سجل التحفيز'!$A$5:$A$2004,MATCH($K104,'سجل التحفيز'!$AE$5:$AE$2004,0)))</f>
        <v/>
      </c>
      <c r="M104" s="9">
        <f>IF($K104="","",INDEX('سجل التحفيز'!$B$5:$B$2004,MATCH($K104,'سجل التحفيز'!$AE$5:$AE$2004,0)))</f>
        <v/>
      </c>
      <c r="N104" s="9">
        <f>IF($K104="","",INDEX('سجل التحفيز'!$M$5:$M$2004,MATCH($K104,'سجل التحفيز'!$AE$5:$AE$2004,0)))</f>
        <v/>
      </c>
      <c r="O104" s="9">
        <f>IF($K104="","",INDEX('سجل التحفيز'!$C$5:$C$2004,MATCH($K104,'سجل التحفيز'!$AE$5:$AE$2004,0)))</f>
        <v/>
      </c>
      <c r="P104" s="36">
        <f>IF($K104="","",INDEX('سجل التحفيز'!$D$5:$D$2004,MATCH($K104,'سجل التحفيز'!$AE$5:$AE$2004,0)))</f>
        <v/>
      </c>
      <c r="Q104" s="9">
        <f>IF($K104="","",INDEX('سجل التحفيز'!$E$5:$E$2004,MATCH($K104,'سجل التحفيز'!$AE$5:$AE$2004,0)))</f>
        <v/>
      </c>
      <c r="R104" s="9">
        <f>IF($K104="","",INDEX('سجل التحفيز'!$F$5:$F$2004,MATCH($K104,'سجل التحفيز'!$AE$5:$AE$2004,0)))</f>
        <v/>
      </c>
      <c r="S104" s="35">
        <f>IF($K104="","",INDEX('سجل التحفيز'!$G$5:$G$2004,MATCH($K104,'سجل التحفيز'!$AE$5:$AE$2004,0)))</f>
        <v/>
      </c>
    </row>
    <row r="105">
      <c r="B105" s="34">
        <f>IFERROR(INDEX(الموظفات!$B$5:$B$304,MATCH(68,الموظفات!$Y$5:$Y$304,0)),"")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التحفيز'!$AE$5:$AE$2004,"&gt;0",'سجل التحفيز'!$B$5:$B$2004,B105))</f>
        <v/>
      </c>
      <c r="E105" s="35">
        <f>IF(B105="","",COUNTIFS('سجل التحفيز'!$AE$5:$AE$2004,"&gt;0",'سجل التحفيز'!$B$5:$B$2004,B105,'سجل التحفيز'!$D$5:$D$2004,"ذهبي"))</f>
        <v/>
      </c>
      <c r="F105" s="35">
        <f>IF(B105="","",SUMIFS('سجل التحفيز'!$G$5:$G$2004,'سجل التحفيز'!$AE$5:$AE$2004,"&gt;0",'سجل التحفيز'!$B$5:$B$2004,B105))</f>
        <v/>
      </c>
      <c r="G105" s="35">
        <f>IF(B105="","",COUNTIF($D$38:$D$187,"&gt;"&amp;D105)+1)</f>
        <v/>
      </c>
      <c r="H105" s="35">
        <f>IF(B105="","",INDEX(الموظفات!$L$5:$L$304,MATCH(B105,الموظفات!$B$5:$B$304,0)))</f>
        <v/>
      </c>
      <c r="K105" s="36">
        <f>IF(68&gt;$B$10,"",68)</f>
        <v/>
      </c>
      <c r="L105" s="37">
        <f>IF($K105="","",INDEX('سجل التحفيز'!$A$5:$A$2004,MATCH($K105,'سجل التحفيز'!$AE$5:$AE$2004,0)))</f>
        <v/>
      </c>
      <c r="M105" s="9">
        <f>IF($K105="","",INDEX('سجل التحفيز'!$B$5:$B$2004,MATCH($K105,'سجل التحفيز'!$AE$5:$AE$2004,0)))</f>
        <v/>
      </c>
      <c r="N105" s="9">
        <f>IF($K105="","",INDEX('سجل التحفيز'!$M$5:$M$2004,MATCH($K105,'سجل التحفيز'!$AE$5:$AE$2004,0)))</f>
        <v/>
      </c>
      <c r="O105" s="9">
        <f>IF($K105="","",INDEX('سجل التحفيز'!$C$5:$C$2004,MATCH($K105,'سجل التحفيز'!$AE$5:$AE$2004,0)))</f>
        <v/>
      </c>
      <c r="P105" s="36">
        <f>IF($K105="","",INDEX('سجل التحفيز'!$D$5:$D$2004,MATCH($K105,'سجل التحفيز'!$AE$5:$AE$2004,0)))</f>
        <v/>
      </c>
      <c r="Q105" s="9">
        <f>IF($K105="","",INDEX('سجل التحفيز'!$E$5:$E$2004,MATCH($K105,'سجل التحفيز'!$AE$5:$AE$2004,0)))</f>
        <v/>
      </c>
      <c r="R105" s="9">
        <f>IF($K105="","",INDEX('سجل التحفيز'!$F$5:$F$2004,MATCH($K105,'سجل التحفيز'!$AE$5:$AE$2004,0)))</f>
        <v/>
      </c>
      <c r="S105" s="35">
        <f>IF($K105="","",INDEX('سجل التحفيز'!$G$5:$G$2004,MATCH($K105,'سجل التحفيز'!$AE$5:$AE$2004,0)))</f>
        <v/>
      </c>
    </row>
    <row r="106">
      <c r="B106" s="34">
        <f>IFERROR(INDEX(الموظفات!$B$5:$B$304,MATCH(69,الموظفات!$Y$5:$Y$304,0)),"")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التحفيز'!$AE$5:$AE$2004,"&gt;0",'سجل التحفيز'!$B$5:$B$2004,B106))</f>
        <v/>
      </c>
      <c r="E106" s="35">
        <f>IF(B106="","",COUNTIFS('سجل التحفيز'!$AE$5:$AE$2004,"&gt;0",'سجل التحفيز'!$B$5:$B$2004,B106,'سجل التحفيز'!$D$5:$D$2004,"ذهبي"))</f>
        <v/>
      </c>
      <c r="F106" s="35">
        <f>IF(B106="","",SUMIFS('سجل التحفيز'!$G$5:$G$2004,'سجل التحفيز'!$AE$5:$AE$2004,"&gt;0",'سجل التحفيز'!$B$5:$B$2004,B106))</f>
        <v/>
      </c>
      <c r="G106" s="35">
        <f>IF(B106="","",COUNTIF($D$38:$D$187,"&gt;"&amp;D106)+1)</f>
        <v/>
      </c>
      <c r="H106" s="35">
        <f>IF(B106="","",INDEX(الموظفات!$L$5:$L$304,MATCH(B106,الموظفات!$B$5:$B$304,0)))</f>
        <v/>
      </c>
      <c r="K106" s="36">
        <f>IF(69&gt;$B$10,"",69)</f>
        <v/>
      </c>
      <c r="L106" s="37">
        <f>IF($K106="","",INDEX('سجل التحفيز'!$A$5:$A$2004,MATCH($K106,'سجل التحفيز'!$AE$5:$AE$2004,0)))</f>
        <v/>
      </c>
      <c r="M106" s="9">
        <f>IF($K106="","",INDEX('سجل التحفيز'!$B$5:$B$2004,MATCH($K106,'سجل التحفيز'!$AE$5:$AE$2004,0)))</f>
        <v/>
      </c>
      <c r="N106" s="9">
        <f>IF($K106="","",INDEX('سجل التحفيز'!$M$5:$M$2004,MATCH($K106,'سجل التحفيز'!$AE$5:$AE$2004,0)))</f>
        <v/>
      </c>
      <c r="O106" s="9">
        <f>IF($K106="","",INDEX('سجل التحفيز'!$C$5:$C$2004,MATCH($K106,'سجل التحفيز'!$AE$5:$AE$2004,0)))</f>
        <v/>
      </c>
      <c r="P106" s="36">
        <f>IF($K106="","",INDEX('سجل التحفيز'!$D$5:$D$2004,MATCH($K106,'سجل التحفيز'!$AE$5:$AE$2004,0)))</f>
        <v/>
      </c>
      <c r="Q106" s="9">
        <f>IF($K106="","",INDEX('سجل التحفيز'!$E$5:$E$2004,MATCH($K106,'سجل التحفيز'!$AE$5:$AE$2004,0)))</f>
        <v/>
      </c>
      <c r="R106" s="9">
        <f>IF($K106="","",INDEX('سجل التحفيز'!$F$5:$F$2004,MATCH($K106,'سجل التحفيز'!$AE$5:$AE$2004,0)))</f>
        <v/>
      </c>
      <c r="S106" s="35">
        <f>IF($K106="","",INDEX('سجل التحفيز'!$G$5:$G$2004,MATCH($K106,'سجل التحفيز'!$AE$5:$AE$2004,0)))</f>
        <v/>
      </c>
    </row>
    <row r="107">
      <c r="B107" s="34">
        <f>IFERROR(INDEX(الموظفات!$B$5:$B$304,MATCH(70,الموظفات!$Y$5:$Y$304,0)),"")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التحفيز'!$AE$5:$AE$2004,"&gt;0",'سجل التحفيز'!$B$5:$B$2004,B107))</f>
        <v/>
      </c>
      <c r="E107" s="35">
        <f>IF(B107="","",COUNTIFS('سجل التحفيز'!$AE$5:$AE$2004,"&gt;0",'سجل التحفيز'!$B$5:$B$2004,B107,'سجل التحفيز'!$D$5:$D$2004,"ذهبي"))</f>
        <v/>
      </c>
      <c r="F107" s="35">
        <f>IF(B107="","",SUMIFS('سجل التحفيز'!$G$5:$G$2004,'سجل التحفيز'!$AE$5:$AE$2004,"&gt;0",'سجل التحفيز'!$B$5:$B$2004,B107))</f>
        <v/>
      </c>
      <c r="G107" s="35">
        <f>IF(B107="","",COUNTIF($D$38:$D$187,"&gt;"&amp;D107)+1)</f>
        <v/>
      </c>
      <c r="H107" s="35">
        <f>IF(B107="","",INDEX(الموظفات!$L$5:$L$304,MATCH(B107,الموظفات!$B$5:$B$304,0)))</f>
        <v/>
      </c>
      <c r="K107" s="36">
        <f>IF(70&gt;$B$10,"",70)</f>
        <v/>
      </c>
      <c r="L107" s="37">
        <f>IF($K107="","",INDEX('سجل التحفيز'!$A$5:$A$2004,MATCH($K107,'سجل التحفيز'!$AE$5:$AE$2004,0)))</f>
        <v/>
      </c>
      <c r="M107" s="9">
        <f>IF($K107="","",INDEX('سجل التحفيز'!$B$5:$B$2004,MATCH($K107,'سجل التحفيز'!$AE$5:$AE$2004,0)))</f>
        <v/>
      </c>
      <c r="N107" s="9">
        <f>IF($K107="","",INDEX('سجل التحفيز'!$M$5:$M$2004,MATCH($K107,'سجل التحفيز'!$AE$5:$AE$2004,0)))</f>
        <v/>
      </c>
      <c r="O107" s="9">
        <f>IF($K107="","",INDEX('سجل التحفيز'!$C$5:$C$2004,MATCH($K107,'سجل التحفيز'!$AE$5:$AE$2004,0)))</f>
        <v/>
      </c>
      <c r="P107" s="36">
        <f>IF($K107="","",INDEX('سجل التحفيز'!$D$5:$D$2004,MATCH($K107,'سجل التحفيز'!$AE$5:$AE$2004,0)))</f>
        <v/>
      </c>
      <c r="Q107" s="9">
        <f>IF($K107="","",INDEX('سجل التحفيز'!$E$5:$E$2004,MATCH($K107,'سجل التحفيز'!$AE$5:$AE$2004,0)))</f>
        <v/>
      </c>
      <c r="R107" s="9">
        <f>IF($K107="","",INDEX('سجل التحفيز'!$F$5:$F$2004,MATCH($K107,'سجل التحفيز'!$AE$5:$AE$2004,0)))</f>
        <v/>
      </c>
      <c r="S107" s="35">
        <f>IF($K107="","",INDEX('سجل التحفيز'!$G$5:$G$2004,MATCH($K107,'سجل التحفيز'!$AE$5:$AE$2004,0)))</f>
        <v/>
      </c>
    </row>
    <row r="108">
      <c r="B108" s="34">
        <f>IFERROR(INDEX(الموظفات!$B$5:$B$304,MATCH(71,الموظفات!$Y$5:$Y$304,0)),"")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التحفيز'!$AE$5:$AE$2004,"&gt;0",'سجل التحفيز'!$B$5:$B$2004,B108))</f>
        <v/>
      </c>
      <c r="E108" s="35">
        <f>IF(B108="","",COUNTIFS('سجل التحفيز'!$AE$5:$AE$2004,"&gt;0",'سجل التحفيز'!$B$5:$B$2004,B108,'سجل التحفيز'!$D$5:$D$2004,"ذهبي"))</f>
        <v/>
      </c>
      <c r="F108" s="35">
        <f>IF(B108="","",SUMIFS('سجل التحفيز'!$G$5:$G$2004,'سجل التحفيز'!$AE$5:$AE$2004,"&gt;0",'سجل التحفيز'!$B$5:$B$2004,B108))</f>
        <v/>
      </c>
      <c r="G108" s="35">
        <f>IF(B108="","",COUNTIF($D$38:$D$187,"&gt;"&amp;D108)+1)</f>
        <v/>
      </c>
      <c r="H108" s="35">
        <f>IF(B108="","",INDEX(الموظفات!$L$5:$L$304,MATCH(B108,الموظفات!$B$5:$B$304,0)))</f>
        <v/>
      </c>
      <c r="K108" s="36">
        <f>IF(71&gt;$B$10,"",71)</f>
        <v/>
      </c>
      <c r="L108" s="37">
        <f>IF($K108="","",INDEX('سجل التحفيز'!$A$5:$A$2004,MATCH($K108,'سجل التحفيز'!$AE$5:$AE$2004,0)))</f>
        <v/>
      </c>
      <c r="M108" s="9">
        <f>IF($K108="","",INDEX('سجل التحفيز'!$B$5:$B$2004,MATCH($K108,'سجل التحفيز'!$AE$5:$AE$2004,0)))</f>
        <v/>
      </c>
      <c r="N108" s="9">
        <f>IF($K108="","",INDEX('سجل التحفيز'!$M$5:$M$2004,MATCH($K108,'سجل التحفيز'!$AE$5:$AE$2004,0)))</f>
        <v/>
      </c>
      <c r="O108" s="9">
        <f>IF($K108="","",INDEX('سجل التحفيز'!$C$5:$C$2004,MATCH($K108,'سجل التحفيز'!$AE$5:$AE$2004,0)))</f>
        <v/>
      </c>
      <c r="P108" s="36">
        <f>IF($K108="","",INDEX('سجل التحفيز'!$D$5:$D$2004,MATCH($K108,'سجل التحفيز'!$AE$5:$AE$2004,0)))</f>
        <v/>
      </c>
      <c r="Q108" s="9">
        <f>IF($K108="","",INDEX('سجل التحفيز'!$E$5:$E$2004,MATCH($K108,'سجل التحفيز'!$AE$5:$AE$2004,0)))</f>
        <v/>
      </c>
      <c r="R108" s="9">
        <f>IF($K108="","",INDEX('سجل التحفيز'!$F$5:$F$2004,MATCH($K108,'سجل التحفيز'!$AE$5:$AE$2004,0)))</f>
        <v/>
      </c>
      <c r="S108" s="35">
        <f>IF($K108="","",INDEX('سجل التحفيز'!$G$5:$G$2004,MATCH($K108,'سجل التحفيز'!$AE$5:$AE$2004,0)))</f>
        <v/>
      </c>
    </row>
    <row r="109">
      <c r="B109" s="34">
        <f>IFERROR(INDEX(الموظفات!$B$5:$B$304,MATCH(72,الموظفات!$Y$5:$Y$304,0)),"")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التحفيز'!$AE$5:$AE$2004,"&gt;0",'سجل التحفيز'!$B$5:$B$2004,B109))</f>
        <v/>
      </c>
      <c r="E109" s="35">
        <f>IF(B109="","",COUNTIFS('سجل التحفيز'!$AE$5:$AE$2004,"&gt;0",'سجل التحفيز'!$B$5:$B$2004,B109,'سجل التحفيز'!$D$5:$D$2004,"ذهبي"))</f>
        <v/>
      </c>
      <c r="F109" s="35">
        <f>IF(B109="","",SUMIFS('سجل التحفيز'!$G$5:$G$2004,'سجل التحفيز'!$AE$5:$AE$2004,"&gt;0",'سجل التحفيز'!$B$5:$B$2004,B109))</f>
        <v/>
      </c>
      <c r="G109" s="35">
        <f>IF(B109="","",COUNTIF($D$38:$D$187,"&gt;"&amp;D109)+1)</f>
        <v/>
      </c>
      <c r="H109" s="35">
        <f>IF(B109="","",INDEX(الموظفات!$L$5:$L$304,MATCH(B109,الموظفات!$B$5:$B$304,0)))</f>
        <v/>
      </c>
      <c r="K109" s="36">
        <f>IF(72&gt;$B$10,"",72)</f>
        <v/>
      </c>
      <c r="L109" s="37">
        <f>IF($K109="","",INDEX('سجل التحفيز'!$A$5:$A$2004,MATCH($K109,'سجل التحفيز'!$AE$5:$AE$2004,0)))</f>
        <v/>
      </c>
      <c r="M109" s="9">
        <f>IF($K109="","",INDEX('سجل التحفيز'!$B$5:$B$2004,MATCH($K109,'سجل التحفيز'!$AE$5:$AE$2004,0)))</f>
        <v/>
      </c>
      <c r="N109" s="9">
        <f>IF($K109="","",INDEX('سجل التحفيز'!$M$5:$M$2004,MATCH($K109,'سجل التحفيز'!$AE$5:$AE$2004,0)))</f>
        <v/>
      </c>
      <c r="O109" s="9">
        <f>IF($K109="","",INDEX('سجل التحفيز'!$C$5:$C$2004,MATCH($K109,'سجل التحفيز'!$AE$5:$AE$2004,0)))</f>
        <v/>
      </c>
      <c r="P109" s="36">
        <f>IF($K109="","",INDEX('سجل التحفيز'!$D$5:$D$2004,MATCH($K109,'سجل التحفيز'!$AE$5:$AE$2004,0)))</f>
        <v/>
      </c>
      <c r="Q109" s="9">
        <f>IF($K109="","",INDEX('سجل التحفيز'!$E$5:$E$2004,MATCH($K109,'سجل التحفيز'!$AE$5:$AE$2004,0)))</f>
        <v/>
      </c>
      <c r="R109" s="9">
        <f>IF($K109="","",INDEX('سجل التحفيز'!$F$5:$F$2004,MATCH($K109,'سجل التحفيز'!$AE$5:$AE$2004,0)))</f>
        <v/>
      </c>
      <c r="S109" s="35">
        <f>IF($K109="","",INDEX('سجل التحفيز'!$G$5:$G$2004,MATCH($K109,'سجل التحفيز'!$AE$5:$AE$2004,0)))</f>
        <v/>
      </c>
    </row>
    <row r="110">
      <c r="B110" s="34">
        <f>IFERROR(INDEX(الموظفات!$B$5:$B$304,MATCH(73,الموظفات!$Y$5:$Y$304,0)),"")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التحفيز'!$AE$5:$AE$2004,"&gt;0",'سجل التحفيز'!$B$5:$B$2004,B110))</f>
        <v/>
      </c>
      <c r="E110" s="35">
        <f>IF(B110="","",COUNTIFS('سجل التحفيز'!$AE$5:$AE$2004,"&gt;0",'سجل التحفيز'!$B$5:$B$2004,B110,'سجل التحفيز'!$D$5:$D$2004,"ذهبي"))</f>
        <v/>
      </c>
      <c r="F110" s="35">
        <f>IF(B110="","",SUMIFS('سجل التحفيز'!$G$5:$G$2004,'سجل التحفيز'!$AE$5:$AE$2004,"&gt;0",'سجل التحفيز'!$B$5:$B$2004,B110))</f>
        <v/>
      </c>
      <c r="G110" s="35">
        <f>IF(B110="","",COUNTIF($D$38:$D$187,"&gt;"&amp;D110)+1)</f>
        <v/>
      </c>
      <c r="H110" s="35">
        <f>IF(B110="","",INDEX(الموظفات!$L$5:$L$304,MATCH(B110,الموظفات!$B$5:$B$304,0)))</f>
        <v/>
      </c>
      <c r="K110" s="36">
        <f>IF(73&gt;$B$10,"",73)</f>
        <v/>
      </c>
      <c r="L110" s="37">
        <f>IF($K110="","",INDEX('سجل التحفيز'!$A$5:$A$2004,MATCH($K110,'سجل التحفيز'!$AE$5:$AE$2004,0)))</f>
        <v/>
      </c>
      <c r="M110" s="9">
        <f>IF($K110="","",INDEX('سجل التحفيز'!$B$5:$B$2004,MATCH($K110,'سجل التحفيز'!$AE$5:$AE$2004,0)))</f>
        <v/>
      </c>
      <c r="N110" s="9">
        <f>IF($K110="","",INDEX('سجل التحفيز'!$M$5:$M$2004,MATCH($K110,'سجل التحفيز'!$AE$5:$AE$2004,0)))</f>
        <v/>
      </c>
      <c r="O110" s="9">
        <f>IF($K110="","",INDEX('سجل التحفيز'!$C$5:$C$2004,MATCH($K110,'سجل التحفيز'!$AE$5:$AE$2004,0)))</f>
        <v/>
      </c>
      <c r="P110" s="36">
        <f>IF($K110="","",INDEX('سجل التحفيز'!$D$5:$D$2004,MATCH($K110,'سجل التحفيز'!$AE$5:$AE$2004,0)))</f>
        <v/>
      </c>
      <c r="Q110" s="9">
        <f>IF($K110="","",INDEX('سجل التحفيز'!$E$5:$E$2004,MATCH($K110,'سجل التحفيز'!$AE$5:$AE$2004,0)))</f>
        <v/>
      </c>
      <c r="R110" s="9">
        <f>IF($K110="","",INDEX('سجل التحفيز'!$F$5:$F$2004,MATCH($K110,'سجل التحفيز'!$AE$5:$AE$2004,0)))</f>
        <v/>
      </c>
      <c r="S110" s="35">
        <f>IF($K110="","",INDEX('سجل التحفيز'!$G$5:$G$2004,MATCH($K110,'سجل التحفيز'!$AE$5:$AE$2004,0)))</f>
        <v/>
      </c>
    </row>
    <row r="111">
      <c r="B111" s="34">
        <f>IFERROR(INDEX(الموظفات!$B$5:$B$304,MATCH(74,الموظفات!$Y$5:$Y$304,0)),"")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التحفيز'!$AE$5:$AE$2004,"&gt;0",'سجل التحفيز'!$B$5:$B$2004,B111))</f>
        <v/>
      </c>
      <c r="E111" s="35">
        <f>IF(B111="","",COUNTIFS('سجل التحفيز'!$AE$5:$AE$2004,"&gt;0",'سجل التحفيز'!$B$5:$B$2004,B111,'سجل التحفيز'!$D$5:$D$2004,"ذهبي"))</f>
        <v/>
      </c>
      <c r="F111" s="35">
        <f>IF(B111="","",SUMIFS('سجل التحفيز'!$G$5:$G$2004,'سجل التحفيز'!$AE$5:$AE$2004,"&gt;0",'سجل التحفيز'!$B$5:$B$2004,B111))</f>
        <v/>
      </c>
      <c r="G111" s="35">
        <f>IF(B111="","",COUNTIF($D$38:$D$187,"&gt;"&amp;D111)+1)</f>
        <v/>
      </c>
      <c r="H111" s="35">
        <f>IF(B111="","",INDEX(الموظفات!$L$5:$L$304,MATCH(B111,الموظفات!$B$5:$B$304,0)))</f>
        <v/>
      </c>
      <c r="K111" s="36">
        <f>IF(74&gt;$B$10,"",74)</f>
        <v/>
      </c>
      <c r="L111" s="37">
        <f>IF($K111="","",INDEX('سجل التحفيز'!$A$5:$A$2004,MATCH($K111,'سجل التحفيز'!$AE$5:$AE$2004,0)))</f>
        <v/>
      </c>
      <c r="M111" s="9">
        <f>IF($K111="","",INDEX('سجل التحفيز'!$B$5:$B$2004,MATCH($K111,'سجل التحفيز'!$AE$5:$AE$2004,0)))</f>
        <v/>
      </c>
      <c r="N111" s="9">
        <f>IF($K111="","",INDEX('سجل التحفيز'!$M$5:$M$2004,MATCH($K111,'سجل التحفيز'!$AE$5:$AE$2004,0)))</f>
        <v/>
      </c>
      <c r="O111" s="9">
        <f>IF($K111="","",INDEX('سجل التحفيز'!$C$5:$C$2004,MATCH($K111,'سجل التحفيز'!$AE$5:$AE$2004,0)))</f>
        <v/>
      </c>
      <c r="P111" s="36">
        <f>IF($K111="","",INDEX('سجل التحفيز'!$D$5:$D$2004,MATCH($K111,'سجل التحفيز'!$AE$5:$AE$2004,0)))</f>
        <v/>
      </c>
      <c r="Q111" s="9">
        <f>IF($K111="","",INDEX('سجل التحفيز'!$E$5:$E$2004,MATCH($K111,'سجل التحفيز'!$AE$5:$AE$2004,0)))</f>
        <v/>
      </c>
      <c r="R111" s="9">
        <f>IF($K111="","",INDEX('سجل التحفيز'!$F$5:$F$2004,MATCH($K111,'سجل التحفيز'!$AE$5:$AE$2004,0)))</f>
        <v/>
      </c>
      <c r="S111" s="35">
        <f>IF($K111="","",INDEX('سجل التحفيز'!$G$5:$G$2004,MATCH($K111,'سجل التحفيز'!$AE$5:$AE$2004,0)))</f>
        <v/>
      </c>
    </row>
    <row r="112">
      <c r="B112" s="34">
        <f>IFERROR(INDEX(الموظفات!$B$5:$B$304,MATCH(75,الموظفات!$Y$5:$Y$304,0)),"")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التحفيز'!$AE$5:$AE$2004,"&gt;0",'سجل التحفيز'!$B$5:$B$2004,B112))</f>
        <v/>
      </c>
      <c r="E112" s="35">
        <f>IF(B112="","",COUNTIFS('سجل التحفيز'!$AE$5:$AE$2004,"&gt;0",'سجل التحفيز'!$B$5:$B$2004,B112,'سجل التحفيز'!$D$5:$D$2004,"ذهبي"))</f>
        <v/>
      </c>
      <c r="F112" s="35">
        <f>IF(B112="","",SUMIFS('سجل التحفيز'!$G$5:$G$2004,'سجل التحفيز'!$AE$5:$AE$2004,"&gt;0",'سجل التحفيز'!$B$5:$B$2004,B112))</f>
        <v/>
      </c>
      <c r="G112" s="35">
        <f>IF(B112="","",COUNTIF($D$38:$D$187,"&gt;"&amp;D112)+1)</f>
        <v/>
      </c>
      <c r="H112" s="35">
        <f>IF(B112="","",INDEX(الموظفات!$L$5:$L$304,MATCH(B112,الموظفات!$B$5:$B$304,0)))</f>
        <v/>
      </c>
      <c r="K112" s="36">
        <f>IF(75&gt;$B$10,"",75)</f>
        <v/>
      </c>
      <c r="L112" s="37">
        <f>IF($K112="","",INDEX('سجل التحفيز'!$A$5:$A$2004,MATCH($K112,'سجل التحفيز'!$AE$5:$AE$2004,0)))</f>
        <v/>
      </c>
      <c r="M112" s="9">
        <f>IF($K112="","",INDEX('سجل التحفيز'!$B$5:$B$2004,MATCH($K112,'سجل التحفيز'!$AE$5:$AE$2004,0)))</f>
        <v/>
      </c>
      <c r="N112" s="9">
        <f>IF($K112="","",INDEX('سجل التحفيز'!$M$5:$M$2004,MATCH($K112,'سجل التحفيز'!$AE$5:$AE$2004,0)))</f>
        <v/>
      </c>
      <c r="O112" s="9">
        <f>IF($K112="","",INDEX('سجل التحفيز'!$C$5:$C$2004,MATCH($K112,'سجل التحفيز'!$AE$5:$AE$2004,0)))</f>
        <v/>
      </c>
      <c r="P112" s="36">
        <f>IF($K112="","",INDEX('سجل التحفيز'!$D$5:$D$2004,MATCH($K112,'سجل التحفيز'!$AE$5:$AE$2004,0)))</f>
        <v/>
      </c>
      <c r="Q112" s="9">
        <f>IF($K112="","",INDEX('سجل التحفيز'!$E$5:$E$2004,MATCH($K112,'سجل التحفيز'!$AE$5:$AE$2004,0)))</f>
        <v/>
      </c>
      <c r="R112" s="9">
        <f>IF($K112="","",INDEX('سجل التحفيز'!$F$5:$F$2004,MATCH($K112,'سجل التحفيز'!$AE$5:$AE$2004,0)))</f>
        <v/>
      </c>
      <c r="S112" s="35">
        <f>IF($K112="","",INDEX('سجل التحفيز'!$G$5:$G$2004,MATCH($K112,'سجل التحفيز'!$AE$5:$AE$2004,0)))</f>
        <v/>
      </c>
    </row>
    <row r="113">
      <c r="B113" s="34">
        <f>IFERROR(INDEX(الموظفات!$B$5:$B$304,MATCH(76,الموظفات!$Y$5:$Y$304,0)),"")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التحفيز'!$AE$5:$AE$2004,"&gt;0",'سجل التحفيز'!$B$5:$B$2004,B113))</f>
        <v/>
      </c>
      <c r="E113" s="35">
        <f>IF(B113="","",COUNTIFS('سجل التحفيز'!$AE$5:$AE$2004,"&gt;0",'سجل التحفيز'!$B$5:$B$2004,B113,'سجل التحفيز'!$D$5:$D$2004,"ذهبي"))</f>
        <v/>
      </c>
      <c r="F113" s="35">
        <f>IF(B113="","",SUMIFS('سجل التحفيز'!$G$5:$G$2004,'سجل التحفيز'!$AE$5:$AE$2004,"&gt;0",'سجل التحفيز'!$B$5:$B$2004,B113))</f>
        <v/>
      </c>
      <c r="G113" s="35">
        <f>IF(B113="","",COUNTIF($D$38:$D$187,"&gt;"&amp;D113)+1)</f>
        <v/>
      </c>
      <c r="H113" s="35">
        <f>IF(B113="","",INDEX(الموظفات!$L$5:$L$304,MATCH(B113,الموظفات!$B$5:$B$304,0)))</f>
        <v/>
      </c>
      <c r="K113" s="36">
        <f>IF(76&gt;$B$10,"",76)</f>
        <v/>
      </c>
      <c r="L113" s="37">
        <f>IF($K113="","",INDEX('سجل التحفيز'!$A$5:$A$2004,MATCH($K113,'سجل التحفيز'!$AE$5:$AE$2004,0)))</f>
        <v/>
      </c>
      <c r="M113" s="9">
        <f>IF($K113="","",INDEX('سجل التحفيز'!$B$5:$B$2004,MATCH($K113,'سجل التحفيز'!$AE$5:$AE$2004,0)))</f>
        <v/>
      </c>
      <c r="N113" s="9">
        <f>IF($K113="","",INDEX('سجل التحفيز'!$M$5:$M$2004,MATCH($K113,'سجل التحفيز'!$AE$5:$AE$2004,0)))</f>
        <v/>
      </c>
      <c r="O113" s="9">
        <f>IF($K113="","",INDEX('سجل التحفيز'!$C$5:$C$2004,MATCH($K113,'سجل التحفيز'!$AE$5:$AE$2004,0)))</f>
        <v/>
      </c>
      <c r="P113" s="36">
        <f>IF($K113="","",INDEX('سجل التحفيز'!$D$5:$D$2004,MATCH($K113,'سجل التحفيز'!$AE$5:$AE$2004,0)))</f>
        <v/>
      </c>
      <c r="Q113" s="9">
        <f>IF($K113="","",INDEX('سجل التحفيز'!$E$5:$E$2004,MATCH($K113,'سجل التحفيز'!$AE$5:$AE$2004,0)))</f>
        <v/>
      </c>
      <c r="R113" s="9">
        <f>IF($K113="","",INDEX('سجل التحفيز'!$F$5:$F$2004,MATCH($K113,'سجل التحفيز'!$AE$5:$AE$2004,0)))</f>
        <v/>
      </c>
      <c r="S113" s="35">
        <f>IF($K113="","",INDEX('سجل التحفيز'!$G$5:$G$2004,MATCH($K113,'سجل التحفيز'!$AE$5:$AE$2004,0)))</f>
        <v/>
      </c>
    </row>
    <row r="114">
      <c r="B114" s="34">
        <f>IFERROR(INDEX(الموظفات!$B$5:$B$304,MATCH(77,الموظفات!$Y$5:$Y$304,0)),"")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التحفيز'!$AE$5:$AE$2004,"&gt;0",'سجل التحفيز'!$B$5:$B$2004,B114))</f>
        <v/>
      </c>
      <c r="E114" s="35">
        <f>IF(B114="","",COUNTIFS('سجل التحفيز'!$AE$5:$AE$2004,"&gt;0",'سجل التحفيز'!$B$5:$B$2004,B114,'سجل التحفيز'!$D$5:$D$2004,"ذهبي"))</f>
        <v/>
      </c>
      <c r="F114" s="35">
        <f>IF(B114="","",SUMIFS('سجل التحفيز'!$G$5:$G$2004,'سجل التحفيز'!$AE$5:$AE$2004,"&gt;0",'سجل التحفيز'!$B$5:$B$2004,B114))</f>
        <v/>
      </c>
      <c r="G114" s="35">
        <f>IF(B114="","",COUNTIF($D$38:$D$187,"&gt;"&amp;D114)+1)</f>
        <v/>
      </c>
      <c r="H114" s="35">
        <f>IF(B114="","",INDEX(الموظفات!$L$5:$L$304,MATCH(B114,الموظفات!$B$5:$B$304,0)))</f>
        <v/>
      </c>
      <c r="K114" s="36">
        <f>IF(77&gt;$B$10,"",77)</f>
        <v/>
      </c>
      <c r="L114" s="37">
        <f>IF($K114="","",INDEX('سجل التحفيز'!$A$5:$A$2004,MATCH($K114,'سجل التحفيز'!$AE$5:$AE$2004,0)))</f>
        <v/>
      </c>
      <c r="M114" s="9">
        <f>IF($K114="","",INDEX('سجل التحفيز'!$B$5:$B$2004,MATCH($K114,'سجل التحفيز'!$AE$5:$AE$2004,0)))</f>
        <v/>
      </c>
      <c r="N114" s="9">
        <f>IF($K114="","",INDEX('سجل التحفيز'!$M$5:$M$2004,MATCH($K114,'سجل التحفيز'!$AE$5:$AE$2004,0)))</f>
        <v/>
      </c>
      <c r="O114" s="9">
        <f>IF($K114="","",INDEX('سجل التحفيز'!$C$5:$C$2004,MATCH($K114,'سجل التحفيز'!$AE$5:$AE$2004,0)))</f>
        <v/>
      </c>
      <c r="P114" s="36">
        <f>IF($K114="","",INDEX('سجل التحفيز'!$D$5:$D$2004,MATCH($K114,'سجل التحفيز'!$AE$5:$AE$2004,0)))</f>
        <v/>
      </c>
      <c r="Q114" s="9">
        <f>IF($K114="","",INDEX('سجل التحفيز'!$E$5:$E$2004,MATCH($K114,'سجل التحفيز'!$AE$5:$AE$2004,0)))</f>
        <v/>
      </c>
      <c r="R114" s="9">
        <f>IF($K114="","",INDEX('سجل التحفيز'!$F$5:$F$2004,MATCH($K114,'سجل التحفيز'!$AE$5:$AE$2004,0)))</f>
        <v/>
      </c>
      <c r="S114" s="35">
        <f>IF($K114="","",INDEX('سجل التحفيز'!$G$5:$G$2004,MATCH($K114,'سجل التحفيز'!$AE$5:$AE$2004,0)))</f>
        <v/>
      </c>
    </row>
    <row r="115">
      <c r="B115" s="34">
        <f>IFERROR(INDEX(الموظفات!$B$5:$B$304,MATCH(78,الموظفات!$Y$5:$Y$304,0)),"")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التحفيز'!$AE$5:$AE$2004,"&gt;0",'سجل التحفيز'!$B$5:$B$2004,B115))</f>
        <v/>
      </c>
      <c r="E115" s="35">
        <f>IF(B115="","",COUNTIFS('سجل التحفيز'!$AE$5:$AE$2004,"&gt;0",'سجل التحفيز'!$B$5:$B$2004,B115,'سجل التحفيز'!$D$5:$D$2004,"ذهبي"))</f>
        <v/>
      </c>
      <c r="F115" s="35">
        <f>IF(B115="","",SUMIFS('سجل التحفيز'!$G$5:$G$2004,'سجل التحفيز'!$AE$5:$AE$2004,"&gt;0",'سجل التحفيز'!$B$5:$B$2004,B115))</f>
        <v/>
      </c>
      <c r="G115" s="35">
        <f>IF(B115="","",COUNTIF($D$38:$D$187,"&gt;"&amp;D115)+1)</f>
        <v/>
      </c>
      <c r="H115" s="35">
        <f>IF(B115="","",INDEX(الموظفات!$L$5:$L$304,MATCH(B115,الموظفات!$B$5:$B$304,0)))</f>
        <v/>
      </c>
      <c r="K115" s="36">
        <f>IF(78&gt;$B$10,"",78)</f>
        <v/>
      </c>
      <c r="L115" s="37">
        <f>IF($K115="","",INDEX('سجل التحفيز'!$A$5:$A$2004,MATCH($K115,'سجل التحفيز'!$AE$5:$AE$2004,0)))</f>
        <v/>
      </c>
      <c r="M115" s="9">
        <f>IF($K115="","",INDEX('سجل التحفيز'!$B$5:$B$2004,MATCH($K115,'سجل التحفيز'!$AE$5:$AE$2004,0)))</f>
        <v/>
      </c>
      <c r="N115" s="9">
        <f>IF($K115="","",INDEX('سجل التحفيز'!$M$5:$M$2004,MATCH($K115,'سجل التحفيز'!$AE$5:$AE$2004,0)))</f>
        <v/>
      </c>
      <c r="O115" s="9">
        <f>IF($K115="","",INDEX('سجل التحفيز'!$C$5:$C$2004,MATCH($K115,'سجل التحفيز'!$AE$5:$AE$2004,0)))</f>
        <v/>
      </c>
      <c r="P115" s="36">
        <f>IF($K115="","",INDEX('سجل التحفيز'!$D$5:$D$2004,MATCH($K115,'سجل التحفيز'!$AE$5:$AE$2004,0)))</f>
        <v/>
      </c>
      <c r="Q115" s="9">
        <f>IF($K115="","",INDEX('سجل التحفيز'!$E$5:$E$2004,MATCH($K115,'سجل التحفيز'!$AE$5:$AE$2004,0)))</f>
        <v/>
      </c>
      <c r="R115" s="9">
        <f>IF($K115="","",INDEX('سجل التحفيز'!$F$5:$F$2004,MATCH($K115,'سجل التحفيز'!$AE$5:$AE$2004,0)))</f>
        <v/>
      </c>
      <c r="S115" s="35">
        <f>IF($K115="","",INDEX('سجل التحفيز'!$G$5:$G$2004,MATCH($K115,'سجل التحفيز'!$AE$5:$AE$2004,0)))</f>
        <v/>
      </c>
    </row>
    <row r="116">
      <c r="B116" s="34">
        <f>IFERROR(INDEX(الموظفات!$B$5:$B$304,MATCH(79,الموظفات!$Y$5:$Y$304,0)),"")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التحفيز'!$AE$5:$AE$2004,"&gt;0",'سجل التحفيز'!$B$5:$B$2004,B116))</f>
        <v/>
      </c>
      <c r="E116" s="35">
        <f>IF(B116="","",COUNTIFS('سجل التحفيز'!$AE$5:$AE$2004,"&gt;0",'سجل التحفيز'!$B$5:$B$2004,B116,'سجل التحفيز'!$D$5:$D$2004,"ذهبي"))</f>
        <v/>
      </c>
      <c r="F116" s="35">
        <f>IF(B116="","",SUMIFS('سجل التحفيز'!$G$5:$G$2004,'سجل التحفيز'!$AE$5:$AE$2004,"&gt;0",'سجل التحفيز'!$B$5:$B$2004,B116))</f>
        <v/>
      </c>
      <c r="G116" s="35">
        <f>IF(B116="","",COUNTIF($D$38:$D$187,"&gt;"&amp;D116)+1)</f>
        <v/>
      </c>
      <c r="H116" s="35">
        <f>IF(B116="","",INDEX(الموظفات!$L$5:$L$304,MATCH(B116,الموظفات!$B$5:$B$304,0)))</f>
        <v/>
      </c>
      <c r="K116" s="36">
        <f>IF(79&gt;$B$10,"",79)</f>
        <v/>
      </c>
      <c r="L116" s="37">
        <f>IF($K116="","",INDEX('سجل التحفيز'!$A$5:$A$2004,MATCH($K116,'سجل التحفيز'!$AE$5:$AE$2004,0)))</f>
        <v/>
      </c>
      <c r="M116" s="9">
        <f>IF($K116="","",INDEX('سجل التحفيز'!$B$5:$B$2004,MATCH($K116,'سجل التحفيز'!$AE$5:$AE$2004,0)))</f>
        <v/>
      </c>
      <c r="N116" s="9">
        <f>IF($K116="","",INDEX('سجل التحفيز'!$M$5:$M$2004,MATCH($K116,'سجل التحفيز'!$AE$5:$AE$2004,0)))</f>
        <v/>
      </c>
      <c r="O116" s="9">
        <f>IF($K116="","",INDEX('سجل التحفيز'!$C$5:$C$2004,MATCH($K116,'سجل التحفيز'!$AE$5:$AE$2004,0)))</f>
        <v/>
      </c>
      <c r="P116" s="36">
        <f>IF($K116="","",INDEX('سجل التحفيز'!$D$5:$D$2004,MATCH($K116,'سجل التحفيز'!$AE$5:$AE$2004,0)))</f>
        <v/>
      </c>
      <c r="Q116" s="9">
        <f>IF($K116="","",INDEX('سجل التحفيز'!$E$5:$E$2004,MATCH($K116,'سجل التحفيز'!$AE$5:$AE$2004,0)))</f>
        <v/>
      </c>
      <c r="R116" s="9">
        <f>IF($K116="","",INDEX('سجل التحفيز'!$F$5:$F$2004,MATCH($K116,'سجل التحفيز'!$AE$5:$AE$2004,0)))</f>
        <v/>
      </c>
      <c r="S116" s="35">
        <f>IF($K116="","",INDEX('سجل التحفيز'!$G$5:$G$2004,MATCH($K116,'سجل التحفيز'!$AE$5:$AE$2004,0)))</f>
        <v/>
      </c>
    </row>
    <row r="117">
      <c r="B117" s="34">
        <f>IFERROR(INDEX(الموظفات!$B$5:$B$304,MATCH(80,الموظفات!$Y$5:$Y$304,0)),"")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التحفيز'!$AE$5:$AE$2004,"&gt;0",'سجل التحفيز'!$B$5:$B$2004,B117))</f>
        <v/>
      </c>
      <c r="E117" s="35">
        <f>IF(B117="","",COUNTIFS('سجل التحفيز'!$AE$5:$AE$2004,"&gt;0",'سجل التحفيز'!$B$5:$B$2004,B117,'سجل التحفيز'!$D$5:$D$2004,"ذهبي"))</f>
        <v/>
      </c>
      <c r="F117" s="35">
        <f>IF(B117="","",SUMIFS('سجل التحفيز'!$G$5:$G$2004,'سجل التحفيز'!$AE$5:$AE$2004,"&gt;0",'سجل التحفيز'!$B$5:$B$2004,B117))</f>
        <v/>
      </c>
      <c r="G117" s="35">
        <f>IF(B117="","",COUNTIF($D$38:$D$187,"&gt;"&amp;D117)+1)</f>
        <v/>
      </c>
      <c r="H117" s="35">
        <f>IF(B117="","",INDEX(الموظفات!$L$5:$L$304,MATCH(B117,الموظفات!$B$5:$B$304,0)))</f>
        <v/>
      </c>
      <c r="K117" s="36">
        <f>IF(80&gt;$B$10,"",80)</f>
        <v/>
      </c>
      <c r="L117" s="37">
        <f>IF($K117="","",INDEX('سجل التحفيز'!$A$5:$A$2004,MATCH($K117,'سجل التحفيز'!$AE$5:$AE$2004,0)))</f>
        <v/>
      </c>
      <c r="M117" s="9">
        <f>IF($K117="","",INDEX('سجل التحفيز'!$B$5:$B$2004,MATCH($K117,'سجل التحفيز'!$AE$5:$AE$2004,0)))</f>
        <v/>
      </c>
      <c r="N117" s="9">
        <f>IF($K117="","",INDEX('سجل التحفيز'!$M$5:$M$2004,MATCH($K117,'سجل التحفيز'!$AE$5:$AE$2004,0)))</f>
        <v/>
      </c>
      <c r="O117" s="9">
        <f>IF($K117="","",INDEX('سجل التحفيز'!$C$5:$C$2004,MATCH($K117,'سجل التحفيز'!$AE$5:$AE$2004,0)))</f>
        <v/>
      </c>
      <c r="P117" s="36">
        <f>IF($K117="","",INDEX('سجل التحفيز'!$D$5:$D$2004,MATCH($K117,'سجل التحفيز'!$AE$5:$AE$2004,0)))</f>
        <v/>
      </c>
      <c r="Q117" s="9">
        <f>IF($K117="","",INDEX('سجل التحفيز'!$E$5:$E$2004,MATCH($K117,'سجل التحفيز'!$AE$5:$AE$2004,0)))</f>
        <v/>
      </c>
      <c r="R117" s="9">
        <f>IF($K117="","",INDEX('سجل التحفيز'!$F$5:$F$2004,MATCH($K117,'سجل التحفيز'!$AE$5:$AE$2004,0)))</f>
        <v/>
      </c>
      <c r="S117" s="35">
        <f>IF($K117="","",INDEX('سجل التحفيز'!$G$5:$G$2004,MATCH($K117,'سجل التحفيز'!$AE$5:$AE$2004,0)))</f>
        <v/>
      </c>
    </row>
    <row r="118">
      <c r="B118" s="34">
        <f>IFERROR(INDEX(الموظفات!$B$5:$B$304,MATCH(81,الموظفات!$Y$5:$Y$304,0)),"")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التحفيز'!$AE$5:$AE$2004,"&gt;0",'سجل التحفيز'!$B$5:$B$2004,B118))</f>
        <v/>
      </c>
      <c r="E118" s="35">
        <f>IF(B118="","",COUNTIFS('سجل التحفيز'!$AE$5:$AE$2004,"&gt;0",'سجل التحفيز'!$B$5:$B$2004,B118,'سجل التحفيز'!$D$5:$D$2004,"ذهبي"))</f>
        <v/>
      </c>
      <c r="F118" s="35">
        <f>IF(B118="","",SUMIFS('سجل التحفيز'!$G$5:$G$2004,'سجل التحفيز'!$AE$5:$AE$2004,"&gt;0",'سجل التحفيز'!$B$5:$B$2004,B118))</f>
        <v/>
      </c>
      <c r="G118" s="35">
        <f>IF(B118="","",COUNTIF($D$38:$D$187,"&gt;"&amp;D118)+1)</f>
        <v/>
      </c>
      <c r="H118" s="35">
        <f>IF(B118="","",INDEX(الموظفات!$L$5:$L$304,MATCH(B118,الموظفات!$B$5:$B$304,0)))</f>
        <v/>
      </c>
      <c r="K118" s="36">
        <f>IF(81&gt;$B$10,"",81)</f>
        <v/>
      </c>
      <c r="L118" s="37">
        <f>IF($K118="","",INDEX('سجل التحفيز'!$A$5:$A$2004,MATCH($K118,'سجل التحفيز'!$AE$5:$AE$2004,0)))</f>
        <v/>
      </c>
      <c r="M118" s="9">
        <f>IF($K118="","",INDEX('سجل التحفيز'!$B$5:$B$2004,MATCH($K118,'سجل التحفيز'!$AE$5:$AE$2004,0)))</f>
        <v/>
      </c>
      <c r="N118" s="9">
        <f>IF($K118="","",INDEX('سجل التحفيز'!$M$5:$M$2004,MATCH($K118,'سجل التحفيز'!$AE$5:$AE$2004,0)))</f>
        <v/>
      </c>
      <c r="O118" s="9">
        <f>IF($K118="","",INDEX('سجل التحفيز'!$C$5:$C$2004,MATCH($K118,'سجل التحفيز'!$AE$5:$AE$2004,0)))</f>
        <v/>
      </c>
      <c r="P118" s="36">
        <f>IF($K118="","",INDEX('سجل التحفيز'!$D$5:$D$2004,MATCH($K118,'سجل التحفيز'!$AE$5:$AE$2004,0)))</f>
        <v/>
      </c>
      <c r="Q118" s="9">
        <f>IF($K118="","",INDEX('سجل التحفيز'!$E$5:$E$2004,MATCH($K118,'سجل التحفيز'!$AE$5:$AE$2004,0)))</f>
        <v/>
      </c>
      <c r="R118" s="9">
        <f>IF($K118="","",INDEX('سجل التحفيز'!$F$5:$F$2004,MATCH($K118,'سجل التحفيز'!$AE$5:$AE$2004,0)))</f>
        <v/>
      </c>
      <c r="S118" s="35">
        <f>IF($K118="","",INDEX('سجل التحفيز'!$G$5:$G$2004,MATCH($K118,'سجل التحفيز'!$AE$5:$AE$2004,0)))</f>
        <v/>
      </c>
    </row>
    <row r="119">
      <c r="B119" s="34">
        <f>IFERROR(INDEX(الموظفات!$B$5:$B$304,MATCH(82,الموظفات!$Y$5:$Y$304,0)),"")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التحفيز'!$AE$5:$AE$2004,"&gt;0",'سجل التحفيز'!$B$5:$B$2004,B119))</f>
        <v/>
      </c>
      <c r="E119" s="35">
        <f>IF(B119="","",COUNTIFS('سجل التحفيز'!$AE$5:$AE$2004,"&gt;0",'سجل التحفيز'!$B$5:$B$2004,B119,'سجل التحفيز'!$D$5:$D$2004,"ذهبي"))</f>
        <v/>
      </c>
      <c r="F119" s="35">
        <f>IF(B119="","",SUMIFS('سجل التحفيز'!$G$5:$G$2004,'سجل التحفيز'!$AE$5:$AE$2004,"&gt;0",'سجل التحفيز'!$B$5:$B$2004,B119))</f>
        <v/>
      </c>
      <c r="G119" s="35">
        <f>IF(B119="","",COUNTIF($D$38:$D$187,"&gt;"&amp;D119)+1)</f>
        <v/>
      </c>
      <c r="H119" s="35">
        <f>IF(B119="","",INDEX(الموظفات!$L$5:$L$304,MATCH(B119,الموظفات!$B$5:$B$304,0)))</f>
        <v/>
      </c>
      <c r="K119" s="36">
        <f>IF(82&gt;$B$10,"",82)</f>
        <v/>
      </c>
      <c r="L119" s="37">
        <f>IF($K119="","",INDEX('سجل التحفيز'!$A$5:$A$2004,MATCH($K119,'سجل التحفيز'!$AE$5:$AE$2004,0)))</f>
        <v/>
      </c>
      <c r="M119" s="9">
        <f>IF($K119="","",INDEX('سجل التحفيز'!$B$5:$B$2004,MATCH($K119,'سجل التحفيز'!$AE$5:$AE$2004,0)))</f>
        <v/>
      </c>
      <c r="N119" s="9">
        <f>IF($K119="","",INDEX('سجل التحفيز'!$M$5:$M$2004,MATCH($K119,'سجل التحفيز'!$AE$5:$AE$2004,0)))</f>
        <v/>
      </c>
      <c r="O119" s="9">
        <f>IF($K119="","",INDEX('سجل التحفيز'!$C$5:$C$2004,MATCH($K119,'سجل التحفيز'!$AE$5:$AE$2004,0)))</f>
        <v/>
      </c>
      <c r="P119" s="36">
        <f>IF($K119="","",INDEX('سجل التحفيز'!$D$5:$D$2004,MATCH($K119,'سجل التحفيز'!$AE$5:$AE$2004,0)))</f>
        <v/>
      </c>
      <c r="Q119" s="9">
        <f>IF($K119="","",INDEX('سجل التحفيز'!$E$5:$E$2004,MATCH($K119,'سجل التحفيز'!$AE$5:$AE$2004,0)))</f>
        <v/>
      </c>
      <c r="R119" s="9">
        <f>IF($K119="","",INDEX('سجل التحفيز'!$F$5:$F$2004,MATCH($K119,'سجل التحفيز'!$AE$5:$AE$2004,0)))</f>
        <v/>
      </c>
      <c r="S119" s="35">
        <f>IF($K119="","",INDEX('سجل التحفيز'!$G$5:$G$2004,MATCH($K119,'سجل التحفيز'!$AE$5:$AE$2004,0)))</f>
        <v/>
      </c>
    </row>
    <row r="120">
      <c r="B120" s="34">
        <f>IFERROR(INDEX(الموظفات!$B$5:$B$304,MATCH(83,الموظفات!$Y$5:$Y$304,0)),"")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التحفيز'!$AE$5:$AE$2004,"&gt;0",'سجل التحفيز'!$B$5:$B$2004,B120))</f>
        <v/>
      </c>
      <c r="E120" s="35">
        <f>IF(B120="","",COUNTIFS('سجل التحفيز'!$AE$5:$AE$2004,"&gt;0",'سجل التحفيز'!$B$5:$B$2004,B120,'سجل التحفيز'!$D$5:$D$2004,"ذهبي"))</f>
        <v/>
      </c>
      <c r="F120" s="35">
        <f>IF(B120="","",SUMIFS('سجل التحفيز'!$G$5:$G$2004,'سجل التحفيز'!$AE$5:$AE$2004,"&gt;0",'سجل التحفيز'!$B$5:$B$2004,B120))</f>
        <v/>
      </c>
      <c r="G120" s="35">
        <f>IF(B120="","",COUNTIF($D$38:$D$187,"&gt;"&amp;D120)+1)</f>
        <v/>
      </c>
      <c r="H120" s="35">
        <f>IF(B120="","",INDEX(الموظفات!$L$5:$L$304,MATCH(B120,الموظفات!$B$5:$B$304,0)))</f>
        <v/>
      </c>
      <c r="K120" s="36">
        <f>IF(83&gt;$B$10,"",83)</f>
        <v/>
      </c>
      <c r="L120" s="37">
        <f>IF($K120="","",INDEX('سجل التحفيز'!$A$5:$A$2004,MATCH($K120,'سجل التحفيز'!$AE$5:$AE$2004,0)))</f>
        <v/>
      </c>
      <c r="M120" s="9">
        <f>IF($K120="","",INDEX('سجل التحفيز'!$B$5:$B$2004,MATCH($K120,'سجل التحفيز'!$AE$5:$AE$2004,0)))</f>
        <v/>
      </c>
      <c r="N120" s="9">
        <f>IF($K120="","",INDEX('سجل التحفيز'!$M$5:$M$2004,MATCH($K120,'سجل التحفيز'!$AE$5:$AE$2004,0)))</f>
        <v/>
      </c>
      <c r="O120" s="9">
        <f>IF($K120="","",INDEX('سجل التحفيز'!$C$5:$C$2004,MATCH($K120,'سجل التحفيز'!$AE$5:$AE$2004,0)))</f>
        <v/>
      </c>
      <c r="P120" s="36">
        <f>IF($K120="","",INDEX('سجل التحفيز'!$D$5:$D$2004,MATCH($K120,'سجل التحفيز'!$AE$5:$AE$2004,0)))</f>
        <v/>
      </c>
      <c r="Q120" s="9">
        <f>IF($K120="","",INDEX('سجل التحفيز'!$E$5:$E$2004,MATCH($K120,'سجل التحفيز'!$AE$5:$AE$2004,0)))</f>
        <v/>
      </c>
      <c r="R120" s="9">
        <f>IF($K120="","",INDEX('سجل التحفيز'!$F$5:$F$2004,MATCH($K120,'سجل التحفيز'!$AE$5:$AE$2004,0)))</f>
        <v/>
      </c>
      <c r="S120" s="35">
        <f>IF($K120="","",INDEX('سجل التحفيز'!$G$5:$G$2004,MATCH($K120,'سجل التحفيز'!$AE$5:$AE$2004,0)))</f>
        <v/>
      </c>
    </row>
    <row r="121">
      <c r="B121" s="34">
        <f>IFERROR(INDEX(الموظفات!$B$5:$B$304,MATCH(84,الموظفات!$Y$5:$Y$304,0)),"")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التحفيز'!$AE$5:$AE$2004,"&gt;0",'سجل التحفيز'!$B$5:$B$2004,B121))</f>
        <v/>
      </c>
      <c r="E121" s="35">
        <f>IF(B121="","",COUNTIFS('سجل التحفيز'!$AE$5:$AE$2004,"&gt;0",'سجل التحفيز'!$B$5:$B$2004,B121,'سجل التحفيز'!$D$5:$D$2004,"ذهبي"))</f>
        <v/>
      </c>
      <c r="F121" s="35">
        <f>IF(B121="","",SUMIFS('سجل التحفيز'!$G$5:$G$2004,'سجل التحفيز'!$AE$5:$AE$2004,"&gt;0",'سجل التحفيز'!$B$5:$B$2004,B121))</f>
        <v/>
      </c>
      <c r="G121" s="35">
        <f>IF(B121="","",COUNTIF($D$38:$D$187,"&gt;"&amp;D121)+1)</f>
        <v/>
      </c>
      <c r="H121" s="35">
        <f>IF(B121="","",INDEX(الموظفات!$L$5:$L$304,MATCH(B121,الموظفات!$B$5:$B$304,0)))</f>
        <v/>
      </c>
      <c r="K121" s="36">
        <f>IF(84&gt;$B$10,"",84)</f>
        <v/>
      </c>
      <c r="L121" s="37">
        <f>IF($K121="","",INDEX('سجل التحفيز'!$A$5:$A$2004,MATCH($K121,'سجل التحفيز'!$AE$5:$AE$2004,0)))</f>
        <v/>
      </c>
      <c r="M121" s="9">
        <f>IF($K121="","",INDEX('سجل التحفيز'!$B$5:$B$2004,MATCH($K121,'سجل التحفيز'!$AE$5:$AE$2004,0)))</f>
        <v/>
      </c>
      <c r="N121" s="9">
        <f>IF($K121="","",INDEX('سجل التحفيز'!$M$5:$M$2004,MATCH($K121,'سجل التحفيز'!$AE$5:$AE$2004,0)))</f>
        <v/>
      </c>
      <c r="O121" s="9">
        <f>IF($K121="","",INDEX('سجل التحفيز'!$C$5:$C$2004,MATCH($K121,'سجل التحفيز'!$AE$5:$AE$2004,0)))</f>
        <v/>
      </c>
      <c r="P121" s="36">
        <f>IF($K121="","",INDEX('سجل التحفيز'!$D$5:$D$2004,MATCH($K121,'سجل التحفيز'!$AE$5:$AE$2004,0)))</f>
        <v/>
      </c>
      <c r="Q121" s="9">
        <f>IF($K121="","",INDEX('سجل التحفيز'!$E$5:$E$2004,MATCH($K121,'سجل التحفيز'!$AE$5:$AE$2004,0)))</f>
        <v/>
      </c>
      <c r="R121" s="9">
        <f>IF($K121="","",INDEX('سجل التحفيز'!$F$5:$F$2004,MATCH($K121,'سجل التحفيز'!$AE$5:$AE$2004,0)))</f>
        <v/>
      </c>
      <c r="S121" s="35">
        <f>IF($K121="","",INDEX('سجل التحفيز'!$G$5:$G$2004,MATCH($K121,'سجل التحفيز'!$AE$5:$AE$2004,0)))</f>
        <v/>
      </c>
    </row>
    <row r="122">
      <c r="B122" s="34">
        <f>IFERROR(INDEX(الموظفات!$B$5:$B$304,MATCH(85,الموظفات!$Y$5:$Y$304,0)),"")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التحفيز'!$AE$5:$AE$2004,"&gt;0",'سجل التحفيز'!$B$5:$B$2004,B122))</f>
        <v/>
      </c>
      <c r="E122" s="35">
        <f>IF(B122="","",COUNTIFS('سجل التحفيز'!$AE$5:$AE$2004,"&gt;0",'سجل التحفيز'!$B$5:$B$2004,B122,'سجل التحفيز'!$D$5:$D$2004,"ذهبي"))</f>
        <v/>
      </c>
      <c r="F122" s="35">
        <f>IF(B122="","",SUMIFS('سجل التحفيز'!$G$5:$G$2004,'سجل التحفيز'!$AE$5:$AE$2004,"&gt;0",'سجل التحفيز'!$B$5:$B$2004,B122))</f>
        <v/>
      </c>
      <c r="G122" s="35">
        <f>IF(B122="","",COUNTIF($D$38:$D$187,"&gt;"&amp;D122)+1)</f>
        <v/>
      </c>
      <c r="H122" s="35">
        <f>IF(B122="","",INDEX(الموظفات!$L$5:$L$304,MATCH(B122,الموظفات!$B$5:$B$304,0)))</f>
        <v/>
      </c>
      <c r="K122" s="36">
        <f>IF(85&gt;$B$10,"",85)</f>
        <v/>
      </c>
      <c r="L122" s="37">
        <f>IF($K122="","",INDEX('سجل التحفيز'!$A$5:$A$2004,MATCH($K122,'سجل التحفيز'!$AE$5:$AE$2004,0)))</f>
        <v/>
      </c>
      <c r="M122" s="9">
        <f>IF($K122="","",INDEX('سجل التحفيز'!$B$5:$B$2004,MATCH($K122,'سجل التحفيز'!$AE$5:$AE$2004,0)))</f>
        <v/>
      </c>
      <c r="N122" s="9">
        <f>IF($K122="","",INDEX('سجل التحفيز'!$M$5:$M$2004,MATCH($K122,'سجل التحفيز'!$AE$5:$AE$2004,0)))</f>
        <v/>
      </c>
      <c r="O122" s="9">
        <f>IF($K122="","",INDEX('سجل التحفيز'!$C$5:$C$2004,MATCH($K122,'سجل التحفيز'!$AE$5:$AE$2004,0)))</f>
        <v/>
      </c>
      <c r="P122" s="36">
        <f>IF($K122="","",INDEX('سجل التحفيز'!$D$5:$D$2004,MATCH($K122,'سجل التحفيز'!$AE$5:$AE$2004,0)))</f>
        <v/>
      </c>
      <c r="Q122" s="9">
        <f>IF($K122="","",INDEX('سجل التحفيز'!$E$5:$E$2004,MATCH($K122,'سجل التحفيز'!$AE$5:$AE$2004,0)))</f>
        <v/>
      </c>
      <c r="R122" s="9">
        <f>IF($K122="","",INDEX('سجل التحفيز'!$F$5:$F$2004,MATCH($K122,'سجل التحفيز'!$AE$5:$AE$2004,0)))</f>
        <v/>
      </c>
      <c r="S122" s="35">
        <f>IF($K122="","",INDEX('سجل التحفيز'!$G$5:$G$2004,MATCH($K122,'سجل التحفيز'!$AE$5:$AE$2004,0)))</f>
        <v/>
      </c>
    </row>
    <row r="123">
      <c r="B123" s="34">
        <f>IFERROR(INDEX(الموظفات!$B$5:$B$304,MATCH(86,الموظفات!$Y$5:$Y$304,0)),"")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التحفيز'!$AE$5:$AE$2004,"&gt;0",'سجل التحفيز'!$B$5:$B$2004,B123))</f>
        <v/>
      </c>
      <c r="E123" s="35">
        <f>IF(B123="","",COUNTIFS('سجل التحفيز'!$AE$5:$AE$2004,"&gt;0",'سجل التحفيز'!$B$5:$B$2004,B123,'سجل التحفيز'!$D$5:$D$2004,"ذهبي"))</f>
        <v/>
      </c>
      <c r="F123" s="35">
        <f>IF(B123="","",SUMIFS('سجل التحفيز'!$G$5:$G$2004,'سجل التحفيز'!$AE$5:$AE$2004,"&gt;0",'سجل التحفيز'!$B$5:$B$2004,B123))</f>
        <v/>
      </c>
      <c r="G123" s="35">
        <f>IF(B123="","",COUNTIF($D$38:$D$187,"&gt;"&amp;D123)+1)</f>
        <v/>
      </c>
      <c r="H123" s="35">
        <f>IF(B123="","",INDEX(الموظفات!$L$5:$L$304,MATCH(B123,الموظفات!$B$5:$B$304,0)))</f>
        <v/>
      </c>
      <c r="K123" s="36">
        <f>IF(86&gt;$B$10,"",86)</f>
        <v/>
      </c>
      <c r="L123" s="37">
        <f>IF($K123="","",INDEX('سجل التحفيز'!$A$5:$A$2004,MATCH($K123,'سجل التحفيز'!$AE$5:$AE$2004,0)))</f>
        <v/>
      </c>
      <c r="M123" s="9">
        <f>IF($K123="","",INDEX('سجل التحفيز'!$B$5:$B$2004,MATCH($K123,'سجل التحفيز'!$AE$5:$AE$2004,0)))</f>
        <v/>
      </c>
      <c r="N123" s="9">
        <f>IF($K123="","",INDEX('سجل التحفيز'!$M$5:$M$2004,MATCH($K123,'سجل التحفيز'!$AE$5:$AE$2004,0)))</f>
        <v/>
      </c>
      <c r="O123" s="9">
        <f>IF($K123="","",INDEX('سجل التحفيز'!$C$5:$C$2004,MATCH($K123,'سجل التحفيز'!$AE$5:$AE$2004,0)))</f>
        <v/>
      </c>
      <c r="P123" s="36">
        <f>IF($K123="","",INDEX('سجل التحفيز'!$D$5:$D$2004,MATCH($K123,'سجل التحفيز'!$AE$5:$AE$2004,0)))</f>
        <v/>
      </c>
      <c r="Q123" s="9">
        <f>IF($K123="","",INDEX('سجل التحفيز'!$E$5:$E$2004,MATCH($K123,'سجل التحفيز'!$AE$5:$AE$2004,0)))</f>
        <v/>
      </c>
      <c r="R123" s="9">
        <f>IF($K123="","",INDEX('سجل التحفيز'!$F$5:$F$2004,MATCH($K123,'سجل التحفيز'!$AE$5:$AE$2004,0)))</f>
        <v/>
      </c>
      <c r="S123" s="35">
        <f>IF($K123="","",INDEX('سجل التحفيز'!$G$5:$G$2004,MATCH($K123,'سجل التحفيز'!$AE$5:$AE$2004,0)))</f>
        <v/>
      </c>
    </row>
    <row r="124">
      <c r="B124" s="34">
        <f>IFERROR(INDEX(الموظفات!$B$5:$B$304,MATCH(87,الموظفات!$Y$5:$Y$304,0)),"")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التحفيز'!$AE$5:$AE$2004,"&gt;0",'سجل التحفيز'!$B$5:$B$2004,B124))</f>
        <v/>
      </c>
      <c r="E124" s="35">
        <f>IF(B124="","",COUNTIFS('سجل التحفيز'!$AE$5:$AE$2004,"&gt;0",'سجل التحفيز'!$B$5:$B$2004,B124,'سجل التحفيز'!$D$5:$D$2004,"ذهبي"))</f>
        <v/>
      </c>
      <c r="F124" s="35">
        <f>IF(B124="","",SUMIFS('سجل التحفيز'!$G$5:$G$2004,'سجل التحفيز'!$AE$5:$AE$2004,"&gt;0",'سجل التحفيز'!$B$5:$B$2004,B124))</f>
        <v/>
      </c>
      <c r="G124" s="35">
        <f>IF(B124="","",COUNTIF($D$38:$D$187,"&gt;"&amp;D124)+1)</f>
        <v/>
      </c>
      <c r="H124" s="35">
        <f>IF(B124="","",INDEX(الموظفات!$L$5:$L$304,MATCH(B124,الموظفات!$B$5:$B$304,0)))</f>
        <v/>
      </c>
      <c r="K124" s="36">
        <f>IF(87&gt;$B$10,"",87)</f>
        <v/>
      </c>
      <c r="L124" s="37">
        <f>IF($K124="","",INDEX('سجل التحفيز'!$A$5:$A$2004,MATCH($K124,'سجل التحفيز'!$AE$5:$AE$2004,0)))</f>
        <v/>
      </c>
      <c r="M124" s="9">
        <f>IF($K124="","",INDEX('سجل التحفيز'!$B$5:$B$2004,MATCH($K124,'سجل التحفيز'!$AE$5:$AE$2004,0)))</f>
        <v/>
      </c>
      <c r="N124" s="9">
        <f>IF($K124="","",INDEX('سجل التحفيز'!$M$5:$M$2004,MATCH($K124,'سجل التحفيز'!$AE$5:$AE$2004,0)))</f>
        <v/>
      </c>
      <c r="O124" s="9">
        <f>IF($K124="","",INDEX('سجل التحفيز'!$C$5:$C$2004,MATCH($K124,'سجل التحفيز'!$AE$5:$AE$2004,0)))</f>
        <v/>
      </c>
      <c r="P124" s="36">
        <f>IF($K124="","",INDEX('سجل التحفيز'!$D$5:$D$2004,MATCH($K124,'سجل التحفيز'!$AE$5:$AE$2004,0)))</f>
        <v/>
      </c>
      <c r="Q124" s="9">
        <f>IF($K124="","",INDEX('سجل التحفيز'!$E$5:$E$2004,MATCH($K124,'سجل التحفيز'!$AE$5:$AE$2004,0)))</f>
        <v/>
      </c>
      <c r="R124" s="9">
        <f>IF($K124="","",INDEX('سجل التحفيز'!$F$5:$F$2004,MATCH($K124,'سجل التحفيز'!$AE$5:$AE$2004,0)))</f>
        <v/>
      </c>
      <c r="S124" s="35">
        <f>IF($K124="","",INDEX('سجل التحفيز'!$G$5:$G$2004,MATCH($K124,'سجل التحفيز'!$AE$5:$AE$2004,0)))</f>
        <v/>
      </c>
    </row>
    <row r="125">
      <c r="B125" s="34">
        <f>IFERROR(INDEX(الموظفات!$B$5:$B$304,MATCH(88,الموظفات!$Y$5:$Y$304,0)),"")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التحفيز'!$AE$5:$AE$2004,"&gt;0",'سجل التحفيز'!$B$5:$B$2004,B125))</f>
        <v/>
      </c>
      <c r="E125" s="35">
        <f>IF(B125="","",COUNTIFS('سجل التحفيز'!$AE$5:$AE$2004,"&gt;0",'سجل التحفيز'!$B$5:$B$2004,B125,'سجل التحفيز'!$D$5:$D$2004,"ذهبي"))</f>
        <v/>
      </c>
      <c r="F125" s="35">
        <f>IF(B125="","",SUMIFS('سجل التحفيز'!$G$5:$G$2004,'سجل التحفيز'!$AE$5:$AE$2004,"&gt;0",'سجل التحفيز'!$B$5:$B$2004,B125))</f>
        <v/>
      </c>
      <c r="G125" s="35">
        <f>IF(B125="","",COUNTIF($D$38:$D$187,"&gt;"&amp;D125)+1)</f>
        <v/>
      </c>
      <c r="H125" s="35">
        <f>IF(B125="","",INDEX(الموظفات!$L$5:$L$304,MATCH(B125,الموظفات!$B$5:$B$304,0)))</f>
        <v/>
      </c>
      <c r="K125" s="36">
        <f>IF(88&gt;$B$10,"",88)</f>
        <v/>
      </c>
      <c r="L125" s="37">
        <f>IF($K125="","",INDEX('سجل التحفيز'!$A$5:$A$2004,MATCH($K125,'سجل التحفيز'!$AE$5:$AE$2004,0)))</f>
        <v/>
      </c>
      <c r="M125" s="9">
        <f>IF($K125="","",INDEX('سجل التحفيز'!$B$5:$B$2004,MATCH($K125,'سجل التحفيز'!$AE$5:$AE$2004,0)))</f>
        <v/>
      </c>
      <c r="N125" s="9">
        <f>IF($K125="","",INDEX('سجل التحفيز'!$M$5:$M$2004,MATCH($K125,'سجل التحفيز'!$AE$5:$AE$2004,0)))</f>
        <v/>
      </c>
      <c r="O125" s="9">
        <f>IF($K125="","",INDEX('سجل التحفيز'!$C$5:$C$2004,MATCH($K125,'سجل التحفيز'!$AE$5:$AE$2004,0)))</f>
        <v/>
      </c>
      <c r="P125" s="36">
        <f>IF($K125="","",INDEX('سجل التحفيز'!$D$5:$D$2004,MATCH($K125,'سجل التحفيز'!$AE$5:$AE$2004,0)))</f>
        <v/>
      </c>
      <c r="Q125" s="9">
        <f>IF($K125="","",INDEX('سجل التحفيز'!$E$5:$E$2004,MATCH($K125,'سجل التحفيز'!$AE$5:$AE$2004,0)))</f>
        <v/>
      </c>
      <c r="R125" s="9">
        <f>IF($K125="","",INDEX('سجل التحفيز'!$F$5:$F$2004,MATCH($K125,'سجل التحفيز'!$AE$5:$AE$2004,0)))</f>
        <v/>
      </c>
      <c r="S125" s="35">
        <f>IF($K125="","",INDEX('سجل التحفيز'!$G$5:$G$2004,MATCH($K125,'سجل التحفيز'!$AE$5:$AE$2004,0)))</f>
        <v/>
      </c>
    </row>
    <row r="126">
      <c r="B126" s="34">
        <f>IFERROR(INDEX(الموظفات!$B$5:$B$304,MATCH(89,الموظفات!$Y$5:$Y$304,0)),"")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التحفيز'!$AE$5:$AE$2004,"&gt;0",'سجل التحفيز'!$B$5:$B$2004,B126))</f>
        <v/>
      </c>
      <c r="E126" s="35">
        <f>IF(B126="","",COUNTIFS('سجل التحفيز'!$AE$5:$AE$2004,"&gt;0",'سجل التحفيز'!$B$5:$B$2004,B126,'سجل التحفيز'!$D$5:$D$2004,"ذهبي"))</f>
        <v/>
      </c>
      <c r="F126" s="35">
        <f>IF(B126="","",SUMIFS('سجل التحفيز'!$G$5:$G$2004,'سجل التحفيز'!$AE$5:$AE$2004,"&gt;0",'سجل التحفيز'!$B$5:$B$2004,B126))</f>
        <v/>
      </c>
      <c r="G126" s="35">
        <f>IF(B126="","",COUNTIF($D$38:$D$187,"&gt;"&amp;D126)+1)</f>
        <v/>
      </c>
      <c r="H126" s="35">
        <f>IF(B126="","",INDEX(الموظفات!$L$5:$L$304,MATCH(B126,الموظفات!$B$5:$B$304,0)))</f>
        <v/>
      </c>
      <c r="K126" s="36">
        <f>IF(89&gt;$B$10,"",89)</f>
        <v/>
      </c>
      <c r="L126" s="37">
        <f>IF($K126="","",INDEX('سجل التحفيز'!$A$5:$A$2004,MATCH($K126,'سجل التحفيز'!$AE$5:$AE$2004,0)))</f>
        <v/>
      </c>
      <c r="M126" s="9">
        <f>IF($K126="","",INDEX('سجل التحفيز'!$B$5:$B$2004,MATCH($K126,'سجل التحفيز'!$AE$5:$AE$2004,0)))</f>
        <v/>
      </c>
      <c r="N126" s="9">
        <f>IF($K126="","",INDEX('سجل التحفيز'!$M$5:$M$2004,MATCH($K126,'سجل التحفيز'!$AE$5:$AE$2004,0)))</f>
        <v/>
      </c>
      <c r="O126" s="9">
        <f>IF($K126="","",INDEX('سجل التحفيز'!$C$5:$C$2004,MATCH($K126,'سجل التحفيز'!$AE$5:$AE$2004,0)))</f>
        <v/>
      </c>
      <c r="P126" s="36">
        <f>IF($K126="","",INDEX('سجل التحفيز'!$D$5:$D$2004,MATCH($K126,'سجل التحفيز'!$AE$5:$AE$2004,0)))</f>
        <v/>
      </c>
      <c r="Q126" s="9">
        <f>IF($K126="","",INDEX('سجل التحفيز'!$E$5:$E$2004,MATCH($K126,'سجل التحفيز'!$AE$5:$AE$2004,0)))</f>
        <v/>
      </c>
      <c r="R126" s="9">
        <f>IF($K126="","",INDEX('سجل التحفيز'!$F$5:$F$2004,MATCH($K126,'سجل التحفيز'!$AE$5:$AE$2004,0)))</f>
        <v/>
      </c>
      <c r="S126" s="35">
        <f>IF($K126="","",INDEX('سجل التحفيز'!$G$5:$G$2004,MATCH($K126,'سجل التحفيز'!$AE$5:$AE$2004,0)))</f>
        <v/>
      </c>
    </row>
    <row r="127">
      <c r="B127" s="34">
        <f>IFERROR(INDEX(الموظفات!$B$5:$B$304,MATCH(90,الموظفات!$Y$5:$Y$304,0)),"")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التحفيز'!$AE$5:$AE$2004,"&gt;0",'سجل التحفيز'!$B$5:$B$2004,B127))</f>
        <v/>
      </c>
      <c r="E127" s="35">
        <f>IF(B127="","",COUNTIFS('سجل التحفيز'!$AE$5:$AE$2004,"&gt;0",'سجل التحفيز'!$B$5:$B$2004,B127,'سجل التحفيز'!$D$5:$D$2004,"ذهبي"))</f>
        <v/>
      </c>
      <c r="F127" s="35">
        <f>IF(B127="","",SUMIFS('سجل التحفيز'!$G$5:$G$2004,'سجل التحفيز'!$AE$5:$AE$2004,"&gt;0",'سجل التحفيز'!$B$5:$B$2004,B127))</f>
        <v/>
      </c>
      <c r="G127" s="35">
        <f>IF(B127="","",COUNTIF($D$38:$D$187,"&gt;"&amp;D127)+1)</f>
        <v/>
      </c>
      <c r="H127" s="35">
        <f>IF(B127="","",INDEX(الموظفات!$L$5:$L$304,MATCH(B127,الموظفات!$B$5:$B$304,0)))</f>
        <v/>
      </c>
      <c r="K127" s="36">
        <f>IF(90&gt;$B$10,"",90)</f>
        <v/>
      </c>
      <c r="L127" s="37">
        <f>IF($K127="","",INDEX('سجل التحفيز'!$A$5:$A$2004,MATCH($K127,'سجل التحفيز'!$AE$5:$AE$2004,0)))</f>
        <v/>
      </c>
      <c r="M127" s="9">
        <f>IF($K127="","",INDEX('سجل التحفيز'!$B$5:$B$2004,MATCH($K127,'سجل التحفيز'!$AE$5:$AE$2004,0)))</f>
        <v/>
      </c>
      <c r="N127" s="9">
        <f>IF($K127="","",INDEX('سجل التحفيز'!$M$5:$M$2004,MATCH($K127,'سجل التحفيز'!$AE$5:$AE$2004,0)))</f>
        <v/>
      </c>
      <c r="O127" s="9">
        <f>IF($K127="","",INDEX('سجل التحفيز'!$C$5:$C$2004,MATCH($K127,'سجل التحفيز'!$AE$5:$AE$2004,0)))</f>
        <v/>
      </c>
      <c r="P127" s="36">
        <f>IF($K127="","",INDEX('سجل التحفيز'!$D$5:$D$2004,MATCH($K127,'سجل التحفيز'!$AE$5:$AE$2004,0)))</f>
        <v/>
      </c>
      <c r="Q127" s="9">
        <f>IF($K127="","",INDEX('سجل التحفيز'!$E$5:$E$2004,MATCH($K127,'سجل التحفيز'!$AE$5:$AE$2004,0)))</f>
        <v/>
      </c>
      <c r="R127" s="9">
        <f>IF($K127="","",INDEX('سجل التحفيز'!$F$5:$F$2004,MATCH($K127,'سجل التحفيز'!$AE$5:$AE$2004,0)))</f>
        <v/>
      </c>
      <c r="S127" s="35">
        <f>IF($K127="","",INDEX('سجل التحفيز'!$G$5:$G$2004,MATCH($K127,'سجل التحفيز'!$AE$5:$AE$2004,0)))</f>
        <v/>
      </c>
    </row>
    <row r="128">
      <c r="B128" s="34">
        <f>IFERROR(INDEX(الموظفات!$B$5:$B$304,MATCH(91,الموظفات!$Y$5:$Y$304,0)),"")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التحفيز'!$AE$5:$AE$2004,"&gt;0",'سجل التحفيز'!$B$5:$B$2004,B128))</f>
        <v/>
      </c>
      <c r="E128" s="35">
        <f>IF(B128="","",COUNTIFS('سجل التحفيز'!$AE$5:$AE$2004,"&gt;0",'سجل التحفيز'!$B$5:$B$2004,B128,'سجل التحفيز'!$D$5:$D$2004,"ذهبي"))</f>
        <v/>
      </c>
      <c r="F128" s="35">
        <f>IF(B128="","",SUMIFS('سجل التحفيز'!$G$5:$G$2004,'سجل التحفيز'!$AE$5:$AE$2004,"&gt;0",'سجل التحفيز'!$B$5:$B$2004,B128))</f>
        <v/>
      </c>
      <c r="G128" s="35">
        <f>IF(B128="","",COUNTIF($D$38:$D$187,"&gt;"&amp;D128)+1)</f>
        <v/>
      </c>
      <c r="H128" s="35">
        <f>IF(B128="","",INDEX(الموظفات!$L$5:$L$304,MATCH(B128,الموظفات!$B$5:$B$304,0)))</f>
        <v/>
      </c>
      <c r="K128" s="36">
        <f>IF(91&gt;$B$10,"",91)</f>
        <v/>
      </c>
      <c r="L128" s="37">
        <f>IF($K128="","",INDEX('سجل التحفيز'!$A$5:$A$2004,MATCH($K128,'سجل التحفيز'!$AE$5:$AE$2004,0)))</f>
        <v/>
      </c>
      <c r="M128" s="9">
        <f>IF($K128="","",INDEX('سجل التحفيز'!$B$5:$B$2004,MATCH($K128,'سجل التحفيز'!$AE$5:$AE$2004,0)))</f>
        <v/>
      </c>
      <c r="N128" s="9">
        <f>IF($K128="","",INDEX('سجل التحفيز'!$M$5:$M$2004,MATCH($K128,'سجل التحفيز'!$AE$5:$AE$2004,0)))</f>
        <v/>
      </c>
      <c r="O128" s="9">
        <f>IF($K128="","",INDEX('سجل التحفيز'!$C$5:$C$2004,MATCH($K128,'سجل التحفيز'!$AE$5:$AE$2004,0)))</f>
        <v/>
      </c>
      <c r="P128" s="36">
        <f>IF($K128="","",INDEX('سجل التحفيز'!$D$5:$D$2004,MATCH($K128,'سجل التحفيز'!$AE$5:$AE$2004,0)))</f>
        <v/>
      </c>
      <c r="Q128" s="9">
        <f>IF($K128="","",INDEX('سجل التحفيز'!$E$5:$E$2004,MATCH($K128,'سجل التحفيز'!$AE$5:$AE$2004,0)))</f>
        <v/>
      </c>
      <c r="R128" s="9">
        <f>IF($K128="","",INDEX('سجل التحفيز'!$F$5:$F$2004,MATCH($K128,'سجل التحفيز'!$AE$5:$AE$2004,0)))</f>
        <v/>
      </c>
      <c r="S128" s="35">
        <f>IF($K128="","",INDEX('سجل التحفيز'!$G$5:$G$2004,MATCH($K128,'سجل التحفيز'!$AE$5:$AE$2004,0)))</f>
        <v/>
      </c>
    </row>
    <row r="129">
      <c r="B129" s="34">
        <f>IFERROR(INDEX(الموظفات!$B$5:$B$304,MATCH(92,الموظفات!$Y$5:$Y$304,0)),"")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التحفيز'!$AE$5:$AE$2004,"&gt;0",'سجل التحفيز'!$B$5:$B$2004,B129))</f>
        <v/>
      </c>
      <c r="E129" s="35">
        <f>IF(B129="","",COUNTIFS('سجل التحفيز'!$AE$5:$AE$2004,"&gt;0",'سجل التحفيز'!$B$5:$B$2004,B129,'سجل التحفيز'!$D$5:$D$2004,"ذهبي"))</f>
        <v/>
      </c>
      <c r="F129" s="35">
        <f>IF(B129="","",SUMIFS('سجل التحفيز'!$G$5:$G$2004,'سجل التحفيز'!$AE$5:$AE$2004,"&gt;0",'سجل التحفيز'!$B$5:$B$2004,B129))</f>
        <v/>
      </c>
      <c r="G129" s="35">
        <f>IF(B129="","",COUNTIF($D$38:$D$187,"&gt;"&amp;D129)+1)</f>
        <v/>
      </c>
      <c r="H129" s="35">
        <f>IF(B129="","",INDEX(الموظفات!$L$5:$L$304,MATCH(B129,الموظفات!$B$5:$B$304,0)))</f>
        <v/>
      </c>
      <c r="K129" s="36">
        <f>IF(92&gt;$B$10,"",92)</f>
        <v/>
      </c>
      <c r="L129" s="37">
        <f>IF($K129="","",INDEX('سجل التحفيز'!$A$5:$A$2004,MATCH($K129,'سجل التحفيز'!$AE$5:$AE$2004,0)))</f>
        <v/>
      </c>
      <c r="M129" s="9">
        <f>IF($K129="","",INDEX('سجل التحفيز'!$B$5:$B$2004,MATCH($K129,'سجل التحفيز'!$AE$5:$AE$2004,0)))</f>
        <v/>
      </c>
      <c r="N129" s="9">
        <f>IF($K129="","",INDEX('سجل التحفيز'!$M$5:$M$2004,MATCH($K129,'سجل التحفيز'!$AE$5:$AE$2004,0)))</f>
        <v/>
      </c>
      <c r="O129" s="9">
        <f>IF($K129="","",INDEX('سجل التحفيز'!$C$5:$C$2004,MATCH($K129,'سجل التحفيز'!$AE$5:$AE$2004,0)))</f>
        <v/>
      </c>
      <c r="P129" s="36">
        <f>IF($K129="","",INDEX('سجل التحفيز'!$D$5:$D$2004,MATCH($K129,'سجل التحفيز'!$AE$5:$AE$2004,0)))</f>
        <v/>
      </c>
      <c r="Q129" s="9">
        <f>IF($K129="","",INDEX('سجل التحفيز'!$E$5:$E$2004,MATCH($K129,'سجل التحفيز'!$AE$5:$AE$2004,0)))</f>
        <v/>
      </c>
      <c r="R129" s="9">
        <f>IF($K129="","",INDEX('سجل التحفيز'!$F$5:$F$2004,MATCH($K129,'سجل التحفيز'!$AE$5:$AE$2004,0)))</f>
        <v/>
      </c>
      <c r="S129" s="35">
        <f>IF($K129="","",INDEX('سجل التحفيز'!$G$5:$G$2004,MATCH($K129,'سجل التحفيز'!$AE$5:$AE$2004,0)))</f>
        <v/>
      </c>
    </row>
    <row r="130">
      <c r="B130" s="34">
        <f>IFERROR(INDEX(الموظفات!$B$5:$B$304,MATCH(93,الموظفات!$Y$5:$Y$304,0)),"")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التحفيز'!$AE$5:$AE$2004,"&gt;0",'سجل التحفيز'!$B$5:$B$2004,B130))</f>
        <v/>
      </c>
      <c r="E130" s="35">
        <f>IF(B130="","",COUNTIFS('سجل التحفيز'!$AE$5:$AE$2004,"&gt;0",'سجل التحفيز'!$B$5:$B$2004,B130,'سجل التحفيز'!$D$5:$D$2004,"ذهبي"))</f>
        <v/>
      </c>
      <c r="F130" s="35">
        <f>IF(B130="","",SUMIFS('سجل التحفيز'!$G$5:$G$2004,'سجل التحفيز'!$AE$5:$AE$2004,"&gt;0",'سجل التحفيز'!$B$5:$B$2004,B130))</f>
        <v/>
      </c>
      <c r="G130" s="35">
        <f>IF(B130="","",COUNTIF($D$38:$D$187,"&gt;"&amp;D130)+1)</f>
        <v/>
      </c>
      <c r="H130" s="35">
        <f>IF(B130="","",INDEX(الموظفات!$L$5:$L$304,MATCH(B130,الموظفات!$B$5:$B$304,0)))</f>
        <v/>
      </c>
      <c r="K130" s="36">
        <f>IF(93&gt;$B$10,"",93)</f>
        <v/>
      </c>
      <c r="L130" s="37">
        <f>IF($K130="","",INDEX('سجل التحفيز'!$A$5:$A$2004,MATCH($K130,'سجل التحفيز'!$AE$5:$AE$2004,0)))</f>
        <v/>
      </c>
      <c r="M130" s="9">
        <f>IF($K130="","",INDEX('سجل التحفيز'!$B$5:$B$2004,MATCH($K130,'سجل التحفيز'!$AE$5:$AE$2004,0)))</f>
        <v/>
      </c>
      <c r="N130" s="9">
        <f>IF($K130="","",INDEX('سجل التحفيز'!$M$5:$M$2004,MATCH($K130,'سجل التحفيز'!$AE$5:$AE$2004,0)))</f>
        <v/>
      </c>
      <c r="O130" s="9">
        <f>IF($K130="","",INDEX('سجل التحفيز'!$C$5:$C$2004,MATCH($K130,'سجل التحفيز'!$AE$5:$AE$2004,0)))</f>
        <v/>
      </c>
      <c r="P130" s="36">
        <f>IF($K130="","",INDEX('سجل التحفيز'!$D$5:$D$2004,MATCH($K130,'سجل التحفيز'!$AE$5:$AE$2004,0)))</f>
        <v/>
      </c>
      <c r="Q130" s="9">
        <f>IF($K130="","",INDEX('سجل التحفيز'!$E$5:$E$2004,MATCH($K130,'سجل التحفيز'!$AE$5:$AE$2004,0)))</f>
        <v/>
      </c>
      <c r="R130" s="9">
        <f>IF($K130="","",INDEX('سجل التحفيز'!$F$5:$F$2004,MATCH($K130,'سجل التحفيز'!$AE$5:$AE$2004,0)))</f>
        <v/>
      </c>
      <c r="S130" s="35">
        <f>IF($K130="","",INDEX('سجل التحفيز'!$G$5:$G$2004,MATCH($K130,'سجل التحفيز'!$AE$5:$AE$2004,0)))</f>
        <v/>
      </c>
    </row>
    <row r="131">
      <c r="B131" s="34">
        <f>IFERROR(INDEX(الموظفات!$B$5:$B$304,MATCH(94,الموظفات!$Y$5:$Y$304,0)),"")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التحفيز'!$AE$5:$AE$2004,"&gt;0",'سجل التحفيز'!$B$5:$B$2004,B131))</f>
        <v/>
      </c>
      <c r="E131" s="35">
        <f>IF(B131="","",COUNTIFS('سجل التحفيز'!$AE$5:$AE$2004,"&gt;0",'سجل التحفيز'!$B$5:$B$2004,B131,'سجل التحفيز'!$D$5:$D$2004,"ذهبي"))</f>
        <v/>
      </c>
      <c r="F131" s="35">
        <f>IF(B131="","",SUMIFS('سجل التحفيز'!$G$5:$G$2004,'سجل التحفيز'!$AE$5:$AE$2004,"&gt;0",'سجل التحفيز'!$B$5:$B$2004,B131))</f>
        <v/>
      </c>
      <c r="G131" s="35">
        <f>IF(B131="","",COUNTIF($D$38:$D$187,"&gt;"&amp;D131)+1)</f>
        <v/>
      </c>
      <c r="H131" s="35">
        <f>IF(B131="","",INDEX(الموظفات!$L$5:$L$304,MATCH(B131,الموظفات!$B$5:$B$304,0)))</f>
        <v/>
      </c>
      <c r="K131" s="36">
        <f>IF(94&gt;$B$10,"",94)</f>
        <v/>
      </c>
      <c r="L131" s="37">
        <f>IF($K131="","",INDEX('سجل التحفيز'!$A$5:$A$2004,MATCH($K131,'سجل التحفيز'!$AE$5:$AE$2004,0)))</f>
        <v/>
      </c>
      <c r="M131" s="9">
        <f>IF($K131="","",INDEX('سجل التحفيز'!$B$5:$B$2004,MATCH($K131,'سجل التحفيز'!$AE$5:$AE$2004,0)))</f>
        <v/>
      </c>
      <c r="N131" s="9">
        <f>IF($K131="","",INDEX('سجل التحفيز'!$M$5:$M$2004,MATCH($K131,'سجل التحفيز'!$AE$5:$AE$2004,0)))</f>
        <v/>
      </c>
      <c r="O131" s="9">
        <f>IF($K131="","",INDEX('سجل التحفيز'!$C$5:$C$2004,MATCH($K131,'سجل التحفيز'!$AE$5:$AE$2004,0)))</f>
        <v/>
      </c>
      <c r="P131" s="36">
        <f>IF($K131="","",INDEX('سجل التحفيز'!$D$5:$D$2004,MATCH($K131,'سجل التحفيز'!$AE$5:$AE$2004,0)))</f>
        <v/>
      </c>
      <c r="Q131" s="9">
        <f>IF($K131="","",INDEX('سجل التحفيز'!$E$5:$E$2004,MATCH($K131,'سجل التحفيز'!$AE$5:$AE$2004,0)))</f>
        <v/>
      </c>
      <c r="R131" s="9">
        <f>IF($K131="","",INDEX('سجل التحفيز'!$F$5:$F$2004,MATCH($K131,'سجل التحفيز'!$AE$5:$AE$2004,0)))</f>
        <v/>
      </c>
      <c r="S131" s="35">
        <f>IF($K131="","",INDEX('سجل التحفيز'!$G$5:$G$2004,MATCH($K131,'سجل التحفيز'!$AE$5:$AE$2004,0)))</f>
        <v/>
      </c>
    </row>
    <row r="132">
      <c r="B132" s="34">
        <f>IFERROR(INDEX(الموظفات!$B$5:$B$304,MATCH(95,الموظفات!$Y$5:$Y$304,0)),"")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التحفيز'!$AE$5:$AE$2004,"&gt;0",'سجل التحفيز'!$B$5:$B$2004,B132))</f>
        <v/>
      </c>
      <c r="E132" s="35">
        <f>IF(B132="","",COUNTIFS('سجل التحفيز'!$AE$5:$AE$2004,"&gt;0",'سجل التحفيز'!$B$5:$B$2004,B132,'سجل التحفيز'!$D$5:$D$2004,"ذهبي"))</f>
        <v/>
      </c>
      <c r="F132" s="35">
        <f>IF(B132="","",SUMIFS('سجل التحفيز'!$G$5:$G$2004,'سجل التحفيز'!$AE$5:$AE$2004,"&gt;0",'سجل التحفيز'!$B$5:$B$2004,B132))</f>
        <v/>
      </c>
      <c r="G132" s="35">
        <f>IF(B132="","",COUNTIF($D$38:$D$187,"&gt;"&amp;D132)+1)</f>
        <v/>
      </c>
      <c r="H132" s="35">
        <f>IF(B132="","",INDEX(الموظفات!$L$5:$L$304,MATCH(B132,الموظفات!$B$5:$B$304,0)))</f>
        <v/>
      </c>
      <c r="K132" s="36">
        <f>IF(95&gt;$B$10,"",95)</f>
        <v/>
      </c>
      <c r="L132" s="37">
        <f>IF($K132="","",INDEX('سجل التحفيز'!$A$5:$A$2004,MATCH($K132,'سجل التحفيز'!$AE$5:$AE$2004,0)))</f>
        <v/>
      </c>
      <c r="M132" s="9">
        <f>IF($K132="","",INDEX('سجل التحفيز'!$B$5:$B$2004,MATCH($K132,'سجل التحفيز'!$AE$5:$AE$2004,0)))</f>
        <v/>
      </c>
      <c r="N132" s="9">
        <f>IF($K132="","",INDEX('سجل التحفيز'!$M$5:$M$2004,MATCH($K132,'سجل التحفيز'!$AE$5:$AE$2004,0)))</f>
        <v/>
      </c>
      <c r="O132" s="9">
        <f>IF($K132="","",INDEX('سجل التحفيز'!$C$5:$C$2004,MATCH($K132,'سجل التحفيز'!$AE$5:$AE$2004,0)))</f>
        <v/>
      </c>
      <c r="P132" s="36">
        <f>IF($K132="","",INDEX('سجل التحفيز'!$D$5:$D$2004,MATCH($K132,'سجل التحفيز'!$AE$5:$AE$2004,0)))</f>
        <v/>
      </c>
      <c r="Q132" s="9">
        <f>IF($K132="","",INDEX('سجل التحفيز'!$E$5:$E$2004,MATCH($K132,'سجل التحفيز'!$AE$5:$AE$2004,0)))</f>
        <v/>
      </c>
      <c r="R132" s="9">
        <f>IF($K132="","",INDEX('سجل التحفيز'!$F$5:$F$2004,MATCH($K132,'سجل التحفيز'!$AE$5:$AE$2004,0)))</f>
        <v/>
      </c>
      <c r="S132" s="35">
        <f>IF($K132="","",INDEX('سجل التحفيز'!$G$5:$G$2004,MATCH($K132,'سجل التحفيز'!$AE$5:$AE$2004,0)))</f>
        <v/>
      </c>
    </row>
    <row r="133">
      <c r="B133" s="34">
        <f>IFERROR(INDEX(الموظفات!$B$5:$B$304,MATCH(96,الموظفات!$Y$5:$Y$304,0)),"")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التحفيز'!$AE$5:$AE$2004,"&gt;0",'سجل التحفيز'!$B$5:$B$2004,B133))</f>
        <v/>
      </c>
      <c r="E133" s="35">
        <f>IF(B133="","",COUNTIFS('سجل التحفيز'!$AE$5:$AE$2004,"&gt;0",'سجل التحفيز'!$B$5:$B$2004,B133,'سجل التحفيز'!$D$5:$D$2004,"ذهبي"))</f>
        <v/>
      </c>
      <c r="F133" s="35">
        <f>IF(B133="","",SUMIFS('سجل التحفيز'!$G$5:$G$2004,'سجل التحفيز'!$AE$5:$AE$2004,"&gt;0",'سجل التحفيز'!$B$5:$B$2004,B133))</f>
        <v/>
      </c>
      <c r="G133" s="35">
        <f>IF(B133="","",COUNTIF($D$38:$D$187,"&gt;"&amp;D133)+1)</f>
        <v/>
      </c>
      <c r="H133" s="35">
        <f>IF(B133="","",INDEX(الموظفات!$L$5:$L$304,MATCH(B133,الموظفات!$B$5:$B$304,0)))</f>
        <v/>
      </c>
      <c r="K133" s="36">
        <f>IF(96&gt;$B$10,"",96)</f>
        <v/>
      </c>
      <c r="L133" s="37">
        <f>IF($K133="","",INDEX('سجل التحفيز'!$A$5:$A$2004,MATCH($K133,'سجل التحفيز'!$AE$5:$AE$2004,0)))</f>
        <v/>
      </c>
      <c r="M133" s="9">
        <f>IF($K133="","",INDEX('سجل التحفيز'!$B$5:$B$2004,MATCH($K133,'سجل التحفيز'!$AE$5:$AE$2004,0)))</f>
        <v/>
      </c>
      <c r="N133" s="9">
        <f>IF($K133="","",INDEX('سجل التحفيز'!$M$5:$M$2004,MATCH($K133,'سجل التحفيز'!$AE$5:$AE$2004,0)))</f>
        <v/>
      </c>
      <c r="O133" s="9">
        <f>IF($K133="","",INDEX('سجل التحفيز'!$C$5:$C$2004,MATCH($K133,'سجل التحفيز'!$AE$5:$AE$2004,0)))</f>
        <v/>
      </c>
      <c r="P133" s="36">
        <f>IF($K133="","",INDEX('سجل التحفيز'!$D$5:$D$2004,MATCH($K133,'سجل التحفيز'!$AE$5:$AE$2004,0)))</f>
        <v/>
      </c>
      <c r="Q133" s="9">
        <f>IF($K133="","",INDEX('سجل التحفيز'!$E$5:$E$2004,MATCH($K133,'سجل التحفيز'!$AE$5:$AE$2004,0)))</f>
        <v/>
      </c>
      <c r="R133" s="9">
        <f>IF($K133="","",INDEX('سجل التحفيز'!$F$5:$F$2004,MATCH($K133,'سجل التحفيز'!$AE$5:$AE$2004,0)))</f>
        <v/>
      </c>
      <c r="S133" s="35">
        <f>IF($K133="","",INDEX('سجل التحفيز'!$G$5:$G$2004,MATCH($K133,'سجل التحفيز'!$AE$5:$AE$2004,0)))</f>
        <v/>
      </c>
    </row>
    <row r="134">
      <c r="B134" s="34">
        <f>IFERROR(INDEX(الموظفات!$B$5:$B$304,MATCH(97,الموظفات!$Y$5:$Y$304,0)),"")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التحفيز'!$AE$5:$AE$2004,"&gt;0",'سجل التحفيز'!$B$5:$B$2004,B134))</f>
        <v/>
      </c>
      <c r="E134" s="35">
        <f>IF(B134="","",COUNTIFS('سجل التحفيز'!$AE$5:$AE$2004,"&gt;0",'سجل التحفيز'!$B$5:$B$2004,B134,'سجل التحفيز'!$D$5:$D$2004,"ذهبي"))</f>
        <v/>
      </c>
      <c r="F134" s="35">
        <f>IF(B134="","",SUMIFS('سجل التحفيز'!$G$5:$G$2004,'سجل التحفيز'!$AE$5:$AE$2004,"&gt;0",'سجل التحفيز'!$B$5:$B$2004,B134))</f>
        <v/>
      </c>
      <c r="G134" s="35">
        <f>IF(B134="","",COUNTIF($D$38:$D$187,"&gt;"&amp;D134)+1)</f>
        <v/>
      </c>
      <c r="H134" s="35">
        <f>IF(B134="","",INDEX(الموظفات!$L$5:$L$304,MATCH(B134,الموظفات!$B$5:$B$304,0)))</f>
        <v/>
      </c>
      <c r="K134" s="36">
        <f>IF(97&gt;$B$10,"",97)</f>
        <v/>
      </c>
      <c r="L134" s="37">
        <f>IF($K134="","",INDEX('سجل التحفيز'!$A$5:$A$2004,MATCH($K134,'سجل التحفيز'!$AE$5:$AE$2004,0)))</f>
        <v/>
      </c>
      <c r="M134" s="9">
        <f>IF($K134="","",INDEX('سجل التحفيز'!$B$5:$B$2004,MATCH($K134,'سجل التحفيز'!$AE$5:$AE$2004,0)))</f>
        <v/>
      </c>
      <c r="N134" s="9">
        <f>IF($K134="","",INDEX('سجل التحفيز'!$M$5:$M$2004,MATCH($K134,'سجل التحفيز'!$AE$5:$AE$2004,0)))</f>
        <v/>
      </c>
      <c r="O134" s="9">
        <f>IF($K134="","",INDEX('سجل التحفيز'!$C$5:$C$2004,MATCH($K134,'سجل التحفيز'!$AE$5:$AE$2004,0)))</f>
        <v/>
      </c>
      <c r="P134" s="36">
        <f>IF($K134="","",INDEX('سجل التحفيز'!$D$5:$D$2004,MATCH($K134,'سجل التحفيز'!$AE$5:$AE$2004,0)))</f>
        <v/>
      </c>
      <c r="Q134" s="9">
        <f>IF($K134="","",INDEX('سجل التحفيز'!$E$5:$E$2004,MATCH($K134,'سجل التحفيز'!$AE$5:$AE$2004,0)))</f>
        <v/>
      </c>
      <c r="R134" s="9">
        <f>IF($K134="","",INDEX('سجل التحفيز'!$F$5:$F$2004,MATCH($K134,'سجل التحفيز'!$AE$5:$AE$2004,0)))</f>
        <v/>
      </c>
      <c r="S134" s="35">
        <f>IF($K134="","",INDEX('سجل التحفيز'!$G$5:$G$2004,MATCH($K134,'سجل التحفيز'!$AE$5:$AE$2004,0)))</f>
        <v/>
      </c>
    </row>
    <row r="135">
      <c r="B135" s="34">
        <f>IFERROR(INDEX(الموظفات!$B$5:$B$304,MATCH(98,الموظفات!$Y$5:$Y$304,0)),"")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التحفيز'!$AE$5:$AE$2004,"&gt;0",'سجل التحفيز'!$B$5:$B$2004,B135))</f>
        <v/>
      </c>
      <c r="E135" s="35">
        <f>IF(B135="","",COUNTIFS('سجل التحفيز'!$AE$5:$AE$2004,"&gt;0",'سجل التحفيز'!$B$5:$B$2004,B135,'سجل التحفيز'!$D$5:$D$2004,"ذهبي"))</f>
        <v/>
      </c>
      <c r="F135" s="35">
        <f>IF(B135="","",SUMIFS('سجل التحفيز'!$G$5:$G$2004,'سجل التحفيز'!$AE$5:$AE$2004,"&gt;0",'سجل التحفيز'!$B$5:$B$2004,B135))</f>
        <v/>
      </c>
      <c r="G135" s="35">
        <f>IF(B135="","",COUNTIF($D$38:$D$187,"&gt;"&amp;D135)+1)</f>
        <v/>
      </c>
      <c r="H135" s="35">
        <f>IF(B135="","",INDEX(الموظفات!$L$5:$L$304,MATCH(B135,الموظفات!$B$5:$B$304,0)))</f>
        <v/>
      </c>
      <c r="K135" s="36">
        <f>IF(98&gt;$B$10,"",98)</f>
        <v/>
      </c>
      <c r="L135" s="37">
        <f>IF($K135="","",INDEX('سجل التحفيز'!$A$5:$A$2004,MATCH($K135,'سجل التحفيز'!$AE$5:$AE$2004,0)))</f>
        <v/>
      </c>
      <c r="M135" s="9">
        <f>IF($K135="","",INDEX('سجل التحفيز'!$B$5:$B$2004,MATCH($K135,'سجل التحفيز'!$AE$5:$AE$2004,0)))</f>
        <v/>
      </c>
      <c r="N135" s="9">
        <f>IF($K135="","",INDEX('سجل التحفيز'!$M$5:$M$2004,MATCH($K135,'سجل التحفيز'!$AE$5:$AE$2004,0)))</f>
        <v/>
      </c>
      <c r="O135" s="9">
        <f>IF($K135="","",INDEX('سجل التحفيز'!$C$5:$C$2004,MATCH($K135,'سجل التحفيز'!$AE$5:$AE$2004,0)))</f>
        <v/>
      </c>
      <c r="P135" s="36">
        <f>IF($K135="","",INDEX('سجل التحفيز'!$D$5:$D$2004,MATCH($K135,'سجل التحفيز'!$AE$5:$AE$2004,0)))</f>
        <v/>
      </c>
      <c r="Q135" s="9">
        <f>IF($K135="","",INDEX('سجل التحفيز'!$E$5:$E$2004,MATCH($K135,'سجل التحفيز'!$AE$5:$AE$2004,0)))</f>
        <v/>
      </c>
      <c r="R135" s="9">
        <f>IF($K135="","",INDEX('سجل التحفيز'!$F$5:$F$2004,MATCH($K135,'سجل التحفيز'!$AE$5:$AE$2004,0)))</f>
        <v/>
      </c>
      <c r="S135" s="35">
        <f>IF($K135="","",INDEX('سجل التحفيز'!$G$5:$G$2004,MATCH($K135,'سجل التحفيز'!$AE$5:$AE$2004,0)))</f>
        <v/>
      </c>
    </row>
    <row r="136">
      <c r="B136" s="34">
        <f>IFERROR(INDEX(الموظفات!$B$5:$B$304,MATCH(99,الموظفات!$Y$5:$Y$304,0)),"")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التحفيز'!$AE$5:$AE$2004,"&gt;0",'سجل التحفيز'!$B$5:$B$2004,B136))</f>
        <v/>
      </c>
      <c r="E136" s="35">
        <f>IF(B136="","",COUNTIFS('سجل التحفيز'!$AE$5:$AE$2004,"&gt;0",'سجل التحفيز'!$B$5:$B$2004,B136,'سجل التحفيز'!$D$5:$D$2004,"ذهبي"))</f>
        <v/>
      </c>
      <c r="F136" s="35">
        <f>IF(B136="","",SUMIFS('سجل التحفيز'!$G$5:$G$2004,'سجل التحفيز'!$AE$5:$AE$2004,"&gt;0",'سجل التحفيز'!$B$5:$B$2004,B136))</f>
        <v/>
      </c>
      <c r="G136" s="35">
        <f>IF(B136="","",COUNTIF($D$38:$D$187,"&gt;"&amp;D136)+1)</f>
        <v/>
      </c>
      <c r="H136" s="35">
        <f>IF(B136="","",INDEX(الموظفات!$L$5:$L$304,MATCH(B136,الموظفات!$B$5:$B$304,0)))</f>
        <v/>
      </c>
      <c r="K136" s="36">
        <f>IF(99&gt;$B$10,"",99)</f>
        <v/>
      </c>
      <c r="L136" s="37">
        <f>IF($K136="","",INDEX('سجل التحفيز'!$A$5:$A$2004,MATCH($K136,'سجل التحفيز'!$AE$5:$AE$2004,0)))</f>
        <v/>
      </c>
      <c r="M136" s="9">
        <f>IF($K136="","",INDEX('سجل التحفيز'!$B$5:$B$2004,MATCH($K136,'سجل التحفيز'!$AE$5:$AE$2004,0)))</f>
        <v/>
      </c>
      <c r="N136" s="9">
        <f>IF($K136="","",INDEX('سجل التحفيز'!$M$5:$M$2004,MATCH($K136,'سجل التحفيز'!$AE$5:$AE$2004,0)))</f>
        <v/>
      </c>
      <c r="O136" s="9">
        <f>IF($K136="","",INDEX('سجل التحفيز'!$C$5:$C$2004,MATCH($K136,'سجل التحفيز'!$AE$5:$AE$2004,0)))</f>
        <v/>
      </c>
      <c r="P136" s="36">
        <f>IF($K136="","",INDEX('سجل التحفيز'!$D$5:$D$2004,MATCH($K136,'سجل التحفيز'!$AE$5:$AE$2004,0)))</f>
        <v/>
      </c>
      <c r="Q136" s="9">
        <f>IF($K136="","",INDEX('سجل التحفيز'!$E$5:$E$2004,MATCH($K136,'سجل التحفيز'!$AE$5:$AE$2004,0)))</f>
        <v/>
      </c>
      <c r="R136" s="9">
        <f>IF($K136="","",INDEX('سجل التحفيز'!$F$5:$F$2004,MATCH($K136,'سجل التحفيز'!$AE$5:$AE$2004,0)))</f>
        <v/>
      </c>
      <c r="S136" s="35">
        <f>IF($K136="","",INDEX('سجل التحفيز'!$G$5:$G$2004,MATCH($K136,'سجل التحفيز'!$AE$5:$AE$2004,0)))</f>
        <v/>
      </c>
    </row>
    <row r="137">
      <c r="B137" s="34">
        <f>IFERROR(INDEX(الموظفات!$B$5:$B$304,MATCH(100,الموظفات!$Y$5:$Y$304,0)),"")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التحفيز'!$AE$5:$AE$2004,"&gt;0",'سجل التحفيز'!$B$5:$B$2004,B137))</f>
        <v/>
      </c>
      <c r="E137" s="35">
        <f>IF(B137="","",COUNTIFS('سجل التحفيز'!$AE$5:$AE$2004,"&gt;0",'سجل التحفيز'!$B$5:$B$2004,B137,'سجل التحفيز'!$D$5:$D$2004,"ذهبي"))</f>
        <v/>
      </c>
      <c r="F137" s="35">
        <f>IF(B137="","",SUMIFS('سجل التحفيز'!$G$5:$G$2004,'سجل التحفيز'!$AE$5:$AE$2004,"&gt;0",'سجل التحفيز'!$B$5:$B$2004,B137))</f>
        <v/>
      </c>
      <c r="G137" s="35">
        <f>IF(B137="","",COUNTIF($D$38:$D$187,"&gt;"&amp;D137)+1)</f>
        <v/>
      </c>
      <c r="H137" s="35">
        <f>IF(B137="","",INDEX(الموظفات!$L$5:$L$304,MATCH(B137,الموظفات!$B$5:$B$304,0)))</f>
        <v/>
      </c>
      <c r="K137" s="36">
        <f>IF(100&gt;$B$10,"",100)</f>
        <v/>
      </c>
      <c r="L137" s="37">
        <f>IF($K137="","",INDEX('سجل التحفيز'!$A$5:$A$2004,MATCH($K137,'سجل التحفيز'!$AE$5:$AE$2004,0)))</f>
        <v/>
      </c>
      <c r="M137" s="9">
        <f>IF($K137="","",INDEX('سجل التحفيز'!$B$5:$B$2004,MATCH($K137,'سجل التحفيز'!$AE$5:$AE$2004,0)))</f>
        <v/>
      </c>
      <c r="N137" s="9">
        <f>IF($K137="","",INDEX('سجل التحفيز'!$M$5:$M$2004,MATCH($K137,'سجل التحفيز'!$AE$5:$AE$2004,0)))</f>
        <v/>
      </c>
      <c r="O137" s="9">
        <f>IF($K137="","",INDEX('سجل التحفيز'!$C$5:$C$2004,MATCH($K137,'سجل التحفيز'!$AE$5:$AE$2004,0)))</f>
        <v/>
      </c>
      <c r="P137" s="36">
        <f>IF($K137="","",INDEX('سجل التحفيز'!$D$5:$D$2004,MATCH($K137,'سجل التحفيز'!$AE$5:$AE$2004,0)))</f>
        <v/>
      </c>
      <c r="Q137" s="9">
        <f>IF($K137="","",INDEX('سجل التحفيز'!$E$5:$E$2004,MATCH($K137,'سجل التحفيز'!$AE$5:$AE$2004,0)))</f>
        <v/>
      </c>
      <c r="R137" s="9">
        <f>IF($K137="","",INDEX('سجل التحفيز'!$F$5:$F$2004,MATCH($K137,'سجل التحفيز'!$AE$5:$AE$2004,0)))</f>
        <v/>
      </c>
      <c r="S137" s="35">
        <f>IF($K137="","",INDEX('سجل التحفيز'!$G$5:$G$2004,MATCH($K137,'سجل التحفيز'!$AE$5:$AE$2004,0)))</f>
        <v/>
      </c>
    </row>
    <row r="138">
      <c r="B138" s="34">
        <f>IFERROR(INDEX(الموظفات!$B$5:$B$304,MATCH(101,الموظفات!$Y$5:$Y$304,0)),"")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التحفيز'!$AE$5:$AE$2004,"&gt;0",'سجل التحفيز'!$B$5:$B$2004,B138))</f>
        <v/>
      </c>
      <c r="E138" s="35">
        <f>IF(B138="","",COUNTIFS('سجل التحفيز'!$AE$5:$AE$2004,"&gt;0",'سجل التحفيز'!$B$5:$B$2004,B138,'سجل التحفيز'!$D$5:$D$2004,"ذهبي"))</f>
        <v/>
      </c>
      <c r="F138" s="35">
        <f>IF(B138="","",SUMIFS('سجل التحفيز'!$G$5:$G$2004,'سجل التحفيز'!$AE$5:$AE$2004,"&gt;0",'سجل التحفيز'!$B$5:$B$2004,B138))</f>
        <v/>
      </c>
      <c r="G138" s="35">
        <f>IF(B138="","",COUNTIF($D$38:$D$187,"&gt;"&amp;D138)+1)</f>
        <v/>
      </c>
      <c r="H138" s="35">
        <f>IF(B138="","",INDEX(الموظفات!$L$5:$L$304,MATCH(B138,الموظفات!$B$5:$B$304,0)))</f>
        <v/>
      </c>
      <c r="K138" s="36">
        <f>IF(101&gt;$B$10,"",101)</f>
        <v/>
      </c>
      <c r="L138" s="37">
        <f>IF($K138="","",INDEX('سجل التحفيز'!$A$5:$A$2004,MATCH($K138,'سجل التحفيز'!$AE$5:$AE$2004,0)))</f>
        <v/>
      </c>
      <c r="M138" s="9">
        <f>IF($K138="","",INDEX('سجل التحفيز'!$B$5:$B$2004,MATCH($K138,'سجل التحفيز'!$AE$5:$AE$2004,0)))</f>
        <v/>
      </c>
      <c r="N138" s="9">
        <f>IF($K138="","",INDEX('سجل التحفيز'!$M$5:$M$2004,MATCH($K138,'سجل التحفيز'!$AE$5:$AE$2004,0)))</f>
        <v/>
      </c>
      <c r="O138" s="9">
        <f>IF($K138="","",INDEX('سجل التحفيز'!$C$5:$C$2004,MATCH($K138,'سجل التحفيز'!$AE$5:$AE$2004,0)))</f>
        <v/>
      </c>
      <c r="P138" s="36">
        <f>IF($K138="","",INDEX('سجل التحفيز'!$D$5:$D$2004,MATCH($K138,'سجل التحفيز'!$AE$5:$AE$2004,0)))</f>
        <v/>
      </c>
      <c r="Q138" s="9">
        <f>IF($K138="","",INDEX('سجل التحفيز'!$E$5:$E$2004,MATCH($K138,'سجل التحفيز'!$AE$5:$AE$2004,0)))</f>
        <v/>
      </c>
      <c r="R138" s="9">
        <f>IF($K138="","",INDEX('سجل التحفيز'!$F$5:$F$2004,MATCH($K138,'سجل التحفيز'!$AE$5:$AE$2004,0)))</f>
        <v/>
      </c>
      <c r="S138" s="35">
        <f>IF($K138="","",INDEX('سجل التحفيز'!$G$5:$G$2004,MATCH($K138,'سجل التحفيز'!$AE$5:$AE$2004,0)))</f>
        <v/>
      </c>
    </row>
    <row r="139">
      <c r="B139" s="34">
        <f>IFERROR(INDEX(الموظفات!$B$5:$B$304,MATCH(102,الموظفات!$Y$5:$Y$304,0)),"")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التحفيز'!$AE$5:$AE$2004,"&gt;0",'سجل التحفيز'!$B$5:$B$2004,B139))</f>
        <v/>
      </c>
      <c r="E139" s="35">
        <f>IF(B139="","",COUNTIFS('سجل التحفيز'!$AE$5:$AE$2004,"&gt;0",'سجل التحفيز'!$B$5:$B$2004,B139,'سجل التحفيز'!$D$5:$D$2004,"ذهبي"))</f>
        <v/>
      </c>
      <c r="F139" s="35">
        <f>IF(B139="","",SUMIFS('سجل التحفيز'!$G$5:$G$2004,'سجل التحفيز'!$AE$5:$AE$2004,"&gt;0",'سجل التحفيز'!$B$5:$B$2004,B139))</f>
        <v/>
      </c>
      <c r="G139" s="35">
        <f>IF(B139="","",COUNTIF($D$38:$D$187,"&gt;"&amp;D139)+1)</f>
        <v/>
      </c>
      <c r="H139" s="35">
        <f>IF(B139="","",INDEX(الموظفات!$L$5:$L$304,MATCH(B139,الموظفات!$B$5:$B$304,0)))</f>
        <v/>
      </c>
      <c r="K139" s="36">
        <f>IF(102&gt;$B$10,"",102)</f>
        <v/>
      </c>
      <c r="L139" s="37">
        <f>IF($K139="","",INDEX('سجل التحفيز'!$A$5:$A$2004,MATCH($K139,'سجل التحفيز'!$AE$5:$AE$2004,0)))</f>
        <v/>
      </c>
      <c r="M139" s="9">
        <f>IF($K139="","",INDEX('سجل التحفيز'!$B$5:$B$2004,MATCH($K139,'سجل التحفيز'!$AE$5:$AE$2004,0)))</f>
        <v/>
      </c>
      <c r="N139" s="9">
        <f>IF($K139="","",INDEX('سجل التحفيز'!$M$5:$M$2004,MATCH($K139,'سجل التحفيز'!$AE$5:$AE$2004,0)))</f>
        <v/>
      </c>
      <c r="O139" s="9">
        <f>IF($K139="","",INDEX('سجل التحفيز'!$C$5:$C$2004,MATCH($K139,'سجل التحفيز'!$AE$5:$AE$2004,0)))</f>
        <v/>
      </c>
      <c r="P139" s="36">
        <f>IF($K139="","",INDEX('سجل التحفيز'!$D$5:$D$2004,MATCH($K139,'سجل التحفيز'!$AE$5:$AE$2004,0)))</f>
        <v/>
      </c>
      <c r="Q139" s="9">
        <f>IF($K139="","",INDEX('سجل التحفيز'!$E$5:$E$2004,MATCH($K139,'سجل التحفيز'!$AE$5:$AE$2004,0)))</f>
        <v/>
      </c>
      <c r="R139" s="9">
        <f>IF($K139="","",INDEX('سجل التحفيز'!$F$5:$F$2004,MATCH($K139,'سجل التحفيز'!$AE$5:$AE$2004,0)))</f>
        <v/>
      </c>
      <c r="S139" s="35">
        <f>IF($K139="","",INDEX('سجل التحفيز'!$G$5:$G$2004,MATCH($K139,'سجل التحفيز'!$AE$5:$AE$2004,0)))</f>
        <v/>
      </c>
    </row>
    <row r="140">
      <c r="B140" s="34">
        <f>IFERROR(INDEX(الموظفات!$B$5:$B$304,MATCH(103,الموظفات!$Y$5:$Y$304,0)),"")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التحفيز'!$AE$5:$AE$2004,"&gt;0",'سجل التحفيز'!$B$5:$B$2004,B140))</f>
        <v/>
      </c>
      <c r="E140" s="35">
        <f>IF(B140="","",COUNTIFS('سجل التحفيز'!$AE$5:$AE$2004,"&gt;0",'سجل التحفيز'!$B$5:$B$2004,B140,'سجل التحفيز'!$D$5:$D$2004,"ذهبي"))</f>
        <v/>
      </c>
      <c r="F140" s="35">
        <f>IF(B140="","",SUMIFS('سجل التحفيز'!$G$5:$G$2004,'سجل التحفيز'!$AE$5:$AE$2004,"&gt;0",'سجل التحفيز'!$B$5:$B$2004,B140))</f>
        <v/>
      </c>
      <c r="G140" s="35">
        <f>IF(B140="","",COUNTIF($D$38:$D$187,"&gt;"&amp;D140)+1)</f>
        <v/>
      </c>
      <c r="H140" s="35">
        <f>IF(B140="","",INDEX(الموظفات!$L$5:$L$304,MATCH(B140,الموظفات!$B$5:$B$304,0)))</f>
        <v/>
      </c>
      <c r="K140" s="36">
        <f>IF(103&gt;$B$10,"",103)</f>
        <v/>
      </c>
      <c r="L140" s="37">
        <f>IF($K140="","",INDEX('سجل التحفيز'!$A$5:$A$2004,MATCH($K140,'سجل التحفيز'!$AE$5:$AE$2004,0)))</f>
        <v/>
      </c>
      <c r="M140" s="9">
        <f>IF($K140="","",INDEX('سجل التحفيز'!$B$5:$B$2004,MATCH($K140,'سجل التحفيز'!$AE$5:$AE$2004,0)))</f>
        <v/>
      </c>
      <c r="N140" s="9">
        <f>IF($K140="","",INDEX('سجل التحفيز'!$M$5:$M$2004,MATCH($K140,'سجل التحفيز'!$AE$5:$AE$2004,0)))</f>
        <v/>
      </c>
      <c r="O140" s="9">
        <f>IF($K140="","",INDEX('سجل التحفيز'!$C$5:$C$2004,MATCH($K140,'سجل التحفيز'!$AE$5:$AE$2004,0)))</f>
        <v/>
      </c>
      <c r="P140" s="36">
        <f>IF($K140="","",INDEX('سجل التحفيز'!$D$5:$D$2004,MATCH($K140,'سجل التحفيز'!$AE$5:$AE$2004,0)))</f>
        <v/>
      </c>
      <c r="Q140" s="9">
        <f>IF($K140="","",INDEX('سجل التحفيز'!$E$5:$E$2004,MATCH($K140,'سجل التحفيز'!$AE$5:$AE$2004,0)))</f>
        <v/>
      </c>
      <c r="R140" s="9">
        <f>IF($K140="","",INDEX('سجل التحفيز'!$F$5:$F$2004,MATCH($K140,'سجل التحفيز'!$AE$5:$AE$2004,0)))</f>
        <v/>
      </c>
      <c r="S140" s="35">
        <f>IF($K140="","",INDEX('سجل التحفيز'!$G$5:$G$2004,MATCH($K140,'سجل التحفيز'!$AE$5:$AE$2004,0)))</f>
        <v/>
      </c>
    </row>
    <row r="141">
      <c r="B141" s="34">
        <f>IFERROR(INDEX(الموظفات!$B$5:$B$304,MATCH(104,الموظفات!$Y$5:$Y$304,0)),"")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التحفيز'!$AE$5:$AE$2004,"&gt;0",'سجل التحفيز'!$B$5:$B$2004,B141))</f>
        <v/>
      </c>
      <c r="E141" s="35">
        <f>IF(B141="","",COUNTIFS('سجل التحفيز'!$AE$5:$AE$2004,"&gt;0",'سجل التحفيز'!$B$5:$B$2004,B141,'سجل التحفيز'!$D$5:$D$2004,"ذهبي"))</f>
        <v/>
      </c>
      <c r="F141" s="35">
        <f>IF(B141="","",SUMIFS('سجل التحفيز'!$G$5:$G$2004,'سجل التحفيز'!$AE$5:$AE$2004,"&gt;0",'سجل التحفيز'!$B$5:$B$2004,B141))</f>
        <v/>
      </c>
      <c r="G141" s="35">
        <f>IF(B141="","",COUNTIF($D$38:$D$187,"&gt;"&amp;D141)+1)</f>
        <v/>
      </c>
      <c r="H141" s="35">
        <f>IF(B141="","",INDEX(الموظفات!$L$5:$L$304,MATCH(B141,الموظفات!$B$5:$B$304,0)))</f>
        <v/>
      </c>
      <c r="K141" s="36">
        <f>IF(104&gt;$B$10,"",104)</f>
        <v/>
      </c>
      <c r="L141" s="37">
        <f>IF($K141="","",INDEX('سجل التحفيز'!$A$5:$A$2004,MATCH($K141,'سجل التحفيز'!$AE$5:$AE$2004,0)))</f>
        <v/>
      </c>
      <c r="M141" s="9">
        <f>IF($K141="","",INDEX('سجل التحفيز'!$B$5:$B$2004,MATCH($K141,'سجل التحفيز'!$AE$5:$AE$2004,0)))</f>
        <v/>
      </c>
      <c r="N141" s="9">
        <f>IF($K141="","",INDEX('سجل التحفيز'!$M$5:$M$2004,MATCH($K141,'سجل التحفيز'!$AE$5:$AE$2004,0)))</f>
        <v/>
      </c>
      <c r="O141" s="9">
        <f>IF($K141="","",INDEX('سجل التحفيز'!$C$5:$C$2004,MATCH($K141,'سجل التحفيز'!$AE$5:$AE$2004,0)))</f>
        <v/>
      </c>
      <c r="P141" s="36">
        <f>IF($K141="","",INDEX('سجل التحفيز'!$D$5:$D$2004,MATCH($K141,'سجل التحفيز'!$AE$5:$AE$2004,0)))</f>
        <v/>
      </c>
      <c r="Q141" s="9">
        <f>IF($K141="","",INDEX('سجل التحفيز'!$E$5:$E$2004,MATCH($K141,'سجل التحفيز'!$AE$5:$AE$2004,0)))</f>
        <v/>
      </c>
      <c r="R141" s="9">
        <f>IF($K141="","",INDEX('سجل التحفيز'!$F$5:$F$2004,MATCH($K141,'سجل التحفيز'!$AE$5:$AE$2004,0)))</f>
        <v/>
      </c>
      <c r="S141" s="35">
        <f>IF($K141="","",INDEX('سجل التحفيز'!$G$5:$G$2004,MATCH($K141,'سجل التحفيز'!$AE$5:$AE$2004,0)))</f>
        <v/>
      </c>
    </row>
    <row r="142">
      <c r="B142" s="34">
        <f>IFERROR(INDEX(الموظفات!$B$5:$B$304,MATCH(105,الموظفات!$Y$5:$Y$304,0)),"")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التحفيز'!$AE$5:$AE$2004,"&gt;0",'سجل التحفيز'!$B$5:$B$2004,B142))</f>
        <v/>
      </c>
      <c r="E142" s="35">
        <f>IF(B142="","",COUNTIFS('سجل التحفيز'!$AE$5:$AE$2004,"&gt;0",'سجل التحفيز'!$B$5:$B$2004,B142,'سجل التحفيز'!$D$5:$D$2004,"ذهبي"))</f>
        <v/>
      </c>
      <c r="F142" s="35">
        <f>IF(B142="","",SUMIFS('سجل التحفيز'!$G$5:$G$2004,'سجل التحفيز'!$AE$5:$AE$2004,"&gt;0",'سجل التحفيز'!$B$5:$B$2004,B142))</f>
        <v/>
      </c>
      <c r="G142" s="35">
        <f>IF(B142="","",COUNTIF($D$38:$D$187,"&gt;"&amp;D142)+1)</f>
        <v/>
      </c>
      <c r="H142" s="35">
        <f>IF(B142="","",INDEX(الموظفات!$L$5:$L$304,MATCH(B142,الموظفات!$B$5:$B$304,0)))</f>
        <v/>
      </c>
      <c r="K142" s="36">
        <f>IF(105&gt;$B$10,"",105)</f>
        <v/>
      </c>
      <c r="L142" s="37">
        <f>IF($K142="","",INDEX('سجل التحفيز'!$A$5:$A$2004,MATCH($K142,'سجل التحفيز'!$AE$5:$AE$2004,0)))</f>
        <v/>
      </c>
      <c r="M142" s="9">
        <f>IF($K142="","",INDEX('سجل التحفيز'!$B$5:$B$2004,MATCH($K142,'سجل التحفيز'!$AE$5:$AE$2004,0)))</f>
        <v/>
      </c>
      <c r="N142" s="9">
        <f>IF($K142="","",INDEX('سجل التحفيز'!$M$5:$M$2004,MATCH($K142,'سجل التحفيز'!$AE$5:$AE$2004,0)))</f>
        <v/>
      </c>
      <c r="O142" s="9">
        <f>IF($K142="","",INDEX('سجل التحفيز'!$C$5:$C$2004,MATCH($K142,'سجل التحفيز'!$AE$5:$AE$2004,0)))</f>
        <v/>
      </c>
      <c r="P142" s="36">
        <f>IF($K142="","",INDEX('سجل التحفيز'!$D$5:$D$2004,MATCH($K142,'سجل التحفيز'!$AE$5:$AE$2004,0)))</f>
        <v/>
      </c>
      <c r="Q142" s="9">
        <f>IF($K142="","",INDEX('سجل التحفيز'!$E$5:$E$2004,MATCH($K142,'سجل التحفيز'!$AE$5:$AE$2004,0)))</f>
        <v/>
      </c>
      <c r="R142" s="9">
        <f>IF($K142="","",INDEX('سجل التحفيز'!$F$5:$F$2004,MATCH($K142,'سجل التحفيز'!$AE$5:$AE$2004,0)))</f>
        <v/>
      </c>
      <c r="S142" s="35">
        <f>IF($K142="","",INDEX('سجل التحفيز'!$G$5:$G$2004,MATCH($K142,'سجل التحفيز'!$AE$5:$AE$2004,0)))</f>
        <v/>
      </c>
    </row>
    <row r="143">
      <c r="B143" s="34">
        <f>IFERROR(INDEX(الموظفات!$B$5:$B$304,MATCH(106,الموظفات!$Y$5:$Y$304,0)),"")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التحفيز'!$AE$5:$AE$2004,"&gt;0",'سجل التحفيز'!$B$5:$B$2004,B143))</f>
        <v/>
      </c>
      <c r="E143" s="35">
        <f>IF(B143="","",COUNTIFS('سجل التحفيز'!$AE$5:$AE$2004,"&gt;0",'سجل التحفيز'!$B$5:$B$2004,B143,'سجل التحفيز'!$D$5:$D$2004,"ذهبي"))</f>
        <v/>
      </c>
      <c r="F143" s="35">
        <f>IF(B143="","",SUMIFS('سجل التحفيز'!$G$5:$G$2004,'سجل التحفيز'!$AE$5:$AE$2004,"&gt;0",'سجل التحفيز'!$B$5:$B$2004,B143))</f>
        <v/>
      </c>
      <c r="G143" s="35">
        <f>IF(B143="","",COUNTIF($D$38:$D$187,"&gt;"&amp;D143)+1)</f>
        <v/>
      </c>
      <c r="H143" s="35">
        <f>IF(B143="","",INDEX(الموظفات!$L$5:$L$304,MATCH(B143,الموظفات!$B$5:$B$304,0)))</f>
        <v/>
      </c>
      <c r="K143" s="36">
        <f>IF(106&gt;$B$10,"",106)</f>
        <v/>
      </c>
      <c r="L143" s="37">
        <f>IF($K143="","",INDEX('سجل التحفيز'!$A$5:$A$2004,MATCH($K143,'سجل التحفيز'!$AE$5:$AE$2004,0)))</f>
        <v/>
      </c>
      <c r="M143" s="9">
        <f>IF($K143="","",INDEX('سجل التحفيز'!$B$5:$B$2004,MATCH($K143,'سجل التحفيز'!$AE$5:$AE$2004,0)))</f>
        <v/>
      </c>
      <c r="N143" s="9">
        <f>IF($K143="","",INDEX('سجل التحفيز'!$M$5:$M$2004,MATCH($K143,'سجل التحفيز'!$AE$5:$AE$2004,0)))</f>
        <v/>
      </c>
      <c r="O143" s="9">
        <f>IF($K143="","",INDEX('سجل التحفيز'!$C$5:$C$2004,MATCH($K143,'سجل التحفيز'!$AE$5:$AE$2004,0)))</f>
        <v/>
      </c>
      <c r="P143" s="36">
        <f>IF($K143="","",INDEX('سجل التحفيز'!$D$5:$D$2004,MATCH($K143,'سجل التحفيز'!$AE$5:$AE$2004,0)))</f>
        <v/>
      </c>
      <c r="Q143" s="9">
        <f>IF($K143="","",INDEX('سجل التحفيز'!$E$5:$E$2004,MATCH($K143,'سجل التحفيز'!$AE$5:$AE$2004,0)))</f>
        <v/>
      </c>
      <c r="R143" s="9">
        <f>IF($K143="","",INDEX('سجل التحفيز'!$F$5:$F$2004,MATCH($K143,'سجل التحفيز'!$AE$5:$AE$2004,0)))</f>
        <v/>
      </c>
      <c r="S143" s="35">
        <f>IF($K143="","",INDEX('سجل التحفيز'!$G$5:$G$2004,MATCH($K143,'سجل التحفيز'!$AE$5:$AE$2004,0)))</f>
        <v/>
      </c>
    </row>
    <row r="144">
      <c r="B144" s="34">
        <f>IFERROR(INDEX(الموظفات!$B$5:$B$304,MATCH(107,الموظفات!$Y$5:$Y$304,0)),"")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التحفيز'!$AE$5:$AE$2004,"&gt;0",'سجل التحفيز'!$B$5:$B$2004,B144))</f>
        <v/>
      </c>
      <c r="E144" s="35">
        <f>IF(B144="","",COUNTIFS('سجل التحفيز'!$AE$5:$AE$2004,"&gt;0",'سجل التحفيز'!$B$5:$B$2004,B144,'سجل التحفيز'!$D$5:$D$2004,"ذهبي"))</f>
        <v/>
      </c>
      <c r="F144" s="35">
        <f>IF(B144="","",SUMIFS('سجل التحفيز'!$G$5:$G$2004,'سجل التحفيز'!$AE$5:$AE$2004,"&gt;0",'سجل التحفيز'!$B$5:$B$2004,B144))</f>
        <v/>
      </c>
      <c r="G144" s="35">
        <f>IF(B144="","",COUNTIF($D$38:$D$187,"&gt;"&amp;D144)+1)</f>
        <v/>
      </c>
      <c r="H144" s="35">
        <f>IF(B144="","",INDEX(الموظفات!$L$5:$L$304,MATCH(B144,الموظفات!$B$5:$B$304,0)))</f>
        <v/>
      </c>
      <c r="K144" s="36">
        <f>IF(107&gt;$B$10,"",107)</f>
        <v/>
      </c>
      <c r="L144" s="37">
        <f>IF($K144="","",INDEX('سجل التحفيز'!$A$5:$A$2004,MATCH($K144,'سجل التحفيز'!$AE$5:$AE$2004,0)))</f>
        <v/>
      </c>
      <c r="M144" s="9">
        <f>IF($K144="","",INDEX('سجل التحفيز'!$B$5:$B$2004,MATCH($K144,'سجل التحفيز'!$AE$5:$AE$2004,0)))</f>
        <v/>
      </c>
      <c r="N144" s="9">
        <f>IF($K144="","",INDEX('سجل التحفيز'!$M$5:$M$2004,MATCH($K144,'سجل التحفيز'!$AE$5:$AE$2004,0)))</f>
        <v/>
      </c>
      <c r="O144" s="9">
        <f>IF($K144="","",INDEX('سجل التحفيز'!$C$5:$C$2004,MATCH($K144,'سجل التحفيز'!$AE$5:$AE$2004,0)))</f>
        <v/>
      </c>
      <c r="P144" s="36">
        <f>IF($K144="","",INDEX('سجل التحفيز'!$D$5:$D$2004,MATCH($K144,'سجل التحفيز'!$AE$5:$AE$2004,0)))</f>
        <v/>
      </c>
      <c r="Q144" s="9">
        <f>IF($K144="","",INDEX('سجل التحفيز'!$E$5:$E$2004,MATCH($K144,'سجل التحفيز'!$AE$5:$AE$2004,0)))</f>
        <v/>
      </c>
      <c r="R144" s="9">
        <f>IF($K144="","",INDEX('سجل التحفيز'!$F$5:$F$2004,MATCH($K144,'سجل التحفيز'!$AE$5:$AE$2004,0)))</f>
        <v/>
      </c>
      <c r="S144" s="35">
        <f>IF($K144="","",INDEX('سجل التحفيز'!$G$5:$G$2004,MATCH($K144,'سجل التحفيز'!$AE$5:$AE$2004,0)))</f>
        <v/>
      </c>
    </row>
    <row r="145">
      <c r="B145" s="34">
        <f>IFERROR(INDEX(الموظفات!$B$5:$B$304,MATCH(108,الموظفات!$Y$5:$Y$304,0)),"")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التحفيز'!$AE$5:$AE$2004,"&gt;0",'سجل التحفيز'!$B$5:$B$2004,B145))</f>
        <v/>
      </c>
      <c r="E145" s="35">
        <f>IF(B145="","",COUNTIFS('سجل التحفيز'!$AE$5:$AE$2004,"&gt;0",'سجل التحفيز'!$B$5:$B$2004,B145,'سجل التحفيز'!$D$5:$D$2004,"ذهبي"))</f>
        <v/>
      </c>
      <c r="F145" s="35">
        <f>IF(B145="","",SUMIFS('سجل التحفيز'!$G$5:$G$2004,'سجل التحفيز'!$AE$5:$AE$2004,"&gt;0",'سجل التحفيز'!$B$5:$B$2004,B145))</f>
        <v/>
      </c>
      <c r="G145" s="35">
        <f>IF(B145="","",COUNTIF($D$38:$D$187,"&gt;"&amp;D145)+1)</f>
        <v/>
      </c>
      <c r="H145" s="35">
        <f>IF(B145="","",INDEX(الموظفات!$L$5:$L$304,MATCH(B145,الموظفات!$B$5:$B$304,0)))</f>
        <v/>
      </c>
      <c r="K145" s="36">
        <f>IF(108&gt;$B$10,"",108)</f>
        <v/>
      </c>
      <c r="L145" s="37">
        <f>IF($K145="","",INDEX('سجل التحفيز'!$A$5:$A$2004,MATCH($K145,'سجل التحفيز'!$AE$5:$AE$2004,0)))</f>
        <v/>
      </c>
      <c r="M145" s="9">
        <f>IF($K145="","",INDEX('سجل التحفيز'!$B$5:$B$2004,MATCH($K145,'سجل التحفيز'!$AE$5:$AE$2004,0)))</f>
        <v/>
      </c>
      <c r="N145" s="9">
        <f>IF($K145="","",INDEX('سجل التحفيز'!$M$5:$M$2004,MATCH($K145,'سجل التحفيز'!$AE$5:$AE$2004,0)))</f>
        <v/>
      </c>
      <c r="O145" s="9">
        <f>IF($K145="","",INDEX('سجل التحفيز'!$C$5:$C$2004,MATCH($K145,'سجل التحفيز'!$AE$5:$AE$2004,0)))</f>
        <v/>
      </c>
      <c r="P145" s="36">
        <f>IF($K145="","",INDEX('سجل التحفيز'!$D$5:$D$2004,MATCH($K145,'سجل التحفيز'!$AE$5:$AE$2004,0)))</f>
        <v/>
      </c>
      <c r="Q145" s="9">
        <f>IF($K145="","",INDEX('سجل التحفيز'!$E$5:$E$2004,MATCH($K145,'سجل التحفيز'!$AE$5:$AE$2004,0)))</f>
        <v/>
      </c>
      <c r="R145" s="9">
        <f>IF($K145="","",INDEX('سجل التحفيز'!$F$5:$F$2004,MATCH($K145,'سجل التحفيز'!$AE$5:$AE$2004,0)))</f>
        <v/>
      </c>
      <c r="S145" s="35">
        <f>IF($K145="","",INDEX('سجل التحفيز'!$G$5:$G$2004,MATCH($K145,'سجل التحفيز'!$AE$5:$AE$2004,0)))</f>
        <v/>
      </c>
    </row>
    <row r="146">
      <c r="B146" s="34">
        <f>IFERROR(INDEX(الموظفات!$B$5:$B$304,MATCH(109,الموظفات!$Y$5:$Y$304,0)),"")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التحفيز'!$AE$5:$AE$2004,"&gt;0",'سجل التحفيز'!$B$5:$B$2004,B146))</f>
        <v/>
      </c>
      <c r="E146" s="35">
        <f>IF(B146="","",COUNTIFS('سجل التحفيز'!$AE$5:$AE$2004,"&gt;0",'سجل التحفيز'!$B$5:$B$2004,B146,'سجل التحفيز'!$D$5:$D$2004,"ذهبي"))</f>
        <v/>
      </c>
      <c r="F146" s="35">
        <f>IF(B146="","",SUMIFS('سجل التحفيز'!$G$5:$G$2004,'سجل التحفيز'!$AE$5:$AE$2004,"&gt;0",'سجل التحفيز'!$B$5:$B$2004,B146))</f>
        <v/>
      </c>
      <c r="G146" s="35">
        <f>IF(B146="","",COUNTIF($D$38:$D$187,"&gt;"&amp;D146)+1)</f>
        <v/>
      </c>
      <c r="H146" s="35">
        <f>IF(B146="","",INDEX(الموظفات!$L$5:$L$304,MATCH(B146,الموظفات!$B$5:$B$304,0)))</f>
        <v/>
      </c>
      <c r="K146" s="36">
        <f>IF(109&gt;$B$10,"",109)</f>
        <v/>
      </c>
      <c r="L146" s="37">
        <f>IF($K146="","",INDEX('سجل التحفيز'!$A$5:$A$2004,MATCH($K146,'سجل التحفيز'!$AE$5:$AE$2004,0)))</f>
        <v/>
      </c>
      <c r="M146" s="9">
        <f>IF($K146="","",INDEX('سجل التحفيز'!$B$5:$B$2004,MATCH($K146,'سجل التحفيز'!$AE$5:$AE$2004,0)))</f>
        <v/>
      </c>
      <c r="N146" s="9">
        <f>IF($K146="","",INDEX('سجل التحفيز'!$M$5:$M$2004,MATCH($K146,'سجل التحفيز'!$AE$5:$AE$2004,0)))</f>
        <v/>
      </c>
      <c r="O146" s="9">
        <f>IF($K146="","",INDEX('سجل التحفيز'!$C$5:$C$2004,MATCH($K146,'سجل التحفيز'!$AE$5:$AE$2004,0)))</f>
        <v/>
      </c>
      <c r="P146" s="36">
        <f>IF($K146="","",INDEX('سجل التحفيز'!$D$5:$D$2004,MATCH($K146,'سجل التحفيز'!$AE$5:$AE$2004,0)))</f>
        <v/>
      </c>
      <c r="Q146" s="9">
        <f>IF($K146="","",INDEX('سجل التحفيز'!$E$5:$E$2004,MATCH($K146,'سجل التحفيز'!$AE$5:$AE$2004,0)))</f>
        <v/>
      </c>
      <c r="R146" s="9">
        <f>IF($K146="","",INDEX('سجل التحفيز'!$F$5:$F$2004,MATCH($K146,'سجل التحفيز'!$AE$5:$AE$2004,0)))</f>
        <v/>
      </c>
      <c r="S146" s="35">
        <f>IF($K146="","",INDEX('سجل التحفيز'!$G$5:$G$2004,MATCH($K146,'سجل التحفيز'!$AE$5:$AE$2004,0)))</f>
        <v/>
      </c>
    </row>
    <row r="147">
      <c r="B147" s="34">
        <f>IFERROR(INDEX(الموظفات!$B$5:$B$304,MATCH(110,الموظفات!$Y$5:$Y$304,0)),"")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التحفيز'!$AE$5:$AE$2004,"&gt;0",'سجل التحفيز'!$B$5:$B$2004,B147))</f>
        <v/>
      </c>
      <c r="E147" s="35">
        <f>IF(B147="","",COUNTIFS('سجل التحفيز'!$AE$5:$AE$2004,"&gt;0",'سجل التحفيز'!$B$5:$B$2004,B147,'سجل التحفيز'!$D$5:$D$2004,"ذهبي"))</f>
        <v/>
      </c>
      <c r="F147" s="35">
        <f>IF(B147="","",SUMIFS('سجل التحفيز'!$G$5:$G$2004,'سجل التحفيز'!$AE$5:$AE$2004,"&gt;0",'سجل التحفيز'!$B$5:$B$2004,B147))</f>
        <v/>
      </c>
      <c r="G147" s="35">
        <f>IF(B147="","",COUNTIF($D$38:$D$187,"&gt;"&amp;D147)+1)</f>
        <v/>
      </c>
      <c r="H147" s="35">
        <f>IF(B147="","",INDEX(الموظفات!$L$5:$L$304,MATCH(B147,الموظفات!$B$5:$B$304,0)))</f>
        <v/>
      </c>
      <c r="K147" s="36">
        <f>IF(110&gt;$B$10,"",110)</f>
        <v/>
      </c>
      <c r="L147" s="37">
        <f>IF($K147="","",INDEX('سجل التحفيز'!$A$5:$A$2004,MATCH($K147,'سجل التحفيز'!$AE$5:$AE$2004,0)))</f>
        <v/>
      </c>
      <c r="M147" s="9">
        <f>IF($K147="","",INDEX('سجل التحفيز'!$B$5:$B$2004,MATCH($K147,'سجل التحفيز'!$AE$5:$AE$2004,0)))</f>
        <v/>
      </c>
      <c r="N147" s="9">
        <f>IF($K147="","",INDEX('سجل التحفيز'!$M$5:$M$2004,MATCH($K147,'سجل التحفيز'!$AE$5:$AE$2004,0)))</f>
        <v/>
      </c>
      <c r="O147" s="9">
        <f>IF($K147="","",INDEX('سجل التحفيز'!$C$5:$C$2004,MATCH($K147,'سجل التحفيز'!$AE$5:$AE$2004,0)))</f>
        <v/>
      </c>
      <c r="P147" s="36">
        <f>IF($K147="","",INDEX('سجل التحفيز'!$D$5:$D$2004,MATCH($K147,'سجل التحفيز'!$AE$5:$AE$2004,0)))</f>
        <v/>
      </c>
      <c r="Q147" s="9">
        <f>IF($K147="","",INDEX('سجل التحفيز'!$E$5:$E$2004,MATCH($K147,'سجل التحفيز'!$AE$5:$AE$2004,0)))</f>
        <v/>
      </c>
      <c r="R147" s="9">
        <f>IF($K147="","",INDEX('سجل التحفيز'!$F$5:$F$2004,MATCH($K147,'سجل التحفيز'!$AE$5:$AE$2004,0)))</f>
        <v/>
      </c>
      <c r="S147" s="35">
        <f>IF($K147="","",INDEX('سجل التحفيز'!$G$5:$G$2004,MATCH($K147,'سجل التحفيز'!$AE$5:$AE$2004,0)))</f>
        <v/>
      </c>
    </row>
    <row r="148">
      <c r="B148" s="34">
        <f>IFERROR(INDEX(الموظفات!$B$5:$B$304,MATCH(111,الموظفات!$Y$5:$Y$304,0)),"")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التحفيز'!$AE$5:$AE$2004,"&gt;0",'سجل التحفيز'!$B$5:$B$2004,B148))</f>
        <v/>
      </c>
      <c r="E148" s="35">
        <f>IF(B148="","",COUNTIFS('سجل التحفيز'!$AE$5:$AE$2004,"&gt;0",'سجل التحفيز'!$B$5:$B$2004,B148,'سجل التحفيز'!$D$5:$D$2004,"ذهبي"))</f>
        <v/>
      </c>
      <c r="F148" s="35">
        <f>IF(B148="","",SUMIFS('سجل التحفيز'!$G$5:$G$2004,'سجل التحفيز'!$AE$5:$AE$2004,"&gt;0",'سجل التحفيز'!$B$5:$B$2004,B148))</f>
        <v/>
      </c>
      <c r="G148" s="35">
        <f>IF(B148="","",COUNTIF($D$38:$D$187,"&gt;"&amp;D148)+1)</f>
        <v/>
      </c>
      <c r="H148" s="35">
        <f>IF(B148="","",INDEX(الموظفات!$L$5:$L$304,MATCH(B148,الموظفات!$B$5:$B$304,0)))</f>
        <v/>
      </c>
      <c r="K148" s="36">
        <f>IF(111&gt;$B$10,"",111)</f>
        <v/>
      </c>
      <c r="L148" s="37">
        <f>IF($K148="","",INDEX('سجل التحفيز'!$A$5:$A$2004,MATCH($K148,'سجل التحفيز'!$AE$5:$AE$2004,0)))</f>
        <v/>
      </c>
      <c r="M148" s="9">
        <f>IF($K148="","",INDEX('سجل التحفيز'!$B$5:$B$2004,MATCH($K148,'سجل التحفيز'!$AE$5:$AE$2004,0)))</f>
        <v/>
      </c>
      <c r="N148" s="9">
        <f>IF($K148="","",INDEX('سجل التحفيز'!$M$5:$M$2004,MATCH($K148,'سجل التحفيز'!$AE$5:$AE$2004,0)))</f>
        <v/>
      </c>
      <c r="O148" s="9">
        <f>IF($K148="","",INDEX('سجل التحفيز'!$C$5:$C$2004,MATCH($K148,'سجل التحفيز'!$AE$5:$AE$2004,0)))</f>
        <v/>
      </c>
      <c r="P148" s="36">
        <f>IF($K148="","",INDEX('سجل التحفيز'!$D$5:$D$2004,MATCH($K148,'سجل التحفيز'!$AE$5:$AE$2004,0)))</f>
        <v/>
      </c>
      <c r="Q148" s="9">
        <f>IF($K148="","",INDEX('سجل التحفيز'!$E$5:$E$2004,MATCH($K148,'سجل التحفيز'!$AE$5:$AE$2004,0)))</f>
        <v/>
      </c>
      <c r="R148" s="9">
        <f>IF($K148="","",INDEX('سجل التحفيز'!$F$5:$F$2004,MATCH($K148,'سجل التحفيز'!$AE$5:$AE$2004,0)))</f>
        <v/>
      </c>
      <c r="S148" s="35">
        <f>IF($K148="","",INDEX('سجل التحفيز'!$G$5:$G$2004,MATCH($K148,'سجل التحفيز'!$AE$5:$AE$2004,0)))</f>
        <v/>
      </c>
    </row>
    <row r="149">
      <c r="B149" s="34">
        <f>IFERROR(INDEX(الموظفات!$B$5:$B$304,MATCH(112,الموظفات!$Y$5:$Y$304,0)),"")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التحفيز'!$AE$5:$AE$2004,"&gt;0",'سجل التحفيز'!$B$5:$B$2004,B149))</f>
        <v/>
      </c>
      <c r="E149" s="35">
        <f>IF(B149="","",COUNTIFS('سجل التحفيز'!$AE$5:$AE$2004,"&gt;0",'سجل التحفيز'!$B$5:$B$2004,B149,'سجل التحفيز'!$D$5:$D$2004,"ذهبي"))</f>
        <v/>
      </c>
      <c r="F149" s="35">
        <f>IF(B149="","",SUMIFS('سجل التحفيز'!$G$5:$G$2004,'سجل التحفيز'!$AE$5:$AE$2004,"&gt;0",'سجل التحفيز'!$B$5:$B$2004,B149))</f>
        <v/>
      </c>
      <c r="G149" s="35">
        <f>IF(B149="","",COUNTIF($D$38:$D$187,"&gt;"&amp;D149)+1)</f>
        <v/>
      </c>
      <c r="H149" s="35">
        <f>IF(B149="","",INDEX(الموظفات!$L$5:$L$304,MATCH(B149,الموظفات!$B$5:$B$304,0)))</f>
        <v/>
      </c>
      <c r="K149" s="36">
        <f>IF(112&gt;$B$10,"",112)</f>
        <v/>
      </c>
      <c r="L149" s="37">
        <f>IF($K149="","",INDEX('سجل التحفيز'!$A$5:$A$2004,MATCH($K149,'سجل التحفيز'!$AE$5:$AE$2004,0)))</f>
        <v/>
      </c>
      <c r="M149" s="9">
        <f>IF($K149="","",INDEX('سجل التحفيز'!$B$5:$B$2004,MATCH($K149,'سجل التحفيز'!$AE$5:$AE$2004,0)))</f>
        <v/>
      </c>
      <c r="N149" s="9">
        <f>IF($K149="","",INDEX('سجل التحفيز'!$M$5:$M$2004,MATCH($K149,'سجل التحفيز'!$AE$5:$AE$2004,0)))</f>
        <v/>
      </c>
      <c r="O149" s="9">
        <f>IF($K149="","",INDEX('سجل التحفيز'!$C$5:$C$2004,MATCH($K149,'سجل التحفيز'!$AE$5:$AE$2004,0)))</f>
        <v/>
      </c>
      <c r="P149" s="36">
        <f>IF($K149="","",INDEX('سجل التحفيز'!$D$5:$D$2004,MATCH($K149,'سجل التحفيز'!$AE$5:$AE$2004,0)))</f>
        <v/>
      </c>
      <c r="Q149" s="9">
        <f>IF($K149="","",INDEX('سجل التحفيز'!$E$5:$E$2004,MATCH($K149,'سجل التحفيز'!$AE$5:$AE$2004,0)))</f>
        <v/>
      </c>
      <c r="R149" s="9">
        <f>IF($K149="","",INDEX('سجل التحفيز'!$F$5:$F$2004,MATCH($K149,'سجل التحفيز'!$AE$5:$AE$2004,0)))</f>
        <v/>
      </c>
      <c r="S149" s="35">
        <f>IF($K149="","",INDEX('سجل التحفيز'!$G$5:$G$2004,MATCH($K149,'سجل التحفيز'!$AE$5:$AE$2004,0)))</f>
        <v/>
      </c>
    </row>
    <row r="150">
      <c r="B150" s="34">
        <f>IFERROR(INDEX(الموظفات!$B$5:$B$304,MATCH(113,الموظفات!$Y$5:$Y$304,0)),"")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التحفيز'!$AE$5:$AE$2004,"&gt;0",'سجل التحفيز'!$B$5:$B$2004,B150))</f>
        <v/>
      </c>
      <c r="E150" s="35">
        <f>IF(B150="","",COUNTIFS('سجل التحفيز'!$AE$5:$AE$2004,"&gt;0",'سجل التحفيز'!$B$5:$B$2004,B150,'سجل التحفيز'!$D$5:$D$2004,"ذهبي"))</f>
        <v/>
      </c>
      <c r="F150" s="35">
        <f>IF(B150="","",SUMIFS('سجل التحفيز'!$G$5:$G$2004,'سجل التحفيز'!$AE$5:$AE$2004,"&gt;0",'سجل التحفيز'!$B$5:$B$2004,B150))</f>
        <v/>
      </c>
      <c r="G150" s="35">
        <f>IF(B150="","",COUNTIF($D$38:$D$187,"&gt;"&amp;D150)+1)</f>
        <v/>
      </c>
      <c r="H150" s="35">
        <f>IF(B150="","",INDEX(الموظفات!$L$5:$L$304,MATCH(B150,الموظفات!$B$5:$B$304,0)))</f>
        <v/>
      </c>
      <c r="K150" s="36">
        <f>IF(113&gt;$B$10,"",113)</f>
        <v/>
      </c>
      <c r="L150" s="37">
        <f>IF($K150="","",INDEX('سجل التحفيز'!$A$5:$A$2004,MATCH($K150,'سجل التحفيز'!$AE$5:$AE$2004,0)))</f>
        <v/>
      </c>
      <c r="M150" s="9">
        <f>IF($K150="","",INDEX('سجل التحفيز'!$B$5:$B$2004,MATCH($K150,'سجل التحفيز'!$AE$5:$AE$2004,0)))</f>
        <v/>
      </c>
      <c r="N150" s="9">
        <f>IF($K150="","",INDEX('سجل التحفيز'!$M$5:$M$2004,MATCH($K150,'سجل التحفيز'!$AE$5:$AE$2004,0)))</f>
        <v/>
      </c>
      <c r="O150" s="9">
        <f>IF($K150="","",INDEX('سجل التحفيز'!$C$5:$C$2004,MATCH($K150,'سجل التحفيز'!$AE$5:$AE$2004,0)))</f>
        <v/>
      </c>
      <c r="P150" s="36">
        <f>IF($K150="","",INDEX('سجل التحفيز'!$D$5:$D$2004,MATCH($K150,'سجل التحفيز'!$AE$5:$AE$2004,0)))</f>
        <v/>
      </c>
      <c r="Q150" s="9">
        <f>IF($K150="","",INDEX('سجل التحفيز'!$E$5:$E$2004,MATCH($K150,'سجل التحفيز'!$AE$5:$AE$2004,0)))</f>
        <v/>
      </c>
      <c r="R150" s="9">
        <f>IF($K150="","",INDEX('سجل التحفيز'!$F$5:$F$2004,MATCH($K150,'سجل التحفيز'!$AE$5:$AE$2004,0)))</f>
        <v/>
      </c>
      <c r="S150" s="35">
        <f>IF($K150="","",INDEX('سجل التحفيز'!$G$5:$G$2004,MATCH($K150,'سجل التحفيز'!$AE$5:$AE$2004,0)))</f>
        <v/>
      </c>
    </row>
    <row r="151">
      <c r="B151" s="34">
        <f>IFERROR(INDEX(الموظفات!$B$5:$B$304,MATCH(114,الموظفات!$Y$5:$Y$304,0)),"")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التحفيز'!$AE$5:$AE$2004,"&gt;0",'سجل التحفيز'!$B$5:$B$2004,B151))</f>
        <v/>
      </c>
      <c r="E151" s="35">
        <f>IF(B151="","",COUNTIFS('سجل التحفيز'!$AE$5:$AE$2004,"&gt;0",'سجل التحفيز'!$B$5:$B$2004,B151,'سجل التحفيز'!$D$5:$D$2004,"ذهبي"))</f>
        <v/>
      </c>
      <c r="F151" s="35">
        <f>IF(B151="","",SUMIFS('سجل التحفيز'!$G$5:$G$2004,'سجل التحفيز'!$AE$5:$AE$2004,"&gt;0",'سجل التحفيز'!$B$5:$B$2004,B151))</f>
        <v/>
      </c>
      <c r="G151" s="35">
        <f>IF(B151="","",COUNTIF($D$38:$D$187,"&gt;"&amp;D151)+1)</f>
        <v/>
      </c>
      <c r="H151" s="35">
        <f>IF(B151="","",INDEX(الموظفات!$L$5:$L$304,MATCH(B151,الموظفات!$B$5:$B$304,0)))</f>
        <v/>
      </c>
      <c r="K151" s="36">
        <f>IF(114&gt;$B$10,"",114)</f>
        <v/>
      </c>
      <c r="L151" s="37">
        <f>IF($K151="","",INDEX('سجل التحفيز'!$A$5:$A$2004,MATCH($K151,'سجل التحفيز'!$AE$5:$AE$2004,0)))</f>
        <v/>
      </c>
      <c r="M151" s="9">
        <f>IF($K151="","",INDEX('سجل التحفيز'!$B$5:$B$2004,MATCH($K151,'سجل التحفيز'!$AE$5:$AE$2004,0)))</f>
        <v/>
      </c>
      <c r="N151" s="9">
        <f>IF($K151="","",INDEX('سجل التحفيز'!$M$5:$M$2004,MATCH($K151,'سجل التحفيز'!$AE$5:$AE$2004,0)))</f>
        <v/>
      </c>
      <c r="O151" s="9">
        <f>IF($K151="","",INDEX('سجل التحفيز'!$C$5:$C$2004,MATCH($K151,'سجل التحفيز'!$AE$5:$AE$2004,0)))</f>
        <v/>
      </c>
      <c r="P151" s="36">
        <f>IF($K151="","",INDEX('سجل التحفيز'!$D$5:$D$2004,MATCH($K151,'سجل التحفيز'!$AE$5:$AE$2004,0)))</f>
        <v/>
      </c>
      <c r="Q151" s="9">
        <f>IF($K151="","",INDEX('سجل التحفيز'!$E$5:$E$2004,MATCH($K151,'سجل التحفيز'!$AE$5:$AE$2004,0)))</f>
        <v/>
      </c>
      <c r="R151" s="9">
        <f>IF($K151="","",INDEX('سجل التحفيز'!$F$5:$F$2004,MATCH($K151,'سجل التحفيز'!$AE$5:$AE$2004,0)))</f>
        <v/>
      </c>
      <c r="S151" s="35">
        <f>IF($K151="","",INDEX('سجل التحفيز'!$G$5:$G$2004,MATCH($K151,'سجل التحفيز'!$AE$5:$AE$2004,0)))</f>
        <v/>
      </c>
    </row>
    <row r="152">
      <c r="B152" s="34">
        <f>IFERROR(INDEX(الموظفات!$B$5:$B$304,MATCH(115,الموظفات!$Y$5:$Y$304,0)),"")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التحفيز'!$AE$5:$AE$2004,"&gt;0",'سجل التحفيز'!$B$5:$B$2004,B152))</f>
        <v/>
      </c>
      <c r="E152" s="35">
        <f>IF(B152="","",COUNTIFS('سجل التحفيز'!$AE$5:$AE$2004,"&gt;0",'سجل التحفيز'!$B$5:$B$2004,B152,'سجل التحفيز'!$D$5:$D$2004,"ذهبي"))</f>
        <v/>
      </c>
      <c r="F152" s="35">
        <f>IF(B152="","",SUMIFS('سجل التحفيز'!$G$5:$G$2004,'سجل التحفيز'!$AE$5:$AE$2004,"&gt;0",'سجل التحفيز'!$B$5:$B$2004,B152))</f>
        <v/>
      </c>
      <c r="G152" s="35">
        <f>IF(B152="","",COUNTIF($D$38:$D$187,"&gt;"&amp;D152)+1)</f>
        <v/>
      </c>
      <c r="H152" s="35">
        <f>IF(B152="","",INDEX(الموظفات!$L$5:$L$304,MATCH(B152,الموظفات!$B$5:$B$304,0)))</f>
        <v/>
      </c>
      <c r="K152" s="36">
        <f>IF(115&gt;$B$10,"",115)</f>
        <v/>
      </c>
      <c r="L152" s="37">
        <f>IF($K152="","",INDEX('سجل التحفيز'!$A$5:$A$2004,MATCH($K152,'سجل التحفيز'!$AE$5:$AE$2004,0)))</f>
        <v/>
      </c>
      <c r="M152" s="9">
        <f>IF($K152="","",INDEX('سجل التحفيز'!$B$5:$B$2004,MATCH($K152,'سجل التحفيز'!$AE$5:$AE$2004,0)))</f>
        <v/>
      </c>
      <c r="N152" s="9">
        <f>IF($K152="","",INDEX('سجل التحفيز'!$M$5:$M$2004,MATCH($K152,'سجل التحفيز'!$AE$5:$AE$2004,0)))</f>
        <v/>
      </c>
      <c r="O152" s="9">
        <f>IF($K152="","",INDEX('سجل التحفيز'!$C$5:$C$2004,MATCH($K152,'سجل التحفيز'!$AE$5:$AE$2004,0)))</f>
        <v/>
      </c>
      <c r="P152" s="36">
        <f>IF($K152="","",INDEX('سجل التحفيز'!$D$5:$D$2004,MATCH($K152,'سجل التحفيز'!$AE$5:$AE$2004,0)))</f>
        <v/>
      </c>
      <c r="Q152" s="9">
        <f>IF($K152="","",INDEX('سجل التحفيز'!$E$5:$E$2004,MATCH($K152,'سجل التحفيز'!$AE$5:$AE$2004,0)))</f>
        <v/>
      </c>
      <c r="R152" s="9">
        <f>IF($K152="","",INDEX('سجل التحفيز'!$F$5:$F$2004,MATCH($K152,'سجل التحفيز'!$AE$5:$AE$2004,0)))</f>
        <v/>
      </c>
      <c r="S152" s="35">
        <f>IF($K152="","",INDEX('سجل التحفيز'!$G$5:$G$2004,MATCH($K152,'سجل التحفيز'!$AE$5:$AE$2004,0)))</f>
        <v/>
      </c>
    </row>
    <row r="153">
      <c r="B153" s="34">
        <f>IFERROR(INDEX(الموظفات!$B$5:$B$304,MATCH(116,الموظفات!$Y$5:$Y$304,0)),"")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التحفيز'!$AE$5:$AE$2004,"&gt;0",'سجل التحفيز'!$B$5:$B$2004,B153))</f>
        <v/>
      </c>
      <c r="E153" s="35">
        <f>IF(B153="","",COUNTIFS('سجل التحفيز'!$AE$5:$AE$2004,"&gt;0",'سجل التحفيز'!$B$5:$B$2004,B153,'سجل التحفيز'!$D$5:$D$2004,"ذهبي"))</f>
        <v/>
      </c>
      <c r="F153" s="35">
        <f>IF(B153="","",SUMIFS('سجل التحفيز'!$G$5:$G$2004,'سجل التحفيز'!$AE$5:$AE$2004,"&gt;0",'سجل التحفيز'!$B$5:$B$2004,B153))</f>
        <v/>
      </c>
      <c r="G153" s="35">
        <f>IF(B153="","",COUNTIF($D$38:$D$187,"&gt;"&amp;D153)+1)</f>
        <v/>
      </c>
      <c r="H153" s="35">
        <f>IF(B153="","",INDEX(الموظفات!$L$5:$L$304,MATCH(B153,الموظفات!$B$5:$B$304,0)))</f>
        <v/>
      </c>
      <c r="K153" s="36">
        <f>IF(116&gt;$B$10,"",116)</f>
        <v/>
      </c>
      <c r="L153" s="37">
        <f>IF($K153="","",INDEX('سجل التحفيز'!$A$5:$A$2004,MATCH($K153,'سجل التحفيز'!$AE$5:$AE$2004,0)))</f>
        <v/>
      </c>
      <c r="M153" s="9">
        <f>IF($K153="","",INDEX('سجل التحفيز'!$B$5:$B$2004,MATCH($K153,'سجل التحفيز'!$AE$5:$AE$2004,0)))</f>
        <v/>
      </c>
      <c r="N153" s="9">
        <f>IF($K153="","",INDEX('سجل التحفيز'!$M$5:$M$2004,MATCH($K153,'سجل التحفيز'!$AE$5:$AE$2004,0)))</f>
        <v/>
      </c>
      <c r="O153" s="9">
        <f>IF($K153="","",INDEX('سجل التحفيز'!$C$5:$C$2004,MATCH($K153,'سجل التحفيز'!$AE$5:$AE$2004,0)))</f>
        <v/>
      </c>
      <c r="P153" s="36">
        <f>IF($K153="","",INDEX('سجل التحفيز'!$D$5:$D$2004,MATCH($K153,'سجل التحفيز'!$AE$5:$AE$2004,0)))</f>
        <v/>
      </c>
      <c r="Q153" s="9">
        <f>IF($K153="","",INDEX('سجل التحفيز'!$E$5:$E$2004,MATCH($K153,'سجل التحفيز'!$AE$5:$AE$2004,0)))</f>
        <v/>
      </c>
      <c r="R153" s="9">
        <f>IF($K153="","",INDEX('سجل التحفيز'!$F$5:$F$2004,MATCH($K153,'سجل التحفيز'!$AE$5:$AE$2004,0)))</f>
        <v/>
      </c>
      <c r="S153" s="35">
        <f>IF($K153="","",INDEX('سجل التحفيز'!$G$5:$G$2004,MATCH($K153,'سجل التحفيز'!$AE$5:$AE$2004,0)))</f>
        <v/>
      </c>
    </row>
    <row r="154">
      <c r="B154" s="34">
        <f>IFERROR(INDEX(الموظفات!$B$5:$B$304,MATCH(117,الموظفات!$Y$5:$Y$304,0)),"")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التحفيز'!$AE$5:$AE$2004,"&gt;0",'سجل التحفيز'!$B$5:$B$2004,B154))</f>
        <v/>
      </c>
      <c r="E154" s="35">
        <f>IF(B154="","",COUNTIFS('سجل التحفيز'!$AE$5:$AE$2004,"&gt;0",'سجل التحفيز'!$B$5:$B$2004,B154,'سجل التحفيز'!$D$5:$D$2004,"ذهبي"))</f>
        <v/>
      </c>
      <c r="F154" s="35">
        <f>IF(B154="","",SUMIFS('سجل التحفيز'!$G$5:$G$2004,'سجل التحفيز'!$AE$5:$AE$2004,"&gt;0",'سجل التحفيز'!$B$5:$B$2004,B154))</f>
        <v/>
      </c>
      <c r="G154" s="35">
        <f>IF(B154="","",COUNTIF($D$38:$D$187,"&gt;"&amp;D154)+1)</f>
        <v/>
      </c>
      <c r="H154" s="35">
        <f>IF(B154="","",INDEX(الموظفات!$L$5:$L$304,MATCH(B154,الموظفات!$B$5:$B$304,0)))</f>
        <v/>
      </c>
      <c r="K154" s="36">
        <f>IF(117&gt;$B$10,"",117)</f>
        <v/>
      </c>
      <c r="L154" s="37">
        <f>IF($K154="","",INDEX('سجل التحفيز'!$A$5:$A$2004,MATCH($K154,'سجل التحفيز'!$AE$5:$AE$2004,0)))</f>
        <v/>
      </c>
      <c r="M154" s="9">
        <f>IF($K154="","",INDEX('سجل التحفيز'!$B$5:$B$2004,MATCH($K154,'سجل التحفيز'!$AE$5:$AE$2004,0)))</f>
        <v/>
      </c>
      <c r="N154" s="9">
        <f>IF($K154="","",INDEX('سجل التحفيز'!$M$5:$M$2004,MATCH($K154,'سجل التحفيز'!$AE$5:$AE$2004,0)))</f>
        <v/>
      </c>
      <c r="O154" s="9">
        <f>IF($K154="","",INDEX('سجل التحفيز'!$C$5:$C$2004,MATCH($K154,'سجل التحفيز'!$AE$5:$AE$2004,0)))</f>
        <v/>
      </c>
      <c r="P154" s="36">
        <f>IF($K154="","",INDEX('سجل التحفيز'!$D$5:$D$2004,MATCH($K154,'سجل التحفيز'!$AE$5:$AE$2004,0)))</f>
        <v/>
      </c>
      <c r="Q154" s="9">
        <f>IF($K154="","",INDEX('سجل التحفيز'!$E$5:$E$2004,MATCH($K154,'سجل التحفيز'!$AE$5:$AE$2004,0)))</f>
        <v/>
      </c>
      <c r="R154" s="9">
        <f>IF($K154="","",INDEX('سجل التحفيز'!$F$5:$F$2004,MATCH($K154,'سجل التحفيز'!$AE$5:$AE$2004,0)))</f>
        <v/>
      </c>
      <c r="S154" s="35">
        <f>IF($K154="","",INDEX('سجل التحفيز'!$G$5:$G$2004,MATCH($K154,'سجل التحفيز'!$AE$5:$AE$2004,0)))</f>
        <v/>
      </c>
    </row>
    <row r="155">
      <c r="B155" s="34">
        <f>IFERROR(INDEX(الموظفات!$B$5:$B$304,MATCH(118,الموظفات!$Y$5:$Y$304,0)),"")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التحفيز'!$AE$5:$AE$2004,"&gt;0",'سجل التحفيز'!$B$5:$B$2004,B155))</f>
        <v/>
      </c>
      <c r="E155" s="35">
        <f>IF(B155="","",COUNTIFS('سجل التحفيز'!$AE$5:$AE$2004,"&gt;0",'سجل التحفيز'!$B$5:$B$2004,B155,'سجل التحفيز'!$D$5:$D$2004,"ذهبي"))</f>
        <v/>
      </c>
      <c r="F155" s="35">
        <f>IF(B155="","",SUMIFS('سجل التحفيز'!$G$5:$G$2004,'سجل التحفيز'!$AE$5:$AE$2004,"&gt;0",'سجل التحفيز'!$B$5:$B$2004,B155))</f>
        <v/>
      </c>
      <c r="G155" s="35">
        <f>IF(B155="","",COUNTIF($D$38:$D$187,"&gt;"&amp;D155)+1)</f>
        <v/>
      </c>
      <c r="H155" s="35">
        <f>IF(B155="","",INDEX(الموظفات!$L$5:$L$304,MATCH(B155,الموظفات!$B$5:$B$304,0)))</f>
        <v/>
      </c>
      <c r="K155" s="36">
        <f>IF(118&gt;$B$10,"",118)</f>
        <v/>
      </c>
      <c r="L155" s="37">
        <f>IF($K155="","",INDEX('سجل التحفيز'!$A$5:$A$2004,MATCH($K155,'سجل التحفيز'!$AE$5:$AE$2004,0)))</f>
        <v/>
      </c>
      <c r="M155" s="9">
        <f>IF($K155="","",INDEX('سجل التحفيز'!$B$5:$B$2004,MATCH($K155,'سجل التحفيز'!$AE$5:$AE$2004,0)))</f>
        <v/>
      </c>
      <c r="N155" s="9">
        <f>IF($K155="","",INDEX('سجل التحفيز'!$M$5:$M$2004,MATCH($K155,'سجل التحفيز'!$AE$5:$AE$2004,0)))</f>
        <v/>
      </c>
      <c r="O155" s="9">
        <f>IF($K155="","",INDEX('سجل التحفيز'!$C$5:$C$2004,MATCH($K155,'سجل التحفيز'!$AE$5:$AE$2004,0)))</f>
        <v/>
      </c>
      <c r="P155" s="36">
        <f>IF($K155="","",INDEX('سجل التحفيز'!$D$5:$D$2004,MATCH($K155,'سجل التحفيز'!$AE$5:$AE$2004,0)))</f>
        <v/>
      </c>
      <c r="Q155" s="9">
        <f>IF($K155="","",INDEX('سجل التحفيز'!$E$5:$E$2004,MATCH($K155,'سجل التحفيز'!$AE$5:$AE$2004,0)))</f>
        <v/>
      </c>
      <c r="R155" s="9">
        <f>IF($K155="","",INDEX('سجل التحفيز'!$F$5:$F$2004,MATCH($K155,'سجل التحفيز'!$AE$5:$AE$2004,0)))</f>
        <v/>
      </c>
      <c r="S155" s="35">
        <f>IF($K155="","",INDEX('سجل التحفيز'!$G$5:$G$2004,MATCH($K155,'سجل التحفيز'!$AE$5:$AE$2004,0)))</f>
        <v/>
      </c>
    </row>
    <row r="156">
      <c r="B156" s="34">
        <f>IFERROR(INDEX(الموظفات!$B$5:$B$304,MATCH(119,الموظفات!$Y$5:$Y$304,0)),"")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التحفيز'!$AE$5:$AE$2004,"&gt;0",'سجل التحفيز'!$B$5:$B$2004,B156))</f>
        <v/>
      </c>
      <c r="E156" s="35">
        <f>IF(B156="","",COUNTIFS('سجل التحفيز'!$AE$5:$AE$2004,"&gt;0",'سجل التحفيز'!$B$5:$B$2004,B156,'سجل التحفيز'!$D$5:$D$2004,"ذهبي"))</f>
        <v/>
      </c>
      <c r="F156" s="35">
        <f>IF(B156="","",SUMIFS('سجل التحفيز'!$G$5:$G$2004,'سجل التحفيز'!$AE$5:$AE$2004,"&gt;0",'سجل التحفيز'!$B$5:$B$2004,B156))</f>
        <v/>
      </c>
      <c r="G156" s="35">
        <f>IF(B156="","",COUNTIF($D$38:$D$187,"&gt;"&amp;D156)+1)</f>
        <v/>
      </c>
      <c r="H156" s="35">
        <f>IF(B156="","",INDEX(الموظفات!$L$5:$L$304,MATCH(B156,الموظفات!$B$5:$B$304,0)))</f>
        <v/>
      </c>
      <c r="K156" s="36">
        <f>IF(119&gt;$B$10,"",119)</f>
        <v/>
      </c>
      <c r="L156" s="37">
        <f>IF($K156="","",INDEX('سجل التحفيز'!$A$5:$A$2004,MATCH($K156,'سجل التحفيز'!$AE$5:$AE$2004,0)))</f>
        <v/>
      </c>
      <c r="M156" s="9">
        <f>IF($K156="","",INDEX('سجل التحفيز'!$B$5:$B$2004,MATCH($K156,'سجل التحفيز'!$AE$5:$AE$2004,0)))</f>
        <v/>
      </c>
      <c r="N156" s="9">
        <f>IF($K156="","",INDEX('سجل التحفيز'!$M$5:$M$2004,MATCH($K156,'سجل التحفيز'!$AE$5:$AE$2004,0)))</f>
        <v/>
      </c>
      <c r="O156" s="9">
        <f>IF($K156="","",INDEX('سجل التحفيز'!$C$5:$C$2004,MATCH($K156,'سجل التحفيز'!$AE$5:$AE$2004,0)))</f>
        <v/>
      </c>
      <c r="P156" s="36">
        <f>IF($K156="","",INDEX('سجل التحفيز'!$D$5:$D$2004,MATCH($K156,'سجل التحفيز'!$AE$5:$AE$2004,0)))</f>
        <v/>
      </c>
      <c r="Q156" s="9">
        <f>IF($K156="","",INDEX('سجل التحفيز'!$E$5:$E$2004,MATCH($K156,'سجل التحفيز'!$AE$5:$AE$2004,0)))</f>
        <v/>
      </c>
      <c r="R156" s="9">
        <f>IF($K156="","",INDEX('سجل التحفيز'!$F$5:$F$2004,MATCH($K156,'سجل التحفيز'!$AE$5:$AE$2004,0)))</f>
        <v/>
      </c>
      <c r="S156" s="35">
        <f>IF($K156="","",INDEX('سجل التحفيز'!$G$5:$G$2004,MATCH($K156,'سجل التحفيز'!$AE$5:$AE$2004,0)))</f>
        <v/>
      </c>
    </row>
    <row r="157">
      <c r="B157" s="34">
        <f>IFERROR(INDEX(الموظفات!$B$5:$B$304,MATCH(120,الموظفات!$Y$5:$Y$304,0)),"")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التحفيز'!$AE$5:$AE$2004,"&gt;0",'سجل التحفيز'!$B$5:$B$2004,B157))</f>
        <v/>
      </c>
      <c r="E157" s="35">
        <f>IF(B157="","",COUNTIFS('سجل التحفيز'!$AE$5:$AE$2004,"&gt;0",'سجل التحفيز'!$B$5:$B$2004,B157,'سجل التحفيز'!$D$5:$D$2004,"ذهبي"))</f>
        <v/>
      </c>
      <c r="F157" s="35">
        <f>IF(B157="","",SUMIFS('سجل التحفيز'!$G$5:$G$2004,'سجل التحفيز'!$AE$5:$AE$2004,"&gt;0",'سجل التحفيز'!$B$5:$B$2004,B157))</f>
        <v/>
      </c>
      <c r="G157" s="35">
        <f>IF(B157="","",COUNTIF($D$38:$D$187,"&gt;"&amp;D157)+1)</f>
        <v/>
      </c>
      <c r="H157" s="35">
        <f>IF(B157="","",INDEX(الموظفات!$L$5:$L$304,MATCH(B157,الموظفات!$B$5:$B$304,0)))</f>
        <v/>
      </c>
      <c r="K157" s="36">
        <f>IF(120&gt;$B$10,"",120)</f>
        <v/>
      </c>
      <c r="L157" s="37">
        <f>IF($K157="","",INDEX('سجل التحفيز'!$A$5:$A$2004,MATCH($K157,'سجل التحفيز'!$AE$5:$AE$2004,0)))</f>
        <v/>
      </c>
      <c r="M157" s="9">
        <f>IF($K157="","",INDEX('سجل التحفيز'!$B$5:$B$2004,MATCH($K157,'سجل التحفيز'!$AE$5:$AE$2004,0)))</f>
        <v/>
      </c>
      <c r="N157" s="9">
        <f>IF($K157="","",INDEX('سجل التحفيز'!$M$5:$M$2004,MATCH($K157,'سجل التحفيز'!$AE$5:$AE$2004,0)))</f>
        <v/>
      </c>
      <c r="O157" s="9">
        <f>IF($K157="","",INDEX('سجل التحفيز'!$C$5:$C$2004,MATCH($K157,'سجل التحفيز'!$AE$5:$AE$2004,0)))</f>
        <v/>
      </c>
      <c r="P157" s="36">
        <f>IF($K157="","",INDEX('سجل التحفيز'!$D$5:$D$2004,MATCH($K157,'سجل التحفيز'!$AE$5:$AE$2004,0)))</f>
        <v/>
      </c>
      <c r="Q157" s="9">
        <f>IF($K157="","",INDEX('سجل التحفيز'!$E$5:$E$2004,MATCH($K157,'سجل التحفيز'!$AE$5:$AE$2004,0)))</f>
        <v/>
      </c>
      <c r="R157" s="9">
        <f>IF($K157="","",INDEX('سجل التحفيز'!$F$5:$F$2004,MATCH($K157,'سجل التحفيز'!$AE$5:$AE$2004,0)))</f>
        <v/>
      </c>
      <c r="S157" s="35">
        <f>IF($K157="","",INDEX('سجل التحفيز'!$G$5:$G$2004,MATCH($K157,'سجل التحفيز'!$AE$5:$AE$2004,0)))</f>
        <v/>
      </c>
    </row>
    <row r="158">
      <c r="B158" s="34">
        <f>IFERROR(INDEX(الموظفات!$B$5:$B$304,MATCH(121,الموظفات!$Y$5:$Y$304,0)),"")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التحفيز'!$AE$5:$AE$2004,"&gt;0",'سجل التحفيز'!$B$5:$B$2004,B158))</f>
        <v/>
      </c>
      <c r="E158" s="35">
        <f>IF(B158="","",COUNTIFS('سجل التحفيز'!$AE$5:$AE$2004,"&gt;0",'سجل التحفيز'!$B$5:$B$2004,B158,'سجل التحفيز'!$D$5:$D$2004,"ذهبي"))</f>
        <v/>
      </c>
      <c r="F158" s="35">
        <f>IF(B158="","",SUMIFS('سجل التحفيز'!$G$5:$G$2004,'سجل التحفيز'!$AE$5:$AE$2004,"&gt;0",'سجل التحفيز'!$B$5:$B$2004,B158))</f>
        <v/>
      </c>
      <c r="G158" s="35">
        <f>IF(B158="","",COUNTIF($D$38:$D$187,"&gt;"&amp;D158)+1)</f>
        <v/>
      </c>
      <c r="H158" s="35">
        <f>IF(B158="","",INDEX(الموظفات!$L$5:$L$304,MATCH(B158,الموظفات!$B$5:$B$304,0)))</f>
        <v/>
      </c>
      <c r="K158" s="36">
        <f>IF(121&gt;$B$10,"",121)</f>
        <v/>
      </c>
      <c r="L158" s="37">
        <f>IF($K158="","",INDEX('سجل التحفيز'!$A$5:$A$2004,MATCH($K158,'سجل التحفيز'!$AE$5:$AE$2004,0)))</f>
        <v/>
      </c>
      <c r="M158" s="9">
        <f>IF($K158="","",INDEX('سجل التحفيز'!$B$5:$B$2004,MATCH($K158,'سجل التحفيز'!$AE$5:$AE$2004,0)))</f>
        <v/>
      </c>
      <c r="N158" s="9">
        <f>IF($K158="","",INDEX('سجل التحفيز'!$M$5:$M$2004,MATCH($K158,'سجل التحفيز'!$AE$5:$AE$2004,0)))</f>
        <v/>
      </c>
      <c r="O158" s="9">
        <f>IF($K158="","",INDEX('سجل التحفيز'!$C$5:$C$2004,MATCH($K158,'سجل التحفيز'!$AE$5:$AE$2004,0)))</f>
        <v/>
      </c>
      <c r="P158" s="36">
        <f>IF($K158="","",INDEX('سجل التحفيز'!$D$5:$D$2004,MATCH($K158,'سجل التحفيز'!$AE$5:$AE$2004,0)))</f>
        <v/>
      </c>
      <c r="Q158" s="9">
        <f>IF($K158="","",INDEX('سجل التحفيز'!$E$5:$E$2004,MATCH($K158,'سجل التحفيز'!$AE$5:$AE$2004,0)))</f>
        <v/>
      </c>
      <c r="R158" s="9">
        <f>IF($K158="","",INDEX('سجل التحفيز'!$F$5:$F$2004,MATCH($K158,'سجل التحفيز'!$AE$5:$AE$2004,0)))</f>
        <v/>
      </c>
      <c r="S158" s="35">
        <f>IF($K158="","",INDEX('سجل التحفيز'!$G$5:$G$2004,MATCH($K158,'سجل التحفيز'!$AE$5:$AE$2004,0)))</f>
        <v/>
      </c>
    </row>
    <row r="159">
      <c r="B159" s="34">
        <f>IFERROR(INDEX(الموظفات!$B$5:$B$304,MATCH(122,الموظفات!$Y$5:$Y$304,0)),"")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التحفيز'!$AE$5:$AE$2004,"&gt;0",'سجل التحفيز'!$B$5:$B$2004,B159))</f>
        <v/>
      </c>
      <c r="E159" s="35">
        <f>IF(B159="","",COUNTIFS('سجل التحفيز'!$AE$5:$AE$2004,"&gt;0",'سجل التحفيز'!$B$5:$B$2004,B159,'سجل التحفيز'!$D$5:$D$2004,"ذهبي"))</f>
        <v/>
      </c>
      <c r="F159" s="35">
        <f>IF(B159="","",SUMIFS('سجل التحفيز'!$G$5:$G$2004,'سجل التحفيز'!$AE$5:$AE$2004,"&gt;0",'سجل التحفيز'!$B$5:$B$2004,B159))</f>
        <v/>
      </c>
      <c r="G159" s="35">
        <f>IF(B159="","",COUNTIF($D$38:$D$187,"&gt;"&amp;D159)+1)</f>
        <v/>
      </c>
      <c r="H159" s="35">
        <f>IF(B159="","",INDEX(الموظفات!$L$5:$L$304,MATCH(B159,الموظفات!$B$5:$B$304,0)))</f>
        <v/>
      </c>
      <c r="K159" s="36">
        <f>IF(122&gt;$B$10,"",122)</f>
        <v/>
      </c>
      <c r="L159" s="37">
        <f>IF($K159="","",INDEX('سجل التحفيز'!$A$5:$A$2004,MATCH($K159,'سجل التحفيز'!$AE$5:$AE$2004,0)))</f>
        <v/>
      </c>
      <c r="M159" s="9">
        <f>IF($K159="","",INDEX('سجل التحفيز'!$B$5:$B$2004,MATCH($K159,'سجل التحفيز'!$AE$5:$AE$2004,0)))</f>
        <v/>
      </c>
      <c r="N159" s="9">
        <f>IF($K159="","",INDEX('سجل التحفيز'!$M$5:$M$2004,MATCH($K159,'سجل التحفيز'!$AE$5:$AE$2004,0)))</f>
        <v/>
      </c>
      <c r="O159" s="9">
        <f>IF($K159="","",INDEX('سجل التحفيز'!$C$5:$C$2004,MATCH($K159,'سجل التحفيز'!$AE$5:$AE$2004,0)))</f>
        <v/>
      </c>
      <c r="P159" s="36">
        <f>IF($K159="","",INDEX('سجل التحفيز'!$D$5:$D$2004,MATCH($K159,'سجل التحفيز'!$AE$5:$AE$2004,0)))</f>
        <v/>
      </c>
      <c r="Q159" s="9">
        <f>IF($K159="","",INDEX('سجل التحفيز'!$E$5:$E$2004,MATCH($K159,'سجل التحفيز'!$AE$5:$AE$2004,0)))</f>
        <v/>
      </c>
      <c r="R159" s="9">
        <f>IF($K159="","",INDEX('سجل التحفيز'!$F$5:$F$2004,MATCH($K159,'سجل التحفيز'!$AE$5:$AE$2004,0)))</f>
        <v/>
      </c>
      <c r="S159" s="35">
        <f>IF($K159="","",INDEX('سجل التحفيز'!$G$5:$G$2004,MATCH($K159,'سجل التحفيز'!$AE$5:$AE$2004,0)))</f>
        <v/>
      </c>
    </row>
    <row r="160">
      <c r="B160" s="34">
        <f>IFERROR(INDEX(الموظفات!$B$5:$B$304,MATCH(123,الموظفات!$Y$5:$Y$304,0)),"")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التحفيز'!$AE$5:$AE$2004,"&gt;0",'سجل التحفيز'!$B$5:$B$2004,B160))</f>
        <v/>
      </c>
      <c r="E160" s="35">
        <f>IF(B160="","",COUNTIFS('سجل التحفيز'!$AE$5:$AE$2004,"&gt;0",'سجل التحفيز'!$B$5:$B$2004,B160,'سجل التحفيز'!$D$5:$D$2004,"ذهبي"))</f>
        <v/>
      </c>
      <c r="F160" s="35">
        <f>IF(B160="","",SUMIFS('سجل التحفيز'!$G$5:$G$2004,'سجل التحفيز'!$AE$5:$AE$2004,"&gt;0",'سجل التحفيز'!$B$5:$B$2004,B160))</f>
        <v/>
      </c>
      <c r="G160" s="35">
        <f>IF(B160="","",COUNTIF($D$38:$D$187,"&gt;"&amp;D160)+1)</f>
        <v/>
      </c>
      <c r="H160" s="35">
        <f>IF(B160="","",INDEX(الموظفات!$L$5:$L$304,MATCH(B160,الموظفات!$B$5:$B$304,0)))</f>
        <v/>
      </c>
      <c r="K160" s="36">
        <f>IF(123&gt;$B$10,"",123)</f>
        <v/>
      </c>
      <c r="L160" s="37">
        <f>IF($K160="","",INDEX('سجل التحفيز'!$A$5:$A$2004,MATCH($K160,'سجل التحفيز'!$AE$5:$AE$2004,0)))</f>
        <v/>
      </c>
      <c r="M160" s="9">
        <f>IF($K160="","",INDEX('سجل التحفيز'!$B$5:$B$2004,MATCH($K160,'سجل التحفيز'!$AE$5:$AE$2004,0)))</f>
        <v/>
      </c>
      <c r="N160" s="9">
        <f>IF($K160="","",INDEX('سجل التحفيز'!$M$5:$M$2004,MATCH($K160,'سجل التحفيز'!$AE$5:$AE$2004,0)))</f>
        <v/>
      </c>
      <c r="O160" s="9">
        <f>IF($K160="","",INDEX('سجل التحفيز'!$C$5:$C$2004,MATCH($K160,'سجل التحفيز'!$AE$5:$AE$2004,0)))</f>
        <v/>
      </c>
      <c r="P160" s="36">
        <f>IF($K160="","",INDEX('سجل التحفيز'!$D$5:$D$2004,MATCH($K160,'سجل التحفيز'!$AE$5:$AE$2004,0)))</f>
        <v/>
      </c>
      <c r="Q160" s="9">
        <f>IF($K160="","",INDEX('سجل التحفيز'!$E$5:$E$2004,MATCH($K160,'سجل التحفيز'!$AE$5:$AE$2004,0)))</f>
        <v/>
      </c>
      <c r="R160" s="9">
        <f>IF($K160="","",INDEX('سجل التحفيز'!$F$5:$F$2004,MATCH($K160,'سجل التحفيز'!$AE$5:$AE$2004,0)))</f>
        <v/>
      </c>
      <c r="S160" s="35">
        <f>IF($K160="","",INDEX('سجل التحفيز'!$G$5:$G$2004,MATCH($K160,'سجل التحفيز'!$AE$5:$AE$2004,0)))</f>
        <v/>
      </c>
    </row>
    <row r="161">
      <c r="B161" s="34">
        <f>IFERROR(INDEX(الموظفات!$B$5:$B$304,MATCH(124,الموظفات!$Y$5:$Y$304,0)),"")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التحفيز'!$AE$5:$AE$2004,"&gt;0",'سجل التحفيز'!$B$5:$B$2004,B161))</f>
        <v/>
      </c>
      <c r="E161" s="35">
        <f>IF(B161="","",COUNTIFS('سجل التحفيز'!$AE$5:$AE$2004,"&gt;0",'سجل التحفيز'!$B$5:$B$2004,B161,'سجل التحفيز'!$D$5:$D$2004,"ذهبي"))</f>
        <v/>
      </c>
      <c r="F161" s="35">
        <f>IF(B161="","",SUMIFS('سجل التحفيز'!$G$5:$G$2004,'سجل التحفيز'!$AE$5:$AE$2004,"&gt;0",'سجل التحفيز'!$B$5:$B$2004,B161))</f>
        <v/>
      </c>
      <c r="G161" s="35">
        <f>IF(B161="","",COUNTIF($D$38:$D$187,"&gt;"&amp;D161)+1)</f>
        <v/>
      </c>
      <c r="H161" s="35">
        <f>IF(B161="","",INDEX(الموظفات!$L$5:$L$304,MATCH(B161,الموظفات!$B$5:$B$304,0)))</f>
        <v/>
      </c>
      <c r="K161" s="36">
        <f>IF(124&gt;$B$10,"",124)</f>
        <v/>
      </c>
      <c r="L161" s="37">
        <f>IF($K161="","",INDEX('سجل التحفيز'!$A$5:$A$2004,MATCH($K161,'سجل التحفيز'!$AE$5:$AE$2004,0)))</f>
        <v/>
      </c>
      <c r="M161" s="9">
        <f>IF($K161="","",INDEX('سجل التحفيز'!$B$5:$B$2004,MATCH($K161,'سجل التحفيز'!$AE$5:$AE$2004,0)))</f>
        <v/>
      </c>
      <c r="N161" s="9">
        <f>IF($K161="","",INDEX('سجل التحفيز'!$M$5:$M$2004,MATCH($K161,'سجل التحفيز'!$AE$5:$AE$2004,0)))</f>
        <v/>
      </c>
      <c r="O161" s="9">
        <f>IF($K161="","",INDEX('سجل التحفيز'!$C$5:$C$2004,MATCH($K161,'سجل التحفيز'!$AE$5:$AE$2004,0)))</f>
        <v/>
      </c>
      <c r="P161" s="36">
        <f>IF($K161="","",INDEX('سجل التحفيز'!$D$5:$D$2004,MATCH($K161,'سجل التحفيز'!$AE$5:$AE$2004,0)))</f>
        <v/>
      </c>
      <c r="Q161" s="9">
        <f>IF($K161="","",INDEX('سجل التحفيز'!$E$5:$E$2004,MATCH($K161,'سجل التحفيز'!$AE$5:$AE$2004,0)))</f>
        <v/>
      </c>
      <c r="R161" s="9">
        <f>IF($K161="","",INDEX('سجل التحفيز'!$F$5:$F$2004,MATCH($K161,'سجل التحفيز'!$AE$5:$AE$2004,0)))</f>
        <v/>
      </c>
      <c r="S161" s="35">
        <f>IF($K161="","",INDEX('سجل التحفيز'!$G$5:$G$2004,MATCH($K161,'سجل التحفيز'!$AE$5:$AE$2004,0)))</f>
        <v/>
      </c>
    </row>
    <row r="162">
      <c r="B162" s="34">
        <f>IFERROR(INDEX(الموظفات!$B$5:$B$304,MATCH(125,الموظفات!$Y$5:$Y$304,0)),"")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التحفيز'!$AE$5:$AE$2004,"&gt;0",'سجل التحفيز'!$B$5:$B$2004,B162))</f>
        <v/>
      </c>
      <c r="E162" s="35">
        <f>IF(B162="","",COUNTIFS('سجل التحفيز'!$AE$5:$AE$2004,"&gt;0",'سجل التحفيز'!$B$5:$B$2004,B162,'سجل التحفيز'!$D$5:$D$2004,"ذهبي"))</f>
        <v/>
      </c>
      <c r="F162" s="35">
        <f>IF(B162="","",SUMIFS('سجل التحفيز'!$G$5:$G$2004,'سجل التحفيز'!$AE$5:$AE$2004,"&gt;0",'سجل التحفيز'!$B$5:$B$2004,B162))</f>
        <v/>
      </c>
      <c r="G162" s="35">
        <f>IF(B162="","",COUNTIF($D$38:$D$187,"&gt;"&amp;D162)+1)</f>
        <v/>
      </c>
      <c r="H162" s="35">
        <f>IF(B162="","",INDEX(الموظفات!$L$5:$L$304,MATCH(B162,الموظفات!$B$5:$B$304,0)))</f>
        <v/>
      </c>
      <c r="K162" s="36">
        <f>IF(125&gt;$B$10,"",125)</f>
        <v/>
      </c>
      <c r="L162" s="37">
        <f>IF($K162="","",INDEX('سجل التحفيز'!$A$5:$A$2004,MATCH($K162,'سجل التحفيز'!$AE$5:$AE$2004,0)))</f>
        <v/>
      </c>
      <c r="M162" s="9">
        <f>IF($K162="","",INDEX('سجل التحفيز'!$B$5:$B$2004,MATCH($K162,'سجل التحفيز'!$AE$5:$AE$2004,0)))</f>
        <v/>
      </c>
      <c r="N162" s="9">
        <f>IF($K162="","",INDEX('سجل التحفيز'!$M$5:$M$2004,MATCH($K162,'سجل التحفيز'!$AE$5:$AE$2004,0)))</f>
        <v/>
      </c>
      <c r="O162" s="9">
        <f>IF($K162="","",INDEX('سجل التحفيز'!$C$5:$C$2004,MATCH($K162,'سجل التحفيز'!$AE$5:$AE$2004,0)))</f>
        <v/>
      </c>
      <c r="P162" s="36">
        <f>IF($K162="","",INDEX('سجل التحفيز'!$D$5:$D$2004,MATCH($K162,'سجل التحفيز'!$AE$5:$AE$2004,0)))</f>
        <v/>
      </c>
      <c r="Q162" s="9">
        <f>IF($K162="","",INDEX('سجل التحفيز'!$E$5:$E$2004,MATCH($K162,'سجل التحفيز'!$AE$5:$AE$2004,0)))</f>
        <v/>
      </c>
      <c r="R162" s="9">
        <f>IF($K162="","",INDEX('سجل التحفيز'!$F$5:$F$2004,MATCH($K162,'سجل التحفيز'!$AE$5:$AE$2004,0)))</f>
        <v/>
      </c>
      <c r="S162" s="35">
        <f>IF($K162="","",INDEX('سجل التحفيز'!$G$5:$G$2004,MATCH($K162,'سجل التحفيز'!$AE$5:$AE$2004,0)))</f>
        <v/>
      </c>
    </row>
    <row r="163">
      <c r="B163" s="34">
        <f>IFERROR(INDEX(الموظفات!$B$5:$B$304,MATCH(126,الموظفات!$Y$5:$Y$304,0)),"")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التحفيز'!$AE$5:$AE$2004,"&gt;0",'سجل التحفيز'!$B$5:$B$2004,B163))</f>
        <v/>
      </c>
      <c r="E163" s="35">
        <f>IF(B163="","",COUNTIFS('سجل التحفيز'!$AE$5:$AE$2004,"&gt;0",'سجل التحفيز'!$B$5:$B$2004,B163,'سجل التحفيز'!$D$5:$D$2004,"ذهبي"))</f>
        <v/>
      </c>
      <c r="F163" s="35">
        <f>IF(B163="","",SUMIFS('سجل التحفيز'!$G$5:$G$2004,'سجل التحفيز'!$AE$5:$AE$2004,"&gt;0",'سجل التحفيز'!$B$5:$B$2004,B163))</f>
        <v/>
      </c>
      <c r="G163" s="35">
        <f>IF(B163="","",COUNTIF($D$38:$D$187,"&gt;"&amp;D163)+1)</f>
        <v/>
      </c>
      <c r="H163" s="35">
        <f>IF(B163="","",INDEX(الموظفات!$L$5:$L$304,MATCH(B163,الموظفات!$B$5:$B$304,0)))</f>
        <v/>
      </c>
      <c r="K163" s="36">
        <f>IF(126&gt;$B$10,"",126)</f>
        <v/>
      </c>
      <c r="L163" s="37">
        <f>IF($K163="","",INDEX('سجل التحفيز'!$A$5:$A$2004,MATCH($K163,'سجل التحفيز'!$AE$5:$AE$2004,0)))</f>
        <v/>
      </c>
      <c r="M163" s="9">
        <f>IF($K163="","",INDEX('سجل التحفيز'!$B$5:$B$2004,MATCH($K163,'سجل التحفيز'!$AE$5:$AE$2004,0)))</f>
        <v/>
      </c>
      <c r="N163" s="9">
        <f>IF($K163="","",INDEX('سجل التحفيز'!$M$5:$M$2004,MATCH($K163,'سجل التحفيز'!$AE$5:$AE$2004,0)))</f>
        <v/>
      </c>
      <c r="O163" s="9">
        <f>IF($K163="","",INDEX('سجل التحفيز'!$C$5:$C$2004,MATCH($K163,'سجل التحفيز'!$AE$5:$AE$2004,0)))</f>
        <v/>
      </c>
      <c r="P163" s="36">
        <f>IF($K163="","",INDEX('سجل التحفيز'!$D$5:$D$2004,MATCH($K163,'سجل التحفيز'!$AE$5:$AE$2004,0)))</f>
        <v/>
      </c>
      <c r="Q163" s="9">
        <f>IF($K163="","",INDEX('سجل التحفيز'!$E$5:$E$2004,MATCH($K163,'سجل التحفيز'!$AE$5:$AE$2004,0)))</f>
        <v/>
      </c>
      <c r="R163" s="9">
        <f>IF($K163="","",INDEX('سجل التحفيز'!$F$5:$F$2004,MATCH($K163,'سجل التحفيز'!$AE$5:$AE$2004,0)))</f>
        <v/>
      </c>
      <c r="S163" s="35">
        <f>IF($K163="","",INDEX('سجل التحفيز'!$G$5:$G$2004,MATCH($K163,'سجل التحفيز'!$AE$5:$AE$2004,0)))</f>
        <v/>
      </c>
    </row>
    <row r="164">
      <c r="B164" s="34">
        <f>IFERROR(INDEX(الموظفات!$B$5:$B$304,MATCH(127,الموظفات!$Y$5:$Y$304,0)),"")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التحفيز'!$AE$5:$AE$2004,"&gt;0",'سجل التحفيز'!$B$5:$B$2004,B164))</f>
        <v/>
      </c>
      <c r="E164" s="35">
        <f>IF(B164="","",COUNTIFS('سجل التحفيز'!$AE$5:$AE$2004,"&gt;0",'سجل التحفيز'!$B$5:$B$2004,B164,'سجل التحفيز'!$D$5:$D$2004,"ذهبي"))</f>
        <v/>
      </c>
      <c r="F164" s="35">
        <f>IF(B164="","",SUMIFS('سجل التحفيز'!$G$5:$G$2004,'سجل التحفيز'!$AE$5:$AE$2004,"&gt;0",'سجل التحفيز'!$B$5:$B$2004,B164))</f>
        <v/>
      </c>
      <c r="G164" s="35">
        <f>IF(B164="","",COUNTIF($D$38:$D$187,"&gt;"&amp;D164)+1)</f>
        <v/>
      </c>
      <c r="H164" s="35">
        <f>IF(B164="","",INDEX(الموظفات!$L$5:$L$304,MATCH(B164,الموظفات!$B$5:$B$304,0)))</f>
        <v/>
      </c>
      <c r="K164" s="36">
        <f>IF(127&gt;$B$10,"",127)</f>
        <v/>
      </c>
      <c r="L164" s="37">
        <f>IF($K164="","",INDEX('سجل التحفيز'!$A$5:$A$2004,MATCH($K164,'سجل التحفيز'!$AE$5:$AE$2004,0)))</f>
        <v/>
      </c>
      <c r="M164" s="9">
        <f>IF($K164="","",INDEX('سجل التحفيز'!$B$5:$B$2004,MATCH($K164,'سجل التحفيز'!$AE$5:$AE$2004,0)))</f>
        <v/>
      </c>
      <c r="N164" s="9">
        <f>IF($K164="","",INDEX('سجل التحفيز'!$M$5:$M$2004,MATCH($K164,'سجل التحفيز'!$AE$5:$AE$2004,0)))</f>
        <v/>
      </c>
      <c r="O164" s="9">
        <f>IF($K164="","",INDEX('سجل التحفيز'!$C$5:$C$2004,MATCH($K164,'سجل التحفيز'!$AE$5:$AE$2004,0)))</f>
        <v/>
      </c>
      <c r="P164" s="36">
        <f>IF($K164="","",INDEX('سجل التحفيز'!$D$5:$D$2004,MATCH($K164,'سجل التحفيز'!$AE$5:$AE$2004,0)))</f>
        <v/>
      </c>
      <c r="Q164" s="9">
        <f>IF($K164="","",INDEX('سجل التحفيز'!$E$5:$E$2004,MATCH($K164,'سجل التحفيز'!$AE$5:$AE$2004,0)))</f>
        <v/>
      </c>
      <c r="R164" s="9">
        <f>IF($K164="","",INDEX('سجل التحفيز'!$F$5:$F$2004,MATCH($K164,'سجل التحفيز'!$AE$5:$AE$2004,0)))</f>
        <v/>
      </c>
      <c r="S164" s="35">
        <f>IF($K164="","",INDEX('سجل التحفيز'!$G$5:$G$2004,MATCH($K164,'سجل التحفيز'!$AE$5:$AE$2004,0)))</f>
        <v/>
      </c>
    </row>
    <row r="165">
      <c r="B165" s="34">
        <f>IFERROR(INDEX(الموظفات!$B$5:$B$304,MATCH(128,الموظفات!$Y$5:$Y$304,0)),"")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التحفيز'!$AE$5:$AE$2004,"&gt;0",'سجل التحفيز'!$B$5:$B$2004,B165))</f>
        <v/>
      </c>
      <c r="E165" s="35">
        <f>IF(B165="","",COUNTIFS('سجل التحفيز'!$AE$5:$AE$2004,"&gt;0",'سجل التحفيز'!$B$5:$B$2004,B165,'سجل التحفيز'!$D$5:$D$2004,"ذهبي"))</f>
        <v/>
      </c>
      <c r="F165" s="35">
        <f>IF(B165="","",SUMIFS('سجل التحفيز'!$G$5:$G$2004,'سجل التحفيز'!$AE$5:$AE$2004,"&gt;0",'سجل التحفيز'!$B$5:$B$2004,B165))</f>
        <v/>
      </c>
      <c r="G165" s="35">
        <f>IF(B165="","",COUNTIF($D$38:$D$187,"&gt;"&amp;D165)+1)</f>
        <v/>
      </c>
      <c r="H165" s="35">
        <f>IF(B165="","",INDEX(الموظفات!$L$5:$L$304,MATCH(B165,الموظفات!$B$5:$B$304,0)))</f>
        <v/>
      </c>
      <c r="K165" s="36">
        <f>IF(128&gt;$B$10,"",128)</f>
        <v/>
      </c>
      <c r="L165" s="37">
        <f>IF($K165="","",INDEX('سجل التحفيز'!$A$5:$A$2004,MATCH($K165,'سجل التحفيز'!$AE$5:$AE$2004,0)))</f>
        <v/>
      </c>
      <c r="M165" s="9">
        <f>IF($K165="","",INDEX('سجل التحفيز'!$B$5:$B$2004,MATCH($K165,'سجل التحفيز'!$AE$5:$AE$2004,0)))</f>
        <v/>
      </c>
      <c r="N165" s="9">
        <f>IF($K165="","",INDEX('سجل التحفيز'!$M$5:$M$2004,MATCH($K165,'سجل التحفيز'!$AE$5:$AE$2004,0)))</f>
        <v/>
      </c>
      <c r="O165" s="9">
        <f>IF($K165="","",INDEX('سجل التحفيز'!$C$5:$C$2004,MATCH($K165,'سجل التحفيز'!$AE$5:$AE$2004,0)))</f>
        <v/>
      </c>
      <c r="P165" s="36">
        <f>IF($K165="","",INDEX('سجل التحفيز'!$D$5:$D$2004,MATCH($K165,'سجل التحفيز'!$AE$5:$AE$2004,0)))</f>
        <v/>
      </c>
      <c r="Q165" s="9">
        <f>IF($K165="","",INDEX('سجل التحفيز'!$E$5:$E$2004,MATCH($K165,'سجل التحفيز'!$AE$5:$AE$2004,0)))</f>
        <v/>
      </c>
      <c r="R165" s="9">
        <f>IF($K165="","",INDEX('سجل التحفيز'!$F$5:$F$2004,MATCH($K165,'سجل التحفيز'!$AE$5:$AE$2004,0)))</f>
        <v/>
      </c>
      <c r="S165" s="35">
        <f>IF($K165="","",INDEX('سجل التحفيز'!$G$5:$G$2004,MATCH($K165,'سجل التحفيز'!$AE$5:$AE$2004,0)))</f>
        <v/>
      </c>
    </row>
    <row r="166">
      <c r="B166" s="34">
        <f>IFERROR(INDEX(الموظفات!$B$5:$B$304,MATCH(129,الموظفات!$Y$5:$Y$304,0)),"")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التحفيز'!$AE$5:$AE$2004,"&gt;0",'سجل التحفيز'!$B$5:$B$2004,B166))</f>
        <v/>
      </c>
      <c r="E166" s="35">
        <f>IF(B166="","",COUNTIFS('سجل التحفيز'!$AE$5:$AE$2004,"&gt;0",'سجل التحفيز'!$B$5:$B$2004,B166,'سجل التحفيز'!$D$5:$D$2004,"ذهبي"))</f>
        <v/>
      </c>
      <c r="F166" s="35">
        <f>IF(B166="","",SUMIFS('سجل التحفيز'!$G$5:$G$2004,'سجل التحفيز'!$AE$5:$AE$2004,"&gt;0",'سجل التحفيز'!$B$5:$B$2004,B166))</f>
        <v/>
      </c>
      <c r="G166" s="35">
        <f>IF(B166="","",COUNTIF($D$38:$D$187,"&gt;"&amp;D166)+1)</f>
        <v/>
      </c>
      <c r="H166" s="35">
        <f>IF(B166="","",INDEX(الموظفات!$L$5:$L$304,MATCH(B166,الموظفات!$B$5:$B$304,0)))</f>
        <v/>
      </c>
      <c r="K166" s="36">
        <f>IF(129&gt;$B$10,"",129)</f>
        <v/>
      </c>
      <c r="L166" s="37">
        <f>IF($K166="","",INDEX('سجل التحفيز'!$A$5:$A$2004,MATCH($K166,'سجل التحفيز'!$AE$5:$AE$2004,0)))</f>
        <v/>
      </c>
      <c r="M166" s="9">
        <f>IF($K166="","",INDEX('سجل التحفيز'!$B$5:$B$2004,MATCH($K166,'سجل التحفيز'!$AE$5:$AE$2004,0)))</f>
        <v/>
      </c>
      <c r="N166" s="9">
        <f>IF($K166="","",INDEX('سجل التحفيز'!$M$5:$M$2004,MATCH($K166,'سجل التحفيز'!$AE$5:$AE$2004,0)))</f>
        <v/>
      </c>
      <c r="O166" s="9">
        <f>IF($K166="","",INDEX('سجل التحفيز'!$C$5:$C$2004,MATCH($K166,'سجل التحفيز'!$AE$5:$AE$2004,0)))</f>
        <v/>
      </c>
      <c r="P166" s="36">
        <f>IF($K166="","",INDEX('سجل التحفيز'!$D$5:$D$2004,MATCH($K166,'سجل التحفيز'!$AE$5:$AE$2004,0)))</f>
        <v/>
      </c>
      <c r="Q166" s="9">
        <f>IF($K166="","",INDEX('سجل التحفيز'!$E$5:$E$2004,MATCH($K166,'سجل التحفيز'!$AE$5:$AE$2004,0)))</f>
        <v/>
      </c>
      <c r="R166" s="9">
        <f>IF($K166="","",INDEX('سجل التحفيز'!$F$5:$F$2004,MATCH($K166,'سجل التحفيز'!$AE$5:$AE$2004,0)))</f>
        <v/>
      </c>
      <c r="S166" s="35">
        <f>IF($K166="","",INDEX('سجل التحفيز'!$G$5:$G$2004,MATCH($K166,'سجل التحفيز'!$AE$5:$AE$2004,0)))</f>
        <v/>
      </c>
    </row>
    <row r="167">
      <c r="B167" s="34">
        <f>IFERROR(INDEX(الموظفات!$B$5:$B$304,MATCH(130,الموظفات!$Y$5:$Y$304,0)),"")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التحفيز'!$AE$5:$AE$2004,"&gt;0",'سجل التحفيز'!$B$5:$B$2004,B167))</f>
        <v/>
      </c>
      <c r="E167" s="35">
        <f>IF(B167="","",COUNTIFS('سجل التحفيز'!$AE$5:$AE$2004,"&gt;0",'سجل التحفيز'!$B$5:$B$2004,B167,'سجل التحفيز'!$D$5:$D$2004,"ذهبي"))</f>
        <v/>
      </c>
      <c r="F167" s="35">
        <f>IF(B167="","",SUMIFS('سجل التحفيز'!$G$5:$G$2004,'سجل التحفيز'!$AE$5:$AE$2004,"&gt;0",'سجل التحفيز'!$B$5:$B$2004,B167))</f>
        <v/>
      </c>
      <c r="G167" s="35">
        <f>IF(B167="","",COUNTIF($D$38:$D$187,"&gt;"&amp;D167)+1)</f>
        <v/>
      </c>
      <c r="H167" s="35">
        <f>IF(B167="","",INDEX(الموظفات!$L$5:$L$304,MATCH(B167,الموظفات!$B$5:$B$304,0)))</f>
        <v/>
      </c>
      <c r="K167" s="36">
        <f>IF(130&gt;$B$10,"",130)</f>
        <v/>
      </c>
      <c r="L167" s="37">
        <f>IF($K167="","",INDEX('سجل التحفيز'!$A$5:$A$2004,MATCH($K167,'سجل التحفيز'!$AE$5:$AE$2004,0)))</f>
        <v/>
      </c>
      <c r="M167" s="9">
        <f>IF($K167="","",INDEX('سجل التحفيز'!$B$5:$B$2004,MATCH($K167,'سجل التحفيز'!$AE$5:$AE$2004,0)))</f>
        <v/>
      </c>
      <c r="N167" s="9">
        <f>IF($K167="","",INDEX('سجل التحفيز'!$M$5:$M$2004,MATCH($K167,'سجل التحفيز'!$AE$5:$AE$2004,0)))</f>
        <v/>
      </c>
      <c r="O167" s="9">
        <f>IF($K167="","",INDEX('سجل التحفيز'!$C$5:$C$2004,MATCH($K167,'سجل التحفيز'!$AE$5:$AE$2004,0)))</f>
        <v/>
      </c>
      <c r="P167" s="36">
        <f>IF($K167="","",INDEX('سجل التحفيز'!$D$5:$D$2004,MATCH($K167,'سجل التحفيز'!$AE$5:$AE$2004,0)))</f>
        <v/>
      </c>
      <c r="Q167" s="9">
        <f>IF($K167="","",INDEX('سجل التحفيز'!$E$5:$E$2004,MATCH($K167,'سجل التحفيز'!$AE$5:$AE$2004,0)))</f>
        <v/>
      </c>
      <c r="R167" s="9">
        <f>IF($K167="","",INDEX('سجل التحفيز'!$F$5:$F$2004,MATCH($K167,'سجل التحفيز'!$AE$5:$AE$2004,0)))</f>
        <v/>
      </c>
      <c r="S167" s="35">
        <f>IF($K167="","",INDEX('سجل التحفيز'!$G$5:$G$2004,MATCH($K167,'سجل التحفيز'!$AE$5:$AE$2004,0)))</f>
        <v/>
      </c>
    </row>
    <row r="168">
      <c r="B168" s="34">
        <f>IFERROR(INDEX(الموظفات!$B$5:$B$304,MATCH(131,الموظفات!$Y$5:$Y$304,0)),"")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التحفيز'!$AE$5:$AE$2004,"&gt;0",'سجل التحفيز'!$B$5:$B$2004,B168))</f>
        <v/>
      </c>
      <c r="E168" s="35">
        <f>IF(B168="","",COUNTIFS('سجل التحفيز'!$AE$5:$AE$2004,"&gt;0",'سجل التحفيز'!$B$5:$B$2004,B168,'سجل التحفيز'!$D$5:$D$2004,"ذهبي"))</f>
        <v/>
      </c>
      <c r="F168" s="35">
        <f>IF(B168="","",SUMIFS('سجل التحفيز'!$G$5:$G$2004,'سجل التحفيز'!$AE$5:$AE$2004,"&gt;0",'سجل التحفيز'!$B$5:$B$2004,B168))</f>
        <v/>
      </c>
      <c r="G168" s="35">
        <f>IF(B168="","",COUNTIF($D$38:$D$187,"&gt;"&amp;D168)+1)</f>
        <v/>
      </c>
      <c r="H168" s="35">
        <f>IF(B168="","",INDEX(الموظفات!$L$5:$L$304,MATCH(B168,الموظفات!$B$5:$B$304,0)))</f>
        <v/>
      </c>
      <c r="K168" s="36">
        <f>IF(131&gt;$B$10,"",131)</f>
        <v/>
      </c>
      <c r="L168" s="37">
        <f>IF($K168="","",INDEX('سجل التحفيز'!$A$5:$A$2004,MATCH($K168,'سجل التحفيز'!$AE$5:$AE$2004,0)))</f>
        <v/>
      </c>
      <c r="M168" s="9">
        <f>IF($K168="","",INDEX('سجل التحفيز'!$B$5:$B$2004,MATCH($K168,'سجل التحفيز'!$AE$5:$AE$2004,0)))</f>
        <v/>
      </c>
      <c r="N168" s="9">
        <f>IF($K168="","",INDEX('سجل التحفيز'!$M$5:$M$2004,MATCH($K168,'سجل التحفيز'!$AE$5:$AE$2004,0)))</f>
        <v/>
      </c>
      <c r="O168" s="9">
        <f>IF($K168="","",INDEX('سجل التحفيز'!$C$5:$C$2004,MATCH($K168,'سجل التحفيز'!$AE$5:$AE$2004,0)))</f>
        <v/>
      </c>
      <c r="P168" s="36">
        <f>IF($K168="","",INDEX('سجل التحفيز'!$D$5:$D$2004,MATCH($K168,'سجل التحفيز'!$AE$5:$AE$2004,0)))</f>
        <v/>
      </c>
      <c r="Q168" s="9">
        <f>IF($K168="","",INDEX('سجل التحفيز'!$E$5:$E$2004,MATCH($K168,'سجل التحفيز'!$AE$5:$AE$2004,0)))</f>
        <v/>
      </c>
      <c r="R168" s="9">
        <f>IF($K168="","",INDEX('سجل التحفيز'!$F$5:$F$2004,MATCH($K168,'سجل التحفيز'!$AE$5:$AE$2004,0)))</f>
        <v/>
      </c>
      <c r="S168" s="35">
        <f>IF($K168="","",INDEX('سجل التحفيز'!$G$5:$G$2004,MATCH($K168,'سجل التحفيز'!$AE$5:$AE$2004,0)))</f>
        <v/>
      </c>
    </row>
    <row r="169">
      <c r="B169" s="34">
        <f>IFERROR(INDEX(الموظفات!$B$5:$B$304,MATCH(132,الموظفات!$Y$5:$Y$304,0)),"")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التحفيز'!$AE$5:$AE$2004,"&gt;0",'سجل التحفيز'!$B$5:$B$2004,B169))</f>
        <v/>
      </c>
      <c r="E169" s="35">
        <f>IF(B169="","",COUNTIFS('سجل التحفيز'!$AE$5:$AE$2004,"&gt;0",'سجل التحفيز'!$B$5:$B$2004,B169,'سجل التحفيز'!$D$5:$D$2004,"ذهبي"))</f>
        <v/>
      </c>
      <c r="F169" s="35">
        <f>IF(B169="","",SUMIFS('سجل التحفيز'!$G$5:$G$2004,'سجل التحفيز'!$AE$5:$AE$2004,"&gt;0",'سجل التحفيز'!$B$5:$B$2004,B169))</f>
        <v/>
      </c>
      <c r="G169" s="35">
        <f>IF(B169="","",COUNTIF($D$38:$D$187,"&gt;"&amp;D169)+1)</f>
        <v/>
      </c>
      <c r="H169" s="35">
        <f>IF(B169="","",INDEX(الموظفات!$L$5:$L$304,MATCH(B169,الموظفات!$B$5:$B$304,0)))</f>
        <v/>
      </c>
      <c r="K169" s="36">
        <f>IF(132&gt;$B$10,"",132)</f>
        <v/>
      </c>
      <c r="L169" s="37">
        <f>IF($K169="","",INDEX('سجل التحفيز'!$A$5:$A$2004,MATCH($K169,'سجل التحفيز'!$AE$5:$AE$2004,0)))</f>
        <v/>
      </c>
      <c r="M169" s="9">
        <f>IF($K169="","",INDEX('سجل التحفيز'!$B$5:$B$2004,MATCH($K169,'سجل التحفيز'!$AE$5:$AE$2004,0)))</f>
        <v/>
      </c>
      <c r="N169" s="9">
        <f>IF($K169="","",INDEX('سجل التحفيز'!$M$5:$M$2004,MATCH($K169,'سجل التحفيز'!$AE$5:$AE$2004,0)))</f>
        <v/>
      </c>
      <c r="O169" s="9">
        <f>IF($K169="","",INDEX('سجل التحفيز'!$C$5:$C$2004,MATCH($K169,'سجل التحفيز'!$AE$5:$AE$2004,0)))</f>
        <v/>
      </c>
      <c r="P169" s="36">
        <f>IF($K169="","",INDEX('سجل التحفيز'!$D$5:$D$2004,MATCH($K169,'سجل التحفيز'!$AE$5:$AE$2004,0)))</f>
        <v/>
      </c>
      <c r="Q169" s="9">
        <f>IF($K169="","",INDEX('سجل التحفيز'!$E$5:$E$2004,MATCH($K169,'سجل التحفيز'!$AE$5:$AE$2004,0)))</f>
        <v/>
      </c>
      <c r="R169" s="9">
        <f>IF($K169="","",INDEX('سجل التحفيز'!$F$5:$F$2004,MATCH($K169,'سجل التحفيز'!$AE$5:$AE$2004,0)))</f>
        <v/>
      </c>
      <c r="S169" s="35">
        <f>IF($K169="","",INDEX('سجل التحفيز'!$G$5:$G$2004,MATCH($K169,'سجل التحفيز'!$AE$5:$AE$2004,0)))</f>
        <v/>
      </c>
    </row>
    <row r="170">
      <c r="B170" s="34">
        <f>IFERROR(INDEX(الموظفات!$B$5:$B$304,MATCH(133,الموظفات!$Y$5:$Y$304,0)),"")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التحفيز'!$AE$5:$AE$2004,"&gt;0",'سجل التحفيز'!$B$5:$B$2004,B170))</f>
        <v/>
      </c>
      <c r="E170" s="35">
        <f>IF(B170="","",COUNTIFS('سجل التحفيز'!$AE$5:$AE$2004,"&gt;0",'سجل التحفيز'!$B$5:$B$2004,B170,'سجل التحفيز'!$D$5:$D$2004,"ذهبي"))</f>
        <v/>
      </c>
      <c r="F170" s="35">
        <f>IF(B170="","",SUMIFS('سجل التحفيز'!$G$5:$G$2004,'سجل التحفيز'!$AE$5:$AE$2004,"&gt;0",'سجل التحفيز'!$B$5:$B$2004,B170))</f>
        <v/>
      </c>
      <c r="G170" s="35">
        <f>IF(B170="","",COUNTIF($D$38:$D$187,"&gt;"&amp;D170)+1)</f>
        <v/>
      </c>
      <c r="H170" s="35">
        <f>IF(B170="","",INDEX(الموظفات!$L$5:$L$304,MATCH(B170,الموظفات!$B$5:$B$304,0)))</f>
        <v/>
      </c>
      <c r="K170" s="36">
        <f>IF(133&gt;$B$10,"",133)</f>
        <v/>
      </c>
      <c r="L170" s="37">
        <f>IF($K170="","",INDEX('سجل التحفيز'!$A$5:$A$2004,MATCH($K170,'سجل التحفيز'!$AE$5:$AE$2004,0)))</f>
        <v/>
      </c>
      <c r="M170" s="9">
        <f>IF($K170="","",INDEX('سجل التحفيز'!$B$5:$B$2004,MATCH($K170,'سجل التحفيز'!$AE$5:$AE$2004,0)))</f>
        <v/>
      </c>
      <c r="N170" s="9">
        <f>IF($K170="","",INDEX('سجل التحفيز'!$M$5:$M$2004,MATCH($K170,'سجل التحفيز'!$AE$5:$AE$2004,0)))</f>
        <v/>
      </c>
      <c r="O170" s="9">
        <f>IF($K170="","",INDEX('سجل التحفيز'!$C$5:$C$2004,MATCH($K170,'سجل التحفيز'!$AE$5:$AE$2004,0)))</f>
        <v/>
      </c>
      <c r="P170" s="36">
        <f>IF($K170="","",INDEX('سجل التحفيز'!$D$5:$D$2004,MATCH($K170,'سجل التحفيز'!$AE$5:$AE$2004,0)))</f>
        <v/>
      </c>
      <c r="Q170" s="9">
        <f>IF($K170="","",INDEX('سجل التحفيز'!$E$5:$E$2004,MATCH($K170,'سجل التحفيز'!$AE$5:$AE$2004,0)))</f>
        <v/>
      </c>
      <c r="R170" s="9">
        <f>IF($K170="","",INDEX('سجل التحفيز'!$F$5:$F$2004,MATCH($K170,'سجل التحفيز'!$AE$5:$AE$2004,0)))</f>
        <v/>
      </c>
      <c r="S170" s="35">
        <f>IF($K170="","",INDEX('سجل التحفيز'!$G$5:$G$2004,MATCH($K170,'سجل التحفيز'!$AE$5:$AE$2004,0)))</f>
        <v/>
      </c>
    </row>
    <row r="171">
      <c r="B171" s="34">
        <f>IFERROR(INDEX(الموظفات!$B$5:$B$304,MATCH(134,الموظفات!$Y$5:$Y$304,0)),"")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التحفيز'!$AE$5:$AE$2004,"&gt;0",'سجل التحفيز'!$B$5:$B$2004,B171))</f>
        <v/>
      </c>
      <c r="E171" s="35">
        <f>IF(B171="","",COUNTIFS('سجل التحفيز'!$AE$5:$AE$2004,"&gt;0",'سجل التحفيز'!$B$5:$B$2004,B171,'سجل التحفيز'!$D$5:$D$2004,"ذهبي"))</f>
        <v/>
      </c>
      <c r="F171" s="35">
        <f>IF(B171="","",SUMIFS('سجل التحفيز'!$G$5:$G$2004,'سجل التحفيز'!$AE$5:$AE$2004,"&gt;0",'سجل التحفيز'!$B$5:$B$2004,B171))</f>
        <v/>
      </c>
      <c r="G171" s="35">
        <f>IF(B171="","",COUNTIF($D$38:$D$187,"&gt;"&amp;D171)+1)</f>
        <v/>
      </c>
      <c r="H171" s="35">
        <f>IF(B171="","",INDEX(الموظفات!$L$5:$L$304,MATCH(B171,الموظفات!$B$5:$B$304,0)))</f>
        <v/>
      </c>
      <c r="K171" s="36">
        <f>IF(134&gt;$B$10,"",134)</f>
        <v/>
      </c>
      <c r="L171" s="37">
        <f>IF($K171="","",INDEX('سجل التحفيز'!$A$5:$A$2004,MATCH($K171,'سجل التحفيز'!$AE$5:$AE$2004,0)))</f>
        <v/>
      </c>
      <c r="M171" s="9">
        <f>IF($K171="","",INDEX('سجل التحفيز'!$B$5:$B$2004,MATCH($K171,'سجل التحفيز'!$AE$5:$AE$2004,0)))</f>
        <v/>
      </c>
      <c r="N171" s="9">
        <f>IF($K171="","",INDEX('سجل التحفيز'!$M$5:$M$2004,MATCH($K171,'سجل التحفيز'!$AE$5:$AE$2004,0)))</f>
        <v/>
      </c>
      <c r="O171" s="9">
        <f>IF($K171="","",INDEX('سجل التحفيز'!$C$5:$C$2004,MATCH($K171,'سجل التحفيز'!$AE$5:$AE$2004,0)))</f>
        <v/>
      </c>
      <c r="P171" s="36">
        <f>IF($K171="","",INDEX('سجل التحفيز'!$D$5:$D$2004,MATCH($K171,'سجل التحفيز'!$AE$5:$AE$2004,0)))</f>
        <v/>
      </c>
      <c r="Q171" s="9">
        <f>IF($K171="","",INDEX('سجل التحفيز'!$E$5:$E$2004,MATCH($K171,'سجل التحفيز'!$AE$5:$AE$2004,0)))</f>
        <v/>
      </c>
      <c r="R171" s="9">
        <f>IF($K171="","",INDEX('سجل التحفيز'!$F$5:$F$2004,MATCH($K171,'سجل التحفيز'!$AE$5:$AE$2004,0)))</f>
        <v/>
      </c>
      <c r="S171" s="35">
        <f>IF($K171="","",INDEX('سجل التحفيز'!$G$5:$G$2004,MATCH($K171,'سجل التحفيز'!$AE$5:$AE$2004,0)))</f>
        <v/>
      </c>
    </row>
    <row r="172">
      <c r="B172" s="34">
        <f>IFERROR(INDEX(الموظفات!$B$5:$B$304,MATCH(135,الموظفات!$Y$5:$Y$304,0)),"")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التحفيز'!$AE$5:$AE$2004,"&gt;0",'سجل التحفيز'!$B$5:$B$2004,B172))</f>
        <v/>
      </c>
      <c r="E172" s="35">
        <f>IF(B172="","",COUNTIFS('سجل التحفيز'!$AE$5:$AE$2004,"&gt;0",'سجل التحفيز'!$B$5:$B$2004,B172,'سجل التحفيز'!$D$5:$D$2004,"ذهبي"))</f>
        <v/>
      </c>
      <c r="F172" s="35">
        <f>IF(B172="","",SUMIFS('سجل التحفيز'!$G$5:$G$2004,'سجل التحفيز'!$AE$5:$AE$2004,"&gt;0",'سجل التحفيز'!$B$5:$B$2004,B172))</f>
        <v/>
      </c>
      <c r="G172" s="35">
        <f>IF(B172="","",COUNTIF($D$38:$D$187,"&gt;"&amp;D172)+1)</f>
        <v/>
      </c>
      <c r="H172" s="35">
        <f>IF(B172="","",INDEX(الموظفات!$L$5:$L$304,MATCH(B172,الموظفات!$B$5:$B$304,0)))</f>
        <v/>
      </c>
      <c r="K172" s="36">
        <f>IF(135&gt;$B$10,"",135)</f>
        <v/>
      </c>
      <c r="L172" s="37">
        <f>IF($K172="","",INDEX('سجل التحفيز'!$A$5:$A$2004,MATCH($K172,'سجل التحفيز'!$AE$5:$AE$2004,0)))</f>
        <v/>
      </c>
      <c r="M172" s="9">
        <f>IF($K172="","",INDEX('سجل التحفيز'!$B$5:$B$2004,MATCH($K172,'سجل التحفيز'!$AE$5:$AE$2004,0)))</f>
        <v/>
      </c>
      <c r="N172" s="9">
        <f>IF($K172="","",INDEX('سجل التحفيز'!$M$5:$M$2004,MATCH($K172,'سجل التحفيز'!$AE$5:$AE$2004,0)))</f>
        <v/>
      </c>
      <c r="O172" s="9">
        <f>IF($K172="","",INDEX('سجل التحفيز'!$C$5:$C$2004,MATCH($K172,'سجل التحفيز'!$AE$5:$AE$2004,0)))</f>
        <v/>
      </c>
      <c r="P172" s="36">
        <f>IF($K172="","",INDEX('سجل التحفيز'!$D$5:$D$2004,MATCH($K172,'سجل التحفيز'!$AE$5:$AE$2004,0)))</f>
        <v/>
      </c>
      <c r="Q172" s="9">
        <f>IF($K172="","",INDEX('سجل التحفيز'!$E$5:$E$2004,MATCH($K172,'سجل التحفيز'!$AE$5:$AE$2004,0)))</f>
        <v/>
      </c>
      <c r="R172" s="9">
        <f>IF($K172="","",INDEX('سجل التحفيز'!$F$5:$F$2004,MATCH($K172,'سجل التحفيز'!$AE$5:$AE$2004,0)))</f>
        <v/>
      </c>
      <c r="S172" s="35">
        <f>IF($K172="","",INDEX('سجل التحفيز'!$G$5:$G$2004,MATCH($K172,'سجل التحفيز'!$AE$5:$AE$2004,0)))</f>
        <v/>
      </c>
    </row>
    <row r="173">
      <c r="B173" s="34">
        <f>IFERROR(INDEX(الموظفات!$B$5:$B$304,MATCH(136,الموظفات!$Y$5:$Y$304,0)),"")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التحفيز'!$AE$5:$AE$2004,"&gt;0",'سجل التحفيز'!$B$5:$B$2004,B173))</f>
        <v/>
      </c>
      <c r="E173" s="35">
        <f>IF(B173="","",COUNTIFS('سجل التحفيز'!$AE$5:$AE$2004,"&gt;0",'سجل التحفيز'!$B$5:$B$2004,B173,'سجل التحفيز'!$D$5:$D$2004,"ذهبي"))</f>
        <v/>
      </c>
      <c r="F173" s="35">
        <f>IF(B173="","",SUMIFS('سجل التحفيز'!$G$5:$G$2004,'سجل التحفيز'!$AE$5:$AE$2004,"&gt;0",'سجل التحفيز'!$B$5:$B$2004,B173))</f>
        <v/>
      </c>
      <c r="G173" s="35">
        <f>IF(B173="","",COUNTIF($D$38:$D$187,"&gt;"&amp;D173)+1)</f>
        <v/>
      </c>
      <c r="H173" s="35">
        <f>IF(B173="","",INDEX(الموظفات!$L$5:$L$304,MATCH(B173,الموظفات!$B$5:$B$304,0)))</f>
        <v/>
      </c>
      <c r="K173" s="36">
        <f>IF(136&gt;$B$10,"",136)</f>
        <v/>
      </c>
      <c r="L173" s="37">
        <f>IF($K173="","",INDEX('سجل التحفيز'!$A$5:$A$2004,MATCH($K173,'سجل التحفيز'!$AE$5:$AE$2004,0)))</f>
        <v/>
      </c>
      <c r="M173" s="9">
        <f>IF($K173="","",INDEX('سجل التحفيز'!$B$5:$B$2004,MATCH($K173,'سجل التحفيز'!$AE$5:$AE$2004,0)))</f>
        <v/>
      </c>
      <c r="N173" s="9">
        <f>IF($K173="","",INDEX('سجل التحفيز'!$M$5:$M$2004,MATCH($K173,'سجل التحفيز'!$AE$5:$AE$2004,0)))</f>
        <v/>
      </c>
      <c r="O173" s="9">
        <f>IF($K173="","",INDEX('سجل التحفيز'!$C$5:$C$2004,MATCH($K173,'سجل التحفيز'!$AE$5:$AE$2004,0)))</f>
        <v/>
      </c>
      <c r="P173" s="36">
        <f>IF($K173="","",INDEX('سجل التحفيز'!$D$5:$D$2004,MATCH($K173,'سجل التحفيز'!$AE$5:$AE$2004,0)))</f>
        <v/>
      </c>
      <c r="Q173" s="9">
        <f>IF($K173="","",INDEX('سجل التحفيز'!$E$5:$E$2004,MATCH($K173,'سجل التحفيز'!$AE$5:$AE$2004,0)))</f>
        <v/>
      </c>
      <c r="R173" s="9">
        <f>IF($K173="","",INDEX('سجل التحفيز'!$F$5:$F$2004,MATCH($K173,'سجل التحفيز'!$AE$5:$AE$2004,0)))</f>
        <v/>
      </c>
      <c r="S173" s="35">
        <f>IF($K173="","",INDEX('سجل التحفيز'!$G$5:$G$2004,MATCH($K173,'سجل التحفيز'!$AE$5:$AE$2004,0)))</f>
        <v/>
      </c>
    </row>
    <row r="174">
      <c r="B174" s="34">
        <f>IFERROR(INDEX(الموظفات!$B$5:$B$304,MATCH(137,الموظفات!$Y$5:$Y$304,0)),"")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التحفيز'!$AE$5:$AE$2004,"&gt;0",'سجل التحفيز'!$B$5:$B$2004,B174))</f>
        <v/>
      </c>
      <c r="E174" s="35">
        <f>IF(B174="","",COUNTIFS('سجل التحفيز'!$AE$5:$AE$2004,"&gt;0",'سجل التحفيز'!$B$5:$B$2004,B174,'سجل التحفيز'!$D$5:$D$2004,"ذهبي"))</f>
        <v/>
      </c>
      <c r="F174" s="35">
        <f>IF(B174="","",SUMIFS('سجل التحفيز'!$G$5:$G$2004,'سجل التحفيز'!$AE$5:$AE$2004,"&gt;0",'سجل التحفيز'!$B$5:$B$2004,B174))</f>
        <v/>
      </c>
      <c r="G174" s="35">
        <f>IF(B174="","",COUNTIF($D$38:$D$187,"&gt;"&amp;D174)+1)</f>
        <v/>
      </c>
      <c r="H174" s="35">
        <f>IF(B174="","",INDEX(الموظفات!$L$5:$L$304,MATCH(B174,الموظفات!$B$5:$B$304,0)))</f>
        <v/>
      </c>
      <c r="K174" s="36">
        <f>IF(137&gt;$B$10,"",137)</f>
        <v/>
      </c>
      <c r="L174" s="37">
        <f>IF($K174="","",INDEX('سجل التحفيز'!$A$5:$A$2004,MATCH($K174,'سجل التحفيز'!$AE$5:$AE$2004,0)))</f>
        <v/>
      </c>
      <c r="M174" s="9">
        <f>IF($K174="","",INDEX('سجل التحفيز'!$B$5:$B$2004,MATCH($K174,'سجل التحفيز'!$AE$5:$AE$2004,0)))</f>
        <v/>
      </c>
      <c r="N174" s="9">
        <f>IF($K174="","",INDEX('سجل التحفيز'!$M$5:$M$2004,MATCH($K174,'سجل التحفيز'!$AE$5:$AE$2004,0)))</f>
        <v/>
      </c>
      <c r="O174" s="9">
        <f>IF($K174="","",INDEX('سجل التحفيز'!$C$5:$C$2004,MATCH($K174,'سجل التحفيز'!$AE$5:$AE$2004,0)))</f>
        <v/>
      </c>
      <c r="P174" s="36">
        <f>IF($K174="","",INDEX('سجل التحفيز'!$D$5:$D$2004,MATCH($K174,'سجل التحفيز'!$AE$5:$AE$2004,0)))</f>
        <v/>
      </c>
      <c r="Q174" s="9">
        <f>IF($K174="","",INDEX('سجل التحفيز'!$E$5:$E$2004,MATCH($K174,'سجل التحفيز'!$AE$5:$AE$2004,0)))</f>
        <v/>
      </c>
      <c r="R174" s="9">
        <f>IF($K174="","",INDEX('سجل التحفيز'!$F$5:$F$2004,MATCH($K174,'سجل التحفيز'!$AE$5:$AE$2004,0)))</f>
        <v/>
      </c>
      <c r="S174" s="35">
        <f>IF($K174="","",INDEX('سجل التحفيز'!$G$5:$G$2004,MATCH($K174,'سجل التحفيز'!$AE$5:$AE$2004,0)))</f>
        <v/>
      </c>
    </row>
    <row r="175">
      <c r="B175" s="34">
        <f>IFERROR(INDEX(الموظفات!$B$5:$B$304,MATCH(138,الموظفات!$Y$5:$Y$304,0)),"")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التحفيز'!$AE$5:$AE$2004,"&gt;0",'سجل التحفيز'!$B$5:$B$2004,B175))</f>
        <v/>
      </c>
      <c r="E175" s="35">
        <f>IF(B175="","",COUNTIFS('سجل التحفيز'!$AE$5:$AE$2004,"&gt;0",'سجل التحفيز'!$B$5:$B$2004,B175,'سجل التحفيز'!$D$5:$D$2004,"ذهبي"))</f>
        <v/>
      </c>
      <c r="F175" s="35">
        <f>IF(B175="","",SUMIFS('سجل التحفيز'!$G$5:$G$2004,'سجل التحفيز'!$AE$5:$AE$2004,"&gt;0",'سجل التحفيز'!$B$5:$B$2004,B175))</f>
        <v/>
      </c>
      <c r="G175" s="35">
        <f>IF(B175="","",COUNTIF($D$38:$D$187,"&gt;"&amp;D175)+1)</f>
        <v/>
      </c>
      <c r="H175" s="35">
        <f>IF(B175="","",INDEX(الموظفات!$L$5:$L$304,MATCH(B175,الموظفات!$B$5:$B$304,0)))</f>
        <v/>
      </c>
      <c r="K175" s="36">
        <f>IF(138&gt;$B$10,"",138)</f>
        <v/>
      </c>
      <c r="L175" s="37">
        <f>IF($K175="","",INDEX('سجل التحفيز'!$A$5:$A$2004,MATCH($K175,'سجل التحفيز'!$AE$5:$AE$2004,0)))</f>
        <v/>
      </c>
      <c r="M175" s="9">
        <f>IF($K175="","",INDEX('سجل التحفيز'!$B$5:$B$2004,MATCH($K175,'سجل التحفيز'!$AE$5:$AE$2004,0)))</f>
        <v/>
      </c>
      <c r="N175" s="9">
        <f>IF($K175="","",INDEX('سجل التحفيز'!$M$5:$M$2004,MATCH($K175,'سجل التحفيز'!$AE$5:$AE$2004,0)))</f>
        <v/>
      </c>
      <c r="O175" s="9">
        <f>IF($K175="","",INDEX('سجل التحفيز'!$C$5:$C$2004,MATCH($K175,'سجل التحفيز'!$AE$5:$AE$2004,0)))</f>
        <v/>
      </c>
      <c r="P175" s="36">
        <f>IF($K175="","",INDEX('سجل التحفيز'!$D$5:$D$2004,MATCH($K175,'سجل التحفيز'!$AE$5:$AE$2004,0)))</f>
        <v/>
      </c>
      <c r="Q175" s="9">
        <f>IF($K175="","",INDEX('سجل التحفيز'!$E$5:$E$2004,MATCH($K175,'سجل التحفيز'!$AE$5:$AE$2004,0)))</f>
        <v/>
      </c>
      <c r="R175" s="9">
        <f>IF($K175="","",INDEX('سجل التحفيز'!$F$5:$F$2004,MATCH($K175,'سجل التحفيز'!$AE$5:$AE$2004,0)))</f>
        <v/>
      </c>
      <c r="S175" s="35">
        <f>IF($K175="","",INDEX('سجل التحفيز'!$G$5:$G$2004,MATCH($K175,'سجل التحفيز'!$AE$5:$AE$2004,0)))</f>
        <v/>
      </c>
    </row>
    <row r="176">
      <c r="B176" s="34">
        <f>IFERROR(INDEX(الموظفات!$B$5:$B$304,MATCH(139,الموظفات!$Y$5:$Y$304,0)),"")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التحفيز'!$AE$5:$AE$2004,"&gt;0",'سجل التحفيز'!$B$5:$B$2004,B176))</f>
        <v/>
      </c>
      <c r="E176" s="35">
        <f>IF(B176="","",COUNTIFS('سجل التحفيز'!$AE$5:$AE$2004,"&gt;0",'سجل التحفيز'!$B$5:$B$2004,B176,'سجل التحفيز'!$D$5:$D$2004,"ذهبي"))</f>
        <v/>
      </c>
      <c r="F176" s="35">
        <f>IF(B176="","",SUMIFS('سجل التحفيز'!$G$5:$G$2004,'سجل التحفيز'!$AE$5:$AE$2004,"&gt;0",'سجل التحفيز'!$B$5:$B$2004,B176))</f>
        <v/>
      </c>
      <c r="G176" s="35">
        <f>IF(B176="","",COUNTIF($D$38:$D$187,"&gt;"&amp;D176)+1)</f>
        <v/>
      </c>
      <c r="H176" s="35">
        <f>IF(B176="","",INDEX(الموظفات!$L$5:$L$304,MATCH(B176,الموظفات!$B$5:$B$304,0)))</f>
        <v/>
      </c>
      <c r="K176" s="36">
        <f>IF(139&gt;$B$10,"",139)</f>
        <v/>
      </c>
      <c r="L176" s="37">
        <f>IF($K176="","",INDEX('سجل التحفيز'!$A$5:$A$2004,MATCH($K176,'سجل التحفيز'!$AE$5:$AE$2004,0)))</f>
        <v/>
      </c>
      <c r="M176" s="9">
        <f>IF($K176="","",INDEX('سجل التحفيز'!$B$5:$B$2004,MATCH($K176,'سجل التحفيز'!$AE$5:$AE$2004,0)))</f>
        <v/>
      </c>
      <c r="N176" s="9">
        <f>IF($K176="","",INDEX('سجل التحفيز'!$M$5:$M$2004,MATCH($K176,'سجل التحفيز'!$AE$5:$AE$2004,0)))</f>
        <v/>
      </c>
      <c r="O176" s="9">
        <f>IF($K176="","",INDEX('سجل التحفيز'!$C$5:$C$2004,MATCH($K176,'سجل التحفيز'!$AE$5:$AE$2004,0)))</f>
        <v/>
      </c>
      <c r="P176" s="36">
        <f>IF($K176="","",INDEX('سجل التحفيز'!$D$5:$D$2004,MATCH($K176,'سجل التحفيز'!$AE$5:$AE$2004,0)))</f>
        <v/>
      </c>
      <c r="Q176" s="9">
        <f>IF($K176="","",INDEX('سجل التحفيز'!$E$5:$E$2004,MATCH($K176,'سجل التحفيز'!$AE$5:$AE$2004,0)))</f>
        <v/>
      </c>
      <c r="R176" s="9">
        <f>IF($K176="","",INDEX('سجل التحفيز'!$F$5:$F$2004,MATCH($K176,'سجل التحفيز'!$AE$5:$AE$2004,0)))</f>
        <v/>
      </c>
      <c r="S176" s="35">
        <f>IF($K176="","",INDEX('سجل التحفيز'!$G$5:$G$2004,MATCH($K176,'سجل التحفيز'!$AE$5:$AE$2004,0)))</f>
        <v/>
      </c>
    </row>
    <row r="177">
      <c r="B177" s="34">
        <f>IFERROR(INDEX(الموظفات!$B$5:$B$304,MATCH(140,الموظفات!$Y$5:$Y$304,0)),"")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التحفيز'!$AE$5:$AE$2004,"&gt;0",'سجل التحفيز'!$B$5:$B$2004,B177))</f>
        <v/>
      </c>
      <c r="E177" s="35">
        <f>IF(B177="","",COUNTIFS('سجل التحفيز'!$AE$5:$AE$2004,"&gt;0",'سجل التحفيز'!$B$5:$B$2004,B177,'سجل التحفيز'!$D$5:$D$2004,"ذهبي"))</f>
        <v/>
      </c>
      <c r="F177" s="35">
        <f>IF(B177="","",SUMIFS('سجل التحفيز'!$G$5:$G$2004,'سجل التحفيز'!$AE$5:$AE$2004,"&gt;0",'سجل التحفيز'!$B$5:$B$2004,B177))</f>
        <v/>
      </c>
      <c r="G177" s="35">
        <f>IF(B177="","",COUNTIF($D$38:$D$187,"&gt;"&amp;D177)+1)</f>
        <v/>
      </c>
      <c r="H177" s="35">
        <f>IF(B177="","",INDEX(الموظفات!$L$5:$L$304,MATCH(B177,الموظفات!$B$5:$B$304,0)))</f>
        <v/>
      </c>
      <c r="K177" s="36">
        <f>IF(140&gt;$B$10,"",140)</f>
        <v/>
      </c>
      <c r="L177" s="37">
        <f>IF($K177="","",INDEX('سجل التحفيز'!$A$5:$A$2004,MATCH($K177,'سجل التحفيز'!$AE$5:$AE$2004,0)))</f>
        <v/>
      </c>
      <c r="M177" s="9">
        <f>IF($K177="","",INDEX('سجل التحفيز'!$B$5:$B$2004,MATCH($K177,'سجل التحفيز'!$AE$5:$AE$2004,0)))</f>
        <v/>
      </c>
      <c r="N177" s="9">
        <f>IF($K177="","",INDEX('سجل التحفيز'!$M$5:$M$2004,MATCH($K177,'سجل التحفيز'!$AE$5:$AE$2004,0)))</f>
        <v/>
      </c>
      <c r="O177" s="9">
        <f>IF($K177="","",INDEX('سجل التحفيز'!$C$5:$C$2004,MATCH($K177,'سجل التحفيز'!$AE$5:$AE$2004,0)))</f>
        <v/>
      </c>
      <c r="P177" s="36">
        <f>IF($K177="","",INDEX('سجل التحفيز'!$D$5:$D$2004,MATCH($K177,'سجل التحفيز'!$AE$5:$AE$2004,0)))</f>
        <v/>
      </c>
      <c r="Q177" s="9">
        <f>IF($K177="","",INDEX('سجل التحفيز'!$E$5:$E$2004,MATCH($K177,'سجل التحفيز'!$AE$5:$AE$2004,0)))</f>
        <v/>
      </c>
      <c r="R177" s="9">
        <f>IF($K177="","",INDEX('سجل التحفيز'!$F$5:$F$2004,MATCH($K177,'سجل التحفيز'!$AE$5:$AE$2004,0)))</f>
        <v/>
      </c>
      <c r="S177" s="35">
        <f>IF($K177="","",INDEX('سجل التحفيز'!$G$5:$G$2004,MATCH($K177,'سجل التحفيز'!$AE$5:$AE$2004,0)))</f>
        <v/>
      </c>
    </row>
    <row r="178">
      <c r="B178" s="34">
        <f>IFERROR(INDEX(الموظفات!$B$5:$B$304,MATCH(141,الموظفات!$Y$5:$Y$304,0)),"")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التحفيز'!$AE$5:$AE$2004,"&gt;0",'سجل التحفيز'!$B$5:$B$2004,B178))</f>
        <v/>
      </c>
      <c r="E178" s="35">
        <f>IF(B178="","",COUNTIFS('سجل التحفيز'!$AE$5:$AE$2004,"&gt;0",'سجل التحفيز'!$B$5:$B$2004,B178,'سجل التحفيز'!$D$5:$D$2004,"ذهبي"))</f>
        <v/>
      </c>
      <c r="F178" s="35">
        <f>IF(B178="","",SUMIFS('سجل التحفيز'!$G$5:$G$2004,'سجل التحفيز'!$AE$5:$AE$2004,"&gt;0",'سجل التحفيز'!$B$5:$B$2004,B178))</f>
        <v/>
      </c>
      <c r="G178" s="35">
        <f>IF(B178="","",COUNTIF($D$38:$D$187,"&gt;"&amp;D178)+1)</f>
        <v/>
      </c>
      <c r="H178" s="35">
        <f>IF(B178="","",INDEX(الموظفات!$L$5:$L$304,MATCH(B178,الموظفات!$B$5:$B$304,0)))</f>
        <v/>
      </c>
      <c r="K178" s="36">
        <f>IF(141&gt;$B$10,"",141)</f>
        <v/>
      </c>
      <c r="L178" s="37">
        <f>IF($K178="","",INDEX('سجل التحفيز'!$A$5:$A$2004,MATCH($K178,'سجل التحفيز'!$AE$5:$AE$2004,0)))</f>
        <v/>
      </c>
      <c r="M178" s="9">
        <f>IF($K178="","",INDEX('سجل التحفيز'!$B$5:$B$2004,MATCH($K178,'سجل التحفيز'!$AE$5:$AE$2004,0)))</f>
        <v/>
      </c>
      <c r="N178" s="9">
        <f>IF($K178="","",INDEX('سجل التحفيز'!$M$5:$M$2004,MATCH($K178,'سجل التحفيز'!$AE$5:$AE$2004,0)))</f>
        <v/>
      </c>
      <c r="O178" s="9">
        <f>IF($K178="","",INDEX('سجل التحفيز'!$C$5:$C$2004,MATCH($K178,'سجل التحفيز'!$AE$5:$AE$2004,0)))</f>
        <v/>
      </c>
      <c r="P178" s="36">
        <f>IF($K178="","",INDEX('سجل التحفيز'!$D$5:$D$2004,MATCH($K178,'سجل التحفيز'!$AE$5:$AE$2004,0)))</f>
        <v/>
      </c>
      <c r="Q178" s="9">
        <f>IF($K178="","",INDEX('سجل التحفيز'!$E$5:$E$2004,MATCH($K178,'سجل التحفيز'!$AE$5:$AE$2004,0)))</f>
        <v/>
      </c>
      <c r="R178" s="9">
        <f>IF($K178="","",INDEX('سجل التحفيز'!$F$5:$F$2004,MATCH($K178,'سجل التحفيز'!$AE$5:$AE$2004,0)))</f>
        <v/>
      </c>
      <c r="S178" s="35">
        <f>IF($K178="","",INDEX('سجل التحفيز'!$G$5:$G$2004,MATCH($K178,'سجل التحفيز'!$AE$5:$AE$2004,0)))</f>
        <v/>
      </c>
    </row>
    <row r="179">
      <c r="B179" s="34">
        <f>IFERROR(INDEX(الموظفات!$B$5:$B$304,MATCH(142,الموظفات!$Y$5:$Y$304,0)),"")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التحفيز'!$AE$5:$AE$2004,"&gt;0",'سجل التحفيز'!$B$5:$B$2004,B179))</f>
        <v/>
      </c>
      <c r="E179" s="35">
        <f>IF(B179="","",COUNTIFS('سجل التحفيز'!$AE$5:$AE$2004,"&gt;0",'سجل التحفيز'!$B$5:$B$2004,B179,'سجل التحفيز'!$D$5:$D$2004,"ذهبي"))</f>
        <v/>
      </c>
      <c r="F179" s="35">
        <f>IF(B179="","",SUMIFS('سجل التحفيز'!$G$5:$G$2004,'سجل التحفيز'!$AE$5:$AE$2004,"&gt;0",'سجل التحفيز'!$B$5:$B$2004,B179))</f>
        <v/>
      </c>
      <c r="G179" s="35">
        <f>IF(B179="","",COUNTIF($D$38:$D$187,"&gt;"&amp;D179)+1)</f>
        <v/>
      </c>
      <c r="H179" s="35">
        <f>IF(B179="","",INDEX(الموظفات!$L$5:$L$304,MATCH(B179,الموظفات!$B$5:$B$304,0)))</f>
        <v/>
      </c>
      <c r="K179" s="36">
        <f>IF(142&gt;$B$10,"",142)</f>
        <v/>
      </c>
      <c r="L179" s="37">
        <f>IF($K179="","",INDEX('سجل التحفيز'!$A$5:$A$2004,MATCH($K179,'سجل التحفيز'!$AE$5:$AE$2004,0)))</f>
        <v/>
      </c>
      <c r="M179" s="9">
        <f>IF($K179="","",INDEX('سجل التحفيز'!$B$5:$B$2004,MATCH($K179,'سجل التحفيز'!$AE$5:$AE$2004,0)))</f>
        <v/>
      </c>
      <c r="N179" s="9">
        <f>IF($K179="","",INDEX('سجل التحفيز'!$M$5:$M$2004,MATCH($K179,'سجل التحفيز'!$AE$5:$AE$2004,0)))</f>
        <v/>
      </c>
      <c r="O179" s="9">
        <f>IF($K179="","",INDEX('سجل التحفيز'!$C$5:$C$2004,MATCH($K179,'سجل التحفيز'!$AE$5:$AE$2004,0)))</f>
        <v/>
      </c>
      <c r="P179" s="36">
        <f>IF($K179="","",INDEX('سجل التحفيز'!$D$5:$D$2004,MATCH($K179,'سجل التحفيز'!$AE$5:$AE$2004,0)))</f>
        <v/>
      </c>
      <c r="Q179" s="9">
        <f>IF($K179="","",INDEX('سجل التحفيز'!$E$5:$E$2004,MATCH($K179,'سجل التحفيز'!$AE$5:$AE$2004,0)))</f>
        <v/>
      </c>
      <c r="R179" s="9">
        <f>IF($K179="","",INDEX('سجل التحفيز'!$F$5:$F$2004,MATCH($K179,'سجل التحفيز'!$AE$5:$AE$2004,0)))</f>
        <v/>
      </c>
      <c r="S179" s="35">
        <f>IF($K179="","",INDEX('سجل التحفيز'!$G$5:$G$2004,MATCH($K179,'سجل التحفيز'!$AE$5:$AE$2004,0)))</f>
        <v/>
      </c>
    </row>
    <row r="180">
      <c r="B180" s="34">
        <f>IFERROR(INDEX(الموظفات!$B$5:$B$304,MATCH(143,الموظفات!$Y$5:$Y$304,0)),"")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التحفيز'!$AE$5:$AE$2004,"&gt;0",'سجل التحفيز'!$B$5:$B$2004,B180))</f>
        <v/>
      </c>
      <c r="E180" s="35">
        <f>IF(B180="","",COUNTIFS('سجل التحفيز'!$AE$5:$AE$2004,"&gt;0",'سجل التحفيز'!$B$5:$B$2004,B180,'سجل التحفيز'!$D$5:$D$2004,"ذهبي"))</f>
        <v/>
      </c>
      <c r="F180" s="35">
        <f>IF(B180="","",SUMIFS('سجل التحفيز'!$G$5:$G$2004,'سجل التحفيز'!$AE$5:$AE$2004,"&gt;0",'سجل التحفيز'!$B$5:$B$2004,B180))</f>
        <v/>
      </c>
      <c r="G180" s="35">
        <f>IF(B180="","",COUNTIF($D$38:$D$187,"&gt;"&amp;D180)+1)</f>
        <v/>
      </c>
      <c r="H180" s="35">
        <f>IF(B180="","",INDEX(الموظفات!$L$5:$L$304,MATCH(B180,الموظفات!$B$5:$B$304,0)))</f>
        <v/>
      </c>
      <c r="K180" s="36">
        <f>IF(143&gt;$B$10,"",143)</f>
        <v/>
      </c>
      <c r="L180" s="37">
        <f>IF($K180="","",INDEX('سجل التحفيز'!$A$5:$A$2004,MATCH($K180,'سجل التحفيز'!$AE$5:$AE$2004,0)))</f>
        <v/>
      </c>
      <c r="M180" s="9">
        <f>IF($K180="","",INDEX('سجل التحفيز'!$B$5:$B$2004,MATCH($K180,'سجل التحفيز'!$AE$5:$AE$2004,0)))</f>
        <v/>
      </c>
      <c r="N180" s="9">
        <f>IF($K180="","",INDEX('سجل التحفيز'!$M$5:$M$2004,MATCH($K180,'سجل التحفيز'!$AE$5:$AE$2004,0)))</f>
        <v/>
      </c>
      <c r="O180" s="9">
        <f>IF($K180="","",INDEX('سجل التحفيز'!$C$5:$C$2004,MATCH($K180,'سجل التحفيز'!$AE$5:$AE$2004,0)))</f>
        <v/>
      </c>
      <c r="P180" s="36">
        <f>IF($K180="","",INDEX('سجل التحفيز'!$D$5:$D$2004,MATCH($K180,'سجل التحفيز'!$AE$5:$AE$2004,0)))</f>
        <v/>
      </c>
      <c r="Q180" s="9">
        <f>IF($K180="","",INDEX('سجل التحفيز'!$E$5:$E$2004,MATCH($K180,'سجل التحفيز'!$AE$5:$AE$2004,0)))</f>
        <v/>
      </c>
      <c r="R180" s="9">
        <f>IF($K180="","",INDEX('سجل التحفيز'!$F$5:$F$2004,MATCH($K180,'سجل التحفيز'!$AE$5:$AE$2004,0)))</f>
        <v/>
      </c>
      <c r="S180" s="35">
        <f>IF($K180="","",INDEX('سجل التحفيز'!$G$5:$G$2004,MATCH($K180,'سجل التحفيز'!$AE$5:$AE$2004,0)))</f>
        <v/>
      </c>
    </row>
    <row r="181">
      <c r="B181" s="34">
        <f>IFERROR(INDEX(الموظفات!$B$5:$B$304,MATCH(144,الموظفات!$Y$5:$Y$304,0)),"")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التحفيز'!$AE$5:$AE$2004,"&gt;0",'سجل التحفيز'!$B$5:$B$2004,B181))</f>
        <v/>
      </c>
      <c r="E181" s="35">
        <f>IF(B181="","",COUNTIFS('سجل التحفيز'!$AE$5:$AE$2004,"&gt;0",'سجل التحفيز'!$B$5:$B$2004,B181,'سجل التحفيز'!$D$5:$D$2004,"ذهبي"))</f>
        <v/>
      </c>
      <c r="F181" s="35">
        <f>IF(B181="","",SUMIFS('سجل التحفيز'!$G$5:$G$2004,'سجل التحفيز'!$AE$5:$AE$2004,"&gt;0",'سجل التحفيز'!$B$5:$B$2004,B181))</f>
        <v/>
      </c>
      <c r="G181" s="35">
        <f>IF(B181="","",COUNTIF($D$38:$D$187,"&gt;"&amp;D181)+1)</f>
        <v/>
      </c>
      <c r="H181" s="35">
        <f>IF(B181="","",INDEX(الموظفات!$L$5:$L$304,MATCH(B181,الموظفات!$B$5:$B$304,0)))</f>
        <v/>
      </c>
      <c r="K181" s="36">
        <f>IF(144&gt;$B$10,"",144)</f>
        <v/>
      </c>
      <c r="L181" s="37">
        <f>IF($K181="","",INDEX('سجل التحفيز'!$A$5:$A$2004,MATCH($K181,'سجل التحفيز'!$AE$5:$AE$2004,0)))</f>
        <v/>
      </c>
      <c r="M181" s="9">
        <f>IF($K181="","",INDEX('سجل التحفيز'!$B$5:$B$2004,MATCH($K181,'سجل التحفيز'!$AE$5:$AE$2004,0)))</f>
        <v/>
      </c>
      <c r="N181" s="9">
        <f>IF($K181="","",INDEX('سجل التحفيز'!$M$5:$M$2004,MATCH($K181,'سجل التحفيز'!$AE$5:$AE$2004,0)))</f>
        <v/>
      </c>
      <c r="O181" s="9">
        <f>IF($K181="","",INDEX('سجل التحفيز'!$C$5:$C$2004,MATCH($K181,'سجل التحفيز'!$AE$5:$AE$2004,0)))</f>
        <v/>
      </c>
      <c r="P181" s="36">
        <f>IF($K181="","",INDEX('سجل التحفيز'!$D$5:$D$2004,MATCH($K181,'سجل التحفيز'!$AE$5:$AE$2004,0)))</f>
        <v/>
      </c>
      <c r="Q181" s="9">
        <f>IF($K181="","",INDEX('سجل التحفيز'!$E$5:$E$2004,MATCH($K181,'سجل التحفيز'!$AE$5:$AE$2004,0)))</f>
        <v/>
      </c>
      <c r="R181" s="9">
        <f>IF($K181="","",INDEX('سجل التحفيز'!$F$5:$F$2004,MATCH($K181,'سجل التحفيز'!$AE$5:$AE$2004,0)))</f>
        <v/>
      </c>
      <c r="S181" s="35">
        <f>IF($K181="","",INDEX('سجل التحفيز'!$G$5:$G$2004,MATCH($K181,'سجل التحفيز'!$AE$5:$AE$2004,0)))</f>
        <v/>
      </c>
    </row>
    <row r="182">
      <c r="B182" s="34">
        <f>IFERROR(INDEX(الموظفات!$B$5:$B$304,MATCH(145,الموظفات!$Y$5:$Y$304,0)),"")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التحفيز'!$AE$5:$AE$2004,"&gt;0",'سجل التحفيز'!$B$5:$B$2004,B182))</f>
        <v/>
      </c>
      <c r="E182" s="35">
        <f>IF(B182="","",COUNTIFS('سجل التحفيز'!$AE$5:$AE$2004,"&gt;0",'سجل التحفيز'!$B$5:$B$2004,B182,'سجل التحفيز'!$D$5:$D$2004,"ذهبي"))</f>
        <v/>
      </c>
      <c r="F182" s="35">
        <f>IF(B182="","",SUMIFS('سجل التحفيز'!$G$5:$G$2004,'سجل التحفيز'!$AE$5:$AE$2004,"&gt;0",'سجل التحفيز'!$B$5:$B$2004,B182))</f>
        <v/>
      </c>
      <c r="G182" s="35">
        <f>IF(B182="","",COUNTIF($D$38:$D$187,"&gt;"&amp;D182)+1)</f>
        <v/>
      </c>
      <c r="H182" s="35">
        <f>IF(B182="","",INDEX(الموظفات!$L$5:$L$304,MATCH(B182,الموظفات!$B$5:$B$304,0)))</f>
        <v/>
      </c>
      <c r="K182" s="36">
        <f>IF(145&gt;$B$10,"",145)</f>
        <v/>
      </c>
      <c r="L182" s="37">
        <f>IF($K182="","",INDEX('سجل التحفيز'!$A$5:$A$2004,MATCH($K182,'سجل التحفيز'!$AE$5:$AE$2004,0)))</f>
        <v/>
      </c>
      <c r="M182" s="9">
        <f>IF($K182="","",INDEX('سجل التحفيز'!$B$5:$B$2004,MATCH($K182,'سجل التحفيز'!$AE$5:$AE$2004,0)))</f>
        <v/>
      </c>
      <c r="N182" s="9">
        <f>IF($K182="","",INDEX('سجل التحفيز'!$M$5:$M$2004,MATCH($K182,'سجل التحفيز'!$AE$5:$AE$2004,0)))</f>
        <v/>
      </c>
      <c r="O182" s="9">
        <f>IF($K182="","",INDEX('سجل التحفيز'!$C$5:$C$2004,MATCH($K182,'سجل التحفيز'!$AE$5:$AE$2004,0)))</f>
        <v/>
      </c>
      <c r="P182" s="36">
        <f>IF($K182="","",INDEX('سجل التحفيز'!$D$5:$D$2004,MATCH($K182,'سجل التحفيز'!$AE$5:$AE$2004,0)))</f>
        <v/>
      </c>
      <c r="Q182" s="9">
        <f>IF($K182="","",INDEX('سجل التحفيز'!$E$5:$E$2004,MATCH($K182,'سجل التحفيز'!$AE$5:$AE$2004,0)))</f>
        <v/>
      </c>
      <c r="R182" s="9">
        <f>IF($K182="","",INDEX('سجل التحفيز'!$F$5:$F$2004,MATCH($K182,'سجل التحفيز'!$AE$5:$AE$2004,0)))</f>
        <v/>
      </c>
      <c r="S182" s="35">
        <f>IF($K182="","",INDEX('سجل التحفيز'!$G$5:$G$2004,MATCH($K182,'سجل التحفيز'!$AE$5:$AE$2004,0)))</f>
        <v/>
      </c>
    </row>
    <row r="183">
      <c r="B183" s="34">
        <f>IFERROR(INDEX(الموظفات!$B$5:$B$304,MATCH(146,الموظفات!$Y$5:$Y$304,0)),"")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التحفيز'!$AE$5:$AE$2004,"&gt;0",'سجل التحفيز'!$B$5:$B$2004,B183))</f>
        <v/>
      </c>
      <c r="E183" s="35">
        <f>IF(B183="","",COUNTIFS('سجل التحفيز'!$AE$5:$AE$2004,"&gt;0",'سجل التحفيز'!$B$5:$B$2004,B183,'سجل التحفيز'!$D$5:$D$2004,"ذهبي"))</f>
        <v/>
      </c>
      <c r="F183" s="35">
        <f>IF(B183="","",SUMIFS('سجل التحفيز'!$G$5:$G$2004,'سجل التحفيز'!$AE$5:$AE$2004,"&gt;0",'سجل التحفيز'!$B$5:$B$2004,B183))</f>
        <v/>
      </c>
      <c r="G183" s="35">
        <f>IF(B183="","",COUNTIF($D$38:$D$187,"&gt;"&amp;D183)+1)</f>
        <v/>
      </c>
      <c r="H183" s="35">
        <f>IF(B183="","",INDEX(الموظفات!$L$5:$L$304,MATCH(B183,الموظفات!$B$5:$B$304,0)))</f>
        <v/>
      </c>
      <c r="K183" s="36">
        <f>IF(146&gt;$B$10,"",146)</f>
        <v/>
      </c>
      <c r="L183" s="37">
        <f>IF($K183="","",INDEX('سجل التحفيز'!$A$5:$A$2004,MATCH($K183,'سجل التحفيز'!$AE$5:$AE$2004,0)))</f>
        <v/>
      </c>
      <c r="M183" s="9">
        <f>IF($K183="","",INDEX('سجل التحفيز'!$B$5:$B$2004,MATCH($K183,'سجل التحفيز'!$AE$5:$AE$2004,0)))</f>
        <v/>
      </c>
      <c r="N183" s="9">
        <f>IF($K183="","",INDEX('سجل التحفيز'!$M$5:$M$2004,MATCH($K183,'سجل التحفيز'!$AE$5:$AE$2004,0)))</f>
        <v/>
      </c>
      <c r="O183" s="9">
        <f>IF($K183="","",INDEX('سجل التحفيز'!$C$5:$C$2004,MATCH($K183,'سجل التحفيز'!$AE$5:$AE$2004,0)))</f>
        <v/>
      </c>
      <c r="P183" s="36">
        <f>IF($K183="","",INDEX('سجل التحفيز'!$D$5:$D$2004,MATCH($K183,'سجل التحفيز'!$AE$5:$AE$2004,0)))</f>
        <v/>
      </c>
      <c r="Q183" s="9">
        <f>IF($K183="","",INDEX('سجل التحفيز'!$E$5:$E$2004,MATCH($K183,'سجل التحفيز'!$AE$5:$AE$2004,0)))</f>
        <v/>
      </c>
      <c r="R183" s="9">
        <f>IF($K183="","",INDEX('سجل التحفيز'!$F$5:$F$2004,MATCH($K183,'سجل التحفيز'!$AE$5:$AE$2004,0)))</f>
        <v/>
      </c>
      <c r="S183" s="35">
        <f>IF($K183="","",INDEX('سجل التحفيز'!$G$5:$G$2004,MATCH($K183,'سجل التحفيز'!$AE$5:$AE$2004,0)))</f>
        <v/>
      </c>
    </row>
    <row r="184">
      <c r="B184" s="34">
        <f>IFERROR(INDEX(الموظفات!$B$5:$B$304,MATCH(147,الموظفات!$Y$5:$Y$304,0)),"")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التحفيز'!$AE$5:$AE$2004,"&gt;0",'سجل التحفيز'!$B$5:$B$2004,B184))</f>
        <v/>
      </c>
      <c r="E184" s="35">
        <f>IF(B184="","",COUNTIFS('سجل التحفيز'!$AE$5:$AE$2004,"&gt;0",'سجل التحفيز'!$B$5:$B$2004,B184,'سجل التحفيز'!$D$5:$D$2004,"ذهبي"))</f>
        <v/>
      </c>
      <c r="F184" s="35">
        <f>IF(B184="","",SUMIFS('سجل التحفيز'!$G$5:$G$2004,'سجل التحفيز'!$AE$5:$AE$2004,"&gt;0",'سجل التحفيز'!$B$5:$B$2004,B184))</f>
        <v/>
      </c>
      <c r="G184" s="35">
        <f>IF(B184="","",COUNTIF($D$38:$D$187,"&gt;"&amp;D184)+1)</f>
        <v/>
      </c>
      <c r="H184" s="35">
        <f>IF(B184="","",INDEX(الموظفات!$L$5:$L$304,MATCH(B184,الموظفات!$B$5:$B$304,0)))</f>
        <v/>
      </c>
      <c r="K184" s="36">
        <f>IF(147&gt;$B$10,"",147)</f>
        <v/>
      </c>
      <c r="L184" s="37">
        <f>IF($K184="","",INDEX('سجل التحفيز'!$A$5:$A$2004,MATCH($K184,'سجل التحفيز'!$AE$5:$AE$2004,0)))</f>
        <v/>
      </c>
      <c r="M184" s="9">
        <f>IF($K184="","",INDEX('سجل التحفيز'!$B$5:$B$2004,MATCH($K184,'سجل التحفيز'!$AE$5:$AE$2004,0)))</f>
        <v/>
      </c>
      <c r="N184" s="9">
        <f>IF($K184="","",INDEX('سجل التحفيز'!$M$5:$M$2004,MATCH($K184,'سجل التحفيز'!$AE$5:$AE$2004,0)))</f>
        <v/>
      </c>
      <c r="O184" s="9">
        <f>IF($K184="","",INDEX('سجل التحفيز'!$C$5:$C$2004,MATCH($K184,'سجل التحفيز'!$AE$5:$AE$2004,0)))</f>
        <v/>
      </c>
      <c r="P184" s="36">
        <f>IF($K184="","",INDEX('سجل التحفيز'!$D$5:$D$2004,MATCH($K184,'سجل التحفيز'!$AE$5:$AE$2004,0)))</f>
        <v/>
      </c>
      <c r="Q184" s="9">
        <f>IF($K184="","",INDEX('سجل التحفيز'!$E$5:$E$2004,MATCH($K184,'سجل التحفيز'!$AE$5:$AE$2004,0)))</f>
        <v/>
      </c>
      <c r="R184" s="9">
        <f>IF($K184="","",INDEX('سجل التحفيز'!$F$5:$F$2004,MATCH($K184,'سجل التحفيز'!$AE$5:$AE$2004,0)))</f>
        <v/>
      </c>
      <c r="S184" s="35">
        <f>IF($K184="","",INDEX('سجل التحفيز'!$G$5:$G$2004,MATCH($K184,'سجل التحفيز'!$AE$5:$AE$2004,0)))</f>
        <v/>
      </c>
    </row>
    <row r="185">
      <c r="B185" s="34">
        <f>IFERROR(INDEX(الموظفات!$B$5:$B$304,MATCH(148,الموظفات!$Y$5:$Y$304,0)),"")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التحفيز'!$AE$5:$AE$2004,"&gt;0",'سجل التحفيز'!$B$5:$B$2004,B185))</f>
        <v/>
      </c>
      <c r="E185" s="35">
        <f>IF(B185="","",COUNTIFS('سجل التحفيز'!$AE$5:$AE$2004,"&gt;0",'سجل التحفيز'!$B$5:$B$2004,B185,'سجل التحفيز'!$D$5:$D$2004,"ذهبي"))</f>
        <v/>
      </c>
      <c r="F185" s="35">
        <f>IF(B185="","",SUMIFS('سجل التحفيز'!$G$5:$G$2004,'سجل التحفيز'!$AE$5:$AE$2004,"&gt;0",'سجل التحفيز'!$B$5:$B$2004,B185))</f>
        <v/>
      </c>
      <c r="G185" s="35">
        <f>IF(B185="","",COUNTIF($D$38:$D$187,"&gt;"&amp;D185)+1)</f>
        <v/>
      </c>
      <c r="H185" s="35">
        <f>IF(B185="","",INDEX(الموظفات!$L$5:$L$304,MATCH(B185,الموظفات!$B$5:$B$304,0)))</f>
        <v/>
      </c>
      <c r="K185" s="36">
        <f>IF(148&gt;$B$10,"",148)</f>
        <v/>
      </c>
      <c r="L185" s="37">
        <f>IF($K185="","",INDEX('سجل التحفيز'!$A$5:$A$2004,MATCH($K185,'سجل التحفيز'!$AE$5:$AE$2004,0)))</f>
        <v/>
      </c>
      <c r="M185" s="9">
        <f>IF($K185="","",INDEX('سجل التحفيز'!$B$5:$B$2004,MATCH($K185,'سجل التحفيز'!$AE$5:$AE$2004,0)))</f>
        <v/>
      </c>
      <c r="N185" s="9">
        <f>IF($K185="","",INDEX('سجل التحفيز'!$M$5:$M$2004,MATCH($K185,'سجل التحفيز'!$AE$5:$AE$2004,0)))</f>
        <v/>
      </c>
      <c r="O185" s="9">
        <f>IF($K185="","",INDEX('سجل التحفيز'!$C$5:$C$2004,MATCH($K185,'سجل التحفيز'!$AE$5:$AE$2004,0)))</f>
        <v/>
      </c>
      <c r="P185" s="36">
        <f>IF($K185="","",INDEX('سجل التحفيز'!$D$5:$D$2004,MATCH($K185,'سجل التحفيز'!$AE$5:$AE$2004,0)))</f>
        <v/>
      </c>
      <c r="Q185" s="9">
        <f>IF($K185="","",INDEX('سجل التحفيز'!$E$5:$E$2004,MATCH($K185,'سجل التحفيز'!$AE$5:$AE$2004,0)))</f>
        <v/>
      </c>
      <c r="R185" s="9">
        <f>IF($K185="","",INDEX('سجل التحفيز'!$F$5:$F$2004,MATCH($K185,'سجل التحفيز'!$AE$5:$AE$2004,0)))</f>
        <v/>
      </c>
      <c r="S185" s="35">
        <f>IF($K185="","",INDEX('سجل التحفيز'!$G$5:$G$2004,MATCH($K185,'سجل التحفيز'!$AE$5:$AE$2004,0)))</f>
        <v/>
      </c>
    </row>
    <row r="186">
      <c r="B186" s="34">
        <f>IFERROR(INDEX(الموظفات!$B$5:$B$304,MATCH(149,الموظفات!$Y$5:$Y$304,0)),"")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التحفيز'!$AE$5:$AE$2004,"&gt;0",'سجل التحفيز'!$B$5:$B$2004,B186))</f>
        <v/>
      </c>
      <c r="E186" s="35">
        <f>IF(B186="","",COUNTIFS('سجل التحفيز'!$AE$5:$AE$2004,"&gt;0",'سجل التحفيز'!$B$5:$B$2004,B186,'سجل التحفيز'!$D$5:$D$2004,"ذهبي"))</f>
        <v/>
      </c>
      <c r="F186" s="35">
        <f>IF(B186="","",SUMIFS('سجل التحفيز'!$G$5:$G$2004,'سجل التحفيز'!$AE$5:$AE$2004,"&gt;0",'سجل التحفيز'!$B$5:$B$2004,B186))</f>
        <v/>
      </c>
      <c r="G186" s="35">
        <f>IF(B186="","",COUNTIF($D$38:$D$187,"&gt;"&amp;D186)+1)</f>
        <v/>
      </c>
      <c r="H186" s="35">
        <f>IF(B186="","",INDEX(الموظفات!$L$5:$L$304,MATCH(B186,الموظفات!$B$5:$B$304,0)))</f>
        <v/>
      </c>
      <c r="K186" s="36">
        <f>IF(149&gt;$B$10,"",149)</f>
        <v/>
      </c>
      <c r="L186" s="37">
        <f>IF($K186="","",INDEX('سجل التحفيز'!$A$5:$A$2004,MATCH($K186,'سجل التحفيز'!$AE$5:$AE$2004,0)))</f>
        <v/>
      </c>
      <c r="M186" s="9">
        <f>IF($K186="","",INDEX('سجل التحفيز'!$B$5:$B$2004,MATCH($K186,'سجل التحفيز'!$AE$5:$AE$2004,0)))</f>
        <v/>
      </c>
      <c r="N186" s="9">
        <f>IF($K186="","",INDEX('سجل التحفيز'!$M$5:$M$2004,MATCH($K186,'سجل التحفيز'!$AE$5:$AE$2004,0)))</f>
        <v/>
      </c>
      <c r="O186" s="9">
        <f>IF($K186="","",INDEX('سجل التحفيز'!$C$5:$C$2004,MATCH($K186,'سجل التحفيز'!$AE$5:$AE$2004,0)))</f>
        <v/>
      </c>
      <c r="P186" s="36">
        <f>IF($K186="","",INDEX('سجل التحفيز'!$D$5:$D$2004,MATCH($K186,'سجل التحفيز'!$AE$5:$AE$2004,0)))</f>
        <v/>
      </c>
      <c r="Q186" s="9">
        <f>IF($K186="","",INDEX('سجل التحفيز'!$E$5:$E$2004,MATCH($K186,'سجل التحفيز'!$AE$5:$AE$2004,0)))</f>
        <v/>
      </c>
      <c r="R186" s="9">
        <f>IF($K186="","",INDEX('سجل التحفيز'!$F$5:$F$2004,MATCH($K186,'سجل التحفيز'!$AE$5:$AE$2004,0)))</f>
        <v/>
      </c>
      <c r="S186" s="35">
        <f>IF($K186="","",INDEX('سجل التحفيز'!$G$5:$G$2004,MATCH($K186,'سجل التحفيز'!$AE$5:$AE$2004,0)))</f>
        <v/>
      </c>
    </row>
    <row r="187">
      <c r="B187" s="34">
        <f>IFERROR(INDEX(الموظفات!$B$5:$B$304,MATCH(150,الموظفات!$Y$5:$Y$304,0)),"")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التحفيز'!$AE$5:$AE$2004,"&gt;0",'سجل التحفيز'!$B$5:$B$2004,B187))</f>
        <v/>
      </c>
      <c r="E187" s="35">
        <f>IF(B187="","",COUNTIFS('سجل التحفيز'!$AE$5:$AE$2004,"&gt;0",'سجل التحفيز'!$B$5:$B$2004,B187,'سجل التحفيز'!$D$5:$D$2004,"ذهبي"))</f>
        <v/>
      </c>
      <c r="F187" s="35">
        <f>IF(B187="","",SUMIFS('سجل التحفيز'!$G$5:$G$2004,'سجل التحفيز'!$AE$5:$AE$2004,"&gt;0",'سجل التحفيز'!$B$5:$B$2004,B187))</f>
        <v/>
      </c>
      <c r="G187" s="35">
        <f>IF(B187="","",COUNTIF($D$38:$D$187,"&gt;"&amp;D187)+1)</f>
        <v/>
      </c>
      <c r="H187" s="35">
        <f>IF(B187="","",INDEX(الموظفات!$L$5:$L$304,MATCH(B187,الموظفات!$B$5:$B$304,0)))</f>
        <v/>
      </c>
      <c r="K187" s="36">
        <f>IF(150&gt;$B$10,"",150)</f>
        <v/>
      </c>
      <c r="L187" s="37">
        <f>IF($K187="","",INDEX('سجل التحفيز'!$A$5:$A$2004,MATCH($K187,'سجل التحفيز'!$AE$5:$AE$2004,0)))</f>
        <v/>
      </c>
      <c r="M187" s="9">
        <f>IF($K187="","",INDEX('سجل التحفيز'!$B$5:$B$2004,MATCH($K187,'سجل التحفيز'!$AE$5:$AE$2004,0)))</f>
        <v/>
      </c>
      <c r="N187" s="9">
        <f>IF($K187="","",INDEX('سجل التحفيز'!$M$5:$M$2004,MATCH($K187,'سجل التحفيز'!$AE$5:$AE$2004,0)))</f>
        <v/>
      </c>
      <c r="O187" s="9">
        <f>IF($K187="","",INDEX('سجل التحفيز'!$C$5:$C$2004,MATCH($K187,'سجل التحفيز'!$AE$5:$AE$2004,0)))</f>
        <v/>
      </c>
      <c r="P187" s="36">
        <f>IF($K187="","",INDEX('سجل التحفيز'!$D$5:$D$2004,MATCH($K187,'سجل التحفيز'!$AE$5:$AE$2004,0)))</f>
        <v/>
      </c>
      <c r="Q187" s="9">
        <f>IF($K187="","",INDEX('سجل التحفيز'!$E$5:$E$2004,MATCH($K187,'سجل التحفيز'!$AE$5:$AE$2004,0)))</f>
        <v/>
      </c>
      <c r="R187" s="9">
        <f>IF($K187="","",INDEX('سجل التحفيز'!$F$5:$F$2004,MATCH($K187,'سجل التحفيز'!$AE$5:$AE$2004,0)))</f>
        <v/>
      </c>
      <c r="S187" s="35">
        <f>IF($K187="","",INDEX('سجل التحفيز'!$G$5:$G$2004,MATCH($K187,'سجل التحفيز'!$AE$5:$AE$2004,0)))</f>
        <v/>
      </c>
    </row>
    <row r="188">
      <c r="K188" s="36">
        <f>IF(151&gt;$B$10,"",151)</f>
        <v/>
      </c>
      <c r="L188" s="37">
        <f>IF($K188="","",INDEX('سجل التحفيز'!$A$5:$A$2004,MATCH($K188,'سجل التحفيز'!$AE$5:$AE$2004,0)))</f>
        <v/>
      </c>
      <c r="M188" s="9">
        <f>IF($K188="","",INDEX('سجل التحفيز'!$B$5:$B$2004,MATCH($K188,'سجل التحفيز'!$AE$5:$AE$2004,0)))</f>
        <v/>
      </c>
      <c r="N188" s="9">
        <f>IF($K188="","",INDEX('سجل التحفيز'!$M$5:$M$2004,MATCH($K188,'سجل التحفيز'!$AE$5:$AE$2004,0)))</f>
        <v/>
      </c>
      <c r="O188" s="9">
        <f>IF($K188="","",INDEX('سجل التحفيز'!$C$5:$C$2004,MATCH($K188,'سجل التحفيز'!$AE$5:$AE$2004,0)))</f>
        <v/>
      </c>
      <c r="P188" s="36">
        <f>IF($K188="","",INDEX('سجل التحفيز'!$D$5:$D$2004,MATCH($K188,'سجل التحفيز'!$AE$5:$AE$2004,0)))</f>
        <v/>
      </c>
      <c r="Q188" s="9">
        <f>IF($K188="","",INDEX('سجل التحفيز'!$E$5:$E$2004,MATCH($K188,'سجل التحفيز'!$AE$5:$AE$2004,0)))</f>
        <v/>
      </c>
      <c r="R188" s="9">
        <f>IF($K188="","",INDEX('سجل التحفيز'!$F$5:$F$2004,MATCH($K188,'سجل التحفيز'!$AE$5:$AE$2004,0)))</f>
        <v/>
      </c>
      <c r="S188" s="35">
        <f>IF($K188="","",INDEX('سجل التحفيز'!$G$5:$G$2004,MATCH($K188,'سجل التحفيز'!$AE$5:$AE$2004,0)))</f>
        <v/>
      </c>
    </row>
    <row r="189">
      <c r="K189" s="36">
        <f>IF(152&gt;$B$10,"",152)</f>
        <v/>
      </c>
      <c r="L189" s="37">
        <f>IF($K189="","",INDEX('سجل التحفيز'!$A$5:$A$2004,MATCH($K189,'سجل التحفيز'!$AE$5:$AE$2004,0)))</f>
        <v/>
      </c>
      <c r="M189" s="9">
        <f>IF($K189="","",INDEX('سجل التحفيز'!$B$5:$B$2004,MATCH($K189,'سجل التحفيز'!$AE$5:$AE$2004,0)))</f>
        <v/>
      </c>
      <c r="N189" s="9">
        <f>IF($K189="","",INDEX('سجل التحفيز'!$M$5:$M$2004,MATCH($K189,'سجل التحفيز'!$AE$5:$AE$2004,0)))</f>
        <v/>
      </c>
      <c r="O189" s="9">
        <f>IF($K189="","",INDEX('سجل التحفيز'!$C$5:$C$2004,MATCH($K189,'سجل التحفيز'!$AE$5:$AE$2004,0)))</f>
        <v/>
      </c>
      <c r="P189" s="36">
        <f>IF($K189="","",INDEX('سجل التحفيز'!$D$5:$D$2004,MATCH($K189,'سجل التحفيز'!$AE$5:$AE$2004,0)))</f>
        <v/>
      </c>
      <c r="Q189" s="9">
        <f>IF($K189="","",INDEX('سجل التحفيز'!$E$5:$E$2004,MATCH($K189,'سجل التحفيز'!$AE$5:$AE$2004,0)))</f>
        <v/>
      </c>
      <c r="R189" s="9">
        <f>IF($K189="","",INDEX('سجل التحفيز'!$F$5:$F$2004,MATCH($K189,'سجل التحفيز'!$AE$5:$AE$2004,0)))</f>
        <v/>
      </c>
      <c r="S189" s="35">
        <f>IF($K189="","",INDEX('سجل التحفيز'!$G$5:$G$2004,MATCH($K189,'سجل التحفيز'!$AE$5:$AE$2004,0)))</f>
        <v/>
      </c>
    </row>
    <row r="190">
      <c r="K190" s="36">
        <f>IF(153&gt;$B$10,"",153)</f>
        <v/>
      </c>
      <c r="L190" s="37">
        <f>IF($K190="","",INDEX('سجل التحفيز'!$A$5:$A$2004,MATCH($K190,'سجل التحفيز'!$AE$5:$AE$2004,0)))</f>
        <v/>
      </c>
      <c r="M190" s="9">
        <f>IF($K190="","",INDEX('سجل التحفيز'!$B$5:$B$2004,MATCH($K190,'سجل التحفيز'!$AE$5:$AE$2004,0)))</f>
        <v/>
      </c>
      <c r="N190" s="9">
        <f>IF($K190="","",INDEX('سجل التحفيز'!$M$5:$M$2004,MATCH($K190,'سجل التحفيز'!$AE$5:$AE$2004,0)))</f>
        <v/>
      </c>
      <c r="O190" s="9">
        <f>IF($K190="","",INDEX('سجل التحفيز'!$C$5:$C$2004,MATCH($K190,'سجل التحفيز'!$AE$5:$AE$2004,0)))</f>
        <v/>
      </c>
      <c r="P190" s="36">
        <f>IF($K190="","",INDEX('سجل التحفيز'!$D$5:$D$2004,MATCH($K190,'سجل التحفيز'!$AE$5:$AE$2004,0)))</f>
        <v/>
      </c>
      <c r="Q190" s="9">
        <f>IF($K190="","",INDEX('سجل التحفيز'!$E$5:$E$2004,MATCH($K190,'سجل التحفيز'!$AE$5:$AE$2004,0)))</f>
        <v/>
      </c>
      <c r="R190" s="9">
        <f>IF($K190="","",INDEX('سجل التحفيز'!$F$5:$F$2004,MATCH($K190,'سجل التحفيز'!$AE$5:$AE$2004,0)))</f>
        <v/>
      </c>
      <c r="S190" s="35">
        <f>IF($K190="","",INDEX('سجل التحفيز'!$G$5:$G$2004,MATCH($K190,'سجل التحفيز'!$AE$5:$AE$2004,0)))</f>
        <v/>
      </c>
    </row>
    <row r="191">
      <c r="K191" s="36">
        <f>IF(154&gt;$B$10,"",154)</f>
        <v/>
      </c>
      <c r="L191" s="37">
        <f>IF($K191="","",INDEX('سجل التحفيز'!$A$5:$A$2004,MATCH($K191,'سجل التحفيز'!$AE$5:$AE$2004,0)))</f>
        <v/>
      </c>
      <c r="M191" s="9">
        <f>IF($K191="","",INDEX('سجل التحفيز'!$B$5:$B$2004,MATCH($K191,'سجل التحفيز'!$AE$5:$AE$2004,0)))</f>
        <v/>
      </c>
      <c r="N191" s="9">
        <f>IF($K191="","",INDEX('سجل التحفيز'!$M$5:$M$2004,MATCH($K191,'سجل التحفيز'!$AE$5:$AE$2004,0)))</f>
        <v/>
      </c>
      <c r="O191" s="9">
        <f>IF($K191="","",INDEX('سجل التحفيز'!$C$5:$C$2004,MATCH($K191,'سجل التحفيز'!$AE$5:$AE$2004,0)))</f>
        <v/>
      </c>
      <c r="P191" s="36">
        <f>IF($K191="","",INDEX('سجل التحفيز'!$D$5:$D$2004,MATCH($K191,'سجل التحفيز'!$AE$5:$AE$2004,0)))</f>
        <v/>
      </c>
      <c r="Q191" s="9">
        <f>IF($K191="","",INDEX('سجل التحفيز'!$E$5:$E$2004,MATCH($K191,'سجل التحفيز'!$AE$5:$AE$2004,0)))</f>
        <v/>
      </c>
      <c r="R191" s="9">
        <f>IF($K191="","",INDEX('سجل التحفيز'!$F$5:$F$2004,MATCH($K191,'سجل التحفيز'!$AE$5:$AE$2004,0)))</f>
        <v/>
      </c>
      <c r="S191" s="35">
        <f>IF($K191="","",INDEX('سجل التحفيز'!$G$5:$G$2004,MATCH($K191,'سجل التحفيز'!$AE$5:$AE$2004,0)))</f>
        <v/>
      </c>
    </row>
    <row r="192">
      <c r="K192" s="36">
        <f>IF(155&gt;$B$10,"",155)</f>
        <v/>
      </c>
      <c r="L192" s="37">
        <f>IF($K192="","",INDEX('سجل التحفيز'!$A$5:$A$2004,MATCH($K192,'سجل التحفيز'!$AE$5:$AE$2004,0)))</f>
        <v/>
      </c>
      <c r="M192" s="9">
        <f>IF($K192="","",INDEX('سجل التحفيز'!$B$5:$B$2004,MATCH($K192,'سجل التحفيز'!$AE$5:$AE$2004,0)))</f>
        <v/>
      </c>
      <c r="N192" s="9">
        <f>IF($K192="","",INDEX('سجل التحفيز'!$M$5:$M$2004,MATCH($K192,'سجل التحفيز'!$AE$5:$AE$2004,0)))</f>
        <v/>
      </c>
      <c r="O192" s="9">
        <f>IF($K192="","",INDEX('سجل التحفيز'!$C$5:$C$2004,MATCH($K192,'سجل التحفيز'!$AE$5:$AE$2004,0)))</f>
        <v/>
      </c>
      <c r="P192" s="36">
        <f>IF($K192="","",INDEX('سجل التحفيز'!$D$5:$D$2004,MATCH($K192,'سجل التحفيز'!$AE$5:$AE$2004,0)))</f>
        <v/>
      </c>
      <c r="Q192" s="9">
        <f>IF($K192="","",INDEX('سجل التحفيز'!$E$5:$E$2004,MATCH($K192,'سجل التحفيز'!$AE$5:$AE$2004,0)))</f>
        <v/>
      </c>
      <c r="R192" s="9">
        <f>IF($K192="","",INDEX('سجل التحفيز'!$F$5:$F$2004,MATCH($K192,'سجل التحفيز'!$AE$5:$AE$2004,0)))</f>
        <v/>
      </c>
      <c r="S192" s="35">
        <f>IF($K192="","",INDEX('سجل التحفيز'!$G$5:$G$2004,MATCH($K192,'سجل التحفيز'!$AE$5:$AE$2004,0)))</f>
        <v/>
      </c>
    </row>
    <row r="193">
      <c r="K193" s="36">
        <f>IF(156&gt;$B$10,"",156)</f>
        <v/>
      </c>
      <c r="L193" s="37">
        <f>IF($K193="","",INDEX('سجل التحفيز'!$A$5:$A$2004,MATCH($K193,'سجل التحفيز'!$AE$5:$AE$2004,0)))</f>
        <v/>
      </c>
      <c r="M193" s="9">
        <f>IF($K193="","",INDEX('سجل التحفيز'!$B$5:$B$2004,MATCH($K193,'سجل التحفيز'!$AE$5:$AE$2004,0)))</f>
        <v/>
      </c>
      <c r="N193" s="9">
        <f>IF($K193="","",INDEX('سجل التحفيز'!$M$5:$M$2004,MATCH($K193,'سجل التحفيز'!$AE$5:$AE$2004,0)))</f>
        <v/>
      </c>
      <c r="O193" s="9">
        <f>IF($K193="","",INDEX('سجل التحفيز'!$C$5:$C$2004,MATCH($K193,'سجل التحفيز'!$AE$5:$AE$2004,0)))</f>
        <v/>
      </c>
      <c r="P193" s="36">
        <f>IF($K193="","",INDEX('سجل التحفيز'!$D$5:$D$2004,MATCH($K193,'سجل التحفيز'!$AE$5:$AE$2004,0)))</f>
        <v/>
      </c>
      <c r="Q193" s="9">
        <f>IF($K193="","",INDEX('سجل التحفيز'!$E$5:$E$2004,MATCH($K193,'سجل التحفيز'!$AE$5:$AE$2004,0)))</f>
        <v/>
      </c>
      <c r="R193" s="9">
        <f>IF($K193="","",INDEX('سجل التحفيز'!$F$5:$F$2004,MATCH($K193,'سجل التحفيز'!$AE$5:$AE$2004,0)))</f>
        <v/>
      </c>
      <c r="S193" s="35">
        <f>IF($K193="","",INDEX('سجل التحفيز'!$G$5:$G$2004,MATCH($K193,'سجل التحفيز'!$AE$5:$AE$2004,0)))</f>
        <v/>
      </c>
    </row>
    <row r="194">
      <c r="K194" s="36">
        <f>IF(157&gt;$B$10,"",157)</f>
        <v/>
      </c>
      <c r="L194" s="37">
        <f>IF($K194="","",INDEX('سجل التحفيز'!$A$5:$A$2004,MATCH($K194,'سجل التحفيز'!$AE$5:$AE$2004,0)))</f>
        <v/>
      </c>
      <c r="M194" s="9">
        <f>IF($K194="","",INDEX('سجل التحفيز'!$B$5:$B$2004,MATCH($K194,'سجل التحفيز'!$AE$5:$AE$2004,0)))</f>
        <v/>
      </c>
      <c r="N194" s="9">
        <f>IF($K194="","",INDEX('سجل التحفيز'!$M$5:$M$2004,MATCH($K194,'سجل التحفيز'!$AE$5:$AE$2004,0)))</f>
        <v/>
      </c>
      <c r="O194" s="9">
        <f>IF($K194="","",INDEX('سجل التحفيز'!$C$5:$C$2004,MATCH($K194,'سجل التحفيز'!$AE$5:$AE$2004,0)))</f>
        <v/>
      </c>
      <c r="P194" s="36">
        <f>IF($K194="","",INDEX('سجل التحفيز'!$D$5:$D$2004,MATCH($K194,'سجل التحفيز'!$AE$5:$AE$2004,0)))</f>
        <v/>
      </c>
      <c r="Q194" s="9">
        <f>IF($K194="","",INDEX('سجل التحفيز'!$E$5:$E$2004,MATCH($K194,'سجل التحفيز'!$AE$5:$AE$2004,0)))</f>
        <v/>
      </c>
      <c r="R194" s="9">
        <f>IF($K194="","",INDEX('سجل التحفيز'!$F$5:$F$2004,MATCH($K194,'سجل التحفيز'!$AE$5:$AE$2004,0)))</f>
        <v/>
      </c>
      <c r="S194" s="35">
        <f>IF($K194="","",INDEX('سجل التحفيز'!$G$5:$G$2004,MATCH($K194,'سجل التحفيز'!$AE$5:$AE$2004,0)))</f>
        <v/>
      </c>
    </row>
    <row r="195">
      <c r="K195" s="36">
        <f>IF(158&gt;$B$10,"",158)</f>
        <v/>
      </c>
      <c r="L195" s="37">
        <f>IF($K195="","",INDEX('سجل التحفيز'!$A$5:$A$2004,MATCH($K195,'سجل التحفيز'!$AE$5:$AE$2004,0)))</f>
        <v/>
      </c>
      <c r="M195" s="9">
        <f>IF($K195="","",INDEX('سجل التحفيز'!$B$5:$B$2004,MATCH($K195,'سجل التحفيز'!$AE$5:$AE$2004,0)))</f>
        <v/>
      </c>
      <c r="N195" s="9">
        <f>IF($K195="","",INDEX('سجل التحفيز'!$M$5:$M$2004,MATCH($K195,'سجل التحفيز'!$AE$5:$AE$2004,0)))</f>
        <v/>
      </c>
      <c r="O195" s="9">
        <f>IF($K195="","",INDEX('سجل التحفيز'!$C$5:$C$2004,MATCH($K195,'سجل التحفيز'!$AE$5:$AE$2004,0)))</f>
        <v/>
      </c>
      <c r="P195" s="36">
        <f>IF($K195="","",INDEX('سجل التحفيز'!$D$5:$D$2004,MATCH($K195,'سجل التحفيز'!$AE$5:$AE$2004,0)))</f>
        <v/>
      </c>
      <c r="Q195" s="9">
        <f>IF($K195="","",INDEX('سجل التحفيز'!$E$5:$E$2004,MATCH($K195,'سجل التحفيز'!$AE$5:$AE$2004,0)))</f>
        <v/>
      </c>
      <c r="R195" s="9">
        <f>IF($K195="","",INDEX('سجل التحفيز'!$F$5:$F$2004,MATCH($K195,'سجل التحفيز'!$AE$5:$AE$2004,0)))</f>
        <v/>
      </c>
      <c r="S195" s="35">
        <f>IF($K195="","",INDEX('سجل التحفيز'!$G$5:$G$2004,MATCH($K195,'سجل التحفيز'!$AE$5:$AE$2004,0)))</f>
        <v/>
      </c>
    </row>
    <row r="196">
      <c r="K196" s="36">
        <f>IF(159&gt;$B$10,"",159)</f>
        <v/>
      </c>
      <c r="L196" s="37">
        <f>IF($K196="","",INDEX('سجل التحفيز'!$A$5:$A$2004,MATCH($K196,'سجل التحفيز'!$AE$5:$AE$2004,0)))</f>
        <v/>
      </c>
      <c r="M196" s="9">
        <f>IF($K196="","",INDEX('سجل التحفيز'!$B$5:$B$2004,MATCH($K196,'سجل التحفيز'!$AE$5:$AE$2004,0)))</f>
        <v/>
      </c>
      <c r="N196" s="9">
        <f>IF($K196="","",INDEX('سجل التحفيز'!$M$5:$M$2004,MATCH($K196,'سجل التحفيز'!$AE$5:$AE$2004,0)))</f>
        <v/>
      </c>
      <c r="O196" s="9">
        <f>IF($K196="","",INDEX('سجل التحفيز'!$C$5:$C$2004,MATCH($K196,'سجل التحفيز'!$AE$5:$AE$2004,0)))</f>
        <v/>
      </c>
      <c r="P196" s="36">
        <f>IF($K196="","",INDEX('سجل التحفيز'!$D$5:$D$2004,MATCH($K196,'سجل التحفيز'!$AE$5:$AE$2004,0)))</f>
        <v/>
      </c>
      <c r="Q196" s="9">
        <f>IF($K196="","",INDEX('سجل التحفيز'!$E$5:$E$2004,MATCH($K196,'سجل التحفيز'!$AE$5:$AE$2004,0)))</f>
        <v/>
      </c>
      <c r="R196" s="9">
        <f>IF($K196="","",INDEX('سجل التحفيز'!$F$5:$F$2004,MATCH($K196,'سجل التحفيز'!$AE$5:$AE$2004,0)))</f>
        <v/>
      </c>
      <c r="S196" s="35">
        <f>IF($K196="","",INDEX('سجل التحفيز'!$G$5:$G$2004,MATCH($K196,'سجل التحفيز'!$AE$5:$AE$2004,0)))</f>
        <v/>
      </c>
    </row>
    <row r="197">
      <c r="K197" s="36">
        <f>IF(160&gt;$B$10,"",160)</f>
        <v/>
      </c>
      <c r="L197" s="37">
        <f>IF($K197="","",INDEX('سجل التحفيز'!$A$5:$A$2004,MATCH($K197,'سجل التحفيز'!$AE$5:$AE$2004,0)))</f>
        <v/>
      </c>
      <c r="M197" s="9">
        <f>IF($K197="","",INDEX('سجل التحفيز'!$B$5:$B$2004,MATCH($K197,'سجل التحفيز'!$AE$5:$AE$2004,0)))</f>
        <v/>
      </c>
      <c r="N197" s="9">
        <f>IF($K197="","",INDEX('سجل التحفيز'!$M$5:$M$2004,MATCH($K197,'سجل التحفيز'!$AE$5:$AE$2004,0)))</f>
        <v/>
      </c>
      <c r="O197" s="9">
        <f>IF($K197="","",INDEX('سجل التحفيز'!$C$5:$C$2004,MATCH($K197,'سجل التحفيز'!$AE$5:$AE$2004,0)))</f>
        <v/>
      </c>
      <c r="P197" s="36">
        <f>IF($K197="","",INDEX('سجل التحفيز'!$D$5:$D$2004,MATCH($K197,'سجل التحفيز'!$AE$5:$AE$2004,0)))</f>
        <v/>
      </c>
      <c r="Q197" s="9">
        <f>IF($K197="","",INDEX('سجل التحفيز'!$E$5:$E$2004,MATCH($K197,'سجل التحفيز'!$AE$5:$AE$2004,0)))</f>
        <v/>
      </c>
      <c r="R197" s="9">
        <f>IF($K197="","",INDEX('سجل التحفيز'!$F$5:$F$2004,MATCH($K197,'سجل التحفيز'!$AE$5:$AE$2004,0)))</f>
        <v/>
      </c>
      <c r="S197" s="35">
        <f>IF($K197="","",INDEX('سجل التحفيز'!$G$5:$G$2004,MATCH($K197,'سجل التحفيز'!$AE$5:$AE$2004,0)))</f>
        <v/>
      </c>
    </row>
    <row r="198">
      <c r="K198" s="36">
        <f>IF(161&gt;$B$10,"",161)</f>
        <v/>
      </c>
      <c r="L198" s="37">
        <f>IF($K198="","",INDEX('سجل التحفيز'!$A$5:$A$2004,MATCH($K198,'سجل التحفيز'!$AE$5:$AE$2004,0)))</f>
        <v/>
      </c>
      <c r="M198" s="9">
        <f>IF($K198="","",INDEX('سجل التحفيز'!$B$5:$B$2004,MATCH($K198,'سجل التحفيز'!$AE$5:$AE$2004,0)))</f>
        <v/>
      </c>
      <c r="N198" s="9">
        <f>IF($K198="","",INDEX('سجل التحفيز'!$M$5:$M$2004,MATCH($K198,'سجل التحفيز'!$AE$5:$AE$2004,0)))</f>
        <v/>
      </c>
      <c r="O198" s="9">
        <f>IF($K198="","",INDEX('سجل التحفيز'!$C$5:$C$2004,MATCH($K198,'سجل التحفيز'!$AE$5:$AE$2004,0)))</f>
        <v/>
      </c>
      <c r="P198" s="36">
        <f>IF($K198="","",INDEX('سجل التحفيز'!$D$5:$D$2004,MATCH($K198,'سجل التحفيز'!$AE$5:$AE$2004,0)))</f>
        <v/>
      </c>
      <c r="Q198" s="9">
        <f>IF($K198="","",INDEX('سجل التحفيز'!$E$5:$E$2004,MATCH($K198,'سجل التحفيز'!$AE$5:$AE$2004,0)))</f>
        <v/>
      </c>
      <c r="R198" s="9">
        <f>IF($K198="","",INDEX('سجل التحفيز'!$F$5:$F$2004,MATCH($K198,'سجل التحفيز'!$AE$5:$AE$2004,0)))</f>
        <v/>
      </c>
      <c r="S198" s="35">
        <f>IF($K198="","",INDEX('سجل التحفيز'!$G$5:$G$2004,MATCH($K198,'سجل التحفيز'!$AE$5:$AE$2004,0)))</f>
        <v/>
      </c>
    </row>
    <row r="199">
      <c r="K199" s="36">
        <f>IF(162&gt;$B$10,"",162)</f>
        <v/>
      </c>
      <c r="L199" s="37">
        <f>IF($K199="","",INDEX('سجل التحفيز'!$A$5:$A$2004,MATCH($K199,'سجل التحفيز'!$AE$5:$AE$2004,0)))</f>
        <v/>
      </c>
      <c r="M199" s="9">
        <f>IF($K199="","",INDEX('سجل التحفيز'!$B$5:$B$2004,MATCH($K199,'سجل التحفيز'!$AE$5:$AE$2004,0)))</f>
        <v/>
      </c>
      <c r="N199" s="9">
        <f>IF($K199="","",INDEX('سجل التحفيز'!$M$5:$M$2004,MATCH($K199,'سجل التحفيز'!$AE$5:$AE$2004,0)))</f>
        <v/>
      </c>
      <c r="O199" s="9">
        <f>IF($K199="","",INDEX('سجل التحفيز'!$C$5:$C$2004,MATCH($K199,'سجل التحفيز'!$AE$5:$AE$2004,0)))</f>
        <v/>
      </c>
      <c r="P199" s="36">
        <f>IF($K199="","",INDEX('سجل التحفيز'!$D$5:$D$2004,MATCH($K199,'سجل التحفيز'!$AE$5:$AE$2004,0)))</f>
        <v/>
      </c>
      <c r="Q199" s="9">
        <f>IF($K199="","",INDEX('سجل التحفيز'!$E$5:$E$2004,MATCH($K199,'سجل التحفيز'!$AE$5:$AE$2004,0)))</f>
        <v/>
      </c>
      <c r="R199" s="9">
        <f>IF($K199="","",INDEX('سجل التحفيز'!$F$5:$F$2004,MATCH($K199,'سجل التحفيز'!$AE$5:$AE$2004,0)))</f>
        <v/>
      </c>
      <c r="S199" s="35">
        <f>IF($K199="","",INDEX('سجل التحفيز'!$G$5:$G$2004,MATCH($K199,'سجل التحفيز'!$AE$5:$AE$2004,0)))</f>
        <v/>
      </c>
    </row>
    <row r="200">
      <c r="K200" s="36">
        <f>IF(163&gt;$B$10,"",163)</f>
        <v/>
      </c>
      <c r="L200" s="37">
        <f>IF($K200="","",INDEX('سجل التحفيز'!$A$5:$A$2004,MATCH($K200,'سجل التحفيز'!$AE$5:$AE$2004,0)))</f>
        <v/>
      </c>
      <c r="M200" s="9">
        <f>IF($K200="","",INDEX('سجل التحفيز'!$B$5:$B$2004,MATCH($K200,'سجل التحفيز'!$AE$5:$AE$2004,0)))</f>
        <v/>
      </c>
      <c r="N200" s="9">
        <f>IF($K200="","",INDEX('سجل التحفيز'!$M$5:$M$2004,MATCH($K200,'سجل التحفيز'!$AE$5:$AE$2004,0)))</f>
        <v/>
      </c>
      <c r="O200" s="9">
        <f>IF($K200="","",INDEX('سجل التحفيز'!$C$5:$C$2004,MATCH($K200,'سجل التحفيز'!$AE$5:$AE$2004,0)))</f>
        <v/>
      </c>
      <c r="P200" s="36">
        <f>IF($K200="","",INDEX('سجل التحفيز'!$D$5:$D$2004,MATCH($K200,'سجل التحفيز'!$AE$5:$AE$2004,0)))</f>
        <v/>
      </c>
      <c r="Q200" s="9">
        <f>IF($K200="","",INDEX('سجل التحفيز'!$E$5:$E$2004,MATCH($K200,'سجل التحفيز'!$AE$5:$AE$2004,0)))</f>
        <v/>
      </c>
      <c r="R200" s="9">
        <f>IF($K200="","",INDEX('سجل التحفيز'!$F$5:$F$2004,MATCH($K200,'سجل التحفيز'!$AE$5:$AE$2004,0)))</f>
        <v/>
      </c>
      <c r="S200" s="35">
        <f>IF($K200="","",INDEX('سجل التحفيز'!$G$5:$G$2004,MATCH($K200,'سجل التحفيز'!$AE$5:$AE$2004,0)))</f>
        <v/>
      </c>
    </row>
    <row r="201">
      <c r="K201" s="36">
        <f>IF(164&gt;$B$10,"",164)</f>
        <v/>
      </c>
      <c r="L201" s="37">
        <f>IF($K201="","",INDEX('سجل التحفيز'!$A$5:$A$2004,MATCH($K201,'سجل التحفيز'!$AE$5:$AE$2004,0)))</f>
        <v/>
      </c>
      <c r="M201" s="9">
        <f>IF($K201="","",INDEX('سجل التحفيز'!$B$5:$B$2004,MATCH($K201,'سجل التحفيز'!$AE$5:$AE$2004,0)))</f>
        <v/>
      </c>
      <c r="N201" s="9">
        <f>IF($K201="","",INDEX('سجل التحفيز'!$M$5:$M$2004,MATCH($K201,'سجل التحفيز'!$AE$5:$AE$2004,0)))</f>
        <v/>
      </c>
      <c r="O201" s="9">
        <f>IF($K201="","",INDEX('سجل التحفيز'!$C$5:$C$2004,MATCH($K201,'سجل التحفيز'!$AE$5:$AE$2004,0)))</f>
        <v/>
      </c>
      <c r="P201" s="36">
        <f>IF($K201="","",INDEX('سجل التحفيز'!$D$5:$D$2004,MATCH($K201,'سجل التحفيز'!$AE$5:$AE$2004,0)))</f>
        <v/>
      </c>
      <c r="Q201" s="9">
        <f>IF($K201="","",INDEX('سجل التحفيز'!$E$5:$E$2004,MATCH($K201,'سجل التحفيز'!$AE$5:$AE$2004,0)))</f>
        <v/>
      </c>
      <c r="R201" s="9">
        <f>IF($K201="","",INDEX('سجل التحفيز'!$F$5:$F$2004,MATCH($K201,'سجل التحفيز'!$AE$5:$AE$2004,0)))</f>
        <v/>
      </c>
      <c r="S201" s="35">
        <f>IF($K201="","",INDEX('سجل التحفيز'!$G$5:$G$2004,MATCH($K201,'سجل التحفيز'!$AE$5:$AE$2004,0)))</f>
        <v/>
      </c>
    </row>
    <row r="202">
      <c r="K202" s="36">
        <f>IF(165&gt;$B$10,"",165)</f>
        <v/>
      </c>
      <c r="L202" s="37">
        <f>IF($K202="","",INDEX('سجل التحفيز'!$A$5:$A$2004,MATCH($K202,'سجل التحفيز'!$AE$5:$AE$2004,0)))</f>
        <v/>
      </c>
      <c r="M202" s="9">
        <f>IF($K202="","",INDEX('سجل التحفيز'!$B$5:$B$2004,MATCH($K202,'سجل التحفيز'!$AE$5:$AE$2004,0)))</f>
        <v/>
      </c>
      <c r="N202" s="9">
        <f>IF($K202="","",INDEX('سجل التحفيز'!$M$5:$M$2004,MATCH($K202,'سجل التحفيز'!$AE$5:$AE$2004,0)))</f>
        <v/>
      </c>
      <c r="O202" s="9">
        <f>IF($K202="","",INDEX('سجل التحفيز'!$C$5:$C$2004,MATCH($K202,'سجل التحفيز'!$AE$5:$AE$2004,0)))</f>
        <v/>
      </c>
      <c r="P202" s="36">
        <f>IF($K202="","",INDEX('سجل التحفيز'!$D$5:$D$2004,MATCH($K202,'سجل التحفيز'!$AE$5:$AE$2004,0)))</f>
        <v/>
      </c>
      <c r="Q202" s="9">
        <f>IF($K202="","",INDEX('سجل التحفيز'!$E$5:$E$2004,MATCH($K202,'سجل التحفيز'!$AE$5:$AE$2004,0)))</f>
        <v/>
      </c>
      <c r="R202" s="9">
        <f>IF($K202="","",INDEX('سجل التحفيز'!$F$5:$F$2004,MATCH($K202,'سجل التحفيز'!$AE$5:$AE$2004,0)))</f>
        <v/>
      </c>
      <c r="S202" s="35">
        <f>IF($K202="","",INDEX('سجل التحفيز'!$G$5:$G$2004,MATCH($K202,'سجل التحفيز'!$AE$5:$AE$2004,0)))</f>
        <v/>
      </c>
    </row>
    <row r="203">
      <c r="K203" s="36">
        <f>IF(166&gt;$B$10,"",166)</f>
        <v/>
      </c>
      <c r="L203" s="37">
        <f>IF($K203="","",INDEX('سجل التحفيز'!$A$5:$A$2004,MATCH($K203,'سجل التحفيز'!$AE$5:$AE$2004,0)))</f>
        <v/>
      </c>
      <c r="M203" s="9">
        <f>IF($K203="","",INDEX('سجل التحفيز'!$B$5:$B$2004,MATCH($K203,'سجل التحفيز'!$AE$5:$AE$2004,0)))</f>
        <v/>
      </c>
      <c r="N203" s="9">
        <f>IF($K203="","",INDEX('سجل التحفيز'!$M$5:$M$2004,MATCH($K203,'سجل التحفيز'!$AE$5:$AE$2004,0)))</f>
        <v/>
      </c>
      <c r="O203" s="9">
        <f>IF($K203="","",INDEX('سجل التحفيز'!$C$5:$C$2004,MATCH($K203,'سجل التحفيز'!$AE$5:$AE$2004,0)))</f>
        <v/>
      </c>
      <c r="P203" s="36">
        <f>IF($K203="","",INDEX('سجل التحفيز'!$D$5:$D$2004,MATCH($K203,'سجل التحفيز'!$AE$5:$AE$2004,0)))</f>
        <v/>
      </c>
      <c r="Q203" s="9">
        <f>IF($K203="","",INDEX('سجل التحفيز'!$E$5:$E$2004,MATCH($K203,'سجل التحفيز'!$AE$5:$AE$2004,0)))</f>
        <v/>
      </c>
      <c r="R203" s="9">
        <f>IF($K203="","",INDEX('سجل التحفيز'!$F$5:$F$2004,MATCH($K203,'سجل التحفيز'!$AE$5:$AE$2004,0)))</f>
        <v/>
      </c>
      <c r="S203" s="35">
        <f>IF($K203="","",INDEX('سجل التحفيز'!$G$5:$G$2004,MATCH($K203,'سجل التحفيز'!$AE$5:$AE$2004,0)))</f>
        <v/>
      </c>
    </row>
    <row r="204">
      <c r="K204" s="36">
        <f>IF(167&gt;$B$10,"",167)</f>
        <v/>
      </c>
      <c r="L204" s="37">
        <f>IF($K204="","",INDEX('سجل التحفيز'!$A$5:$A$2004,MATCH($K204,'سجل التحفيز'!$AE$5:$AE$2004,0)))</f>
        <v/>
      </c>
      <c r="M204" s="9">
        <f>IF($K204="","",INDEX('سجل التحفيز'!$B$5:$B$2004,MATCH($K204,'سجل التحفيز'!$AE$5:$AE$2004,0)))</f>
        <v/>
      </c>
      <c r="N204" s="9">
        <f>IF($K204="","",INDEX('سجل التحفيز'!$M$5:$M$2004,MATCH($K204,'سجل التحفيز'!$AE$5:$AE$2004,0)))</f>
        <v/>
      </c>
      <c r="O204" s="9">
        <f>IF($K204="","",INDEX('سجل التحفيز'!$C$5:$C$2004,MATCH($K204,'سجل التحفيز'!$AE$5:$AE$2004,0)))</f>
        <v/>
      </c>
      <c r="P204" s="36">
        <f>IF($K204="","",INDEX('سجل التحفيز'!$D$5:$D$2004,MATCH($K204,'سجل التحفيز'!$AE$5:$AE$2004,0)))</f>
        <v/>
      </c>
      <c r="Q204" s="9">
        <f>IF($K204="","",INDEX('سجل التحفيز'!$E$5:$E$2004,MATCH($K204,'سجل التحفيز'!$AE$5:$AE$2004,0)))</f>
        <v/>
      </c>
      <c r="R204" s="9">
        <f>IF($K204="","",INDEX('سجل التحفيز'!$F$5:$F$2004,MATCH($K204,'سجل التحفيز'!$AE$5:$AE$2004,0)))</f>
        <v/>
      </c>
      <c r="S204" s="35">
        <f>IF($K204="","",INDEX('سجل التحفيز'!$G$5:$G$2004,MATCH($K204,'سجل التحفيز'!$AE$5:$AE$2004,0)))</f>
        <v/>
      </c>
    </row>
    <row r="205">
      <c r="K205" s="36">
        <f>IF(168&gt;$B$10,"",168)</f>
        <v/>
      </c>
      <c r="L205" s="37">
        <f>IF($K205="","",INDEX('سجل التحفيز'!$A$5:$A$2004,MATCH($K205,'سجل التحفيز'!$AE$5:$AE$2004,0)))</f>
        <v/>
      </c>
      <c r="M205" s="9">
        <f>IF($K205="","",INDEX('سجل التحفيز'!$B$5:$B$2004,MATCH($K205,'سجل التحفيز'!$AE$5:$AE$2004,0)))</f>
        <v/>
      </c>
      <c r="N205" s="9">
        <f>IF($K205="","",INDEX('سجل التحفيز'!$M$5:$M$2004,MATCH($K205,'سجل التحفيز'!$AE$5:$AE$2004,0)))</f>
        <v/>
      </c>
      <c r="O205" s="9">
        <f>IF($K205="","",INDEX('سجل التحفيز'!$C$5:$C$2004,MATCH($K205,'سجل التحفيز'!$AE$5:$AE$2004,0)))</f>
        <v/>
      </c>
      <c r="P205" s="36">
        <f>IF($K205="","",INDEX('سجل التحفيز'!$D$5:$D$2004,MATCH($K205,'سجل التحفيز'!$AE$5:$AE$2004,0)))</f>
        <v/>
      </c>
      <c r="Q205" s="9">
        <f>IF($K205="","",INDEX('سجل التحفيز'!$E$5:$E$2004,MATCH($K205,'سجل التحفيز'!$AE$5:$AE$2004,0)))</f>
        <v/>
      </c>
      <c r="R205" s="9">
        <f>IF($K205="","",INDEX('سجل التحفيز'!$F$5:$F$2004,MATCH($K205,'سجل التحفيز'!$AE$5:$AE$2004,0)))</f>
        <v/>
      </c>
      <c r="S205" s="35">
        <f>IF($K205="","",INDEX('سجل التحفيز'!$G$5:$G$2004,MATCH($K205,'سجل التحفيز'!$AE$5:$AE$2004,0)))</f>
        <v/>
      </c>
    </row>
    <row r="206">
      <c r="K206" s="36">
        <f>IF(169&gt;$B$10,"",169)</f>
        <v/>
      </c>
      <c r="L206" s="37">
        <f>IF($K206="","",INDEX('سجل التحفيز'!$A$5:$A$2004,MATCH($K206,'سجل التحفيز'!$AE$5:$AE$2004,0)))</f>
        <v/>
      </c>
      <c r="M206" s="9">
        <f>IF($K206="","",INDEX('سجل التحفيز'!$B$5:$B$2004,MATCH($K206,'سجل التحفيز'!$AE$5:$AE$2004,0)))</f>
        <v/>
      </c>
      <c r="N206" s="9">
        <f>IF($K206="","",INDEX('سجل التحفيز'!$M$5:$M$2004,MATCH($K206,'سجل التحفيز'!$AE$5:$AE$2004,0)))</f>
        <v/>
      </c>
      <c r="O206" s="9">
        <f>IF($K206="","",INDEX('سجل التحفيز'!$C$5:$C$2004,MATCH($K206,'سجل التحفيز'!$AE$5:$AE$2004,0)))</f>
        <v/>
      </c>
      <c r="P206" s="36">
        <f>IF($K206="","",INDEX('سجل التحفيز'!$D$5:$D$2004,MATCH($K206,'سجل التحفيز'!$AE$5:$AE$2004,0)))</f>
        <v/>
      </c>
      <c r="Q206" s="9">
        <f>IF($K206="","",INDEX('سجل التحفيز'!$E$5:$E$2004,MATCH($K206,'سجل التحفيز'!$AE$5:$AE$2004,0)))</f>
        <v/>
      </c>
      <c r="R206" s="9">
        <f>IF($K206="","",INDEX('سجل التحفيز'!$F$5:$F$2004,MATCH($K206,'سجل التحفيز'!$AE$5:$AE$2004,0)))</f>
        <v/>
      </c>
      <c r="S206" s="35">
        <f>IF($K206="","",INDEX('سجل التحفيز'!$G$5:$G$2004,MATCH($K206,'سجل التحفيز'!$AE$5:$AE$2004,0)))</f>
        <v/>
      </c>
    </row>
    <row r="207">
      <c r="K207" s="36">
        <f>IF(170&gt;$B$10,"",170)</f>
        <v/>
      </c>
      <c r="L207" s="37">
        <f>IF($K207="","",INDEX('سجل التحفيز'!$A$5:$A$2004,MATCH($K207,'سجل التحفيز'!$AE$5:$AE$2004,0)))</f>
        <v/>
      </c>
      <c r="M207" s="9">
        <f>IF($K207="","",INDEX('سجل التحفيز'!$B$5:$B$2004,MATCH($K207,'سجل التحفيز'!$AE$5:$AE$2004,0)))</f>
        <v/>
      </c>
      <c r="N207" s="9">
        <f>IF($K207="","",INDEX('سجل التحفيز'!$M$5:$M$2004,MATCH($K207,'سجل التحفيز'!$AE$5:$AE$2004,0)))</f>
        <v/>
      </c>
      <c r="O207" s="9">
        <f>IF($K207="","",INDEX('سجل التحفيز'!$C$5:$C$2004,MATCH($K207,'سجل التحفيز'!$AE$5:$AE$2004,0)))</f>
        <v/>
      </c>
      <c r="P207" s="36">
        <f>IF($K207="","",INDEX('سجل التحفيز'!$D$5:$D$2004,MATCH($K207,'سجل التحفيز'!$AE$5:$AE$2004,0)))</f>
        <v/>
      </c>
      <c r="Q207" s="9">
        <f>IF($K207="","",INDEX('سجل التحفيز'!$E$5:$E$2004,MATCH($K207,'سجل التحفيز'!$AE$5:$AE$2004,0)))</f>
        <v/>
      </c>
      <c r="R207" s="9">
        <f>IF($K207="","",INDEX('سجل التحفيز'!$F$5:$F$2004,MATCH($K207,'سجل التحفيز'!$AE$5:$AE$2004,0)))</f>
        <v/>
      </c>
      <c r="S207" s="35">
        <f>IF($K207="","",INDEX('سجل التحفيز'!$G$5:$G$2004,MATCH($K207,'سجل التحفيز'!$AE$5:$AE$2004,0)))</f>
        <v/>
      </c>
    </row>
    <row r="208">
      <c r="K208" s="36">
        <f>IF(171&gt;$B$10,"",171)</f>
        <v/>
      </c>
      <c r="L208" s="37">
        <f>IF($K208="","",INDEX('سجل التحفيز'!$A$5:$A$2004,MATCH($K208,'سجل التحفيز'!$AE$5:$AE$2004,0)))</f>
        <v/>
      </c>
      <c r="M208" s="9">
        <f>IF($K208="","",INDEX('سجل التحفيز'!$B$5:$B$2004,MATCH($K208,'سجل التحفيز'!$AE$5:$AE$2004,0)))</f>
        <v/>
      </c>
      <c r="N208" s="9">
        <f>IF($K208="","",INDEX('سجل التحفيز'!$M$5:$M$2004,MATCH($K208,'سجل التحفيز'!$AE$5:$AE$2004,0)))</f>
        <v/>
      </c>
      <c r="O208" s="9">
        <f>IF($K208="","",INDEX('سجل التحفيز'!$C$5:$C$2004,MATCH($K208,'سجل التحفيز'!$AE$5:$AE$2004,0)))</f>
        <v/>
      </c>
      <c r="P208" s="36">
        <f>IF($K208="","",INDEX('سجل التحفيز'!$D$5:$D$2004,MATCH($K208,'سجل التحفيز'!$AE$5:$AE$2004,0)))</f>
        <v/>
      </c>
      <c r="Q208" s="9">
        <f>IF($K208="","",INDEX('سجل التحفيز'!$E$5:$E$2004,MATCH($K208,'سجل التحفيز'!$AE$5:$AE$2004,0)))</f>
        <v/>
      </c>
      <c r="R208" s="9">
        <f>IF($K208="","",INDEX('سجل التحفيز'!$F$5:$F$2004,MATCH($K208,'سجل التحفيز'!$AE$5:$AE$2004,0)))</f>
        <v/>
      </c>
      <c r="S208" s="35">
        <f>IF($K208="","",INDEX('سجل التحفيز'!$G$5:$G$2004,MATCH($K208,'سجل التحفيز'!$AE$5:$AE$2004,0)))</f>
        <v/>
      </c>
    </row>
    <row r="209">
      <c r="K209" s="36">
        <f>IF(172&gt;$B$10,"",172)</f>
        <v/>
      </c>
      <c r="L209" s="37">
        <f>IF($K209="","",INDEX('سجل التحفيز'!$A$5:$A$2004,MATCH($K209,'سجل التحفيز'!$AE$5:$AE$2004,0)))</f>
        <v/>
      </c>
      <c r="M209" s="9">
        <f>IF($K209="","",INDEX('سجل التحفيز'!$B$5:$B$2004,MATCH($K209,'سجل التحفيز'!$AE$5:$AE$2004,0)))</f>
        <v/>
      </c>
      <c r="N209" s="9">
        <f>IF($K209="","",INDEX('سجل التحفيز'!$M$5:$M$2004,MATCH($K209,'سجل التحفيز'!$AE$5:$AE$2004,0)))</f>
        <v/>
      </c>
      <c r="O209" s="9">
        <f>IF($K209="","",INDEX('سجل التحفيز'!$C$5:$C$2004,MATCH($K209,'سجل التحفيز'!$AE$5:$AE$2004,0)))</f>
        <v/>
      </c>
      <c r="P209" s="36">
        <f>IF($K209="","",INDEX('سجل التحفيز'!$D$5:$D$2004,MATCH($K209,'سجل التحفيز'!$AE$5:$AE$2004,0)))</f>
        <v/>
      </c>
      <c r="Q209" s="9">
        <f>IF($K209="","",INDEX('سجل التحفيز'!$E$5:$E$2004,MATCH($K209,'سجل التحفيز'!$AE$5:$AE$2004,0)))</f>
        <v/>
      </c>
      <c r="R209" s="9">
        <f>IF($K209="","",INDEX('سجل التحفيز'!$F$5:$F$2004,MATCH($K209,'سجل التحفيز'!$AE$5:$AE$2004,0)))</f>
        <v/>
      </c>
      <c r="S209" s="35">
        <f>IF($K209="","",INDEX('سجل التحفيز'!$G$5:$G$2004,MATCH($K209,'سجل التحفيز'!$AE$5:$AE$2004,0)))</f>
        <v/>
      </c>
    </row>
    <row r="210">
      <c r="K210" s="36">
        <f>IF(173&gt;$B$10,"",173)</f>
        <v/>
      </c>
      <c r="L210" s="37">
        <f>IF($K210="","",INDEX('سجل التحفيز'!$A$5:$A$2004,MATCH($K210,'سجل التحفيز'!$AE$5:$AE$2004,0)))</f>
        <v/>
      </c>
      <c r="M210" s="9">
        <f>IF($K210="","",INDEX('سجل التحفيز'!$B$5:$B$2004,MATCH($K210,'سجل التحفيز'!$AE$5:$AE$2004,0)))</f>
        <v/>
      </c>
      <c r="N210" s="9">
        <f>IF($K210="","",INDEX('سجل التحفيز'!$M$5:$M$2004,MATCH($K210,'سجل التحفيز'!$AE$5:$AE$2004,0)))</f>
        <v/>
      </c>
      <c r="O210" s="9">
        <f>IF($K210="","",INDEX('سجل التحفيز'!$C$5:$C$2004,MATCH($K210,'سجل التحفيز'!$AE$5:$AE$2004,0)))</f>
        <v/>
      </c>
      <c r="P210" s="36">
        <f>IF($K210="","",INDEX('سجل التحفيز'!$D$5:$D$2004,MATCH($K210,'سجل التحفيز'!$AE$5:$AE$2004,0)))</f>
        <v/>
      </c>
      <c r="Q210" s="9">
        <f>IF($K210="","",INDEX('سجل التحفيز'!$E$5:$E$2004,MATCH($K210,'سجل التحفيز'!$AE$5:$AE$2004,0)))</f>
        <v/>
      </c>
      <c r="R210" s="9">
        <f>IF($K210="","",INDEX('سجل التحفيز'!$F$5:$F$2004,MATCH($K210,'سجل التحفيز'!$AE$5:$AE$2004,0)))</f>
        <v/>
      </c>
      <c r="S210" s="35">
        <f>IF($K210="","",INDEX('سجل التحفيز'!$G$5:$G$2004,MATCH($K210,'سجل التحفيز'!$AE$5:$AE$2004,0)))</f>
        <v/>
      </c>
    </row>
    <row r="211">
      <c r="K211" s="36">
        <f>IF(174&gt;$B$10,"",174)</f>
        <v/>
      </c>
      <c r="L211" s="37">
        <f>IF($K211="","",INDEX('سجل التحفيز'!$A$5:$A$2004,MATCH($K211,'سجل التحفيز'!$AE$5:$AE$2004,0)))</f>
        <v/>
      </c>
      <c r="M211" s="9">
        <f>IF($K211="","",INDEX('سجل التحفيز'!$B$5:$B$2004,MATCH($K211,'سجل التحفيز'!$AE$5:$AE$2004,0)))</f>
        <v/>
      </c>
      <c r="N211" s="9">
        <f>IF($K211="","",INDEX('سجل التحفيز'!$M$5:$M$2004,MATCH($K211,'سجل التحفيز'!$AE$5:$AE$2004,0)))</f>
        <v/>
      </c>
      <c r="O211" s="9">
        <f>IF($K211="","",INDEX('سجل التحفيز'!$C$5:$C$2004,MATCH($K211,'سجل التحفيز'!$AE$5:$AE$2004,0)))</f>
        <v/>
      </c>
      <c r="P211" s="36">
        <f>IF($K211="","",INDEX('سجل التحفيز'!$D$5:$D$2004,MATCH($K211,'سجل التحفيز'!$AE$5:$AE$2004,0)))</f>
        <v/>
      </c>
      <c r="Q211" s="9">
        <f>IF($K211="","",INDEX('سجل التحفيز'!$E$5:$E$2004,MATCH($K211,'سجل التحفيز'!$AE$5:$AE$2004,0)))</f>
        <v/>
      </c>
      <c r="R211" s="9">
        <f>IF($K211="","",INDEX('سجل التحفيز'!$F$5:$F$2004,MATCH($K211,'سجل التحفيز'!$AE$5:$AE$2004,0)))</f>
        <v/>
      </c>
      <c r="S211" s="35">
        <f>IF($K211="","",INDEX('سجل التحفيز'!$G$5:$G$2004,MATCH($K211,'سجل التحفيز'!$AE$5:$AE$2004,0)))</f>
        <v/>
      </c>
    </row>
    <row r="212">
      <c r="K212" s="36">
        <f>IF(175&gt;$B$10,"",175)</f>
        <v/>
      </c>
      <c r="L212" s="37">
        <f>IF($K212="","",INDEX('سجل التحفيز'!$A$5:$A$2004,MATCH($K212,'سجل التحفيز'!$AE$5:$AE$2004,0)))</f>
        <v/>
      </c>
      <c r="M212" s="9">
        <f>IF($K212="","",INDEX('سجل التحفيز'!$B$5:$B$2004,MATCH($K212,'سجل التحفيز'!$AE$5:$AE$2004,0)))</f>
        <v/>
      </c>
      <c r="N212" s="9">
        <f>IF($K212="","",INDEX('سجل التحفيز'!$M$5:$M$2004,MATCH($K212,'سجل التحفيز'!$AE$5:$AE$2004,0)))</f>
        <v/>
      </c>
      <c r="O212" s="9">
        <f>IF($K212="","",INDEX('سجل التحفيز'!$C$5:$C$2004,MATCH($K212,'سجل التحفيز'!$AE$5:$AE$2004,0)))</f>
        <v/>
      </c>
      <c r="P212" s="36">
        <f>IF($K212="","",INDEX('سجل التحفيز'!$D$5:$D$2004,MATCH($K212,'سجل التحفيز'!$AE$5:$AE$2004,0)))</f>
        <v/>
      </c>
      <c r="Q212" s="9">
        <f>IF($K212="","",INDEX('سجل التحفيز'!$E$5:$E$2004,MATCH($K212,'سجل التحفيز'!$AE$5:$AE$2004,0)))</f>
        <v/>
      </c>
      <c r="R212" s="9">
        <f>IF($K212="","",INDEX('سجل التحفيز'!$F$5:$F$2004,MATCH($K212,'سجل التحفيز'!$AE$5:$AE$2004,0)))</f>
        <v/>
      </c>
      <c r="S212" s="35">
        <f>IF($K212="","",INDEX('سجل التحفيز'!$G$5:$G$2004,MATCH($K212,'سجل التحفيز'!$AE$5:$AE$2004,0)))</f>
        <v/>
      </c>
    </row>
    <row r="213">
      <c r="K213" s="36">
        <f>IF(176&gt;$B$10,"",176)</f>
        <v/>
      </c>
      <c r="L213" s="37">
        <f>IF($K213="","",INDEX('سجل التحفيز'!$A$5:$A$2004,MATCH($K213,'سجل التحفيز'!$AE$5:$AE$2004,0)))</f>
        <v/>
      </c>
      <c r="M213" s="9">
        <f>IF($K213="","",INDEX('سجل التحفيز'!$B$5:$B$2004,MATCH($K213,'سجل التحفيز'!$AE$5:$AE$2004,0)))</f>
        <v/>
      </c>
      <c r="N213" s="9">
        <f>IF($K213="","",INDEX('سجل التحفيز'!$M$5:$M$2004,MATCH($K213,'سجل التحفيز'!$AE$5:$AE$2004,0)))</f>
        <v/>
      </c>
      <c r="O213" s="9">
        <f>IF($K213="","",INDEX('سجل التحفيز'!$C$5:$C$2004,MATCH($K213,'سجل التحفيز'!$AE$5:$AE$2004,0)))</f>
        <v/>
      </c>
      <c r="P213" s="36">
        <f>IF($K213="","",INDEX('سجل التحفيز'!$D$5:$D$2004,MATCH($K213,'سجل التحفيز'!$AE$5:$AE$2004,0)))</f>
        <v/>
      </c>
      <c r="Q213" s="9">
        <f>IF($K213="","",INDEX('سجل التحفيز'!$E$5:$E$2004,MATCH($K213,'سجل التحفيز'!$AE$5:$AE$2004,0)))</f>
        <v/>
      </c>
      <c r="R213" s="9">
        <f>IF($K213="","",INDEX('سجل التحفيز'!$F$5:$F$2004,MATCH($K213,'سجل التحفيز'!$AE$5:$AE$2004,0)))</f>
        <v/>
      </c>
      <c r="S213" s="35">
        <f>IF($K213="","",INDEX('سجل التحفيز'!$G$5:$G$2004,MATCH($K213,'سجل التحفيز'!$AE$5:$AE$2004,0)))</f>
        <v/>
      </c>
    </row>
    <row r="214">
      <c r="K214" s="36">
        <f>IF(177&gt;$B$10,"",177)</f>
        <v/>
      </c>
      <c r="L214" s="37">
        <f>IF($K214="","",INDEX('سجل التحفيز'!$A$5:$A$2004,MATCH($K214,'سجل التحفيز'!$AE$5:$AE$2004,0)))</f>
        <v/>
      </c>
      <c r="M214" s="9">
        <f>IF($K214="","",INDEX('سجل التحفيز'!$B$5:$B$2004,MATCH($K214,'سجل التحفيز'!$AE$5:$AE$2004,0)))</f>
        <v/>
      </c>
      <c r="N214" s="9">
        <f>IF($K214="","",INDEX('سجل التحفيز'!$M$5:$M$2004,MATCH($K214,'سجل التحفيز'!$AE$5:$AE$2004,0)))</f>
        <v/>
      </c>
      <c r="O214" s="9">
        <f>IF($K214="","",INDEX('سجل التحفيز'!$C$5:$C$2004,MATCH($K214,'سجل التحفيز'!$AE$5:$AE$2004,0)))</f>
        <v/>
      </c>
      <c r="P214" s="36">
        <f>IF($K214="","",INDEX('سجل التحفيز'!$D$5:$D$2004,MATCH($K214,'سجل التحفيز'!$AE$5:$AE$2004,0)))</f>
        <v/>
      </c>
      <c r="Q214" s="9">
        <f>IF($K214="","",INDEX('سجل التحفيز'!$E$5:$E$2004,MATCH($K214,'سجل التحفيز'!$AE$5:$AE$2004,0)))</f>
        <v/>
      </c>
      <c r="R214" s="9">
        <f>IF($K214="","",INDEX('سجل التحفيز'!$F$5:$F$2004,MATCH($K214,'سجل التحفيز'!$AE$5:$AE$2004,0)))</f>
        <v/>
      </c>
      <c r="S214" s="35">
        <f>IF($K214="","",INDEX('سجل التحفيز'!$G$5:$G$2004,MATCH($K214,'سجل التحفيز'!$AE$5:$AE$2004,0)))</f>
        <v/>
      </c>
    </row>
    <row r="215">
      <c r="K215" s="36">
        <f>IF(178&gt;$B$10,"",178)</f>
        <v/>
      </c>
      <c r="L215" s="37">
        <f>IF($K215="","",INDEX('سجل التحفيز'!$A$5:$A$2004,MATCH($K215,'سجل التحفيز'!$AE$5:$AE$2004,0)))</f>
        <v/>
      </c>
      <c r="M215" s="9">
        <f>IF($K215="","",INDEX('سجل التحفيز'!$B$5:$B$2004,MATCH($K215,'سجل التحفيز'!$AE$5:$AE$2004,0)))</f>
        <v/>
      </c>
      <c r="N215" s="9">
        <f>IF($K215="","",INDEX('سجل التحفيز'!$M$5:$M$2004,MATCH($K215,'سجل التحفيز'!$AE$5:$AE$2004,0)))</f>
        <v/>
      </c>
      <c r="O215" s="9">
        <f>IF($K215="","",INDEX('سجل التحفيز'!$C$5:$C$2004,MATCH($K215,'سجل التحفيز'!$AE$5:$AE$2004,0)))</f>
        <v/>
      </c>
      <c r="P215" s="36">
        <f>IF($K215="","",INDEX('سجل التحفيز'!$D$5:$D$2004,MATCH($K215,'سجل التحفيز'!$AE$5:$AE$2004,0)))</f>
        <v/>
      </c>
      <c r="Q215" s="9">
        <f>IF($K215="","",INDEX('سجل التحفيز'!$E$5:$E$2004,MATCH($K215,'سجل التحفيز'!$AE$5:$AE$2004,0)))</f>
        <v/>
      </c>
      <c r="R215" s="9">
        <f>IF($K215="","",INDEX('سجل التحفيز'!$F$5:$F$2004,MATCH($K215,'سجل التحفيز'!$AE$5:$AE$2004,0)))</f>
        <v/>
      </c>
      <c r="S215" s="35">
        <f>IF($K215="","",INDEX('سجل التحفيز'!$G$5:$G$2004,MATCH($K215,'سجل التحفيز'!$AE$5:$AE$2004,0)))</f>
        <v/>
      </c>
    </row>
    <row r="216">
      <c r="K216" s="36">
        <f>IF(179&gt;$B$10,"",179)</f>
        <v/>
      </c>
      <c r="L216" s="37">
        <f>IF($K216="","",INDEX('سجل التحفيز'!$A$5:$A$2004,MATCH($K216,'سجل التحفيز'!$AE$5:$AE$2004,0)))</f>
        <v/>
      </c>
      <c r="M216" s="9">
        <f>IF($K216="","",INDEX('سجل التحفيز'!$B$5:$B$2004,MATCH($K216,'سجل التحفيز'!$AE$5:$AE$2004,0)))</f>
        <v/>
      </c>
      <c r="N216" s="9">
        <f>IF($K216="","",INDEX('سجل التحفيز'!$M$5:$M$2004,MATCH($K216,'سجل التحفيز'!$AE$5:$AE$2004,0)))</f>
        <v/>
      </c>
      <c r="O216" s="9">
        <f>IF($K216="","",INDEX('سجل التحفيز'!$C$5:$C$2004,MATCH($K216,'سجل التحفيز'!$AE$5:$AE$2004,0)))</f>
        <v/>
      </c>
      <c r="P216" s="36">
        <f>IF($K216="","",INDEX('سجل التحفيز'!$D$5:$D$2004,MATCH($K216,'سجل التحفيز'!$AE$5:$AE$2004,0)))</f>
        <v/>
      </c>
      <c r="Q216" s="9">
        <f>IF($K216="","",INDEX('سجل التحفيز'!$E$5:$E$2004,MATCH($K216,'سجل التحفيز'!$AE$5:$AE$2004,0)))</f>
        <v/>
      </c>
      <c r="R216" s="9">
        <f>IF($K216="","",INDEX('سجل التحفيز'!$F$5:$F$2004,MATCH($K216,'سجل التحفيز'!$AE$5:$AE$2004,0)))</f>
        <v/>
      </c>
      <c r="S216" s="35">
        <f>IF($K216="","",INDEX('سجل التحفيز'!$G$5:$G$2004,MATCH($K216,'سجل التحفيز'!$AE$5:$AE$2004,0)))</f>
        <v/>
      </c>
    </row>
    <row r="217">
      <c r="K217" s="36">
        <f>IF(180&gt;$B$10,"",180)</f>
        <v/>
      </c>
      <c r="L217" s="37">
        <f>IF($K217="","",INDEX('سجل التحفيز'!$A$5:$A$2004,MATCH($K217,'سجل التحفيز'!$AE$5:$AE$2004,0)))</f>
        <v/>
      </c>
      <c r="M217" s="9">
        <f>IF($K217="","",INDEX('سجل التحفيز'!$B$5:$B$2004,MATCH($K217,'سجل التحفيز'!$AE$5:$AE$2004,0)))</f>
        <v/>
      </c>
      <c r="N217" s="9">
        <f>IF($K217="","",INDEX('سجل التحفيز'!$M$5:$M$2004,MATCH($K217,'سجل التحفيز'!$AE$5:$AE$2004,0)))</f>
        <v/>
      </c>
      <c r="O217" s="9">
        <f>IF($K217="","",INDEX('سجل التحفيز'!$C$5:$C$2004,MATCH($K217,'سجل التحفيز'!$AE$5:$AE$2004,0)))</f>
        <v/>
      </c>
      <c r="P217" s="36">
        <f>IF($K217="","",INDEX('سجل التحفيز'!$D$5:$D$2004,MATCH($K217,'سجل التحفيز'!$AE$5:$AE$2004,0)))</f>
        <v/>
      </c>
      <c r="Q217" s="9">
        <f>IF($K217="","",INDEX('سجل التحفيز'!$E$5:$E$2004,MATCH($K217,'سجل التحفيز'!$AE$5:$AE$2004,0)))</f>
        <v/>
      </c>
      <c r="R217" s="9">
        <f>IF($K217="","",INDEX('سجل التحفيز'!$F$5:$F$2004,MATCH($K217,'سجل التحفيز'!$AE$5:$AE$2004,0)))</f>
        <v/>
      </c>
      <c r="S217" s="35">
        <f>IF($K217="","",INDEX('سجل التحفيز'!$G$5:$G$2004,MATCH($K217,'سجل التحفيز'!$AE$5:$AE$2004,0)))</f>
        <v/>
      </c>
    </row>
    <row r="218">
      <c r="K218" s="36">
        <f>IF(181&gt;$B$10,"",181)</f>
        <v/>
      </c>
      <c r="L218" s="37">
        <f>IF($K218="","",INDEX('سجل التحفيز'!$A$5:$A$2004,MATCH($K218,'سجل التحفيز'!$AE$5:$AE$2004,0)))</f>
        <v/>
      </c>
      <c r="M218" s="9">
        <f>IF($K218="","",INDEX('سجل التحفيز'!$B$5:$B$2004,MATCH($K218,'سجل التحفيز'!$AE$5:$AE$2004,0)))</f>
        <v/>
      </c>
      <c r="N218" s="9">
        <f>IF($K218="","",INDEX('سجل التحفيز'!$M$5:$M$2004,MATCH($K218,'سجل التحفيز'!$AE$5:$AE$2004,0)))</f>
        <v/>
      </c>
      <c r="O218" s="9">
        <f>IF($K218="","",INDEX('سجل التحفيز'!$C$5:$C$2004,MATCH($K218,'سجل التحفيز'!$AE$5:$AE$2004,0)))</f>
        <v/>
      </c>
      <c r="P218" s="36">
        <f>IF($K218="","",INDEX('سجل التحفيز'!$D$5:$D$2004,MATCH($K218,'سجل التحفيز'!$AE$5:$AE$2004,0)))</f>
        <v/>
      </c>
      <c r="Q218" s="9">
        <f>IF($K218="","",INDEX('سجل التحفيز'!$E$5:$E$2004,MATCH($K218,'سجل التحفيز'!$AE$5:$AE$2004,0)))</f>
        <v/>
      </c>
      <c r="R218" s="9">
        <f>IF($K218="","",INDEX('سجل التحفيز'!$F$5:$F$2004,MATCH($K218,'سجل التحفيز'!$AE$5:$AE$2004,0)))</f>
        <v/>
      </c>
      <c r="S218" s="35">
        <f>IF($K218="","",INDEX('سجل التحفيز'!$G$5:$G$2004,MATCH($K218,'سجل التحفيز'!$AE$5:$AE$2004,0)))</f>
        <v/>
      </c>
    </row>
    <row r="219">
      <c r="K219" s="36">
        <f>IF(182&gt;$B$10,"",182)</f>
        <v/>
      </c>
      <c r="L219" s="37">
        <f>IF($K219="","",INDEX('سجل التحفيز'!$A$5:$A$2004,MATCH($K219,'سجل التحفيز'!$AE$5:$AE$2004,0)))</f>
        <v/>
      </c>
      <c r="M219" s="9">
        <f>IF($K219="","",INDEX('سجل التحفيز'!$B$5:$B$2004,MATCH($K219,'سجل التحفيز'!$AE$5:$AE$2004,0)))</f>
        <v/>
      </c>
      <c r="N219" s="9">
        <f>IF($K219="","",INDEX('سجل التحفيز'!$M$5:$M$2004,MATCH($K219,'سجل التحفيز'!$AE$5:$AE$2004,0)))</f>
        <v/>
      </c>
      <c r="O219" s="9">
        <f>IF($K219="","",INDEX('سجل التحفيز'!$C$5:$C$2004,MATCH($K219,'سجل التحفيز'!$AE$5:$AE$2004,0)))</f>
        <v/>
      </c>
      <c r="P219" s="36">
        <f>IF($K219="","",INDEX('سجل التحفيز'!$D$5:$D$2004,MATCH($K219,'سجل التحفيز'!$AE$5:$AE$2004,0)))</f>
        <v/>
      </c>
      <c r="Q219" s="9">
        <f>IF($K219="","",INDEX('سجل التحفيز'!$E$5:$E$2004,MATCH($K219,'سجل التحفيز'!$AE$5:$AE$2004,0)))</f>
        <v/>
      </c>
      <c r="R219" s="9">
        <f>IF($K219="","",INDEX('سجل التحفيز'!$F$5:$F$2004,MATCH($K219,'سجل التحفيز'!$AE$5:$AE$2004,0)))</f>
        <v/>
      </c>
      <c r="S219" s="35">
        <f>IF($K219="","",INDEX('سجل التحفيز'!$G$5:$G$2004,MATCH($K219,'سجل التحفيز'!$AE$5:$AE$2004,0)))</f>
        <v/>
      </c>
    </row>
    <row r="220">
      <c r="K220" s="36">
        <f>IF(183&gt;$B$10,"",183)</f>
        <v/>
      </c>
      <c r="L220" s="37">
        <f>IF($K220="","",INDEX('سجل التحفيز'!$A$5:$A$2004,MATCH($K220,'سجل التحفيز'!$AE$5:$AE$2004,0)))</f>
        <v/>
      </c>
      <c r="M220" s="9">
        <f>IF($K220="","",INDEX('سجل التحفيز'!$B$5:$B$2004,MATCH($K220,'سجل التحفيز'!$AE$5:$AE$2004,0)))</f>
        <v/>
      </c>
      <c r="N220" s="9">
        <f>IF($K220="","",INDEX('سجل التحفيز'!$M$5:$M$2004,MATCH($K220,'سجل التحفيز'!$AE$5:$AE$2004,0)))</f>
        <v/>
      </c>
      <c r="O220" s="9">
        <f>IF($K220="","",INDEX('سجل التحفيز'!$C$5:$C$2004,MATCH($K220,'سجل التحفيز'!$AE$5:$AE$2004,0)))</f>
        <v/>
      </c>
      <c r="P220" s="36">
        <f>IF($K220="","",INDEX('سجل التحفيز'!$D$5:$D$2004,MATCH($K220,'سجل التحفيز'!$AE$5:$AE$2004,0)))</f>
        <v/>
      </c>
      <c r="Q220" s="9">
        <f>IF($K220="","",INDEX('سجل التحفيز'!$E$5:$E$2004,MATCH($K220,'سجل التحفيز'!$AE$5:$AE$2004,0)))</f>
        <v/>
      </c>
      <c r="R220" s="9">
        <f>IF($K220="","",INDEX('سجل التحفيز'!$F$5:$F$2004,MATCH($K220,'سجل التحفيز'!$AE$5:$AE$2004,0)))</f>
        <v/>
      </c>
      <c r="S220" s="35">
        <f>IF($K220="","",INDEX('سجل التحفيز'!$G$5:$G$2004,MATCH($K220,'سجل التحفيز'!$AE$5:$AE$2004,0)))</f>
        <v/>
      </c>
    </row>
    <row r="221">
      <c r="K221" s="36">
        <f>IF(184&gt;$B$10,"",184)</f>
        <v/>
      </c>
      <c r="L221" s="37">
        <f>IF($K221="","",INDEX('سجل التحفيز'!$A$5:$A$2004,MATCH($K221,'سجل التحفيز'!$AE$5:$AE$2004,0)))</f>
        <v/>
      </c>
      <c r="M221" s="9">
        <f>IF($K221="","",INDEX('سجل التحفيز'!$B$5:$B$2004,MATCH($K221,'سجل التحفيز'!$AE$5:$AE$2004,0)))</f>
        <v/>
      </c>
      <c r="N221" s="9">
        <f>IF($K221="","",INDEX('سجل التحفيز'!$M$5:$M$2004,MATCH($K221,'سجل التحفيز'!$AE$5:$AE$2004,0)))</f>
        <v/>
      </c>
      <c r="O221" s="9">
        <f>IF($K221="","",INDEX('سجل التحفيز'!$C$5:$C$2004,MATCH($K221,'سجل التحفيز'!$AE$5:$AE$2004,0)))</f>
        <v/>
      </c>
      <c r="P221" s="36">
        <f>IF($K221="","",INDEX('سجل التحفيز'!$D$5:$D$2004,MATCH($K221,'سجل التحفيز'!$AE$5:$AE$2004,0)))</f>
        <v/>
      </c>
      <c r="Q221" s="9">
        <f>IF($K221="","",INDEX('سجل التحفيز'!$E$5:$E$2004,MATCH($K221,'سجل التحفيز'!$AE$5:$AE$2004,0)))</f>
        <v/>
      </c>
      <c r="R221" s="9">
        <f>IF($K221="","",INDEX('سجل التحفيز'!$F$5:$F$2004,MATCH($K221,'سجل التحفيز'!$AE$5:$AE$2004,0)))</f>
        <v/>
      </c>
      <c r="S221" s="35">
        <f>IF($K221="","",INDEX('سجل التحفيز'!$G$5:$G$2004,MATCH($K221,'سجل التحفيز'!$AE$5:$AE$2004,0)))</f>
        <v/>
      </c>
    </row>
    <row r="222">
      <c r="K222" s="36">
        <f>IF(185&gt;$B$10,"",185)</f>
        <v/>
      </c>
      <c r="L222" s="37">
        <f>IF($K222="","",INDEX('سجل التحفيز'!$A$5:$A$2004,MATCH($K222,'سجل التحفيز'!$AE$5:$AE$2004,0)))</f>
        <v/>
      </c>
      <c r="M222" s="9">
        <f>IF($K222="","",INDEX('سجل التحفيز'!$B$5:$B$2004,MATCH($K222,'سجل التحفيز'!$AE$5:$AE$2004,0)))</f>
        <v/>
      </c>
      <c r="N222" s="9">
        <f>IF($K222="","",INDEX('سجل التحفيز'!$M$5:$M$2004,MATCH($K222,'سجل التحفيز'!$AE$5:$AE$2004,0)))</f>
        <v/>
      </c>
      <c r="O222" s="9">
        <f>IF($K222="","",INDEX('سجل التحفيز'!$C$5:$C$2004,MATCH($K222,'سجل التحفيز'!$AE$5:$AE$2004,0)))</f>
        <v/>
      </c>
      <c r="P222" s="36">
        <f>IF($K222="","",INDEX('سجل التحفيز'!$D$5:$D$2004,MATCH($K222,'سجل التحفيز'!$AE$5:$AE$2004,0)))</f>
        <v/>
      </c>
      <c r="Q222" s="9">
        <f>IF($K222="","",INDEX('سجل التحفيز'!$E$5:$E$2004,MATCH($K222,'سجل التحفيز'!$AE$5:$AE$2004,0)))</f>
        <v/>
      </c>
      <c r="R222" s="9">
        <f>IF($K222="","",INDEX('سجل التحفيز'!$F$5:$F$2004,MATCH($K222,'سجل التحفيز'!$AE$5:$AE$2004,0)))</f>
        <v/>
      </c>
      <c r="S222" s="35">
        <f>IF($K222="","",INDEX('سجل التحفيز'!$G$5:$G$2004,MATCH($K222,'سجل التحفيز'!$AE$5:$AE$2004,0)))</f>
        <v/>
      </c>
    </row>
    <row r="223">
      <c r="K223" s="36">
        <f>IF(186&gt;$B$10,"",186)</f>
        <v/>
      </c>
      <c r="L223" s="37">
        <f>IF($K223="","",INDEX('سجل التحفيز'!$A$5:$A$2004,MATCH($K223,'سجل التحفيز'!$AE$5:$AE$2004,0)))</f>
        <v/>
      </c>
      <c r="M223" s="9">
        <f>IF($K223="","",INDEX('سجل التحفيز'!$B$5:$B$2004,MATCH($K223,'سجل التحفيز'!$AE$5:$AE$2004,0)))</f>
        <v/>
      </c>
      <c r="N223" s="9">
        <f>IF($K223="","",INDEX('سجل التحفيز'!$M$5:$M$2004,MATCH($K223,'سجل التحفيز'!$AE$5:$AE$2004,0)))</f>
        <v/>
      </c>
      <c r="O223" s="9">
        <f>IF($K223="","",INDEX('سجل التحفيز'!$C$5:$C$2004,MATCH($K223,'سجل التحفيز'!$AE$5:$AE$2004,0)))</f>
        <v/>
      </c>
      <c r="P223" s="36">
        <f>IF($K223="","",INDEX('سجل التحفيز'!$D$5:$D$2004,MATCH($K223,'سجل التحفيز'!$AE$5:$AE$2004,0)))</f>
        <v/>
      </c>
      <c r="Q223" s="9">
        <f>IF($K223="","",INDEX('سجل التحفيز'!$E$5:$E$2004,MATCH($K223,'سجل التحفيز'!$AE$5:$AE$2004,0)))</f>
        <v/>
      </c>
      <c r="R223" s="9">
        <f>IF($K223="","",INDEX('سجل التحفيز'!$F$5:$F$2004,MATCH($K223,'سجل التحفيز'!$AE$5:$AE$2004,0)))</f>
        <v/>
      </c>
      <c r="S223" s="35">
        <f>IF($K223="","",INDEX('سجل التحفيز'!$G$5:$G$2004,MATCH($K223,'سجل التحفيز'!$AE$5:$AE$2004,0)))</f>
        <v/>
      </c>
    </row>
    <row r="224">
      <c r="K224" s="36">
        <f>IF(187&gt;$B$10,"",187)</f>
        <v/>
      </c>
      <c r="L224" s="37">
        <f>IF($K224="","",INDEX('سجل التحفيز'!$A$5:$A$2004,MATCH($K224,'سجل التحفيز'!$AE$5:$AE$2004,0)))</f>
        <v/>
      </c>
      <c r="M224" s="9">
        <f>IF($K224="","",INDEX('سجل التحفيز'!$B$5:$B$2004,MATCH($K224,'سجل التحفيز'!$AE$5:$AE$2004,0)))</f>
        <v/>
      </c>
      <c r="N224" s="9">
        <f>IF($K224="","",INDEX('سجل التحفيز'!$M$5:$M$2004,MATCH($K224,'سجل التحفيز'!$AE$5:$AE$2004,0)))</f>
        <v/>
      </c>
      <c r="O224" s="9">
        <f>IF($K224="","",INDEX('سجل التحفيز'!$C$5:$C$2004,MATCH($K224,'سجل التحفيز'!$AE$5:$AE$2004,0)))</f>
        <v/>
      </c>
      <c r="P224" s="36">
        <f>IF($K224="","",INDEX('سجل التحفيز'!$D$5:$D$2004,MATCH($K224,'سجل التحفيز'!$AE$5:$AE$2004,0)))</f>
        <v/>
      </c>
      <c r="Q224" s="9">
        <f>IF($K224="","",INDEX('سجل التحفيز'!$E$5:$E$2004,MATCH($K224,'سجل التحفيز'!$AE$5:$AE$2004,0)))</f>
        <v/>
      </c>
      <c r="R224" s="9">
        <f>IF($K224="","",INDEX('سجل التحفيز'!$F$5:$F$2004,MATCH($K224,'سجل التحفيز'!$AE$5:$AE$2004,0)))</f>
        <v/>
      </c>
      <c r="S224" s="35">
        <f>IF($K224="","",INDEX('سجل التحفيز'!$G$5:$G$2004,MATCH($K224,'سجل التحفيز'!$AE$5:$AE$2004,0)))</f>
        <v/>
      </c>
    </row>
    <row r="225">
      <c r="K225" s="36">
        <f>IF(188&gt;$B$10,"",188)</f>
        <v/>
      </c>
      <c r="L225" s="37">
        <f>IF($K225="","",INDEX('سجل التحفيز'!$A$5:$A$2004,MATCH($K225,'سجل التحفيز'!$AE$5:$AE$2004,0)))</f>
        <v/>
      </c>
      <c r="M225" s="9">
        <f>IF($K225="","",INDEX('سجل التحفيز'!$B$5:$B$2004,MATCH($K225,'سجل التحفيز'!$AE$5:$AE$2004,0)))</f>
        <v/>
      </c>
      <c r="N225" s="9">
        <f>IF($K225="","",INDEX('سجل التحفيز'!$M$5:$M$2004,MATCH($K225,'سجل التحفيز'!$AE$5:$AE$2004,0)))</f>
        <v/>
      </c>
      <c r="O225" s="9">
        <f>IF($K225="","",INDEX('سجل التحفيز'!$C$5:$C$2004,MATCH($K225,'سجل التحفيز'!$AE$5:$AE$2004,0)))</f>
        <v/>
      </c>
      <c r="P225" s="36">
        <f>IF($K225="","",INDEX('سجل التحفيز'!$D$5:$D$2004,MATCH($K225,'سجل التحفيز'!$AE$5:$AE$2004,0)))</f>
        <v/>
      </c>
      <c r="Q225" s="9">
        <f>IF($K225="","",INDEX('سجل التحفيز'!$E$5:$E$2004,MATCH($K225,'سجل التحفيز'!$AE$5:$AE$2004,0)))</f>
        <v/>
      </c>
      <c r="R225" s="9">
        <f>IF($K225="","",INDEX('سجل التحفيز'!$F$5:$F$2004,MATCH($K225,'سجل التحفيز'!$AE$5:$AE$2004,0)))</f>
        <v/>
      </c>
      <c r="S225" s="35">
        <f>IF($K225="","",INDEX('سجل التحفيز'!$G$5:$G$2004,MATCH($K225,'سجل التحفيز'!$AE$5:$AE$2004,0)))</f>
        <v/>
      </c>
    </row>
    <row r="226">
      <c r="K226" s="36">
        <f>IF(189&gt;$B$10,"",189)</f>
        <v/>
      </c>
      <c r="L226" s="37">
        <f>IF($K226="","",INDEX('سجل التحفيز'!$A$5:$A$2004,MATCH($K226,'سجل التحفيز'!$AE$5:$AE$2004,0)))</f>
        <v/>
      </c>
      <c r="M226" s="9">
        <f>IF($K226="","",INDEX('سجل التحفيز'!$B$5:$B$2004,MATCH($K226,'سجل التحفيز'!$AE$5:$AE$2004,0)))</f>
        <v/>
      </c>
      <c r="N226" s="9">
        <f>IF($K226="","",INDEX('سجل التحفيز'!$M$5:$M$2004,MATCH($K226,'سجل التحفيز'!$AE$5:$AE$2004,0)))</f>
        <v/>
      </c>
      <c r="O226" s="9">
        <f>IF($K226="","",INDEX('سجل التحفيز'!$C$5:$C$2004,MATCH($K226,'سجل التحفيز'!$AE$5:$AE$2004,0)))</f>
        <v/>
      </c>
      <c r="P226" s="36">
        <f>IF($K226="","",INDEX('سجل التحفيز'!$D$5:$D$2004,MATCH($K226,'سجل التحفيز'!$AE$5:$AE$2004,0)))</f>
        <v/>
      </c>
      <c r="Q226" s="9">
        <f>IF($K226="","",INDEX('سجل التحفيز'!$E$5:$E$2004,MATCH($K226,'سجل التحفيز'!$AE$5:$AE$2004,0)))</f>
        <v/>
      </c>
      <c r="R226" s="9">
        <f>IF($K226="","",INDEX('سجل التحفيز'!$F$5:$F$2004,MATCH($K226,'سجل التحفيز'!$AE$5:$AE$2004,0)))</f>
        <v/>
      </c>
      <c r="S226" s="35">
        <f>IF($K226="","",INDEX('سجل التحفيز'!$G$5:$G$2004,MATCH($K226,'سجل التحفيز'!$AE$5:$AE$2004,0)))</f>
        <v/>
      </c>
    </row>
    <row r="227">
      <c r="K227" s="36">
        <f>IF(190&gt;$B$10,"",190)</f>
        <v/>
      </c>
      <c r="L227" s="37">
        <f>IF($K227="","",INDEX('سجل التحفيز'!$A$5:$A$2004,MATCH($K227,'سجل التحفيز'!$AE$5:$AE$2004,0)))</f>
        <v/>
      </c>
      <c r="M227" s="9">
        <f>IF($K227="","",INDEX('سجل التحفيز'!$B$5:$B$2004,MATCH($K227,'سجل التحفيز'!$AE$5:$AE$2004,0)))</f>
        <v/>
      </c>
      <c r="N227" s="9">
        <f>IF($K227="","",INDEX('سجل التحفيز'!$M$5:$M$2004,MATCH($K227,'سجل التحفيز'!$AE$5:$AE$2004,0)))</f>
        <v/>
      </c>
      <c r="O227" s="9">
        <f>IF($K227="","",INDEX('سجل التحفيز'!$C$5:$C$2004,MATCH($K227,'سجل التحفيز'!$AE$5:$AE$2004,0)))</f>
        <v/>
      </c>
      <c r="P227" s="36">
        <f>IF($K227="","",INDEX('سجل التحفيز'!$D$5:$D$2004,MATCH($K227,'سجل التحفيز'!$AE$5:$AE$2004,0)))</f>
        <v/>
      </c>
      <c r="Q227" s="9">
        <f>IF($K227="","",INDEX('سجل التحفيز'!$E$5:$E$2004,MATCH($K227,'سجل التحفيز'!$AE$5:$AE$2004,0)))</f>
        <v/>
      </c>
      <c r="R227" s="9">
        <f>IF($K227="","",INDEX('سجل التحفيز'!$F$5:$F$2004,MATCH($K227,'سجل التحفيز'!$AE$5:$AE$2004,0)))</f>
        <v/>
      </c>
      <c r="S227" s="35">
        <f>IF($K227="","",INDEX('سجل التحفيز'!$G$5:$G$2004,MATCH($K227,'سجل التحفيز'!$AE$5:$AE$2004,0)))</f>
        <v/>
      </c>
    </row>
    <row r="228">
      <c r="K228" s="36">
        <f>IF(191&gt;$B$10,"",191)</f>
        <v/>
      </c>
      <c r="L228" s="37">
        <f>IF($K228="","",INDEX('سجل التحفيز'!$A$5:$A$2004,MATCH($K228,'سجل التحفيز'!$AE$5:$AE$2004,0)))</f>
        <v/>
      </c>
      <c r="M228" s="9">
        <f>IF($K228="","",INDEX('سجل التحفيز'!$B$5:$B$2004,MATCH($K228,'سجل التحفيز'!$AE$5:$AE$2004,0)))</f>
        <v/>
      </c>
      <c r="N228" s="9">
        <f>IF($K228="","",INDEX('سجل التحفيز'!$M$5:$M$2004,MATCH($K228,'سجل التحفيز'!$AE$5:$AE$2004,0)))</f>
        <v/>
      </c>
      <c r="O228" s="9">
        <f>IF($K228="","",INDEX('سجل التحفيز'!$C$5:$C$2004,MATCH($K228,'سجل التحفيز'!$AE$5:$AE$2004,0)))</f>
        <v/>
      </c>
      <c r="P228" s="36">
        <f>IF($K228="","",INDEX('سجل التحفيز'!$D$5:$D$2004,MATCH($K228,'سجل التحفيز'!$AE$5:$AE$2004,0)))</f>
        <v/>
      </c>
      <c r="Q228" s="9">
        <f>IF($K228="","",INDEX('سجل التحفيز'!$E$5:$E$2004,MATCH($K228,'سجل التحفيز'!$AE$5:$AE$2004,0)))</f>
        <v/>
      </c>
      <c r="R228" s="9">
        <f>IF($K228="","",INDEX('سجل التحفيز'!$F$5:$F$2004,MATCH($K228,'سجل التحفيز'!$AE$5:$AE$2004,0)))</f>
        <v/>
      </c>
      <c r="S228" s="35">
        <f>IF($K228="","",INDEX('سجل التحفيز'!$G$5:$G$2004,MATCH($K228,'سجل التحفيز'!$AE$5:$AE$2004,0)))</f>
        <v/>
      </c>
    </row>
    <row r="229">
      <c r="K229" s="36">
        <f>IF(192&gt;$B$10,"",192)</f>
        <v/>
      </c>
      <c r="L229" s="37">
        <f>IF($K229="","",INDEX('سجل التحفيز'!$A$5:$A$2004,MATCH($K229,'سجل التحفيز'!$AE$5:$AE$2004,0)))</f>
        <v/>
      </c>
      <c r="M229" s="9">
        <f>IF($K229="","",INDEX('سجل التحفيز'!$B$5:$B$2004,MATCH($K229,'سجل التحفيز'!$AE$5:$AE$2004,0)))</f>
        <v/>
      </c>
      <c r="N229" s="9">
        <f>IF($K229="","",INDEX('سجل التحفيز'!$M$5:$M$2004,MATCH($K229,'سجل التحفيز'!$AE$5:$AE$2004,0)))</f>
        <v/>
      </c>
      <c r="O229" s="9">
        <f>IF($K229="","",INDEX('سجل التحفيز'!$C$5:$C$2004,MATCH($K229,'سجل التحفيز'!$AE$5:$AE$2004,0)))</f>
        <v/>
      </c>
      <c r="P229" s="36">
        <f>IF($K229="","",INDEX('سجل التحفيز'!$D$5:$D$2004,MATCH($K229,'سجل التحفيز'!$AE$5:$AE$2004,0)))</f>
        <v/>
      </c>
      <c r="Q229" s="9">
        <f>IF($K229="","",INDEX('سجل التحفيز'!$E$5:$E$2004,MATCH($K229,'سجل التحفيز'!$AE$5:$AE$2004,0)))</f>
        <v/>
      </c>
      <c r="R229" s="9">
        <f>IF($K229="","",INDEX('سجل التحفيز'!$F$5:$F$2004,MATCH($K229,'سجل التحفيز'!$AE$5:$AE$2004,0)))</f>
        <v/>
      </c>
      <c r="S229" s="35">
        <f>IF($K229="","",INDEX('سجل التحفيز'!$G$5:$G$2004,MATCH($K229,'سجل التحفيز'!$AE$5:$AE$2004,0)))</f>
        <v/>
      </c>
    </row>
    <row r="230">
      <c r="K230" s="36">
        <f>IF(193&gt;$B$10,"",193)</f>
        <v/>
      </c>
      <c r="L230" s="37">
        <f>IF($K230="","",INDEX('سجل التحفيز'!$A$5:$A$2004,MATCH($K230,'سجل التحفيز'!$AE$5:$AE$2004,0)))</f>
        <v/>
      </c>
      <c r="M230" s="9">
        <f>IF($K230="","",INDEX('سجل التحفيز'!$B$5:$B$2004,MATCH($K230,'سجل التحفيز'!$AE$5:$AE$2004,0)))</f>
        <v/>
      </c>
      <c r="N230" s="9">
        <f>IF($K230="","",INDEX('سجل التحفيز'!$M$5:$M$2004,MATCH($K230,'سجل التحفيز'!$AE$5:$AE$2004,0)))</f>
        <v/>
      </c>
      <c r="O230" s="9">
        <f>IF($K230="","",INDEX('سجل التحفيز'!$C$5:$C$2004,MATCH($K230,'سجل التحفيز'!$AE$5:$AE$2004,0)))</f>
        <v/>
      </c>
      <c r="P230" s="36">
        <f>IF($K230="","",INDEX('سجل التحفيز'!$D$5:$D$2004,MATCH($K230,'سجل التحفيز'!$AE$5:$AE$2004,0)))</f>
        <v/>
      </c>
      <c r="Q230" s="9">
        <f>IF($K230="","",INDEX('سجل التحفيز'!$E$5:$E$2004,MATCH($K230,'سجل التحفيز'!$AE$5:$AE$2004,0)))</f>
        <v/>
      </c>
      <c r="R230" s="9">
        <f>IF($K230="","",INDEX('سجل التحفيز'!$F$5:$F$2004,MATCH($K230,'سجل التحفيز'!$AE$5:$AE$2004,0)))</f>
        <v/>
      </c>
      <c r="S230" s="35">
        <f>IF($K230="","",INDEX('سجل التحفيز'!$G$5:$G$2004,MATCH($K230,'سجل التحفيز'!$AE$5:$AE$2004,0)))</f>
        <v/>
      </c>
    </row>
    <row r="231">
      <c r="K231" s="36">
        <f>IF(194&gt;$B$10,"",194)</f>
        <v/>
      </c>
      <c r="L231" s="37">
        <f>IF($K231="","",INDEX('سجل التحفيز'!$A$5:$A$2004,MATCH($K231,'سجل التحفيز'!$AE$5:$AE$2004,0)))</f>
        <v/>
      </c>
      <c r="M231" s="9">
        <f>IF($K231="","",INDEX('سجل التحفيز'!$B$5:$B$2004,MATCH($K231,'سجل التحفيز'!$AE$5:$AE$2004,0)))</f>
        <v/>
      </c>
      <c r="N231" s="9">
        <f>IF($K231="","",INDEX('سجل التحفيز'!$M$5:$M$2004,MATCH($K231,'سجل التحفيز'!$AE$5:$AE$2004,0)))</f>
        <v/>
      </c>
      <c r="O231" s="9">
        <f>IF($K231="","",INDEX('سجل التحفيز'!$C$5:$C$2004,MATCH($K231,'سجل التحفيز'!$AE$5:$AE$2004,0)))</f>
        <v/>
      </c>
      <c r="P231" s="36">
        <f>IF($K231="","",INDEX('سجل التحفيز'!$D$5:$D$2004,MATCH($K231,'سجل التحفيز'!$AE$5:$AE$2004,0)))</f>
        <v/>
      </c>
      <c r="Q231" s="9">
        <f>IF($K231="","",INDEX('سجل التحفيز'!$E$5:$E$2004,MATCH($K231,'سجل التحفيز'!$AE$5:$AE$2004,0)))</f>
        <v/>
      </c>
      <c r="R231" s="9">
        <f>IF($K231="","",INDEX('سجل التحفيز'!$F$5:$F$2004,MATCH($K231,'سجل التحفيز'!$AE$5:$AE$2004,0)))</f>
        <v/>
      </c>
      <c r="S231" s="35">
        <f>IF($K231="","",INDEX('سجل التحفيز'!$G$5:$G$2004,MATCH($K231,'سجل التحفيز'!$AE$5:$AE$2004,0)))</f>
        <v/>
      </c>
    </row>
    <row r="232">
      <c r="K232" s="36">
        <f>IF(195&gt;$B$10,"",195)</f>
        <v/>
      </c>
      <c r="L232" s="37">
        <f>IF($K232="","",INDEX('سجل التحفيز'!$A$5:$A$2004,MATCH($K232,'سجل التحفيز'!$AE$5:$AE$2004,0)))</f>
        <v/>
      </c>
      <c r="M232" s="9">
        <f>IF($K232="","",INDEX('سجل التحفيز'!$B$5:$B$2004,MATCH($K232,'سجل التحفيز'!$AE$5:$AE$2004,0)))</f>
        <v/>
      </c>
      <c r="N232" s="9">
        <f>IF($K232="","",INDEX('سجل التحفيز'!$M$5:$M$2004,MATCH($K232,'سجل التحفيز'!$AE$5:$AE$2004,0)))</f>
        <v/>
      </c>
      <c r="O232" s="9">
        <f>IF($K232="","",INDEX('سجل التحفيز'!$C$5:$C$2004,MATCH($K232,'سجل التحفيز'!$AE$5:$AE$2004,0)))</f>
        <v/>
      </c>
      <c r="P232" s="36">
        <f>IF($K232="","",INDEX('سجل التحفيز'!$D$5:$D$2004,MATCH($K232,'سجل التحفيز'!$AE$5:$AE$2004,0)))</f>
        <v/>
      </c>
      <c r="Q232" s="9">
        <f>IF($K232="","",INDEX('سجل التحفيز'!$E$5:$E$2004,MATCH($K232,'سجل التحفيز'!$AE$5:$AE$2004,0)))</f>
        <v/>
      </c>
      <c r="R232" s="9">
        <f>IF($K232="","",INDEX('سجل التحفيز'!$F$5:$F$2004,MATCH($K232,'سجل التحفيز'!$AE$5:$AE$2004,0)))</f>
        <v/>
      </c>
      <c r="S232" s="35">
        <f>IF($K232="","",INDEX('سجل التحفيز'!$G$5:$G$2004,MATCH($K232,'سجل التحفيز'!$AE$5:$AE$2004,0)))</f>
        <v/>
      </c>
    </row>
    <row r="233">
      <c r="K233" s="36">
        <f>IF(196&gt;$B$10,"",196)</f>
        <v/>
      </c>
      <c r="L233" s="37">
        <f>IF($K233="","",INDEX('سجل التحفيز'!$A$5:$A$2004,MATCH($K233,'سجل التحفيز'!$AE$5:$AE$2004,0)))</f>
        <v/>
      </c>
      <c r="M233" s="9">
        <f>IF($K233="","",INDEX('سجل التحفيز'!$B$5:$B$2004,MATCH($K233,'سجل التحفيز'!$AE$5:$AE$2004,0)))</f>
        <v/>
      </c>
      <c r="N233" s="9">
        <f>IF($K233="","",INDEX('سجل التحفيز'!$M$5:$M$2004,MATCH($K233,'سجل التحفيز'!$AE$5:$AE$2004,0)))</f>
        <v/>
      </c>
      <c r="O233" s="9">
        <f>IF($K233="","",INDEX('سجل التحفيز'!$C$5:$C$2004,MATCH($K233,'سجل التحفيز'!$AE$5:$AE$2004,0)))</f>
        <v/>
      </c>
      <c r="P233" s="36">
        <f>IF($K233="","",INDEX('سجل التحفيز'!$D$5:$D$2004,MATCH($K233,'سجل التحفيز'!$AE$5:$AE$2004,0)))</f>
        <v/>
      </c>
      <c r="Q233" s="9">
        <f>IF($K233="","",INDEX('سجل التحفيز'!$E$5:$E$2004,MATCH($K233,'سجل التحفيز'!$AE$5:$AE$2004,0)))</f>
        <v/>
      </c>
      <c r="R233" s="9">
        <f>IF($K233="","",INDEX('سجل التحفيز'!$F$5:$F$2004,MATCH($K233,'سجل التحفيز'!$AE$5:$AE$2004,0)))</f>
        <v/>
      </c>
      <c r="S233" s="35">
        <f>IF($K233="","",INDEX('سجل التحفيز'!$G$5:$G$2004,MATCH($K233,'سجل التحفيز'!$AE$5:$AE$2004,0)))</f>
        <v/>
      </c>
    </row>
    <row r="234">
      <c r="K234" s="36">
        <f>IF(197&gt;$B$10,"",197)</f>
        <v/>
      </c>
      <c r="L234" s="37">
        <f>IF($K234="","",INDEX('سجل التحفيز'!$A$5:$A$2004,MATCH($K234,'سجل التحفيز'!$AE$5:$AE$2004,0)))</f>
        <v/>
      </c>
      <c r="M234" s="9">
        <f>IF($K234="","",INDEX('سجل التحفيز'!$B$5:$B$2004,MATCH($K234,'سجل التحفيز'!$AE$5:$AE$2004,0)))</f>
        <v/>
      </c>
      <c r="N234" s="9">
        <f>IF($K234="","",INDEX('سجل التحفيز'!$M$5:$M$2004,MATCH($K234,'سجل التحفيز'!$AE$5:$AE$2004,0)))</f>
        <v/>
      </c>
      <c r="O234" s="9">
        <f>IF($K234="","",INDEX('سجل التحفيز'!$C$5:$C$2004,MATCH($K234,'سجل التحفيز'!$AE$5:$AE$2004,0)))</f>
        <v/>
      </c>
      <c r="P234" s="36">
        <f>IF($K234="","",INDEX('سجل التحفيز'!$D$5:$D$2004,MATCH($K234,'سجل التحفيز'!$AE$5:$AE$2004,0)))</f>
        <v/>
      </c>
      <c r="Q234" s="9">
        <f>IF($K234="","",INDEX('سجل التحفيز'!$E$5:$E$2004,MATCH($K234,'سجل التحفيز'!$AE$5:$AE$2004,0)))</f>
        <v/>
      </c>
      <c r="R234" s="9">
        <f>IF($K234="","",INDEX('سجل التحفيز'!$F$5:$F$2004,MATCH($K234,'سجل التحفيز'!$AE$5:$AE$2004,0)))</f>
        <v/>
      </c>
      <c r="S234" s="35">
        <f>IF($K234="","",INDEX('سجل التحفيز'!$G$5:$G$2004,MATCH($K234,'سجل التحفيز'!$AE$5:$AE$2004,0)))</f>
        <v/>
      </c>
    </row>
    <row r="235">
      <c r="K235" s="36">
        <f>IF(198&gt;$B$10,"",198)</f>
        <v/>
      </c>
      <c r="L235" s="37">
        <f>IF($K235="","",INDEX('سجل التحفيز'!$A$5:$A$2004,MATCH($K235,'سجل التحفيز'!$AE$5:$AE$2004,0)))</f>
        <v/>
      </c>
      <c r="M235" s="9">
        <f>IF($K235="","",INDEX('سجل التحفيز'!$B$5:$B$2004,MATCH($K235,'سجل التحفيز'!$AE$5:$AE$2004,0)))</f>
        <v/>
      </c>
      <c r="N235" s="9">
        <f>IF($K235="","",INDEX('سجل التحفيز'!$M$5:$M$2004,MATCH($K235,'سجل التحفيز'!$AE$5:$AE$2004,0)))</f>
        <v/>
      </c>
      <c r="O235" s="9">
        <f>IF($K235="","",INDEX('سجل التحفيز'!$C$5:$C$2004,MATCH($K235,'سجل التحفيز'!$AE$5:$AE$2004,0)))</f>
        <v/>
      </c>
      <c r="P235" s="36">
        <f>IF($K235="","",INDEX('سجل التحفيز'!$D$5:$D$2004,MATCH($K235,'سجل التحفيز'!$AE$5:$AE$2004,0)))</f>
        <v/>
      </c>
      <c r="Q235" s="9">
        <f>IF($K235="","",INDEX('سجل التحفيز'!$E$5:$E$2004,MATCH($K235,'سجل التحفيز'!$AE$5:$AE$2004,0)))</f>
        <v/>
      </c>
      <c r="R235" s="9">
        <f>IF($K235="","",INDEX('سجل التحفيز'!$F$5:$F$2004,MATCH($K235,'سجل التحفيز'!$AE$5:$AE$2004,0)))</f>
        <v/>
      </c>
      <c r="S235" s="35">
        <f>IF($K235="","",INDEX('سجل التحفيز'!$G$5:$G$2004,MATCH($K235,'سجل التحفيز'!$AE$5:$AE$2004,0)))</f>
        <v/>
      </c>
    </row>
    <row r="236">
      <c r="K236" s="36">
        <f>IF(199&gt;$B$10,"",199)</f>
        <v/>
      </c>
      <c r="L236" s="37">
        <f>IF($K236="","",INDEX('سجل التحفيز'!$A$5:$A$2004,MATCH($K236,'سجل التحفيز'!$AE$5:$AE$2004,0)))</f>
        <v/>
      </c>
      <c r="M236" s="9">
        <f>IF($K236="","",INDEX('سجل التحفيز'!$B$5:$B$2004,MATCH($K236,'سجل التحفيز'!$AE$5:$AE$2004,0)))</f>
        <v/>
      </c>
      <c r="N236" s="9">
        <f>IF($K236="","",INDEX('سجل التحفيز'!$M$5:$M$2004,MATCH($K236,'سجل التحفيز'!$AE$5:$AE$2004,0)))</f>
        <v/>
      </c>
      <c r="O236" s="9">
        <f>IF($K236="","",INDEX('سجل التحفيز'!$C$5:$C$2004,MATCH($K236,'سجل التحفيز'!$AE$5:$AE$2004,0)))</f>
        <v/>
      </c>
      <c r="P236" s="36">
        <f>IF($K236="","",INDEX('سجل التحفيز'!$D$5:$D$2004,MATCH($K236,'سجل التحفيز'!$AE$5:$AE$2004,0)))</f>
        <v/>
      </c>
      <c r="Q236" s="9">
        <f>IF($K236="","",INDEX('سجل التحفيز'!$E$5:$E$2004,MATCH($K236,'سجل التحفيز'!$AE$5:$AE$2004,0)))</f>
        <v/>
      </c>
      <c r="R236" s="9">
        <f>IF($K236="","",INDEX('سجل التحفيز'!$F$5:$F$2004,MATCH($K236,'سجل التحفيز'!$AE$5:$AE$2004,0)))</f>
        <v/>
      </c>
      <c r="S236" s="35">
        <f>IF($K236="","",INDEX('سجل التحفيز'!$G$5:$G$2004,MATCH($K236,'سجل التحفيز'!$AE$5:$AE$2004,0)))</f>
        <v/>
      </c>
    </row>
    <row r="237">
      <c r="K237" s="36">
        <f>IF(200&gt;$B$10,"",200)</f>
        <v/>
      </c>
      <c r="L237" s="37">
        <f>IF($K237="","",INDEX('سجل التحفيز'!$A$5:$A$2004,MATCH($K237,'سجل التحفيز'!$AE$5:$AE$2004,0)))</f>
        <v/>
      </c>
      <c r="M237" s="9">
        <f>IF($K237="","",INDEX('سجل التحفيز'!$B$5:$B$2004,MATCH($K237,'سجل التحفيز'!$AE$5:$AE$2004,0)))</f>
        <v/>
      </c>
      <c r="N237" s="9">
        <f>IF($K237="","",INDEX('سجل التحفيز'!$M$5:$M$2004,MATCH($K237,'سجل التحفيز'!$AE$5:$AE$2004,0)))</f>
        <v/>
      </c>
      <c r="O237" s="9">
        <f>IF($K237="","",INDEX('سجل التحفيز'!$C$5:$C$2004,MATCH($K237,'سجل التحفيز'!$AE$5:$AE$2004,0)))</f>
        <v/>
      </c>
      <c r="P237" s="36">
        <f>IF($K237="","",INDEX('سجل التحفيز'!$D$5:$D$2004,MATCH($K237,'سجل التحفيز'!$AE$5:$AE$2004,0)))</f>
        <v/>
      </c>
      <c r="Q237" s="9">
        <f>IF($K237="","",INDEX('سجل التحفيز'!$E$5:$E$2004,MATCH($K237,'سجل التحفيز'!$AE$5:$AE$2004,0)))</f>
        <v/>
      </c>
      <c r="R237" s="9">
        <f>IF($K237="","",INDEX('سجل التحفيز'!$F$5:$F$2004,MATCH($K237,'سجل التحفيز'!$AE$5:$AE$2004,0)))</f>
        <v/>
      </c>
      <c r="S237" s="35">
        <f>IF($K237="","",INDEX('سجل التحفيز'!$G$5:$G$2004,MATCH($K237,'سجل التحفيز'!$AE$5:$AE$2004,0)))</f>
        <v/>
      </c>
    </row>
    <row r="238">
      <c r="K238" s="36">
        <f>IF(201&gt;$B$10,"",201)</f>
        <v/>
      </c>
      <c r="L238" s="37">
        <f>IF($K238="","",INDEX('سجل التحفيز'!$A$5:$A$2004,MATCH($K238,'سجل التحفيز'!$AE$5:$AE$2004,0)))</f>
        <v/>
      </c>
      <c r="M238" s="9">
        <f>IF($K238="","",INDEX('سجل التحفيز'!$B$5:$B$2004,MATCH($K238,'سجل التحفيز'!$AE$5:$AE$2004,0)))</f>
        <v/>
      </c>
      <c r="N238" s="9">
        <f>IF($K238="","",INDEX('سجل التحفيز'!$M$5:$M$2004,MATCH($K238,'سجل التحفيز'!$AE$5:$AE$2004,0)))</f>
        <v/>
      </c>
      <c r="O238" s="9">
        <f>IF($K238="","",INDEX('سجل التحفيز'!$C$5:$C$2004,MATCH($K238,'سجل التحفيز'!$AE$5:$AE$2004,0)))</f>
        <v/>
      </c>
      <c r="P238" s="36">
        <f>IF($K238="","",INDEX('سجل التحفيز'!$D$5:$D$2004,MATCH($K238,'سجل التحفيز'!$AE$5:$AE$2004,0)))</f>
        <v/>
      </c>
      <c r="Q238" s="9">
        <f>IF($K238="","",INDEX('سجل التحفيز'!$E$5:$E$2004,MATCH($K238,'سجل التحفيز'!$AE$5:$AE$2004,0)))</f>
        <v/>
      </c>
      <c r="R238" s="9">
        <f>IF($K238="","",INDEX('سجل التحفيز'!$F$5:$F$2004,MATCH($K238,'سجل التحفيز'!$AE$5:$AE$2004,0)))</f>
        <v/>
      </c>
      <c r="S238" s="35">
        <f>IF($K238="","",INDEX('سجل التحفيز'!$G$5:$G$2004,MATCH($K238,'سجل التحفيز'!$AE$5:$AE$2004,0)))</f>
        <v/>
      </c>
    </row>
    <row r="239">
      <c r="K239" s="36">
        <f>IF(202&gt;$B$10,"",202)</f>
        <v/>
      </c>
      <c r="L239" s="37">
        <f>IF($K239="","",INDEX('سجل التحفيز'!$A$5:$A$2004,MATCH($K239,'سجل التحفيز'!$AE$5:$AE$2004,0)))</f>
        <v/>
      </c>
      <c r="M239" s="9">
        <f>IF($K239="","",INDEX('سجل التحفيز'!$B$5:$B$2004,MATCH($K239,'سجل التحفيز'!$AE$5:$AE$2004,0)))</f>
        <v/>
      </c>
      <c r="N239" s="9">
        <f>IF($K239="","",INDEX('سجل التحفيز'!$M$5:$M$2004,MATCH($K239,'سجل التحفيز'!$AE$5:$AE$2004,0)))</f>
        <v/>
      </c>
      <c r="O239" s="9">
        <f>IF($K239="","",INDEX('سجل التحفيز'!$C$5:$C$2004,MATCH($K239,'سجل التحفيز'!$AE$5:$AE$2004,0)))</f>
        <v/>
      </c>
      <c r="P239" s="36">
        <f>IF($K239="","",INDEX('سجل التحفيز'!$D$5:$D$2004,MATCH($K239,'سجل التحفيز'!$AE$5:$AE$2004,0)))</f>
        <v/>
      </c>
      <c r="Q239" s="9">
        <f>IF($K239="","",INDEX('سجل التحفيز'!$E$5:$E$2004,MATCH($K239,'سجل التحفيز'!$AE$5:$AE$2004,0)))</f>
        <v/>
      </c>
      <c r="R239" s="9">
        <f>IF($K239="","",INDEX('سجل التحفيز'!$F$5:$F$2004,MATCH($K239,'سجل التحفيز'!$AE$5:$AE$2004,0)))</f>
        <v/>
      </c>
      <c r="S239" s="35">
        <f>IF($K239="","",INDEX('سجل التحفيز'!$G$5:$G$2004,MATCH($K239,'سجل التحفيز'!$AE$5:$AE$2004,0)))</f>
        <v/>
      </c>
    </row>
    <row r="240">
      <c r="K240" s="36">
        <f>IF(203&gt;$B$10,"",203)</f>
        <v/>
      </c>
      <c r="L240" s="37">
        <f>IF($K240="","",INDEX('سجل التحفيز'!$A$5:$A$2004,MATCH($K240,'سجل التحفيز'!$AE$5:$AE$2004,0)))</f>
        <v/>
      </c>
      <c r="M240" s="9">
        <f>IF($K240="","",INDEX('سجل التحفيز'!$B$5:$B$2004,MATCH($K240,'سجل التحفيز'!$AE$5:$AE$2004,0)))</f>
        <v/>
      </c>
      <c r="N240" s="9">
        <f>IF($K240="","",INDEX('سجل التحفيز'!$M$5:$M$2004,MATCH($K240,'سجل التحفيز'!$AE$5:$AE$2004,0)))</f>
        <v/>
      </c>
      <c r="O240" s="9">
        <f>IF($K240="","",INDEX('سجل التحفيز'!$C$5:$C$2004,MATCH($K240,'سجل التحفيز'!$AE$5:$AE$2004,0)))</f>
        <v/>
      </c>
      <c r="P240" s="36">
        <f>IF($K240="","",INDEX('سجل التحفيز'!$D$5:$D$2004,MATCH($K240,'سجل التحفيز'!$AE$5:$AE$2004,0)))</f>
        <v/>
      </c>
      <c r="Q240" s="9">
        <f>IF($K240="","",INDEX('سجل التحفيز'!$E$5:$E$2004,MATCH($K240,'سجل التحفيز'!$AE$5:$AE$2004,0)))</f>
        <v/>
      </c>
      <c r="R240" s="9">
        <f>IF($K240="","",INDEX('سجل التحفيز'!$F$5:$F$2004,MATCH($K240,'سجل التحفيز'!$AE$5:$AE$2004,0)))</f>
        <v/>
      </c>
      <c r="S240" s="35">
        <f>IF($K240="","",INDEX('سجل التحفيز'!$G$5:$G$2004,MATCH($K240,'سجل التحفيز'!$AE$5:$AE$2004,0)))</f>
        <v/>
      </c>
    </row>
    <row r="241">
      <c r="K241" s="36">
        <f>IF(204&gt;$B$10,"",204)</f>
        <v/>
      </c>
      <c r="L241" s="37">
        <f>IF($K241="","",INDEX('سجل التحفيز'!$A$5:$A$2004,MATCH($K241,'سجل التحفيز'!$AE$5:$AE$2004,0)))</f>
        <v/>
      </c>
      <c r="M241" s="9">
        <f>IF($K241="","",INDEX('سجل التحفيز'!$B$5:$B$2004,MATCH($K241,'سجل التحفيز'!$AE$5:$AE$2004,0)))</f>
        <v/>
      </c>
      <c r="N241" s="9">
        <f>IF($K241="","",INDEX('سجل التحفيز'!$M$5:$M$2004,MATCH($K241,'سجل التحفيز'!$AE$5:$AE$2004,0)))</f>
        <v/>
      </c>
      <c r="O241" s="9">
        <f>IF($K241="","",INDEX('سجل التحفيز'!$C$5:$C$2004,MATCH($K241,'سجل التحفيز'!$AE$5:$AE$2004,0)))</f>
        <v/>
      </c>
      <c r="P241" s="36">
        <f>IF($K241="","",INDEX('سجل التحفيز'!$D$5:$D$2004,MATCH($K241,'سجل التحفيز'!$AE$5:$AE$2004,0)))</f>
        <v/>
      </c>
      <c r="Q241" s="9">
        <f>IF($K241="","",INDEX('سجل التحفيز'!$E$5:$E$2004,MATCH($K241,'سجل التحفيز'!$AE$5:$AE$2004,0)))</f>
        <v/>
      </c>
      <c r="R241" s="9">
        <f>IF($K241="","",INDEX('سجل التحفيز'!$F$5:$F$2004,MATCH($K241,'سجل التحفيز'!$AE$5:$AE$2004,0)))</f>
        <v/>
      </c>
      <c r="S241" s="35">
        <f>IF($K241="","",INDEX('سجل التحفيز'!$G$5:$G$2004,MATCH($K241,'سجل التحفيز'!$AE$5:$AE$2004,0)))</f>
        <v/>
      </c>
    </row>
    <row r="242">
      <c r="K242" s="36">
        <f>IF(205&gt;$B$10,"",205)</f>
        <v/>
      </c>
      <c r="L242" s="37">
        <f>IF($K242="","",INDEX('سجل التحفيز'!$A$5:$A$2004,MATCH($K242,'سجل التحفيز'!$AE$5:$AE$2004,0)))</f>
        <v/>
      </c>
      <c r="M242" s="9">
        <f>IF($K242="","",INDEX('سجل التحفيز'!$B$5:$B$2004,MATCH($K242,'سجل التحفيز'!$AE$5:$AE$2004,0)))</f>
        <v/>
      </c>
      <c r="N242" s="9">
        <f>IF($K242="","",INDEX('سجل التحفيز'!$M$5:$M$2004,MATCH($K242,'سجل التحفيز'!$AE$5:$AE$2004,0)))</f>
        <v/>
      </c>
      <c r="O242" s="9">
        <f>IF($K242="","",INDEX('سجل التحفيز'!$C$5:$C$2004,MATCH($K242,'سجل التحفيز'!$AE$5:$AE$2004,0)))</f>
        <v/>
      </c>
      <c r="P242" s="36">
        <f>IF($K242="","",INDEX('سجل التحفيز'!$D$5:$D$2004,MATCH($K242,'سجل التحفيز'!$AE$5:$AE$2004,0)))</f>
        <v/>
      </c>
      <c r="Q242" s="9">
        <f>IF($K242="","",INDEX('سجل التحفيز'!$E$5:$E$2004,MATCH($K242,'سجل التحفيز'!$AE$5:$AE$2004,0)))</f>
        <v/>
      </c>
      <c r="R242" s="9">
        <f>IF($K242="","",INDEX('سجل التحفيز'!$F$5:$F$2004,MATCH($K242,'سجل التحفيز'!$AE$5:$AE$2004,0)))</f>
        <v/>
      </c>
      <c r="S242" s="35">
        <f>IF($K242="","",INDEX('سجل التحفيز'!$G$5:$G$2004,MATCH($K242,'سجل التحفيز'!$AE$5:$AE$2004,0)))</f>
        <v/>
      </c>
    </row>
    <row r="243">
      <c r="K243" s="36">
        <f>IF(206&gt;$B$10,"",206)</f>
        <v/>
      </c>
      <c r="L243" s="37">
        <f>IF($K243="","",INDEX('سجل التحفيز'!$A$5:$A$2004,MATCH($K243,'سجل التحفيز'!$AE$5:$AE$2004,0)))</f>
        <v/>
      </c>
      <c r="M243" s="9">
        <f>IF($K243="","",INDEX('سجل التحفيز'!$B$5:$B$2004,MATCH($K243,'سجل التحفيز'!$AE$5:$AE$2004,0)))</f>
        <v/>
      </c>
      <c r="N243" s="9">
        <f>IF($K243="","",INDEX('سجل التحفيز'!$M$5:$M$2004,MATCH($K243,'سجل التحفيز'!$AE$5:$AE$2004,0)))</f>
        <v/>
      </c>
      <c r="O243" s="9">
        <f>IF($K243="","",INDEX('سجل التحفيز'!$C$5:$C$2004,MATCH($K243,'سجل التحفيز'!$AE$5:$AE$2004,0)))</f>
        <v/>
      </c>
      <c r="P243" s="36">
        <f>IF($K243="","",INDEX('سجل التحفيز'!$D$5:$D$2004,MATCH($K243,'سجل التحفيز'!$AE$5:$AE$2004,0)))</f>
        <v/>
      </c>
      <c r="Q243" s="9">
        <f>IF($K243="","",INDEX('سجل التحفيز'!$E$5:$E$2004,MATCH($K243,'سجل التحفيز'!$AE$5:$AE$2004,0)))</f>
        <v/>
      </c>
      <c r="R243" s="9">
        <f>IF($K243="","",INDEX('سجل التحفيز'!$F$5:$F$2004,MATCH($K243,'سجل التحفيز'!$AE$5:$AE$2004,0)))</f>
        <v/>
      </c>
      <c r="S243" s="35">
        <f>IF($K243="","",INDEX('سجل التحفيز'!$G$5:$G$2004,MATCH($K243,'سجل التحفيز'!$AE$5:$AE$2004,0)))</f>
        <v/>
      </c>
    </row>
    <row r="244">
      <c r="K244" s="36">
        <f>IF(207&gt;$B$10,"",207)</f>
        <v/>
      </c>
      <c r="L244" s="37">
        <f>IF($K244="","",INDEX('سجل التحفيز'!$A$5:$A$2004,MATCH($K244,'سجل التحفيز'!$AE$5:$AE$2004,0)))</f>
        <v/>
      </c>
      <c r="M244" s="9">
        <f>IF($K244="","",INDEX('سجل التحفيز'!$B$5:$B$2004,MATCH($K244,'سجل التحفيز'!$AE$5:$AE$2004,0)))</f>
        <v/>
      </c>
      <c r="N244" s="9">
        <f>IF($K244="","",INDEX('سجل التحفيز'!$M$5:$M$2004,MATCH($K244,'سجل التحفيز'!$AE$5:$AE$2004,0)))</f>
        <v/>
      </c>
      <c r="O244" s="9">
        <f>IF($K244="","",INDEX('سجل التحفيز'!$C$5:$C$2004,MATCH($K244,'سجل التحفيز'!$AE$5:$AE$2004,0)))</f>
        <v/>
      </c>
      <c r="P244" s="36">
        <f>IF($K244="","",INDEX('سجل التحفيز'!$D$5:$D$2004,MATCH($K244,'سجل التحفيز'!$AE$5:$AE$2004,0)))</f>
        <v/>
      </c>
      <c r="Q244" s="9">
        <f>IF($K244="","",INDEX('سجل التحفيز'!$E$5:$E$2004,MATCH($K244,'سجل التحفيز'!$AE$5:$AE$2004,0)))</f>
        <v/>
      </c>
      <c r="R244" s="9">
        <f>IF($K244="","",INDEX('سجل التحفيز'!$F$5:$F$2004,MATCH($K244,'سجل التحفيز'!$AE$5:$AE$2004,0)))</f>
        <v/>
      </c>
      <c r="S244" s="35">
        <f>IF($K244="","",INDEX('سجل التحفيز'!$G$5:$G$2004,MATCH($K244,'سجل التحفيز'!$AE$5:$AE$2004,0)))</f>
        <v/>
      </c>
    </row>
    <row r="245">
      <c r="K245" s="36">
        <f>IF(208&gt;$B$10,"",208)</f>
        <v/>
      </c>
      <c r="L245" s="37">
        <f>IF($K245="","",INDEX('سجل التحفيز'!$A$5:$A$2004,MATCH($K245,'سجل التحفيز'!$AE$5:$AE$2004,0)))</f>
        <v/>
      </c>
      <c r="M245" s="9">
        <f>IF($K245="","",INDEX('سجل التحفيز'!$B$5:$B$2004,MATCH($K245,'سجل التحفيز'!$AE$5:$AE$2004,0)))</f>
        <v/>
      </c>
      <c r="N245" s="9">
        <f>IF($K245="","",INDEX('سجل التحفيز'!$M$5:$M$2004,MATCH($K245,'سجل التحفيز'!$AE$5:$AE$2004,0)))</f>
        <v/>
      </c>
      <c r="O245" s="9">
        <f>IF($K245="","",INDEX('سجل التحفيز'!$C$5:$C$2004,MATCH($K245,'سجل التحفيز'!$AE$5:$AE$2004,0)))</f>
        <v/>
      </c>
      <c r="P245" s="36">
        <f>IF($K245="","",INDEX('سجل التحفيز'!$D$5:$D$2004,MATCH($K245,'سجل التحفيز'!$AE$5:$AE$2004,0)))</f>
        <v/>
      </c>
      <c r="Q245" s="9">
        <f>IF($K245="","",INDEX('سجل التحفيز'!$E$5:$E$2004,MATCH($K245,'سجل التحفيز'!$AE$5:$AE$2004,0)))</f>
        <v/>
      </c>
      <c r="R245" s="9">
        <f>IF($K245="","",INDEX('سجل التحفيز'!$F$5:$F$2004,MATCH($K245,'سجل التحفيز'!$AE$5:$AE$2004,0)))</f>
        <v/>
      </c>
      <c r="S245" s="35">
        <f>IF($K245="","",INDEX('سجل التحفيز'!$G$5:$G$2004,MATCH($K245,'سجل التحفيز'!$AE$5:$AE$2004,0)))</f>
        <v/>
      </c>
    </row>
    <row r="246">
      <c r="K246" s="36">
        <f>IF(209&gt;$B$10,"",209)</f>
        <v/>
      </c>
      <c r="L246" s="37">
        <f>IF($K246="","",INDEX('سجل التحفيز'!$A$5:$A$2004,MATCH($K246,'سجل التحفيز'!$AE$5:$AE$2004,0)))</f>
        <v/>
      </c>
      <c r="M246" s="9">
        <f>IF($K246="","",INDEX('سجل التحفيز'!$B$5:$B$2004,MATCH($K246,'سجل التحفيز'!$AE$5:$AE$2004,0)))</f>
        <v/>
      </c>
      <c r="N246" s="9">
        <f>IF($K246="","",INDEX('سجل التحفيز'!$M$5:$M$2004,MATCH($K246,'سجل التحفيز'!$AE$5:$AE$2004,0)))</f>
        <v/>
      </c>
      <c r="O246" s="9">
        <f>IF($K246="","",INDEX('سجل التحفيز'!$C$5:$C$2004,MATCH($K246,'سجل التحفيز'!$AE$5:$AE$2004,0)))</f>
        <v/>
      </c>
      <c r="P246" s="36">
        <f>IF($K246="","",INDEX('سجل التحفيز'!$D$5:$D$2004,MATCH($K246,'سجل التحفيز'!$AE$5:$AE$2004,0)))</f>
        <v/>
      </c>
      <c r="Q246" s="9">
        <f>IF($K246="","",INDEX('سجل التحفيز'!$E$5:$E$2004,MATCH($K246,'سجل التحفيز'!$AE$5:$AE$2004,0)))</f>
        <v/>
      </c>
      <c r="R246" s="9">
        <f>IF($K246="","",INDEX('سجل التحفيز'!$F$5:$F$2004,MATCH($K246,'سجل التحفيز'!$AE$5:$AE$2004,0)))</f>
        <v/>
      </c>
      <c r="S246" s="35">
        <f>IF($K246="","",INDEX('سجل التحفيز'!$G$5:$G$2004,MATCH($K246,'سجل التحفيز'!$AE$5:$AE$2004,0)))</f>
        <v/>
      </c>
    </row>
    <row r="247">
      <c r="K247" s="36">
        <f>IF(210&gt;$B$10,"",210)</f>
        <v/>
      </c>
      <c r="L247" s="37">
        <f>IF($K247="","",INDEX('سجل التحفيز'!$A$5:$A$2004,MATCH($K247,'سجل التحفيز'!$AE$5:$AE$2004,0)))</f>
        <v/>
      </c>
      <c r="M247" s="9">
        <f>IF($K247="","",INDEX('سجل التحفيز'!$B$5:$B$2004,MATCH($K247,'سجل التحفيز'!$AE$5:$AE$2004,0)))</f>
        <v/>
      </c>
      <c r="N247" s="9">
        <f>IF($K247="","",INDEX('سجل التحفيز'!$M$5:$M$2004,MATCH($K247,'سجل التحفيز'!$AE$5:$AE$2004,0)))</f>
        <v/>
      </c>
      <c r="O247" s="9">
        <f>IF($K247="","",INDEX('سجل التحفيز'!$C$5:$C$2004,MATCH($K247,'سجل التحفيز'!$AE$5:$AE$2004,0)))</f>
        <v/>
      </c>
      <c r="P247" s="36">
        <f>IF($K247="","",INDEX('سجل التحفيز'!$D$5:$D$2004,MATCH($K247,'سجل التحفيز'!$AE$5:$AE$2004,0)))</f>
        <v/>
      </c>
      <c r="Q247" s="9">
        <f>IF($K247="","",INDEX('سجل التحفيز'!$E$5:$E$2004,MATCH($K247,'سجل التحفيز'!$AE$5:$AE$2004,0)))</f>
        <v/>
      </c>
      <c r="R247" s="9">
        <f>IF($K247="","",INDEX('سجل التحفيز'!$F$5:$F$2004,MATCH($K247,'سجل التحفيز'!$AE$5:$AE$2004,0)))</f>
        <v/>
      </c>
      <c r="S247" s="35">
        <f>IF($K247="","",INDEX('سجل التحفيز'!$G$5:$G$2004,MATCH($K247,'سجل التحفيز'!$AE$5:$AE$2004,0)))</f>
        <v/>
      </c>
    </row>
    <row r="248">
      <c r="K248" s="36">
        <f>IF(211&gt;$B$10,"",211)</f>
        <v/>
      </c>
      <c r="L248" s="37">
        <f>IF($K248="","",INDEX('سجل التحفيز'!$A$5:$A$2004,MATCH($K248,'سجل التحفيز'!$AE$5:$AE$2004,0)))</f>
        <v/>
      </c>
      <c r="M248" s="9">
        <f>IF($K248="","",INDEX('سجل التحفيز'!$B$5:$B$2004,MATCH($K248,'سجل التحفيز'!$AE$5:$AE$2004,0)))</f>
        <v/>
      </c>
      <c r="N248" s="9">
        <f>IF($K248="","",INDEX('سجل التحفيز'!$M$5:$M$2004,MATCH($K248,'سجل التحفيز'!$AE$5:$AE$2004,0)))</f>
        <v/>
      </c>
      <c r="O248" s="9">
        <f>IF($K248="","",INDEX('سجل التحفيز'!$C$5:$C$2004,MATCH($K248,'سجل التحفيز'!$AE$5:$AE$2004,0)))</f>
        <v/>
      </c>
      <c r="P248" s="36">
        <f>IF($K248="","",INDEX('سجل التحفيز'!$D$5:$D$2004,MATCH($K248,'سجل التحفيز'!$AE$5:$AE$2004,0)))</f>
        <v/>
      </c>
      <c r="Q248" s="9">
        <f>IF($K248="","",INDEX('سجل التحفيز'!$E$5:$E$2004,MATCH($K248,'سجل التحفيز'!$AE$5:$AE$2004,0)))</f>
        <v/>
      </c>
      <c r="R248" s="9">
        <f>IF($K248="","",INDEX('سجل التحفيز'!$F$5:$F$2004,MATCH($K248,'سجل التحفيز'!$AE$5:$AE$2004,0)))</f>
        <v/>
      </c>
      <c r="S248" s="35">
        <f>IF($K248="","",INDEX('سجل التحفيز'!$G$5:$G$2004,MATCH($K248,'سجل التحفيز'!$AE$5:$AE$2004,0)))</f>
        <v/>
      </c>
    </row>
    <row r="249">
      <c r="K249" s="36">
        <f>IF(212&gt;$B$10,"",212)</f>
        <v/>
      </c>
      <c r="L249" s="37">
        <f>IF($K249="","",INDEX('سجل التحفيز'!$A$5:$A$2004,MATCH($K249,'سجل التحفيز'!$AE$5:$AE$2004,0)))</f>
        <v/>
      </c>
      <c r="M249" s="9">
        <f>IF($K249="","",INDEX('سجل التحفيز'!$B$5:$B$2004,MATCH($K249,'سجل التحفيز'!$AE$5:$AE$2004,0)))</f>
        <v/>
      </c>
      <c r="N249" s="9">
        <f>IF($K249="","",INDEX('سجل التحفيز'!$M$5:$M$2004,MATCH($K249,'سجل التحفيز'!$AE$5:$AE$2004,0)))</f>
        <v/>
      </c>
      <c r="O249" s="9">
        <f>IF($K249="","",INDEX('سجل التحفيز'!$C$5:$C$2004,MATCH($K249,'سجل التحفيز'!$AE$5:$AE$2004,0)))</f>
        <v/>
      </c>
      <c r="P249" s="36">
        <f>IF($K249="","",INDEX('سجل التحفيز'!$D$5:$D$2004,MATCH($K249,'سجل التحفيز'!$AE$5:$AE$2004,0)))</f>
        <v/>
      </c>
      <c r="Q249" s="9">
        <f>IF($K249="","",INDEX('سجل التحفيز'!$E$5:$E$2004,MATCH($K249,'سجل التحفيز'!$AE$5:$AE$2004,0)))</f>
        <v/>
      </c>
      <c r="R249" s="9">
        <f>IF($K249="","",INDEX('سجل التحفيز'!$F$5:$F$2004,MATCH($K249,'سجل التحفيز'!$AE$5:$AE$2004,0)))</f>
        <v/>
      </c>
      <c r="S249" s="35">
        <f>IF($K249="","",INDEX('سجل التحفيز'!$G$5:$G$2004,MATCH($K249,'سجل التحفيز'!$AE$5:$AE$2004,0)))</f>
        <v/>
      </c>
    </row>
    <row r="250">
      <c r="K250" s="36">
        <f>IF(213&gt;$B$10,"",213)</f>
        <v/>
      </c>
      <c r="L250" s="37">
        <f>IF($K250="","",INDEX('سجل التحفيز'!$A$5:$A$2004,MATCH($K250,'سجل التحفيز'!$AE$5:$AE$2004,0)))</f>
        <v/>
      </c>
      <c r="M250" s="9">
        <f>IF($K250="","",INDEX('سجل التحفيز'!$B$5:$B$2004,MATCH($K250,'سجل التحفيز'!$AE$5:$AE$2004,0)))</f>
        <v/>
      </c>
      <c r="N250" s="9">
        <f>IF($K250="","",INDEX('سجل التحفيز'!$M$5:$M$2004,MATCH($K250,'سجل التحفيز'!$AE$5:$AE$2004,0)))</f>
        <v/>
      </c>
      <c r="O250" s="9">
        <f>IF($K250="","",INDEX('سجل التحفيز'!$C$5:$C$2004,MATCH($K250,'سجل التحفيز'!$AE$5:$AE$2004,0)))</f>
        <v/>
      </c>
      <c r="P250" s="36">
        <f>IF($K250="","",INDEX('سجل التحفيز'!$D$5:$D$2004,MATCH($K250,'سجل التحفيز'!$AE$5:$AE$2004,0)))</f>
        <v/>
      </c>
      <c r="Q250" s="9">
        <f>IF($K250="","",INDEX('سجل التحفيز'!$E$5:$E$2004,MATCH($K250,'سجل التحفيز'!$AE$5:$AE$2004,0)))</f>
        <v/>
      </c>
      <c r="R250" s="9">
        <f>IF($K250="","",INDEX('سجل التحفيز'!$F$5:$F$2004,MATCH($K250,'سجل التحفيز'!$AE$5:$AE$2004,0)))</f>
        <v/>
      </c>
      <c r="S250" s="35">
        <f>IF($K250="","",INDEX('سجل التحفيز'!$G$5:$G$2004,MATCH($K250,'سجل التحفيز'!$AE$5:$AE$2004,0)))</f>
        <v/>
      </c>
    </row>
    <row r="251">
      <c r="K251" s="36">
        <f>IF(214&gt;$B$10,"",214)</f>
        <v/>
      </c>
      <c r="L251" s="37">
        <f>IF($K251="","",INDEX('سجل التحفيز'!$A$5:$A$2004,MATCH($K251,'سجل التحفيز'!$AE$5:$AE$2004,0)))</f>
        <v/>
      </c>
      <c r="M251" s="9">
        <f>IF($K251="","",INDEX('سجل التحفيز'!$B$5:$B$2004,MATCH($K251,'سجل التحفيز'!$AE$5:$AE$2004,0)))</f>
        <v/>
      </c>
      <c r="N251" s="9">
        <f>IF($K251="","",INDEX('سجل التحفيز'!$M$5:$M$2004,MATCH($K251,'سجل التحفيز'!$AE$5:$AE$2004,0)))</f>
        <v/>
      </c>
      <c r="O251" s="9">
        <f>IF($K251="","",INDEX('سجل التحفيز'!$C$5:$C$2004,MATCH($K251,'سجل التحفيز'!$AE$5:$AE$2004,0)))</f>
        <v/>
      </c>
      <c r="P251" s="36">
        <f>IF($K251="","",INDEX('سجل التحفيز'!$D$5:$D$2004,MATCH($K251,'سجل التحفيز'!$AE$5:$AE$2004,0)))</f>
        <v/>
      </c>
      <c r="Q251" s="9">
        <f>IF($K251="","",INDEX('سجل التحفيز'!$E$5:$E$2004,MATCH($K251,'سجل التحفيز'!$AE$5:$AE$2004,0)))</f>
        <v/>
      </c>
      <c r="R251" s="9">
        <f>IF($K251="","",INDEX('سجل التحفيز'!$F$5:$F$2004,MATCH($K251,'سجل التحفيز'!$AE$5:$AE$2004,0)))</f>
        <v/>
      </c>
      <c r="S251" s="35">
        <f>IF($K251="","",INDEX('سجل التحفيز'!$G$5:$G$2004,MATCH($K251,'سجل التحفيز'!$AE$5:$AE$2004,0)))</f>
        <v/>
      </c>
    </row>
    <row r="252">
      <c r="K252" s="36">
        <f>IF(215&gt;$B$10,"",215)</f>
        <v/>
      </c>
      <c r="L252" s="37">
        <f>IF($K252="","",INDEX('سجل التحفيز'!$A$5:$A$2004,MATCH($K252,'سجل التحفيز'!$AE$5:$AE$2004,0)))</f>
        <v/>
      </c>
      <c r="M252" s="9">
        <f>IF($K252="","",INDEX('سجل التحفيز'!$B$5:$B$2004,MATCH($K252,'سجل التحفيز'!$AE$5:$AE$2004,0)))</f>
        <v/>
      </c>
      <c r="N252" s="9">
        <f>IF($K252="","",INDEX('سجل التحفيز'!$M$5:$M$2004,MATCH($K252,'سجل التحفيز'!$AE$5:$AE$2004,0)))</f>
        <v/>
      </c>
      <c r="O252" s="9">
        <f>IF($K252="","",INDEX('سجل التحفيز'!$C$5:$C$2004,MATCH($K252,'سجل التحفيز'!$AE$5:$AE$2004,0)))</f>
        <v/>
      </c>
      <c r="P252" s="36">
        <f>IF($K252="","",INDEX('سجل التحفيز'!$D$5:$D$2004,MATCH($K252,'سجل التحفيز'!$AE$5:$AE$2004,0)))</f>
        <v/>
      </c>
      <c r="Q252" s="9">
        <f>IF($K252="","",INDEX('سجل التحفيز'!$E$5:$E$2004,MATCH($K252,'سجل التحفيز'!$AE$5:$AE$2004,0)))</f>
        <v/>
      </c>
      <c r="R252" s="9">
        <f>IF($K252="","",INDEX('سجل التحفيز'!$F$5:$F$2004,MATCH($K252,'سجل التحفيز'!$AE$5:$AE$2004,0)))</f>
        <v/>
      </c>
      <c r="S252" s="35">
        <f>IF($K252="","",INDEX('سجل التحفيز'!$G$5:$G$2004,MATCH($K252,'سجل التحفيز'!$AE$5:$AE$2004,0)))</f>
        <v/>
      </c>
    </row>
    <row r="253">
      <c r="K253" s="36">
        <f>IF(216&gt;$B$10,"",216)</f>
        <v/>
      </c>
      <c r="L253" s="37">
        <f>IF($K253="","",INDEX('سجل التحفيز'!$A$5:$A$2004,MATCH($K253,'سجل التحفيز'!$AE$5:$AE$2004,0)))</f>
        <v/>
      </c>
      <c r="M253" s="9">
        <f>IF($K253="","",INDEX('سجل التحفيز'!$B$5:$B$2004,MATCH($K253,'سجل التحفيز'!$AE$5:$AE$2004,0)))</f>
        <v/>
      </c>
      <c r="N253" s="9">
        <f>IF($K253="","",INDEX('سجل التحفيز'!$M$5:$M$2004,MATCH($K253,'سجل التحفيز'!$AE$5:$AE$2004,0)))</f>
        <v/>
      </c>
      <c r="O253" s="9">
        <f>IF($K253="","",INDEX('سجل التحفيز'!$C$5:$C$2004,MATCH($K253,'سجل التحفيز'!$AE$5:$AE$2004,0)))</f>
        <v/>
      </c>
      <c r="P253" s="36">
        <f>IF($K253="","",INDEX('سجل التحفيز'!$D$5:$D$2004,MATCH($K253,'سجل التحفيز'!$AE$5:$AE$2004,0)))</f>
        <v/>
      </c>
      <c r="Q253" s="9">
        <f>IF($K253="","",INDEX('سجل التحفيز'!$E$5:$E$2004,MATCH($K253,'سجل التحفيز'!$AE$5:$AE$2004,0)))</f>
        <v/>
      </c>
      <c r="R253" s="9">
        <f>IF($K253="","",INDEX('سجل التحفيز'!$F$5:$F$2004,MATCH($K253,'سجل التحفيز'!$AE$5:$AE$2004,0)))</f>
        <v/>
      </c>
      <c r="S253" s="35">
        <f>IF($K253="","",INDEX('سجل التحفيز'!$G$5:$G$2004,MATCH($K253,'سجل التحفيز'!$AE$5:$AE$2004,0)))</f>
        <v/>
      </c>
    </row>
    <row r="254">
      <c r="K254" s="36">
        <f>IF(217&gt;$B$10,"",217)</f>
        <v/>
      </c>
      <c r="L254" s="37">
        <f>IF($K254="","",INDEX('سجل التحفيز'!$A$5:$A$2004,MATCH($K254,'سجل التحفيز'!$AE$5:$AE$2004,0)))</f>
        <v/>
      </c>
      <c r="M254" s="9">
        <f>IF($K254="","",INDEX('سجل التحفيز'!$B$5:$B$2004,MATCH($K254,'سجل التحفيز'!$AE$5:$AE$2004,0)))</f>
        <v/>
      </c>
      <c r="N254" s="9">
        <f>IF($K254="","",INDEX('سجل التحفيز'!$M$5:$M$2004,MATCH($K254,'سجل التحفيز'!$AE$5:$AE$2004,0)))</f>
        <v/>
      </c>
      <c r="O254" s="9">
        <f>IF($K254="","",INDEX('سجل التحفيز'!$C$5:$C$2004,MATCH($K254,'سجل التحفيز'!$AE$5:$AE$2004,0)))</f>
        <v/>
      </c>
      <c r="P254" s="36">
        <f>IF($K254="","",INDEX('سجل التحفيز'!$D$5:$D$2004,MATCH($K254,'سجل التحفيز'!$AE$5:$AE$2004,0)))</f>
        <v/>
      </c>
      <c r="Q254" s="9">
        <f>IF($K254="","",INDEX('سجل التحفيز'!$E$5:$E$2004,MATCH($K254,'سجل التحفيز'!$AE$5:$AE$2004,0)))</f>
        <v/>
      </c>
      <c r="R254" s="9">
        <f>IF($K254="","",INDEX('سجل التحفيز'!$F$5:$F$2004,MATCH($K254,'سجل التحفيز'!$AE$5:$AE$2004,0)))</f>
        <v/>
      </c>
      <c r="S254" s="35">
        <f>IF($K254="","",INDEX('سجل التحفيز'!$G$5:$G$2004,MATCH($K254,'سجل التحفيز'!$AE$5:$AE$2004,0)))</f>
        <v/>
      </c>
    </row>
    <row r="255">
      <c r="K255" s="36">
        <f>IF(218&gt;$B$10,"",218)</f>
        <v/>
      </c>
      <c r="L255" s="37">
        <f>IF($K255="","",INDEX('سجل التحفيز'!$A$5:$A$2004,MATCH($K255,'سجل التحفيز'!$AE$5:$AE$2004,0)))</f>
        <v/>
      </c>
      <c r="M255" s="9">
        <f>IF($K255="","",INDEX('سجل التحفيز'!$B$5:$B$2004,MATCH($K255,'سجل التحفيز'!$AE$5:$AE$2004,0)))</f>
        <v/>
      </c>
      <c r="N255" s="9">
        <f>IF($K255="","",INDEX('سجل التحفيز'!$M$5:$M$2004,MATCH($K255,'سجل التحفيز'!$AE$5:$AE$2004,0)))</f>
        <v/>
      </c>
      <c r="O255" s="9">
        <f>IF($K255="","",INDEX('سجل التحفيز'!$C$5:$C$2004,MATCH($K255,'سجل التحفيز'!$AE$5:$AE$2004,0)))</f>
        <v/>
      </c>
      <c r="P255" s="36">
        <f>IF($K255="","",INDEX('سجل التحفيز'!$D$5:$D$2004,MATCH($K255,'سجل التحفيز'!$AE$5:$AE$2004,0)))</f>
        <v/>
      </c>
      <c r="Q255" s="9">
        <f>IF($K255="","",INDEX('سجل التحفيز'!$E$5:$E$2004,MATCH($K255,'سجل التحفيز'!$AE$5:$AE$2004,0)))</f>
        <v/>
      </c>
      <c r="R255" s="9">
        <f>IF($K255="","",INDEX('سجل التحفيز'!$F$5:$F$2004,MATCH($K255,'سجل التحفيز'!$AE$5:$AE$2004,0)))</f>
        <v/>
      </c>
      <c r="S255" s="35">
        <f>IF($K255="","",INDEX('سجل التحفيز'!$G$5:$G$2004,MATCH($K255,'سجل التحفيز'!$AE$5:$AE$2004,0)))</f>
        <v/>
      </c>
    </row>
    <row r="256">
      <c r="K256" s="36">
        <f>IF(219&gt;$B$10,"",219)</f>
        <v/>
      </c>
      <c r="L256" s="37">
        <f>IF($K256="","",INDEX('سجل التحفيز'!$A$5:$A$2004,MATCH($K256,'سجل التحفيز'!$AE$5:$AE$2004,0)))</f>
        <v/>
      </c>
      <c r="M256" s="9">
        <f>IF($K256="","",INDEX('سجل التحفيز'!$B$5:$B$2004,MATCH($K256,'سجل التحفيز'!$AE$5:$AE$2004,0)))</f>
        <v/>
      </c>
      <c r="N256" s="9">
        <f>IF($K256="","",INDEX('سجل التحفيز'!$M$5:$M$2004,MATCH($K256,'سجل التحفيز'!$AE$5:$AE$2004,0)))</f>
        <v/>
      </c>
      <c r="O256" s="9">
        <f>IF($K256="","",INDEX('سجل التحفيز'!$C$5:$C$2004,MATCH($K256,'سجل التحفيز'!$AE$5:$AE$2004,0)))</f>
        <v/>
      </c>
      <c r="P256" s="36">
        <f>IF($K256="","",INDEX('سجل التحفيز'!$D$5:$D$2004,MATCH($K256,'سجل التحفيز'!$AE$5:$AE$2004,0)))</f>
        <v/>
      </c>
      <c r="Q256" s="9">
        <f>IF($K256="","",INDEX('سجل التحفيز'!$E$5:$E$2004,MATCH($K256,'سجل التحفيز'!$AE$5:$AE$2004,0)))</f>
        <v/>
      </c>
      <c r="R256" s="9">
        <f>IF($K256="","",INDEX('سجل التحفيز'!$F$5:$F$2004,MATCH($K256,'سجل التحفيز'!$AE$5:$AE$2004,0)))</f>
        <v/>
      </c>
      <c r="S256" s="35">
        <f>IF($K256="","",INDEX('سجل التحفيز'!$G$5:$G$2004,MATCH($K256,'سجل التحفيز'!$AE$5:$AE$2004,0)))</f>
        <v/>
      </c>
    </row>
    <row r="257">
      <c r="K257" s="36">
        <f>IF(220&gt;$B$10,"",220)</f>
        <v/>
      </c>
      <c r="L257" s="37">
        <f>IF($K257="","",INDEX('سجل التحفيز'!$A$5:$A$2004,MATCH($K257,'سجل التحفيز'!$AE$5:$AE$2004,0)))</f>
        <v/>
      </c>
      <c r="M257" s="9">
        <f>IF($K257="","",INDEX('سجل التحفيز'!$B$5:$B$2004,MATCH($K257,'سجل التحفيز'!$AE$5:$AE$2004,0)))</f>
        <v/>
      </c>
      <c r="N257" s="9">
        <f>IF($K257="","",INDEX('سجل التحفيز'!$M$5:$M$2004,MATCH($K257,'سجل التحفيز'!$AE$5:$AE$2004,0)))</f>
        <v/>
      </c>
      <c r="O257" s="9">
        <f>IF($K257="","",INDEX('سجل التحفيز'!$C$5:$C$2004,MATCH($K257,'سجل التحفيز'!$AE$5:$AE$2004,0)))</f>
        <v/>
      </c>
      <c r="P257" s="36">
        <f>IF($K257="","",INDEX('سجل التحفيز'!$D$5:$D$2004,MATCH($K257,'سجل التحفيز'!$AE$5:$AE$2004,0)))</f>
        <v/>
      </c>
      <c r="Q257" s="9">
        <f>IF($K257="","",INDEX('سجل التحفيز'!$E$5:$E$2004,MATCH($K257,'سجل التحفيز'!$AE$5:$AE$2004,0)))</f>
        <v/>
      </c>
      <c r="R257" s="9">
        <f>IF($K257="","",INDEX('سجل التحفيز'!$F$5:$F$2004,MATCH($K257,'سجل التحفيز'!$AE$5:$AE$2004,0)))</f>
        <v/>
      </c>
      <c r="S257" s="35">
        <f>IF($K257="","",INDEX('سجل التحفيز'!$G$5:$G$2004,MATCH($K257,'سجل التحفيز'!$AE$5:$AE$2004,0)))</f>
        <v/>
      </c>
    </row>
    <row r="258">
      <c r="K258" s="36">
        <f>IF(221&gt;$B$10,"",221)</f>
        <v/>
      </c>
      <c r="L258" s="37">
        <f>IF($K258="","",INDEX('سجل التحفيز'!$A$5:$A$2004,MATCH($K258,'سجل التحفيز'!$AE$5:$AE$2004,0)))</f>
        <v/>
      </c>
      <c r="M258" s="9">
        <f>IF($K258="","",INDEX('سجل التحفيز'!$B$5:$B$2004,MATCH($K258,'سجل التحفيز'!$AE$5:$AE$2004,0)))</f>
        <v/>
      </c>
      <c r="N258" s="9">
        <f>IF($K258="","",INDEX('سجل التحفيز'!$M$5:$M$2004,MATCH($K258,'سجل التحفيز'!$AE$5:$AE$2004,0)))</f>
        <v/>
      </c>
      <c r="O258" s="9">
        <f>IF($K258="","",INDEX('سجل التحفيز'!$C$5:$C$2004,MATCH($K258,'سجل التحفيز'!$AE$5:$AE$2004,0)))</f>
        <v/>
      </c>
      <c r="P258" s="36">
        <f>IF($K258="","",INDEX('سجل التحفيز'!$D$5:$D$2004,MATCH($K258,'سجل التحفيز'!$AE$5:$AE$2004,0)))</f>
        <v/>
      </c>
      <c r="Q258" s="9">
        <f>IF($K258="","",INDEX('سجل التحفيز'!$E$5:$E$2004,MATCH($K258,'سجل التحفيز'!$AE$5:$AE$2004,0)))</f>
        <v/>
      </c>
      <c r="R258" s="9">
        <f>IF($K258="","",INDEX('سجل التحفيز'!$F$5:$F$2004,MATCH($K258,'سجل التحفيز'!$AE$5:$AE$2004,0)))</f>
        <v/>
      </c>
      <c r="S258" s="35">
        <f>IF($K258="","",INDEX('سجل التحفيز'!$G$5:$G$2004,MATCH($K258,'سجل التحفيز'!$AE$5:$AE$2004,0)))</f>
        <v/>
      </c>
    </row>
    <row r="259">
      <c r="K259" s="36">
        <f>IF(222&gt;$B$10,"",222)</f>
        <v/>
      </c>
      <c r="L259" s="37">
        <f>IF($K259="","",INDEX('سجل التحفيز'!$A$5:$A$2004,MATCH($K259,'سجل التحفيز'!$AE$5:$AE$2004,0)))</f>
        <v/>
      </c>
      <c r="M259" s="9">
        <f>IF($K259="","",INDEX('سجل التحفيز'!$B$5:$B$2004,MATCH($K259,'سجل التحفيز'!$AE$5:$AE$2004,0)))</f>
        <v/>
      </c>
      <c r="N259" s="9">
        <f>IF($K259="","",INDEX('سجل التحفيز'!$M$5:$M$2004,MATCH($K259,'سجل التحفيز'!$AE$5:$AE$2004,0)))</f>
        <v/>
      </c>
      <c r="O259" s="9">
        <f>IF($K259="","",INDEX('سجل التحفيز'!$C$5:$C$2004,MATCH($K259,'سجل التحفيز'!$AE$5:$AE$2004,0)))</f>
        <v/>
      </c>
      <c r="P259" s="36">
        <f>IF($K259="","",INDEX('سجل التحفيز'!$D$5:$D$2004,MATCH($K259,'سجل التحفيز'!$AE$5:$AE$2004,0)))</f>
        <v/>
      </c>
      <c r="Q259" s="9">
        <f>IF($K259="","",INDEX('سجل التحفيز'!$E$5:$E$2004,MATCH($K259,'سجل التحفيز'!$AE$5:$AE$2004,0)))</f>
        <v/>
      </c>
      <c r="R259" s="9">
        <f>IF($K259="","",INDEX('سجل التحفيز'!$F$5:$F$2004,MATCH($K259,'سجل التحفيز'!$AE$5:$AE$2004,0)))</f>
        <v/>
      </c>
      <c r="S259" s="35">
        <f>IF($K259="","",INDEX('سجل التحفيز'!$G$5:$G$2004,MATCH($K259,'سجل التحفيز'!$AE$5:$AE$2004,0)))</f>
        <v/>
      </c>
    </row>
    <row r="260">
      <c r="K260" s="36">
        <f>IF(223&gt;$B$10,"",223)</f>
        <v/>
      </c>
      <c r="L260" s="37">
        <f>IF($K260="","",INDEX('سجل التحفيز'!$A$5:$A$2004,MATCH($K260,'سجل التحفيز'!$AE$5:$AE$2004,0)))</f>
        <v/>
      </c>
      <c r="M260" s="9">
        <f>IF($K260="","",INDEX('سجل التحفيز'!$B$5:$B$2004,MATCH($K260,'سجل التحفيز'!$AE$5:$AE$2004,0)))</f>
        <v/>
      </c>
      <c r="N260" s="9">
        <f>IF($K260="","",INDEX('سجل التحفيز'!$M$5:$M$2004,MATCH($K260,'سجل التحفيز'!$AE$5:$AE$2004,0)))</f>
        <v/>
      </c>
      <c r="O260" s="9">
        <f>IF($K260="","",INDEX('سجل التحفيز'!$C$5:$C$2004,MATCH($K260,'سجل التحفيز'!$AE$5:$AE$2004,0)))</f>
        <v/>
      </c>
      <c r="P260" s="36">
        <f>IF($K260="","",INDEX('سجل التحفيز'!$D$5:$D$2004,MATCH($K260,'سجل التحفيز'!$AE$5:$AE$2004,0)))</f>
        <v/>
      </c>
      <c r="Q260" s="9">
        <f>IF($K260="","",INDEX('سجل التحفيز'!$E$5:$E$2004,MATCH($K260,'سجل التحفيز'!$AE$5:$AE$2004,0)))</f>
        <v/>
      </c>
      <c r="R260" s="9">
        <f>IF($K260="","",INDEX('سجل التحفيز'!$F$5:$F$2004,MATCH($K260,'سجل التحفيز'!$AE$5:$AE$2004,0)))</f>
        <v/>
      </c>
      <c r="S260" s="35">
        <f>IF($K260="","",INDEX('سجل التحفيز'!$G$5:$G$2004,MATCH($K260,'سجل التحفيز'!$AE$5:$AE$2004,0)))</f>
        <v/>
      </c>
    </row>
    <row r="261">
      <c r="K261" s="36">
        <f>IF(224&gt;$B$10,"",224)</f>
        <v/>
      </c>
      <c r="L261" s="37">
        <f>IF($K261="","",INDEX('سجل التحفيز'!$A$5:$A$2004,MATCH($K261,'سجل التحفيز'!$AE$5:$AE$2004,0)))</f>
        <v/>
      </c>
      <c r="M261" s="9">
        <f>IF($K261="","",INDEX('سجل التحفيز'!$B$5:$B$2004,MATCH($K261,'سجل التحفيز'!$AE$5:$AE$2004,0)))</f>
        <v/>
      </c>
      <c r="N261" s="9">
        <f>IF($K261="","",INDEX('سجل التحفيز'!$M$5:$M$2004,MATCH($K261,'سجل التحفيز'!$AE$5:$AE$2004,0)))</f>
        <v/>
      </c>
      <c r="O261" s="9">
        <f>IF($K261="","",INDEX('سجل التحفيز'!$C$5:$C$2004,MATCH($K261,'سجل التحفيز'!$AE$5:$AE$2004,0)))</f>
        <v/>
      </c>
      <c r="P261" s="36">
        <f>IF($K261="","",INDEX('سجل التحفيز'!$D$5:$D$2004,MATCH($K261,'سجل التحفيز'!$AE$5:$AE$2004,0)))</f>
        <v/>
      </c>
      <c r="Q261" s="9">
        <f>IF($K261="","",INDEX('سجل التحفيز'!$E$5:$E$2004,MATCH($K261,'سجل التحفيز'!$AE$5:$AE$2004,0)))</f>
        <v/>
      </c>
      <c r="R261" s="9">
        <f>IF($K261="","",INDEX('سجل التحفيز'!$F$5:$F$2004,MATCH($K261,'سجل التحفيز'!$AE$5:$AE$2004,0)))</f>
        <v/>
      </c>
      <c r="S261" s="35">
        <f>IF($K261="","",INDEX('سجل التحفيز'!$G$5:$G$2004,MATCH($K261,'سجل التحفيز'!$AE$5:$AE$2004,0)))</f>
        <v/>
      </c>
    </row>
    <row r="262">
      <c r="K262" s="36">
        <f>IF(225&gt;$B$10,"",225)</f>
        <v/>
      </c>
      <c r="L262" s="37">
        <f>IF($K262="","",INDEX('سجل التحفيز'!$A$5:$A$2004,MATCH($K262,'سجل التحفيز'!$AE$5:$AE$2004,0)))</f>
        <v/>
      </c>
      <c r="M262" s="9">
        <f>IF($K262="","",INDEX('سجل التحفيز'!$B$5:$B$2004,MATCH($K262,'سجل التحفيز'!$AE$5:$AE$2004,0)))</f>
        <v/>
      </c>
      <c r="N262" s="9">
        <f>IF($K262="","",INDEX('سجل التحفيز'!$M$5:$M$2004,MATCH($K262,'سجل التحفيز'!$AE$5:$AE$2004,0)))</f>
        <v/>
      </c>
      <c r="O262" s="9">
        <f>IF($K262="","",INDEX('سجل التحفيز'!$C$5:$C$2004,MATCH($K262,'سجل التحفيز'!$AE$5:$AE$2004,0)))</f>
        <v/>
      </c>
      <c r="P262" s="36">
        <f>IF($K262="","",INDEX('سجل التحفيز'!$D$5:$D$2004,MATCH($K262,'سجل التحفيز'!$AE$5:$AE$2004,0)))</f>
        <v/>
      </c>
      <c r="Q262" s="9">
        <f>IF($K262="","",INDEX('سجل التحفيز'!$E$5:$E$2004,MATCH($K262,'سجل التحفيز'!$AE$5:$AE$2004,0)))</f>
        <v/>
      </c>
      <c r="R262" s="9">
        <f>IF($K262="","",INDEX('سجل التحفيز'!$F$5:$F$2004,MATCH($K262,'سجل التحفيز'!$AE$5:$AE$2004,0)))</f>
        <v/>
      </c>
      <c r="S262" s="35">
        <f>IF($K262="","",INDEX('سجل التحفيز'!$G$5:$G$2004,MATCH($K262,'سجل التحفيز'!$AE$5:$AE$2004,0)))</f>
        <v/>
      </c>
    </row>
    <row r="263">
      <c r="K263" s="36">
        <f>IF(226&gt;$B$10,"",226)</f>
        <v/>
      </c>
      <c r="L263" s="37">
        <f>IF($K263="","",INDEX('سجل التحفيز'!$A$5:$A$2004,MATCH($K263,'سجل التحفيز'!$AE$5:$AE$2004,0)))</f>
        <v/>
      </c>
      <c r="M263" s="9">
        <f>IF($K263="","",INDEX('سجل التحفيز'!$B$5:$B$2004,MATCH($K263,'سجل التحفيز'!$AE$5:$AE$2004,0)))</f>
        <v/>
      </c>
      <c r="N263" s="9">
        <f>IF($K263="","",INDEX('سجل التحفيز'!$M$5:$M$2004,MATCH($K263,'سجل التحفيز'!$AE$5:$AE$2004,0)))</f>
        <v/>
      </c>
      <c r="O263" s="9">
        <f>IF($K263="","",INDEX('سجل التحفيز'!$C$5:$C$2004,MATCH($K263,'سجل التحفيز'!$AE$5:$AE$2004,0)))</f>
        <v/>
      </c>
      <c r="P263" s="36">
        <f>IF($K263="","",INDEX('سجل التحفيز'!$D$5:$D$2004,MATCH($K263,'سجل التحفيز'!$AE$5:$AE$2004,0)))</f>
        <v/>
      </c>
      <c r="Q263" s="9">
        <f>IF($K263="","",INDEX('سجل التحفيز'!$E$5:$E$2004,MATCH($K263,'سجل التحفيز'!$AE$5:$AE$2004,0)))</f>
        <v/>
      </c>
      <c r="R263" s="9">
        <f>IF($K263="","",INDEX('سجل التحفيز'!$F$5:$F$2004,MATCH($K263,'سجل التحفيز'!$AE$5:$AE$2004,0)))</f>
        <v/>
      </c>
      <c r="S263" s="35">
        <f>IF($K263="","",INDEX('سجل التحفيز'!$G$5:$G$2004,MATCH($K263,'سجل التحفيز'!$AE$5:$AE$2004,0)))</f>
        <v/>
      </c>
    </row>
    <row r="264">
      <c r="K264" s="36">
        <f>IF(227&gt;$B$10,"",227)</f>
        <v/>
      </c>
      <c r="L264" s="37">
        <f>IF($K264="","",INDEX('سجل التحفيز'!$A$5:$A$2004,MATCH($K264,'سجل التحفيز'!$AE$5:$AE$2004,0)))</f>
        <v/>
      </c>
      <c r="M264" s="9">
        <f>IF($K264="","",INDEX('سجل التحفيز'!$B$5:$B$2004,MATCH($K264,'سجل التحفيز'!$AE$5:$AE$2004,0)))</f>
        <v/>
      </c>
      <c r="N264" s="9">
        <f>IF($K264="","",INDEX('سجل التحفيز'!$M$5:$M$2004,MATCH($K264,'سجل التحفيز'!$AE$5:$AE$2004,0)))</f>
        <v/>
      </c>
      <c r="O264" s="9">
        <f>IF($K264="","",INDEX('سجل التحفيز'!$C$5:$C$2004,MATCH($K264,'سجل التحفيز'!$AE$5:$AE$2004,0)))</f>
        <v/>
      </c>
      <c r="P264" s="36">
        <f>IF($K264="","",INDEX('سجل التحفيز'!$D$5:$D$2004,MATCH($K264,'سجل التحفيز'!$AE$5:$AE$2004,0)))</f>
        <v/>
      </c>
      <c r="Q264" s="9">
        <f>IF($K264="","",INDEX('سجل التحفيز'!$E$5:$E$2004,MATCH($K264,'سجل التحفيز'!$AE$5:$AE$2004,0)))</f>
        <v/>
      </c>
      <c r="R264" s="9">
        <f>IF($K264="","",INDEX('سجل التحفيز'!$F$5:$F$2004,MATCH($K264,'سجل التحفيز'!$AE$5:$AE$2004,0)))</f>
        <v/>
      </c>
      <c r="S264" s="35">
        <f>IF($K264="","",INDEX('سجل التحفيز'!$G$5:$G$2004,MATCH($K264,'سجل التحفيز'!$AE$5:$AE$2004,0)))</f>
        <v/>
      </c>
    </row>
    <row r="265">
      <c r="K265" s="36">
        <f>IF(228&gt;$B$10,"",228)</f>
        <v/>
      </c>
      <c r="L265" s="37">
        <f>IF($K265="","",INDEX('سجل التحفيز'!$A$5:$A$2004,MATCH($K265,'سجل التحفيز'!$AE$5:$AE$2004,0)))</f>
        <v/>
      </c>
      <c r="M265" s="9">
        <f>IF($K265="","",INDEX('سجل التحفيز'!$B$5:$B$2004,MATCH($K265,'سجل التحفيز'!$AE$5:$AE$2004,0)))</f>
        <v/>
      </c>
      <c r="N265" s="9">
        <f>IF($K265="","",INDEX('سجل التحفيز'!$M$5:$M$2004,MATCH($K265,'سجل التحفيز'!$AE$5:$AE$2004,0)))</f>
        <v/>
      </c>
      <c r="O265" s="9">
        <f>IF($K265="","",INDEX('سجل التحفيز'!$C$5:$C$2004,MATCH($K265,'سجل التحفيز'!$AE$5:$AE$2004,0)))</f>
        <v/>
      </c>
      <c r="P265" s="36">
        <f>IF($K265="","",INDEX('سجل التحفيز'!$D$5:$D$2004,MATCH($K265,'سجل التحفيز'!$AE$5:$AE$2004,0)))</f>
        <v/>
      </c>
      <c r="Q265" s="9">
        <f>IF($K265="","",INDEX('سجل التحفيز'!$E$5:$E$2004,MATCH($K265,'سجل التحفيز'!$AE$5:$AE$2004,0)))</f>
        <v/>
      </c>
      <c r="R265" s="9">
        <f>IF($K265="","",INDEX('سجل التحفيز'!$F$5:$F$2004,MATCH($K265,'سجل التحفيز'!$AE$5:$AE$2004,0)))</f>
        <v/>
      </c>
      <c r="S265" s="35">
        <f>IF($K265="","",INDEX('سجل التحفيز'!$G$5:$G$2004,MATCH($K265,'سجل التحفيز'!$AE$5:$AE$2004,0)))</f>
        <v/>
      </c>
    </row>
    <row r="266">
      <c r="K266" s="36">
        <f>IF(229&gt;$B$10,"",229)</f>
        <v/>
      </c>
      <c r="L266" s="37">
        <f>IF($K266="","",INDEX('سجل التحفيز'!$A$5:$A$2004,MATCH($K266,'سجل التحفيز'!$AE$5:$AE$2004,0)))</f>
        <v/>
      </c>
      <c r="M266" s="9">
        <f>IF($K266="","",INDEX('سجل التحفيز'!$B$5:$B$2004,MATCH($K266,'سجل التحفيز'!$AE$5:$AE$2004,0)))</f>
        <v/>
      </c>
      <c r="N266" s="9">
        <f>IF($K266="","",INDEX('سجل التحفيز'!$M$5:$M$2004,MATCH($K266,'سجل التحفيز'!$AE$5:$AE$2004,0)))</f>
        <v/>
      </c>
      <c r="O266" s="9">
        <f>IF($K266="","",INDEX('سجل التحفيز'!$C$5:$C$2004,MATCH($K266,'سجل التحفيز'!$AE$5:$AE$2004,0)))</f>
        <v/>
      </c>
      <c r="P266" s="36">
        <f>IF($K266="","",INDEX('سجل التحفيز'!$D$5:$D$2004,MATCH($K266,'سجل التحفيز'!$AE$5:$AE$2004,0)))</f>
        <v/>
      </c>
      <c r="Q266" s="9">
        <f>IF($K266="","",INDEX('سجل التحفيز'!$E$5:$E$2004,MATCH($K266,'سجل التحفيز'!$AE$5:$AE$2004,0)))</f>
        <v/>
      </c>
      <c r="R266" s="9">
        <f>IF($K266="","",INDEX('سجل التحفيز'!$F$5:$F$2004,MATCH($K266,'سجل التحفيز'!$AE$5:$AE$2004,0)))</f>
        <v/>
      </c>
      <c r="S266" s="35">
        <f>IF($K266="","",INDEX('سجل التحفيز'!$G$5:$G$2004,MATCH($K266,'سجل التحفيز'!$AE$5:$AE$2004,0)))</f>
        <v/>
      </c>
    </row>
    <row r="267">
      <c r="K267" s="36">
        <f>IF(230&gt;$B$10,"",230)</f>
        <v/>
      </c>
      <c r="L267" s="37">
        <f>IF($K267="","",INDEX('سجل التحفيز'!$A$5:$A$2004,MATCH($K267,'سجل التحفيز'!$AE$5:$AE$2004,0)))</f>
        <v/>
      </c>
      <c r="M267" s="9">
        <f>IF($K267="","",INDEX('سجل التحفيز'!$B$5:$B$2004,MATCH($K267,'سجل التحفيز'!$AE$5:$AE$2004,0)))</f>
        <v/>
      </c>
      <c r="N267" s="9">
        <f>IF($K267="","",INDEX('سجل التحفيز'!$M$5:$M$2004,MATCH($K267,'سجل التحفيز'!$AE$5:$AE$2004,0)))</f>
        <v/>
      </c>
      <c r="O267" s="9">
        <f>IF($K267="","",INDEX('سجل التحفيز'!$C$5:$C$2004,MATCH($K267,'سجل التحفيز'!$AE$5:$AE$2004,0)))</f>
        <v/>
      </c>
      <c r="P267" s="36">
        <f>IF($K267="","",INDEX('سجل التحفيز'!$D$5:$D$2004,MATCH($K267,'سجل التحفيز'!$AE$5:$AE$2004,0)))</f>
        <v/>
      </c>
      <c r="Q267" s="9">
        <f>IF($K267="","",INDEX('سجل التحفيز'!$E$5:$E$2004,MATCH($K267,'سجل التحفيز'!$AE$5:$AE$2004,0)))</f>
        <v/>
      </c>
      <c r="R267" s="9">
        <f>IF($K267="","",INDEX('سجل التحفيز'!$F$5:$F$2004,MATCH($K267,'سجل التحفيز'!$AE$5:$AE$2004,0)))</f>
        <v/>
      </c>
      <c r="S267" s="35">
        <f>IF($K267="","",INDEX('سجل التحفيز'!$G$5:$G$2004,MATCH($K267,'سجل التحفيز'!$AE$5:$AE$2004,0)))</f>
        <v/>
      </c>
    </row>
    <row r="268">
      <c r="K268" s="36">
        <f>IF(231&gt;$B$10,"",231)</f>
        <v/>
      </c>
      <c r="L268" s="37">
        <f>IF($K268="","",INDEX('سجل التحفيز'!$A$5:$A$2004,MATCH($K268,'سجل التحفيز'!$AE$5:$AE$2004,0)))</f>
        <v/>
      </c>
      <c r="M268" s="9">
        <f>IF($K268="","",INDEX('سجل التحفيز'!$B$5:$B$2004,MATCH($K268,'سجل التحفيز'!$AE$5:$AE$2004,0)))</f>
        <v/>
      </c>
      <c r="N268" s="9">
        <f>IF($K268="","",INDEX('سجل التحفيز'!$M$5:$M$2004,MATCH($K268,'سجل التحفيز'!$AE$5:$AE$2004,0)))</f>
        <v/>
      </c>
      <c r="O268" s="9">
        <f>IF($K268="","",INDEX('سجل التحفيز'!$C$5:$C$2004,MATCH($K268,'سجل التحفيز'!$AE$5:$AE$2004,0)))</f>
        <v/>
      </c>
      <c r="P268" s="36">
        <f>IF($K268="","",INDEX('سجل التحفيز'!$D$5:$D$2004,MATCH($K268,'سجل التحفيز'!$AE$5:$AE$2004,0)))</f>
        <v/>
      </c>
      <c r="Q268" s="9">
        <f>IF($K268="","",INDEX('سجل التحفيز'!$E$5:$E$2004,MATCH($K268,'سجل التحفيز'!$AE$5:$AE$2004,0)))</f>
        <v/>
      </c>
      <c r="R268" s="9">
        <f>IF($K268="","",INDEX('سجل التحفيز'!$F$5:$F$2004,MATCH($K268,'سجل التحفيز'!$AE$5:$AE$2004,0)))</f>
        <v/>
      </c>
      <c r="S268" s="35">
        <f>IF($K268="","",INDEX('سجل التحفيز'!$G$5:$G$2004,MATCH($K268,'سجل التحفيز'!$AE$5:$AE$2004,0)))</f>
        <v/>
      </c>
    </row>
    <row r="269">
      <c r="K269" s="36">
        <f>IF(232&gt;$B$10,"",232)</f>
        <v/>
      </c>
      <c r="L269" s="37">
        <f>IF($K269="","",INDEX('سجل التحفيز'!$A$5:$A$2004,MATCH($K269,'سجل التحفيز'!$AE$5:$AE$2004,0)))</f>
        <v/>
      </c>
      <c r="M269" s="9">
        <f>IF($K269="","",INDEX('سجل التحفيز'!$B$5:$B$2004,MATCH($K269,'سجل التحفيز'!$AE$5:$AE$2004,0)))</f>
        <v/>
      </c>
      <c r="N269" s="9">
        <f>IF($K269="","",INDEX('سجل التحفيز'!$M$5:$M$2004,MATCH($K269,'سجل التحفيز'!$AE$5:$AE$2004,0)))</f>
        <v/>
      </c>
      <c r="O269" s="9">
        <f>IF($K269="","",INDEX('سجل التحفيز'!$C$5:$C$2004,MATCH($K269,'سجل التحفيز'!$AE$5:$AE$2004,0)))</f>
        <v/>
      </c>
      <c r="P269" s="36">
        <f>IF($K269="","",INDEX('سجل التحفيز'!$D$5:$D$2004,MATCH($K269,'سجل التحفيز'!$AE$5:$AE$2004,0)))</f>
        <v/>
      </c>
      <c r="Q269" s="9">
        <f>IF($K269="","",INDEX('سجل التحفيز'!$E$5:$E$2004,MATCH($K269,'سجل التحفيز'!$AE$5:$AE$2004,0)))</f>
        <v/>
      </c>
      <c r="R269" s="9">
        <f>IF($K269="","",INDEX('سجل التحفيز'!$F$5:$F$2004,MATCH($K269,'سجل التحفيز'!$AE$5:$AE$2004,0)))</f>
        <v/>
      </c>
      <c r="S269" s="35">
        <f>IF($K269="","",INDEX('سجل التحفيز'!$G$5:$G$2004,MATCH($K269,'سجل التحفيز'!$AE$5:$AE$2004,0)))</f>
        <v/>
      </c>
    </row>
    <row r="270">
      <c r="K270" s="36">
        <f>IF(233&gt;$B$10,"",233)</f>
        <v/>
      </c>
      <c r="L270" s="37">
        <f>IF($K270="","",INDEX('سجل التحفيز'!$A$5:$A$2004,MATCH($K270,'سجل التحفيز'!$AE$5:$AE$2004,0)))</f>
        <v/>
      </c>
      <c r="M270" s="9">
        <f>IF($K270="","",INDEX('سجل التحفيز'!$B$5:$B$2004,MATCH($K270,'سجل التحفيز'!$AE$5:$AE$2004,0)))</f>
        <v/>
      </c>
      <c r="N270" s="9">
        <f>IF($K270="","",INDEX('سجل التحفيز'!$M$5:$M$2004,MATCH($K270,'سجل التحفيز'!$AE$5:$AE$2004,0)))</f>
        <v/>
      </c>
      <c r="O270" s="9">
        <f>IF($K270="","",INDEX('سجل التحفيز'!$C$5:$C$2004,MATCH($K270,'سجل التحفيز'!$AE$5:$AE$2004,0)))</f>
        <v/>
      </c>
      <c r="P270" s="36">
        <f>IF($K270="","",INDEX('سجل التحفيز'!$D$5:$D$2004,MATCH($K270,'سجل التحفيز'!$AE$5:$AE$2004,0)))</f>
        <v/>
      </c>
      <c r="Q270" s="9">
        <f>IF($K270="","",INDEX('سجل التحفيز'!$E$5:$E$2004,MATCH($K270,'سجل التحفيز'!$AE$5:$AE$2004,0)))</f>
        <v/>
      </c>
      <c r="R270" s="9">
        <f>IF($K270="","",INDEX('سجل التحفيز'!$F$5:$F$2004,MATCH($K270,'سجل التحفيز'!$AE$5:$AE$2004,0)))</f>
        <v/>
      </c>
      <c r="S270" s="35">
        <f>IF($K270="","",INDEX('سجل التحفيز'!$G$5:$G$2004,MATCH($K270,'سجل التحفيز'!$AE$5:$AE$2004,0)))</f>
        <v/>
      </c>
    </row>
    <row r="271">
      <c r="K271" s="36">
        <f>IF(234&gt;$B$10,"",234)</f>
        <v/>
      </c>
      <c r="L271" s="37">
        <f>IF($K271="","",INDEX('سجل التحفيز'!$A$5:$A$2004,MATCH($K271,'سجل التحفيز'!$AE$5:$AE$2004,0)))</f>
        <v/>
      </c>
      <c r="M271" s="9">
        <f>IF($K271="","",INDEX('سجل التحفيز'!$B$5:$B$2004,MATCH($K271,'سجل التحفيز'!$AE$5:$AE$2004,0)))</f>
        <v/>
      </c>
      <c r="N271" s="9">
        <f>IF($K271="","",INDEX('سجل التحفيز'!$M$5:$M$2004,MATCH($K271,'سجل التحفيز'!$AE$5:$AE$2004,0)))</f>
        <v/>
      </c>
      <c r="O271" s="9">
        <f>IF($K271="","",INDEX('سجل التحفيز'!$C$5:$C$2004,MATCH($K271,'سجل التحفيز'!$AE$5:$AE$2004,0)))</f>
        <v/>
      </c>
      <c r="P271" s="36">
        <f>IF($K271="","",INDEX('سجل التحفيز'!$D$5:$D$2004,MATCH($K271,'سجل التحفيز'!$AE$5:$AE$2004,0)))</f>
        <v/>
      </c>
      <c r="Q271" s="9">
        <f>IF($K271="","",INDEX('سجل التحفيز'!$E$5:$E$2004,MATCH($K271,'سجل التحفيز'!$AE$5:$AE$2004,0)))</f>
        <v/>
      </c>
      <c r="R271" s="9">
        <f>IF($K271="","",INDEX('سجل التحفيز'!$F$5:$F$2004,MATCH($K271,'سجل التحفيز'!$AE$5:$AE$2004,0)))</f>
        <v/>
      </c>
      <c r="S271" s="35">
        <f>IF($K271="","",INDEX('سجل التحفيز'!$G$5:$G$2004,MATCH($K271,'سجل التحفيز'!$AE$5:$AE$2004,0)))</f>
        <v/>
      </c>
    </row>
    <row r="272">
      <c r="K272" s="36">
        <f>IF(235&gt;$B$10,"",235)</f>
        <v/>
      </c>
      <c r="L272" s="37">
        <f>IF($K272="","",INDEX('سجل التحفيز'!$A$5:$A$2004,MATCH($K272,'سجل التحفيز'!$AE$5:$AE$2004,0)))</f>
        <v/>
      </c>
      <c r="M272" s="9">
        <f>IF($K272="","",INDEX('سجل التحفيز'!$B$5:$B$2004,MATCH($K272,'سجل التحفيز'!$AE$5:$AE$2004,0)))</f>
        <v/>
      </c>
      <c r="N272" s="9">
        <f>IF($K272="","",INDEX('سجل التحفيز'!$M$5:$M$2004,MATCH($K272,'سجل التحفيز'!$AE$5:$AE$2004,0)))</f>
        <v/>
      </c>
      <c r="O272" s="9">
        <f>IF($K272="","",INDEX('سجل التحفيز'!$C$5:$C$2004,MATCH($K272,'سجل التحفيز'!$AE$5:$AE$2004,0)))</f>
        <v/>
      </c>
      <c r="P272" s="36">
        <f>IF($K272="","",INDEX('سجل التحفيز'!$D$5:$D$2004,MATCH($K272,'سجل التحفيز'!$AE$5:$AE$2004,0)))</f>
        <v/>
      </c>
      <c r="Q272" s="9">
        <f>IF($K272="","",INDEX('سجل التحفيز'!$E$5:$E$2004,MATCH($K272,'سجل التحفيز'!$AE$5:$AE$2004,0)))</f>
        <v/>
      </c>
      <c r="R272" s="9">
        <f>IF($K272="","",INDEX('سجل التحفيز'!$F$5:$F$2004,MATCH($K272,'سجل التحفيز'!$AE$5:$AE$2004,0)))</f>
        <v/>
      </c>
      <c r="S272" s="35">
        <f>IF($K272="","",INDEX('سجل التحفيز'!$G$5:$G$2004,MATCH($K272,'سجل التحفيز'!$AE$5:$AE$2004,0)))</f>
        <v/>
      </c>
    </row>
    <row r="273">
      <c r="K273" s="36">
        <f>IF(236&gt;$B$10,"",236)</f>
        <v/>
      </c>
      <c r="L273" s="37">
        <f>IF($K273="","",INDEX('سجل التحفيز'!$A$5:$A$2004,MATCH($K273,'سجل التحفيز'!$AE$5:$AE$2004,0)))</f>
        <v/>
      </c>
      <c r="M273" s="9">
        <f>IF($K273="","",INDEX('سجل التحفيز'!$B$5:$B$2004,MATCH($K273,'سجل التحفيز'!$AE$5:$AE$2004,0)))</f>
        <v/>
      </c>
      <c r="N273" s="9">
        <f>IF($K273="","",INDEX('سجل التحفيز'!$M$5:$M$2004,MATCH($K273,'سجل التحفيز'!$AE$5:$AE$2004,0)))</f>
        <v/>
      </c>
      <c r="O273" s="9">
        <f>IF($K273="","",INDEX('سجل التحفيز'!$C$5:$C$2004,MATCH($K273,'سجل التحفيز'!$AE$5:$AE$2004,0)))</f>
        <v/>
      </c>
      <c r="P273" s="36">
        <f>IF($K273="","",INDEX('سجل التحفيز'!$D$5:$D$2004,MATCH($K273,'سجل التحفيز'!$AE$5:$AE$2004,0)))</f>
        <v/>
      </c>
      <c r="Q273" s="9">
        <f>IF($K273="","",INDEX('سجل التحفيز'!$E$5:$E$2004,MATCH($K273,'سجل التحفيز'!$AE$5:$AE$2004,0)))</f>
        <v/>
      </c>
      <c r="R273" s="9">
        <f>IF($K273="","",INDEX('سجل التحفيز'!$F$5:$F$2004,MATCH($K273,'سجل التحفيز'!$AE$5:$AE$2004,0)))</f>
        <v/>
      </c>
      <c r="S273" s="35">
        <f>IF($K273="","",INDEX('سجل التحفيز'!$G$5:$G$2004,MATCH($K273,'سجل التحفيز'!$AE$5:$AE$2004,0)))</f>
        <v/>
      </c>
    </row>
    <row r="274">
      <c r="K274" s="36">
        <f>IF(237&gt;$B$10,"",237)</f>
        <v/>
      </c>
      <c r="L274" s="37">
        <f>IF($K274="","",INDEX('سجل التحفيز'!$A$5:$A$2004,MATCH($K274,'سجل التحفيز'!$AE$5:$AE$2004,0)))</f>
        <v/>
      </c>
      <c r="M274" s="9">
        <f>IF($K274="","",INDEX('سجل التحفيز'!$B$5:$B$2004,MATCH($K274,'سجل التحفيز'!$AE$5:$AE$2004,0)))</f>
        <v/>
      </c>
      <c r="N274" s="9">
        <f>IF($K274="","",INDEX('سجل التحفيز'!$M$5:$M$2004,MATCH($K274,'سجل التحفيز'!$AE$5:$AE$2004,0)))</f>
        <v/>
      </c>
      <c r="O274" s="9">
        <f>IF($K274="","",INDEX('سجل التحفيز'!$C$5:$C$2004,MATCH($K274,'سجل التحفيز'!$AE$5:$AE$2004,0)))</f>
        <v/>
      </c>
      <c r="P274" s="36">
        <f>IF($K274="","",INDEX('سجل التحفيز'!$D$5:$D$2004,MATCH($K274,'سجل التحفيز'!$AE$5:$AE$2004,0)))</f>
        <v/>
      </c>
      <c r="Q274" s="9">
        <f>IF($K274="","",INDEX('سجل التحفيز'!$E$5:$E$2004,MATCH($K274,'سجل التحفيز'!$AE$5:$AE$2004,0)))</f>
        <v/>
      </c>
      <c r="R274" s="9">
        <f>IF($K274="","",INDEX('سجل التحفيز'!$F$5:$F$2004,MATCH($K274,'سجل التحفيز'!$AE$5:$AE$2004,0)))</f>
        <v/>
      </c>
      <c r="S274" s="35">
        <f>IF($K274="","",INDEX('سجل التحفيز'!$G$5:$G$2004,MATCH($K274,'سجل التحفيز'!$AE$5:$AE$2004,0)))</f>
        <v/>
      </c>
    </row>
    <row r="275">
      <c r="K275" s="36">
        <f>IF(238&gt;$B$10,"",238)</f>
        <v/>
      </c>
      <c r="L275" s="37">
        <f>IF($K275="","",INDEX('سجل التحفيز'!$A$5:$A$2004,MATCH($K275,'سجل التحفيز'!$AE$5:$AE$2004,0)))</f>
        <v/>
      </c>
      <c r="M275" s="9">
        <f>IF($K275="","",INDEX('سجل التحفيز'!$B$5:$B$2004,MATCH($K275,'سجل التحفيز'!$AE$5:$AE$2004,0)))</f>
        <v/>
      </c>
      <c r="N275" s="9">
        <f>IF($K275="","",INDEX('سجل التحفيز'!$M$5:$M$2004,MATCH($K275,'سجل التحفيز'!$AE$5:$AE$2004,0)))</f>
        <v/>
      </c>
      <c r="O275" s="9">
        <f>IF($K275="","",INDEX('سجل التحفيز'!$C$5:$C$2004,MATCH($K275,'سجل التحفيز'!$AE$5:$AE$2004,0)))</f>
        <v/>
      </c>
      <c r="P275" s="36">
        <f>IF($K275="","",INDEX('سجل التحفيز'!$D$5:$D$2004,MATCH($K275,'سجل التحفيز'!$AE$5:$AE$2004,0)))</f>
        <v/>
      </c>
      <c r="Q275" s="9">
        <f>IF($K275="","",INDEX('سجل التحفيز'!$E$5:$E$2004,MATCH($K275,'سجل التحفيز'!$AE$5:$AE$2004,0)))</f>
        <v/>
      </c>
      <c r="R275" s="9">
        <f>IF($K275="","",INDEX('سجل التحفيز'!$F$5:$F$2004,MATCH($K275,'سجل التحفيز'!$AE$5:$AE$2004,0)))</f>
        <v/>
      </c>
      <c r="S275" s="35">
        <f>IF($K275="","",INDEX('سجل التحفيز'!$G$5:$G$2004,MATCH($K275,'سجل التحفيز'!$AE$5:$AE$2004,0)))</f>
        <v/>
      </c>
    </row>
    <row r="276">
      <c r="K276" s="36">
        <f>IF(239&gt;$B$10,"",239)</f>
        <v/>
      </c>
      <c r="L276" s="37">
        <f>IF($K276="","",INDEX('سجل التحفيز'!$A$5:$A$2004,MATCH($K276,'سجل التحفيز'!$AE$5:$AE$2004,0)))</f>
        <v/>
      </c>
      <c r="M276" s="9">
        <f>IF($K276="","",INDEX('سجل التحفيز'!$B$5:$B$2004,MATCH($K276,'سجل التحفيز'!$AE$5:$AE$2004,0)))</f>
        <v/>
      </c>
      <c r="N276" s="9">
        <f>IF($K276="","",INDEX('سجل التحفيز'!$M$5:$M$2004,MATCH($K276,'سجل التحفيز'!$AE$5:$AE$2004,0)))</f>
        <v/>
      </c>
      <c r="O276" s="9">
        <f>IF($K276="","",INDEX('سجل التحفيز'!$C$5:$C$2004,MATCH($K276,'سجل التحفيز'!$AE$5:$AE$2004,0)))</f>
        <v/>
      </c>
      <c r="P276" s="36">
        <f>IF($K276="","",INDEX('سجل التحفيز'!$D$5:$D$2004,MATCH($K276,'سجل التحفيز'!$AE$5:$AE$2004,0)))</f>
        <v/>
      </c>
      <c r="Q276" s="9">
        <f>IF($K276="","",INDEX('سجل التحفيز'!$E$5:$E$2004,MATCH($K276,'سجل التحفيز'!$AE$5:$AE$2004,0)))</f>
        <v/>
      </c>
      <c r="R276" s="9">
        <f>IF($K276="","",INDEX('سجل التحفيز'!$F$5:$F$2004,MATCH($K276,'سجل التحفيز'!$AE$5:$AE$2004,0)))</f>
        <v/>
      </c>
      <c r="S276" s="35">
        <f>IF($K276="","",INDEX('سجل التحفيز'!$G$5:$G$2004,MATCH($K276,'سجل التحفيز'!$AE$5:$AE$2004,0)))</f>
        <v/>
      </c>
    </row>
    <row r="277">
      <c r="K277" s="36">
        <f>IF(240&gt;$B$10,"",240)</f>
        <v/>
      </c>
      <c r="L277" s="37">
        <f>IF($K277="","",INDEX('سجل التحفيز'!$A$5:$A$2004,MATCH($K277,'سجل التحفيز'!$AE$5:$AE$2004,0)))</f>
        <v/>
      </c>
      <c r="M277" s="9">
        <f>IF($K277="","",INDEX('سجل التحفيز'!$B$5:$B$2004,MATCH($K277,'سجل التحفيز'!$AE$5:$AE$2004,0)))</f>
        <v/>
      </c>
      <c r="N277" s="9">
        <f>IF($K277="","",INDEX('سجل التحفيز'!$M$5:$M$2004,MATCH($K277,'سجل التحفيز'!$AE$5:$AE$2004,0)))</f>
        <v/>
      </c>
      <c r="O277" s="9">
        <f>IF($K277="","",INDEX('سجل التحفيز'!$C$5:$C$2004,MATCH($K277,'سجل التحفيز'!$AE$5:$AE$2004,0)))</f>
        <v/>
      </c>
      <c r="P277" s="36">
        <f>IF($K277="","",INDEX('سجل التحفيز'!$D$5:$D$2004,MATCH($K277,'سجل التحفيز'!$AE$5:$AE$2004,0)))</f>
        <v/>
      </c>
      <c r="Q277" s="9">
        <f>IF($K277="","",INDEX('سجل التحفيز'!$E$5:$E$2004,MATCH($K277,'سجل التحفيز'!$AE$5:$AE$2004,0)))</f>
        <v/>
      </c>
      <c r="R277" s="9">
        <f>IF($K277="","",INDEX('سجل التحفيز'!$F$5:$F$2004,MATCH($K277,'سجل التحفيز'!$AE$5:$AE$2004,0)))</f>
        <v/>
      </c>
      <c r="S277" s="35">
        <f>IF($K277="","",INDEX('سجل التحفيز'!$G$5:$G$2004,MATCH($K277,'سجل التحفيز'!$AE$5:$AE$2004,0)))</f>
        <v/>
      </c>
    </row>
    <row r="278">
      <c r="K278" s="36">
        <f>IF(241&gt;$B$10,"",241)</f>
        <v/>
      </c>
      <c r="L278" s="37">
        <f>IF($K278="","",INDEX('سجل التحفيز'!$A$5:$A$2004,MATCH($K278,'سجل التحفيز'!$AE$5:$AE$2004,0)))</f>
        <v/>
      </c>
      <c r="M278" s="9">
        <f>IF($K278="","",INDEX('سجل التحفيز'!$B$5:$B$2004,MATCH($K278,'سجل التحفيز'!$AE$5:$AE$2004,0)))</f>
        <v/>
      </c>
      <c r="N278" s="9">
        <f>IF($K278="","",INDEX('سجل التحفيز'!$M$5:$M$2004,MATCH($K278,'سجل التحفيز'!$AE$5:$AE$2004,0)))</f>
        <v/>
      </c>
      <c r="O278" s="9">
        <f>IF($K278="","",INDEX('سجل التحفيز'!$C$5:$C$2004,MATCH($K278,'سجل التحفيز'!$AE$5:$AE$2004,0)))</f>
        <v/>
      </c>
      <c r="P278" s="36">
        <f>IF($K278="","",INDEX('سجل التحفيز'!$D$5:$D$2004,MATCH($K278,'سجل التحفيز'!$AE$5:$AE$2004,0)))</f>
        <v/>
      </c>
      <c r="Q278" s="9">
        <f>IF($K278="","",INDEX('سجل التحفيز'!$E$5:$E$2004,MATCH($K278,'سجل التحفيز'!$AE$5:$AE$2004,0)))</f>
        <v/>
      </c>
      <c r="R278" s="9">
        <f>IF($K278="","",INDEX('سجل التحفيز'!$F$5:$F$2004,MATCH($K278,'سجل التحفيز'!$AE$5:$AE$2004,0)))</f>
        <v/>
      </c>
      <c r="S278" s="35">
        <f>IF($K278="","",INDEX('سجل التحفيز'!$G$5:$G$2004,MATCH($K278,'سجل التحفيز'!$AE$5:$AE$2004,0)))</f>
        <v/>
      </c>
    </row>
    <row r="279">
      <c r="K279" s="36">
        <f>IF(242&gt;$B$10,"",242)</f>
        <v/>
      </c>
      <c r="L279" s="37">
        <f>IF($K279="","",INDEX('سجل التحفيز'!$A$5:$A$2004,MATCH($K279,'سجل التحفيز'!$AE$5:$AE$2004,0)))</f>
        <v/>
      </c>
      <c r="M279" s="9">
        <f>IF($K279="","",INDEX('سجل التحفيز'!$B$5:$B$2004,MATCH($K279,'سجل التحفيز'!$AE$5:$AE$2004,0)))</f>
        <v/>
      </c>
      <c r="N279" s="9">
        <f>IF($K279="","",INDEX('سجل التحفيز'!$M$5:$M$2004,MATCH($K279,'سجل التحفيز'!$AE$5:$AE$2004,0)))</f>
        <v/>
      </c>
      <c r="O279" s="9">
        <f>IF($K279="","",INDEX('سجل التحفيز'!$C$5:$C$2004,MATCH($K279,'سجل التحفيز'!$AE$5:$AE$2004,0)))</f>
        <v/>
      </c>
      <c r="P279" s="36">
        <f>IF($K279="","",INDEX('سجل التحفيز'!$D$5:$D$2004,MATCH($K279,'سجل التحفيز'!$AE$5:$AE$2004,0)))</f>
        <v/>
      </c>
      <c r="Q279" s="9">
        <f>IF($K279="","",INDEX('سجل التحفيز'!$E$5:$E$2004,MATCH($K279,'سجل التحفيز'!$AE$5:$AE$2004,0)))</f>
        <v/>
      </c>
      <c r="R279" s="9">
        <f>IF($K279="","",INDEX('سجل التحفيز'!$F$5:$F$2004,MATCH($K279,'سجل التحفيز'!$AE$5:$AE$2004,0)))</f>
        <v/>
      </c>
      <c r="S279" s="35">
        <f>IF($K279="","",INDEX('سجل التحفيز'!$G$5:$G$2004,MATCH($K279,'سجل التحفيز'!$AE$5:$AE$2004,0)))</f>
        <v/>
      </c>
    </row>
    <row r="280">
      <c r="K280" s="36">
        <f>IF(243&gt;$B$10,"",243)</f>
        <v/>
      </c>
      <c r="L280" s="37">
        <f>IF($K280="","",INDEX('سجل التحفيز'!$A$5:$A$2004,MATCH($K280,'سجل التحفيز'!$AE$5:$AE$2004,0)))</f>
        <v/>
      </c>
      <c r="M280" s="9">
        <f>IF($K280="","",INDEX('سجل التحفيز'!$B$5:$B$2004,MATCH($K280,'سجل التحفيز'!$AE$5:$AE$2004,0)))</f>
        <v/>
      </c>
      <c r="N280" s="9">
        <f>IF($K280="","",INDEX('سجل التحفيز'!$M$5:$M$2004,MATCH($K280,'سجل التحفيز'!$AE$5:$AE$2004,0)))</f>
        <v/>
      </c>
      <c r="O280" s="9">
        <f>IF($K280="","",INDEX('سجل التحفيز'!$C$5:$C$2004,MATCH($K280,'سجل التحفيز'!$AE$5:$AE$2004,0)))</f>
        <v/>
      </c>
      <c r="P280" s="36">
        <f>IF($K280="","",INDEX('سجل التحفيز'!$D$5:$D$2004,MATCH($K280,'سجل التحفيز'!$AE$5:$AE$2004,0)))</f>
        <v/>
      </c>
      <c r="Q280" s="9">
        <f>IF($K280="","",INDEX('سجل التحفيز'!$E$5:$E$2004,MATCH($K280,'سجل التحفيز'!$AE$5:$AE$2004,0)))</f>
        <v/>
      </c>
      <c r="R280" s="9">
        <f>IF($K280="","",INDEX('سجل التحفيز'!$F$5:$F$2004,MATCH($K280,'سجل التحفيز'!$AE$5:$AE$2004,0)))</f>
        <v/>
      </c>
      <c r="S280" s="35">
        <f>IF($K280="","",INDEX('سجل التحفيز'!$G$5:$G$2004,MATCH($K280,'سجل التحفيز'!$AE$5:$AE$2004,0)))</f>
        <v/>
      </c>
    </row>
    <row r="281">
      <c r="K281" s="36">
        <f>IF(244&gt;$B$10,"",244)</f>
        <v/>
      </c>
      <c r="L281" s="37">
        <f>IF($K281="","",INDEX('سجل التحفيز'!$A$5:$A$2004,MATCH($K281,'سجل التحفيز'!$AE$5:$AE$2004,0)))</f>
        <v/>
      </c>
      <c r="M281" s="9">
        <f>IF($K281="","",INDEX('سجل التحفيز'!$B$5:$B$2004,MATCH($K281,'سجل التحفيز'!$AE$5:$AE$2004,0)))</f>
        <v/>
      </c>
      <c r="N281" s="9">
        <f>IF($K281="","",INDEX('سجل التحفيز'!$M$5:$M$2004,MATCH($K281,'سجل التحفيز'!$AE$5:$AE$2004,0)))</f>
        <v/>
      </c>
      <c r="O281" s="9">
        <f>IF($K281="","",INDEX('سجل التحفيز'!$C$5:$C$2004,MATCH($K281,'سجل التحفيز'!$AE$5:$AE$2004,0)))</f>
        <v/>
      </c>
      <c r="P281" s="36">
        <f>IF($K281="","",INDEX('سجل التحفيز'!$D$5:$D$2004,MATCH($K281,'سجل التحفيز'!$AE$5:$AE$2004,0)))</f>
        <v/>
      </c>
      <c r="Q281" s="9">
        <f>IF($K281="","",INDEX('سجل التحفيز'!$E$5:$E$2004,MATCH($K281,'سجل التحفيز'!$AE$5:$AE$2004,0)))</f>
        <v/>
      </c>
      <c r="R281" s="9">
        <f>IF($K281="","",INDEX('سجل التحفيز'!$F$5:$F$2004,MATCH($K281,'سجل التحفيز'!$AE$5:$AE$2004,0)))</f>
        <v/>
      </c>
      <c r="S281" s="35">
        <f>IF($K281="","",INDEX('سجل التحفيز'!$G$5:$G$2004,MATCH($K281,'سجل التحفيز'!$AE$5:$AE$2004,0)))</f>
        <v/>
      </c>
    </row>
    <row r="282">
      <c r="K282" s="36">
        <f>IF(245&gt;$B$10,"",245)</f>
        <v/>
      </c>
      <c r="L282" s="37">
        <f>IF($K282="","",INDEX('سجل التحفيز'!$A$5:$A$2004,MATCH($K282,'سجل التحفيز'!$AE$5:$AE$2004,0)))</f>
        <v/>
      </c>
      <c r="M282" s="9">
        <f>IF($K282="","",INDEX('سجل التحفيز'!$B$5:$B$2004,MATCH($K282,'سجل التحفيز'!$AE$5:$AE$2004,0)))</f>
        <v/>
      </c>
      <c r="N282" s="9">
        <f>IF($K282="","",INDEX('سجل التحفيز'!$M$5:$M$2004,MATCH($K282,'سجل التحفيز'!$AE$5:$AE$2004,0)))</f>
        <v/>
      </c>
      <c r="O282" s="9">
        <f>IF($K282="","",INDEX('سجل التحفيز'!$C$5:$C$2004,MATCH($K282,'سجل التحفيز'!$AE$5:$AE$2004,0)))</f>
        <v/>
      </c>
      <c r="P282" s="36">
        <f>IF($K282="","",INDEX('سجل التحفيز'!$D$5:$D$2004,MATCH($K282,'سجل التحفيز'!$AE$5:$AE$2004,0)))</f>
        <v/>
      </c>
      <c r="Q282" s="9">
        <f>IF($K282="","",INDEX('سجل التحفيز'!$E$5:$E$2004,MATCH($K282,'سجل التحفيز'!$AE$5:$AE$2004,0)))</f>
        <v/>
      </c>
      <c r="R282" s="9">
        <f>IF($K282="","",INDEX('سجل التحفيز'!$F$5:$F$2004,MATCH($K282,'سجل التحفيز'!$AE$5:$AE$2004,0)))</f>
        <v/>
      </c>
      <c r="S282" s="35">
        <f>IF($K282="","",INDEX('سجل التحفيز'!$G$5:$G$2004,MATCH($K282,'سجل التحفيز'!$AE$5:$AE$2004,0)))</f>
        <v/>
      </c>
    </row>
    <row r="283">
      <c r="K283" s="36">
        <f>IF(246&gt;$B$10,"",246)</f>
        <v/>
      </c>
      <c r="L283" s="37">
        <f>IF($K283="","",INDEX('سجل التحفيز'!$A$5:$A$2004,MATCH($K283,'سجل التحفيز'!$AE$5:$AE$2004,0)))</f>
        <v/>
      </c>
      <c r="M283" s="9">
        <f>IF($K283="","",INDEX('سجل التحفيز'!$B$5:$B$2004,MATCH($K283,'سجل التحفيز'!$AE$5:$AE$2004,0)))</f>
        <v/>
      </c>
      <c r="N283" s="9">
        <f>IF($K283="","",INDEX('سجل التحفيز'!$M$5:$M$2004,MATCH($K283,'سجل التحفيز'!$AE$5:$AE$2004,0)))</f>
        <v/>
      </c>
      <c r="O283" s="9">
        <f>IF($K283="","",INDEX('سجل التحفيز'!$C$5:$C$2004,MATCH($K283,'سجل التحفيز'!$AE$5:$AE$2004,0)))</f>
        <v/>
      </c>
      <c r="P283" s="36">
        <f>IF($K283="","",INDEX('سجل التحفيز'!$D$5:$D$2004,MATCH($K283,'سجل التحفيز'!$AE$5:$AE$2004,0)))</f>
        <v/>
      </c>
      <c r="Q283" s="9">
        <f>IF($K283="","",INDEX('سجل التحفيز'!$E$5:$E$2004,MATCH($K283,'سجل التحفيز'!$AE$5:$AE$2004,0)))</f>
        <v/>
      </c>
      <c r="R283" s="9">
        <f>IF($K283="","",INDEX('سجل التحفيز'!$F$5:$F$2004,MATCH($K283,'سجل التحفيز'!$AE$5:$AE$2004,0)))</f>
        <v/>
      </c>
      <c r="S283" s="35">
        <f>IF($K283="","",INDEX('سجل التحفيز'!$G$5:$G$2004,MATCH($K283,'سجل التحفيز'!$AE$5:$AE$2004,0)))</f>
        <v/>
      </c>
    </row>
    <row r="284">
      <c r="K284" s="36">
        <f>IF(247&gt;$B$10,"",247)</f>
        <v/>
      </c>
      <c r="L284" s="37">
        <f>IF($K284="","",INDEX('سجل التحفيز'!$A$5:$A$2004,MATCH($K284,'سجل التحفيز'!$AE$5:$AE$2004,0)))</f>
        <v/>
      </c>
      <c r="M284" s="9">
        <f>IF($K284="","",INDEX('سجل التحفيز'!$B$5:$B$2004,MATCH($K284,'سجل التحفيز'!$AE$5:$AE$2004,0)))</f>
        <v/>
      </c>
      <c r="N284" s="9">
        <f>IF($K284="","",INDEX('سجل التحفيز'!$M$5:$M$2004,MATCH($K284,'سجل التحفيز'!$AE$5:$AE$2004,0)))</f>
        <v/>
      </c>
      <c r="O284" s="9">
        <f>IF($K284="","",INDEX('سجل التحفيز'!$C$5:$C$2004,MATCH($K284,'سجل التحفيز'!$AE$5:$AE$2004,0)))</f>
        <v/>
      </c>
      <c r="P284" s="36">
        <f>IF($K284="","",INDEX('سجل التحفيز'!$D$5:$D$2004,MATCH($K284,'سجل التحفيز'!$AE$5:$AE$2004,0)))</f>
        <v/>
      </c>
      <c r="Q284" s="9">
        <f>IF($K284="","",INDEX('سجل التحفيز'!$E$5:$E$2004,MATCH($K284,'سجل التحفيز'!$AE$5:$AE$2004,0)))</f>
        <v/>
      </c>
      <c r="R284" s="9">
        <f>IF($K284="","",INDEX('سجل التحفيز'!$F$5:$F$2004,MATCH($K284,'سجل التحفيز'!$AE$5:$AE$2004,0)))</f>
        <v/>
      </c>
      <c r="S284" s="35">
        <f>IF($K284="","",INDEX('سجل التحفيز'!$G$5:$G$2004,MATCH($K284,'سجل التحفيز'!$AE$5:$AE$2004,0)))</f>
        <v/>
      </c>
    </row>
    <row r="285">
      <c r="K285" s="36">
        <f>IF(248&gt;$B$10,"",248)</f>
        <v/>
      </c>
      <c r="L285" s="37">
        <f>IF($K285="","",INDEX('سجل التحفيز'!$A$5:$A$2004,MATCH($K285,'سجل التحفيز'!$AE$5:$AE$2004,0)))</f>
        <v/>
      </c>
      <c r="M285" s="9">
        <f>IF($K285="","",INDEX('سجل التحفيز'!$B$5:$B$2004,MATCH($K285,'سجل التحفيز'!$AE$5:$AE$2004,0)))</f>
        <v/>
      </c>
      <c r="N285" s="9">
        <f>IF($K285="","",INDEX('سجل التحفيز'!$M$5:$M$2004,MATCH($K285,'سجل التحفيز'!$AE$5:$AE$2004,0)))</f>
        <v/>
      </c>
      <c r="O285" s="9">
        <f>IF($K285="","",INDEX('سجل التحفيز'!$C$5:$C$2004,MATCH($K285,'سجل التحفيز'!$AE$5:$AE$2004,0)))</f>
        <v/>
      </c>
      <c r="P285" s="36">
        <f>IF($K285="","",INDEX('سجل التحفيز'!$D$5:$D$2004,MATCH($K285,'سجل التحفيز'!$AE$5:$AE$2004,0)))</f>
        <v/>
      </c>
      <c r="Q285" s="9">
        <f>IF($K285="","",INDEX('سجل التحفيز'!$E$5:$E$2004,MATCH($K285,'سجل التحفيز'!$AE$5:$AE$2004,0)))</f>
        <v/>
      </c>
      <c r="R285" s="9">
        <f>IF($K285="","",INDEX('سجل التحفيز'!$F$5:$F$2004,MATCH($K285,'سجل التحفيز'!$AE$5:$AE$2004,0)))</f>
        <v/>
      </c>
      <c r="S285" s="35">
        <f>IF($K285="","",INDEX('سجل التحفيز'!$G$5:$G$2004,MATCH($K285,'سجل التحفيز'!$AE$5:$AE$2004,0)))</f>
        <v/>
      </c>
    </row>
    <row r="286">
      <c r="K286" s="36">
        <f>IF(249&gt;$B$10,"",249)</f>
        <v/>
      </c>
      <c r="L286" s="37">
        <f>IF($K286="","",INDEX('سجل التحفيز'!$A$5:$A$2004,MATCH($K286,'سجل التحفيز'!$AE$5:$AE$2004,0)))</f>
        <v/>
      </c>
      <c r="M286" s="9">
        <f>IF($K286="","",INDEX('سجل التحفيز'!$B$5:$B$2004,MATCH($K286,'سجل التحفيز'!$AE$5:$AE$2004,0)))</f>
        <v/>
      </c>
      <c r="N286" s="9">
        <f>IF($K286="","",INDEX('سجل التحفيز'!$M$5:$M$2004,MATCH($K286,'سجل التحفيز'!$AE$5:$AE$2004,0)))</f>
        <v/>
      </c>
      <c r="O286" s="9">
        <f>IF($K286="","",INDEX('سجل التحفيز'!$C$5:$C$2004,MATCH($K286,'سجل التحفيز'!$AE$5:$AE$2004,0)))</f>
        <v/>
      </c>
      <c r="P286" s="36">
        <f>IF($K286="","",INDEX('سجل التحفيز'!$D$5:$D$2004,MATCH($K286,'سجل التحفيز'!$AE$5:$AE$2004,0)))</f>
        <v/>
      </c>
      <c r="Q286" s="9">
        <f>IF($K286="","",INDEX('سجل التحفيز'!$E$5:$E$2004,MATCH($K286,'سجل التحفيز'!$AE$5:$AE$2004,0)))</f>
        <v/>
      </c>
      <c r="R286" s="9">
        <f>IF($K286="","",INDEX('سجل التحفيز'!$F$5:$F$2004,MATCH($K286,'سجل التحفيز'!$AE$5:$AE$2004,0)))</f>
        <v/>
      </c>
      <c r="S286" s="35">
        <f>IF($K286="","",INDEX('سجل التحفيز'!$G$5:$G$2004,MATCH($K286,'سجل التحفيز'!$AE$5:$AE$2004,0)))</f>
        <v/>
      </c>
    </row>
    <row r="287">
      <c r="K287" s="36">
        <f>IF(250&gt;$B$10,"",250)</f>
        <v/>
      </c>
      <c r="L287" s="37">
        <f>IF($K287="","",INDEX('سجل التحفيز'!$A$5:$A$2004,MATCH($K287,'سجل التحفيز'!$AE$5:$AE$2004,0)))</f>
        <v/>
      </c>
      <c r="M287" s="9">
        <f>IF($K287="","",INDEX('سجل التحفيز'!$B$5:$B$2004,MATCH($K287,'سجل التحفيز'!$AE$5:$AE$2004,0)))</f>
        <v/>
      </c>
      <c r="N287" s="9">
        <f>IF($K287="","",INDEX('سجل التحفيز'!$M$5:$M$2004,MATCH($K287,'سجل التحفيز'!$AE$5:$AE$2004,0)))</f>
        <v/>
      </c>
      <c r="O287" s="9">
        <f>IF($K287="","",INDEX('سجل التحفيز'!$C$5:$C$2004,MATCH($K287,'سجل التحفيز'!$AE$5:$AE$2004,0)))</f>
        <v/>
      </c>
      <c r="P287" s="36">
        <f>IF($K287="","",INDEX('سجل التحفيز'!$D$5:$D$2004,MATCH($K287,'سجل التحفيز'!$AE$5:$AE$2004,0)))</f>
        <v/>
      </c>
      <c r="Q287" s="9">
        <f>IF($K287="","",INDEX('سجل التحفيز'!$E$5:$E$2004,MATCH($K287,'سجل التحفيز'!$AE$5:$AE$2004,0)))</f>
        <v/>
      </c>
      <c r="R287" s="9">
        <f>IF($K287="","",INDEX('سجل التحفيز'!$F$5:$F$2004,MATCH($K287,'سجل التحفيز'!$AE$5:$AE$2004,0)))</f>
        <v/>
      </c>
      <c r="S287" s="35">
        <f>IF($K287="","",INDEX('سجل التحفيز'!$G$5:$G$2004,MATCH($K287,'سجل التحفيز'!$AE$5:$AE$2004,0)))</f>
        <v/>
      </c>
    </row>
    <row r="288">
      <c r="K288" s="36">
        <f>IF(251&gt;$B$10,"",251)</f>
        <v/>
      </c>
      <c r="L288" s="37">
        <f>IF($K288="","",INDEX('سجل التحفيز'!$A$5:$A$2004,MATCH($K288,'سجل التحفيز'!$AE$5:$AE$2004,0)))</f>
        <v/>
      </c>
      <c r="M288" s="9">
        <f>IF($K288="","",INDEX('سجل التحفيز'!$B$5:$B$2004,MATCH($K288,'سجل التحفيز'!$AE$5:$AE$2004,0)))</f>
        <v/>
      </c>
      <c r="N288" s="9">
        <f>IF($K288="","",INDEX('سجل التحفيز'!$M$5:$M$2004,MATCH($K288,'سجل التحفيز'!$AE$5:$AE$2004,0)))</f>
        <v/>
      </c>
      <c r="O288" s="9">
        <f>IF($K288="","",INDEX('سجل التحفيز'!$C$5:$C$2004,MATCH($K288,'سجل التحفيز'!$AE$5:$AE$2004,0)))</f>
        <v/>
      </c>
      <c r="P288" s="36">
        <f>IF($K288="","",INDEX('سجل التحفيز'!$D$5:$D$2004,MATCH($K288,'سجل التحفيز'!$AE$5:$AE$2004,0)))</f>
        <v/>
      </c>
      <c r="Q288" s="9">
        <f>IF($K288="","",INDEX('سجل التحفيز'!$E$5:$E$2004,MATCH($K288,'سجل التحفيز'!$AE$5:$AE$2004,0)))</f>
        <v/>
      </c>
      <c r="R288" s="9">
        <f>IF($K288="","",INDEX('سجل التحفيز'!$F$5:$F$2004,MATCH($K288,'سجل التحفيز'!$AE$5:$AE$2004,0)))</f>
        <v/>
      </c>
      <c r="S288" s="35">
        <f>IF($K288="","",INDEX('سجل التحفيز'!$G$5:$G$2004,MATCH($K288,'سجل التحفيز'!$AE$5:$AE$2004,0)))</f>
        <v/>
      </c>
    </row>
    <row r="289">
      <c r="K289" s="36">
        <f>IF(252&gt;$B$10,"",252)</f>
        <v/>
      </c>
      <c r="L289" s="37">
        <f>IF($K289="","",INDEX('سجل التحفيز'!$A$5:$A$2004,MATCH($K289,'سجل التحفيز'!$AE$5:$AE$2004,0)))</f>
        <v/>
      </c>
      <c r="M289" s="9">
        <f>IF($K289="","",INDEX('سجل التحفيز'!$B$5:$B$2004,MATCH($K289,'سجل التحفيز'!$AE$5:$AE$2004,0)))</f>
        <v/>
      </c>
      <c r="N289" s="9">
        <f>IF($K289="","",INDEX('سجل التحفيز'!$M$5:$M$2004,MATCH($K289,'سجل التحفيز'!$AE$5:$AE$2004,0)))</f>
        <v/>
      </c>
      <c r="O289" s="9">
        <f>IF($K289="","",INDEX('سجل التحفيز'!$C$5:$C$2004,MATCH($K289,'سجل التحفيز'!$AE$5:$AE$2004,0)))</f>
        <v/>
      </c>
      <c r="P289" s="36">
        <f>IF($K289="","",INDEX('سجل التحفيز'!$D$5:$D$2004,MATCH($K289,'سجل التحفيز'!$AE$5:$AE$2004,0)))</f>
        <v/>
      </c>
      <c r="Q289" s="9">
        <f>IF($K289="","",INDEX('سجل التحفيز'!$E$5:$E$2004,MATCH($K289,'سجل التحفيز'!$AE$5:$AE$2004,0)))</f>
        <v/>
      </c>
      <c r="R289" s="9">
        <f>IF($K289="","",INDEX('سجل التحفيز'!$F$5:$F$2004,MATCH($K289,'سجل التحفيز'!$AE$5:$AE$2004,0)))</f>
        <v/>
      </c>
      <c r="S289" s="35">
        <f>IF($K289="","",INDEX('سجل التحفيز'!$G$5:$G$2004,MATCH($K289,'سجل التحفيز'!$AE$5:$AE$2004,0)))</f>
        <v/>
      </c>
    </row>
    <row r="290">
      <c r="K290" s="36">
        <f>IF(253&gt;$B$10,"",253)</f>
        <v/>
      </c>
      <c r="L290" s="37">
        <f>IF($K290="","",INDEX('سجل التحفيز'!$A$5:$A$2004,MATCH($K290,'سجل التحفيز'!$AE$5:$AE$2004,0)))</f>
        <v/>
      </c>
      <c r="M290" s="9">
        <f>IF($K290="","",INDEX('سجل التحفيز'!$B$5:$B$2004,MATCH($K290,'سجل التحفيز'!$AE$5:$AE$2004,0)))</f>
        <v/>
      </c>
      <c r="N290" s="9">
        <f>IF($K290="","",INDEX('سجل التحفيز'!$M$5:$M$2004,MATCH($K290,'سجل التحفيز'!$AE$5:$AE$2004,0)))</f>
        <v/>
      </c>
      <c r="O290" s="9">
        <f>IF($K290="","",INDEX('سجل التحفيز'!$C$5:$C$2004,MATCH($K290,'سجل التحفيز'!$AE$5:$AE$2004,0)))</f>
        <v/>
      </c>
      <c r="P290" s="36">
        <f>IF($K290="","",INDEX('سجل التحفيز'!$D$5:$D$2004,MATCH($K290,'سجل التحفيز'!$AE$5:$AE$2004,0)))</f>
        <v/>
      </c>
      <c r="Q290" s="9">
        <f>IF($K290="","",INDEX('سجل التحفيز'!$E$5:$E$2004,MATCH($K290,'سجل التحفيز'!$AE$5:$AE$2004,0)))</f>
        <v/>
      </c>
      <c r="R290" s="9">
        <f>IF($K290="","",INDEX('سجل التحفيز'!$F$5:$F$2004,MATCH($K290,'سجل التحفيز'!$AE$5:$AE$2004,0)))</f>
        <v/>
      </c>
      <c r="S290" s="35">
        <f>IF($K290="","",INDEX('سجل التحفيز'!$G$5:$G$2004,MATCH($K290,'سجل التحفيز'!$AE$5:$AE$2004,0)))</f>
        <v/>
      </c>
    </row>
    <row r="291">
      <c r="K291" s="36">
        <f>IF(254&gt;$B$10,"",254)</f>
        <v/>
      </c>
      <c r="L291" s="37">
        <f>IF($K291="","",INDEX('سجل التحفيز'!$A$5:$A$2004,MATCH($K291,'سجل التحفيز'!$AE$5:$AE$2004,0)))</f>
        <v/>
      </c>
      <c r="M291" s="9">
        <f>IF($K291="","",INDEX('سجل التحفيز'!$B$5:$B$2004,MATCH($K291,'سجل التحفيز'!$AE$5:$AE$2004,0)))</f>
        <v/>
      </c>
      <c r="N291" s="9">
        <f>IF($K291="","",INDEX('سجل التحفيز'!$M$5:$M$2004,MATCH($K291,'سجل التحفيز'!$AE$5:$AE$2004,0)))</f>
        <v/>
      </c>
      <c r="O291" s="9">
        <f>IF($K291="","",INDEX('سجل التحفيز'!$C$5:$C$2004,MATCH($K291,'سجل التحفيز'!$AE$5:$AE$2004,0)))</f>
        <v/>
      </c>
      <c r="P291" s="36">
        <f>IF($K291="","",INDEX('سجل التحفيز'!$D$5:$D$2004,MATCH($K291,'سجل التحفيز'!$AE$5:$AE$2004,0)))</f>
        <v/>
      </c>
      <c r="Q291" s="9">
        <f>IF($K291="","",INDEX('سجل التحفيز'!$E$5:$E$2004,MATCH($K291,'سجل التحفيز'!$AE$5:$AE$2004,0)))</f>
        <v/>
      </c>
      <c r="R291" s="9">
        <f>IF($K291="","",INDEX('سجل التحفيز'!$F$5:$F$2004,MATCH($K291,'سجل التحفيز'!$AE$5:$AE$2004,0)))</f>
        <v/>
      </c>
      <c r="S291" s="35">
        <f>IF($K291="","",INDEX('سجل التحفيز'!$G$5:$G$2004,MATCH($K291,'سجل التحفيز'!$AE$5:$AE$2004,0)))</f>
        <v/>
      </c>
    </row>
    <row r="292">
      <c r="K292" s="36">
        <f>IF(255&gt;$B$10,"",255)</f>
        <v/>
      </c>
      <c r="L292" s="37">
        <f>IF($K292="","",INDEX('سجل التحفيز'!$A$5:$A$2004,MATCH($K292,'سجل التحفيز'!$AE$5:$AE$2004,0)))</f>
        <v/>
      </c>
      <c r="M292" s="9">
        <f>IF($K292="","",INDEX('سجل التحفيز'!$B$5:$B$2004,MATCH($K292,'سجل التحفيز'!$AE$5:$AE$2004,0)))</f>
        <v/>
      </c>
      <c r="N292" s="9">
        <f>IF($K292="","",INDEX('سجل التحفيز'!$M$5:$M$2004,MATCH($K292,'سجل التحفيز'!$AE$5:$AE$2004,0)))</f>
        <v/>
      </c>
      <c r="O292" s="9">
        <f>IF($K292="","",INDEX('سجل التحفيز'!$C$5:$C$2004,MATCH($K292,'سجل التحفيز'!$AE$5:$AE$2004,0)))</f>
        <v/>
      </c>
      <c r="P292" s="36">
        <f>IF($K292="","",INDEX('سجل التحفيز'!$D$5:$D$2004,MATCH($K292,'سجل التحفيز'!$AE$5:$AE$2004,0)))</f>
        <v/>
      </c>
      <c r="Q292" s="9">
        <f>IF($K292="","",INDEX('سجل التحفيز'!$E$5:$E$2004,MATCH($K292,'سجل التحفيز'!$AE$5:$AE$2004,0)))</f>
        <v/>
      </c>
      <c r="R292" s="9">
        <f>IF($K292="","",INDEX('سجل التحفيز'!$F$5:$F$2004,MATCH($K292,'سجل التحفيز'!$AE$5:$AE$2004,0)))</f>
        <v/>
      </c>
      <c r="S292" s="35">
        <f>IF($K292="","",INDEX('سجل التحفيز'!$G$5:$G$2004,MATCH($K292,'سجل التحفيز'!$AE$5:$AE$2004,0)))</f>
        <v/>
      </c>
    </row>
    <row r="293">
      <c r="K293" s="36">
        <f>IF(256&gt;$B$10,"",256)</f>
        <v/>
      </c>
      <c r="L293" s="37">
        <f>IF($K293="","",INDEX('سجل التحفيز'!$A$5:$A$2004,MATCH($K293,'سجل التحفيز'!$AE$5:$AE$2004,0)))</f>
        <v/>
      </c>
      <c r="M293" s="9">
        <f>IF($K293="","",INDEX('سجل التحفيز'!$B$5:$B$2004,MATCH($K293,'سجل التحفيز'!$AE$5:$AE$2004,0)))</f>
        <v/>
      </c>
      <c r="N293" s="9">
        <f>IF($K293="","",INDEX('سجل التحفيز'!$M$5:$M$2004,MATCH($K293,'سجل التحفيز'!$AE$5:$AE$2004,0)))</f>
        <v/>
      </c>
      <c r="O293" s="9">
        <f>IF($K293="","",INDEX('سجل التحفيز'!$C$5:$C$2004,MATCH($K293,'سجل التحفيز'!$AE$5:$AE$2004,0)))</f>
        <v/>
      </c>
      <c r="P293" s="36">
        <f>IF($K293="","",INDEX('سجل التحفيز'!$D$5:$D$2004,MATCH($K293,'سجل التحفيز'!$AE$5:$AE$2004,0)))</f>
        <v/>
      </c>
      <c r="Q293" s="9">
        <f>IF($K293="","",INDEX('سجل التحفيز'!$E$5:$E$2004,MATCH($K293,'سجل التحفيز'!$AE$5:$AE$2004,0)))</f>
        <v/>
      </c>
      <c r="R293" s="9">
        <f>IF($K293="","",INDEX('سجل التحفيز'!$F$5:$F$2004,MATCH($K293,'سجل التحفيز'!$AE$5:$AE$2004,0)))</f>
        <v/>
      </c>
      <c r="S293" s="35">
        <f>IF($K293="","",INDEX('سجل التحفيز'!$G$5:$G$2004,MATCH($K293,'سجل التحفيز'!$AE$5:$AE$2004,0)))</f>
        <v/>
      </c>
    </row>
    <row r="294">
      <c r="K294" s="36">
        <f>IF(257&gt;$B$10,"",257)</f>
        <v/>
      </c>
      <c r="L294" s="37">
        <f>IF($K294="","",INDEX('سجل التحفيز'!$A$5:$A$2004,MATCH($K294,'سجل التحفيز'!$AE$5:$AE$2004,0)))</f>
        <v/>
      </c>
      <c r="M294" s="9">
        <f>IF($K294="","",INDEX('سجل التحفيز'!$B$5:$B$2004,MATCH($K294,'سجل التحفيز'!$AE$5:$AE$2004,0)))</f>
        <v/>
      </c>
      <c r="N294" s="9">
        <f>IF($K294="","",INDEX('سجل التحفيز'!$M$5:$M$2004,MATCH($K294,'سجل التحفيز'!$AE$5:$AE$2004,0)))</f>
        <v/>
      </c>
      <c r="O294" s="9">
        <f>IF($K294="","",INDEX('سجل التحفيز'!$C$5:$C$2004,MATCH($K294,'سجل التحفيز'!$AE$5:$AE$2004,0)))</f>
        <v/>
      </c>
      <c r="P294" s="36">
        <f>IF($K294="","",INDEX('سجل التحفيز'!$D$5:$D$2004,MATCH($K294,'سجل التحفيز'!$AE$5:$AE$2004,0)))</f>
        <v/>
      </c>
      <c r="Q294" s="9">
        <f>IF($K294="","",INDEX('سجل التحفيز'!$E$5:$E$2004,MATCH($K294,'سجل التحفيز'!$AE$5:$AE$2004,0)))</f>
        <v/>
      </c>
      <c r="R294" s="9">
        <f>IF($K294="","",INDEX('سجل التحفيز'!$F$5:$F$2004,MATCH($K294,'سجل التحفيز'!$AE$5:$AE$2004,0)))</f>
        <v/>
      </c>
      <c r="S294" s="35">
        <f>IF($K294="","",INDEX('سجل التحفيز'!$G$5:$G$2004,MATCH($K294,'سجل التحفيز'!$AE$5:$AE$2004,0)))</f>
        <v/>
      </c>
    </row>
    <row r="295">
      <c r="K295" s="36">
        <f>IF(258&gt;$B$10,"",258)</f>
        <v/>
      </c>
      <c r="L295" s="37">
        <f>IF($K295="","",INDEX('سجل التحفيز'!$A$5:$A$2004,MATCH($K295,'سجل التحفيز'!$AE$5:$AE$2004,0)))</f>
        <v/>
      </c>
      <c r="M295" s="9">
        <f>IF($K295="","",INDEX('سجل التحفيز'!$B$5:$B$2004,MATCH($K295,'سجل التحفيز'!$AE$5:$AE$2004,0)))</f>
        <v/>
      </c>
      <c r="N295" s="9">
        <f>IF($K295="","",INDEX('سجل التحفيز'!$M$5:$M$2004,MATCH($K295,'سجل التحفيز'!$AE$5:$AE$2004,0)))</f>
        <v/>
      </c>
      <c r="O295" s="9">
        <f>IF($K295="","",INDEX('سجل التحفيز'!$C$5:$C$2004,MATCH($K295,'سجل التحفيز'!$AE$5:$AE$2004,0)))</f>
        <v/>
      </c>
      <c r="P295" s="36">
        <f>IF($K295="","",INDEX('سجل التحفيز'!$D$5:$D$2004,MATCH($K295,'سجل التحفيز'!$AE$5:$AE$2004,0)))</f>
        <v/>
      </c>
      <c r="Q295" s="9">
        <f>IF($K295="","",INDEX('سجل التحفيز'!$E$5:$E$2004,MATCH($K295,'سجل التحفيز'!$AE$5:$AE$2004,0)))</f>
        <v/>
      </c>
      <c r="R295" s="9">
        <f>IF($K295="","",INDEX('سجل التحفيز'!$F$5:$F$2004,MATCH($K295,'سجل التحفيز'!$AE$5:$AE$2004,0)))</f>
        <v/>
      </c>
      <c r="S295" s="35">
        <f>IF($K295="","",INDEX('سجل التحفيز'!$G$5:$G$2004,MATCH($K295,'سجل التحفيز'!$AE$5:$AE$2004,0)))</f>
        <v/>
      </c>
    </row>
    <row r="296">
      <c r="K296" s="36">
        <f>IF(259&gt;$B$10,"",259)</f>
        <v/>
      </c>
      <c r="L296" s="37">
        <f>IF($K296="","",INDEX('سجل التحفيز'!$A$5:$A$2004,MATCH($K296,'سجل التحفيز'!$AE$5:$AE$2004,0)))</f>
        <v/>
      </c>
      <c r="M296" s="9">
        <f>IF($K296="","",INDEX('سجل التحفيز'!$B$5:$B$2004,MATCH($K296,'سجل التحفيز'!$AE$5:$AE$2004,0)))</f>
        <v/>
      </c>
      <c r="N296" s="9">
        <f>IF($K296="","",INDEX('سجل التحفيز'!$M$5:$M$2004,MATCH($K296,'سجل التحفيز'!$AE$5:$AE$2004,0)))</f>
        <v/>
      </c>
      <c r="O296" s="9">
        <f>IF($K296="","",INDEX('سجل التحفيز'!$C$5:$C$2004,MATCH($K296,'سجل التحفيز'!$AE$5:$AE$2004,0)))</f>
        <v/>
      </c>
      <c r="P296" s="36">
        <f>IF($K296="","",INDEX('سجل التحفيز'!$D$5:$D$2004,MATCH($K296,'سجل التحفيز'!$AE$5:$AE$2004,0)))</f>
        <v/>
      </c>
      <c r="Q296" s="9">
        <f>IF($K296="","",INDEX('سجل التحفيز'!$E$5:$E$2004,MATCH($K296,'سجل التحفيز'!$AE$5:$AE$2004,0)))</f>
        <v/>
      </c>
      <c r="R296" s="9">
        <f>IF($K296="","",INDEX('سجل التحفيز'!$F$5:$F$2004,MATCH($K296,'سجل التحفيز'!$AE$5:$AE$2004,0)))</f>
        <v/>
      </c>
      <c r="S296" s="35">
        <f>IF($K296="","",INDEX('سجل التحفيز'!$G$5:$G$2004,MATCH($K296,'سجل التحفيز'!$AE$5:$AE$2004,0)))</f>
        <v/>
      </c>
    </row>
    <row r="297">
      <c r="K297" s="36">
        <f>IF(260&gt;$B$10,"",260)</f>
        <v/>
      </c>
      <c r="L297" s="37">
        <f>IF($K297="","",INDEX('سجل التحفيز'!$A$5:$A$2004,MATCH($K297,'سجل التحفيز'!$AE$5:$AE$2004,0)))</f>
        <v/>
      </c>
      <c r="M297" s="9">
        <f>IF($K297="","",INDEX('سجل التحفيز'!$B$5:$B$2004,MATCH($K297,'سجل التحفيز'!$AE$5:$AE$2004,0)))</f>
        <v/>
      </c>
      <c r="N297" s="9">
        <f>IF($K297="","",INDEX('سجل التحفيز'!$M$5:$M$2004,MATCH($K297,'سجل التحفيز'!$AE$5:$AE$2004,0)))</f>
        <v/>
      </c>
      <c r="O297" s="9">
        <f>IF($K297="","",INDEX('سجل التحفيز'!$C$5:$C$2004,MATCH($K297,'سجل التحفيز'!$AE$5:$AE$2004,0)))</f>
        <v/>
      </c>
      <c r="P297" s="36">
        <f>IF($K297="","",INDEX('سجل التحفيز'!$D$5:$D$2004,MATCH($K297,'سجل التحفيز'!$AE$5:$AE$2004,0)))</f>
        <v/>
      </c>
      <c r="Q297" s="9">
        <f>IF($K297="","",INDEX('سجل التحفيز'!$E$5:$E$2004,MATCH($K297,'سجل التحفيز'!$AE$5:$AE$2004,0)))</f>
        <v/>
      </c>
      <c r="R297" s="9">
        <f>IF($K297="","",INDEX('سجل التحفيز'!$F$5:$F$2004,MATCH($K297,'سجل التحفيز'!$AE$5:$AE$2004,0)))</f>
        <v/>
      </c>
      <c r="S297" s="35">
        <f>IF($K297="","",INDEX('سجل التحفيز'!$G$5:$G$2004,MATCH($K297,'سجل التحفيز'!$AE$5:$AE$2004,0)))</f>
        <v/>
      </c>
    </row>
    <row r="298">
      <c r="K298" s="36">
        <f>IF(261&gt;$B$10,"",261)</f>
        <v/>
      </c>
      <c r="L298" s="37">
        <f>IF($K298="","",INDEX('سجل التحفيز'!$A$5:$A$2004,MATCH($K298,'سجل التحفيز'!$AE$5:$AE$2004,0)))</f>
        <v/>
      </c>
      <c r="M298" s="9">
        <f>IF($K298="","",INDEX('سجل التحفيز'!$B$5:$B$2004,MATCH($K298,'سجل التحفيز'!$AE$5:$AE$2004,0)))</f>
        <v/>
      </c>
      <c r="N298" s="9">
        <f>IF($K298="","",INDEX('سجل التحفيز'!$M$5:$M$2004,MATCH($K298,'سجل التحفيز'!$AE$5:$AE$2004,0)))</f>
        <v/>
      </c>
      <c r="O298" s="9">
        <f>IF($K298="","",INDEX('سجل التحفيز'!$C$5:$C$2004,MATCH($K298,'سجل التحفيز'!$AE$5:$AE$2004,0)))</f>
        <v/>
      </c>
      <c r="P298" s="36">
        <f>IF($K298="","",INDEX('سجل التحفيز'!$D$5:$D$2004,MATCH($K298,'سجل التحفيز'!$AE$5:$AE$2004,0)))</f>
        <v/>
      </c>
      <c r="Q298" s="9">
        <f>IF($K298="","",INDEX('سجل التحفيز'!$E$5:$E$2004,MATCH($K298,'سجل التحفيز'!$AE$5:$AE$2004,0)))</f>
        <v/>
      </c>
      <c r="R298" s="9">
        <f>IF($K298="","",INDEX('سجل التحفيز'!$F$5:$F$2004,MATCH($K298,'سجل التحفيز'!$AE$5:$AE$2004,0)))</f>
        <v/>
      </c>
      <c r="S298" s="35">
        <f>IF($K298="","",INDEX('سجل التحفيز'!$G$5:$G$2004,MATCH($K298,'سجل التحفيز'!$AE$5:$AE$2004,0)))</f>
        <v/>
      </c>
    </row>
    <row r="299">
      <c r="K299" s="36">
        <f>IF(262&gt;$B$10,"",262)</f>
        <v/>
      </c>
      <c r="L299" s="37">
        <f>IF($K299="","",INDEX('سجل التحفيز'!$A$5:$A$2004,MATCH($K299,'سجل التحفيز'!$AE$5:$AE$2004,0)))</f>
        <v/>
      </c>
      <c r="M299" s="9">
        <f>IF($K299="","",INDEX('سجل التحفيز'!$B$5:$B$2004,MATCH($K299,'سجل التحفيز'!$AE$5:$AE$2004,0)))</f>
        <v/>
      </c>
      <c r="N299" s="9">
        <f>IF($K299="","",INDEX('سجل التحفيز'!$M$5:$M$2004,MATCH($K299,'سجل التحفيز'!$AE$5:$AE$2004,0)))</f>
        <v/>
      </c>
      <c r="O299" s="9">
        <f>IF($K299="","",INDEX('سجل التحفيز'!$C$5:$C$2004,MATCH($K299,'سجل التحفيز'!$AE$5:$AE$2004,0)))</f>
        <v/>
      </c>
      <c r="P299" s="36">
        <f>IF($K299="","",INDEX('سجل التحفيز'!$D$5:$D$2004,MATCH($K299,'سجل التحفيز'!$AE$5:$AE$2004,0)))</f>
        <v/>
      </c>
      <c r="Q299" s="9">
        <f>IF($K299="","",INDEX('سجل التحفيز'!$E$5:$E$2004,MATCH($K299,'سجل التحفيز'!$AE$5:$AE$2004,0)))</f>
        <v/>
      </c>
      <c r="R299" s="9">
        <f>IF($K299="","",INDEX('سجل التحفيز'!$F$5:$F$2004,MATCH($K299,'سجل التحفيز'!$AE$5:$AE$2004,0)))</f>
        <v/>
      </c>
      <c r="S299" s="35">
        <f>IF($K299="","",INDEX('سجل التحفيز'!$G$5:$G$2004,MATCH($K299,'سجل التحفيز'!$AE$5:$AE$2004,0)))</f>
        <v/>
      </c>
    </row>
    <row r="300">
      <c r="K300" s="36">
        <f>IF(263&gt;$B$10,"",263)</f>
        <v/>
      </c>
      <c r="L300" s="37">
        <f>IF($K300="","",INDEX('سجل التحفيز'!$A$5:$A$2004,MATCH($K300,'سجل التحفيز'!$AE$5:$AE$2004,0)))</f>
        <v/>
      </c>
      <c r="M300" s="9">
        <f>IF($K300="","",INDEX('سجل التحفيز'!$B$5:$B$2004,MATCH($K300,'سجل التحفيز'!$AE$5:$AE$2004,0)))</f>
        <v/>
      </c>
      <c r="N300" s="9">
        <f>IF($K300="","",INDEX('سجل التحفيز'!$M$5:$M$2004,MATCH($K300,'سجل التحفيز'!$AE$5:$AE$2004,0)))</f>
        <v/>
      </c>
      <c r="O300" s="9">
        <f>IF($K300="","",INDEX('سجل التحفيز'!$C$5:$C$2004,MATCH($K300,'سجل التحفيز'!$AE$5:$AE$2004,0)))</f>
        <v/>
      </c>
      <c r="P300" s="36">
        <f>IF($K300="","",INDEX('سجل التحفيز'!$D$5:$D$2004,MATCH($K300,'سجل التحفيز'!$AE$5:$AE$2004,0)))</f>
        <v/>
      </c>
      <c r="Q300" s="9">
        <f>IF($K300="","",INDEX('سجل التحفيز'!$E$5:$E$2004,MATCH($K300,'سجل التحفيز'!$AE$5:$AE$2004,0)))</f>
        <v/>
      </c>
      <c r="R300" s="9">
        <f>IF($K300="","",INDEX('سجل التحفيز'!$F$5:$F$2004,MATCH($K300,'سجل التحفيز'!$AE$5:$AE$2004,0)))</f>
        <v/>
      </c>
      <c r="S300" s="35">
        <f>IF($K300="","",INDEX('سجل التحفيز'!$G$5:$G$2004,MATCH($K300,'سجل التحفيز'!$AE$5:$AE$2004,0)))</f>
        <v/>
      </c>
    </row>
    <row r="301">
      <c r="K301" s="36">
        <f>IF(264&gt;$B$10,"",264)</f>
        <v/>
      </c>
      <c r="L301" s="37">
        <f>IF($K301="","",INDEX('سجل التحفيز'!$A$5:$A$2004,MATCH($K301,'سجل التحفيز'!$AE$5:$AE$2004,0)))</f>
        <v/>
      </c>
      <c r="M301" s="9">
        <f>IF($K301="","",INDEX('سجل التحفيز'!$B$5:$B$2004,MATCH($K301,'سجل التحفيز'!$AE$5:$AE$2004,0)))</f>
        <v/>
      </c>
      <c r="N301" s="9">
        <f>IF($K301="","",INDEX('سجل التحفيز'!$M$5:$M$2004,MATCH($K301,'سجل التحفيز'!$AE$5:$AE$2004,0)))</f>
        <v/>
      </c>
      <c r="O301" s="9">
        <f>IF($K301="","",INDEX('سجل التحفيز'!$C$5:$C$2004,MATCH($K301,'سجل التحفيز'!$AE$5:$AE$2004,0)))</f>
        <v/>
      </c>
      <c r="P301" s="36">
        <f>IF($K301="","",INDEX('سجل التحفيز'!$D$5:$D$2004,MATCH($K301,'سجل التحفيز'!$AE$5:$AE$2004,0)))</f>
        <v/>
      </c>
      <c r="Q301" s="9">
        <f>IF($K301="","",INDEX('سجل التحفيز'!$E$5:$E$2004,MATCH($K301,'سجل التحفيز'!$AE$5:$AE$2004,0)))</f>
        <v/>
      </c>
      <c r="R301" s="9">
        <f>IF($K301="","",INDEX('سجل التحفيز'!$F$5:$F$2004,MATCH($K301,'سجل التحفيز'!$AE$5:$AE$2004,0)))</f>
        <v/>
      </c>
      <c r="S301" s="35">
        <f>IF($K301="","",INDEX('سجل التحفيز'!$G$5:$G$2004,MATCH($K301,'سجل التحفيز'!$AE$5:$AE$2004,0)))</f>
        <v/>
      </c>
    </row>
    <row r="302">
      <c r="K302" s="36">
        <f>IF(265&gt;$B$10,"",265)</f>
        <v/>
      </c>
      <c r="L302" s="37">
        <f>IF($K302="","",INDEX('سجل التحفيز'!$A$5:$A$2004,MATCH($K302,'سجل التحفيز'!$AE$5:$AE$2004,0)))</f>
        <v/>
      </c>
      <c r="M302" s="9">
        <f>IF($K302="","",INDEX('سجل التحفيز'!$B$5:$B$2004,MATCH($K302,'سجل التحفيز'!$AE$5:$AE$2004,0)))</f>
        <v/>
      </c>
      <c r="N302" s="9">
        <f>IF($K302="","",INDEX('سجل التحفيز'!$M$5:$M$2004,MATCH($K302,'سجل التحفيز'!$AE$5:$AE$2004,0)))</f>
        <v/>
      </c>
      <c r="O302" s="9">
        <f>IF($K302="","",INDEX('سجل التحفيز'!$C$5:$C$2004,MATCH($K302,'سجل التحفيز'!$AE$5:$AE$2004,0)))</f>
        <v/>
      </c>
      <c r="P302" s="36">
        <f>IF($K302="","",INDEX('سجل التحفيز'!$D$5:$D$2004,MATCH($K302,'سجل التحفيز'!$AE$5:$AE$2004,0)))</f>
        <v/>
      </c>
      <c r="Q302" s="9">
        <f>IF($K302="","",INDEX('سجل التحفيز'!$E$5:$E$2004,MATCH($K302,'سجل التحفيز'!$AE$5:$AE$2004,0)))</f>
        <v/>
      </c>
      <c r="R302" s="9">
        <f>IF($K302="","",INDEX('سجل التحفيز'!$F$5:$F$2004,MATCH($K302,'سجل التحفيز'!$AE$5:$AE$2004,0)))</f>
        <v/>
      </c>
      <c r="S302" s="35">
        <f>IF($K302="","",INDEX('سجل التحفيز'!$G$5:$G$2004,MATCH($K302,'سجل التحفيز'!$AE$5:$AE$2004,0)))</f>
        <v/>
      </c>
    </row>
    <row r="303">
      <c r="K303" s="36">
        <f>IF(266&gt;$B$10,"",266)</f>
        <v/>
      </c>
      <c r="L303" s="37">
        <f>IF($K303="","",INDEX('سجل التحفيز'!$A$5:$A$2004,MATCH($K303,'سجل التحفيز'!$AE$5:$AE$2004,0)))</f>
        <v/>
      </c>
      <c r="M303" s="9">
        <f>IF($K303="","",INDEX('سجل التحفيز'!$B$5:$B$2004,MATCH($K303,'سجل التحفيز'!$AE$5:$AE$2004,0)))</f>
        <v/>
      </c>
      <c r="N303" s="9">
        <f>IF($K303="","",INDEX('سجل التحفيز'!$M$5:$M$2004,MATCH($K303,'سجل التحفيز'!$AE$5:$AE$2004,0)))</f>
        <v/>
      </c>
      <c r="O303" s="9">
        <f>IF($K303="","",INDEX('سجل التحفيز'!$C$5:$C$2004,MATCH($K303,'سجل التحفيز'!$AE$5:$AE$2004,0)))</f>
        <v/>
      </c>
      <c r="P303" s="36">
        <f>IF($K303="","",INDEX('سجل التحفيز'!$D$5:$D$2004,MATCH($K303,'سجل التحفيز'!$AE$5:$AE$2004,0)))</f>
        <v/>
      </c>
      <c r="Q303" s="9">
        <f>IF($K303="","",INDEX('سجل التحفيز'!$E$5:$E$2004,MATCH($K303,'سجل التحفيز'!$AE$5:$AE$2004,0)))</f>
        <v/>
      </c>
      <c r="R303" s="9">
        <f>IF($K303="","",INDEX('سجل التحفيز'!$F$5:$F$2004,MATCH($K303,'سجل التحفيز'!$AE$5:$AE$2004,0)))</f>
        <v/>
      </c>
      <c r="S303" s="35">
        <f>IF($K303="","",INDEX('سجل التحفيز'!$G$5:$G$2004,MATCH($K303,'سجل التحفيز'!$AE$5:$AE$2004,0)))</f>
        <v/>
      </c>
    </row>
    <row r="304">
      <c r="K304" s="36">
        <f>IF(267&gt;$B$10,"",267)</f>
        <v/>
      </c>
      <c r="L304" s="37">
        <f>IF($K304="","",INDEX('سجل التحفيز'!$A$5:$A$2004,MATCH($K304,'سجل التحفيز'!$AE$5:$AE$2004,0)))</f>
        <v/>
      </c>
      <c r="M304" s="9">
        <f>IF($K304="","",INDEX('سجل التحفيز'!$B$5:$B$2004,MATCH($K304,'سجل التحفيز'!$AE$5:$AE$2004,0)))</f>
        <v/>
      </c>
      <c r="N304" s="9">
        <f>IF($K304="","",INDEX('سجل التحفيز'!$M$5:$M$2004,MATCH($K304,'سجل التحفيز'!$AE$5:$AE$2004,0)))</f>
        <v/>
      </c>
      <c r="O304" s="9">
        <f>IF($K304="","",INDEX('سجل التحفيز'!$C$5:$C$2004,MATCH($K304,'سجل التحفيز'!$AE$5:$AE$2004,0)))</f>
        <v/>
      </c>
      <c r="P304" s="36">
        <f>IF($K304="","",INDEX('سجل التحفيز'!$D$5:$D$2004,MATCH($K304,'سجل التحفيز'!$AE$5:$AE$2004,0)))</f>
        <v/>
      </c>
      <c r="Q304" s="9">
        <f>IF($K304="","",INDEX('سجل التحفيز'!$E$5:$E$2004,MATCH($K304,'سجل التحفيز'!$AE$5:$AE$2004,0)))</f>
        <v/>
      </c>
      <c r="R304" s="9">
        <f>IF($K304="","",INDEX('سجل التحفيز'!$F$5:$F$2004,MATCH($K304,'سجل التحفيز'!$AE$5:$AE$2004,0)))</f>
        <v/>
      </c>
      <c r="S304" s="35">
        <f>IF($K304="","",INDEX('سجل التحفيز'!$G$5:$G$2004,MATCH($K304,'سجل التحفيز'!$AE$5:$AE$2004,0)))</f>
        <v/>
      </c>
    </row>
    <row r="305">
      <c r="K305" s="36">
        <f>IF(268&gt;$B$10,"",268)</f>
        <v/>
      </c>
      <c r="L305" s="37">
        <f>IF($K305="","",INDEX('سجل التحفيز'!$A$5:$A$2004,MATCH($K305,'سجل التحفيز'!$AE$5:$AE$2004,0)))</f>
        <v/>
      </c>
      <c r="M305" s="9">
        <f>IF($K305="","",INDEX('سجل التحفيز'!$B$5:$B$2004,MATCH($K305,'سجل التحفيز'!$AE$5:$AE$2004,0)))</f>
        <v/>
      </c>
      <c r="N305" s="9">
        <f>IF($K305="","",INDEX('سجل التحفيز'!$M$5:$M$2004,MATCH($K305,'سجل التحفيز'!$AE$5:$AE$2004,0)))</f>
        <v/>
      </c>
      <c r="O305" s="9">
        <f>IF($K305="","",INDEX('سجل التحفيز'!$C$5:$C$2004,MATCH($K305,'سجل التحفيز'!$AE$5:$AE$2004,0)))</f>
        <v/>
      </c>
      <c r="P305" s="36">
        <f>IF($K305="","",INDEX('سجل التحفيز'!$D$5:$D$2004,MATCH($K305,'سجل التحفيز'!$AE$5:$AE$2004,0)))</f>
        <v/>
      </c>
      <c r="Q305" s="9">
        <f>IF($K305="","",INDEX('سجل التحفيز'!$E$5:$E$2004,MATCH($K305,'سجل التحفيز'!$AE$5:$AE$2004,0)))</f>
        <v/>
      </c>
      <c r="R305" s="9">
        <f>IF($K305="","",INDEX('سجل التحفيز'!$F$5:$F$2004,MATCH($K305,'سجل التحفيز'!$AE$5:$AE$2004,0)))</f>
        <v/>
      </c>
      <c r="S305" s="35">
        <f>IF($K305="","",INDEX('سجل التحفيز'!$G$5:$G$2004,MATCH($K305,'سجل التحفيز'!$AE$5:$AE$2004,0)))</f>
        <v/>
      </c>
    </row>
    <row r="306">
      <c r="K306" s="36">
        <f>IF(269&gt;$B$10,"",269)</f>
        <v/>
      </c>
      <c r="L306" s="37">
        <f>IF($K306="","",INDEX('سجل التحفيز'!$A$5:$A$2004,MATCH($K306,'سجل التحفيز'!$AE$5:$AE$2004,0)))</f>
        <v/>
      </c>
      <c r="M306" s="9">
        <f>IF($K306="","",INDEX('سجل التحفيز'!$B$5:$B$2004,MATCH($K306,'سجل التحفيز'!$AE$5:$AE$2004,0)))</f>
        <v/>
      </c>
      <c r="N306" s="9">
        <f>IF($K306="","",INDEX('سجل التحفيز'!$M$5:$M$2004,MATCH($K306,'سجل التحفيز'!$AE$5:$AE$2004,0)))</f>
        <v/>
      </c>
      <c r="O306" s="9">
        <f>IF($K306="","",INDEX('سجل التحفيز'!$C$5:$C$2004,MATCH($K306,'سجل التحفيز'!$AE$5:$AE$2004,0)))</f>
        <v/>
      </c>
      <c r="P306" s="36">
        <f>IF($K306="","",INDEX('سجل التحفيز'!$D$5:$D$2004,MATCH($K306,'سجل التحفيز'!$AE$5:$AE$2004,0)))</f>
        <v/>
      </c>
      <c r="Q306" s="9">
        <f>IF($K306="","",INDEX('سجل التحفيز'!$E$5:$E$2004,MATCH($K306,'سجل التحفيز'!$AE$5:$AE$2004,0)))</f>
        <v/>
      </c>
      <c r="R306" s="9">
        <f>IF($K306="","",INDEX('سجل التحفيز'!$F$5:$F$2004,MATCH($K306,'سجل التحفيز'!$AE$5:$AE$2004,0)))</f>
        <v/>
      </c>
      <c r="S306" s="35">
        <f>IF($K306="","",INDEX('سجل التحفيز'!$G$5:$G$2004,MATCH($K306,'سجل التحفيز'!$AE$5:$AE$2004,0)))</f>
        <v/>
      </c>
    </row>
    <row r="307">
      <c r="K307" s="36">
        <f>IF(270&gt;$B$10,"",270)</f>
        <v/>
      </c>
      <c r="L307" s="37">
        <f>IF($K307="","",INDEX('سجل التحفيز'!$A$5:$A$2004,MATCH($K307,'سجل التحفيز'!$AE$5:$AE$2004,0)))</f>
        <v/>
      </c>
      <c r="M307" s="9">
        <f>IF($K307="","",INDEX('سجل التحفيز'!$B$5:$B$2004,MATCH($K307,'سجل التحفيز'!$AE$5:$AE$2004,0)))</f>
        <v/>
      </c>
      <c r="N307" s="9">
        <f>IF($K307="","",INDEX('سجل التحفيز'!$M$5:$M$2004,MATCH($K307,'سجل التحفيز'!$AE$5:$AE$2004,0)))</f>
        <v/>
      </c>
      <c r="O307" s="9">
        <f>IF($K307="","",INDEX('سجل التحفيز'!$C$5:$C$2004,MATCH($K307,'سجل التحفيز'!$AE$5:$AE$2004,0)))</f>
        <v/>
      </c>
      <c r="P307" s="36">
        <f>IF($K307="","",INDEX('سجل التحفيز'!$D$5:$D$2004,MATCH($K307,'سجل التحفيز'!$AE$5:$AE$2004,0)))</f>
        <v/>
      </c>
      <c r="Q307" s="9">
        <f>IF($K307="","",INDEX('سجل التحفيز'!$E$5:$E$2004,MATCH($K307,'سجل التحفيز'!$AE$5:$AE$2004,0)))</f>
        <v/>
      </c>
      <c r="R307" s="9">
        <f>IF($K307="","",INDEX('سجل التحفيز'!$F$5:$F$2004,MATCH($K307,'سجل التحفيز'!$AE$5:$AE$2004,0)))</f>
        <v/>
      </c>
      <c r="S307" s="35">
        <f>IF($K307="","",INDEX('سجل التحفيز'!$G$5:$G$2004,MATCH($K307,'سجل التحفيز'!$AE$5:$AE$2004,0)))</f>
        <v/>
      </c>
    </row>
    <row r="308">
      <c r="K308" s="36">
        <f>IF(271&gt;$B$10,"",271)</f>
        <v/>
      </c>
      <c r="L308" s="37">
        <f>IF($K308="","",INDEX('سجل التحفيز'!$A$5:$A$2004,MATCH($K308,'سجل التحفيز'!$AE$5:$AE$2004,0)))</f>
        <v/>
      </c>
      <c r="M308" s="9">
        <f>IF($K308="","",INDEX('سجل التحفيز'!$B$5:$B$2004,MATCH($K308,'سجل التحفيز'!$AE$5:$AE$2004,0)))</f>
        <v/>
      </c>
      <c r="N308" s="9">
        <f>IF($K308="","",INDEX('سجل التحفيز'!$M$5:$M$2004,MATCH($K308,'سجل التحفيز'!$AE$5:$AE$2004,0)))</f>
        <v/>
      </c>
      <c r="O308" s="9">
        <f>IF($K308="","",INDEX('سجل التحفيز'!$C$5:$C$2004,MATCH($K308,'سجل التحفيز'!$AE$5:$AE$2004,0)))</f>
        <v/>
      </c>
      <c r="P308" s="36">
        <f>IF($K308="","",INDEX('سجل التحفيز'!$D$5:$D$2004,MATCH($K308,'سجل التحفيز'!$AE$5:$AE$2004,0)))</f>
        <v/>
      </c>
      <c r="Q308" s="9">
        <f>IF($K308="","",INDEX('سجل التحفيز'!$E$5:$E$2004,MATCH($K308,'سجل التحفيز'!$AE$5:$AE$2004,0)))</f>
        <v/>
      </c>
      <c r="R308" s="9">
        <f>IF($K308="","",INDEX('سجل التحفيز'!$F$5:$F$2004,MATCH($K308,'سجل التحفيز'!$AE$5:$AE$2004,0)))</f>
        <v/>
      </c>
      <c r="S308" s="35">
        <f>IF($K308="","",INDEX('سجل التحفيز'!$G$5:$G$2004,MATCH($K308,'سجل التحفيز'!$AE$5:$AE$2004,0)))</f>
        <v/>
      </c>
    </row>
    <row r="309">
      <c r="K309" s="36">
        <f>IF(272&gt;$B$10,"",272)</f>
        <v/>
      </c>
      <c r="L309" s="37">
        <f>IF($K309="","",INDEX('سجل التحفيز'!$A$5:$A$2004,MATCH($K309,'سجل التحفيز'!$AE$5:$AE$2004,0)))</f>
        <v/>
      </c>
      <c r="M309" s="9">
        <f>IF($K309="","",INDEX('سجل التحفيز'!$B$5:$B$2004,MATCH($K309,'سجل التحفيز'!$AE$5:$AE$2004,0)))</f>
        <v/>
      </c>
      <c r="N309" s="9">
        <f>IF($K309="","",INDEX('سجل التحفيز'!$M$5:$M$2004,MATCH($K309,'سجل التحفيز'!$AE$5:$AE$2004,0)))</f>
        <v/>
      </c>
      <c r="O309" s="9">
        <f>IF($K309="","",INDEX('سجل التحفيز'!$C$5:$C$2004,MATCH($K309,'سجل التحفيز'!$AE$5:$AE$2004,0)))</f>
        <v/>
      </c>
      <c r="P309" s="36">
        <f>IF($K309="","",INDEX('سجل التحفيز'!$D$5:$D$2004,MATCH($K309,'سجل التحفيز'!$AE$5:$AE$2004,0)))</f>
        <v/>
      </c>
      <c r="Q309" s="9">
        <f>IF($K309="","",INDEX('سجل التحفيز'!$E$5:$E$2004,MATCH($K309,'سجل التحفيز'!$AE$5:$AE$2004,0)))</f>
        <v/>
      </c>
      <c r="R309" s="9">
        <f>IF($K309="","",INDEX('سجل التحفيز'!$F$5:$F$2004,MATCH($K309,'سجل التحفيز'!$AE$5:$AE$2004,0)))</f>
        <v/>
      </c>
      <c r="S309" s="35">
        <f>IF($K309="","",INDEX('سجل التحفيز'!$G$5:$G$2004,MATCH($K309,'سجل التحفيز'!$AE$5:$AE$2004,0)))</f>
        <v/>
      </c>
    </row>
    <row r="310">
      <c r="K310" s="36">
        <f>IF(273&gt;$B$10,"",273)</f>
        <v/>
      </c>
      <c r="L310" s="37">
        <f>IF($K310="","",INDEX('سجل التحفيز'!$A$5:$A$2004,MATCH($K310,'سجل التحفيز'!$AE$5:$AE$2004,0)))</f>
        <v/>
      </c>
      <c r="M310" s="9">
        <f>IF($K310="","",INDEX('سجل التحفيز'!$B$5:$B$2004,MATCH($K310,'سجل التحفيز'!$AE$5:$AE$2004,0)))</f>
        <v/>
      </c>
      <c r="N310" s="9">
        <f>IF($K310="","",INDEX('سجل التحفيز'!$M$5:$M$2004,MATCH($K310,'سجل التحفيز'!$AE$5:$AE$2004,0)))</f>
        <v/>
      </c>
      <c r="O310" s="9">
        <f>IF($K310="","",INDEX('سجل التحفيز'!$C$5:$C$2004,MATCH($K310,'سجل التحفيز'!$AE$5:$AE$2004,0)))</f>
        <v/>
      </c>
      <c r="P310" s="36">
        <f>IF($K310="","",INDEX('سجل التحفيز'!$D$5:$D$2004,MATCH($K310,'سجل التحفيز'!$AE$5:$AE$2004,0)))</f>
        <v/>
      </c>
      <c r="Q310" s="9">
        <f>IF($K310="","",INDEX('سجل التحفيز'!$E$5:$E$2004,MATCH($K310,'سجل التحفيز'!$AE$5:$AE$2004,0)))</f>
        <v/>
      </c>
      <c r="R310" s="9">
        <f>IF($K310="","",INDEX('سجل التحفيز'!$F$5:$F$2004,MATCH($K310,'سجل التحفيز'!$AE$5:$AE$2004,0)))</f>
        <v/>
      </c>
      <c r="S310" s="35">
        <f>IF($K310="","",INDEX('سجل التحفيز'!$G$5:$G$2004,MATCH($K310,'سجل التحفيز'!$AE$5:$AE$2004,0)))</f>
        <v/>
      </c>
    </row>
    <row r="311">
      <c r="K311" s="36">
        <f>IF(274&gt;$B$10,"",274)</f>
        <v/>
      </c>
      <c r="L311" s="37">
        <f>IF($K311="","",INDEX('سجل التحفيز'!$A$5:$A$2004,MATCH($K311,'سجل التحفيز'!$AE$5:$AE$2004,0)))</f>
        <v/>
      </c>
      <c r="M311" s="9">
        <f>IF($K311="","",INDEX('سجل التحفيز'!$B$5:$B$2004,MATCH($K311,'سجل التحفيز'!$AE$5:$AE$2004,0)))</f>
        <v/>
      </c>
      <c r="N311" s="9">
        <f>IF($K311="","",INDEX('سجل التحفيز'!$M$5:$M$2004,MATCH($K311,'سجل التحفيز'!$AE$5:$AE$2004,0)))</f>
        <v/>
      </c>
      <c r="O311" s="9">
        <f>IF($K311="","",INDEX('سجل التحفيز'!$C$5:$C$2004,MATCH($K311,'سجل التحفيز'!$AE$5:$AE$2004,0)))</f>
        <v/>
      </c>
      <c r="P311" s="36">
        <f>IF($K311="","",INDEX('سجل التحفيز'!$D$5:$D$2004,MATCH($K311,'سجل التحفيز'!$AE$5:$AE$2004,0)))</f>
        <v/>
      </c>
      <c r="Q311" s="9">
        <f>IF($K311="","",INDEX('سجل التحفيز'!$E$5:$E$2004,MATCH($K311,'سجل التحفيز'!$AE$5:$AE$2004,0)))</f>
        <v/>
      </c>
      <c r="R311" s="9">
        <f>IF($K311="","",INDEX('سجل التحفيز'!$F$5:$F$2004,MATCH($K311,'سجل التحفيز'!$AE$5:$AE$2004,0)))</f>
        <v/>
      </c>
      <c r="S311" s="35">
        <f>IF($K311="","",INDEX('سجل التحفيز'!$G$5:$G$2004,MATCH($K311,'سجل التحفيز'!$AE$5:$AE$2004,0)))</f>
        <v/>
      </c>
    </row>
    <row r="312">
      <c r="K312" s="36">
        <f>IF(275&gt;$B$10,"",275)</f>
        <v/>
      </c>
      <c r="L312" s="37">
        <f>IF($K312="","",INDEX('سجل التحفيز'!$A$5:$A$2004,MATCH($K312,'سجل التحفيز'!$AE$5:$AE$2004,0)))</f>
        <v/>
      </c>
      <c r="M312" s="9">
        <f>IF($K312="","",INDEX('سجل التحفيز'!$B$5:$B$2004,MATCH($K312,'سجل التحفيز'!$AE$5:$AE$2004,0)))</f>
        <v/>
      </c>
      <c r="N312" s="9">
        <f>IF($K312="","",INDEX('سجل التحفيز'!$M$5:$M$2004,MATCH($K312,'سجل التحفيز'!$AE$5:$AE$2004,0)))</f>
        <v/>
      </c>
      <c r="O312" s="9">
        <f>IF($K312="","",INDEX('سجل التحفيز'!$C$5:$C$2004,MATCH($K312,'سجل التحفيز'!$AE$5:$AE$2004,0)))</f>
        <v/>
      </c>
      <c r="P312" s="36">
        <f>IF($K312="","",INDEX('سجل التحفيز'!$D$5:$D$2004,MATCH($K312,'سجل التحفيز'!$AE$5:$AE$2004,0)))</f>
        <v/>
      </c>
      <c r="Q312" s="9">
        <f>IF($K312="","",INDEX('سجل التحفيز'!$E$5:$E$2004,MATCH($K312,'سجل التحفيز'!$AE$5:$AE$2004,0)))</f>
        <v/>
      </c>
      <c r="R312" s="9">
        <f>IF($K312="","",INDEX('سجل التحفيز'!$F$5:$F$2004,MATCH($K312,'سجل التحفيز'!$AE$5:$AE$2004,0)))</f>
        <v/>
      </c>
      <c r="S312" s="35">
        <f>IF($K312="","",INDEX('سجل التحفيز'!$G$5:$G$2004,MATCH($K312,'سجل التحفيز'!$AE$5:$AE$2004,0)))</f>
        <v/>
      </c>
    </row>
    <row r="313">
      <c r="K313" s="36">
        <f>IF(276&gt;$B$10,"",276)</f>
        <v/>
      </c>
      <c r="L313" s="37">
        <f>IF($K313="","",INDEX('سجل التحفيز'!$A$5:$A$2004,MATCH($K313,'سجل التحفيز'!$AE$5:$AE$2004,0)))</f>
        <v/>
      </c>
      <c r="M313" s="9">
        <f>IF($K313="","",INDEX('سجل التحفيز'!$B$5:$B$2004,MATCH($K313,'سجل التحفيز'!$AE$5:$AE$2004,0)))</f>
        <v/>
      </c>
      <c r="N313" s="9">
        <f>IF($K313="","",INDEX('سجل التحفيز'!$M$5:$M$2004,MATCH($K313,'سجل التحفيز'!$AE$5:$AE$2004,0)))</f>
        <v/>
      </c>
      <c r="O313" s="9">
        <f>IF($K313="","",INDEX('سجل التحفيز'!$C$5:$C$2004,MATCH($K313,'سجل التحفيز'!$AE$5:$AE$2004,0)))</f>
        <v/>
      </c>
      <c r="P313" s="36">
        <f>IF($K313="","",INDEX('سجل التحفيز'!$D$5:$D$2004,MATCH($K313,'سجل التحفيز'!$AE$5:$AE$2004,0)))</f>
        <v/>
      </c>
      <c r="Q313" s="9">
        <f>IF($K313="","",INDEX('سجل التحفيز'!$E$5:$E$2004,MATCH($K313,'سجل التحفيز'!$AE$5:$AE$2004,0)))</f>
        <v/>
      </c>
      <c r="R313" s="9">
        <f>IF($K313="","",INDEX('سجل التحفيز'!$F$5:$F$2004,MATCH($K313,'سجل التحفيز'!$AE$5:$AE$2004,0)))</f>
        <v/>
      </c>
      <c r="S313" s="35">
        <f>IF($K313="","",INDEX('سجل التحفيز'!$G$5:$G$2004,MATCH($K313,'سجل التحفيز'!$AE$5:$AE$2004,0)))</f>
        <v/>
      </c>
    </row>
    <row r="314">
      <c r="K314" s="36">
        <f>IF(277&gt;$B$10,"",277)</f>
        <v/>
      </c>
      <c r="L314" s="37">
        <f>IF($K314="","",INDEX('سجل التحفيز'!$A$5:$A$2004,MATCH($K314,'سجل التحفيز'!$AE$5:$AE$2004,0)))</f>
        <v/>
      </c>
      <c r="M314" s="9">
        <f>IF($K314="","",INDEX('سجل التحفيز'!$B$5:$B$2004,MATCH($K314,'سجل التحفيز'!$AE$5:$AE$2004,0)))</f>
        <v/>
      </c>
      <c r="N314" s="9">
        <f>IF($K314="","",INDEX('سجل التحفيز'!$M$5:$M$2004,MATCH($K314,'سجل التحفيز'!$AE$5:$AE$2004,0)))</f>
        <v/>
      </c>
      <c r="O314" s="9">
        <f>IF($K314="","",INDEX('سجل التحفيز'!$C$5:$C$2004,MATCH($K314,'سجل التحفيز'!$AE$5:$AE$2004,0)))</f>
        <v/>
      </c>
      <c r="P314" s="36">
        <f>IF($K314="","",INDEX('سجل التحفيز'!$D$5:$D$2004,MATCH($K314,'سجل التحفيز'!$AE$5:$AE$2004,0)))</f>
        <v/>
      </c>
      <c r="Q314" s="9">
        <f>IF($K314="","",INDEX('سجل التحفيز'!$E$5:$E$2004,MATCH($K314,'سجل التحفيز'!$AE$5:$AE$2004,0)))</f>
        <v/>
      </c>
      <c r="R314" s="9">
        <f>IF($K314="","",INDEX('سجل التحفيز'!$F$5:$F$2004,MATCH($K314,'سجل التحفيز'!$AE$5:$AE$2004,0)))</f>
        <v/>
      </c>
      <c r="S314" s="35">
        <f>IF($K314="","",INDEX('سجل التحفيز'!$G$5:$G$2004,MATCH($K314,'سجل التحفيز'!$AE$5:$AE$2004,0)))</f>
        <v/>
      </c>
    </row>
    <row r="315">
      <c r="K315" s="36">
        <f>IF(278&gt;$B$10,"",278)</f>
        <v/>
      </c>
      <c r="L315" s="37">
        <f>IF($K315="","",INDEX('سجل التحفيز'!$A$5:$A$2004,MATCH($K315,'سجل التحفيز'!$AE$5:$AE$2004,0)))</f>
        <v/>
      </c>
      <c r="M315" s="9">
        <f>IF($K315="","",INDEX('سجل التحفيز'!$B$5:$B$2004,MATCH($K315,'سجل التحفيز'!$AE$5:$AE$2004,0)))</f>
        <v/>
      </c>
      <c r="N315" s="9">
        <f>IF($K315="","",INDEX('سجل التحفيز'!$M$5:$M$2004,MATCH($K315,'سجل التحفيز'!$AE$5:$AE$2004,0)))</f>
        <v/>
      </c>
      <c r="O315" s="9">
        <f>IF($K315="","",INDEX('سجل التحفيز'!$C$5:$C$2004,MATCH($K315,'سجل التحفيز'!$AE$5:$AE$2004,0)))</f>
        <v/>
      </c>
      <c r="P315" s="36">
        <f>IF($K315="","",INDEX('سجل التحفيز'!$D$5:$D$2004,MATCH($K315,'سجل التحفيز'!$AE$5:$AE$2004,0)))</f>
        <v/>
      </c>
      <c r="Q315" s="9">
        <f>IF($K315="","",INDEX('سجل التحفيز'!$E$5:$E$2004,MATCH($K315,'سجل التحفيز'!$AE$5:$AE$2004,0)))</f>
        <v/>
      </c>
      <c r="R315" s="9">
        <f>IF($K315="","",INDEX('سجل التحفيز'!$F$5:$F$2004,MATCH($K315,'سجل التحفيز'!$AE$5:$AE$2004,0)))</f>
        <v/>
      </c>
      <c r="S315" s="35">
        <f>IF($K315="","",INDEX('سجل التحفيز'!$G$5:$G$2004,MATCH($K315,'سجل التحفيز'!$AE$5:$AE$2004,0)))</f>
        <v/>
      </c>
    </row>
    <row r="316">
      <c r="K316" s="36">
        <f>IF(279&gt;$B$10,"",279)</f>
        <v/>
      </c>
      <c r="L316" s="37">
        <f>IF($K316="","",INDEX('سجل التحفيز'!$A$5:$A$2004,MATCH($K316,'سجل التحفيز'!$AE$5:$AE$2004,0)))</f>
        <v/>
      </c>
      <c r="M316" s="9">
        <f>IF($K316="","",INDEX('سجل التحفيز'!$B$5:$B$2004,MATCH($K316,'سجل التحفيز'!$AE$5:$AE$2004,0)))</f>
        <v/>
      </c>
      <c r="N316" s="9">
        <f>IF($K316="","",INDEX('سجل التحفيز'!$M$5:$M$2004,MATCH($K316,'سجل التحفيز'!$AE$5:$AE$2004,0)))</f>
        <v/>
      </c>
      <c r="O316" s="9">
        <f>IF($K316="","",INDEX('سجل التحفيز'!$C$5:$C$2004,MATCH($K316,'سجل التحفيز'!$AE$5:$AE$2004,0)))</f>
        <v/>
      </c>
      <c r="P316" s="36">
        <f>IF($K316="","",INDEX('سجل التحفيز'!$D$5:$D$2004,MATCH($K316,'سجل التحفيز'!$AE$5:$AE$2004,0)))</f>
        <v/>
      </c>
      <c r="Q316" s="9">
        <f>IF($K316="","",INDEX('سجل التحفيز'!$E$5:$E$2004,MATCH($K316,'سجل التحفيز'!$AE$5:$AE$2004,0)))</f>
        <v/>
      </c>
      <c r="R316" s="9">
        <f>IF($K316="","",INDEX('سجل التحفيز'!$F$5:$F$2004,MATCH($K316,'سجل التحفيز'!$AE$5:$AE$2004,0)))</f>
        <v/>
      </c>
      <c r="S316" s="35">
        <f>IF($K316="","",INDEX('سجل التحفيز'!$G$5:$G$2004,MATCH($K316,'سجل التحفيز'!$AE$5:$AE$2004,0)))</f>
        <v/>
      </c>
    </row>
    <row r="317">
      <c r="K317" s="36">
        <f>IF(280&gt;$B$10,"",280)</f>
        <v/>
      </c>
      <c r="L317" s="37">
        <f>IF($K317="","",INDEX('سجل التحفيز'!$A$5:$A$2004,MATCH($K317,'سجل التحفيز'!$AE$5:$AE$2004,0)))</f>
        <v/>
      </c>
      <c r="M317" s="9">
        <f>IF($K317="","",INDEX('سجل التحفيز'!$B$5:$B$2004,MATCH($K317,'سجل التحفيز'!$AE$5:$AE$2004,0)))</f>
        <v/>
      </c>
      <c r="N317" s="9">
        <f>IF($K317="","",INDEX('سجل التحفيز'!$M$5:$M$2004,MATCH($K317,'سجل التحفيز'!$AE$5:$AE$2004,0)))</f>
        <v/>
      </c>
      <c r="O317" s="9">
        <f>IF($K317="","",INDEX('سجل التحفيز'!$C$5:$C$2004,MATCH($K317,'سجل التحفيز'!$AE$5:$AE$2004,0)))</f>
        <v/>
      </c>
      <c r="P317" s="36">
        <f>IF($K317="","",INDEX('سجل التحفيز'!$D$5:$D$2004,MATCH($K317,'سجل التحفيز'!$AE$5:$AE$2004,0)))</f>
        <v/>
      </c>
      <c r="Q317" s="9">
        <f>IF($K317="","",INDEX('سجل التحفيز'!$E$5:$E$2004,MATCH($K317,'سجل التحفيز'!$AE$5:$AE$2004,0)))</f>
        <v/>
      </c>
      <c r="R317" s="9">
        <f>IF($K317="","",INDEX('سجل التحفيز'!$F$5:$F$2004,MATCH($K317,'سجل التحفيز'!$AE$5:$AE$2004,0)))</f>
        <v/>
      </c>
      <c r="S317" s="35">
        <f>IF($K317="","",INDEX('سجل التحفيز'!$G$5:$G$2004,MATCH($K317,'سجل التحفيز'!$AE$5:$AE$2004,0)))</f>
        <v/>
      </c>
    </row>
    <row r="318">
      <c r="K318" s="36">
        <f>IF(281&gt;$B$10,"",281)</f>
        <v/>
      </c>
      <c r="L318" s="37">
        <f>IF($K318="","",INDEX('سجل التحفيز'!$A$5:$A$2004,MATCH($K318,'سجل التحفيز'!$AE$5:$AE$2004,0)))</f>
        <v/>
      </c>
      <c r="M318" s="9">
        <f>IF($K318="","",INDEX('سجل التحفيز'!$B$5:$B$2004,MATCH($K318,'سجل التحفيز'!$AE$5:$AE$2004,0)))</f>
        <v/>
      </c>
      <c r="N318" s="9">
        <f>IF($K318="","",INDEX('سجل التحفيز'!$M$5:$M$2004,MATCH($K318,'سجل التحفيز'!$AE$5:$AE$2004,0)))</f>
        <v/>
      </c>
      <c r="O318" s="9">
        <f>IF($K318="","",INDEX('سجل التحفيز'!$C$5:$C$2004,MATCH($K318,'سجل التحفيز'!$AE$5:$AE$2004,0)))</f>
        <v/>
      </c>
      <c r="P318" s="36">
        <f>IF($K318="","",INDEX('سجل التحفيز'!$D$5:$D$2004,MATCH($K318,'سجل التحفيز'!$AE$5:$AE$2004,0)))</f>
        <v/>
      </c>
      <c r="Q318" s="9">
        <f>IF($K318="","",INDEX('سجل التحفيز'!$E$5:$E$2004,MATCH($K318,'سجل التحفيز'!$AE$5:$AE$2004,0)))</f>
        <v/>
      </c>
      <c r="R318" s="9">
        <f>IF($K318="","",INDEX('سجل التحفيز'!$F$5:$F$2004,MATCH($K318,'سجل التحفيز'!$AE$5:$AE$2004,0)))</f>
        <v/>
      </c>
      <c r="S318" s="35">
        <f>IF($K318="","",INDEX('سجل التحفيز'!$G$5:$G$2004,MATCH($K318,'سجل التحفيز'!$AE$5:$AE$2004,0)))</f>
        <v/>
      </c>
    </row>
    <row r="319">
      <c r="K319" s="36">
        <f>IF(282&gt;$B$10,"",282)</f>
        <v/>
      </c>
      <c r="L319" s="37">
        <f>IF($K319="","",INDEX('سجل التحفيز'!$A$5:$A$2004,MATCH($K319,'سجل التحفيز'!$AE$5:$AE$2004,0)))</f>
        <v/>
      </c>
      <c r="M319" s="9">
        <f>IF($K319="","",INDEX('سجل التحفيز'!$B$5:$B$2004,MATCH($K319,'سجل التحفيز'!$AE$5:$AE$2004,0)))</f>
        <v/>
      </c>
      <c r="N319" s="9">
        <f>IF($K319="","",INDEX('سجل التحفيز'!$M$5:$M$2004,MATCH($K319,'سجل التحفيز'!$AE$5:$AE$2004,0)))</f>
        <v/>
      </c>
      <c r="O319" s="9">
        <f>IF($K319="","",INDEX('سجل التحفيز'!$C$5:$C$2004,MATCH($K319,'سجل التحفيز'!$AE$5:$AE$2004,0)))</f>
        <v/>
      </c>
      <c r="P319" s="36">
        <f>IF($K319="","",INDEX('سجل التحفيز'!$D$5:$D$2004,MATCH($K319,'سجل التحفيز'!$AE$5:$AE$2004,0)))</f>
        <v/>
      </c>
      <c r="Q319" s="9">
        <f>IF($K319="","",INDEX('سجل التحفيز'!$E$5:$E$2004,MATCH($K319,'سجل التحفيز'!$AE$5:$AE$2004,0)))</f>
        <v/>
      </c>
      <c r="R319" s="9">
        <f>IF($K319="","",INDEX('سجل التحفيز'!$F$5:$F$2004,MATCH($K319,'سجل التحفيز'!$AE$5:$AE$2004,0)))</f>
        <v/>
      </c>
      <c r="S319" s="35">
        <f>IF($K319="","",INDEX('سجل التحفيز'!$G$5:$G$2004,MATCH($K319,'سجل التحفيز'!$AE$5:$AE$2004,0)))</f>
        <v/>
      </c>
    </row>
    <row r="320">
      <c r="K320" s="36">
        <f>IF(283&gt;$B$10,"",283)</f>
        <v/>
      </c>
      <c r="L320" s="37">
        <f>IF($K320="","",INDEX('سجل التحفيز'!$A$5:$A$2004,MATCH($K320,'سجل التحفيز'!$AE$5:$AE$2004,0)))</f>
        <v/>
      </c>
      <c r="M320" s="9">
        <f>IF($K320="","",INDEX('سجل التحفيز'!$B$5:$B$2004,MATCH($K320,'سجل التحفيز'!$AE$5:$AE$2004,0)))</f>
        <v/>
      </c>
      <c r="N320" s="9">
        <f>IF($K320="","",INDEX('سجل التحفيز'!$M$5:$M$2004,MATCH($K320,'سجل التحفيز'!$AE$5:$AE$2004,0)))</f>
        <v/>
      </c>
      <c r="O320" s="9">
        <f>IF($K320="","",INDEX('سجل التحفيز'!$C$5:$C$2004,MATCH($K320,'سجل التحفيز'!$AE$5:$AE$2004,0)))</f>
        <v/>
      </c>
      <c r="P320" s="36">
        <f>IF($K320="","",INDEX('سجل التحفيز'!$D$5:$D$2004,MATCH($K320,'سجل التحفيز'!$AE$5:$AE$2004,0)))</f>
        <v/>
      </c>
      <c r="Q320" s="9">
        <f>IF($K320="","",INDEX('سجل التحفيز'!$E$5:$E$2004,MATCH($K320,'سجل التحفيز'!$AE$5:$AE$2004,0)))</f>
        <v/>
      </c>
      <c r="R320" s="9">
        <f>IF($K320="","",INDEX('سجل التحفيز'!$F$5:$F$2004,MATCH($K320,'سجل التحفيز'!$AE$5:$AE$2004,0)))</f>
        <v/>
      </c>
      <c r="S320" s="35">
        <f>IF($K320="","",INDEX('سجل التحفيز'!$G$5:$G$2004,MATCH($K320,'سجل التحفيز'!$AE$5:$AE$2004,0)))</f>
        <v/>
      </c>
    </row>
    <row r="321">
      <c r="K321" s="36">
        <f>IF(284&gt;$B$10,"",284)</f>
        <v/>
      </c>
      <c r="L321" s="37">
        <f>IF($K321="","",INDEX('سجل التحفيز'!$A$5:$A$2004,MATCH($K321,'سجل التحفيز'!$AE$5:$AE$2004,0)))</f>
        <v/>
      </c>
      <c r="M321" s="9">
        <f>IF($K321="","",INDEX('سجل التحفيز'!$B$5:$B$2004,MATCH($K321,'سجل التحفيز'!$AE$5:$AE$2004,0)))</f>
        <v/>
      </c>
      <c r="N321" s="9">
        <f>IF($K321="","",INDEX('سجل التحفيز'!$M$5:$M$2004,MATCH($K321,'سجل التحفيز'!$AE$5:$AE$2004,0)))</f>
        <v/>
      </c>
      <c r="O321" s="9">
        <f>IF($K321="","",INDEX('سجل التحفيز'!$C$5:$C$2004,MATCH($K321,'سجل التحفيز'!$AE$5:$AE$2004,0)))</f>
        <v/>
      </c>
      <c r="P321" s="36">
        <f>IF($K321="","",INDEX('سجل التحفيز'!$D$5:$D$2004,MATCH($K321,'سجل التحفيز'!$AE$5:$AE$2004,0)))</f>
        <v/>
      </c>
      <c r="Q321" s="9">
        <f>IF($K321="","",INDEX('سجل التحفيز'!$E$5:$E$2004,MATCH($K321,'سجل التحفيز'!$AE$5:$AE$2004,0)))</f>
        <v/>
      </c>
      <c r="R321" s="9">
        <f>IF($K321="","",INDEX('سجل التحفيز'!$F$5:$F$2004,MATCH($K321,'سجل التحفيز'!$AE$5:$AE$2004,0)))</f>
        <v/>
      </c>
      <c r="S321" s="35">
        <f>IF($K321="","",INDEX('سجل التحفيز'!$G$5:$G$2004,MATCH($K321,'سجل التحفيز'!$AE$5:$AE$2004,0)))</f>
        <v/>
      </c>
    </row>
    <row r="322">
      <c r="K322" s="36">
        <f>IF(285&gt;$B$10,"",285)</f>
        <v/>
      </c>
      <c r="L322" s="37">
        <f>IF($K322="","",INDEX('سجل التحفيز'!$A$5:$A$2004,MATCH($K322,'سجل التحفيز'!$AE$5:$AE$2004,0)))</f>
        <v/>
      </c>
      <c r="M322" s="9">
        <f>IF($K322="","",INDEX('سجل التحفيز'!$B$5:$B$2004,MATCH($K322,'سجل التحفيز'!$AE$5:$AE$2004,0)))</f>
        <v/>
      </c>
      <c r="N322" s="9">
        <f>IF($K322="","",INDEX('سجل التحفيز'!$M$5:$M$2004,MATCH($K322,'سجل التحفيز'!$AE$5:$AE$2004,0)))</f>
        <v/>
      </c>
      <c r="O322" s="9">
        <f>IF($K322="","",INDEX('سجل التحفيز'!$C$5:$C$2004,MATCH($K322,'سجل التحفيز'!$AE$5:$AE$2004,0)))</f>
        <v/>
      </c>
      <c r="P322" s="36">
        <f>IF($K322="","",INDEX('سجل التحفيز'!$D$5:$D$2004,MATCH($K322,'سجل التحفيز'!$AE$5:$AE$2004,0)))</f>
        <v/>
      </c>
      <c r="Q322" s="9">
        <f>IF($K322="","",INDEX('سجل التحفيز'!$E$5:$E$2004,MATCH($K322,'سجل التحفيز'!$AE$5:$AE$2004,0)))</f>
        <v/>
      </c>
      <c r="R322" s="9">
        <f>IF($K322="","",INDEX('سجل التحفيز'!$F$5:$F$2004,MATCH($K322,'سجل التحفيز'!$AE$5:$AE$2004,0)))</f>
        <v/>
      </c>
      <c r="S322" s="35">
        <f>IF($K322="","",INDEX('سجل التحفيز'!$G$5:$G$2004,MATCH($K322,'سجل التحفيز'!$AE$5:$AE$2004,0)))</f>
        <v/>
      </c>
    </row>
    <row r="323">
      <c r="K323" s="36">
        <f>IF(286&gt;$B$10,"",286)</f>
        <v/>
      </c>
      <c r="L323" s="37">
        <f>IF($K323="","",INDEX('سجل التحفيز'!$A$5:$A$2004,MATCH($K323,'سجل التحفيز'!$AE$5:$AE$2004,0)))</f>
        <v/>
      </c>
      <c r="M323" s="9">
        <f>IF($K323="","",INDEX('سجل التحفيز'!$B$5:$B$2004,MATCH($K323,'سجل التحفيز'!$AE$5:$AE$2004,0)))</f>
        <v/>
      </c>
      <c r="N323" s="9">
        <f>IF($K323="","",INDEX('سجل التحفيز'!$M$5:$M$2004,MATCH($K323,'سجل التحفيز'!$AE$5:$AE$2004,0)))</f>
        <v/>
      </c>
      <c r="O323" s="9">
        <f>IF($K323="","",INDEX('سجل التحفيز'!$C$5:$C$2004,MATCH($K323,'سجل التحفيز'!$AE$5:$AE$2004,0)))</f>
        <v/>
      </c>
      <c r="P323" s="36">
        <f>IF($K323="","",INDEX('سجل التحفيز'!$D$5:$D$2004,MATCH($K323,'سجل التحفيز'!$AE$5:$AE$2004,0)))</f>
        <v/>
      </c>
      <c r="Q323" s="9">
        <f>IF($K323="","",INDEX('سجل التحفيز'!$E$5:$E$2004,MATCH($K323,'سجل التحفيز'!$AE$5:$AE$2004,0)))</f>
        <v/>
      </c>
      <c r="R323" s="9">
        <f>IF($K323="","",INDEX('سجل التحفيز'!$F$5:$F$2004,MATCH($K323,'سجل التحفيز'!$AE$5:$AE$2004,0)))</f>
        <v/>
      </c>
      <c r="S323" s="35">
        <f>IF($K323="","",INDEX('سجل التحفيز'!$G$5:$G$2004,MATCH($K323,'سجل التحفيز'!$AE$5:$AE$2004,0)))</f>
        <v/>
      </c>
    </row>
    <row r="324">
      <c r="K324" s="36">
        <f>IF(287&gt;$B$10,"",287)</f>
        <v/>
      </c>
      <c r="L324" s="37">
        <f>IF($K324="","",INDEX('سجل التحفيز'!$A$5:$A$2004,MATCH($K324,'سجل التحفيز'!$AE$5:$AE$2004,0)))</f>
        <v/>
      </c>
      <c r="M324" s="9">
        <f>IF($K324="","",INDEX('سجل التحفيز'!$B$5:$B$2004,MATCH($K324,'سجل التحفيز'!$AE$5:$AE$2004,0)))</f>
        <v/>
      </c>
      <c r="N324" s="9">
        <f>IF($K324="","",INDEX('سجل التحفيز'!$M$5:$M$2004,MATCH($K324,'سجل التحفيز'!$AE$5:$AE$2004,0)))</f>
        <v/>
      </c>
      <c r="O324" s="9">
        <f>IF($K324="","",INDEX('سجل التحفيز'!$C$5:$C$2004,MATCH($K324,'سجل التحفيز'!$AE$5:$AE$2004,0)))</f>
        <v/>
      </c>
      <c r="P324" s="36">
        <f>IF($K324="","",INDEX('سجل التحفيز'!$D$5:$D$2004,MATCH($K324,'سجل التحفيز'!$AE$5:$AE$2004,0)))</f>
        <v/>
      </c>
      <c r="Q324" s="9">
        <f>IF($K324="","",INDEX('سجل التحفيز'!$E$5:$E$2004,MATCH($K324,'سجل التحفيز'!$AE$5:$AE$2004,0)))</f>
        <v/>
      </c>
      <c r="R324" s="9">
        <f>IF($K324="","",INDEX('سجل التحفيز'!$F$5:$F$2004,MATCH($K324,'سجل التحفيز'!$AE$5:$AE$2004,0)))</f>
        <v/>
      </c>
      <c r="S324" s="35">
        <f>IF($K324="","",INDEX('سجل التحفيز'!$G$5:$G$2004,MATCH($K324,'سجل التحفيز'!$AE$5:$AE$2004,0)))</f>
        <v/>
      </c>
    </row>
    <row r="325">
      <c r="K325" s="36">
        <f>IF(288&gt;$B$10,"",288)</f>
        <v/>
      </c>
      <c r="L325" s="37">
        <f>IF($K325="","",INDEX('سجل التحفيز'!$A$5:$A$2004,MATCH($K325,'سجل التحفيز'!$AE$5:$AE$2004,0)))</f>
        <v/>
      </c>
      <c r="M325" s="9">
        <f>IF($K325="","",INDEX('سجل التحفيز'!$B$5:$B$2004,MATCH($K325,'سجل التحفيز'!$AE$5:$AE$2004,0)))</f>
        <v/>
      </c>
      <c r="N325" s="9">
        <f>IF($K325="","",INDEX('سجل التحفيز'!$M$5:$M$2004,MATCH($K325,'سجل التحفيز'!$AE$5:$AE$2004,0)))</f>
        <v/>
      </c>
      <c r="O325" s="9">
        <f>IF($K325="","",INDEX('سجل التحفيز'!$C$5:$C$2004,MATCH($K325,'سجل التحفيز'!$AE$5:$AE$2004,0)))</f>
        <v/>
      </c>
      <c r="P325" s="36">
        <f>IF($K325="","",INDEX('سجل التحفيز'!$D$5:$D$2004,MATCH($K325,'سجل التحفيز'!$AE$5:$AE$2004,0)))</f>
        <v/>
      </c>
      <c r="Q325" s="9">
        <f>IF($K325="","",INDEX('سجل التحفيز'!$E$5:$E$2004,MATCH($K325,'سجل التحفيز'!$AE$5:$AE$2004,0)))</f>
        <v/>
      </c>
      <c r="R325" s="9">
        <f>IF($K325="","",INDEX('سجل التحفيز'!$F$5:$F$2004,MATCH($K325,'سجل التحفيز'!$AE$5:$AE$2004,0)))</f>
        <v/>
      </c>
      <c r="S325" s="35">
        <f>IF($K325="","",INDEX('سجل التحفيز'!$G$5:$G$2004,MATCH($K325,'سجل التحفيز'!$AE$5:$AE$2004,0)))</f>
        <v/>
      </c>
    </row>
    <row r="326">
      <c r="K326" s="36">
        <f>IF(289&gt;$B$10,"",289)</f>
        <v/>
      </c>
      <c r="L326" s="37">
        <f>IF($K326="","",INDEX('سجل التحفيز'!$A$5:$A$2004,MATCH($K326,'سجل التحفيز'!$AE$5:$AE$2004,0)))</f>
        <v/>
      </c>
      <c r="M326" s="9">
        <f>IF($K326="","",INDEX('سجل التحفيز'!$B$5:$B$2004,MATCH($K326,'سجل التحفيز'!$AE$5:$AE$2004,0)))</f>
        <v/>
      </c>
      <c r="N326" s="9">
        <f>IF($K326="","",INDEX('سجل التحفيز'!$M$5:$M$2004,MATCH($K326,'سجل التحفيز'!$AE$5:$AE$2004,0)))</f>
        <v/>
      </c>
      <c r="O326" s="9">
        <f>IF($K326="","",INDEX('سجل التحفيز'!$C$5:$C$2004,MATCH($K326,'سجل التحفيز'!$AE$5:$AE$2004,0)))</f>
        <v/>
      </c>
      <c r="P326" s="36">
        <f>IF($K326="","",INDEX('سجل التحفيز'!$D$5:$D$2004,MATCH($K326,'سجل التحفيز'!$AE$5:$AE$2004,0)))</f>
        <v/>
      </c>
      <c r="Q326" s="9">
        <f>IF($K326="","",INDEX('سجل التحفيز'!$E$5:$E$2004,MATCH($K326,'سجل التحفيز'!$AE$5:$AE$2004,0)))</f>
        <v/>
      </c>
      <c r="R326" s="9">
        <f>IF($K326="","",INDEX('سجل التحفيز'!$F$5:$F$2004,MATCH($K326,'سجل التحفيز'!$AE$5:$AE$2004,0)))</f>
        <v/>
      </c>
      <c r="S326" s="35">
        <f>IF($K326="","",INDEX('سجل التحفيز'!$G$5:$G$2004,MATCH($K326,'سجل التحفيز'!$AE$5:$AE$2004,0)))</f>
        <v/>
      </c>
    </row>
    <row r="327">
      <c r="K327" s="36">
        <f>IF(290&gt;$B$10,"",290)</f>
        <v/>
      </c>
      <c r="L327" s="37">
        <f>IF($K327="","",INDEX('سجل التحفيز'!$A$5:$A$2004,MATCH($K327,'سجل التحفيز'!$AE$5:$AE$2004,0)))</f>
        <v/>
      </c>
      <c r="M327" s="9">
        <f>IF($K327="","",INDEX('سجل التحفيز'!$B$5:$B$2004,MATCH($K327,'سجل التحفيز'!$AE$5:$AE$2004,0)))</f>
        <v/>
      </c>
      <c r="N327" s="9">
        <f>IF($K327="","",INDEX('سجل التحفيز'!$M$5:$M$2004,MATCH($K327,'سجل التحفيز'!$AE$5:$AE$2004,0)))</f>
        <v/>
      </c>
      <c r="O327" s="9">
        <f>IF($K327="","",INDEX('سجل التحفيز'!$C$5:$C$2004,MATCH($K327,'سجل التحفيز'!$AE$5:$AE$2004,0)))</f>
        <v/>
      </c>
      <c r="P327" s="36">
        <f>IF($K327="","",INDEX('سجل التحفيز'!$D$5:$D$2004,MATCH($K327,'سجل التحفيز'!$AE$5:$AE$2004,0)))</f>
        <v/>
      </c>
      <c r="Q327" s="9">
        <f>IF($K327="","",INDEX('سجل التحفيز'!$E$5:$E$2004,MATCH($K327,'سجل التحفيز'!$AE$5:$AE$2004,0)))</f>
        <v/>
      </c>
      <c r="R327" s="9">
        <f>IF($K327="","",INDEX('سجل التحفيز'!$F$5:$F$2004,MATCH($K327,'سجل التحفيز'!$AE$5:$AE$2004,0)))</f>
        <v/>
      </c>
      <c r="S327" s="35">
        <f>IF($K327="","",INDEX('سجل التحفيز'!$G$5:$G$2004,MATCH($K327,'سجل التحفيز'!$AE$5:$AE$2004,0)))</f>
        <v/>
      </c>
    </row>
    <row r="328">
      <c r="K328" s="36">
        <f>IF(291&gt;$B$10,"",291)</f>
        <v/>
      </c>
      <c r="L328" s="37">
        <f>IF($K328="","",INDEX('سجل التحفيز'!$A$5:$A$2004,MATCH($K328,'سجل التحفيز'!$AE$5:$AE$2004,0)))</f>
        <v/>
      </c>
      <c r="M328" s="9">
        <f>IF($K328="","",INDEX('سجل التحفيز'!$B$5:$B$2004,MATCH($K328,'سجل التحفيز'!$AE$5:$AE$2004,0)))</f>
        <v/>
      </c>
      <c r="N328" s="9">
        <f>IF($K328="","",INDEX('سجل التحفيز'!$M$5:$M$2004,MATCH($K328,'سجل التحفيز'!$AE$5:$AE$2004,0)))</f>
        <v/>
      </c>
      <c r="O328" s="9">
        <f>IF($K328="","",INDEX('سجل التحفيز'!$C$5:$C$2004,MATCH($K328,'سجل التحفيز'!$AE$5:$AE$2004,0)))</f>
        <v/>
      </c>
      <c r="P328" s="36">
        <f>IF($K328="","",INDEX('سجل التحفيز'!$D$5:$D$2004,MATCH($K328,'سجل التحفيز'!$AE$5:$AE$2004,0)))</f>
        <v/>
      </c>
      <c r="Q328" s="9">
        <f>IF($K328="","",INDEX('سجل التحفيز'!$E$5:$E$2004,MATCH($K328,'سجل التحفيز'!$AE$5:$AE$2004,0)))</f>
        <v/>
      </c>
      <c r="R328" s="9">
        <f>IF($K328="","",INDEX('سجل التحفيز'!$F$5:$F$2004,MATCH($K328,'سجل التحفيز'!$AE$5:$AE$2004,0)))</f>
        <v/>
      </c>
      <c r="S328" s="35">
        <f>IF($K328="","",INDEX('سجل التحفيز'!$G$5:$G$2004,MATCH($K328,'سجل التحفيز'!$AE$5:$AE$2004,0)))</f>
        <v/>
      </c>
    </row>
    <row r="329">
      <c r="K329" s="36">
        <f>IF(292&gt;$B$10,"",292)</f>
        <v/>
      </c>
      <c r="L329" s="37">
        <f>IF($K329="","",INDEX('سجل التحفيز'!$A$5:$A$2004,MATCH($K329,'سجل التحفيز'!$AE$5:$AE$2004,0)))</f>
        <v/>
      </c>
      <c r="M329" s="9">
        <f>IF($K329="","",INDEX('سجل التحفيز'!$B$5:$B$2004,MATCH($K329,'سجل التحفيز'!$AE$5:$AE$2004,0)))</f>
        <v/>
      </c>
      <c r="N329" s="9">
        <f>IF($K329="","",INDEX('سجل التحفيز'!$M$5:$M$2004,MATCH($K329,'سجل التحفيز'!$AE$5:$AE$2004,0)))</f>
        <v/>
      </c>
      <c r="O329" s="9">
        <f>IF($K329="","",INDEX('سجل التحفيز'!$C$5:$C$2004,MATCH($K329,'سجل التحفيز'!$AE$5:$AE$2004,0)))</f>
        <v/>
      </c>
      <c r="P329" s="36">
        <f>IF($K329="","",INDEX('سجل التحفيز'!$D$5:$D$2004,MATCH($K329,'سجل التحفيز'!$AE$5:$AE$2004,0)))</f>
        <v/>
      </c>
      <c r="Q329" s="9">
        <f>IF($K329="","",INDEX('سجل التحفيز'!$E$5:$E$2004,MATCH($K329,'سجل التحفيز'!$AE$5:$AE$2004,0)))</f>
        <v/>
      </c>
      <c r="R329" s="9">
        <f>IF($K329="","",INDEX('سجل التحفيز'!$F$5:$F$2004,MATCH($K329,'سجل التحفيز'!$AE$5:$AE$2004,0)))</f>
        <v/>
      </c>
      <c r="S329" s="35">
        <f>IF($K329="","",INDEX('سجل التحفيز'!$G$5:$G$2004,MATCH($K329,'سجل التحفيز'!$AE$5:$AE$2004,0)))</f>
        <v/>
      </c>
    </row>
    <row r="330">
      <c r="K330" s="36">
        <f>IF(293&gt;$B$10,"",293)</f>
        <v/>
      </c>
      <c r="L330" s="37">
        <f>IF($K330="","",INDEX('سجل التحفيز'!$A$5:$A$2004,MATCH($K330,'سجل التحفيز'!$AE$5:$AE$2004,0)))</f>
        <v/>
      </c>
      <c r="M330" s="9">
        <f>IF($K330="","",INDEX('سجل التحفيز'!$B$5:$B$2004,MATCH($K330,'سجل التحفيز'!$AE$5:$AE$2004,0)))</f>
        <v/>
      </c>
      <c r="N330" s="9">
        <f>IF($K330="","",INDEX('سجل التحفيز'!$M$5:$M$2004,MATCH($K330,'سجل التحفيز'!$AE$5:$AE$2004,0)))</f>
        <v/>
      </c>
      <c r="O330" s="9">
        <f>IF($K330="","",INDEX('سجل التحفيز'!$C$5:$C$2004,MATCH($K330,'سجل التحفيز'!$AE$5:$AE$2004,0)))</f>
        <v/>
      </c>
      <c r="P330" s="36">
        <f>IF($K330="","",INDEX('سجل التحفيز'!$D$5:$D$2004,MATCH($K330,'سجل التحفيز'!$AE$5:$AE$2004,0)))</f>
        <v/>
      </c>
      <c r="Q330" s="9">
        <f>IF($K330="","",INDEX('سجل التحفيز'!$E$5:$E$2004,MATCH($K330,'سجل التحفيز'!$AE$5:$AE$2004,0)))</f>
        <v/>
      </c>
      <c r="R330" s="9">
        <f>IF($K330="","",INDEX('سجل التحفيز'!$F$5:$F$2004,MATCH($K330,'سجل التحفيز'!$AE$5:$AE$2004,0)))</f>
        <v/>
      </c>
      <c r="S330" s="35">
        <f>IF($K330="","",INDEX('سجل التحفيز'!$G$5:$G$2004,MATCH($K330,'سجل التحفيز'!$AE$5:$AE$2004,0)))</f>
        <v/>
      </c>
    </row>
    <row r="331">
      <c r="K331" s="36">
        <f>IF(294&gt;$B$10,"",294)</f>
        <v/>
      </c>
      <c r="L331" s="37">
        <f>IF($K331="","",INDEX('سجل التحفيز'!$A$5:$A$2004,MATCH($K331,'سجل التحفيز'!$AE$5:$AE$2004,0)))</f>
        <v/>
      </c>
      <c r="M331" s="9">
        <f>IF($K331="","",INDEX('سجل التحفيز'!$B$5:$B$2004,MATCH($K331,'سجل التحفيز'!$AE$5:$AE$2004,0)))</f>
        <v/>
      </c>
      <c r="N331" s="9">
        <f>IF($K331="","",INDEX('سجل التحفيز'!$M$5:$M$2004,MATCH($K331,'سجل التحفيز'!$AE$5:$AE$2004,0)))</f>
        <v/>
      </c>
      <c r="O331" s="9">
        <f>IF($K331="","",INDEX('سجل التحفيز'!$C$5:$C$2004,MATCH($K331,'سجل التحفيز'!$AE$5:$AE$2004,0)))</f>
        <v/>
      </c>
      <c r="P331" s="36">
        <f>IF($K331="","",INDEX('سجل التحفيز'!$D$5:$D$2004,MATCH($K331,'سجل التحفيز'!$AE$5:$AE$2004,0)))</f>
        <v/>
      </c>
      <c r="Q331" s="9">
        <f>IF($K331="","",INDEX('سجل التحفيز'!$E$5:$E$2004,MATCH($K331,'سجل التحفيز'!$AE$5:$AE$2004,0)))</f>
        <v/>
      </c>
      <c r="R331" s="9">
        <f>IF($K331="","",INDEX('سجل التحفيز'!$F$5:$F$2004,MATCH($K331,'سجل التحفيز'!$AE$5:$AE$2004,0)))</f>
        <v/>
      </c>
      <c r="S331" s="35">
        <f>IF($K331="","",INDEX('سجل التحفيز'!$G$5:$G$2004,MATCH($K331,'سجل التحفيز'!$AE$5:$AE$2004,0)))</f>
        <v/>
      </c>
    </row>
    <row r="332">
      <c r="K332" s="36">
        <f>IF(295&gt;$B$10,"",295)</f>
        <v/>
      </c>
      <c r="L332" s="37">
        <f>IF($K332="","",INDEX('سجل التحفيز'!$A$5:$A$2004,MATCH($K332,'سجل التحفيز'!$AE$5:$AE$2004,0)))</f>
        <v/>
      </c>
      <c r="M332" s="9">
        <f>IF($K332="","",INDEX('سجل التحفيز'!$B$5:$B$2004,MATCH($K332,'سجل التحفيز'!$AE$5:$AE$2004,0)))</f>
        <v/>
      </c>
      <c r="N332" s="9">
        <f>IF($K332="","",INDEX('سجل التحفيز'!$M$5:$M$2004,MATCH($K332,'سجل التحفيز'!$AE$5:$AE$2004,0)))</f>
        <v/>
      </c>
      <c r="O332" s="9">
        <f>IF($K332="","",INDEX('سجل التحفيز'!$C$5:$C$2004,MATCH($K332,'سجل التحفيز'!$AE$5:$AE$2004,0)))</f>
        <v/>
      </c>
      <c r="P332" s="36">
        <f>IF($K332="","",INDEX('سجل التحفيز'!$D$5:$D$2004,MATCH($K332,'سجل التحفيز'!$AE$5:$AE$2004,0)))</f>
        <v/>
      </c>
      <c r="Q332" s="9">
        <f>IF($K332="","",INDEX('سجل التحفيز'!$E$5:$E$2004,MATCH($K332,'سجل التحفيز'!$AE$5:$AE$2004,0)))</f>
        <v/>
      </c>
      <c r="R332" s="9">
        <f>IF($K332="","",INDEX('سجل التحفيز'!$F$5:$F$2004,MATCH($K332,'سجل التحفيز'!$AE$5:$AE$2004,0)))</f>
        <v/>
      </c>
      <c r="S332" s="35">
        <f>IF($K332="","",INDEX('سجل التحفيز'!$G$5:$G$2004,MATCH($K332,'سجل التحفيز'!$AE$5:$AE$2004,0)))</f>
        <v/>
      </c>
    </row>
    <row r="333">
      <c r="K333" s="36">
        <f>IF(296&gt;$B$10,"",296)</f>
        <v/>
      </c>
      <c r="L333" s="37">
        <f>IF($K333="","",INDEX('سجل التحفيز'!$A$5:$A$2004,MATCH($K333,'سجل التحفيز'!$AE$5:$AE$2004,0)))</f>
        <v/>
      </c>
      <c r="M333" s="9">
        <f>IF($K333="","",INDEX('سجل التحفيز'!$B$5:$B$2004,MATCH($K333,'سجل التحفيز'!$AE$5:$AE$2004,0)))</f>
        <v/>
      </c>
      <c r="N333" s="9">
        <f>IF($K333="","",INDEX('سجل التحفيز'!$M$5:$M$2004,MATCH($K333,'سجل التحفيز'!$AE$5:$AE$2004,0)))</f>
        <v/>
      </c>
      <c r="O333" s="9">
        <f>IF($K333="","",INDEX('سجل التحفيز'!$C$5:$C$2004,MATCH($K333,'سجل التحفيز'!$AE$5:$AE$2004,0)))</f>
        <v/>
      </c>
      <c r="P333" s="36">
        <f>IF($K333="","",INDEX('سجل التحفيز'!$D$5:$D$2004,MATCH($K333,'سجل التحفيز'!$AE$5:$AE$2004,0)))</f>
        <v/>
      </c>
      <c r="Q333" s="9">
        <f>IF($K333="","",INDEX('سجل التحفيز'!$E$5:$E$2004,MATCH($K333,'سجل التحفيز'!$AE$5:$AE$2004,0)))</f>
        <v/>
      </c>
      <c r="R333" s="9">
        <f>IF($K333="","",INDEX('سجل التحفيز'!$F$5:$F$2004,MATCH($K333,'سجل التحفيز'!$AE$5:$AE$2004,0)))</f>
        <v/>
      </c>
      <c r="S333" s="35">
        <f>IF($K333="","",INDEX('سجل التحفيز'!$G$5:$G$2004,MATCH($K333,'سجل التحفيز'!$AE$5:$AE$2004,0)))</f>
        <v/>
      </c>
    </row>
    <row r="334">
      <c r="K334" s="36">
        <f>IF(297&gt;$B$10,"",297)</f>
        <v/>
      </c>
      <c r="L334" s="37">
        <f>IF($K334="","",INDEX('سجل التحفيز'!$A$5:$A$2004,MATCH($K334,'سجل التحفيز'!$AE$5:$AE$2004,0)))</f>
        <v/>
      </c>
      <c r="M334" s="9">
        <f>IF($K334="","",INDEX('سجل التحفيز'!$B$5:$B$2004,MATCH($K334,'سجل التحفيز'!$AE$5:$AE$2004,0)))</f>
        <v/>
      </c>
      <c r="N334" s="9">
        <f>IF($K334="","",INDEX('سجل التحفيز'!$M$5:$M$2004,MATCH($K334,'سجل التحفيز'!$AE$5:$AE$2004,0)))</f>
        <v/>
      </c>
      <c r="O334" s="9">
        <f>IF($K334="","",INDEX('سجل التحفيز'!$C$5:$C$2004,MATCH($K334,'سجل التحفيز'!$AE$5:$AE$2004,0)))</f>
        <v/>
      </c>
      <c r="P334" s="36">
        <f>IF($K334="","",INDEX('سجل التحفيز'!$D$5:$D$2004,MATCH($K334,'سجل التحفيز'!$AE$5:$AE$2004,0)))</f>
        <v/>
      </c>
      <c r="Q334" s="9">
        <f>IF($K334="","",INDEX('سجل التحفيز'!$E$5:$E$2004,MATCH($K334,'سجل التحفيز'!$AE$5:$AE$2004,0)))</f>
        <v/>
      </c>
      <c r="R334" s="9">
        <f>IF($K334="","",INDEX('سجل التحفيز'!$F$5:$F$2004,MATCH($K334,'سجل التحفيز'!$AE$5:$AE$2004,0)))</f>
        <v/>
      </c>
      <c r="S334" s="35">
        <f>IF($K334="","",INDEX('سجل التحفيز'!$G$5:$G$2004,MATCH($K334,'سجل التحفيز'!$AE$5:$AE$2004,0)))</f>
        <v/>
      </c>
    </row>
    <row r="335">
      <c r="K335" s="36">
        <f>IF(298&gt;$B$10,"",298)</f>
        <v/>
      </c>
      <c r="L335" s="37">
        <f>IF($K335="","",INDEX('سجل التحفيز'!$A$5:$A$2004,MATCH($K335,'سجل التحفيز'!$AE$5:$AE$2004,0)))</f>
        <v/>
      </c>
      <c r="M335" s="9">
        <f>IF($K335="","",INDEX('سجل التحفيز'!$B$5:$B$2004,MATCH($K335,'سجل التحفيز'!$AE$5:$AE$2004,0)))</f>
        <v/>
      </c>
      <c r="N335" s="9">
        <f>IF($K335="","",INDEX('سجل التحفيز'!$M$5:$M$2004,MATCH($K335,'سجل التحفيز'!$AE$5:$AE$2004,0)))</f>
        <v/>
      </c>
      <c r="O335" s="9">
        <f>IF($K335="","",INDEX('سجل التحفيز'!$C$5:$C$2004,MATCH($K335,'سجل التحفيز'!$AE$5:$AE$2004,0)))</f>
        <v/>
      </c>
      <c r="P335" s="36">
        <f>IF($K335="","",INDEX('سجل التحفيز'!$D$5:$D$2004,MATCH($K335,'سجل التحفيز'!$AE$5:$AE$2004,0)))</f>
        <v/>
      </c>
      <c r="Q335" s="9">
        <f>IF($K335="","",INDEX('سجل التحفيز'!$E$5:$E$2004,MATCH($K335,'سجل التحفيز'!$AE$5:$AE$2004,0)))</f>
        <v/>
      </c>
      <c r="R335" s="9">
        <f>IF($K335="","",INDEX('سجل التحفيز'!$F$5:$F$2004,MATCH($K335,'سجل التحفيز'!$AE$5:$AE$2004,0)))</f>
        <v/>
      </c>
      <c r="S335" s="35">
        <f>IF($K335="","",INDEX('سجل التحفيز'!$G$5:$G$2004,MATCH($K335,'سجل التحفيز'!$AE$5:$AE$2004,0)))</f>
        <v/>
      </c>
    </row>
    <row r="336">
      <c r="K336" s="36">
        <f>IF(299&gt;$B$10,"",299)</f>
        <v/>
      </c>
      <c r="L336" s="37">
        <f>IF($K336="","",INDEX('سجل التحفيز'!$A$5:$A$2004,MATCH($K336,'سجل التحفيز'!$AE$5:$AE$2004,0)))</f>
        <v/>
      </c>
      <c r="M336" s="9">
        <f>IF($K336="","",INDEX('سجل التحفيز'!$B$5:$B$2004,MATCH($K336,'سجل التحفيز'!$AE$5:$AE$2004,0)))</f>
        <v/>
      </c>
      <c r="N336" s="9">
        <f>IF($K336="","",INDEX('سجل التحفيز'!$M$5:$M$2004,MATCH($K336,'سجل التحفيز'!$AE$5:$AE$2004,0)))</f>
        <v/>
      </c>
      <c r="O336" s="9">
        <f>IF($K336="","",INDEX('سجل التحفيز'!$C$5:$C$2004,MATCH($K336,'سجل التحفيز'!$AE$5:$AE$2004,0)))</f>
        <v/>
      </c>
      <c r="P336" s="36">
        <f>IF($K336="","",INDEX('سجل التحفيز'!$D$5:$D$2004,MATCH($K336,'سجل التحفيز'!$AE$5:$AE$2004,0)))</f>
        <v/>
      </c>
      <c r="Q336" s="9">
        <f>IF($K336="","",INDEX('سجل التحفيز'!$E$5:$E$2004,MATCH($K336,'سجل التحفيز'!$AE$5:$AE$2004,0)))</f>
        <v/>
      </c>
      <c r="R336" s="9">
        <f>IF($K336="","",INDEX('سجل التحفيز'!$F$5:$F$2004,MATCH($K336,'سجل التحفيز'!$AE$5:$AE$2004,0)))</f>
        <v/>
      </c>
      <c r="S336" s="35">
        <f>IF($K336="","",INDEX('سجل التحفيز'!$G$5:$G$2004,MATCH($K336,'سجل التحفيز'!$AE$5:$AE$2004,0)))</f>
        <v/>
      </c>
    </row>
    <row r="337">
      <c r="K337" s="36">
        <f>IF(300&gt;$B$10,"",300)</f>
        <v/>
      </c>
      <c r="L337" s="37">
        <f>IF($K337="","",INDEX('سجل التحفيز'!$A$5:$A$2004,MATCH($K337,'سجل التحفيز'!$AE$5:$AE$2004,0)))</f>
        <v/>
      </c>
      <c r="M337" s="9">
        <f>IF($K337="","",INDEX('سجل التحفيز'!$B$5:$B$2004,MATCH($K337,'سجل التحفيز'!$AE$5:$AE$2004,0)))</f>
        <v/>
      </c>
      <c r="N337" s="9">
        <f>IF($K337="","",INDEX('سجل التحفيز'!$M$5:$M$2004,MATCH($K337,'سجل التحفيز'!$AE$5:$AE$2004,0)))</f>
        <v/>
      </c>
      <c r="O337" s="9">
        <f>IF($K337="","",INDEX('سجل التحفيز'!$C$5:$C$2004,MATCH($K337,'سجل التحفيز'!$AE$5:$AE$2004,0)))</f>
        <v/>
      </c>
      <c r="P337" s="36">
        <f>IF($K337="","",INDEX('سجل التحفيز'!$D$5:$D$2004,MATCH($K337,'سجل التحفيز'!$AE$5:$AE$2004,0)))</f>
        <v/>
      </c>
      <c r="Q337" s="9">
        <f>IF($K337="","",INDEX('سجل التحفيز'!$E$5:$E$2004,MATCH($K337,'سجل التحفيز'!$AE$5:$AE$2004,0)))</f>
        <v/>
      </c>
      <c r="R337" s="9">
        <f>IF($K337="","",INDEX('سجل التحفيز'!$F$5:$F$2004,MATCH($K337,'سجل التحفيز'!$AE$5:$AE$2004,0)))</f>
        <v/>
      </c>
      <c r="S337" s="35">
        <f>IF($K337="","",INDEX('سجل التحفيز'!$G$5:$G$2004,MATCH($K337,'سجل التحفيز'!$AE$5:$AE$2004,0)))</f>
        <v/>
      </c>
    </row>
    <row r="339">
      <c r="K339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38:H187">
    <cfRule type="expression" priority="1" dxfId="3">
      <formula>$B38&lt;&gt;""</formula>
    </cfRule>
    <cfRule type="expression" priority="2" dxfId="1">
      <formula>AND($B38&lt;&gt;"",$G38=1)</formula>
    </cfRule>
  </conditionalFormatting>
  <conditionalFormatting sqref="K38:S337">
    <cfRule type="expression" priority="3" dxfId="3">
      <formula>$K38&lt;&gt;""</formula>
    </cfRule>
    <cfRule type="expression" priority="4" dxfId="4">
      <formula>AND($K38&lt;&gt;"",$P38="ذهبي")</formula>
    </cfRule>
  </conditionalFormatting>
  <dataValidations count="1">
    <dataValidation sqref="C4" showDropDown="0" showInputMessage="0" showErrorMessage="0" allowBlank="0" type="list">
      <formula1>=YearList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S33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4" customWidth="1" min="9" max="9"/>
    <col width="2" customWidth="1" min="10" max="10"/>
    <col width="6" customWidth="1" min="11" max="11"/>
    <col width="12" customWidth="1" min="12" max="12"/>
    <col width="30" customWidth="1" min="13" max="13"/>
    <col width="16" customWidth="1" min="14" max="14"/>
    <col width="26" customWidth="1" min="15" max="15"/>
    <col width="9" customWidth="1" min="16" max="16"/>
    <col width="44" customWidth="1" min="17" max="17"/>
    <col width="30" customWidth="1" min="18" max="18"/>
    <col width="12" customWidth="1" min="19" max="19"/>
  </cols>
  <sheetData>
    <row r="1" ht="34" customHeight="1">
      <c r="A1" s="1" t="inlineStr">
        <is>
          <t>تقرير مخصص</t>
        </is>
      </c>
    </row>
    <row r="2" ht="30" customHeight="1">
      <c r="A2" s="2" t="inlineStr">
        <is>
          <t>اختاري من الخلايا الصفراء: السنة، نوع التقرير، ثم الشهر (للتقرير الشهري) أو الفصل (للتقرير الفصلي أو السنوي).</t>
        </is>
      </c>
    </row>
    <row r="4">
      <c r="B4" s="22" t="inlineStr">
        <is>
          <t>السنة الدراسية</t>
        </is>
      </c>
      <c r="C4" s="23" t="inlineStr">
        <is>
          <t>2026-2027</t>
        </is>
      </c>
      <c r="E4" s="24">
        <f>"فترة التقرير: "&amp;IF(C5="سنوي","السنة الدراسية "&amp;C4,IF(C5="شهري","شهر "&amp;C6&amp;" — "&amp;C4,C7&amp;" — "&amp;C4))</f>
        <v/>
      </c>
    </row>
    <row r="5">
      <c r="B5" s="22" t="inlineStr">
        <is>
          <t>نوع التقرير</t>
        </is>
      </c>
      <c r="C5" s="23" t="inlineStr">
        <is>
          <t>شهري</t>
        </is>
      </c>
    </row>
    <row r="6">
      <c r="B6" s="22" t="inlineStr">
        <is>
          <t>الشهر</t>
        </is>
      </c>
      <c r="C6" s="23" t="inlineStr">
        <is>
          <t>أكتوبر</t>
        </is>
      </c>
      <c r="E6" s="26">
        <f>"مديرة المدرسة: "&amp;الإعدادات!$B$39&amp;"   ·   النائبة الأكاديمية: "&amp;الإعدادات!$B$40&amp;"   ·   النائبة الإدارية: "&amp;الإعدادات!$B$41</f>
        <v/>
      </c>
    </row>
    <row r="7">
      <c r="B7" s="22" t="inlineStr">
        <is>
          <t>الفصل الدراسي</t>
        </is>
      </c>
      <c r="C7" s="23" t="inlineStr">
        <is>
          <t>الفصل الأول</t>
        </is>
      </c>
    </row>
    <row r="9" ht="32" customHeight="1">
      <c r="B9" s="27" t="inlineStr">
        <is>
          <t>عدد التكريمات</t>
        </is>
      </c>
      <c r="C9" s="27" t="inlineStr">
        <is>
          <t>موظفات مُكرَّمات</t>
        </is>
      </c>
      <c r="D9" s="27" t="inlineStr">
        <is>
          <t>معايير ذهبية</t>
        </is>
      </c>
      <c r="E9" s="27" t="inlineStr">
        <is>
          <t>معايير أساسية</t>
        </is>
      </c>
      <c r="F9" s="27" t="inlineStr">
        <is>
          <t>القيمة المادية (ر.ق)</t>
        </is>
      </c>
      <c r="G9" s="27" t="inlineStr">
        <is>
          <t>مستحقات أمري تدللي (السنة)</t>
        </is>
      </c>
    </row>
    <row r="10" ht="40" customHeight="1">
      <c r="B10" s="28">
        <f>COUNT('سجل التحفيز'!$T$5:$T$2004)</f>
        <v/>
      </c>
      <c r="C10" s="28">
        <f>COUNT(الموظفات!$N$5:$N$304)</f>
        <v/>
      </c>
      <c r="D10" s="28">
        <f>COUNTIFS('سجل التحفيز'!$T$5:$T$2004,"&gt;0",'سجل التحفيز'!$D$5:$D$2004,"ذهبي")</f>
        <v/>
      </c>
      <c r="E10" s="28">
        <f>COUNTIFS('سجل التحفيز'!$T$5:$T$2004,"&gt;0",'سجل التحفيز'!$D$5:$D$2004,"أساسي")</f>
        <v/>
      </c>
      <c r="F10" s="28">
        <f>SUMIFS('سجل التحفيز'!$G$5:$G$2004,'سجل التحفيز'!$T$5:$T$2004,"&gt;0")</f>
        <v/>
      </c>
      <c r="G10" s="28">
        <f>COUNTIF(الموظفات!$L$5:$L$304,"مستحقة ★")</f>
        <v/>
      </c>
    </row>
    <row r="12">
      <c r="B12" s="29" t="inlineStr">
        <is>
          <t>التكريمات حسب المجال</t>
        </is>
      </c>
    </row>
    <row r="13">
      <c r="B13" s="13" t="inlineStr">
        <is>
          <t>المجال</t>
        </is>
      </c>
      <c r="C13" s="13" t="inlineStr">
        <is>
          <t>أساسي</t>
        </is>
      </c>
      <c r="D13" s="13" t="inlineStr">
        <is>
          <t>ذهبي</t>
        </is>
      </c>
      <c r="E13" s="13" t="inlineStr">
        <is>
          <t>الإجمالي</t>
        </is>
      </c>
      <c r="F13" s="13" t="inlineStr">
        <is>
          <t>القيمة (ر.ق)</t>
        </is>
      </c>
    </row>
    <row r="14">
      <c r="B14" s="30">
        <f>الإعدادات!A7</f>
        <v/>
      </c>
      <c r="C14" s="31">
        <f>COUNTIFS('سجل التحفيز'!$T$5:$T$2004,"&gt;0",'سجل التحفيز'!$C$5:$C$2004,B14,'سجل التحفيز'!$D$5:$D$2004,"أساسي")</f>
        <v/>
      </c>
      <c r="D14" s="31">
        <f>COUNTIFS('سجل التحفيز'!$T$5:$T$2004,"&gt;0",'سجل التحفيز'!$C$5:$C$2004,B14,'سجل التحفيز'!$D$5:$D$2004,"ذهبي")</f>
        <v/>
      </c>
      <c r="E14" s="32">
        <f>C14+D14</f>
        <v/>
      </c>
      <c r="F14" s="31">
        <f>SUMIFS('سجل التحفيز'!$G$5:$G$2004,'سجل التحفيز'!$T$5:$T$2004,"&gt;0",'سجل التحفيز'!$C$5:$C$2004,B14)</f>
        <v/>
      </c>
    </row>
    <row r="15">
      <c r="B15" s="30">
        <f>الإعدادات!A8</f>
        <v/>
      </c>
      <c r="C15" s="31">
        <f>COUNTIFS('سجل التحفيز'!$T$5:$T$2004,"&gt;0",'سجل التحفيز'!$C$5:$C$2004,B15,'سجل التحفيز'!$D$5:$D$2004,"أساسي")</f>
        <v/>
      </c>
      <c r="D15" s="31">
        <f>COUNTIFS('سجل التحفيز'!$T$5:$T$2004,"&gt;0",'سجل التحفيز'!$C$5:$C$2004,B15,'سجل التحفيز'!$D$5:$D$2004,"ذهبي")</f>
        <v/>
      </c>
      <c r="E15" s="32">
        <f>C15+D15</f>
        <v/>
      </c>
      <c r="F15" s="31">
        <f>SUMIFS('سجل التحفيز'!$G$5:$G$2004,'سجل التحفيز'!$T$5:$T$2004,"&gt;0",'سجل التحفيز'!$C$5:$C$2004,B15)</f>
        <v/>
      </c>
    </row>
    <row r="16">
      <c r="B16" s="30">
        <f>الإعدادات!A9</f>
        <v/>
      </c>
      <c r="C16" s="31">
        <f>COUNTIFS('سجل التحفيز'!$T$5:$T$2004,"&gt;0",'سجل التحفيز'!$C$5:$C$2004,B16,'سجل التحفيز'!$D$5:$D$2004,"أساسي")</f>
        <v/>
      </c>
      <c r="D16" s="31">
        <f>COUNTIFS('سجل التحفيز'!$T$5:$T$2004,"&gt;0",'سجل التحفيز'!$C$5:$C$2004,B16,'سجل التحفيز'!$D$5:$D$2004,"ذهبي")</f>
        <v/>
      </c>
      <c r="E16" s="32">
        <f>C16+D16</f>
        <v/>
      </c>
      <c r="F16" s="31">
        <f>SUMIFS('سجل التحفيز'!$G$5:$G$2004,'سجل التحفيز'!$T$5:$T$2004,"&gt;0",'سجل التحفيز'!$C$5:$C$2004,B16)</f>
        <v/>
      </c>
    </row>
    <row r="17">
      <c r="B17" s="30">
        <f>الإعدادات!A10</f>
        <v/>
      </c>
      <c r="C17" s="31">
        <f>COUNTIFS('سجل التحفيز'!$T$5:$T$2004,"&gt;0",'سجل التحفيز'!$C$5:$C$2004,B17,'سجل التحفيز'!$D$5:$D$2004,"أساسي")</f>
        <v/>
      </c>
      <c r="D17" s="31">
        <f>COUNTIFS('سجل التحفيز'!$T$5:$T$2004,"&gt;0",'سجل التحفيز'!$C$5:$C$2004,B17,'سجل التحفيز'!$D$5:$D$2004,"ذهبي")</f>
        <v/>
      </c>
      <c r="E17" s="32">
        <f>C17+D17</f>
        <v/>
      </c>
      <c r="F17" s="31">
        <f>SUMIFS('سجل التحفيز'!$G$5:$G$2004,'سجل التحفيز'!$T$5:$T$2004,"&gt;0",'سجل التحفيز'!$C$5:$C$2004,B17)</f>
        <v/>
      </c>
    </row>
    <row r="18">
      <c r="B18" s="30">
        <f>الإعدادات!A11</f>
        <v/>
      </c>
      <c r="C18" s="31">
        <f>COUNTIFS('سجل التحفيز'!$T$5:$T$2004,"&gt;0",'سجل التحفيز'!$C$5:$C$2004,B18,'سجل التحفيز'!$D$5:$D$2004,"أساسي")</f>
        <v/>
      </c>
      <c r="D18" s="31">
        <f>COUNTIFS('سجل التحفيز'!$T$5:$T$2004,"&gt;0",'سجل التحفيز'!$C$5:$C$2004,B18,'سجل التحفيز'!$D$5:$D$2004,"ذهبي")</f>
        <v/>
      </c>
      <c r="E18" s="32">
        <f>C18+D18</f>
        <v/>
      </c>
      <c r="F18" s="31">
        <f>SUMIFS('سجل التحفيز'!$G$5:$G$2004,'سجل التحفيز'!$T$5:$T$2004,"&gt;0",'سجل التحفيز'!$C$5:$C$2004,B18)</f>
        <v/>
      </c>
    </row>
    <row r="19">
      <c r="B19" s="30">
        <f>الإعدادات!A12</f>
        <v/>
      </c>
      <c r="C19" s="31">
        <f>COUNTIFS('سجل التحفيز'!$T$5:$T$2004,"&gt;0",'سجل التحفيز'!$C$5:$C$2004,B19,'سجل التحفيز'!$D$5:$D$2004,"أساسي")</f>
        <v/>
      </c>
      <c r="D19" s="31">
        <f>COUNTIFS('سجل التحفيز'!$T$5:$T$2004,"&gt;0",'سجل التحفيز'!$C$5:$C$2004,B19,'سجل التحفيز'!$D$5:$D$2004,"ذهبي")</f>
        <v/>
      </c>
      <c r="E19" s="32">
        <f>C19+D19</f>
        <v/>
      </c>
      <c r="F19" s="31">
        <f>SUMIFS('سجل التحفيز'!$G$5:$G$2004,'سجل التحفيز'!$T$5:$T$2004,"&gt;0",'سجل التحفيز'!$C$5:$C$2004,B19)</f>
        <v/>
      </c>
    </row>
    <row r="20">
      <c r="B20" s="30">
        <f>الإعدادات!A13</f>
        <v/>
      </c>
      <c r="C20" s="31">
        <f>COUNTIFS('سجل التحفيز'!$T$5:$T$2004,"&gt;0",'سجل التحفيز'!$C$5:$C$2004,B20,'سجل التحفيز'!$D$5:$D$2004,"أساسي")</f>
        <v/>
      </c>
      <c r="D20" s="31">
        <f>COUNTIFS('سجل التحفيز'!$T$5:$T$2004,"&gt;0",'سجل التحفيز'!$C$5:$C$2004,B20,'سجل التحفيز'!$D$5:$D$2004,"ذهبي")</f>
        <v/>
      </c>
      <c r="E20" s="32">
        <f>C20+D20</f>
        <v/>
      </c>
      <c r="F20" s="31">
        <f>SUMIFS('سجل التحفيز'!$G$5:$G$2004,'سجل التحفيز'!$T$5:$T$2004,"&gt;0",'سجل التحفيز'!$C$5:$C$2004,B20)</f>
        <v/>
      </c>
    </row>
    <row r="21">
      <c r="B21" s="30">
        <f>الإعدادات!A14</f>
        <v/>
      </c>
      <c r="C21" s="31">
        <f>COUNTIFS('سجل التحفيز'!$T$5:$T$2004,"&gt;0",'سجل التحفيز'!$C$5:$C$2004,B21,'سجل التحفيز'!$D$5:$D$2004,"أساسي")</f>
        <v/>
      </c>
      <c r="D21" s="31">
        <f>COUNTIFS('سجل التحفيز'!$T$5:$T$2004,"&gt;0",'سجل التحفيز'!$C$5:$C$2004,B21,'سجل التحفيز'!$D$5:$D$2004,"ذهبي")</f>
        <v/>
      </c>
      <c r="E21" s="32">
        <f>C21+D21</f>
        <v/>
      </c>
      <c r="F21" s="31">
        <f>SUMIFS('سجل التحفيز'!$G$5:$G$2004,'سجل التحفيز'!$T$5:$T$2004,"&gt;0",'سجل التحفيز'!$C$5:$C$2004,B21)</f>
        <v/>
      </c>
    </row>
    <row r="22">
      <c r="B22" s="30">
        <f>الإعدادات!A15</f>
        <v/>
      </c>
      <c r="C22" s="31">
        <f>COUNTIFS('سجل التحفيز'!$T$5:$T$2004,"&gt;0",'سجل التحفيز'!$C$5:$C$2004,B22,'سجل التحفيز'!$D$5:$D$2004,"أساسي")</f>
        <v/>
      </c>
      <c r="D22" s="31">
        <f>COUNTIFS('سجل التحفيز'!$T$5:$T$2004,"&gt;0",'سجل التحفيز'!$C$5:$C$2004,B22,'سجل التحفيز'!$D$5:$D$2004,"ذهبي")</f>
        <v/>
      </c>
      <c r="E22" s="32">
        <f>C22+D22</f>
        <v/>
      </c>
      <c r="F22" s="31">
        <f>SUMIFS('سجل التحفيز'!$G$5:$G$2004,'سجل التحفيز'!$T$5:$T$2004,"&gt;0",'سجل التحفيز'!$C$5:$C$2004,B22)</f>
        <v/>
      </c>
    </row>
    <row r="23">
      <c r="B23" s="30">
        <f>الإعدادات!A16</f>
        <v/>
      </c>
      <c r="C23" s="31">
        <f>COUNTIFS('سجل التحفيز'!$T$5:$T$2004,"&gt;0",'سجل التحفيز'!$C$5:$C$2004,B23,'سجل التحفيز'!$D$5:$D$2004,"أساسي")</f>
        <v/>
      </c>
      <c r="D23" s="31">
        <f>COUNTIFS('سجل التحفيز'!$T$5:$T$2004,"&gt;0",'سجل التحفيز'!$C$5:$C$2004,B23,'سجل التحفيز'!$D$5:$D$2004,"ذهبي")</f>
        <v/>
      </c>
      <c r="E23" s="32">
        <f>C23+D23</f>
        <v/>
      </c>
      <c r="F23" s="31">
        <f>SUMIFS('سجل التحفيز'!$G$5:$G$2004,'سجل التحفيز'!$T$5:$T$2004,"&gt;0",'سجل التحفيز'!$C$5:$C$2004,B23)</f>
        <v/>
      </c>
    </row>
    <row r="24">
      <c r="B24" s="30">
        <f>الإعدادات!A17</f>
        <v/>
      </c>
      <c r="C24" s="31">
        <f>COUNTIFS('سجل التحفيز'!$T$5:$T$2004,"&gt;0",'سجل التحفيز'!$C$5:$C$2004,B24,'سجل التحفيز'!$D$5:$D$2004,"أساسي")</f>
        <v/>
      </c>
      <c r="D24" s="31">
        <f>COUNTIFS('سجل التحفيز'!$T$5:$T$2004,"&gt;0",'سجل التحفيز'!$C$5:$C$2004,B24,'سجل التحفيز'!$D$5:$D$2004,"ذهبي")</f>
        <v/>
      </c>
      <c r="E24" s="32">
        <f>C24+D24</f>
        <v/>
      </c>
      <c r="F24" s="31">
        <f>SUMIFS('سجل التحفيز'!$G$5:$G$2004,'سجل التحفيز'!$T$5:$T$2004,"&gt;0",'سجل التحفيز'!$C$5:$C$2004,B24)</f>
        <v/>
      </c>
    </row>
    <row r="25">
      <c r="B25" s="30">
        <f>الإعدادات!A18</f>
        <v/>
      </c>
      <c r="C25" s="31">
        <f>COUNTIFS('سجل التحفيز'!$T$5:$T$2004,"&gt;0",'سجل التحفيز'!$C$5:$C$2004,B25,'سجل التحفيز'!$D$5:$D$2004,"أساسي")</f>
        <v/>
      </c>
      <c r="D25" s="31">
        <f>COUNTIFS('سجل التحفيز'!$T$5:$T$2004,"&gt;0",'سجل التحفيز'!$C$5:$C$2004,B25,'سجل التحفيز'!$D$5:$D$2004,"ذهبي")</f>
        <v/>
      </c>
      <c r="E25" s="32">
        <f>C25+D25</f>
        <v/>
      </c>
      <c r="F25" s="31">
        <f>SUMIFS('سجل التحفيز'!$G$5:$G$2004,'سجل التحفيز'!$T$5:$T$2004,"&gt;0",'سجل التحفيز'!$C$5:$C$2004,B25)</f>
        <v/>
      </c>
    </row>
    <row r="26">
      <c r="B26" s="30">
        <f>الإعدادات!A19</f>
        <v/>
      </c>
      <c r="C26" s="31">
        <f>COUNTIFS('سجل التحفيز'!$T$5:$T$2004,"&gt;0",'سجل التحفيز'!$C$5:$C$2004,B26,'سجل التحفيز'!$D$5:$D$2004,"أساسي")</f>
        <v/>
      </c>
      <c r="D26" s="31">
        <f>COUNTIFS('سجل التحفيز'!$T$5:$T$2004,"&gt;0",'سجل التحفيز'!$C$5:$C$2004,B26,'سجل التحفيز'!$D$5:$D$2004,"ذهبي")</f>
        <v/>
      </c>
      <c r="E26" s="32">
        <f>C26+D26</f>
        <v/>
      </c>
      <c r="F26" s="31">
        <f>SUMIFS('سجل التحفيز'!$G$5:$G$2004,'سجل التحفيز'!$T$5:$T$2004,"&gt;0",'سجل التحفيز'!$C$5:$C$2004,B26)</f>
        <v/>
      </c>
    </row>
    <row r="27">
      <c r="B27" s="30">
        <f>الإعدادات!A20</f>
        <v/>
      </c>
      <c r="C27" s="31">
        <f>COUNTIFS('سجل التحفيز'!$T$5:$T$2004,"&gt;0",'سجل التحفيز'!$C$5:$C$2004,B27,'سجل التحفيز'!$D$5:$D$2004,"أساسي")</f>
        <v/>
      </c>
      <c r="D27" s="31">
        <f>COUNTIFS('سجل التحفيز'!$T$5:$T$2004,"&gt;0",'سجل التحفيز'!$C$5:$C$2004,B27,'سجل التحفيز'!$D$5:$D$2004,"ذهبي")</f>
        <v/>
      </c>
      <c r="E27" s="32">
        <f>C27+D27</f>
        <v/>
      </c>
      <c r="F27" s="31">
        <f>SUMIFS('سجل التحفيز'!$G$5:$G$2004,'سجل التحفيز'!$T$5:$T$2004,"&gt;0",'سجل التحفيز'!$C$5:$C$2004,B27)</f>
        <v/>
      </c>
    </row>
    <row r="28">
      <c r="B28" s="30">
        <f>الإعدادات!A21</f>
        <v/>
      </c>
      <c r="C28" s="31">
        <f>COUNTIFS('سجل التحفيز'!$T$5:$T$2004,"&gt;0",'سجل التحفيز'!$C$5:$C$2004,B28,'سجل التحفيز'!$D$5:$D$2004,"أساسي")</f>
        <v/>
      </c>
      <c r="D28" s="31">
        <f>COUNTIFS('سجل التحفيز'!$T$5:$T$2004,"&gt;0",'سجل التحفيز'!$C$5:$C$2004,B28,'سجل التحفيز'!$D$5:$D$2004,"ذهبي")</f>
        <v/>
      </c>
      <c r="E28" s="32">
        <f>C28+D28</f>
        <v/>
      </c>
      <c r="F28" s="31">
        <f>SUMIFS('سجل التحفيز'!$G$5:$G$2004,'سجل التحفيز'!$T$5:$T$2004,"&gt;0",'سجل التحفيز'!$C$5:$C$2004,B28)</f>
        <v/>
      </c>
    </row>
    <row r="29">
      <c r="B29" s="30">
        <f>الإعدادات!A22</f>
        <v/>
      </c>
      <c r="C29" s="31">
        <f>COUNTIFS('سجل التحفيز'!$T$5:$T$2004,"&gt;0",'سجل التحفيز'!$C$5:$C$2004,B29,'سجل التحفيز'!$D$5:$D$2004,"أساسي")</f>
        <v/>
      </c>
      <c r="D29" s="31">
        <f>COUNTIFS('سجل التحفيز'!$T$5:$T$2004,"&gt;0",'سجل التحفيز'!$C$5:$C$2004,B29,'سجل التحفيز'!$D$5:$D$2004,"ذهبي")</f>
        <v/>
      </c>
      <c r="E29" s="32">
        <f>C29+D29</f>
        <v/>
      </c>
      <c r="F29" s="31">
        <f>SUMIFS('سجل التحفيز'!$G$5:$G$2004,'سجل التحفيز'!$T$5:$T$2004,"&gt;0",'سجل التحفيز'!$C$5:$C$2004,B29)</f>
        <v/>
      </c>
    </row>
    <row r="30">
      <c r="B30" s="30">
        <f>الإعدادات!A23</f>
        <v/>
      </c>
      <c r="C30" s="31">
        <f>COUNTIFS('سجل التحفيز'!$T$5:$T$2004,"&gt;0",'سجل التحفيز'!$C$5:$C$2004,B30,'سجل التحفيز'!$D$5:$D$2004,"أساسي")</f>
        <v/>
      </c>
      <c r="D30" s="31">
        <f>COUNTIFS('سجل التحفيز'!$T$5:$T$2004,"&gt;0",'سجل التحفيز'!$C$5:$C$2004,B30,'سجل التحفيز'!$D$5:$D$2004,"ذهبي")</f>
        <v/>
      </c>
      <c r="E30" s="32">
        <f>C30+D30</f>
        <v/>
      </c>
      <c r="F30" s="31">
        <f>SUMIFS('سجل التحفيز'!$G$5:$G$2004,'سجل التحفيز'!$T$5:$T$2004,"&gt;0",'سجل التحفيز'!$C$5:$C$2004,B30)</f>
        <v/>
      </c>
    </row>
    <row r="31">
      <c r="B31" s="30">
        <f>الإعدادات!A24</f>
        <v/>
      </c>
      <c r="C31" s="31">
        <f>COUNTIFS('سجل التحفيز'!$T$5:$T$2004,"&gt;0",'سجل التحفيز'!$C$5:$C$2004,B31,'سجل التحفيز'!$D$5:$D$2004,"أساسي")</f>
        <v/>
      </c>
      <c r="D31" s="31">
        <f>COUNTIFS('سجل التحفيز'!$T$5:$T$2004,"&gt;0",'سجل التحفيز'!$C$5:$C$2004,B31,'سجل التحفيز'!$D$5:$D$2004,"ذهبي")</f>
        <v/>
      </c>
      <c r="E31" s="32">
        <f>C31+D31</f>
        <v/>
      </c>
      <c r="F31" s="31">
        <f>SUMIFS('سجل التحفيز'!$G$5:$G$2004,'سجل التحفيز'!$T$5:$T$2004,"&gt;0",'سجل التحفيز'!$C$5:$C$2004,B31)</f>
        <v/>
      </c>
    </row>
    <row r="32">
      <c r="B32" s="30">
        <f>الإعدادات!A25</f>
        <v/>
      </c>
      <c r="C32" s="31">
        <f>COUNTIFS('سجل التحفيز'!$T$5:$T$2004,"&gt;0",'سجل التحفيز'!$C$5:$C$2004,B32,'سجل التحفيز'!$D$5:$D$2004,"أساسي")</f>
        <v/>
      </c>
      <c r="D32" s="31">
        <f>COUNTIFS('سجل التحفيز'!$T$5:$T$2004,"&gt;0",'سجل التحفيز'!$C$5:$C$2004,B32,'سجل التحفيز'!$D$5:$D$2004,"ذهبي")</f>
        <v/>
      </c>
      <c r="E32" s="32">
        <f>C32+D32</f>
        <v/>
      </c>
      <c r="F32" s="31">
        <f>SUMIFS('سجل التحفيز'!$G$5:$G$2004,'سجل التحفيز'!$T$5:$T$2004,"&gt;0",'سجل التحفيز'!$C$5:$C$2004,B32)</f>
        <v/>
      </c>
    </row>
    <row r="33">
      <c r="B33" s="33" t="inlineStr">
        <is>
          <t>الإجمالي</t>
        </is>
      </c>
      <c r="C33" s="33">
        <f>SUM(C14:C32)</f>
        <v/>
      </c>
      <c r="D33" s="33">
        <f>SUM(D14:D32)</f>
        <v/>
      </c>
      <c r="E33" s="33">
        <f>SUM(E14:E32)</f>
        <v/>
      </c>
      <c r="F33" s="33">
        <f>SUM(F14:F32)</f>
        <v/>
      </c>
    </row>
    <row r="36">
      <c r="B36" s="29" t="inlineStr">
        <is>
          <t>الموظفات المُكرَّمات ضمن فترة التقرير</t>
        </is>
      </c>
      <c r="K36" s="29" t="inlineStr">
        <is>
          <t>تفاصيل التكريمات ضمن فترة التقرير</t>
        </is>
      </c>
    </row>
    <row r="37">
      <c r="B37" s="13" t="inlineStr">
        <is>
          <t>اسم الموظفة</t>
        </is>
      </c>
      <c r="C37" s="13" t="inlineStr">
        <is>
          <t>القسم</t>
        </is>
      </c>
      <c r="D37" s="13" t="inlineStr">
        <is>
          <t>عدد التكريمات</t>
        </is>
      </c>
      <c r="E37" s="13" t="inlineStr">
        <is>
          <t>معايير ذهبية</t>
        </is>
      </c>
      <c r="F37" s="13" t="inlineStr">
        <is>
          <t>القيمة (ر.ق)</t>
        </is>
      </c>
      <c r="G37" s="13" t="inlineStr">
        <is>
          <t>الترتيب</t>
        </is>
      </c>
      <c r="H37" s="13" t="inlineStr">
        <is>
          <t>أمري تدللي (السنة)</t>
        </is>
      </c>
      <c r="K37" s="13" t="inlineStr">
        <is>
          <t>م</t>
        </is>
      </c>
      <c r="L37" s="13" t="inlineStr">
        <is>
          <t>التاريخ</t>
        </is>
      </c>
      <c r="M37" s="13" t="inlineStr">
        <is>
          <t>اسم الموظفة</t>
        </is>
      </c>
      <c r="N37" s="13" t="inlineStr">
        <is>
          <t>القسم</t>
        </is>
      </c>
      <c r="O37" s="13" t="inlineStr">
        <is>
          <t>المجال</t>
        </is>
      </c>
      <c r="P37" s="13" t="inlineStr">
        <is>
          <t>المستوى</t>
        </is>
      </c>
      <c r="Q37" s="13" t="inlineStr">
        <is>
          <t>المعيار المحقق</t>
        </is>
      </c>
      <c r="R37" s="13" t="inlineStr">
        <is>
          <t>المكافأة الممنوحة</t>
        </is>
      </c>
      <c r="S37" s="13" t="inlineStr">
        <is>
          <t>القيمة (ر.ق)</t>
        </is>
      </c>
    </row>
    <row r="38">
      <c r="B38" s="34">
        <f>IFERROR(INDEX(الموظفات!$B$5:$B$304,MATCH(1,الموظفات!$N$5:$N$304,0)),"")</f>
        <v/>
      </c>
      <c r="C38" s="34">
        <f>IF(B38="","",INDEX(الموظفات!$D$5:$D$304,MATCH(B38,الموظفات!$B$5:$B$304,0))&amp;"")</f>
        <v/>
      </c>
      <c r="D38" s="35">
        <f>IF(B38="","",COUNTIFS('سجل التحفيز'!$T$5:$T$2004,"&gt;0",'سجل التحفيز'!$B$5:$B$2004,B38))</f>
        <v/>
      </c>
      <c r="E38" s="35">
        <f>IF(B38="","",COUNTIFS('سجل التحفيز'!$T$5:$T$2004,"&gt;0",'سجل التحفيز'!$B$5:$B$2004,B38,'سجل التحفيز'!$D$5:$D$2004,"ذهبي"))</f>
        <v/>
      </c>
      <c r="F38" s="35">
        <f>IF(B38="","",SUMIFS('سجل التحفيز'!$G$5:$G$2004,'سجل التحفيز'!$T$5:$T$2004,"&gt;0",'سجل التحفيز'!$B$5:$B$2004,B38))</f>
        <v/>
      </c>
      <c r="G38" s="35">
        <f>IF(B38="","",COUNTIF($D$38:$D$187,"&gt;"&amp;D38)+1)</f>
        <v/>
      </c>
      <c r="H38" s="35">
        <f>IF(B38="","",INDEX(الموظفات!$L$5:$L$304,MATCH(B38,الموظفات!$B$5:$B$304,0)))</f>
        <v/>
      </c>
      <c r="K38" s="36">
        <f>IF(1&gt;$B$10,"",1)</f>
        <v/>
      </c>
      <c r="L38" s="37">
        <f>IF($K38="","",INDEX('سجل التحفيز'!$A$5:$A$2004,MATCH($K38,'سجل التحفيز'!$T$5:$T$2004,0)))</f>
        <v/>
      </c>
      <c r="M38" s="9">
        <f>IF($K38="","",INDEX('سجل التحفيز'!$B$5:$B$2004,MATCH($K38,'سجل التحفيز'!$T$5:$T$2004,0)))</f>
        <v/>
      </c>
      <c r="N38" s="9">
        <f>IF($K38="","",INDEX('سجل التحفيز'!$M$5:$M$2004,MATCH($K38,'سجل التحفيز'!$T$5:$T$2004,0)))</f>
        <v/>
      </c>
      <c r="O38" s="9">
        <f>IF($K38="","",INDEX('سجل التحفيز'!$C$5:$C$2004,MATCH($K38,'سجل التحفيز'!$T$5:$T$2004,0)))</f>
        <v/>
      </c>
      <c r="P38" s="36">
        <f>IF($K38="","",INDEX('سجل التحفيز'!$D$5:$D$2004,MATCH($K38,'سجل التحفيز'!$T$5:$T$2004,0)))</f>
        <v/>
      </c>
      <c r="Q38" s="9">
        <f>IF($K38="","",INDEX('سجل التحفيز'!$E$5:$E$2004,MATCH($K38,'سجل التحفيز'!$T$5:$T$2004,0)))</f>
        <v/>
      </c>
      <c r="R38" s="9">
        <f>IF($K38="","",INDEX('سجل التحفيز'!$F$5:$F$2004,MATCH($K38,'سجل التحفيز'!$T$5:$T$2004,0)))</f>
        <v/>
      </c>
      <c r="S38" s="35">
        <f>IF($K38="","",INDEX('سجل التحفيز'!$G$5:$G$2004,MATCH($K38,'سجل التحفيز'!$T$5:$T$2004,0)))</f>
        <v/>
      </c>
    </row>
    <row r="39">
      <c r="B39" s="34">
        <f>IFERROR(INDEX(الموظفات!$B$5:$B$304,MATCH(2,الموظفات!$N$5:$N$304,0)),"")</f>
        <v/>
      </c>
      <c r="C39" s="34">
        <f>IF(B39="","",INDEX(الموظفات!$D$5:$D$304,MATCH(B39,الموظفات!$B$5:$B$304,0))&amp;"")</f>
        <v/>
      </c>
      <c r="D39" s="35">
        <f>IF(B39="","",COUNTIFS('سجل التحفيز'!$T$5:$T$2004,"&gt;0",'سجل التحفيز'!$B$5:$B$2004,B39))</f>
        <v/>
      </c>
      <c r="E39" s="35">
        <f>IF(B39="","",COUNTIFS('سجل التحفيز'!$T$5:$T$2004,"&gt;0",'سجل التحفيز'!$B$5:$B$2004,B39,'سجل التحفيز'!$D$5:$D$2004,"ذهبي"))</f>
        <v/>
      </c>
      <c r="F39" s="35">
        <f>IF(B39="","",SUMIFS('سجل التحفيز'!$G$5:$G$2004,'سجل التحفيز'!$T$5:$T$2004,"&gt;0",'سجل التحفيز'!$B$5:$B$2004,B39))</f>
        <v/>
      </c>
      <c r="G39" s="35">
        <f>IF(B39="","",COUNTIF($D$38:$D$187,"&gt;"&amp;D39)+1)</f>
        <v/>
      </c>
      <c r="H39" s="35">
        <f>IF(B39="","",INDEX(الموظفات!$L$5:$L$304,MATCH(B39,الموظفات!$B$5:$B$304,0)))</f>
        <v/>
      </c>
      <c r="K39" s="36">
        <f>IF(2&gt;$B$10,"",2)</f>
        <v/>
      </c>
      <c r="L39" s="37">
        <f>IF($K39="","",INDEX('سجل التحفيز'!$A$5:$A$2004,MATCH($K39,'سجل التحفيز'!$T$5:$T$2004,0)))</f>
        <v/>
      </c>
      <c r="M39" s="9">
        <f>IF($K39="","",INDEX('سجل التحفيز'!$B$5:$B$2004,MATCH($K39,'سجل التحفيز'!$T$5:$T$2004,0)))</f>
        <v/>
      </c>
      <c r="N39" s="9">
        <f>IF($K39="","",INDEX('سجل التحفيز'!$M$5:$M$2004,MATCH($K39,'سجل التحفيز'!$T$5:$T$2004,0)))</f>
        <v/>
      </c>
      <c r="O39" s="9">
        <f>IF($K39="","",INDEX('سجل التحفيز'!$C$5:$C$2004,MATCH($K39,'سجل التحفيز'!$T$5:$T$2004,0)))</f>
        <v/>
      </c>
      <c r="P39" s="36">
        <f>IF($K39="","",INDEX('سجل التحفيز'!$D$5:$D$2004,MATCH($K39,'سجل التحفيز'!$T$5:$T$2004,0)))</f>
        <v/>
      </c>
      <c r="Q39" s="9">
        <f>IF($K39="","",INDEX('سجل التحفيز'!$E$5:$E$2004,MATCH($K39,'سجل التحفيز'!$T$5:$T$2004,0)))</f>
        <v/>
      </c>
      <c r="R39" s="9">
        <f>IF($K39="","",INDEX('سجل التحفيز'!$F$5:$F$2004,MATCH($K39,'سجل التحفيز'!$T$5:$T$2004,0)))</f>
        <v/>
      </c>
      <c r="S39" s="35">
        <f>IF($K39="","",INDEX('سجل التحفيز'!$G$5:$G$2004,MATCH($K39,'سجل التحفيز'!$T$5:$T$2004,0)))</f>
        <v/>
      </c>
    </row>
    <row r="40">
      <c r="B40" s="34">
        <f>IFERROR(INDEX(الموظفات!$B$5:$B$304,MATCH(3,الموظفات!$N$5:$N$304,0)),"")</f>
        <v/>
      </c>
      <c r="C40" s="34">
        <f>IF(B40="","",INDEX(الموظفات!$D$5:$D$304,MATCH(B40,الموظفات!$B$5:$B$304,0))&amp;"")</f>
        <v/>
      </c>
      <c r="D40" s="35">
        <f>IF(B40="","",COUNTIFS('سجل التحفيز'!$T$5:$T$2004,"&gt;0",'سجل التحفيز'!$B$5:$B$2004,B40))</f>
        <v/>
      </c>
      <c r="E40" s="35">
        <f>IF(B40="","",COUNTIFS('سجل التحفيز'!$T$5:$T$2004,"&gt;0",'سجل التحفيز'!$B$5:$B$2004,B40,'سجل التحفيز'!$D$5:$D$2004,"ذهبي"))</f>
        <v/>
      </c>
      <c r="F40" s="35">
        <f>IF(B40="","",SUMIFS('سجل التحفيز'!$G$5:$G$2004,'سجل التحفيز'!$T$5:$T$2004,"&gt;0",'سجل التحفيز'!$B$5:$B$2004,B40))</f>
        <v/>
      </c>
      <c r="G40" s="35">
        <f>IF(B40="","",COUNTIF($D$38:$D$187,"&gt;"&amp;D40)+1)</f>
        <v/>
      </c>
      <c r="H40" s="35">
        <f>IF(B40="","",INDEX(الموظفات!$L$5:$L$304,MATCH(B40,الموظفات!$B$5:$B$304,0)))</f>
        <v/>
      </c>
      <c r="K40" s="36">
        <f>IF(3&gt;$B$10,"",3)</f>
        <v/>
      </c>
      <c r="L40" s="37">
        <f>IF($K40="","",INDEX('سجل التحفيز'!$A$5:$A$2004,MATCH($K40,'سجل التحفيز'!$T$5:$T$2004,0)))</f>
        <v/>
      </c>
      <c r="M40" s="9">
        <f>IF($K40="","",INDEX('سجل التحفيز'!$B$5:$B$2004,MATCH($K40,'سجل التحفيز'!$T$5:$T$2004,0)))</f>
        <v/>
      </c>
      <c r="N40" s="9">
        <f>IF($K40="","",INDEX('سجل التحفيز'!$M$5:$M$2004,MATCH($K40,'سجل التحفيز'!$T$5:$T$2004,0)))</f>
        <v/>
      </c>
      <c r="O40" s="9">
        <f>IF($K40="","",INDEX('سجل التحفيز'!$C$5:$C$2004,MATCH($K40,'سجل التحفيز'!$T$5:$T$2004,0)))</f>
        <v/>
      </c>
      <c r="P40" s="36">
        <f>IF($K40="","",INDEX('سجل التحفيز'!$D$5:$D$2004,MATCH($K40,'سجل التحفيز'!$T$5:$T$2004,0)))</f>
        <v/>
      </c>
      <c r="Q40" s="9">
        <f>IF($K40="","",INDEX('سجل التحفيز'!$E$5:$E$2004,MATCH($K40,'سجل التحفيز'!$T$5:$T$2004,0)))</f>
        <v/>
      </c>
      <c r="R40" s="9">
        <f>IF($K40="","",INDEX('سجل التحفيز'!$F$5:$F$2004,MATCH($K40,'سجل التحفيز'!$T$5:$T$2004,0)))</f>
        <v/>
      </c>
      <c r="S40" s="35">
        <f>IF($K40="","",INDEX('سجل التحفيز'!$G$5:$G$2004,MATCH($K40,'سجل التحفيز'!$T$5:$T$2004,0)))</f>
        <v/>
      </c>
    </row>
    <row r="41">
      <c r="B41" s="34">
        <f>IFERROR(INDEX(الموظفات!$B$5:$B$304,MATCH(4,الموظفات!$N$5:$N$304,0)),"")</f>
        <v/>
      </c>
      <c r="C41" s="34">
        <f>IF(B41="","",INDEX(الموظفات!$D$5:$D$304,MATCH(B41,الموظفات!$B$5:$B$304,0))&amp;"")</f>
        <v/>
      </c>
      <c r="D41" s="35">
        <f>IF(B41="","",COUNTIFS('سجل التحفيز'!$T$5:$T$2004,"&gt;0",'سجل التحفيز'!$B$5:$B$2004,B41))</f>
        <v/>
      </c>
      <c r="E41" s="35">
        <f>IF(B41="","",COUNTIFS('سجل التحفيز'!$T$5:$T$2004,"&gt;0",'سجل التحفيز'!$B$5:$B$2004,B41,'سجل التحفيز'!$D$5:$D$2004,"ذهبي"))</f>
        <v/>
      </c>
      <c r="F41" s="35">
        <f>IF(B41="","",SUMIFS('سجل التحفيز'!$G$5:$G$2004,'سجل التحفيز'!$T$5:$T$2004,"&gt;0",'سجل التحفيز'!$B$5:$B$2004,B41))</f>
        <v/>
      </c>
      <c r="G41" s="35">
        <f>IF(B41="","",COUNTIF($D$38:$D$187,"&gt;"&amp;D41)+1)</f>
        <v/>
      </c>
      <c r="H41" s="35">
        <f>IF(B41="","",INDEX(الموظفات!$L$5:$L$304,MATCH(B41,الموظفات!$B$5:$B$304,0)))</f>
        <v/>
      </c>
      <c r="K41" s="36">
        <f>IF(4&gt;$B$10,"",4)</f>
        <v/>
      </c>
      <c r="L41" s="37">
        <f>IF($K41="","",INDEX('سجل التحفيز'!$A$5:$A$2004,MATCH($K41,'سجل التحفيز'!$T$5:$T$2004,0)))</f>
        <v/>
      </c>
      <c r="M41" s="9">
        <f>IF($K41="","",INDEX('سجل التحفيز'!$B$5:$B$2004,MATCH($K41,'سجل التحفيز'!$T$5:$T$2004,0)))</f>
        <v/>
      </c>
      <c r="N41" s="9">
        <f>IF($K41="","",INDEX('سجل التحفيز'!$M$5:$M$2004,MATCH($K41,'سجل التحفيز'!$T$5:$T$2004,0)))</f>
        <v/>
      </c>
      <c r="O41" s="9">
        <f>IF($K41="","",INDEX('سجل التحفيز'!$C$5:$C$2004,MATCH($K41,'سجل التحفيز'!$T$5:$T$2004,0)))</f>
        <v/>
      </c>
      <c r="P41" s="36">
        <f>IF($K41="","",INDEX('سجل التحفيز'!$D$5:$D$2004,MATCH($K41,'سجل التحفيز'!$T$5:$T$2004,0)))</f>
        <v/>
      </c>
      <c r="Q41" s="9">
        <f>IF($K41="","",INDEX('سجل التحفيز'!$E$5:$E$2004,MATCH($K41,'سجل التحفيز'!$T$5:$T$2004,0)))</f>
        <v/>
      </c>
      <c r="R41" s="9">
        <f>IF($K41="","",INDEX('سجل التحفيز'!$F$5:$F$2004,MATCH($K41,'سجل التحفيز'!$T$5:$T$2004,0)))</f>
        <v/>
      </c>
      <c r="S41" s="35">
        <f>IF($K41="","",INDEX('سجل التحفيز'!$G$5:$G$2004,MATCH($K41,'سجل التحفيز'!$T$5:$T$2004,0)))</f>
        <v/>
      </c>
    </row>
    <row r="42">
      <c r="B42" s="34">
        <f>IFERROR(INDEX(الموظفات!$B$5:$B$304,MATCH(5,الموظفات!$N$5:$N$304,0)),"")</f>
        <v/>
      </c>
      <c r="C42" s="34">
        <f>IF(B42="","",INDEX(الموظفات!$D$5:$D$304,MATCH(B42,الموظفات!$B$5:$B$304,0))&amp;"")</f>
        <v/>
      </c>
      <c r="D42" s="35">
        <f>IF(B42="","",COUNTIFS('سجل التحفيز'!$T$5:$T$2004,"&gt;0",'سجل التحفيز'!$B$5:$B$2004,B42))</f>
        <v/>
      </c>
      <c r="E42" s="35">
        <f>IF(B42="","",COUNTIFS('سجل التحفيز'!$T$5:$T$2004,"&gt;0",'سجل التحفيز'!$B$5:$B$2004,B42,'سجل التحفيز'!$D$5:$D$2004,"ذهبي"))</f>
        <v/>
      </c>
      <c r="F42" s="35">
        <f>IF(B42="","",SUMIFS('سجل التحفيز'!$G$5:$G$2004,'سجل التحفيز'!$T$5:$T$2004,"&gt;0",'سجل التحفيز'!$B$5:$B$2004,B42))</f>
        <v/>
      </c>
      <c r="G42" s="35">
        <f>IF(B42="","",COUNTIF($D$38:$D$187,"&gt;"&amp;D42)+1)</f>
        <v/>
      </c>
      <c r="H42" s="35">
        <f>IF(B42="","",INDEX(الموظفات!$L$5:$L$304,MATCH(B42,الموظفات!$B$5:$B$304,0)))</f>
        <v/>
      </c>
      <c r="K42" s="36">
        <f>IF(5&gt;$B$10,"",5)</f>
        <v/>
      </c>
      <c r="L42" s="37">
        <f>IF($K42="","",INDEX('سجل التحفيز'!$A$5:$A$2004,MATCH($K42,'سجل التحفيز'!$T$5:$T$2004,0)))</f>
        <v/>
      </c>
      <c r="M42" s="9">
        <f>IF($K42="","",INDEX('سجل التحفيز'!$B$5:$B$2004,MATCH($K42,'سجل التحفيز'!$T$5:$T$2004,0)))</f>
        <v/>
      </c>
      <c r="N42" s="9">
        <f>IF($K42="","",INDEX('سجل التحفيز'!$M$5:$M$2004,MATCH($K42,'سجل التحفيز'!$T$5:$T$2004,0)))</f>
        <v/>
      </c>
      <c r="O42" s="9">
        <f>IF($K42="","",INDEX('سجل التحفيز'!$C$5:$C$2004,MATCH($K42,'سجل التحفيز'!$T$5:$T$2004,0)))</f>
        <v/>
      </c>
      <c r="P42" s="36">
        <f>IF($K42="","",INDEX('سجل التحفيز'!$D$5:$D$2004,MATCH($K42,'سجل التحفيز'!$T$5:$T$2004,0)))</f>
        <v/>
      </c>
      <c r="Q42" s="9">
        <f>IF($K42="","",INDEX('سجل التحفيز'!$E$5:$E$2004,MATCH($K42,'سجل التحفيز'!$T$5:$T$2004,0)))</f>
        <v/>
      </c>
      <c r="R42" s="9">
        <f>IF($K42="","",INDEX('سجل التحفيز'!$F$5:$F$2004,MATCH($K42,'سجل التحفيز'!$T$5:$T$2004,0)))</f>
        <v/>
      </c>
      <c r="S42" s="35">
        <f>IF($K42="","",INDEX('سجل التحفيز'!$G$5:$G$2004,MATCH($K42,'سجل التحفيز'!$T$5:$T$2004,0)))</f>
        <v/>
      </c>
    </row>
    <row r="43">
      <c r="B43" s="34">
        <f>IFERROR(INDEX(الموظفات!$B$5:$B$304,MATCH(6,الموظفات!$N$5:$N$304,0)),"")</f>
        <v/>
      </c>
      <c r="C43" s="34">
        <f>IF(B43="","",INDEX(الموظفات!$D$5:$D$304,MATCH(B43,الموظفات!$B$5:$B$304,0))&amp;"")</f>
        <v/>
      </c>
      <c r="D43" s="35">
        <f>IF(B43="","",COUNTIFS('سجل التحفيز'!$T$5:$T$2004,"&gt;0",'سجل التحفيز'!$B$5:$B$2004,B43))</f>
        <v/>
      </c>
      <c r="E43" s="35">
        <f>IF(B43="","",COUNTIFS('سجل التحفيز'!$T$5:$T$2004,"&gt;0",'سجل التحفيز'!$B$5:$B$2004,B43,'سجل التحفيز'!$D$5:$D$2004,"ذهبي"))</f>
        <v/>
      </c>
      <c r="F43" s="35">
        <f>IF(B43="","",SUMIFS('سجل التحفيز'!$G$5:$G$2004,'سجل التحفيز'!$T$5:$T$2004,"&gt;0",'سجل التحفيز'!$B$5:$B$2004,B43))</f>
        <v/>
      </c>
      <c r="G43" s="35">
        <f>IF(B43="","",COUNTIF($D$38:$D$187,"&gt;"&amp;D43)+1)</f>
        <v/>
      </c>
      <c r="H43" s="35">
        <f>IF(B43="","",INDEX(الموظفات!$L$5:$L$304,MATCH(B43,الموظفات!$B$5:$B$304,0)))</f>
        <v/>
      </c>
      <c r="K43" s="36">
        <f>IF(6&gt;$B$10,"",6)</f>
        <v/>
      </c>
      <c r="L43" s="37">
        <f>IF($K43="","",INDEX('سجل التحفيز'!$A$5:$A$2004,MATCH($K43,'سجل التحفيز'!$T$5:$T$2004,0)))</f>
        <v/>
      </c>
      <c r="M43" s="9">
        <f>IF($K43="","",INDEX('سجل التحفيز'!$B$5:$B$2004,MATCH($K43,'سجل التحفيز'!$T$5:$T$2004,0)))</f>
        <v/>
      </c>
      <c r="N43" s="9">
        <f>IF($K43="","",INDEX('سجل التحفيز'!$M$5:$M$2004,MATCH($K43,'سجل التحفيز'!$T$5:$T$2004,0)))</f>
        <v/>
      </c>
      <c r="O43" s="9">
        <f>IF($K43="","",INDEX('سجل التحفيز'!$C$5:$C$2004,MATCH($K43,'سجل التحفيز'!$T$5:$T$2004,0)))</f>
        <v/>
      </c>
      <c r="P43" s="36">
        <f>IF($K43="","",INDEX('سجل التحفيز'!$D$5:$D$2004,MATCH($K43,'سجل التحفيز'!$T$5:$T$2004,0)))</f>
        <v/>
      </c>
      <c r="Q43" s="9">
        <f>IF($K43="","",INDEX('سجل التحفيز'!$E$5:$E$2004,MATCH($K43,'سجل التحفيز'!$T$5:$T$2004,0)))</f>
        <v/>
      </c>
      <c r="R43" s="9">
        <f>IF($K43="","",INDEX('سجل التحفيز'!$F$5:$F$2004,MATCH($K43,'سجل التحفيز'!$T$5:$T$2004,0)))</f>
        <v/>
      </c>
      <c r="S43" s="35">
        <f>IF($K43="","",INDEX('سجل التحفيز'!$G$5:$G$2004,MATCH($K43,'سجل التحفيز'!$T$5:$T$2004,0)))</f>
        <v/>
      </c>
    </row>
    <row r="44">
      <c r="B44" s="34">
        <f>IFERROR(INDEX(الموظفات!$B$5:$B$304,MATCH(7,الموظفات!$N$5:$N$304,0)),"")</f>
        <v/>
      </c>
      <c r="C44" s="34">
        <f>IF(B44="","",INDEX(الموظفات!$D$5:$D$304,MATCH(B44,الموظفات!$B$5:$B$304,0))&amp;"")</f>
        <v/>
      </c>
      <c r="D44" s="35">
        <f>IF(B44="","",COUNTIFS('سجل التحفيز'!$T$5:$T$2004,"&gt;0",'سجل التحفيز'!$B$5:$B$2004,B44))</f>
        <v/>
      </c>
      <c r="E44" s="35">
        <f>IF(B44="","",COUNTIFS('سجل التحفيز'!$T$5:$T$2004,"&gt;0",'سجل التحفيز'!$B$5:$B$2004,B44,'سجل التحفيز'!$D$5:$D$2004,"ذهبي"))</f>
        <v/>
      </c>
      <c r="F44" s="35">
        <f>IF(B44="","",SUMIFS('سجل التحفيز'!$G$5:$G$2004,'سجل التحفيز'!$T$5:$T$2004,"&gt;0",'سجل التحفيز'!$B$5:$B$2004,B44))</f>
        <v/>
      </c>
      <c r="G44" s="35">
        <f>IF(B44="","",COUNTIF($D$38:$D$187,"&gt;"&amp;D44)+1)</f>
        <v/>
      </c>
      <c r="H44" s="35">
        <f>IF(B44="","",INDEX(الموظفات!$L$5:$L$304,MATCH(B44,الموظفات!$B$5:$B$304,0)))</f>
        <v/>
      </c>
      <c r="K44" s="36">
        <f>IF(7&gt;$B$10,"",7)</f>
        <v/>
      </c>
      <c r="L44" s="37">
        <f>IF($K44="","",INDEX('سجل التحفيز'!$A$5:$A$2004,MATCH($K44,'سجل التحفيز'!$T$5:$T$2004,0)))</f>
        <v/>
      </c>
      <c r="M44" s="9">
        <f>IF($K44="","",INDEX('سجل التحفيز'!$B$5:$B$2004,MATCH($K44,'سجل التحفيز'!$T$5:$T$2004,0)))</f>
        <v/>
      </c>
      <c r="N44" s="9">
        <f>IF($K44="","",INDEX('سجل التحفيز'!$M$5:$M$2004,MATCH($K44,'سجل التحفيز'!$T$5:$T$2004,0)))</f>
        <v/>
      </c>
      <c r="O44" s="9">
        <f>IF($K44="","",INDEX('سجل التحفيز'!$C$5:$C$2004,MATCH($K44,'سجل التحفيز'!$T$5:$T$2004,0)))</f>
        <v/>
      </c>
      <c r="P44" s="36">
        <f>IF($K44="","",INDEX('سجل التحفيز'!$D$5:$D$2004,MATCH($K44,'سجل التحفيز'!$T$5:$T$2004,0)))</f>
        <v/>
      </c>
      <c r="Q44" s="9">
        <f>IF($K44="","",INDEX('سجل التحفيز'!$E$5:$E$2004,MATCH($K44,'سجل التحفيز'!$T$5:$T$2004,0)))</f>
        <v/>
      </c>
      <c r="R44" s="9">
        <f>IF($K44="","",INDEX('سجل التحفيز'!$F$5:$F$2004,MATCH($K44,'سجل التحفيز'!$T$5:$T$2004,0)))</f>
        <v/>
      </c>
      <c r="S44" s="35">
        <f>IF($K44="","",INDEX('سجل التحفيز'!$G$5:$G$2004,MATCH($K44,'سجل التحفيز'!$T$5:$T$2004,0)))</f>
        <v/>
      </c>
    </row>
    <row r="45">
      <c r="B45" s="34">
        <f>IFERROR(INDEX(الموظفات!$B$5:$B$304,MATCH(8,الموظفات!$N$5:$N$304,0)),"")</f>
        <v/>
      </c>
      <c r="C45" s="34">
        <f>IF(B45="","",INDEX(الموظفات!$D$5:$D$304,MATCH(B45,الموظفات!$B$5:$B$304,0))&amp;"")</f>
        <v/>
      </c>
      <c r="D45" s="35">
        <f>IF(B45="","",COUNTIFS('سجل التحفيز'!$T$5:$T$2004,"&gt;0",'سجل التحفيز'!$B$5:$B$2004,B45))</f>
        <v/>
      </c>
      <c r="E45" s="35">
        <f>IF(B45="","",COUNTIFS('سجل التحفيز'!$T$5:$T$2004,"&gt;0",'سجل التحفيز'!$B$5:$B$2004,B45,'سجل التحفيز'!$D$5:$D$2004,"ذهبي"))</f>
        <v/>
      </c>
      <c r="F45" s="35">
        <f>IF(B45="","",SUMIFS('سجل التحفيز'!$G$5:$G$2004,'سجل التحفيز'!$T$5:$T$2004,"&gt;0",'سجل التحفيز'!$B$5:$B$2004,B45))</f>
        <v/>
      </c>
      <c r="G45" s="35">
        <f>IF(B45="","",COUNTIF($D$38:$D$187,"&gt;"&amp;D45)+1)</f>
        <v/>
      </c>
      <c r="H45" s="35">
        <f>IF(B45="","",INDEX(الموظفات!$L$5:$L$304,MATCH(B45,الموظفات!$B$5:$B$304,0)))</f>
        <v/>
      </c>
      <c r="K45" s="36">
        <f>IF(8&gt;$B$10,"",8)</f>
        <v/>
      </c>
      <c r="L45" s="37">
        <f>IF($K45="","",INDEX('سجل التحفيز'!$A$5:$A$2004,MATCH($K45,'سجل التحفيز'!$T$5:$T$2004,0)))</f>
        <v/>
      </c>
      <c r="M45" s="9">
        <f>IF($K45="","",INDEX('سجل التحفيز'!$B$5:$B$2004,MATCH($K45,'سجل التحفيز'!$T$5:$T$2004,0)))</f>
        <v/>
      </c>
      <c r="N45" s="9">
        <f>IF($K45="","",INDEX('سجل التحفيز'!$M$5:$M$2004,MATCH($K45,'سجل التحفيز'!$T$5:$T$2004,0)))</f>
        <v/>
      </c>
      <c r="O45" s="9">
        <f>IF($K45="","",INDEX('سجل التحفيز'!$C$5:$C$2004,MATCH($K45,'سجل التحفيز'!$T$5:$T$2004,0)))</f>
        <v/>
      </c>
      <c r="P45" s="36">
        <f>IF($K45="","",INDEX('سجل التحفيز'!$D$5:$D$2004,MATCH($K45,'سجل التحفيز'!$T$5:$T$2004,0)))</f>
        <v/>
      </c>
      <c r="Q45" s="9">
        <f>IF($K45="","",INDEX('سجل التحفيز'!$E$5:$E$2004,MATCH($K45,'سجل التحفيز'!$T$5:$T$2004,0)))</f>
        <v/>
      </c>
      <c r="R45" s="9">
        <f>IF($K45="","",INDEX('سجل التحفيز'!$F$5:$F$2004,MATCH($K45,'سجل التحفيز'!$T$5:$T$2004,0)))</f>
        <v/>
      </c>
      <c r="S45" s="35">
        <f>IF($K45="","",INDEX('سجل التحفيز'!$G$5:$G$2004,MATCH($K45,'سجل التحفيز'!$T$5:$T$2004,0)))</f>
        <v/>
      </c>
    </row>
    <row r="46">
      <c r="B46" s="34">
        <f>IFERROR(INDEX(الموظفات!$B$5:$B$304,MATCH(9,الموظفات!$N$5:$N$304,0)),"")</f>
        <v/>
      </c>
      <c r="C46" s="34">
        <f>IF(B46="","",INDEX(الموظفات!$D$5:$D$304,MATCH(B46,الموظفات!$B$5:$B$304,0))&amp;"")</f>
        <v/>
      </c>
      <c r="D46" s="35">
        <f>IF(B46="","",COUNTIFS('سجل التحفيز'!$T$5:$T$2004,"&gt;0",'سجل التحفيز'!$B$5:$B$2004,B46))</f>
        <v/>
      </c>
      <c r="E46" s="35">
        <f>IF(B46="","",COUNTIFS('سجل التحفيز'!$T$5:$T$2004,"&gt;0",'سجل التحفيز'!$B$5:$B$2004,B46,'سجل التحفيز'!$D$5:$D$2004,"ذهبي"))</f>
        <v/>
      </c>
      <c r="F46" s="35">
        <f>IF(B46="","",SUMIFS('سجل التحفيز'!$G$5:$G$2004,'سجل التحفيز'!$T$5:$T$2004,"&gt;0",'سجل التحفيز'!$B$5:$B$2004,B46))</f>
        <v/>
      </c>
      <c r="G46" s="35">
        <f>IF(B46="","",COUNTIF($D$38:$D$187,"&gt;"&amp;D46)+1)</f>
        <v/>
      </c>
      <c r="H46" s="35">
        <f>IF(B46="","",INDEX(الموظفات!$L$5:$L$304,MATCH(B46,الموظفات!$B$5:$B$304,0)))</f>
        <v/>
      </c>
      <c r="K46" s="36">
        <f>IF(9&gt;$B$10,"",9)</f>
        <v/>
      </c>
      <c r="L46" s="37">
        <f>IF($K46="","",INDEX('سجل التحفيز'!$A$5:$A$2004,MATCH($K46,'سجل التحفيز'!$T$5:$T$2004,0)))</f>
        <v/>
      </c>
      <c r="M46" s="9">
        <f>IF($K46="","",INDEX('سجل التحفيز'!$B$5:$B$2004,MATCH($K46,'سجل التحفيز'!$T$5:$T$2004,0)))</f>
        <v/>
      </c>
      <c r="N46" s="9">
        <f>IF($K46="","",INDEX('سجل التحفيز'!$M$5:$M$2004,MATCH($K46,'سجل التحفيز'!$T$5:$T$2004,0)))</f>
        <v/>
      </c>
      <c r="O46" s="9">
        <f>IF($K46="","",INDEX('سجل التحفيز'!$C$5:$C$2004,MATCH($K46,'سجل التحفيز'!$T$5:$T$2004,0)))</f>
        <v/>
      </c>
      <c r="P46" s="36">
        <f>IF($K46="","",INDEX('سجل التحفيز'!$D$5:$D$2004,MATCH($K46,'سجل التحفيز'!$T$5:$T$2004,0)))</f>
        <v/>
      </c>
      <c r="Q46" s="9">
        <f>IF($K46="","",INDEX('سجل التحفيز'!$E$5:$E$2004,MATCH($K46,'سجل التحفيز'!$T$5:$T$2004,0)))</f>
        <v/>
      </c>
      <c r="R46" s="9">
        <f>IF($K46="","",INDEX('سجل التحفيز'!$F$5:$F$2004,MATCH($K46,'سجل التحفيز'!$T$5:$T$2004,0)))</f>
        <v/>
      </c>
      <c r="S46" s="35">
        <f>IF($K46="","",INDEX('سجل التحفيز'!$G$5:$G$2004,MATCH($K46,'سجل التحفيز'!$T$5:$T$2004,0)))</f>
        <v/>
      </c>
    </row>
    <row r="47">
      <c r="B47" s="34">
        <f>IFERROR(INDEX(الموظفات!$B$5:$B$304,MATCH(10,الموظفات!$N$5:$N$304,0)),"")</f>
        <v/>
      </c>
      <c r="C47" s="34">
        <f>IF(B47="","",INDEX(الموظفات!$D$5:$D$304,MATCH(B47,الموظفات!$B$5:$B$304,0))&amp;"")</f>
        <v/>
      </c>
      <c r="D47" s="35">
        <f>IF(B47="","",COUNTIFS('سجل التحفيز'!$T$5:$T$2004,"&gt;0",'سجل التحفيز'!$B$5:$B$2004,B47))</f>
        <v/>
      </c>
      <c r="E47" s="35">
        <f>IF(B47="","",COUNTIFS('سجل التحفيز'!$T$5:$T$2004,"&gt;0",'سجل التحفيز'!$B$5:$B$2004,B47,'سجل التحفيز'!$D$5:$D$2004,"ذهبي"))</f>
        <v/>
      </c>
      <c r="F47" s="35">
        <f>IF(B47="","",SUMIFS('سجل التحفيز'!$G$5:$G$2004,'سجل التحفيز'!$T$5:$T$2004,"&gt;0",'سجل التحفيز'!$B$5:$B$2004,B47))</f>
        <v/>
      </c>
      <c r="G47" s="35">
        <f>IF(B47="","",COUNTIF($D$38:$D$187,"&gt;"&amp;D47)+1)</f>
        <v/>
      </c>
      <c r="H47" s="35">
        <f>IF(B47="","",INDEX(الموظفات!$L$5:$L$304,MATCH(B47,الموظفات!$B$5:$B$304,0)))</f>
        <v/>
      </c>
      <c r="K47" s="36">
        <f>IF(10&gt;$B$10,"",10)</f>
        <v/>
      </c>
      <c r="L47" s="37">
        <f>IF($K47="","",INDEX('سجل التحفيز'!$A$5:$A$2004,MATCH($K47,'سجل التحفيز'!$T$5:$T$2004,0)))</f>
        <v/>
      </c>
      <c r="M47" s="9">
        <f>IF($K47="","",INDEX('سجل التحفيز'!$B$5:$B$2004,MATCH($K47,'سجل التحفيز'!$T$5:$T$2004,0)))</f>
        <v/>
      </c>
      <c r="N47" s="9">
        <f>IF($K47="","",INDEX('سجل التحفيز'!$M$5:$M$2004,MATCH($K47,'سجل التحفيز'!$T$5:$T$2004,0)))</f>
        <v/>
      </c>
      <c r="O47" s="9">
        <f>IF($K47="","",INDEX('سجل التحفيز'!$C$5:$C$2004,MATCH($K47,'سجل التحفيز'!$T$5:$T$2004,0)))</f>
        <v/>
      </c>
      <c r="P47" s="36">
        <f>IF($K47="","",INDEX('سجل التحفيز'!$D$5:$D$2004,MATCH($K47,'سجل التحفيز'!$T$5:$T$2004,0)))</f>
        <v/>
      </c>
      <c r="Q47" s="9">
        <f>IF($K47="","",INDEX('سجل التحفيز'!$E$5:$E$2004,MATCH($K47,'سجل التحفيز'!$T$5:$T$2004,0)))</f>
        <v/>
      </c>
      <c r="R47" s="9">
        <f>IF($K47="","",INDEX('سجل التحفيز'!$F$5:$F$2004,MATCH($K47,'سجل التحفيز'!$T$5:$T$2004,0)))</f>
        <v/>
      </c>
      <c r="S47" s="35">
        <f>IF($K47="","",INDEX('سجل التحفيز'!$G$5:$G$2004,MATCH($K47,'سجل التحفيز'!$T$5:$T$2004,0)))</f>
        <v/>
      </c>
    </row>
    <row r="48">
      <c r="B48" s="34">
        <f>IFERROR(INDEX(الموظفات!$B$5:$B$304,MATCH(11,الموظفات!$N$5:$N$304,0)),"")</f>
        <v/>
      </c>
      <c r="C48" s="34">
        <f>IF(B48="","",INDEX(الموظفات!$D$5:$D$304,MATCH(B48,الموظفات!$B$5:$B$304,0))&amp;"")</f>
        <v/>
      </c>
      <c r="D48" s="35">
        <f>IF(B48="","",COUNTIFS('سجل التحفيز'!$T$5:$T$2004,"&gt;0",'سجل التحفيز'!$B$5:$B$2004,B48))</f>
        <v/>
      </c>
      <c r="E48" s="35">
        <f>IF(B48="","",COUNTIFS('سجل التحفيز'!$T$5:$T$2004,"&gt;0",'سجل التحفيز'!$B$5:$B$2004,B48,'سجل التحفيز'!$D$5:$D$2004,"ذهبي"))</f>
        <v/>
      </c>
      <c r="F48" s="35">
        <f>IF(B48="","",SUMIFS('سجل التحفيز'!$G$5:$G$2004,'سجل التحفيز'!$T$5:$T$2004,"&gt;0",'سجل التحفيز'!$B$5:$B$2004,B48))</f>
        <v/>
      </c>
      <c r="G48" s="35">
        <f>IF(B48="","",COUNTIF($D$38:$D$187,"&gt;"&amp;D48)+1)</f>
        <v/>
      </c>
      <c r="H48" s="35">
        <f>IF(B48="","",INDEX(الموظفات!$L$5:$L$304,MATCH(B48,الموظفات!$B$5:$B$304,0)))</f>
        <v/>
      </c>
      <c r="K48" s="36">
        <f>IF(11&gt;$B$10,"",11)</f>
        <v/>
      </c>
      <c r="L48" s="37">
        <f>IF($K48="","",INDEX('سجل التحفيز'!$A$5:$A$2004,MATCH($K48,'سجل التحفيز'!$T$5:$T$2004,0)))</f>
        <v/>
      </c>
      <c r="M48" s="9">
        <f>IF($K48="","",INDEX('سجل التحفيز'!$B$5:$B$2004,MATCH($K48,'سجل التحفيز'!$T$5:$T$2004,0)))</f>
        <v/>
      </c>
      <c r="N48" s="9">
        <f>IF($K48="","",INDEX('سجل التحفيز'!$M$5:$M$2004,MATCH($K48,'سجل التحفيز'!$T$5:$T$2004,0)))</f>
        <v/>
      </c>
      <c r="O48" s="9">
        <f>IF($K48="","",INDEX('سجل التحفيز'!$C$5:$C$2004,MATCH($K48,'سجل التحفيز'!$T$5:$T$2004,0)))</f>
        <v/>
      </c>
      <c r="P48" s="36">
        <f>IF($K48="","",INDEX('سجل التحفيز'!$D$5:$D$2004,MATCH($K48,'سجل التحفيز'!$T$5:$T$2004,0)))</f>
        <v/>
      </c>
      <c r="Q48" s="9">
        <f>IF($K48="","",INDEX('سجل التحفيز'!$E$5:$E$2004,MATCH($K48,'سجل التحفيز'!$T$5:$T$2004,0)))</f>
        <v/>
      </c>
      <c r="R48" s="9">
        <f>IF($K48="","",INDEX('سجل التحفيز'!$F$5:$F$2004,MATCH($K48,'سجل التحفيز'!$T$5:$T$2004,0)))</f>
        <v/>
      </c>
      <c r="S48" s="35">
        <f>IF($K48="","",INDEX('سجل التحفيز'!$G$5:$G$2004,MATCH($K48,'سجل التحفيز'!$T$5:$T$2004,0)))</f>
        <v/>
      </c>
    </row>
    <row r="49">
      <c r="B49" s="34">
        <f>IFERROR(INDEX(الموظفات!$B$5:$B$304,MATCH(12,الموظفات!$N$5:$N$304,0)),"")</f>
        <v/>
      </c>
      <c r="C49" s="34">
        <f>IF(B49="","",INDEX(الموظفات!$D$5:$D$304,MATCH(B49,الموظفات!$B$5:$B$304,0))&amp;"")</f>
        <v/>
      </c>
      <c r="D49" s="35">
        <f>IF(B49="","",COUNTIFS('سجل التحفيز'!$T$5:$T$2004,"&gt;0",'سجل التحفيز'!$B$5:$B$2004,B49))</f>
        <v/>
      </c>
      <c r="E49" s="35">
        <f>IF(B49="","",COUNTIFS('سجل التحفيز'!$T$5:$T$2004,"&gt;0",'سجل التحفيز'!$B$5:$B$2004,B49,'سجل التحفيز'!$D$5:$D$2004,"ذهبي"))</f>
        <v/>
      </c>
      <c r="F49" s="35">
        <f>IF(B49="","",SUMIFS('سجل التحفيز'!$G$5:$G$2004,'سجل التحفيز'!$T$5:$T$2004,"&gt;0",'سجل التحفيز'!$B$5:$B$2004,B49))</f>
        <v/>
      </c>
      <c r="G49" s="35">
        <f>IF(B49="","",COUNTIF($D$38:$D$187,"&gt;"&amp;D49)+1)</f>
        <v/>
      </c>
      <c r="H49" s="35">
        <f>IF(B49="","",INDEX(الموظفات!$L$5:$L$304,MATCH(B49,الموظفات!$B$5:$B$304,0)))</f>
        <v/>
      </c>
      <c r="K49" s="36">
        <f>IF(12&gt;$B$10,"",12)</f>
        <v/>
      </c>
      <c r="L49" s="37">
        <f>IF($K49="","",INDEX('سجل التحفيز'!$A$5:$A$2004,MATCH($K49,'سجل التحفيز'!$T$5:$T$2004,0)))</f>
        <v/>
      </c>
      <c r="M49" s="9">
        <f>IF($K49="","",INDEX('سجل التحفيز'!$B$5:$B$2004,MATCH($K49,'سجل التحفيز'!$T$5:$T$2004,0)))</f>
        <v/>
      </c>
      <c r="N49" s="9">
        <f>IF($K49="","",INDEX('سجل التحفيز'!$M$5:$M$2004,MATCH($K49,'سجل التحفيز'!$T$5:$T$2004,0)))</f>
        <v/>
      </c>
      <c r="O49" s="9">
        <f>IF($K49="","",INDEX('سجل التحفيز'!$C$5:$C$2004,MATCH($K49,'سجل التحفيز'!$T$5:$T$2004,0)))</f>
        <v/>
      </c>
      <c r="P49" s="36">
        <f>IF($K49="","",INDEX('سجل التحفيز'!$D$5:$D$2004,MATCH($K49,'سجل التحفيز'!$T$5:$T$2004,0)))</f>
        <v/>
      </c>
      <c r="Q49" s="9">
        <f>IF($K49="","",INDEX('سجل التحفيز'!$E$5:$E$2004,MATCH($K49,'سجل التحفيز'!$T$5:$T$2004,0)))</f>
        <v/>
      </c>
      <c r="R49" s="9">
        <f>IF($K49="","",INDEX('سجل التحفيز'!$F$5:$F$2004,MATCH($K49,'سجل التحفيز'!$T$5:$T$2004,0)))</f>
        <v/>
      </c>
      <c r="S49" s="35">
        <f>IF($K49="","",INDEX('سجل التحفيز'!$G$5:$G$2004,MATCH($K49,'سجل التحفيز'!$T$5:$T$2004,0)))</f>
        <v/>
      </c>
    </row>
    <row r="50">
      <c r="B50" s="34">
        <f>IFERROR(INDEX(الموظفات!$B$5:$B$304,MATCH(13,الموظفات!$N$5:$N$304,0)),"")</f>
        <v/>
      </c>
      <c r="C50" s="34">
        <f>IF(B50="","",INDEX(الموظفات!$D$5:$D$304,MATCH(B50,الموظفات!$B$5:$B$304,0))&amp;"")</f>
        <v/>
      </c>
      <c r="D50" s="35">
        <f>IF(B50="","",COUNTIFS('سجل التحفيز'!$T$5:$T$2004,"&gt;0",'سجل التحفيز'!$B$5:$B$2004,B50))</f>
        <v/>
      </c>
      <c r="E50" s="35">
        <f>IF(B50="","",COUNTIFS('سجل التحفيز'!$T$5:$T$2004,"&gt;0",'سجل التحفيز'!$B$5:$B$2004,B50,'سجل التحفيز'!$D$5:$D$2004,"ذهبي"))</f>
        <v/>
      </c>
      <c r="F50" s="35">
        <f>IF(B50="","",SUMIFS('سجل التحفيز'!$G$5:$G$2004,'سجل التحفيز'!$T$5:$T$2004,"&gt;0",'سجل التحفيز'!$B$5:$B$2004,B50))</f>
        <v/>
      </c>
      <c r="G50" s="35">
        <f>IF(B50="","",COUNTIF($D$38:$D$187,"&gt;"&amp;D50)+1)</f>
        <v/>
      </c>
      <c r="H50" s="35">
        <f>IF(B50="","",INDEX(الموظفات!$L$5:$L$304,MATCH(B50,الموظفات!$B$5:$B$304,0)))</f>
        <v/>
      </c>
      <c r="K50" s="36">
        <f>IF(13&gt;$B$10,"",13)</f>
        <v/>
      </c>
      <c r="L50" s="37">
        <f>IF($K50="","",INDEX('سجل التحفيز'!$A$5:$A$2004,MATCH($K50,'سجل التحفيز'!$T$5:$T$2004,0)))</f>
        <v/>
      </c>
      <c r="M50" s="9">
        <f>IF($K50="","",INDEX('سجل التحفيز'!$B$5:$B$2004,MATCH($K50,'سجل التحفيز'!$T$5:$T$2004,0)))</f>
        <v/>
      </c>
      <c r="N50" s="9">
        <f>IF($K50="","",INDEX('سجل التحفيز'!$M$5:$M$2004,MATCH($K50,'سجل التحفيز'!$T$5:$T$2004,0)))</f>
        <v/>
      </c>
      <c r="O50" s="9">
        <f>IF($K50="","",INDEX('سجل التحفيز'!$C$5:$C$2004,MATCH($K50,'سجل التحفيز'!$T$5:$T$2004,0)))</f>
        <v/>
      </c>
      <c r="P50" s="36">
        <f>IF($K50="","",INDEX('سجل التحفيز'!$D$5:$D$2004,MATCH($K50,'سجل التحفيز'!$T$5:$T$2004,0)))</f>
        <v/>
      </c>
      <c r="Q50" s="9">
        <f>IF($K50="","",INDEX('سجل التحفيز'!$E$5:$E$2004,MATCH($K50,'سجل التحفيز'!$T$5:$T$2004,0)))</f>
        <v/>
      </c>
      <c r="R50" s="9">
        <f>IF($K50="","",INDEX('سجل التحفيز'!$F$5:$F$2004,MATCH($K50,'سجل التحفيز'!$T$5:$T$2004,0)))</f>
        <v/>
      </c>
      <c r="S50" s="35">
        <f>IF($K50="","",INDEX('سجل التحفيز'!$G$5:$G$2004,MATCH($K50,'سجل التحفيز'!$T$5:$T$2004,0)))</f>
        <v/>
      </c>
    </row>
    <row r="51">
      <c r="B51" s="34">
        <f>IFERROR(INDEX(الموظفات!$B$5:$B$304,MATCH(14,الموظفات!$N$5:$N$304,0)),"")</f>
        <v/>
      </c>
      <c r="C51" s="34">
        <f>IF(B51="","",INDEX(الموظفات!$D$5:$D$304,MATCH(B51,الموظفات!$B$5:$B$304,0))&amp;"")</f>
        <v/>
      </c>
      <c r="D51" s="35">
        <f>IF(B51="","",COUNTIFS('سجل التحفيز'!$T$5:$T$2004,"&gt;0",'سجل التحفيز'!$B$5:$B$2004,B51))</f>
        <v/>
      </c>
      <c r="E51" s="35">
        <f>IF(B51="","",COUNTIFS('سجل التحفيز'!$T$5:$T$2004,"&gt;0",'سجل التحفيز'!$B$5:$B$2004,B51,'سجل التحفيز'!$D$5:$D$2004,"ذهبي"))</f>
        <v/>
      </c>
      <c r="F51" s="35">
        <f>IF(B51="","",SUMIFS('سجل التحفيز'!$G$5:$G$2004,'سجل التحفيز'!$T$5:$T$2004,"&gt;0",'سجل التحفيز'!$B$5:$B$2004,B51))</f>
        <v/>
      </c>
      <c r="G51" s="35">
        <f>IF(B51="","",COUNTIF($D$38:$D$187,"&gt;"&amp;D51)+1)</f>
        <v/>
      </c>
      <c r="H51" s="35">
        <f>IF(B51="","",INDEX(الموظفات!$L$5:$L$304,MATCH(B51,الموظفات!$B$5:$B$304,0)))</f>
        <v/>
      </c>
      <c r="K51" s="36">
        <f>IF(14&gt;$B$10,"",14)</f>
        <v/>
      </c>
      <c r="L51" s="37">
        <f>IF($K51="","",INDEX('سجل التحفيز'!$A$5:$A$2004,MATCH($K51,'سجل التحفيز'!$T$5:$T$2004,0)))</f>
        <v/>
      </c>
      <c r="M51" s="9">
        <f>IF($K51="","",INDEX('سجل التحفيز'!$B$5:$B$2004,MATCH($K51,'سجل التحفيز'!$T$5:$T$2004,0)))</f>
        <v/>
      </c>
      <c r="N51" s="9">
        <f>IF($K51="","",INDEX('سجل التحفيز'!$M$5:$M$2004,MATCH($K51,'سجل التحفيز'!$T$5:$T$2004,0)))</f>
        <v/>
      </c>
      <c r="O51" s="9">
        <f>IF($K51="","",INDEX('سجل التحفيز'!$C$5:$C$2004,MATCH($K51,'سجل التحفيز'!$T$5:$T$2004,0)))</f>
        <v/>
      </c>
      <c r="P51" s="36">
        <f>IF($K51="","",INDEX('سجل التحفيز'!$D$5:$D$2004,MATCH($K51,'سجل التحفيز'!$T$5:$T$2004,0)))</f>
        <v/>
      </c>
      <c r="Q51" s="9">
        <f>IF($K51="","",INDEX('سجل التحفيز'!$E$5:$E$2004,MATCH($K51,'سجل التحفيز'!$T$5:$T$2004,0)))</f>
        <v/>
      </c>
      <c r="R51" s="9">
        <f>IF($K51="","",INDEX('سجل التحفيز'!$F$5:$F$2004,MATCH($K51,'سجل التحفيز'!$T$5:$T$2004,0)))</f>
        <v/>
      </c>
      <c r="S51" s="35">
        <f>IF($K51="","",INDEX('سجل التحفيز'!$G$5:$G$2004,MATCH($K51,'سجل التحفيز'!$T$5:$T$2004,0)))</f>
        <v/>
      </c>
    </row>
    <row r="52">
      <c r="B52" s="34">
        <f>IFERROR(INDEX(الموظفات!$B$5:$B$304,MATCH(15,الموظفات!$N$5:$N$304,0)),"")</f>
        <v/>
      </c>
      <c r="C52" s="34">
        <f>IF(B52="","",INDEX(الموظفات!$D$5:$D$304,MATCH(B52,الموظفات!$B$5:$B$304,0))&amp;"")</f>
        <v/>
      </c>
      <c r="D52" s="35">
        <f>IF(B52="","",COUNTIFS('سجل التحفيز'!$T$5:$T$2004,"&gt;0",'سجل التحفيز'!$B$5:$B$2004,B52))</f>
        <v/>
      </c>
      <c r="E52" s="35">
        <f>IF(B52="","",COUNTIFS('سجل التحفيز'!$T$5:$T$2004,"&gt;0",'سجل التحفيز'!$B$5:$B$2004,B52,'سجل التحفيز'!$D$5:$D$2004,"ذهبي"))</f>
        <v/>
      </c>
      <c r="F52" s="35">
        <f>IF(B52="","",SUMIFS('سجل التحفيز'!$G$5:$G$2004,'سجل التحفيز'!$T$5:$T$2004,"&gt;0",'سجل التحفيز'!$B$5:$B$2004,B52))</f>
        <v/>
      </c>
      <c r="G52" s="35">
        <f>IF(B52="","",COUNTIF($D$38:$D$187,"&gt;"&amp;D52)+1)</f>
        <v/>
      </c>
      <c r="H52" s="35">
        <f>IF(B52="","",INDEX(الموظفات!$L$5:$L$304,MATCH(B52,الموظفات!$B$5:$B$304,0)))</f>
        <v/>
      </c>
      <c r="K52" s="36">
        <f>IF(15&gt;$B$10,"",15)</f>
        <v/>
      </c>
      <c r="L52" s="37">
        <f>IF($K52="","",INDEX('سجل التحفيز'!$A$5:$A$2004,MATCH($K52,'سجل التحفيز'!$T$5:$T$2004,0)))</f>
        <v/>
      </c>
      <c r="M52" s="9">
        <f>IF($K52="","",INDEX('سجل التحفيز'!$B$5:$B$2004,MATCH($K52,'سجل التحفيز'!$T$5:$T$2004,0)))</f>
        <v/>
      </c>
      <c r="N52" s="9">
        <f>IF($K52="","",INDEX('سجل التحفيز'!$M$5:$M$2004,MATCH($K52,'سجل التحفيز'!$T$5:$T$2004,0)))</f>
        <v/>
      </c>
      <c r="O52" s="9">
        <f>IF($K52="","",INDEX('سجل التحفيز'!$C$5:$C$2004,MATCH($K52,'سجل التحفيز'!$T$5:$T$2004,0)))</f>
        <v/>
      </c>
      <c r="P52" s="36">
        <f>IF($K52="","",INDEX('سجل التحفيز'!$D$5:$D$2004,MATCH($K52,'سجل التحفيز'!$T$5:$T$2004,0)))</f>
        <v/>
      </c>
      <c r="Q52" s="9">
        <f>IF($K52="","",INDEX('سجل التحفيز'!$E$5:$E$2004,MATCH($K52,'سجل التحفيز'!$T$5:$T$2004,0)))</f>
        <v/>
      </c>
      <c r="R52" s="9">
        <f>IF($K52="","",INDEX('سجل التحفيز'!$F$5:$F$2004,MATCH($K52,'سجل التحفيز'!$T$5:$T$2004,0)))</f>
        <v/>
      </c>
      <c r="S52" s="35">
        <f>IF($K52="","",INDEX('سجل التحفيز'!$G$5:$G$2004,MATCH($K52,'سجل التحفيز'!$T$5:$T$2004,0)))</f>
        <v/>
      </c>
    </row>
    <row r="53">
      <c r="B53" s="34">
        <f>IFERROR(INDEX(الموظفات!$B$5:$B$304,MATCH(16,الموظفات!$N$5:$N$304,0)),"")</f>
        <v/>
      </c>
      <c r="C53" s="34">
        <f>IF(B53="","",INDEX(الموظفات!$D$5:$D$304,MATCH(B53,الموظفات!$B$5:$B$304,0))&amp;"")</f>
        <v/>
      </c>
      <c r="D53" s="35">
        <f>IF(B53="","",COUNTIFS('سجل التحفيز'!$T$5:$T$2004,"&gt;0",'سجل التحفيز'!$B$5:$B$2004,B53))</f>
        <v/>
      </c>
      <c r="E53" s="35">
        <f>IF(B53="","",COUNTIFS('سجل التحفيز'!$T$5:$T$2004,"&gt;0",'سجل التحفيز'!$B$5:$B$2004,B53,'سجل التحفيز'!$D$5:$D$2004,"ذهبي"))</f>
        <v/>
      </c>
      <c r="F53" s="35">
        <f>IF(B53="","",SUMIFS('سجل التحفيز'!$G$5:$G$2004,'سجل التحفيز'!$T$5:$T$2004,"&gt;0",'سجل التحفيز'!$B$5:$B$2004,B53))</f>
        <v/>
      </c>
      <c r="G53" s="35">
        <f>IF(B53="","",COUNTIF($D$38:$D$187,"&gt;"&amp;D53)+1)</f>
        <v/>
      </c>
      <c r="H53" s="35">
        <f>IF(B53="","",INDEX(الموظفات!$L$5:$L$304,MATCH(B53,الموظفات!$B$5:$B$304,0)))</f>
        <v/>
      </c>
      <c r="K53" s="36">
        <f>IF(16&gt;$B$10,"",16)</f>
        <v/>
      </c>
      <c r="L53" s="37">
        <f>IF($K53="","",INDEX('سجل التحفيز'!$A$5:$A$2004,MATCH($K53,'سجل التحفيز'!$T$5:$T$2004,0)))</f>
        <v/>
      </c>
      <c r="M53" s="9">
        <f>IF($K53="","",INDEX('سجل التحفيز'!$B$5:$B$2004,MATCH($K53,'سجل التحفيز'!$T$5:$T$2004,0)))</f>
        <v/>
      </c>
      <c r="N53" s="9">
        <f>IF($K53="","",INDEX('سجل التحفيز'!$M$5:$M$2004,MATCH($K53,'سجل التحفيز'!$T$5:$T$2004,0)))</f>
        <v/>
      </c>
      <c r="O53" s="9">
        <f>IF($K53="","",INDEX('سجل التحفيز'!$C$5:$C$2004,MATCH($K53,'سجل التحفيز'!$T$5:$T$2004,0)))</f>
        <v/>
      </c>
      <c r="P53" s="36">
        <f>IF($K53="","",INDEX('سجل التحفيز'!$D$5:$D$2004,MATCH($K53,'سجل التحفيز'!$T$5:$T$2004,0)))</f>
        <v/>
      </c>
      <c r="Q53" s="9">
        <f>IF($K53="","",INDEX('سجل التحفيز'!$E$5:$E$2004,MATCH($K53,'سجل التحفيز'!$T$5:$T$2004,0)))</f>
        <v/>
      </c>
      <c r="R53" s="9">
        <f>IF($K53="","",INDEX('سجل التحفيز'!$F$5:$F$2004,MATCH($K53,'سجل التحفيز'!$T$5:$T$2004,0)))</f>
        <v/>
      </c>
      <c r="S53" s="35">
        <f>IF($K53="","",INDEX('سجل التحفيز'!$G$5:$G$2004,MATCH($K53,'سجل التحفيز'!$T$5:$T$2004,0)))</f>
        <v/>
      </c>
    </row>
    <row r="54">
      <c r="B54" s="34">
        <f>IFERROR(INDEX(الموظفات!$B$5:$B$304,MATCH(17,الموظفات!$N$5:$N$304,0)),"")</f>
        <v/>
      </c>
      <c r="C54" s="34">
        <f>IF(B54="","",INDEX(الموظفات!$D$5:$D$304,MATCH(B54,الموظفات!$B$5:$B$304,0))&amp;"")</f>
        <v/>
      </c>
      <c r="D54" s="35">
        <f>IF(B54="","",COUNTIFS('سجل التحفيز'!$T$5:$T$2004,"&gt;0",'سجل التحفيز'!$B$5:$B$2004,B54))</f>
        <v/>
      </c>
      <c r="E54" s="35">
        <f>IF(B54="","",COUNTIFS('سجل التحفيز'!$T$5:$T$2004,"&gt;0",'سجل التحفيز'!$B$5:$B$2004,B54,'سجل التحفيز'!$D$5:$D$2004,"ذهبي"))</f>
        <v/>
      </c>
      <c r="F54" s="35">
        <f>IF(B54="","",SUMIFS('سجل التحفيز'!$G$5:$G$2004,'سجل التحفيز'!$T$5:$T$2004,"&gt;0",'سجل التحفيز'!$B$5:$B$2004,B54))</f>
        <v/>
      </c>
      <c r="G54" s="35">
        <f>IF(B54="","",COUNTIF($D$38:$D$187,"&gt;"&amp;D54)+1)</f>
        <v/>
      </c>
      <c r="H54" s="35">
        <f>IF(B54="","",INDEX(الموظفات!$L$5:$L$304,MATCH(B54,الموظفات!$B$5:$B$304,0)))</f>
        <v/>
      </c>
      <c r="K54" s="36">
        <f>IF(17&gt;$B$10,"",17)</f>
        <v/>
      </c>
      <c r="L54" s="37">
        <f>IF($K54="","",INDEX('سجل التحفيز'!$A$5:$A$2004,MATCH($K54,'سجل التحفيز'!$T$5:$T$2004,0)))</f>
        <v/>
      </c>
      <c r="M54" s="9">
        <f>IF($K54="","",INDEX('سجل التحفيز'!$B$5:$B$2004,MATCH($K54,'سجل التحفيز'!$T$5:$T$2004,0)))</f>
        <v/>
      </c>
      <c r="N54" s="9">
        <f>IF($K54="","",INDEX('سجل التحفيز'!$M$5:$M$2004,MATCH($K54,'سجل التحفيز'!$T$5:$T$2004,0)))</f>
        <v/>
      </c>
      <c r="O54" s="9">
        <f>IF($K54="","",INDEX('سجل التحفيز'!$C$5:$C$2004,MATCH($K54,'سجل التحفيز'!$T$5:$T$2004,0)))</f>
        <v/>
      </c>
      <c r="P54" s="36">
        <f>IF($K54="","",INDEX('سجل التحفيز'!$D$5:$D$2004,MATCH($K54,'سجل التحفيز'!$T$5:$T$2004,0)))</f>
        <v/>
      </c>
      <c r="Q54" s="9">
        <f>IF($K54="","",INDEX('سجل التحفيز'!$E$5:$E$2004,MATCH($K54,'سجل التحفيز'!$T$5:$T$2004,0)))</f>
        <v/>
      </c>
      <c r="R54" s="9">
        <f>IF($K54="","",INDEX('سجل التحفيز'!$F$5:$F$2004,MATCH($K54,'سجل التحفيز'!$T$5:$T$2004,0)))</f>
        <v/>
      </c>
      <c r="S54" s="35">
        <f>IF($K54="","",INDEX('سجل التحفيز'!$G$5:$G$2004,MATCH($K54,'سجل التحفيز'!$T$5:$T$2004,0)))</f>
        <v/>
      </c>
    </row>
    <row r="55">
      <c r="B55" s="34">
        <f>IFERROR(INDEX(الموظفات!$B$5:$B$304,MATCH(18,الموظفات!$N$5:$N$304,0)),"")</f>
        <v/>
      </c>
      <c r="C55" s="34">
        <f>IF(B55="","",INDEX(الموظفات!$D$5:$D$304,MATCH(B55,الموظفات!$B$5:$B$304,0))&amp;"")</f>
        <v/>
      </c>
      <c r="D55" s="35">
        <f>IF(B55="","",COUNTIFS('سجل التحفيز'!$T$5:$T$2004,"&gt;0",'سجل التحفيز'!$B$5:$B$2004,B55))</f>
        <v/>
      </c>
      <c r="E55" s="35">
        <f>IF(B55="","",COUNTIFS('سجل التحفيز'!$T$5:$T$2004,"&gt;0",'سجل التحفيز'!$B$5:$B$2004,B55,'سجل التحفيز'!$D$5:$D$2004,"ذهبي"))</f>
        <v/>
      </c>
      <c r="F55" s="35">
        <f>IF(B55="","",SUMIFS('سجل التحفيز'!$G$5:$G$2004,'سجل التحفيز'!$T$5:$T$2004,"&gt;0",'سجل التحفيز'!$B$5:$B$2004,B55))</f>
        <v/>
      </c>
      <c r="G55" s="35">
        <f>IF(B55="","",COUNTIF($D$38:$D$187,"&gt;"&amp;D55)+1)</f>
        <v/>
      </c>
      <c r="H55" s="35">
        <f>IF(B55="","",INDEX(الموظفات!$L$5:$L$304,MATCH(B55,الموظفات!$B$5:$B$304,0)))</f>
        <v/>
      </c>
      <c r="K55" s="36">
        <f>IF(18&gt;$B$10,"",18)</f>
        <v/>
      </c>
      <c r="L55" s="37">
        <f>IF($K55="","",INDEX('سجل التحفيز'!$A$5:$A$2004,MATCH($K55,'سجل التحفيز'!$T$5:$T$2004,0)))</f>
        <v/>
      </c>
      <c r="M55" s="9">
        <f>IF($K55="","",INDEX('سجل التحفيز'!$B$5:$B$2004,MATCH($K55,'سجل التحفيز'!$T$5:$T$2004,0)))</f>
        <v/>
      </c>
      <c r="N55" s="9">
        <f>IF($K55="","",INDEX('سجل التحفيز'!$M$5:$M$2004,MATCH($K55,'سجل التحفيز'!$T$5:$T$2004,0)))</f>
        <v/>
      </c>
      <c r="O55" s="9">
        <f>IF($K55="","",INDEX('سجل التحفيز'!$C$5:$C$2004,MATCH($K55,'سجل التحفيز'!$T$5:$T$2004,0)))</f>
        <v/>
      </c>
      <c r="P55" s="36">
        <f>IF($K55="","",INDEX('سجل التحفيز'!$D$5:$D$2004,MATCH($K55,'سجل التحفيز'!$T$5:$T$2004,0)))</f>
        <v/>
      </c>
      <c r="Q55" s="9">
        <f>IF($K55="","",INDEX('سجل التحفيز'!$E$5:$E$2004,MATCH($K55,'سجل التحفيز'!$T$5:$T$2004,0)))</f>
        <v/>
      </c>
      <c r="R55" s="9">
        <f>IF($K55="","",INDEX('سجل التحفيز'!$F$5:$F$2004,MATCH($K55,'سجل التحفيز'!$T$5:$T$2004,0)))</f>
        <v/>
      </c>
      <c r="S55" s="35">
        <f>IF($K55="","",INDEX('سجل التحفيز'!$G$5:$G$2004,MATCH($K55,'سجل التحفيز'!$T$5:$T$2004,0)))</f>
        <v/>
      </c>
    </row>
    <row r="56">
      <c r="B56" s="34">
        <f>IFERROR(INDEX(الموظفات!$B$5:$B$304,MATCH(19,الموظفات!$N$5:$N$304,0)),"")</f>
        <v/>
      </c>
      <c r="C56" s="34">
        <f>IF(B56="","",INDEX(الموظفات!$D$5:$D$304,MATCH(B56,الموظفات!$B$5:$B$304,0))&amp;"")</f>
        <v/>
      </c>
      <c r="D56" s="35">
        <f>IF(B56="","",COUNTIFS('سجل التحفيز'!$T$5:$T$2004,"&gt;0",'سجل التحفيز'!$B$5:$B$2004,B56))</f>
        <v/>
      </c>
      <c r="E56" s="35">
        <f>IF(B56="","",COUNTIFS('سجل التحفيز'!$T$5:$T$2004,"&gt;0",'سجل التحفيز'!$B$5:$B$2004,B56,'سجل التحفيز'!$D$5:$D$2004,"ذهبي"))</f>
        <v/>
      </c>
      <c r="F56" s="35">
        <f>IF(B56="","",SUMIFS('سجل التحفيز'!$G$5:$G$2004,'سجل التحفيز'!$T$5:$T$2004,"&gt;0",'سجل التحفيز'!$B$5:$B$2004,B56))</f>
        <v/>
      </c>
      <c r="G56" s="35">
        <f>IF(B56="","",COUNTIF($D$38:$D$187,"&gt;"&amp;D56)+1)</f>
        <v/>
      </c>
      <c r="H56" s="35">
        <f>IF(B56="","",INDEX(الموظفات!$L$5:$L$304,MATCH(B56,الموظفات!$B$5:$B$304,0)))</f>
        <v/>
      </c>
      <c r="K56" s="36">
        <f>IF(19&gt;$B$10,"",19)</f>
        <v/>
      </c>
      <c r="L56" s="37">
        <f>IF($K56="","",INDEX('سجل التحفيز'!$A$5:$A$2004,MATCH($K56,'سجل التحفيز'!$T$5:$T$2004,0)))</f>
        <v/>
      </c>
      <c r="M56" s="9">
        <f>IF($K56="","",INDEX('سجل التحفيز'!$B$5:$B$2004,MATCH($K56,'سجل التحفيز'!$T$5:$T$2004,0)))</f>
        <v/>
      </c>
      <c r="N56" s="9">
        <f>IF($K56="","",INDEX('سجل التحفيز'!$M$5:$M$2004,MATCH($K56,'سجل التحفيز'!$T$5:$T$2004,0)))</f>
        <v/>
      </c>
      <c r="O56" s="9">
        <f>IF($K56="","",INDEX('سجل التحفيز'!$C$5:$C$2004,MATCH($K56,'سجل التحفيز'!$T$5:$T$2004,0)))</f>
        <v/>
      </c>
      <c r="P56" s="36">
        <f>IF($K56="","",INDEX('سجل التحفيز'!$D$5:$D$2004,MATCH($K56,'سجل التحفيز'!$T$5:$T$2004,0)))</f>
        <v/>
      </c>
      <c r="Q56" s="9">
        <f>IF($K56="","",INDEX('سجل التحفيز'!$E$5:$E$2004,MATCH($K56,'سجل التحفيز'!$T$5:$T$2004,0)))</f>
        <v/>
      </c>
      <c r="R56" s="9">
        <f>IF($K56="","",INDEX('سجل التحفيز'!$F$5:$F$2004,MATCH($K56,'سجل التحفيز'!$T$5:$T$2004,0)))</f>
        <v/>
      </c>
      <c r="S56" s="35">
        <f>IF($K56="","",INDEX('سجل التحفيز'!$G$5:$G$2004,MATCH($K56,'سجل التحفيز'!$T$5:$T$2004,0)))</f>
        <v/>
      </c>
    </row>
    <row r="57">
      <c r="B57" s="34">
        <f>IFERROR(INDEX(الموظفات!$B$5:$B$304,MATCH(20,الموظفات!$N$5:$N$304,0)),"")</f>
        <v/>
      </c>
      <c r="C57" s="34">
        <f>IF(B57="","",INDEX(الموظفات!$D$5:$D$304,MATCH(B57,الموظفات!$B$5:$B$304,0))&amp;"")</f>
        <v/>
      </c>
      <c r="D57" s="35">
        <f>IF(B57="","",COUNTIFS('سجل التحفيز'!$T$5:$T$2004,"&gt;0",'سجل التحفيز'!$B$5:$B$2004,B57))</f>
        <v/>
      </c>
      <c r="E57" s="35">
        <f>IF(B57="","",COUNTIFS('سجل التحفيز'!$T$5:$T$2004,"&gt;0",'سجل التحفيز'!$B$5:$B$2004,B57,'سجل التحفيز'!$D$5:$D$2004,"ذهبي"))</f>
        <v/>
      </c>
      <c r="F57" s="35">
        <f>IF(B57="","",SUMIFS('سجل التحفيز'!$G$5:$G$2004,'سجل التحفيز'!$T$5:$T$2004,"&gt;0",'سجل التحفيز'!$B$5:$B$2004,B57))</f>
        <v/>
      </c>
      <c r="G57" s="35">
        <f>IF(B57="","",COUNTIF($D$38:$D$187,"&gt;"&amp;D57)+1)</f>
        <v/>
      </c>
      <c r="H57" s="35">
        <f>IF(B57="","",INDEX(الموظفات!$L$5:$L$304,MATCH(B57,الموظفات!$B$5:$B$304,0)))</f>
        <v/>
      </c>
      <c r="K57" s="36">
        <f>IF(20&gt;$B$10,"",20)</f>
        <v/>
      </c>
      <c r="L57" s="37">
        <f>IF($K57="","",INDEX('سجل التحفيز'!$A$5:$A$2004,MATCH($K57,'سجل التحفيز'!$T$5:$T$2004,0)))</f>
        <v/>
      </c>
      <c r="M57" s="9">
        <f>IF($K57="","",INDEX('سجل التحفيز'!$B$5:$B$2004,MATCH($K57,'سجل التحفيز'!$T$5:$T$2004,0)))</f>
        <v/>
      </c>
      <c r="N57" s="9">
        <f>IF($K57="","",INDEX('سجل التحفيز'!$M$5:$M$2004,MATCH($K57,'سجل التحفيز'!$T$5:$T$2004,0)))</f>
        <v/>
      </c>
      <c r="O57" s="9">
        <f>IF($K57="","",INDEX('سجل التحفيز'!$C$5:$C$2004,MATCH($K57,'سجل التحفيز'!$T$5:$T$2004,0)))</f>
        <v/>
      </c>
      <c r="P57" s="36">
        <f>IF($K57="","",INDEX('سجل التحفيز'!$D$5:$D$2004,MATCH($K57,'سجل التحفيز'!$T$5:$T$2004,0)))</f>
        <v/>
      </c>
      <c r="Q57" s="9">
        <f>IF($K57="","",INDEX('سجل التحفيز'!$E$5:$E$2004,MATCH($K57,'سجل التحفيز'!$T$5:$T$2004,0)))</f>
        <v/>
      </c>
      <c r="R57" s="9">
        <f>IF($K57="","",INDEX('سجل التحفيز'!$F$5:$F$2004,MATCH($K57,'سجل التحفيز'!$T$5:$T$2004,0)))</f>
        <v/>
      </c>
      <c r="S57" s="35">
        <f>IF($K57="","",INDEX('سجل التحفيز'!$G$5:$G$2004,MATCH($K57,'سجل التحفيز'!$T$5:$T$2004,0)))</f>
        <v/>
      </c>
    </row>
    <row r="58">
      <c r="B58" s="34">
        <f>IFERROR(INDEX(الموظفات!$B$5:$B$304,MATCH(21,الموظفات!$N$5:$N$304,0)),"")</f>
        <v/>
      </c>
      <c r="C58" s="34">
        <f>IF(B58="","",INDEX(الموظفات!$D$5:$D$304,MATCH(B58,الموظفات!$B$5:$B$304,0))&amp;"")</f>
        <v/>
      </c>
      <c r="D58" s="35">
        <f>IF(B58="","",COUNTIFS('سجل التحفيز'!$T$5:$T$2004,"&gt;0",'سجل التحفيز'!$B$5:$B$2004,B58))</f>
        <v/>
      </c>
      <c r="E58" s="35">
        <f>IF(B58="","",COUNTIFS('سجل التحفيز'!$T$5:$T$2004,"&gt;0",'سجل التحفيز'!$B$5:$B$2004,B58,'سجل التحفيز'!$D$5:$D$2004,"ذهبي"))</f>
        <v/>
      </c>
      <c r="F58" s="35">
        <f>IF(B58="","",SUMIFS('سجل التحفيز'!$G$5:$G$2004,'سجل التحفيز'!$T$5:$T$2004,"&gt;0",'سجل التحفيز'!$B$5:$B$2004,B58))</f>
        <v/>
      </c>
      <c r="G58" s="35">
        <f>IF(B58="","",COUNTIF($D$38:$D$187,"&gt;"&amp;D58)+1)</f>
        <v/>
      </c>
      <c r="H58" s="35">
        <f>IF(B58="","",INDEX(الموظفات!$L$5:$L$304,MATCH(B58,الموظفات!$B$5:$B$304,0)))</f>
        <v/>
      </c>
      <c r="K58" s="36">
        <f>IF(21&gt;$B$10,"",21)</f>
        <v/>
      </c>
      <c r="L58" s="37">
        <f>IF($K58="","",INDEX('سجل التحفيز'!$A$5:$A$2004,MATCH($K58,'سجل التحفيز'!$T$5:$T$2004,0)))</f>
        <v/>
      </c>
      <c r="M58" s="9">
        <f>IF($K58="","",INDEX('سجل التحفيز'!$B$5:$B$2004,MATCH($K58,'سجل التحفيز'!$T$5:$T$2004,0)))</f>
        <v/>
      </c>
      <c r="N58" s="9">
        <f>IF($K58="","",INDEX('سجل التحفيز'!$M$5:$M$2004,MATCH($K58,'سجل التحفيز'!$T$5:$T$2004,0)))</f>
        <v/>
      </c>
      <c r="O58" s="9">
        <f>IF($K58="","",INDEX('سجل التحفيز'!$C$5:$C$2004,MATCH($K58,'سجل التحفيز'!$T$5:$T$2004,0)))</f>
        <v/>
      </c>
      <c r="P58" s="36">
        <f>IF($K58="","",INDEX('سجل التحفيز'!$D$5:$D$2004,MATCH($K58,'سجل التحفيز'!$T$5:$T$2004,0)))</f>
        <v/>
      </c>
      <c r="Q58" s="9">
        <f>IF($K58="","",INDEX('سجل التحفيز'!$E$5:$E$2004,MATCH($K58,'سجل التحفيز'!$T$5:$T$2004,0)))</f>
        <v/>
      </c>
      <c r="R58" s="9">
        <f>IF($K58="","",INDEX('سجل التحفيز'!$F$5:$F$2004,MATCH($K58,'سجل التحفيز'!$T$5:$T$2004,0)))</f>
        <v/>
      </c>
      <c r="S58" s="35">
        <f>IF($K58="","",INDEX('سجل التحفيز'!$G$5:$G$2004,MATCH($K58,'سجل التحفيز'!$T$5:$T$2004,0)))</f>
        <v/>
      </c>
    </row>
    <row r="59">
      <c r="B59" s="34">
        <f>IFERROR(INDEX(الموظفات!$B$5:$B$304,MATCH(22,الموظفات!$N$5:$N$304,0)),"")</f>
        <v/>
      </c>
      <c r="C59" s="34">
        <f>IF(B59="","",INDEX(الموظفات!$D$5:$D$304,MATCH(B59,الموظفات!$B$5:$B$304,0))&amp;"")</f>
        <v/>
      </c>
      <c r="D59" s="35">
        <f>IF(B59="","",COUNTIFS('سجل التحفيز'!$T$5:$T$2004,"&gt;0",'سجل التحفيز'!$B$5:$B$2004,B59))</f>
        <v/>
      </c>
      <c r="E59" s="35">
        <f>IF(B59="","",COUNTIFS('سجل التحفيز'!$T$5:$T$2004,"&gt;0",'سجل التحفيز'!$B$5:$B$2004,B59,'سجل التحفيز'!$D$5:$D$2004,"ذهبي"))</f>
        <v/>
      </c>
      <c r="F59" s="35">
        <f>IF(B59="","",SUMIFS('سجل التحفيز'!$G$5:$G$2004,'سجل التحفيز'!$T$5:$T$2004,"&gt;0",'سجل التحفيز'!$B$5:$B$2004,B59))</f>
        <v/>
      </c>
      <c r="G59" s="35">
        <f>IF(B59="","",COUNTIF($D$38:$D$187,"&gt;"&amp;D59)+1)</f>
        <v/>
      </c>
      <c r="H59" s="35">
        <f>IF(B59="","",INDEX(الموظفات!$L$5:$L$304,MATCH(B59,الموظفات!$B$5:$B$304,0)))</f>
        <v/>
      </c>
      <c r="K59" s="36">
        <f>IF(22&gt;$B$10,"",22)</f>
        <v/>
      </c>
      <c r="L59" s="37">
        <f>IF($K59="","",INDEX('سجل التحفيز'!$A$5:$A$2004,MATCH($K59,'سجل التحفيز'!$T$5:$T$2004,0)))</f>
        <v/>
      </c>
      <c r="M59" s="9">
        <f>IF($K59="","",INDEX('سجل التحفيز'!$B$5:$B$2004,MATCH($K59,'سجل التحفيز'!$T$5:$T$2004,0)))</f>
        <v/>
      </c>
      <c r="N59" s="9">
        <f>IF($K59="","",INDEX('سجل التحفيز'!$M$5:$M$2004,MATCH($K59,'سجل التحفيز'!$T$5:$T$2004,0)))</f>
        <v/>
      </c>
      <c r="O59" s="9">
        <f>IF($K59="","",INDEX('سجل التحفيز'!$C$5:$C$2004,MATCH($K59,'سجل التحفيز'!$T$5:$T$2004,0)))</f>
        <v/>
      </c>
      <c r="P59" s="36">
        <f>IF($K59="","",INDEX('سجل التحفيز'!$D$5:$D$2004,MATCH($K59,'سجل التحفيز'!$T$5:$T$2004,0)))</f>
        <v/>
      </c>
      <c r="Q59" s="9">
        <f>IF($K59="","",INDEX('سجل التحفيز'!$E$5:$E$2004,MATCH($K59,'سجل التحفيز'!$T$5:$T$2004,0)))</f>
        <v/>
      </c>
      <c r="R59" s="9">
        <f>IF($K59="","",INDEX('سجل التحفيز'!$F$5:$F$2004,MATCH($K59,'سجل التحفيز'!$T$5:$T$2004,0)))</f>
        <v/>
      </c>
      <c r="S59" s="35">
        <f>IF($K59="","",INDEX('سجل التحفيز'!$G$5:$G$2004,MATCH($K59,'سجل التحفيز'!$T$5:$T$2004,0)))</f>
        <v/>
      </c>
    </row>
    <row r="60">
      <c r="B60" s="34">
        <f>IFERROR(INDEX(الموظفات!$B$5:$B$304,MATCH(23,الموظفات!$N$5:$N$304,0)),"")</f>
        <v/>
      </c>
      <c r="C60" s="34">
        <f>IF(B60="","",INDEX(الموظفات!$D$5:$D$304,MATCH(B60,الموظفات!$B$5:$B$304,0))&amp;"")</f>
        <v/>
      </c>
      <c r="D60" s="35">
        <f>IF(B60="","",COUNTIFS('سجل التحفيز'!$T$5:$T$2004,"&gt;0",'سجل التحفيز'!$B$5:$B$2004,B60))</f>
        <v/>
      </c>
      <c r="E60" s="35">
        <f>IF(B60="","",COUNTIFS('سجل التحفيز'!$T$5:$T$2004,"&gt;0",'سجل التحفيز'!$B$5:$B$2004,B60,'سجل التحفيز'!$D$5:$D$2004,"ذهبي"))</f>
        <v/>
      </c>
      <c r="F60" s="35">
        <f>IF(B60="","",SUMIFS('سجل التحفيز'!$G$5:$G$2004,'سجل التحفيز'!$T$5:$T$2004,"&gt;0",'سجل التحفيز'!$B$5:$B$2004,B60))</f>
        <v/>
      </c>
      <c r="G60" s="35">
        <f>IF(B60="","",COUNTIF($D$38:$D$187,"&gt;"&amp;D60)+1)</f>
        <v/>
      </c>
      <c r="H60" s="35">
        <f>IF(B60="","",INDEX(الموظفات!$L$5:$L$304,MATCH(B60,الموظفات!$B$5:$B$304,0)))</f>
        <v/>
      </c>
      <c r="K60" s="36">
        <f>IF(23&gt;$B$10,"",23)</f>
        <v/>
      </c>
      <c r="L60" s="37">
        <f>IF($K60="","",INDEX('سجل التحفيز'!$A$5:$A$2004,MATCH($K60,'سجل التحفيز'!$T$5:$T$2004,0)))</f>
        <v/>
      </c>
      <c r="M60" s="9">
        <f>IF($K60="","",INDEX('سجل التحفيز'!$B$5:$B$2004,MATCH($K60,'سجل التحفيز'!$T$5:$T$2004,0)))</f>
        <v/>
      </c>
      <c r="N60" s="9">
        <f>IF($K60="","",INDEX('سجل التحفيز'!$M$5:$M$2004,MATCH($K60,'سجل التحفيز'!$T$5:$T$2004,0)))</f>
        <v/>
      </c>
      <c r="O60" s="9">
        <f>IF($K60="","",INDEX('سجل التحفيز'!$C$5:$C$2004,MATCH($K60,'سجل التحفيز'!$T$5:$T$2004,0)))</f>
        <v/>
      </c>
      <c r="P60" s="36">
        <f>IF($K60="","",INDEX('سجل التحفيز'!$D$5:$D$2004,MATCH($K60,'سجل التحفيز'!$T$5:$T$2004,0)))</f>
        <v/>
      </c>
      <c r="Q60" s="9">
        <f>IF($K60="","",INDEX('سجل التحفيز'!$E$5:$E$2004,MATCH($K60,'سجل التحفيز'!$T$5:$T$2004,0)))</f>
        <v/>
      </c>
      <c r="R60" s="9">
        <f>IF($K60="","",INDEX('سجل التحفيز'!$F$5:$F$2004,MATCH($K60,'سجل التحفيز'!$T$5:$T$2004,0)))</f>
        <v/>
      </c>
      <c r="S60" s="35">
        <f>IF($K60="","",INDEX('سجل التحفيز'!$G$5:$G$2004,MATCH($K60,'سجل التحفيز'!$T$5:$T$2004,0)))</f>
        <v/>
      </c>
    </row>
    <row r="61">
      <c r="B61" s="34">
        <f>IFERROR(INDEX(الموظفات!$B$5:$B$304,MATCH(24,الموظفات!$N$5:$N$304,0)),"")</f>
        <v/>
      </c>
      <c r="C61" s="34">
        <f>IF(B61="","",INDEX(الموظفات!$D$5:$D$304,MATCH(B61,الموظفات!$B$5:$B$304,0))&amp;"")</f>
        <v/>
      </c>
      <c r="D61" s="35">
        <f>IF(B61="","",COUNTIFS('سجل التحفيز'!$T$5:$T$2004,"&gt;0",'سجل التحفيز'!$B$5:$B$2004,B61))</f>
        <v/>
      </c>
      <c r="E61" s="35">
        <f>IF(B61="","",COUNTIFS('سجل التحفيز'!$T$5:$T$2004,"&gt;0",'سجل التحفيز'!$B$5:$B$2004,B61,'سجل التحفيز'!$D$5:$D$2004,"ذهبي"))</f>
        <v/>
      </c>
      <c r="F61" s="35">
        <f>IF(B61="","",SUMIFS('سجل التحفيز'!$G$5:$G$2004,'سجل التحفيز'!$T$5:$T$2004,"&gt;0",'سجل التحفيز'!$B$5:$B$2004,B61))</f>
        <v/>
      </c>
      <c r="G61" s="35">
        <f>IF(B61="","",COUNTIF($D$38:$D$187,"&gt;"&amp;D61)+1)</f>
        <v/>
      </c>
      <c r="H61" s="35">
        <f>IF(B61="","",INDEX(الموظفات!$L$5:$L$304,MATCH(B61,الموظفات!$B$5:$B$304,0)))</f>
        <v/>
      </c>
      <c r="K61" s="36">
        <f>IF(24&gt;$B$10,"",24)</f>
        <v/>
      </c>
      <c r="L61" s="37">
        <f>IF($K61="","",INDEX('سجل التحفيز'!$A$5:$A$2004,MATCH($K61,'سجل التحفيز'!$T$5:$T$2004,0)))</f>
        <v/>
      </c>
      <c r="M61" s="9">
        <f>IF($K61="","",INDEX('سجل التحفيز'!$B$5:$B$2004,MATCH($K61,'سجل التحفيز'!$T$5:$T$2004,0)))</f>
        <v/>
      </c>
      <c r="N61" s="9">
        <f>IF($K61="","",INDEX('سجل التحفيز'!$M$5:$M$2004,MATCH($K61,'سجل التحفيز'!$T$5:$T$2004,0)))</f>
        <v/>
      </c>
      <c r="O61" s="9">
        <f>IF($K61="","",INDEX('سجل التحفيز'!$C$5:$C$2004,MATCH($K61,'سجل التحفيز'!$T$5:$T$2004,0)))</f>
        <v/>
      </c>
      <c r="P61" s="36">
        <f>IF($K61="","",INDEX('سجل التحفيز'!$D$5:$D$2004,MATCH($K61,'سجل التحفيز'!$T$5:$T$2004,0)))</f>
        <v/>
      </c>
      <c r="Q61" s="9">
        <f>IF($K61="","",INDEX('سجل التحفيز'!$E$5:$E$2004,MATCH($K61,'سجل التحفيز'!$T$5:$T$2004,0)))</f>
        <v/>
      </c>
      <c r="R61" s="9">
        <f>IF($K61="","",INDEX('سجل التحفيز'!$F$5:$F$2004,MATCH($K61,'سجل التحفيز'!$T$5:$T$2004,0)))</f>
        <v/>
      </c>
      <c r="S61" s="35">
        <f>IF($K61="","",INDEX('سجل التحفيز'!$G$5:$G$2004,MATCH($K61,'سجل التحفيز'!$T$5:$T$2004,0)))</f>
        <v/>
      </c>
    </row>
    <row r="62">
      <c r="B62" s="34">
        <f>IFERROR(INDEX(الموظفات!$B$5:$B$304,MATCH(25,الموظفات!$N$5:$N$304,0)),"")</f>
        <v/>
      </c>
      <c r="C62" s="34">
        <f>IF(B62="","",INDEX(الموظفات!$D$5:$D$304,MATCH(B62,الموظفات!$B$5:$B$304,0))&amp;"")</f>
        <v/>
      </c>
      <c r="D62" s="35">
        <f>IF(B62="","",COUNTIFS('سجل التحفيز'!$T$5:$T$2004,"&gt;0",'سجل التحفيز'!$B$5:$B$2004,B62))</f>
        <v/>
      </c>
      <c r="E62" s="35">
        <f>IF(B62="","",COUNTIFS('سجل التحفيز'!$T$5:$T$2004,"&gt;0",'سجل التحفيز'!$B$5:$B$2004,B62,'سجل التحفيز'!$D$5:$D$2004,"ذهبي"))</f>
        <v/>
      </c>
      <c r="F62" s="35">
        <f>IF(B62="","",SUMIFS('سجل التحفيز'!$G$5:$G$2004,'سجل التحفيز'!$T$5:$T$2004,"&gt;0",'سجل التحفيز'!$B$5:$B$2004,B62))</f>
        <v/>
      </c>
      <c r="G62" s="35">
        <f>IF(B62="","",COUNTIF($D$38:$D$187,"&gt;"&amp;D62)+1)</f>
        <v/>
      </c>
      <c r="H62" s="35">
        <f>IF(B62="","",INDEX(الموظفات!$L$5:$L$304,MATCH(B62,الموظفات!$B$5:$B$304,0)))</f>
        <v/>
      </c>
      <c r="K62" s="36">
        <f>IF(25&gt;$B$10,"",25)</f>
        <v/>
      </c>
      <c r="L62" s="37">
        <f>IF($K62="","",INDEX('سجل التحفيز'!$A$5:$A$2004,MATCH($K62,'سجل التحفيز'!$T$5:$T$2004,0)))</f>
        <v/>
      </c>
      <c r="M62" s="9">
        <f>IF($K62="","",INDEX('سجل التحفيز'!$B$5:$B$2004,MATCH($K62,'سجل التحفيز'!$T$5:$T$2004,0)))</f>
        <v/>
      </c>
      <c r="N62" s="9">
        <f>IF($K62="","",INDEX('سجل التحفيز'!$M$5:$M$2004,MATCH($K62,'سجل التحفيز'!$T$5:$T$2004,0)))</f>
        <v/>
      </c>
      <c r="O62" s="9">
        <f>IF($K62="","",INDEX('سجل التحفيز'!$C$5:$C$2004,MATCH($K62,'سجل التحفيز'!$T$5:$T$2004,0)))</f>
        <v/>
      </c>
      <c r="P62" s="36">
        <f>IF($K62="","",INDEX('سجل التحفيز'!$D$5:$D$2004,MATCH($K62,'سجل التحفيز'!$T$5:$T$2004,0)))</f>
        <v/>
      </c>
      <c r="Q62" s="9">
        <f>IF($K62="","",INDEX('سجل التحفيز'!$E$5:$E$2004,MATCH($K62,'سجل التحفيز'!$T$5:$T$2004,0)))</f>
        <v/>
      </c>
      <c r="R62" s="9">
        <f>IF($K62="","",INDEX('سجل التحفيز'!$F$5:$F$2004,MATCH($K62,'سجل التحفيز'!$T$5:$T$2004,0)))</f>
        <v/>
      </c>
      <c r="S62" s="35">
        <f>IF($K62="","",INDEX('سجل التحفيز'!$G$5:$G$2004,MATCH($K62,'سجل التحفيز'!$T$5:$T$2004,0)))</f>
        <v/>
      </c>
    </row>
    <row r="63">
      <c r="B63" s="34">
        <f>IFERROR(INDEX(الموظفات!$B$5:$B$304,MATCH(26,الموظفات!$N$5:$N$304,0)),"")</f>
        <v/>
      </c>
      <c r="C63" s="34">
        <f>IF(B63="","",INDEX(الموظفات!$D$5:$D$304,MATCH(B63,الموظفات!$B$5:$B$304,0))&amp;"")</f>
        <v/>
      </c>
      <c r="D63" s="35">
        <f>IF(B63="","",COUNTIFS('سجل التحفيز'!$T$5:$T$2004,"&gt;0",'سجل التحفيز'!$B$5:$B$2004,B63))</f>
        <v/>
      </c>
      <c r="E63" s="35">
        <f>IF(B63="","",COUNTIFS('سجل التحفيز'!$T$5:$T$2004,"&gt;0",'سجل التحفيز'!$B$5:$B$2004,B63,'سجل التحفيز'!$D$5:$D$2004,"ذهبي"))</f>
        <v/>
      </c>
      <c r="F63" s="35">
        <f>IF(B63="","",SUMIFS('سجل التحفيز'!$G$5:$G$2004,'سجل التحفيز'!$T$5:$T$2004,"&gt;0",'سجل التحفيز'!$B$5:$B$2004,B63))</f>
        <v/>
      </c>
      <c r="G63" s="35">
        <f>IF(B63="","",COUNTIF($D$38:$D$187,"&gt;"&amp;D63)+1)</f>
        <v/>
      </c>
      <c r="H63" s="35">
        <f>IF(B63="","",INDEX(الموظفات!$L$5:$L$304,MATCH(B63,الموظفات!$B$5:$B$304,0)))</f>
        <v/>
      </c>
      <c r="K63" s="36">
        <f>IF(26&gt;$B$10,"",26)</f>
        <v/>
      </c>
      <c r="L63" s="37">
        <f>IF($K63="","",INDEX('سجل التحفيز'!$A$5:$A$2004,MATCH($K63,'سجل التحفيز'!$T$5:$T$2004,0)))</f>
        <v/>
      </c>
      <c r="M63" s="9">
        <f>IF($K63="","",INDEX('سجل التحفيز'!$B$5:$B$2004,MATCH($K63,'سجل التحفيز'!$T$5:$T$2004,0)))</f>
        <v/>
      </c>
      <c r="N63" s="9">
        <f>IF($K63="","",INDEX('سجل التحفيز'!$M$5:$M$2004,MATCH($K63,'سجل التحفيز'!$T$5:$T$2004,0)))</f>
        <v/>
      </c>
      <c r="O63" s="9">
        <f>IF($K63="","",INDEX('سجل التحفيز'!$C$5:$C$2004,MATCH($K63,'سجل التحفيز'!$T$5:$T$2004,0)))</f>
        <v/>
      </c>
      <c r="P63" s="36">
        <f>IF($K63="","",INDEX('سجل التحفيز'!$D$5:$D$2004,MATCH($K63,'سجل التحفيز'!$T$5:$T$2004,0)))</f>
        <v/>
      </c>
      <c r="Q63" s="9">
        <f>IF($K63="","",INDEX('سجل التحفيز'!$E$5:$E$2004,MATCH($K63,'سجل التحفيز'!$T$5:$T$2004,0)))</f>
        <v/>
      </c>
      <c r="R63" s="9">
        <f>IF($K63="","",INDEX('سجل التحفيز'!$F$5:$F$2004,MATCH($K63,'سجل التحفيز'!$T$5:$T$2004,0)))</f>
        <v/>
      </c>
      <c r="S63" s="35">
        <f>IF($K63="","",INDEX('سجل التحفيز'!$G$5:$G$2004,MATCH($K63,'سجل التحفيز'!$T$5:$T$2004,0)))</f>
        <v/>
      </c>
    </row>
    <row r="64">
      <c r="B64" s="34">
        <f>IFERROR(INDEX(الموظفات!$B$5:$B$304,MATCH(27,الموظفات!$N$5:$N$304,0)),"")</f>
        <v/>
      </c>
      <c r="C64" s="34">
        <f>IF(B64="","",INDEX(الموظفات!$D$5:$D$304,MATCH(B64,الموظفات!$B$5:$B$304,0))&amp;"")</f>
        <v/>
      </c>
      <c r="D64" s="35">
        <f>IF(B64="","",COUNTIFS('سجل التحفيز'!$T$5:$T$2004,"&gt;0",'سجل التحفيز'!$B$5:$B$2004,B64))</f>
        <v/>
      </c>
      <c r="E64" s="35">
        <f>IF(B64="","",COUNTIFS('سجل التحفيز'!$T$5:$T$2004,"&gt;0",'سجل التحفيز'!$B$5:$B$2004,B64,'سجل التحفيز'!$D$5:$D$2004,"ذهبي"))</f>
        <v/>
      </c>
      <c r="F64" s="35">
        <f>IF(B64="","",SUMIFS('سجل التحفيز'!$G$5:$G$2004,'سجل التحفيز'!$T$5:$T$2004,"&gt;0",'سجل التحفيز'!$B$5:$B$2004,B64))</f>
        <v/>
      </c>
      <c r="G64" s="35">
        <f>IF(B64="","",COUNTIF($D$38:$D$187,"&gt;"&amp;D64)+1)</f>
        <v/>
      </c>
      <c r="H64" s="35">
        <f>IF(B64="","",INDEX(الموظفات!$L$5:$L$304,MATCH(B64,الموظفات!$B$5:$B$304,0)))</f>
        <v/>
      </c>
      <c r="K64" s="36">
        <f>IF(27&gt;$B$10,"",27)</f>
        <v/>
      </c>
      <c r="L64" s="37">
        <f>IF($K64="","",INDEX('سجل التحفيز'!$A$5:$A$2004,MATCH($K64,'سجل التحفيز'!$T$5:$T$2004,0)))</f>
        <v/>
      </c>
      <c r="M64" s="9">
        <f>IF($K64="","",INDEX('سجل التحفيز'!$B$5:$B$2004,MATCH($K64,'سجل التحفيز'!$T$5:$T$2004,0)))</f>
        <v/>
      </c>
      <c r="N64" s="9">
        <f>IF($K64="","",INDEX('سجل التحفيز'!$M$5:$M$2004,MATCH($K64,'سجل التحفيز'!$T$5:$T$2004,0)))</f>
        <v/>
      </c>
      <c r="O64" s="9">
        <f>IF($K64="","",INDEX('سجل التحفيز'!$C$5:$C$2004,MATCH($K64,'سجل التحفيز'!$T$5:$T$2004,0)))</f>
        <v/>
      </c>
      <c r="P64" s="36">
        <f>IF($K64="","",INDEX('سجل التحفيز'!$D$5:$D$2004,MATCH($K64,'سجل التحفيز'!$T$5:$T$2004,0)))</f>
        <v/>
      </c>
      <c r="Q64" s="9">
        <f>IF($K64="","",INDEX('سجل التحفيز'!$E$5:$E$2004,MATCH($K64,'سجل التحفيز'!$T$5:$T$2004,0)))</f>
        <v/>
      </c>
      <c r="R64" s="9">
        <f>IF($K64="","",INDEX('سجل التحفيز'!$F$5:$F$2004,MATCH($K64,'سجل التحفيز'!$T$5:$T$2004,0)))</f>
        <v/>
      </c>
      <c r="S64" s="35">
        <f>IF($K64="","",INDEX('سجل التحفيز'!$G$5:$G$2004,MATCH($K64,'سجل التحفيز'!$T$5:$T$2004,0)))</f>
        <v/>
      </c>
    </row>
    <row r="65">
      <c r="B65" s="34">
        <f>IFERROR(INDEX(الموظفات!$B$5:$B$304,MATCH(28,الموظفات!$N$5:$N$304,0)),"")</f>
        <v/>
      </c>
      <c r="C65" s="34">
        <f>IF(B65="","",INDEX(الموظفات!$D$5:$D$304,MATCH(B65,الموظفات!$B$5:$B$304,0))&amp;"")</f>
        <v/>
      </c>
      <c r="D65" s="35">
        <f>IF(B65="","",COUNTIFS('سجل التحفيز'!$T$5:$T$2004,"&gt;0",'سجل التحفيز'!$B$5:$B$2004,B65))</f>
        <v/>
      </c>
      <c r="E65" s="35">
        <f>IF(B65="","",COUNTIFS('سجل التحفيز'!$T$5:$T$2004,"&gt;0",'سجل التحفيز'!$B$5:$B$2004,B65,'سجل التحفيز'!$D$5:$D$2004,"ذهبي"))</f>
        <v/>
      </c>
      <c r="F65" s="35">
        <f>IF(B65="","",SUMIFS('سجل التحفيز'!$G$5:$G$2004,'سجل التحفيز'!$T$5:$T$2004,"&gt;0",'سجل التحفيز'!$B$5:$B$2004,B65))</f>
        <v/>
      </c>
      <c r="G65" s="35">
        <f>IF(B65="","",COUNTIF($D$38:$D$187,"&gt;"&amp;D65)+1)</f>
        <v/>
      </c>
      <c r="H65" s="35">
        <f>IF(B65="","",INDEX(الموظفات!$L$5:$L$304,MATCH(B65,الموظفات!$B$5:$B$304,0)))</f>
        <v/>
      </c>
      <c r="K65" s="36">
        <f>IF(28&gt;$B$10,"",28)</f>
        <v/>
      </c>
      <c r="L65" s="37">
        <f>IF($K65="","",INDEX('سجل التحفيز'!$A$5:$A$2004,MATCH($K65,'سجل التحفيز'!$T$5:$T$2004,0)))</f>
        <v/>
      </c>
      <c r="M65" s="9">
        <f>IF($K65="","",INDEX('سجل التحفيز'!$B$5:$B$2004,MATCH($K65,'سجل التحفيز'!$T$5:$T$2004,0)))</f>
        <v/>
      </c>
      <c r="N65" s="9">
        <f>IF($K65="","",INDEX('سجل التحفيز'!$M$5:$M$2004,MATCH($K65,'سجل التحفيز'!$T$5:$T$2004,0)))</f>
        <v/>
      </c>
      <c r="O65" s="9">
        <f>IF($K65="","",INDEX('سجل التحفيز'!$C$5:$C$2004,MATCH($K65,'سجل التحفيز'!$T$5:$T$2004,0)))</f>
        <v/>
      </c>
      <c r="P65" s="36">
        <f>IF($K65="","",INDEX('سجل التحفيز'!$D$5:$D$2004,MATCH($K65,'سجل التحفيز'!$T$5:$T$2004,0)))</f>
        <v/>
      </c>
      <c r="Q65" s="9">
        <f>IF($K65="","",INDEX('سجل التحفيز'!$E$5:$E$2004,MATCH($K65,'سجل التحفيز'!$T$5:$T$2004,0)))</f>
        <v/>
      </c>
      <c r="R65" s="9">
        <f>IF($K65="","",INDEX('سجل التحفيز'!$F$5:$F$2004,MATCH($K65,'سجل التحفيز'!$T$5:$T$2004,0)))</f>
        <v/>
      </c>
      <c r="S65" s="35">
        <f>IF($K65="","",INDEX('سجل التحفيز'!$G$5:$G$2004,MATCH($K65,'سجل التحفيز'!$T$5:$T$2004,0)))</f>
        <v/>
      </c>
    </row>
    <row r="66">
      <c r="B66" s="34">
        <f>IFERROR(INDEX(الموظفات!$B$5:$B$304,MATCH(29,الموظفات!$N$5:$N$304,0)),"")</f>
        <v/>
      </c>
      <c r="C66" s="34">
        <f>IF(B66="","",INDEX(الموظفات!$D$5:$D$304,MATCH(B66,الموظفات!$B$5:$B$304,0))&amp;"")</f>
        <v/>
      </c>
      <c r="D66" s="35">
        <f>IF(B66="","",COUNTIFS('سجل التحفيز'!$T$5:$T$2004,"&gt;0",'سجل التحفيز'!$B$5:$B$2004,B66))</f>
        <v/>
      </c>
      <c r="E66" s="35">
        <f>IF(B66="","",COUNTIFS('سجل التحفيز'!$T$5:$T$2004,"&gt;0",'سجل التحفيز'!$B$5:$B$2004,B66,'سجل التحفيز'!$D$5:$D$2004,"ذهبي"))</f>
        <v/>
      </c>
      <c r="F66" s="35">
        <f>IF(B66="","",SUMIFS('سجل التحفيز'!$G$5:$G$2004,'سجل التحفيز'!$T$5:$T$2004,"&gt;0",'سجل التحفيز'!$B$5:$B$2004,B66))</f>
        <v/>
      </c>
      <c r="G66" s="35">
        <f>IF(B66="","",COUNTIF($D$38:$D$187,"&gt;"&amp;D66)+1)</f>
        <v/>
      </c>
      <c r="H66" s="35">
        <f>IF(B66="","",INDEX(الموظفات!$L$5:$L$304,MATCH(B66,الموظفات!$B$5:$B$304,0)))</f>
        <v/>
      </c>
      <c r="K66" s="36">
        <f>IF(29&gt;$B$10,"",29)</f>
        <v/>
      </c>
      <c r="L66" s="37">
        <f>IF($K66="","",INDEX('سجل التحفيز'!$A$5:$A$2004,MATCH($K66,'سجل التحفيز'!$T$5:$T$2004,0)))</f>
        <v/>
      </c>
      <c r="M66" s="9">
        <f>IF($K66="","",INDEX('سجل التحفيز'!$B$5:$B$2004,MATCH($K66,'سجل التحفيز'!$T$5:$T$2004,0)))</f>
        <v/>
      </c>
      <c r="N66" s="9">
        <f>IF($K66="","",INDEX('سجل التحفيز'!$M$5:$M$2004,MATCH($K66,'سجل التحفيز'!$T$5:$T$2004,0)))</f>
        <v/>
      </c>
      <c r="O66" s="9">
        <f>IF($K66="","",INDEX('سجل التحفيز'!$C$5:$C$2004,MATCH($K66,'سجل التحفيز'!$T$5:$T$2004,0)))</f>
        <v/>
      </c>
      <c r="P66" s="36">
        <f>IF($K66="","",INDEX('سجل التحفيز'!$D$5:$D$2004,MATCH($K66,'سجل التحفيز'!$T$5:$T$2004,0)))</f>
        <v/>
      </c>
      <c r="Q66" s="9">
        <f>IF($K66="","",INDEX('سجل التحفيز'!$E$5:$E$2004,MATCH($K66,'سجل التحفيز'!$T$5:$T$2004,0)))</f>
        <v/>
      </c>
      <c r="R66" s="9">
        <f>IF($K66="","",INDEX('سجل التحفيز'!$F$5:$F$2004,MATCH($K66,'سجل التحفيز'!$T$5:$T$2004,0)))</f>
        <v/>
      </c>
      <c r="S66" s="35">
        <f>IF($K66="","",INDEX('سجل التحفيز'!$G$5:$G$2004,MATCH($K66,'سجل التحفيز'!$T$5:$T$2004,0)))</f>
        <v/>
      </c>
    </row>
    <row r="67">
      <c r="B67" s="34">
        <f>IFERROR(INDEX(الموظفات!$B$5:$B$304,MATCH(30,الموظفات!$N$5:$N$304,0)),"")</f>
        <v/>
      </c>
      <c r="C67" s="34">
        <f>IF(B67="","",INDEX(الموظفات!$D$5:$D$304,MATCH(B67,الموظفات!$B$5:$B$304,0))&amp;"")</f>
        <v/>
      </c>
      <c r="D67" s="35">
        <f>IF(B67="","",COUNTIFS('سجل التحفيز'!$T$5:$T$2004,"&gt;0",'سجل التحفيز'!$B$5:$B$2004,B67))</f>
        <v/>
      </c>
      <c r="E67" s="35">
        <f>IF(B67="","",COUNTIFS('سجل التحفيز'!$T$5:$T$2004,"&gt;0",'سجل التحفيز'!$B$5:$B$2004,B67,'سجل التحفيز'!$D$5:$D$2004,"ذهبي"))</f>
        <v/>
      </c>
      <c r="F67" s="35">
        <f>IF(B67="","",SUMIFS('سجل التحفيز'!$G$5:$G$2004,'سجل التحفيز'!$T$5:$T$2004,"&gt;0",'سجل التحفيز'!$B$5:$B$2004,B67))</f>
        <v/>
      </c>
      <c r="G67" s="35">
        <f>IF(B67="","",COUNTIF($D$38:$D$187,"&gt;"&amp;D67)+1)</f>
        <v/>
      </c>
      <c r="H67" s="35">
        <f>IF(B67="","",INDEX(الموظفات!$L$5:$L$304,MATCH(B67,الموظفات!$B$5:$B$304,0)))</f>
        <v/>
      </c>
      <c r="K67" s="36">
        <f>IF(30&gt;$B$10,"",30)</f>
        <v/>
      </c>
      <c r="L67" s="37">
        <f>IF($K67="","",INDEX('سجل التحفيز'!$A$5:$A$2004,MATCH($K67,'سجل التحفيز'!$T$5:$T$2004,0)))</f>
        <v/>
      </c>
      <c r="M67" s="9">
        <f>IF($K67="","",INDEX('سجل التحفيز'!$B$5:$B$2004,MATCH($K67,'سجل التحفيز'!$T$5:$T$2004,0)))</f>
        <v/>
      </c>
      <c r="N67" s="9">
        <f>IF($K67="","",INDEX('سجل التحفيز'!$M$5:$M$2004,MATCH($K67,'سجل التحفيز'!$T$5:$T$2004,0)))</f>
        <v/>
      </c>
      <c r="O67" s="9">
        <f>IF($K67="","",INDEX('سجل التحفيز'!$C$5:$C$2004,MATCH($K67,'سجل التحفيز'!$T$5:$T$2004,0)))</f>
        <v/>
      </c>
      <c r="P67" s="36">
        <f>IF($K67="","",INDEX('سجل التحفيز'!$D$5:$D$2004,MATCH($K67,'سجل التحفيز'!$T$5:$T$2004,0)))</f>
        <v/>
      </c>
      <c r="Q67" s="9">
        <f>IF($K67="","",INDEX('سجل التحفيز'!$E$5:$E$2004,MATCH($K67,'سجل التحفيز'!$T$5:$T$2004,0)))</f>
        <v/>
      </c>
      <c r="R67" s="9">
        <f>IF($K67="","",INDEX('سجل التحفيز'!$F$5:$F$2004,MATCH($K67,'سجل التحفيز'!$T$5:$T$2004,0)))</f>
        <v/>
      </c>
      <c r="S67" s="35">
        <f>IF($K67="","",INDEX('سجل التحفيز'!$G$5:$G$2004,MATCH($K67,'سجل التحفيز'!$T$5:$T$2004,0)))</f>
        <v/>
      </c>
    </row>
    <row r="68">
      <c r="B68" s="34">
        <f>IFERROR(INDEX(الموظفات!$B$5:$B$304,MATCH(31,الموظفات!$N$5:$N$304,0)),"")</f>
        <v/>
      </c>
      <c r="C68" s="34">
        <f>IF(B68="","",INDEX(الموظفات!$D$5:$D$304,MATCH(B68,الموظفات!$B$5:$B$304,0))&amp;"")</f>
        <v/>
      </c>
      <c r="D68" s="35">
        <f>IF(B68="","",COUNTIFS('سجل التحفيز'!$T$5:$T$2004,"&gt;0",'سجل التحفيز'!$B$5:$B$2004,B68))</f>
        <v/>
      </c>
      <c r="E68" s="35">
        <f>IF(B68="","",COUNTIFS('سجل التحفيز'!$T$5:$T$2004,"&gt;0",'سجل التحفيز'!$B$5:$B$2004,B68,'سجل التحفيز'!$D$5:$D$2004,"ذهبي"))</f>
        <v/>
      </c>
      <c r="F68" s="35">
        <f>IF(B68="","",SUMIFS('سجل التحفيز'!$G$5:$G$2004,'سجل التحفيز'!$T$5:$T$2004,"&gt;0",'سجل التحفيز'!$B$5:$B$2004,B68))</f>
        <v/>
      </c>
      <c r="G68" s="35">
        <f>IF(B68="","",COUNTIF($D$38:$D$187,"&gt;"&amp;D68)+1)</f>
        <v/>
      </c>
      <c r="H68" s="35">
        <f>IF(B68="","",INDEX(الموظفات!$L$5:$L$304,MATCH(B68,الموظفات!$B$5:$B$304,0)))</f>
        <v/>
      </c>
      <c r="K68" s="36">
        <f>IF(31&gt;$B$10,"",31)</f>
        <v/>
      </c>
      <c r="L68" s="37">
        <f>IF($K68="","",INDEX('سجل التحفيز'!$A$5:$A$2004,MATCH($K68,'سجل التحفيز'!$T$5:$T$2004,0)))</f>
        <v/>
      </c>
      <c r="M68" s="9">
        <f>IF($K68="","",INDEX('سجل التحفيز'!$B$5:$B$2004,MATCH($K68,'سجل التحفيز'!$T$5:$T$2004,0)))</f>
        <v/>
      </c>
      <c r="N68" s="9">
        <f>IF($K68="","",INDEX('سجل التحفيز'!$M$5:$M$2004,MATCH($K68,'سجل التحفيز'!$T$5:$T$2004,0)))</f>
        <v/>
      </c>
      <c r="O68" s="9">
        <f>IF($K68="","",INDEX('سجل التحفيز'!$C$5:$C$2004,MATCH($K68,'سجل التحفيز'!$T$5:$T$2004,0)))</f>
        <v/>
      </c>
      <c r="P68" s="36">
        <f>IF($K68="","",INDEX('سجل التحفيز'!$D$5:$D$2004,MATCH($K68,'سجل التحفيز'!$T$5:$T$2004,0)))</f>
        <v/>
      </c>
      <c r="Q68" s="9">
        <f>IF($K68="","",INDEX('سجل التحفيز'!$E$5:$E$2004,MATCH($K68,'سجل التحفيز'!$T$5:$T$2004,0)))</f>
        <v/>
      </c>
      <c r="R68" s="9">
        <f>IF($K68="","",INDEX('سجل التحفيز'!$F$5:$F$2004,MATCH($K68,'سجل التحفيز'!$T$5:$T$2004,0)))</f>
        <v/>
      </c>
      <c r="S68" s="35">
        <f>IF($K68="","",INDEX('سجل التحفيز'!$G$5:$G$2004,MATCH($K68,'سجل التحفيز'!$T$5:$T$2004,0)))</f>
        <v/>
      </c>
    </row>
    <row r="69">
      <c r="B69" s="34">
        <f>IFERROR(INDEX(الموظفات!$B$5:$B$304,MATCH(32,الموظفات!$N$5:$N$304,0)),"")</f>
        <v/>
      </c>
      <c r="C69" s="34">
        <f>IF(B69="","",INDEX(الموظفات!$D$5:$D$304,MATCH(B69,الموظفات!$B$5:$B$304,0))&amp;"")</f>
        <v/>
      </c>
      <c r="D69" s="35">
        <f>IF(B69="","",COUNTIFS('سجل التحفيز'!$T$5:$T$2004,"&gt;0",'سجل التحفيز'!$B$5:$B$2004,B69))</f>
        <v/>
      </c>
      <c r="E69" s="35">
        <f>IF(B69="","",COUNTIFS('سجل التحفيز'!$T$5:$T$2004,"&gt;0",'سجل التحفيز'!$B$5:$B$2004,B69,'سجل التحفيز'!$D$5:$D$2004,"ذهبي"))</f>
        <v/>
      </c>
      <c r="F69" s="35">
        <f>IF(B69="","",SUMIFS('سجل التحفيز'!$G$5:$G$2004,'سجل التحفيز'!$T$5:$T$2004,"&gt;0",'سجل التحفيز'!$B$5:$B$2004,B69))</f>
        <v/>
      </c>
      <c r="G69" s="35">
        <f>IF(B69="","",COUNTIF($D$38:$D$187,"&gt;"&amp;D69)+1)</f>
        <v/>
      </c>
      <c r="H69" s="35">
        <f>IF(B69="","",INDEX(الموظفات!$L$5:$L$304,MATCH(B69,الموظفات!$B$5:$B$304,0)))</f>
        <v/>
      </c>
      <c r="K69" s="36">
        <f>IF(32&gt;$B$10,"",32)</f>
        <v/>
      </c>
      <c r="L69" s="37">
        <f>IF($K69="","",INDEX('سجل التحفيز'!$A$5:$A$2004,MATCH($K69,'سجل التحفيز'!$T$5:$T$2004,0)))</f>
        <v/>
      </c>
      <c r="M69" s="9">
        <f>IF($K69="","",INDEX('سجل التحفيز'!$B$5:$B$2004,MATCH($K69,'سجل التحفيز'!$T$5:$T$2004,0)))</f>
        <v/>
      </c>
      <c r="N69" s="9">
        <f>IF($K69="","",INDEX('سجل التحفيز'!$M$5:$M$2004,MATCH($K69,'سجل التحفيز'!$T$5:$T$2004,0)))</f>
        <v/>
      </c>
      <c r="O69" s="9">
        <f>IF($K69="","",INDEX('سجل التحفيز'!$C$5:$C$2004,MATCH($K69,'سجل التحفيز'!$T$5:$T$2004,0)))</f>
        <v/>
      </c>
      <c r="P69" s="36">
        <f>IF($K69="","",INDEX('سجل التحفيز'!$D$5:$D$2004,MATCH($K69,'سجل التحفيز'!$T$5:$T$2004,0)))</f>
        <v/>
      </c>
      <c r="Q69" s="9">
        <f>IF($K69="","",INDEX('سجل التحفيز'!$E$5:$E$2004,MATCH($K69,'سجل التحفيز'!$T$5:$T$2004,0)))</f>
        <v/>
      </c>
      <c r="R69" s="9">
        <f>IF($K69="","",INDEX('سجل التحفيز'!$F$5:$F$2004,MATCH($K69,'سجل التحفيز'!$T$5:$T$2004,0)))</f>
        <v/>
      </c>
      <c r="S69" s="35">
        <f>IF($K69="","",INDEX('سجل التحفيز'!$G$5:$G$2004,MATCH($K69,'سجل التحفيز'!$T$5:$T$2004,0)))</f>
        <v/>
      </c>
    </row>
    <row r="70">
      <c r="B70" s="34">
        <f>IFERROR(INDEX(الموظفات!$B$5:$B$304,MATCH(33,الموظفات!$N$5:$N$304,0)),"")</f>
        <v/>
      </c>
      <c r="C70" s="34">
        <f>IF(B70="","",INDEX(الموظفات!$D$5:$D$304,MATCH(B70,الموظفات!$B$5:$B$304,0))&amp;"")</f>
        <v/>
      </c>
      <c r="D70" s="35">
        <f>IF(B70="","",COUNTIFS('سجل التحفيز'!$T$5:$T$2004,"&gt;0",'سجل التحفيز'!$B$5:$B$2004,B70))</f>
        <v/>
      </c>
      <c r="E70" s="35">
        <f>IF(B70="","",COUNTIFS('سجل التحفيز'!$T$5:$T$2004,"&gt;0",'سجل التحفيز'!$B$5:$B$2004,B70,'سجل التحفيز'!$D$5:$D$2004,"ذهبي"))</f>
        <v/>
      </c>
      <c r="F70" s="35">
        <f>IF(B70="","",SUMIFS('سجل التحفيز'!$G$5:$G$2004,'سجل التحفيز'!$T$5:$T$2004,"&gt;0",'سجل التحفيز'!$B$5:$B$2004,B70))</f>
        <v/>
      </c>
      <c r="G70" s="35">
        <f>IF(B70="","",COUNTIF($D$38:$D$187,"&gt;"&amp;D70)+1)</f>
        <v/>
      </c>
      <c r="H70" s="35">
        <f>IF(B70="","",INDEX(الموظفات!$L$5:$L$304,MATCH(B70,الموظفات!$B$5:$B$304,0)))</f>
        <v/>
      </c>
      <c r="K70" s="36">
        <f>IF(33&gt;$B$10,"",33)</f>
        <v/>
      </c>
      <c r="L70" s="37">
        <f>IF($K70="","",INDEX('سجل التحفيز'!$A$5:$A$2004,MATCH($K70,'سجل التحفيز'!$T$5:$T$2004,0)))</f>
        <v/>
      </c>
      <c r="M70" s="9">
        <f>IF($K70="","",INDEX('سجل التحفيز'!$B$5:$B$2004,MATCH($K70,'سجل التحفيز'!$T$5:$T$2004,0)))</f>
        <v/>
      </c>
      <c r="N70" s="9">
        <f>IF($K70="","",INDEX('سجل التحفيز'!$M$5:$M$2004,MATCH($K70,'سجل التحفيز'!$T$5:$T$2004,0)))</f>
        <v/>
      </c>
      <c r="O70" s="9">
        <f>IF($K70="","",INDEX('سجل التحفيز'!$C$5:$C$2004,MATCH($K70,'سجل التحفيز'!$T$5:$T$2004,0)))</f>
        <v/>
      </c>
      <c r="P70" s="36">
        <f>IF($K70="","",INDEX('سجل التحفيز'!$D$5:$D$2004,MATCH($K70,'سجل التحفيز'!$T$5:$T$2004,0)))</f>
        <v/>
      </c>
      <c r="Q70" s="9">
        <f>IF($K70="","",INDEX('سجل التحفيز'!$E$5:$E$2004,MATCH($K70,'سجل التحفيز'!$T$5:$T$2004,0)))</f>
        <v/>
      </c>
      <c r="R70" s="9">
        <f>IF($K70="","",INDEX('سجل التحفيز'!$F$5:$F$2004,MATCH($K70,'سجل التحفيز'!$T$5:$T$2004,0)))</f>
        <v/>
      </c>
      <c r="S70" s="35">
        <f>IF($K70="","",INDEX('سجل التحفيز'!$G$5:$G$2004,MATCH($K70,'سجل التحفيز'!$T$5:$T$2004,0)))</f>
        <v/>
      </c>
    </row>
    <row r="71">
      <c r="B71" s="34">
        <f>IFERROR(INDEX(الموظفات!$B$5:$B$304,MATCH(34,الموظفات!$N$5:$N$304,0)),"")</f>
        <v/>
      </c>
      <c r="C71" s="34">
        <f>IF(B71="","",INDEX(الموظفات!$D$5:$D$304,MATCH(B71,الموظفات!$B$5:$B$304,0))&amp;"")</f>
        <v/>
      </c>
      <c r="D71" s="35">
        <f>IF(B71="","",COUNTIFS('سجل التحفيز'!$T$5:$T$2004,"&gt;0",'سجل التحفيز'!$B$5:$B$2004,B71))</f>
        <v/>
      </c>
      <c r="E71" s="35">
        <f>IF(B71="","",COUNTIFS('سجل التحفيز'!$T$5:$T$2004,"&gt;0",'سجل التحفيز'!$B$5:$B$2004,B71,'سجل التحفيز'!$D$5:$D$2004,"ذهبي"))</f>
        <v/>
      </c>
      <c r="F71" s="35">
        <f>IF(B71="","",SUMIFS('سجل التحفيز'!$G$5:$G$2004,'سجل التحفيز'!$T$5:$T$2004,"&gt;0",'سجل التحفيز'!$B$5:$B$2004,B71))</f>
        <v/>
      </c>
      <c r="G71" s="35">
        <f>IF(B71="","",COUNTIF($D$38:$D$187,"&gt;"&amp;D71)+1)</f>
        <v/>
      </c>
      <c r="H71" s="35">
        <f>IF(B71="","",INDEX(الموظفات!$L$5:$L$304,MATCH(B71,الموظفات!$B$5:$B$304,0)))</f>
        <v/>
      </c>
      <c r="K71" s="36">
        <f>IF(34&gt;$B$10,"",34)</f>
        <v/>
      </c>
      <c r="L71" s="37">
        <f>IF($K71="","",INDEX('سجل التحفيز'!$A$5:$A$2004,MATCH($K71,'سجل التحفيز'!$T$5:$T$2004,0)))</f>
        <v/>
      </c>
      <c r="M71" s="9">
        <f>IF($K71="","",INDEX('سجل التحفيز'!$B$5:$B$2004,MATCH($K71,'سجل التحفيز'!$T$5:$T$2004,0)))</f>
        <v/>
      </c>
      <c r="N71" s="9">
        <f>IF($K71="","",INDEX('سجل التحفيز'!$M$5:$M$2004,MATCH($K71,'سجل التحفيز'!$T$5:$T$2004,0)))</f>
        <v/>
      </c>
      <c r="O71" s="9">
        <f>IF($K71="","",INDEX('سجل التحفيز'!$C$5:$C$2004,MATCH($K71,'سجل التحفيز'!$T$5:$T$2004,0)))</f>
        <v/>
      </c>
      <c r="P71" s="36">
        <f>IF($K71="","",INDEX('سجل التحفيز'!$D$5:$D$2004,MATCH($K71,'سجل التحفيز'!$T$5:$T$2004,0)))</f>
        <v/>
      </c>
      <c r="Q71" s="9">
        <f>IF($K71="","",INDEX('سجل التحفيز'!$E$5:$E$2004,MATCH($K71,'سجل التحفيز'!$T$5:$T$2004,0)))</f>
        <v/>
      </c>
      <c r="R71" s="9">
        <f>IF($K71="","",INDEX('سجل التحفيز'!$F$5:$F$2004,MATCH($K71,'سجل التحفيز'!$T$5:$T$2004,0)))</f>
        <v/>
      </c>
      <c r="S71" s="35">
        <f>IF($K71="","",INDEX('سجل التحفيز'!$G$5:$G$2004,MATCH($K71,'سجل التحفيز'!$T$5:$T$2004,0)))</f>
        <v/>
      </c>
    </row>
    <row r="72">
      <c r="B72" s="34">
        <f>IFERROR(INDEX(الموظفات!$B$5:$B$304,MATCH(35,الموظفات!$N$5:$N$304,0)),"")</f>
        <v/>
      </c>
      <c r="C72" s="34">
        <f>IF(B72="","",INDEX(الموظفات!$D$5:$D$304,MATCH(B72,الموظفات!$B$5:$B$304,0))&amp;"")</f>
        <v/>
      </c>
      <c r="D72" s="35">
        <f>IF(B72="","",COUNTIFS('سجل التحفيز'!$T$5:$T$2004,"&gt;0",'سجل التحفيز'!$B$5:$B$2004,B72))</f>
        <v/>
      </c>
      <c r="E72" s="35">
        <f>IF(B72="","",COUNTIFS('سجل التحفيز'!$T$5:$T$2004,"&gt;0",'سجل التحفيز'!$B$5:$B$2004,B72,'سجل التحفيز'!$D$5:$D$2004,"ذهبي"))</f>
        <v/>
      </c>
      <c r="F72" s="35">
        <f>IF(B72="","",SUMIFS('سجل التحفيز'!$G$5:$G$2004,'سجل التحفيز'!$T$5:$T$2004,"&gt;0",'سجل التحفيز'!$B$5:$B$2004,B72))</f>
        <v/>
      </c>
      <c r="G72" s="35">
        <f>IF(B72="","",COUNTIF($D$38:$D$187,"&gt;"&amp;D72)+1)</f>
        <v/>
      </c>
      <c r="H72" s="35">
        <f>IF(B72="","",INDEX(الموظفات!$L$5:$L$304,MATCH(B72,الموظفات!$B$5:$B$304,0)))</f>
        <v/>
      </c>
      <c r="K72" s="36">
        <f>IF(35&gt;$B$10,"",35)</f>
        <v/>
      </c>
      <c r="L72" s="37">
        <f>IF($K72="","",INDEX('سجل التحفيز'!$A$5:$A$2004,MATCH($K72,'سجل التحفيز'!$T$5:$T$2004,0)))</f>
        <v/>
      </c>
      <c r="M72" s="9">
        <f>IF($K72="","",INDEX('سجل التحفيز'!$B$5:$B$2004,MATCH($K72,'سجل التحفيز'!$T$5:$T$2004,0)))</f>
        <v/>
      </c>
      <c r="N72" s="9">
        <f>IF($K72="","",INDEX('سجل التحفيز'!$M$5:$M$2004,MATCH($K72,'سجل التحفيز'!$T$5:$T$2004,0)))</f>
        <v/>
      </c>
      <c r="O72" s="9">
        <f>IF($K72="","",INDEX('سجل التحفيز'!$C$5:$C$2004,MATCH($K72,'سجل التحفيز'!$T$5:$T$2004,0)))</f>
        <v/>
      </c>
      <c r="P72" s="36">
        <f>IF($K72="","",INDEX('سجل التحفيز'!$D$5:$D$2004,MATCH($K72,'سجل التحفيز'!$T$5:$T$2004,0)))</f>
        <v/>
      </c>
      <c r="Q72" s="9">
        <f>IF($K72="","",INDEX('سجل التحفيز'!$E$5:$E$2004,MATCH($K72,'سجل التحفيز'!$T$5:$T$2004,0)))</f>
        <v/>
      </c>
      <c r="R72" s="9">
        <f>IF($K72="","",INDEX('سجل التحفيز'!$F$5:$F$2004,MATCH($K72,'سجل التحفيز'!$T$5:$T$2004,0)))</f>
        <v/>
      </c>
      <c r="S72" s="35">
        <f>IF($K72="","",INDEX('سجل التحفيز'!$G$5:$G$2004,MATCH($K72,'سجل التحفيز'!$T$5:$T$2004,0)))</f>
        <v/>
      </c>
    </row>
    <row r="73">
      <c r="B73" s="34">
        <f>IFERROR(INDEX(الموظفات!$B$5:$B$304,MATCH(36,الموظفات!$N$5:$N$304,0)),"")</f>
        <v/>
      </c>
      <c r="C73" s="34">
        <f>IF(B73="","",INDEX(الموظفات!$D$5:$D$304,MATCH(B73,الموظفات!$B$5:$B$304,0))&amp;"")</f>
        <v/>
      </c>
      <c r="D73" s="35">
        <f>IF(B73="","",COUNTIFS('سجل التحفيز'!$T$5:$T$2004,"&gt;0",'سجل التحفيز'!$B$5:$B$2004,B73))</f>
        <v/>
      </c>
      <c r="E73" s="35">
        <f>IF(B73="","",COUNTIFS('سجل التحفيز'!$T$5:$T$2004,"&gt;0",'سجل التحفيز'!$B$5:$B$2004,B73,'سجل التحفيز'!$D$5:$D$2004,"ذهبي"))</f>
        <v/>
      </c>
      <c r="F73" s="35">
        <f>IF(B73="","",SUMIFS('سجل التحفيز'!$G$5:$G$2004,'سجل التحفيز'!$T$5:$T$2004,"&gt;0",'سجل التحفيز'!$B$5:$B$2004,B73))</f>
        <v/>
      </c>
      <c r="G73" s="35">
        <f>IF(B73="","",COUNTIF($D$38:$D$187,"&gt;"&amp;D73)+1)</f>
        <v/>
      </c>
      <c r="H73" s="35">
        <f>IF(B73="","",INDEX(الموظفات!$L$5:$L$304,MATCH(B73,الموظفات!$B$5:$B$304,0)))</f>
        <v/>
      </c>
      <c r="K73" s="36">
        <f>IF(36&gt;$B$10,"",36)</f>
        <v/>
      </c>
      <c r="L73" s="37">
        <f>IF($K73="","",INDEX('سجل التحفيز'!$A$5:$A$2004,MATCH($K73,'سجل التحفيز'!$T$5:$T$2004,0)))</f>
        <v/>
      </c>
      <c r="M73" s="9">
        <f>IF($K73="","",INDEX('سجل التحفيز'!$B$5:$B$2004,MATCH($K73,'سجل التحفيز'!$T$5:$T$2004,0)))</f>
        <v/>
      </c>
      <c r="N73" s="9">
        <f>IF($K73="","",INDEX('سجل التحفيز'!$M$5:$M$2004,MATCH($K73,'سجل التحفيز'!$T$5:$T$2004,0)))</f>
        <v/>
      </c>
      <c r="O73" s="9">
        <f>IF($K73="","",INDEX('سجل التحفيز'!$C$5:$C$2004,MATCH($K73,'سجل التحفيز'!$T$5:$T$2004,0)))</f>
        <v/>
      </c>
      <c r="P73" s="36">
        <f>IF($K73="","",INDEX('سجل التحفيز'!$D$5:$D$2004,MATCH($K73,'سجل التحفيز'!$T$5:$T$2004,0)))</f>
        <v/>
      </c>
      <c r="Q73" s="9">
        <f>IF($K73="","",INDEX('سجل التحفيز'!$E$5:$E$2004,MATCH($K73,'سجل التحفيز'!$T$5:$T$2004,0)))</f>
        <v/>
      </c>
      <c r="R73" s="9">
        <f>IF($K73="","",INDEX('سجل التحفيز'!$F$5:$F$2004,MATCH($K73,'سجل التحفيز'!$T$5:$T$2004,0)))</f>
        <v/>
      </c>
      <c r="S73" s="35">
        <f>IF($K73="","",INDEX('سجل التحفيز'!$G$5:$G$2004,MATCH($K73,'سجل التحفيز'!$T$5:$T$2004,0)))</f>
        <v/>
      </c>
    </row>
    <row r="74">
      <c r="B74" s="34">
        <f>IFERROR(INDEX(الموظفات!$B$5:$B$304,MATCH(37,الموظفات!$N$5:$N$304,0)),"")</f>
        <v/>
      </c>
      <c r="C74" s="34">
        <f>IF(B74="","",INDEX(الموظفات!$D$5:$D$304,MATCH(B74,الموظفات!$B$5:$B$304,0))&amp;"")</f>
        <v/>
      </c>
      <c r="D74" s="35">
        <f>IF(B74="","",COUNTIFS('سجل التحفيز'!$T$5:$T$2004,"&gt;0",'سجل التحفيز'!$B$5:$B$2004,B74))</f>
        <v/>
      </c>
      <c r="E74" s="35">
        <f>IF(B74="","",COUNTIFS('سجل التحفيز'!$T$5:$T$2004,"&gt;0",'سجل التحفيز'!$B$5:$B$2004,B74,'سجل التحفيز'!$D$5:$D$2004,"ذهبي"))</f>
        <v/>
      </c>
      <c r="F74" s="35">
        <f>IF(B74="","",SUMIFS('سجل التحفيز'!$G$5:$G$2004,'سجل التحفيز'!$T$5:$T$2004,"&gt;0",'سجل التحفيز'!$B$5:$B$2004,B74))</f>
        <v/>
      </c>
      <c r="G74" s="35">
        <f>IF(B74="","",COUNTIF($D$38:$D$187,"&gt;"&amp;D74)+1)</f>
        <v/>
      </c>
      <c r="H74" s="35">
        <f>IF(B74="","",INDEX(الموظفات!$L$5:$L$304,MATCH(B74,الموظفات!$B$5:$B$304,0)))</f>
        <v/>
      </c>
      <c r="K74" s="36">
        <f>IF(37&gt;$B$10,"",37)</f>
        <v/>
      </c>
      <c r="L74" s="37">
        <f>IF($K74="","",INDEX('سجل التحفيز'!$A$5:$A$2004,MATCH($K74,'سجل التحفيز'!$T$5:$T$2004,0)))</f>
        <v/>
      </c>
      <c r="M74" s="9">
        <f>IF($K74="","",INDEX('سجل التحفيز'!$B$5:$B$2004,MATCH($K74,'سجل التحفيز'!$T$5:$T$2004,0)))</f>
        <v/>
      </c>
      <c r="N74" s="9">
        <f>IF($K74="","",INDEX('سجل التحفيز'!$M$5:$M$2004,MATCH($K74,'سجل التحفيز'!$T$5:$T$2004,0)))</f>
        <v/>
      </c>
      <c r="O74" s="9">
        <f>IF($K74="","",INDEX('سجل التحفيز'!$C$5:$C$2004,MATCH($K74,'سجل التحفيز'!$T$5:$T$2004,0)))</f>
        <v/>
      </c>
      <c r="P74" s="36">
        <f>IF($K74="","",INDEX('سجل التحفيز'!$D$5:$D$2004,MATCH($K74,'سجل التحفيز'!$T$5:$T$2004,0)))</f>
        <v/>
      </c>
      <c r="Q74" s="9">
        <f>IF($K74="","",INDEX('سجل التحفيز'!$E$5:$E$2004,MATCH($K74,'سجل التحفيز'!$T$5:$T$2004,0)))</f>
        <v/>
      </c>
      <c r="R74" s="9">
        <f>IF($K74="","",INDEX('سجل التحفيز'!$F$5:$F$2004,MATCH($K74,'سجل التحفيز'!$T$5:$T$2004,0)))</f>
        <v/>
      </c>
      <c r="S74" s="35">
        <f>IF($K74="","",INDEX('سجل التحفيز'!$G$5:$G$2004,MATCH($K74,'سجل التحفيز'!$T$5:$T$2004,0)))</f>
        <v/>
      </c>
    </row>
    <row r="75">
      <c r="B75" s="34">
        <f>IFERROR(INDEX(الموظفات!$B$5:$B$304,MATCH(38,الموظفات!$N$5:$N$304,0)),"")</f>
        <v/>
      </c>
      <c r="C75" s="34">
        <f>IF(B75="","",INDEX(الموظفات!$D$5:$D$304,MATCH(B75,الموظفات!$B$5:$B$304,0))&amp;"")</f>
        <v/>
      </c>
      <c r="D75" s="35">
        <f>IF(B75="","",COUNTIFS('سجل التحفيز'!$T$5:$T$2004,"&gt;0",'سجل التحفيز'!$B$5:$B$2004,B75))</f>
        <v/>
      </c>
      <c r="E75" s="35">
        <f>IF(B75="","",COUNTIFS('سجل التحفيز'!$T$5:$T$2004,"&gt;0",'سجل التحفيز'!$B$5:$B$2004,B75,'سجل التحفيز'!$D$5:$D$2004,"ذهبي"))</f>
        <v/>
      </c>
      <c r="F75" s="35">
        <f>IF(B75="","",SUMIFS('سجل التحفيز'!$G$5:$G$2004,'سجل التحفيز'!$T$5:$T$2004,"&gt;0",'سجل التحفيز'!$B$5:$B$2004,B75))</f>
        <v/>
      </c>
      <c r="G75" s="35">
        <f>IF(B75="","",COUNTIF($D$38:$D$187,"&gt;"&amp;D75)+1)</f>
        <v/>
      </c>
      <c r="H75" s="35">
        <f>IF(B75="","",INDEX(الموظفات!$L$5:$L$304,MATCH(B75,الموظفات!$B$5:$B$304,0)))</f>
        <v/>
      </c>
      <c r="K75" s="36">
        <f>IF(38&gt;$B$10,"",38)</f>
        <v/>
      </c>
      <c r="L75" s="37">
        <f>IF($K75="","",INDEX('سجل التحفيز'!$A$5:$A$2004,MATCH($K75,'سجل التحفيز'!$T$5:$T$2004,0)))</f>
        <v/>
      </c>
      <c r="M75" s="9">
        <f>IF($K75="","",INDEX('سجل التحفيز'!$B$5:$B$2004,MATCH($K75,'سجل التحفيز'!$T$5:$T$2004,0)))</f>
        <v/>
      </c>
      <c r="N75" s="9">
        <f>IF($K75="","",INDEX('سجل التحفيز'!$M$5:$M$2004,MATCH($K75,'سجل التحفيز'!$T$5:$T$2004,0)))</f>
        <v/>
      </c>
      <c r="O75" s="9">
        <f>IF($K75="","",INDEX('سجل التحفيز'!$C$5:$C$2004,MATCH($K75,'سجل التحفيز'!$T$5:$T$2004,0)))</f>
        <v/>
      </c>
      <c r="P75" s="36">
        <f>IF($K75="","",INDEX('سجل التحفيز'!$D$5:$D$2004,MATCH($K75,'سجل التحفيز'!$T$5:$T$2004,0)))</f>
        <v/>
      </c>
      <c r="Q75" s="9">
        <f>IF($K75="","",INDEX('سجل التحفيز'!$E$5:$E$2004,MATCH($K75,'سجل التحفيز'!$T$5:$T$2004,0)))</f>
        <v/>
      </c>
      <c r="R75" s="9">
        <f>IF($K75="","",INDEX('سجل التحفيز'!$F$5:$F$2004,MATCH($K75,'سجل التحفيز'!$T$5:$T$2004,0)))</f>
        <v/>
      </c>
      <c r="S75" s="35">
        <f>IF($K75="","",INDEX('سجل التحفيز'!$G$5:$G$2004,MATCH($K75,'سجل التحفيز'!$T$5:$T$2004,0)))</f>
        <v/>
      </c>
    </row>
    <row r="76">
      <c r="B76" s="34">
        <f>IFERROR(INDEX(الموظفات!$B$5:$B$304,MATCH(39,الموظفات!$N$5:$N$304,0)),"")</f>
        <v/>
      </c>
      <c r="C76" s="34">
        <f>IF(B76="","",INDEX(الموظفات!$D$5:$D$304,MATCH(B76,الموظفات!$B$5:$B$304,0))&amp;"")</f>
        <v/>
      </c>
      <c r="D76" s="35">
        <f>IF(B76="","",COUNTIFS('سجل التحفيز'!$T$5:$T$2004,"&gt;0",'سجل التحفيز'!$B$5:$B$2004,B76))</f>
        <v/>
      </c>
      <c r="E76" s="35">
        <f>IF(B76="","",COUNTIFS('سجل التحفيز'!$T$5:$T$2004,"&gt;0",'سجل التحفيز'!$B$5:$B$2004,B76,'سجل التحفيز'!$D$5:$D$2004,"ذهبي"))</f>
        <v/>
      </c>
      <c r="F76" s="35">
        <f>IF(B76="","",SUMIFS('سجل التحفيز'!$G$5:$G$2004,'سجل التحفيز'!$T$5:$T$2004,"&gt;0",'سجل التحفيز'!$B$5:$B$2004,B76))</f>
        <v/>
      </c>
      <c r="G76" s="35">
        <f>IF(B76="","",COUNTIF($D$38:$D$187,"&gt;"&amp;D76)+1)</f>
        <v/>
      </c>
      <c r="H76" s="35">
        <f>IF(B76="","",INDEX(الموظفات!$L$5:$L$304,MATCH(B76,الموظفات!$B$5:$B$304,0)))</f>
        <v/>
      </c>
      <c r="K76" s="36">
        <f>IF(39&gt;$B$10,"",39)</f>
        <v/>
      </c>
      <c r="L76" s="37">
        <f>IF($K76="","",INDEX('سجل التحفيز'!$A$5:$A$2004,MATCH($K76,'سجل التحفيز'!$T$5:$T$2004,0)))</f>
        <v/>
      </c>
      <c r="M76" s="9">
        <f>IF($K76="","",INDEX('سجل التحفيز'!$B$5:$B$2004,MATCH($K76,'سجل التحفيز'!$T$5:$T$2004,0)))</f>
        <v/>
      </c>
      <c r="N76" s="9">
        <f>IF($K76="","",INDEX('سجل التحفيز'!$M$5:$M$2004,MATCH($K76,'سجل التحفيز'!$T$5:$T$2004,0)))</f>
        <v/>
      </c>
      <c r="O76" s="9">
        <f>IF($K76="","",INDEX('سجل التحفيز'!$C$5:$C$2004,MATCH($K76,'سجل التحفيز'!$T$5:$T$2004,0)))</f>
        <v/>
      </c>
      <c r="P76" s="36">
        <f>IF($K76="","",INDEX('سجل التحفيز'!$D$5:$D$2004,MATCH($K76,'سجل التحفيز'!$T$5:$T$2004,0)))</f>
        <v/>
      </c>
      <c r="Q76" s="9">
        <f>IF($K76="","",INDEX('سجل التحفيز'!$E$5:$E$2004,MATCH($K76,'سجل التحفيز'!$T$5:$T$2004,0)))</f>
        <v/>
      </c>
      <c r="R76" s="9">
        <f>IF($K76="","",INDEX('سجل التحفيز'!$F$5:$F$2004,MATCH($K76,'سجل التحفيز'!$T$5:$T$2004,0)))</f>
        <v/>
      </c>
      <c r="S76" s="35">
        <f>IF($K76="","",INDEX('سجل التحفيز'!$G$5:$G$2004,MATCH($K76,'سجل التحفيز'!$T$5:$T$2004,0)))</f>
        <v/>
      </c>
    </row>
    <row r="77">
      <c r="B77" s="34">
        <f>IFERROR(INDEX(الموظفات!$B$5:$B$304,MATCH(40,الموظفات!$N$5:$N$304,0)),"")</f>
        <v/>
      </c>
      <c r="C77" s="34">
        <f>IF(B77="","",INDEX(الموظفات!$D$5:$D$304,MATCH(B77,الموظفات!$B$5:$B$304,0))&amp;"")</f>
        <v/>
      </c>
      <c r="D77" s="35">
        <f>IF(B77="","",COUNTIFS('سجل التحفيز'!$T$5:$T$2004,"&gt;0",'سجل التحفيز'!$B$5:$B$2004,B77))</f>
        <v/>
      </c>
      <c r="E77" s="35">
        <f>IF(B77="","",COUNTIFS('سجل التحفيز'!$T$5:$T$2004,"&gt;0",'سجل التحفيز'!$B$5:$B$2004,B77,'سجل التحفيز'!$D$5:$D$2004,"ذهبي"))</f>
        <v/>
      </c>
      <c r="F77" s="35">
        <f>IF(B77="","",SUMIFS('سجل التحفيز'!$G$5:$G$2004,'سجل التحفيز'!$T$5:$T$2004,"&gt;0",'سجل التحفيز'!$B$5:$B$2004,B77))</f>
        <v/>
      </c>
      <c r="G77" s="35">
        <f>IF(B77="","",COUNTIF($D$38:$D$187,"&gt;"&amp;D77)+1)</f>
        <v/>
      </c>
      <c r="H77" s="35">
        <f>IF(B77="","",INDEX(الموظفات!$L$5:$L$304,MATCH(B77,الموظفات!$B$5:$B$304,0)))</f>
        <v/>
      </c>
      <c r="K77" s="36">
        <f>IF(40&gt;$B$10,"",40)</f>
        <v/>
      </c>
      <c r="L77" s="37">
        <f>IF($K77="","",INDEX('سجل التحفيز'!$A$5:$A$2004,MATCH($K77,'سجل التحفيز'!$T$5:$T$2004,0)))</f>
        <v/>
      </c>
      <c r="M77" s="9">
        <f>IF($K77="","",INDEX('سجل التحفيز'!$B$5:$B$2004,MATCH($K77,'سجل التحفيز'!$T$5:$T$2004,0)))</f>
        <v/>
      </c>
      <c r="N77" s="9">
        <f>IF($K77="","",INDEX('سجل التحفيز'!$M$5:$M$2004,MATCH($K77,'سجل التحفيز'!$T$5:$T$2004,0)))</f>
        <v/>
      </c>
      <c r="O77" s="9">
        <f>IF($K77="","",INDEX('سجل التحفيز'!$C$5:$C$2004,MATCH($K77,'سجل التحفيز'!$T$5:$T$2004,0)))</f>
        <v/>
      </c>
      <c r="P77" s="36">
        <f>IF($K77="","",INDEX('سجل التحفيز'!$D$5:$D$2004,MATCH($K77,'سجل التحفيز'!$T$5:$T$2004,0)))</f>
        <v/>
      </c>
      <c r="Q77" s="9">
        <f>IF($K77="","",INDEX('سجل التحفيز'!$E$5:$E$2004,MATCH($K77,'سجل التحفيز'!$T$5:$T$2004,0)))</f>
        <v/>
      </c>
      <c r="R77" s="9">
        <f>IF($K77="","",INDEX('سجل التحفيز'!$F$5:$F$2004,MATCH($K77,'سجل التحفيز'!$T$5:$T$2004,0)))</f>
        <v/>
      </c>
      <c r="S77" s="35">
        <f>IF($K77="","",INDEX('سجل التحفيز'!$G$5:$G$2004,MATCH($K77,'سجل التحفيز'!$T$5:$T$2004,0)))</f>
        <v/>
      </c>
    </row>
    <row r="78">
      <c r="B78" s="34">
        <f>IFERROR(INDEX(الموظفات!$B$5:$B$304,MATCH(41,الموظفات!$N$5:$N$304,0)),"")</f>
        <v/>
      </c>
      <c r="C78" s="34">
        <f>IF(B78="","",INDEX(الموظفات!$D$5:$D$304,MATCH(B78,الموظفات!$B$5:$B$304,0))&amp;"")</f>
        <v/>
      </c>
      <c r="D78" s="35">
        <f>IF(B78="","",COUNTIFS('سجل التحفيز'!$T$5:$T$2004,"&gt;0",'سجل التحفيز'!$B$5:$B$2004,B78))</f>
        <v/>
      </c>
      <c r="E78" s="35">
        <f>IF(B78="","",COUNTIFS('سجل التحفيز'!$T$5:$T$2004,"&gt;0",'سجل التحفيز'!$B$5:$B$2004,B78,'سجل التحفيز'!$D$5:$D$2004,"ذهبي"))</f>
        <v/>
      </c>
      <c r="F78" s="35">
        <f>IF(B78="","",SUMIFS('سجل التحفيز'!$G$5:$G$2004,'سجل التحفيز'!$T$5:$T$2004,"&gt;0",'سجل التحفيز'!$B$5:$B$2004,B78))</f>
        <v/>
      </c>
      <c r="G78" s="35">
        <f>IF(B78="","",COUNTIF($D$38:$D$187,"&gt;"&amp;D78)+1)</f>
        <v/>
      </c>
      <c r="H78" s="35">
        <f>IF(B78="","",INDEX(الموظفات!$L$5:$L$304,MATCH(B78,الموظفات!$B$5:$B$304,0)))</f>
        <v/>
      </c>
      <c r="K78" s="36">
        <f>IF(41&gt;$B$10,"",41)</f>
        <v/>
      </c>
      <c r="L78" s="37">
        <f>IF($K78="","",INDEX('سجل التحفيز'!$A$5:$A$2004,MATCH($K78,'سجل التحفيز'!$T$5:$T$2004,0)))</f>
        <v/>
      </c>
      <c r="M78" s="9">
        <f>IF($K78="","",INDEX('سجل التحفيز'!$B$5:$B$2004,MATCH($K78,'سجل التحفيز'!$T$5:$T$2004,0)))</f>
        <v/>
      </c>
      <c r="N78" s="9">
        <f>IF($K78="","",INDEX('سجل التحفيز'!$M$5:$M$2004,MATCH($K78,'سجل التحفيز'!$T$5:$T$2004,0)))</f>
        <v/>
      </c>
      <c r="O78" s="9">
        <f>IF($K78="","",INDEX('سجل التحفيز'!$C$5:$C$2004,MATCH($K78,'سجل التحفيز'!$T$5:$T$2004,0)))</f>
        <v/>
      </c>
      <c r="P78" s="36">
        <f>IF($K78="","",INDEX('سجل التحفيز'!$D$5:$D$2004,MATCH($K78,'سجل التحفيز'!$T$5:$T$2004,0)))</f>
        <v/>
      </c>
      <c r="Q78" s="9">
        <f>IF($K78="","",INDEX('سجل التحفيز'!$E$5:$E$2004,MATCH($K78,'سجل التحفيز'!$T$5:$T$2004,0)))</f>
        <v/>
      </c>
      <c r="R78" s="9">
        <f>IF($K78="","",INDEX('سجل التحفيز'!$F$5:$F$2004,MATCH($K78,'سجل التحفيز'!$T$5:$T$2004,0)))</f>
        <v/>
      </c>
      <c r="S78" s="35">
        <f>IF($K78="","",INDEX('سجل التحفيز'!$G$5:$G$2004,MATCH($K78,'سجل التحفيز'!$T$5:$T$2004,0)))</f>
        <v/>
      </c>
    </row>
    <row r="79">
      <c r="B79" s="34">
        <f>IFERROR(INDEX(الموظفات!$B$5:$B$304,MATCH(42,الموظفات!$N$5:$N$304,0)),"")</f>
        <v/>
      </c>
      <c r="C79" s="34">
        <f>IF(B79="","",INDEX(الموظفات!$D$5:$D$304,MATCH(B79,الموظفات!$B$5:$B$304,0))&amp;"")</f>
        <v/>
      </c>
      <c r="D79" s="35">
        <f>IF(B79="","",COUNTIFS('سجل التحفيز'!$T$5:$T$2004,"&gt;0",'سجل التحفيز'!$B$5:$B$2004,B79))</f>
        <v/>
      </c>
      <c r="E79" s="35">
        <f>IF(B79="","",COUNTIFS('سجل التحفيز'!$T$5:$T$2004,"&gt;0",'سجل التحفيز'!$B$5:$B$2004,B79,'سجل التحفيز'!$D$5:$D$2004,"ذهبي"))</f>
        <v/>
      </c>
      <c r="F79" s="35">
        <f>IF(B79="","",SUMIFS('سجل التحفيز'!$G$5:$G$2004,'سجل التحفيز'!$T$5:$T$2004,"&gt;0",'سجل التحفيز'!$B$5:$B$2004,B79))</f>
        <v/>
      </c>
      <c r="G79" s="35">
        <f>IF(B79="","",COUNTIF($D$38:$D$187,"&gt;"&amp;D79)+1)</f>
        <v/>
      </c>
      <c r="H79" s="35">
        <f>IF(B79="","",INDEX(الموظفات!$L$5:$L$304,MATCH(B79,الموظفات!$B$5:$B$304,0)))</f>
        <v/>
      </c>
      <c r="K79" s="36">
        <f>IF(42&gt;$B$10,"",42)</f>
        <v/>
      </c>
      <c r="L79" s="37">
        <f>IF($K79="","",INDEX('سجل التحفيز'!$A$5:$A$2004,MATCH($K79,'سجل التحفيز'!$T$5:$T$2004,0)))</f>
        <v/>
      </c>
      <c r="M79" s="9">
        <f>IF($K79="","",INDEX('سجل التحفيز'!$B$5:$B$2004,MATCH($K79,'سجل التحفيز'!$T$5:$T$2004,0)))</f>
        <v/>
      </c>
      <c r="N79" s="9">
        <f>IF($K79="","",INDEX('سجل التحفيز'!$M$5:$M$2004,MATCH($K79,'سجل التحفيز'!$T$5:$T$2004,0)))</f>
        <v/>
      </c>
      <c r="O79" s="9">
        <f>IF($K79="","",INDEX('سجل التحفيز'!$C$5:$C$2004,MATCH($K79,'سجل التحفيز'!$T$5:$T$2004,0)))</f>
        <v/>
      </c>
      <c r="P79" s="36">
        <f>IF($K79="","",INDEX('سجل التحفيز'!$D$5:$D$2004,MATCH($K79,'سجل التحفيز'!$T$5:$T$2004,0)))</f>
        <v/>
      </c>
      <c r="Q79" s="9">
        <f>IF($K79="","",INDEX('سجل التحفيز'!$E$5:$E$2004,MATCH($K79,'سجل التحفيز'!$T$5:$T$2004,0)))</f>
        <v/>
      </c>
      <c r="R79" s="9">
        <f>IF($K79="","",INDEX('سجل التحفيز'!$F$5:$F$2004,MATCH($K79,'سجل التحفيز'!$T$5:$T$2004,0)))</f>
        <v/>
      </c>
      <c r="S79" s="35">
        <f>IF($K79="","",INDEX('سجل التحفيز'!$G$5:$G$2004,MATCH($K79,'سجل التحفيز'!$T$5:$T$2004,0)))</f>
        <v/>
      </c>
    </row>
    <row r="80">
      <c r="B80" s="34">
        <f>IFERROR(INDEX(الموظفات!$B$5:$B$304,MATCH(43,الموظفات!$N$5:$N$304,0)),"")</f>
        <v/>
      </c>
      <c r="C80" s="34">
        <f>IF(B80="","",INDEX(الموظفات!$D$5:$D$304,MATCH(B80,الموظفات!$B$5:$B$304,0))&amp;"")</f>
        <v/>
      </c>
      <c r="D80" s="35">
        <f>IF(B80="","",COUNTIFS('سجل التحفيز'!$T$5:$T$2004,"&gt;0",'سجل التحفيز'!$B$5:$B$2004,B80))</f>
        <v/>
      </c>
      <c r="E80" s="35">
        <f>IF(B80="","",COUNTIFS('سجل التحفيز'!$T$5:$T$2004,"&gt;0",'سجل التحفيز'!$B$5:$B$2004,B80,'سجل التحفيز'!$D$5:$D$2004,"ذهبي"))</f>
        <v/>
      </c>
      <c r="F80" s="35">
        <f>IF(B80="","",SUMIFS('سجل التحفيز'!$G$5:$G$2004,'سجل التحفيز'!$T$5:$T$2004,"&gt;0",'سجل التحفيز'!$B$5:$B$2004,B80))</f>
        <v/>
      </c>
      <c r="G80" s="35">
        <f>IF(B80="","",COUNTIF($D$38:$D$187,"&gt;"&amp;D80)+1)</f>
        <v/>
      </c>
      <c r="H80" s="35">
        <f>IF(B80="","",INDEX(الموظفات!$L$5:$L$304,MATCH(B80,الموظفات!$B$5:$B$304,0)))</f>
        <v/>
      </c>
      <c r="K80" s="36">
        <f>IF(43&gt;$B$10,"",43)</f>
        <v/>
      </c>
      <c r="L80" s="37">
        <f>IF($K80="","",INDEX('سجل التحفيز'!$A$5:$A$2004,MATCH($K80,'سجل التحفيز'!$T$5:$T$2004,0)))</f>
        <v/>
      </c>
      <c r="M80" s="9">
        <f>IF($K80="","",INDEX('سجل التحفيز'!$B$5:$B$2004,MATCH($K80,'سجل التحفيز'!$T$5:$T$2004,0)))</f>
        <v/>
      </c>
      <c r="N80" s="9">
        <f>IF($K80="","",INDEX('سجل التحفيز'!$M$5:$M$2004,MATCH($K80,'سجل التحفيز'!$T$5:$T$2004,0)))</f>
        <v/>
      </c>
      <c r="O80" s="9">
        <f>IF($K80="","",INDEX('سجل التحفيز'!$C$5:$C$2004,MATCH($K80,'سجل التحفيز'!$T$5:$T$2004,0)))</f>
        <v/>
      </c>
      <c r="P80" s="36">
        <f>IF($K80="","",INDEX('سجل التحفيز'!$D$5:$D$2004,MATCH($K80,'سجل التحفيز'!$T$5:$T$2004,0)))</f>
        <v/>
      </c>
      <c r="Q80" s="9">
        <f>IF($K80="","",INDEX('سجل التحفيز'!$E$5:$E$2004,MATCH($K80,'سجل التحفيز'!$T$5:$T$2004,0)))</f>
        <v/>
      </c>
      <c r="R80" s="9">
        <f>IF($K80="","",INDEX('سجل التحفيز'!$F$5:$F$2004,MATCH($K80,'سجل التحفيز'!$T$5:$T$2004,0)))</f>
        <v/>
      </c>
      <c r="S80" s="35">
        <f>IF($K80="","",INDEX('سجل التحفيز'!$G$5:$G$2004,MATCH($K80,'سجل التحفيز'!$T$5:$T$2004,0)))</f>
        <v/>
      </c>
    </row>
    <row r="81">
      <c r="B81" s="34">
        <f>IFERROR(INDEX(الموظفات!$B$5:$B$304,MATCH(44,الموظفات!$N$5:$N$304,0)),"")</f>
        <v/>
      </c>
      <c r="C81" s="34">
        <f>IF(B81="","",INDEX(الموظفات!$D$5:$D$304,MATCH(B81,الموظفات!$B$5:$B$304,0))&amp;"")</f>
        <v/>
      </c>
      <c r="D81" s="35">
        <f>IF(B81="","",COUNTIFS('سجل التحفيز'!$T$5:$T$2004,"&gt;0",'سجل التحفيز'!$B$5:$B$2004,B81))</f>
        <v/>
      </c>
      <c r="E81" s="35">
        <f>IF(B81="","",COUNTIFS('سجل التحفيز'!$T$5:$T$2004,"&gt;0",'سجل التحفيز'!$B$5:$B$2004,B81,'سجل التحفيز'!$D$5:$D$2004,"ذهبي"))</f>
        <v/>
      </c>
      <c r="F81" s="35">
        <f>IF(B81="","",SUMIFS('سجل التحفيز'!$G$5:$G$2004,'سجل التحفيز'!$T$5:$T$2004,"&gt;0",'سجل التحفيز'!$B$5:$B$2004,B81))</f>
        <v/>
      </c>
      <c r="G81" s="35">
        <f>IF(B81="","",COUNTIF($D$38:$D$187,"&gt;"&amp;D81)+1)</f>
        <v/>
      </c>
      <c r="H81" s="35">
        <f>IF(B81="","",INDEX(الموظفات!$L$5:$L$304,MATCH(B81,الموظفات!$B$5:$B$304,0)))</f>
        <v/>
      </c>
      <c r="K81" s="36">
        <f>IF(44&gt;$B$10,"",44)</f>
        <v/>
      </c>
      <c r="L81" s="37">
        <f>IF($K81="","",INDEX('سجل التحفيز'!$A$5:$A$2004,MATCH($K81,'سجل التحفيز'!$T$5:$T$2004,0)))</f>
        <v/>
      </c>
      <c r="M81" s="9">
        <f>IF($K81="","",INDEX('سجل التحفيز'!$B$5:$B$2004,MATCH($K81,'سجل التحفيز'!$T$5:$T$2004,0)))</f>
        <v/>
      </c>
      <c r="N81" s="9">
        <f>IF($K81="","",INDEX('سجل التحفيز'!$M$5:$M$2004,MATCH($K81,'سجل التحفيز'!$T$5:$T$2004,0)))</f>
        <v/>
      </c>
      <c r="O81" s="9">
        <f>IF($K81="","",INDEX('سجل التحفيز'!$C$5:$C$2004,MATCH($K81,'سجل التحفيز'!$T$5:$T$2004,0)))</f>
        <v/>
      </c>
      <c r="P81" s="36">
        <f>IF($K81="","",INDEX('سجل التحفيز'!$D$5:$D$2004,MATCH($K81,'سجل التحفيز'!$T$5:$T$2004,0)))</f>
        <v/>
      </c>
      <c r="Q81" s="9">
        <f>IF($K81="","",INDEX('سجل التحفيز'!$E$5:$E$2004,MATCH($K81,'سجل التحفيز'!$T$5:$T$2004,0)))</f>
        <v/>
      </c>
      <c r="R81" s="9">
        <f>IF($K81="","",INDEX('سجل التحفيز'!$F$5:$F$2004,MATCH($K81,'سجل التحفيز'!$T$5:$T$2004,0)))</f>
        <v/>
      </c>
      <c r="S81" s="35">
        <f>IF($K81="","",INDEX('سجل التحفيز'!$G$5:$G$2004,MATCH($K81,'سجل التحفيز'!$T$5:$T$2004,0)))</f>
        <v/>
      </c>
    </row>
    <row r="82">
      <c r="B82" s="34">
        <f>IFERROR(INDEX(الموظفات!$B$5:$B$304,MATCH(45,الموظفات!$N$5:$N$304,0)),"")</f>
        <v/>
      </c>
      <c r="C82" s="34">
        <f>IF(B82="","",INDEX(الموظفات!$D$5:$D$304,MATCH(B82,الموظفات!$B$5:$B$304,0))&amp;"")</f>
        <v/>
      </c>
      <c r="D82" s="35">
        <f>IF(B82="","",COUNTIFS('سجل التحفيز'!$T$5:$T$2004,"&gt;0",'سجل التحفيز'!$B$5:$B$2004,B82))</f>
        <v/>
      </c>
      <c r="E82" s="35">
        <f>IF(B82="","",COUNTIFS('سجل التحفيز'!$T$5:$T$2004,"&gt;0",'سجل التحفيز'!$B$5:$B$2004,B82,'سجل التحفيز'!$D$5:$D$2004,"ذهبي"))</f>
        <v/>
      </c>
      <c r="F82" s="35">
        <f>IF(B82="","",SUMIFS('سجل التحفيز'!$G$5:$G$2004,'سجل التحفيز'!$T$5:$T$2004,"&gt;0",'سجل التحفيز'!$B$5:$B$2004,B82))</f>
        <v/>
      </c>
      <c r="G82" s="35">
        <f>IF(B82="","",COUNTIF($D$38:$D$187,"&gt;"&amp;D82)+1)</f>
        <v/>
      </c>
      <c r="H82" s="35">
        <f>IF(B82="","",INDEX(الموظفات!$L$5:$L$304,MATCH(B82,الموظفات!$B$5:$B$304,0)))</f>
        <v/>
      </c>
      <c r="K82" s="36">
        <f>IF(45&gt;$B$10,"",45)</f>
        <v/>
      </c>
      <c r="L82" s="37">
        <f>IF($K82="","",INDEX('سجل التحفيز'!$A$5:$A$2004,MATCH($K82,'سجل التحفيز'!$T$5:$T$2004,0)))</f>
        <v/>
      </c>
      <c r="M82" s="9">
        <f>IF($K82="","",INDEX('سجل التحفيز'!$B$5:$B$2004,MATCH($K82,'سجل التحفيز'!$T$5:$T$2004,0)))</f>
        <v/>
      </c>
      <c r="N82" s="9">
        <f>IF($K82="","",INDEX('سجل التحفيز'!$M$5:$M$2004,MATCH($K82,'سجل التحفيز'!$T$5:$T$2004,0)))</f>
        <v/>
      </c>
      <c r="O82" s="9">
        <f>IF($K82="","",INDEX('سجل التحفيز'!$C$5:$C$2004,MATCH($K82,'سجل التحفيز'!$T$5:$T$2004,0)))</f>
        <v/>
      </c>
      <c r="P82" s="36">
        <f>IF($K82="","",INDEX('سجل التحفيز'!$D$5:$D$2004,MATCH($K82,'سجل التحفيز'!$T$5:$T$2004,0)))</f>
        <v/>
      </c>
      <c r="Q82" s="9">
        <f>IF($K82="","",INDEX('سجل التحفيز'!$E$5:$E$2004,MATCH($K82,'سجل التحفيز'!$T$5:$T$2004,0)))</f>
        <v/>
      </c>
      <c r="R82" s="9">
        <f>IF($K82="","",INDEX('سجل التحفيز'!$F$5:$F$2004,MATCH($K82,'سجل التحفيز'!$T$5:$T$2004,0)))</f>
        <v/>
      </c>
      <c r="S82" s="35">
        <f>IF($K82="","",INDEX('سجل التحفيز'!$G$5:$G$2004,MATCH($K82,'سجل التحفيز'!$T$5:$T$2004,0)))</f>
        <v/>
      </c>
    </row>
    <row r="83">
      <c r="B83" s="34">
        <f>IFERROR(INDEX(الموظفات!$B$5:$B$304,MATCH(46,الموظفات!$N$5:$N$304,0)),"")</f>
        <v/>
      </c>
      <c r="C83" s="34">
        <f>IF(B83="","",INDEX(الموظفات!$D$5:$D$304,MATCH(B83,الموظفات!$B$5:$B$304,0))&amp;"")</f>
        <v/>
      </c>
      <c r="D83" s="35">
        <f>IF(B83="","",COUNTIFS('سجل التحفيز'!$T$5:$T$2004,"&gt;0",'سجل التحفيز'!$B$5:$B$2004,B83))</f>
        <v/>
      </c>
      <c r="E83" s="35">
        <f>IF(B83="","",COUNTIFS('سجل التحفيز'!$T$5:$T$2004,"&gt;0",'سجل التحفيز'!$B$5:$B$2004,B83,'سجل التحفيز'!$D$5:$D$2004,"ذهبي"))</f>
        <v/>
      </c>
      <c r="F83" s="35">
        <f>IF(B83="","",SUMIFS('سجل التحفيز'!$G$5:$G$2004,'سجل التحفيز'!$T$5:$T$2004,"&gt;0",'سجل التحفيز'!$B$5:$B$2004,B83))</f>
        <v/>
      </c>
      <c r="G83" s="35">
        <f>IF(B83="","",COUNTIF($D$38:$D$187,"&gt;"&amp;D83)+1)</f>
        <v/>
      </c>
      <c r="H83" s="35">
        <f>IF(B83="","",INDEX(الموظفات!$L$5:$L$304,MATCH(B83,الموظفات!$B$5:$B$304,0)))</f>
        <v/>
      </c>
      <c r="K83" s="36">
        <f>IF(46&gt;$B$10,"",46)</f>
        <v/>
      </c>
      <c r="L83" s="37">
        <f>IF($K83="","",INDEX('سجل التحفيز'!$A$5:$A$2004,MATCH($K83,'سجل التحفيز'!$T$5:$T$2004,0)))</f>
        <v/>
      </c>
      <c r="M83" s="9">
        <f>IF($K83="","",INDEX('سجل التحفيز'!$B$5:$B$2004,MATCH($K83,'سجل التحفيز'!$T$5:$T$2004,0)))</f>
        <v/>
      </c>
      <c r="N83" s="9">
        <f>IF($K83="","",INDEX('سجل التحفيز'!$M$5:$M$2004,MATCH($K83,'سجل التحفيز'!$T$5:$T$2004,0)))</f>
        <v/>
      </c>
      <c r="O83" s="9">
        <f>IF($K83="","",INDEX('سجل التحفيز'!$C$5:$C$2004,MATCH($K83,'سجل التحفيز'!$T$5:$T$2004,0)))</f>
        <v/>
      </c>
      <c r="P83" s="36">
        <f>IF($K83="","",INDEX('سجل التحفيز'!$D$5:$D$2004,MATCH($K83,'سجل التحفيز'!$T$5:$T$2004,0)))</f>
        <v/>
      </c>
      <c r="Q83" s="9">
        <f>IF($K83="","",INDEX('سجل التحفيز'!$E$5:$E$2004,MATCH($K83,'سجل التحفيز'!$T$5:$T$2004,0)))</f>
        <v/>
      </c>
      <c r="R83" s="9">
        <f>IF($K83="","",INDEX('سجل التحفيز'!$F$5:$F$2004,MATCH($K83,'سجل التحفيز'!$T$5:$T$2004,0)))</f>
        <v/>
      </c>
      <c r="S83" s="35">
        <f>IF($K83="","",INDEX('سجل التحفيز'!$G$5:$G$2004,MATCH($K83,'سجل التحفيز'!$T$5:$T$2004,0)))</f>
        <v/>
      </c>
    </row>
    <row r="84">
      <c r="B84" s="34">
        <f>IFERROR(INDEX(الموظفات!$B$5:$B$304,MATCH(47,الموظفات!$N$5:$N$304,0)),"")</f>
        <v/>
      </c>
      <c r="C84" s="34">
        <f>IF(B84="","",INDEX(الموظفات!$D$5:$D$304,MATCH(B84,الموظفات!$B$5:$B$304,0))&amp;"")</f>
        <v/>
      </c>
      <c r="D84" s="35">
        <f>IF(B84="","",COUNTIFS('سجل التحفيز'!$T$5:$T$2004,"&gt;0",'سجل التحفيز'!$B$5:$B$2004,B84))</f>
        <v/>
      </c>
      <c r="E84" s="35">
        <f>IF(B84="","",COUNTIFS('سجل التحفيز'!$T$5:$T$2004,"&gt;0",'سجل التحفيز'!$B$5:$B$2004,B84,'سجل التحفيز'!$D$5:$D$2004,"ذهبي"))</f>
        <v/>
      </c>
      <c r="F84" s="35">
        <f>IF(B84="","",SUMIFS('سجل التحفيز'!$G$5:$G$2004,'سجل التحفيز'!$T$5:$T$2004,"&gt;0",'سجل التحفيز'!$B$5:$B$2004,B84))</f>
        <v/>
      </c>
      <c r="G84" s="35">
        <f>IF(B84="","",COUNTIF($D$38:$D$187,"&gt;"&amp;D84)+1)</f>
        <v/>
      </c>
      <c r="H84" s="35">
        <f>IF(B84="","",INDEX(الموظفات!$L$5:$L$304,MATCH(B84,الموظفات!$B$5:$B$304,0)))</f>
        <v/>
      </c>
      <c r="K84" s="36">
        <f>IF(47&gt;$B$10,"",47)</f>
        <v/>
      </c>
      <c r="L84" s="37">
        <f>IF($K84="","",INDEX('سجل التحفيز'!$A$5:$A$2004,MATCH($K84,'سجل التحفيز'!$T$5:$T$2004,0)))</f>
        <v/>
      </c>
      <c r="M84" s="9">
        <f>IF($K84="","",INDEX('سجل التحفيز'!$B$5:$B$2004,MATCH($K84,'سجل التحفيز'!$T$5:$T$2004,0)))</f>
        <v/>
      </c>
      <c r="N84" s="9">
        <f>IF($K84="","",INDEX('سجل التحفيز'!$M$5:$M$2004,MATCH($K84,'سجل التحفيز'!$T$5:$T$2004,0)))</f>
        <v/>
      </c>
      <c r="O84" s="9">
        <f>IF($K84="","",INDEX('سجل التحفيز'!$C$5:$C$2004,MATCH($K84,'سجل التحفيز'!$T$5:$T$2004,0)))</f>
        <v/>
      </c>
      <c r="P84" s="36">
        <f>IF($K84="","",INDEX('سجل التحفيز'!$D$5:$D$2004,MATCH($K84,'سجل التحفيز'!$T$5:$T$2004,0)))</f>
        <v/>
      </c>
      <c r="Q84" s="9">
        <f>IF($K84="","",INDEX('سجل التحفيز'!$E$5:$E$2004,MATCH($K84,'سجل التحفيز'!$T$5:$T$2004,0)))</f>
        <v/>
      </c>
      <c r="R84" s="9">
        <f>IF($K84="","",INDEX('سجل التحفيز'!$F$5:$F$2004,MATCH($K84,'سجل التحفيز'!$T$5:$T$2004,0)))</f>
        <v/>
      </c>
      <c r="S84" s="35">
        <f>IF($K84="","",INDEX('سجل التحفيز'!$G$5:$G$2004,MATCH($K84,'سجل التحفيز'!$T$5:$T$2004,0)))</f>
        <v/>
      </c>
    </row>
    <row r="85">
      <c r="B85" s="34">
        <f>IFERROR(INDEX(الموظفات!$B$5:$B$304,MATCH(48,الموظفات!$N$5:$N$304,0)),"")</f>
        <v/>
      </c>
      <c r="C85" s="34">
        <f>IF(B85="","",INDEX(الموظفات!$D$5:$D$304,MATCH(B85,الموظفات!$B$5:$B$304,0))&amp;"")</f>
        <v/>
      </c>
      <c r="D85" s="35">
        <f>IF(B85="","",COUNTIFS('سجل التحفيز'!$T$5:$T$2004,"&gt;0",'سجل التحفيز'!$B$5:$B$2004,B85))</f>
        <v/>
      </c>
      <c r="E85" s="35">
        <f>IF(B85="","",COUNTIFS('سجل التحفيز'!$T$5:$T$2004,"&gt;0",'سجل التحفيز'!$B$5:$B$2004,B85,'سجل التحفيز'!$D$5:$D$2004,"ذهبي"))</f>
        <v/>
      </c>
      <c r="F85" s="35">
        <f>IF(B85="","",SUMIFS('سجل التحفيز'!$G$5:$G$2004,'سجل التحفيز'!$T$5:$T$2004,"&gt;0",'سجل التحفيز'!$B$5:$B$2004,B85))</f>
        <v/>
      </c>
      <c r="G85" s="35">
        <f>IF(B85="","",COUNTIF($D$38:$D$187,"&gt;"&amp;D85)+1)</f>
        <v/>
      </c>
      <c r="H85" s="35">
        <f>IF(B85="","",INDEX(الموظفات!$L$5:$L$304,MATCH(B85,الموظفات!$B$5:$B$304,0)))</f>
        <v/>
      </c>
      <c r="K85" s="36">
        <f>IF(48&gt;$B$10,"",48)</f>
        <v/>
      </c>
      <c r="L85" s="37">
        <f>IF($K85="","",INDEX('سجل التحفيز'!$A$5:$A$2004,MATCH($K85,'سجل التحفيز'!$T$5:$T$2004,0)))</f>
        <v/>
      </c>
      <c r="M85" s="9">
        <f>IF($K85="","",INDEX('سجل التحفيز'!$B$5:$B$2004,MATCH($K85,'سجل التحفيز'!$T$5:$T$2004,0)))</f>
        <v/>
      </c>
      <c r="N85" s="9">
        <f>IF($K85="","",INDEX('سجل التحفيز'!$M$5:$M$2004,MATCH($K85,'سجل التحفيز'!$T$5:$T$2004,0)))</f>
        <v/>
      </c>
      <c r="O85" s="9">
        <f>IF($K85="","",INDEX('سجل التحفيز'!$C$5:$C$2004,MATCH($K85,'سجل التحفيز'!$T$5:$T$2004,0)))</f>
        <v/>
      </c>
      <c r="P85" s="36">
        <f>IF($K85="","",INDEX('سجل التحفيز'!$D$5:$D$2004,MATCH($K85,'سجل التحفيز'!$T$5:$T$2004,0)))</f>
        <v/>
      </c>
      <c r="Q85" s="9">
        <f>IF($K85="","",INDEX('سجل التحفيز'!$E$5:$E$2004,MATCH($K85,'سجل التحفيز'!$T$5:$T$2004,0)))</f>
        <v/>
      </c>
      <c r="R85" s="9">
        <f>IF($K85="","",INDEX('سجل التحفيز'!$F$5:$F$2004,MATCH($K85,'سجل التحفيز'!$T$5:$T$2004,0)))</f>
        <v/>
      </c>
      <c r="S85" s="35">
        <f>IF($K85="","",INDEX('سجل التحفيز'!$G$5:$G$2004,MATCH($K85,'سجل التحفيز'!$T$5:$T$2004,0)))</f>
        <v/>
      </c>
    </row>
    <row r="86">
      <c r="B86" s="34">
        <f>IFERROR(INDEX(الموظفات!$B$5:$B$304,MATCH(49,الموظفات!$N$5:$N$304,0)),"")</f>
        <v/>
      </c>
      <c r="C86" s="34">
        <f>IF(B86="","",INDEX(الموظفات!$D$5:$D$304,MATCH(B86,الموظفات!$B$5:$B$304,0))&amp;"")</f>
        <v/>
      </c>
      <c r="D86" s="35">
        <f>IF(B86="","",COUNTIFS('سجل التحفيز'!$T$5:$T$2004,"&gt;0",'سجل التحفيز'!$B$5:$B$2004,B86))</f>
        <v/>
      </c>
      <c r="E86" s="35">
        <f>IF(B86="","",COUNTIFS('سجل التحفيز'!$T$5:$T$2004,"&gt;0",'سجل التحفيز'!$B$5:$B$2004,B86,'سجل التحفيز'!$D$5:$D$2004,"ذهبي"))</f>
        <v/>
      </c>
      <c r="F86" s="35">
        <f>IF(B86="","",SUMIFS('سجل التحفيز'!$G$5:$G$2004,'سجل التحفيز'!$T$5:$T$2004,"&gt;0",'سجل التحفيز'!$B$5:$B$2004,B86))</f>
        <v/>
      </c>
      <c r="G86" s="35">
        <f>IF(B86="","",COUNTIF($D$38:$D$187,"&gt;"&amp;D86)+1)</f>
        <v/>
      </c>
      <c r="H86" s="35">
        <f>IF(B86="","",INDEX(الموظفات!$L$5:$L$304,MATCH(B86,الموظفات!$B$5:$B$304,0)))</f>
        <v/>
      </c>
      <c r="K86" s="36">
        <f>IF(49&gt;$B$10,"",49)</f>
        <v/>
      </c>
      <c r="L86" s="37">
        <f>IF($K86="","",INDEX('سجل التحفيز'!$A$5:$A$2004,MATCH($K86,'سجل التحفيز'!$T$5:$T$2004,0)))</f>
        <v/>
      </c>
      <c r="M86" s="9">
        <f>IF($K86="","",INDEX('سجل التحفيز'!$B$5:$B$2004,MATCH($K86,'سجل التحفيز'!$T$5:$T$2004,0)))</f>
        <v/>
      </c>
      <c r="N86" s="9">
        <f>IF($K86="","",INDEX('سجل التحفيز'!$M$5:$M$2004,MATCH($K86,'سجل التحفيز'!$T$5:$T$2004,0)))</f>
        <v/>
      </c>
      <c r="O86" s="9">
        <f>IF($K86="","",INDEX('سجل التحفيز'!$C$5:$C$2004,MATCH($K86,'سجل التحفيز'!$T$5:$T$2004,0)))</f>
        <v/>
      </c>
      <c r="P86" s="36">
        <f>IF($K86="","",INDEX('سجل التحفيز'!$D$5:$D$2004,MATCH($K86,'سجل التحفيز'!$T$5:$T$2004,0)))</f>
        <v/>
      </c>
      <c r="Q86" s="9">
        <f>IF($K86="","",INDEX('سجل التحفيز'!$E$5:$E$2004,MATCH($K86,'سجل التحفيز'!$T$5:$T$2004,0)))</f>
        <v/>
      </c>
      <c r="R86" s="9">
        <f>IF($K86="","",INDEX('سجل التحفيز'!$F$5:$F$2004,MATCH($K86,'سجل التحفيز'!$T$5:$T$2004,0)))</f>
        <v/>
      </c>
      <c r="S86" s="35">
        <f>IF($K86="","",INDEX('سجل التحفيز'!$G$5:$G$2004,MATCH($K86,'سجل التحفيز'!$T$5:$T$2004,0)))</f>
        <v/>
      </c>
    </row>
    <row r="87">
      <c r="B87" s="34">
        <f>IFERROR(INDEX(الموظفات!$B$5:$B$304,MATCH(50,الموظفات!$N$5:$N$304,0)),"")</f>
        <v/>
      </c>
      <c r="C87" s="34">
        <f>IF(B87="","",INDEX(الموظفات!$D$5:$D$304,MATCH(B87,الموظفات!$B$5:$B$304,0))&amp;"")</f>
        <v/>
      </c>
      <c r="D87" s="35">
        <f>IF(B87="","",COUNTIFS('سجل التحفيز'!$T$5:$T$2004,"&gt;0",'سجل التحفيز'!$B$5:$B$2004,B87))</f>
        <v/>
      </c>
      <c r="E87" s="35">
        <f>IF(B87="","",COUNTIFS('سجل التحفيز'!$T$5:$T$2004,"&gt;0",'سجل التحفيز'!$B$5:$B$2004,B87,'سجل التحفيز'!$D$5:$D$2004,"ذهبي"))</f>
        <v/>
      </c>
      <c r="F87" s="35">
        <f>IF(B87="","",SUMIFS('سجل التحفيز'!$G$5:$G$2004,'سجل التحفيز'!$T$5:$T$2004,"&gt;0",'سجل التحفيز'!$B$5:$B$2004,B87))</f>
        <v/>
      </c>
      <c r="G87" s="35">
        <f>IF(B87="","",COUNTIF($D$38:$D$187,"&gt;"&amp;D87)+1)</f>
        <v/>
      </c>
      <c r="H87" s="35">
        <f>IF(B87="","",INDEX(الموظفات!$L$5:$L$304,MATCH(B87,الموظفات!$B$5:$B$304,0)))</f>
        <v/>
      </c>
      <c r="K87" s="36">
        <f>IF(50&gt;$B$10,"",50)</f>
        <v/>
      </c>
      <c r="L87" s="37">
        <f>IF($K87="","",INDEX('سجل التحفيز'!$A$5:$A$2004,MATCH($K87,'سجل التحفيز'!$T$5:$T$2004,0)))</f>
        <v/>
      </c>
      <c r="M87" s="9">
        <f>IF($K87="","",INDEX('سجل التحفيز'!$B$5:$B$2004,MATCH($K87,'سجل التحفيز'!$T$5:$T$2004,0)))</f>
        <v/>
      </c>
      <c r="N87" s="9">
        <f>IF($K87="","",INDEX('سجل التحفيز'!$M$5:$M$2004,MATCH($K87,'سجل التحفيز'!$T$5:$T$2004,0)))</f>
        <v/>
      </c>
      <c r="O87" s="9">
        <f>IF($K87="","",INDEX('سجل التحفيز'!$C$5:$C$2004,MATCH($K87,'سجل التحفيز'!$T$5:$T$2004,0)))</f>
        <v/>
      </c>
      <c r="P87" s="36">
        <f>IF($K87="","",INDEX('سجل التحفيز'!$D$5:$D$2004,MATCH($K87,'سجل التحفيز'!$T$5:$T$2004,0)))</f>
        <v/>
      </c>
      <c r="Q87" s="9">
        <f>IF($K87="","",INDEX('سجل التحفيز'!$E$5:$E$2004,MATCH($K87,'سجل التحفيز'!$T$5:$T$2004,0)))</f>
        <v/>
      </c>
      <c r="R87" s="9">
        <f>IF($K87="","",INDEX('سجل التحفيز'!$F$5:$F$2004,MATCH($K87,'سجل التحفيز'!$T$5:$T$2004,0)))</f>
        <v/>
      </c>
      <c r="S87" s="35">
        <f>IF($K87="","",INDEX('سجل التحفيز'!$G$5:$G$2004,MATCH($K87,'سجل التحفيز'!$T$5:$T$2004,0)))</f>
        <v/>
      </c>
    </row>
    <row r="88">
      <c r="B88" s="34">
        <f>IFERROR(INDEX(الموظفات!$B$5:$B$304,MATCH(51,الموظفات!$N$5:$N$304,0)),"")</f>
        <v/>
      </c>
      <c r="C88" s="34">
        <f>IF(B88="","",INDEX(الموظفات!$D$5:$D$304,MATCH(B88,الموظفات!$B$5:$B$304,0))&amp;"")</f>
        <v/>
      </c>
      <c r="D88" s="35">
        <f>IF(B88="","",COUNTIFS('سجل التحفيز'!$T$5:$T$2004,"&gt;0",'سجل التحفيز'!$B$5:$B$2004,B88))</f>
        <v/>
      </c>
      <c r="E88" s="35">
        <f>IF(B88="","",COUNTIFS('سجل التحفيز'!$T$5:$T$2004,"&gt;0",'سجل التحفيز'!$B$5:$B$2004,B88,'سجل التحفيز'!$D$5:$D$2004,"ذهبي"))</f>
        <v/>
      </c>
      <c r="F88" s="35">
        <f>IF(B88="","",SUMIFS('سجل التحفيز'!$G$5:$G$2004,'سجل التحفيز'!$T$5:$T$2004,"&gt;0",'سجل التحفيز'!$B$5:$B$2004,B88))</f>
        <v/>
      </c>
      <c r="G88" s="35">
        <f>IF(B88="","",COUNTIF($D$38:$D$187,"&gt;"&amp;D88)+1)</f>
        <v/>
      </c>
      <c r="H88" s="35">
        <f>IF(B88="","",INDEX(الموظفات!$L$5:$L$304,MATCH(B88,الموظفات!$B$5:$B$304,0)))</f>
        <v/>
      </c>
      <c r="K88" s="36">
        <f>IF(51&gt;$B$10,"",51)</f>
        <v/>
      </c>
      <c r="L88" s="37">
        <f>IF($K88="","",INDEX('سجل التحفيز'!$A$5:$A$2004,MATCH($K88,'سجل التحفيز'!$T$5:$T$2004,0)))</f>
        <v/>
      </c>
      <c r="M88" s="9">
        <f>IF($K88="","",INDEX('سجل التحفيز'!$B$5:$B$2004,MATCH($K88,'سجل التحفيز'!$T$5:$T$2004,0)))</f>
        <v/>
      </c>
      <c r="N88" s="9">
        <f>IF($K88="","",INDEX('سجل التحفيز'!$M$5:$M$2004,MATCH($K88,'سجل التحفيز'!$T$5:$T$2004,0)))</f>
        <v/>
      </c>
      <c r="O88" s="9">
        <f>IF($K88="","",INDEX('سجل التحفيز'!$C$5:$C$2004,MATCH($K88,'سجل التحفيز'!$T$5:$T$2004,0)))</f>
        <v/>
      </c>
      <c r="P88" s="36">
        <f>IF($K88="","",INDEX('سجل التحفيز'!$D$5:$D$2004,MATCH($K88,'سجل التحفيز'!$T$5:$T$2004,0)))</f>
        <v/>
      </c>
      <c r="Q88" s="9">
        <f>IF($K88="","",INDEX('سجل التحفيز'!$E$5:$E$2004,MATCH($K88,'سجل التحفيز'!$T$5:$T$2004,0)))</f>
        <v/>
      </c>
      <c r="R88" s="9">
        <f>IF($K88="","",INDEX('سجل التحفيز'!$F$5:$F$2004,MATCH($K88,'سجل التحفيز'!$T$5:$T$2004,0)))</f>
        <v/>
      </c>
      <c r="S88" s="35">
        <f>IF($K88="","",INDEX('سجل التحفيز'!$G$5:$G$2004,MATCH($K88,'سجل التحفيز'!$T$5:$T$2004,0)))</f>
        <v/>
      </c>
    </row>
    <row r="89">
      <c r="B89" s="34">
        <f>IFERROR(INDEX(الموظفات!$B$5:$B$304,MATCH(52,الموظفات!$N$5:$N$304,0)),"")</f>
        <v/>
      </c>
      <c r="C89" s="34">
        <f>IF(B89="","",INDEX(الموظفات!$D$5:$D$304,MATCH(B89,الموظفات!$B$5:$B$304,0))&amp;"")</f>
        <v/>
      </c>
      <c r="D89" s="35">
        <f>IF(B89="","",COUNTIFS('سجل التحفيز'!$T$5:$T$2004,"&gt;0",'سجل التحفيز'!$B$5:$B$2004,B89))</f>
        <v/>
      </c>
      <c r="E89" s="35">
        <f>IF(B89="","",COUNTIFS('سجل التحفيز'!$T$5:$T$2004,"&gt;0",'سجل التحفيز'!$B$5:$B$2004,B89,'سجل التحفيز'!$D$5:$D$2004,"ذهبي"))</f>
        <v/>
      </c>
      <c r="F89" s="35">
        <f>IF(B89="","",SUMIFS('سجل التحفيز'!$G$5:$G$2004,'سجل التحفيز'!$T$5:$T$2004,"&gt;0",'سجل التحفيز'!$B$5:$B$2004,B89))</f>
        <v/>
      </c>
      <c r="G89" s="35">
        <f>IF(B89="","",COUNTIF($D$38:$D$187,"&gt;"&amp;D89)+1)</f>
        <v/>
      </c>
      <c r="H89" s="35">
        <f>IF(B89="","",INDEX(الموظفات!$L$5:$L$304,MATCH(B89,الموظفات!$B$5:$B$304,0)))</f>
        <v/>
      </c>
      <c r="K89" s="36">
        <f>IF(52&gt;$B$10,"",52)</f>
        <v/>
      </c>
      <c r="L89" s="37">
        <f>IF($K89="","",INDEX('سجل التحفيز'!$A$5:$A$2004,MATCH($K89,'سجل التحفيز'!$T$5:$T$2004,0)))</f>
        <v/>
      </c>
      <c r="M89" s="9">
        <f>IF($K89="","",INDEX('سجل التحفيز'!$B$5:$B$2004,MATCH($K89,'سجل التحفيز'!$T$5:$T$2004,0)))</f>
        <v/>
      </c>
      <c r="N89" s="9">
        <f>IF($K89="","",INDEX('سجل التحفيز'!$M$5:$M$2004,MATCH($K89,'سجل التحفيز'!$T$5:$T$2004,0)))</f>
        <v/>
      </c>
      <c r="O89" s="9">
        <f>IF($K89="","",INDEX('سجل التحفيز'!$C$5:$C$2004,MATCH($K89,'سجل التحفيز'!$T$5:$T$2004,0)))</f>
        <v/>
      </c>
      <c r="P89" s="36">
        <f>IF($K89="","",INDEX('سجل التحفيز'!$D$5:$D$2004,MATCH($K89,'سجل التحفيز'!$T$5:$T$2004,0)))</f>
        <v/>
      </c>
      <c r="Q89" s="9">
        <f>IF($K89="","",INDEX('سجل التحفيز'!$E$5:$E$2004,MATCH($K89,'سجل التحفيز'!$T$5:$T$2004,0)))</f>
        <v/>
      </c>
      <c r="R89" s="9">
        <f>IF($K89="","",INDEX('سجل التحفيز'!$F$5:$F$2004,MATCH($K89,'سجل التحفيز'!$T$5:$T$2004,0)))</f>
        <v/>
      </c>
      <c r="S89" s="35">
        <f>IF($K89="","",INDEX('سجل التحفيز'!$G$5:$G$2004,MATCH($K89,'سجل التحفيز'!$T$5:$T$2004,0)))</f>
        <v/>
      </c>
    </row>
    <row r="90">
      <c r="B90" s="34">
        <f>IFERROR(INDEX(الموظفات!$B$5:$B$304,MATCH(53,الموظفات!$N$5:$N$304,0)),"")</f>
        <v/>
      </c>
      <c r="C90" s="34">
        <f>IF(B90="","",INDEX(الموظفات!$D$5:$D$304,MATCH(B90,الموظفات!$B$5:$B$304,0))&amp;"")</f>
        <v/>
      </c>
      <c r="D90" s="35">
        <f>IF(B90="","",COUNTIFS('سجل التحفيز'!$T$5:$T$2004,"&gt;0",'سجل التحفيز'!$B$5:$B$2004,B90))</f>
        <v/>
      </c>
      <c r="E90" s="35">
        <f>IF(B90="","",COUNTIFS('سجل التحفيز'!$T$5:$T$2004,"&gt;0",'سجل التحفيز'!$B$5:$B$2004,B90,'سجل التحفيز'!$D$5:$D$2004,"ذهبي"))</f>
        <v/>
      </c>
      <c r="F90" s="35">
        <f>IF(B90="","",SUMIFS('سجل التحفيز'!$G$5:$G$2004,'سجل التحفيز'!$T$5:$T$2004,"&gt;0",'سجل التحفيز'!$B$5:$B$2004,B90))</f>
        <v/>
      </c>
      <c r="G90" s="35">
        <f>IF(B90="","",COUNTIF($D$38:$D$187,"&gt;"&amp;D90)+1)</f>
        <v/>
      </c>
      <c r="H90" s="35">
        <f>IF(B90="","",INDEX(الموظفات!$L$5:$L$304,MATCH(B90,الموظفات!$B$5:$B$304,0)))</f>
        <v/>
      </c>
      <c r="K90" s="36">
        <f>IF(53&gt;$B$10,"",53)</f>
        <v/>
      </c>
      <c r="L90" s="37">
        <f>IF($K90="","",INDEX('سجل التحفيز'!$A$5:$A$2004,MATCH($K90,'سجل التحفيز'!$T$5:$T$2004,0)))</f>
        <v/>
      </c>
      <c r="M90" s="9">
        <f>IF($K90="","",INDEX('سجل التحفيز'!$B$5:$B$2004,MATCH($K90,'سجل التحفيز'!$T$5:$T$2004,0)))</f>
        <v/>
      </c>
      <c r="N90" s="9">
        <f>IF($K90="","",INDEX('سجل التحفيز'!$M$5:$M$2004,MATCH($K90,'سجل التحفيز'!$T$5:$T$2004,0)))</f>
        <v/>
      </c>
      <c r="O90" s="9">
        <f>IF($K90="","",INDEX('سجل التحفيز'!$C$5:$C$2004,MATCH($K90,'سجل التحفيز'!$T$5:$T$2004,0)))</f>
        <v/>
      </c>
      <c r="P90" s="36">
        <f>IF($K90="","",INDEX('سجل التحفيز'!$D$5:$D$2004,MATCH($K90,'سجل التحفيز'!$T$5:$T$2004,0)))</f>
        <v/>
      </c>
      <c r="Q90" s="9">
        <f>IF($K90="","",INDEX('سجل التحفيز'!$E$5:$E$2004,MATCH($K90,'سجل التحفيز'!$T$5:$T$2004,0)))</f>
        <v/>
      </c>
      <c r="R90" s="9">
        <f>IF($K90="","",INDEX('سجل التحفيز'!$F$5:$F$2004,MATCH($K90,'سجل التحفيز'!$T$5:$T$2004,0)))</f>
        <v/>
      </c>
      <c r="S90" s="35">
        <f>IF($K90="","",INDEX('سجل التحفيز'!$G$5:$G$2004,MATCH($K90,'سجل التحفيز'!$T$5:$T$2004,0)))</f>
        <v/>
      </c>
    </row>
    <row r="91">
      <c r="B91" s="34">
        <f>IFERROR(INDEX(الموظفات!$B$5:$B$304,MATCH(54,الموظفات!$N$5:$N$304,0)),"")</f>
        <v/>
      </c>
      <c r="C91" s="34">
        <f>IF(B91="","",INDEX(الموظفات!$D$5:$D$304,MATCH(B91,الموظفات!$B$5:$B$304,0))&amp;"")</f>
        <v/>
      </c>
      <c r="D91" s="35">
        <f>IF(B91="","",COUNTIFS('سجل التحفيز'!$T$5:$T$2004,"&gt;0",'سجل التحفيز'!$B$5:$B$2004,B91))</f>
        <v/>
      </c>
      <c r="E91" s="35">
        <f>IF(B91="","",COUNTIFS('سجل التحفيز'!$T$5:$T$2004,"&gt;0",'سجل التحفيز'!$B$5:$B$2004,B91,'سجل التحفيز'!$D$5:$D$2004,"ذهبي"))</f>
        <v/>
      </c>
      <c r="F91" s="35">
        <f>IF(B91="","",SUMIFS('سجل التحفيز'!$G$5:$G$2004,'سجل التحفيز'!$T$5:$T$2004,"&gt;0",'سجل التحفيز'!$B$5:$B$2004,B91))</f>
        <v/>
      </c>
      <c r="G91" s="35">
        <f>IF(B91="","",COUNTIF($D$38:$D$187,"&gt;"&amp;D91)+1)</f>
        <v/>
      </c>
      <c r="H91" s="35">
        <f>IF(B91="","",INDEX(الموظفات!$L$5:$L$304,MATCH(B91,الموظفات!$B$5:$B$304,0)))</f>
        <v/>
      </c>
      <c r="K91" s="36">
        <f>IF(54&gt;$B$10,"",54)</f>
        <v/>
      </c>
      <c r="L91" s="37">
        <f>IF($K91="","",INDEX('سجل التحفيز'!$A$5:$A$2004,MATCH($K91,'سجل التحفيز'!$T$5:$T$2004,0)))</f>
        <v/>
      </c>
      <c r="M91" s="9">
        <f>IF($K91="","",INDEX('سجل التحفيز'!$B$5:$B$2004,MATCH($K91,'سجل التحفيز'!$T$5:$T$2004,0)))</f>
        <v/>
      </c>
      <c r="N91" s="9">
        <f>IF($K91="","",INDEX('سجل التحفيز'!$M$5:$M$2004,MATCH($K91,'سجل التحفيز'!$T$5:$T$2004,0)))</f>
        <v/>
      </c>
      <c r="O91" s="9">
        <f>IF($K91="","",INDEX('سجل التحفيز'!$C$5:$C$2004,MATCH($K91,'سجل التحفيز'!$T$5:$T$2004,0)))</f>
        <v/>
      </c>
      <c r="P91" s="36">
        <f>IF($K91="","",INDEX('سجل التحفيز'!$D$5:$D$2004,MATCH($K91,'سجل التحفيز'!$T$5:$T$2004,0)))</f>
        <v/>
      </c>
      <c r="Q91" s="9">
        <f>IF($K91="","",INDEX('سجل التحفيز'!$E$5:$E$2004,MATCH($K91,'سجل التحفيز'!$T$5:$T$2004,0)))</f>
        <v/>
      </c>
      <c r="R91" s="9">
        <f>IF($K91="","",INDEX('سجل التحفيز'!$F$5:$F$2004,MATCH($K91,'سجل التحفيز'!$T$5:$T$2004,0)))</f>
        <v/>
      </c>
      <c r="S91" s="35">
        <f>IF($K91="","",INDEX('سجل التحفيز'!$G$5:$G$2004,MATCH($K91,'سجل التحفيز'!$T$5:$T$2004,0)))</f>
        <v/>
      </c>
    </row>
    <row r="92">
      <c r="B92" s="34">
        <f>IFERROR(INDEX(الموظفات!$B$5:$B$304,MATCH(55,الموظفات!$N$5:$N$304,0)),"")</f>
        <v/>
      </c>
      <c r="C92" s="34">
        <f>IF(B92="","",INDEX(الموظفات!$D$5:$D$304,MATCH(B92,الموظفات!$B$5:$B$304,0))&amp;"")</f>
        <v/>
      </c>
      <c r="D92" s="35">
        <f>IF(B92="","",COUNTIFS('سجل التحفيز'!$T$5:$T$2004,"&gt;0",'سجل التحفيز'!$B$5:$B$2004,B92))</f>
        <v/>
      </c>
      <c r="E92" s="35">
        <f>IF(B92="","",COUNTIFS('سجل التحفيز'!$T$5:$T$2004,"&gt;0",'سجل التحفيز'!$B$5:$B$2004,B92,'سجل التحفيز'!$D$5:$D$2004,"ذهبي"))</f>
        <v/>
      </c>
      <c r="F92" s="35">
        <f>IF(B92="","",SUMIFS('سجل التحفيز'!$G$5:$G$2004,'سجل التحفيز'!$T$5:$T$2004,"&gt;0",'سجل التحفيز'!$B$5:$B$2004,B92))</f>
        <v/>
      </c>
      <c r="G92" s="35">
        <f>IF(B92="","",COUNTIF($D$38:$D$187,"&gt;"&amp;D92)+1)</f>
        <v/>
      </c>
      <c r="H92" s="35">
        <f>IF(B92="","",INDEX(الموظفات!$L$5:$L$304,MATCH(B92,الموظفات!$B$5:$B$304,0)))</f>
        <v/>
      </c>
      <c r="K92" s="36">
        <f>IF(55&gt;$B$10,"",55)</f>
        <v/>
      </c>
      <c r="L92" s="37">
        <f>IF($K92="","",INDEX('سجل التحفيز'!$A$5:$A$2004,MATCH($K92,'سجل التحفيز'!$T$5:$T$2004,0)))</f>
        <v/>
      </c>
      <c r="M92" s="9">
        <f>IF($K92="","",INDEX('سجل التحفيز'!$B$5:$B$2004,MATCH($K92,'سجل التحفيز'!$T$5:$T$2004,0)))</f>
        <v/>
      </c>
      <c r="N92" s="9">
        <f>IF($K92="","",INDEX('سجل التحفيز'!$M$5:$M$2004,MATCH($K92,'سجل التحفيز'!$T$5:$T$2004,0)))</f>
        <v/>
      </c>
      <c r="O92" s="9">
        <f>IF($K92="","",INDEX('سجل التحفيز'!$C$5:$C$2004,MATCH($K92,'سجل التحفيز'!$T$5:$T$2004,0)))</f>
        <v/>
      </c>
      <c r="P92" s="36">
        <f>IF($K92="","",INDEX('سجل التحفيز'!$D$5:$D$2004,MATCH($K92,'سجل التحفيز'!$T$5:$T$2004,0)))</f>
        <v/>
      </c>
      <c r="Q92" s="9">
        <f>IF($K92="","",INDEX('سجل التحفيز'!$E$5:$E$2004,MATCH($K92,'سجل التحفيز'!$T$5:$T$2004,0)))</f>
        <v/>
      </c>
      <c r="R92" s="9">
        <f>IF($K92="","",INDEX('سجل التحفيز'!$F$5:$F$2004,MATCH($K92,'سجل التحفيز'!$T$5:$T$2004,0)))</f>
        <v/>
      </c>
      <c r="S92" s="35">
        <f>IF($K92="","",INDEX('سجل التحفيز'!$G$5:$G$2004,MATCH($K92,'سجل التحفيز'!$T$5:$T$2004,0)))</f>
        <v/>
      </c>
    </row>
    <row r="93">
      <c r="B93" s="34">
        <f>IFERROR(INDEX(الموظفات!$B$5:$B$304,MATCH(56,الموظفات!$N$5:$N$304,0)),"")</f>
        <v/>
      </c>
      <c r="C93" s="34">
        <f>IF(B93="","",INDEX(الموظفات!$D$5:$D$304,MATCH(B93,الموظفات!$B$5:$B$304,0))&amp;"")</f>
        <v/>
      </c>
      <c r="D93" s="35">
        <f>IF(B93="","",COUNTIFS('سجل التحفيز'!$T$5:$T$2004,"&gt;0",'سجل التحفيز'!$B$5:$B$2004,B93))</f>
        <v/>
      </c>
      <c r="E93" s="35">
        <f>IF(B93="","",COUNTIFS('سجل التحفيز'!$T$5:$T$2004,"&gt;0",'سجل التحفيز'!$B$5:$B$2004,B93,'سجل التحفيز'!$D$5:$D$2004,"ذهبي"))</f>
        <v/>
      </c>
      <c r="F93" s="35">
        <f>IF(B93="","",SUMIFS('سجل التحفيز'!$G$5:$G$2004,'سجل التحفيز'!$T$5:$T$2004,"&gt;0",'سجل التحفيز'!$B$5:$B$2004,B93))</f>
        <v/>
      </c>
      <c r="G93" s="35">
        <f>IF(B93="","",COUNTIF($D$38:$D$187,"&gt;"&amp;D93)+1)</f>
        <v/>
      </c>
      <c r="H93" s="35">
        <f>IF(B93="","",INDEX(الموظفات!$L$5:$L$304,MATCH(B93,الموظفات!$B$5:$B$304,0)))</f>
        <v/>
      </c>
      <c r="K93" s="36">
        <f>IF(56&gt;$B$10,"",56)</f>
        <v/>
      </c>
      <c r="L93" s="37">
        <f>IF($K93="","",INDEX('سجل التحفيز'!$A$5:$A$2004,MATCH($K93,'سجل التحفيز'!$T$5:$T$2004,0)))</f>
        <v/>
      </c>
      <c r="M93" s="9">
        <f>IF($K93="","",INDEX('سجل التحفيز'!$B$5:$B$2004,MATCH($K93,'سجل التحفيز'!$T$5:$T$2004,0)))</f>
        <v/>
      </c>
      <c r="N93" s="9">
        <f>IF($K93="","",INDEX('سجل التحفيز'!$M$5:$M$2004,MATCH($K93,'سجل التحفيز'!$T$5:$T$2004,0)))</f>
        <v/>
      </c>
      <c r="O93" s="9">
        <f>IF($K93="","",INDEX('سجل التحفيز'!$C$5:$C$2004,MATCH($K93,'سجل التحفيز'!$T$5:$T$2004,0)))</f>
        <v/>
      </c>
      <c r="P93" s="36">
        <f>IF($K93="","",INDEX('سجل التحفيز'!$D$5:$D$2004,MATCH($K93,'سجل التحفيز'!$T$5:$T$2004,0)))</f>
        <v/>
      </c>
      <c r="Q93" s="9">
        <f>IF($K93="","",INDEX('سجل التحفيز'!$E$5:$E$2004,MATCH($K93,'سجل التحفيز'!$T$5:$T$2004,0)))</f>
        <v/>
      </c>
      <c r="R93" s="9">
        <f>IF($K93="","",INDEX('سجل التحفيز'!$F$5:$F$2004,MATCH($K93,'سجل التحفيز'!$T$5:$T$2004,0)))</f>
        <v/>
      </c>
      <c r="S93" s="35">
        <f>IF($K93="","",INDEX('سجل التحفيز'!$G$5:$G$2004,MATCH($K93,'سجل التحفيز'!$T$5:$T$2004,0)))</f>
        <v/>
      </c>
    </row>
    <row r="94">
      <c r="B94" s="34">
        <f>IFERROR(INDEX(الموظفات!$B$5:$B$304,MATCH(57,الموظفات!$N$5:$N$304,0)),"")</f>
        <v/>
      </c>
      <c r="C94" s="34">
        <f>IF(B94="","",INDEX(الموظفات!$D$5:$D$304,MATCH(B94,الموظفات!$B$5:$B$304,0))&amp;"")</f>
        <v/>
      </c>
      <c r="D94" s="35">
        <f>IF(B94="","",COUNTIFS('سجل التحفيز'!$T$5:$T$2004,"&gt;0",'سجل التحفيز'!$B$5:$B$2004,B94))</f>
        <v/>
      </c>
      <c r="E94" s="35">
        <f>IF(B94="","",COUNTIFS('سجل التحفيز'!$T$5:$T$2004,"&gt;0",'سجل التحفيز'!$B$5:$B$2004,B94,'سجل التحفيز'!$D$5:$D$2004,"ذهبي"))</f>
        <v/>
      </c>
      <c r="F94" s="35">
        <f>IF(B94="","",SUMIFS('سجل التحفيز'!$G$5:$G$2004,'سجل التحفيز'!$T$5:$T$2004,"&gt;0",'سجل التحفيز'!$B$5:$B$2004,B94))</f>
        <v/>
      </c>
      <c r="G94" s="35">
        <f>IF(B94="","",COUNTIF($D$38:$D$187,"&gt;"&amp;D94)+1)</f>
        <v/>
      </c>
      <c r="H94" s="35">
        <f>IF(B94="","",INDEX(الموظفات!$L$5:$L$304,MATCH(B94,الموظفات!$B$5:$B$304,0)))</f>
        <v/>
      </c>
      <c r="K94" s="36">
        <f>IF(57&gt;$B$10,"",57)</f>
        <v/>
      </c>
      <c r="L94" s="37">
        <f>IF($K94="","",INDEX('سجل التحفيز'!$A$5:$A$2004,MATCH($K94,'سجل التحفيز'!$T$5:$T$2004,0)))</f>
        <v/>
      </c>
      <c r="M94" s="9">
        <f>IF($K94="","",INDEX('سجل التحفيز'!$B$5:$B$2004,MATCH($K94,'سجل التحفيز'!$T$5:$T$2004,0)))</f>
        <v/>
      </c>
      <c r="N94" s="9">
        <f>IF($K94="","",INDEX('سجل التحفيز'!$M$5:$M$2004,MATCH($K94,'سجل التحفيز'!$T$5:$T$2004,0)))</f>
        <v/>
      </c>
      <c r="O94" s="9">
        <f>IF($K94="","",INDEX('سجل التحفيز'!$C$5:$C$2004,MATCH($K94,'سجل التحفيز'!$T$5:$T$2004,0)))</f>
        <v/>
      </c>
      <c r="P94" s="36">
        <f>IF($K94="","",INDEX('سجل التحفيز'!$D$5:$D$2004,MATCH($K94,'سجل التحفيز'!$T$5:$T$2004,0)))</f>
        <v/>
      </c>
      <c r="Q94" s="9">
        <f>IF($K94="","",INDEX('سجل التحفيز'!$E$5:$E$2004,MATCH($K94,'سجل التحفيز'!$T$5:$T$2004,0)))</f>
        <v/>
      </c>
      <c r="R94" s="9">
        <f>IF($K94="","",INDEX('سجل التحفيز'!$F$5:$F$2004,MATCH($K94,'سجل التحفيز'!$T$5:$T$2004,0)))</f>
        <v/>
      </c>
      <c r="S94" s="35">
        <f>IF($K94="","",INDEX('سجل التحفيز'!$G$5:$G$2004,MATCH($K94,'سجل التحفيز'!$T$5:$T$2004,0)))</f>
        <v/>
      </c>
    </row>
    <row r="95">
      <c r="B95" s="34">
        <f>IFERROR(INDEX(الموظفات!$B$5:$B$304,MATCH(58,الموظفات!$N$5:$N$304,0)),"")</f>
        <v/>
      </c>
      <c r="C95" s="34">
        <f>IF(B95="","",INDEX(الموظفات!$D$5:$D$304,MATCH(B95,الموظفات!$B$5:$B$304,0))&amp;"")</f>
        <v/>
      </c>
      <c r="D95" s="35">
        <f>IF(B95="","",COUNTIFS('سجل التحفيز'!$T$5:$T$2004,"&gt;0",'سجل التحفيز'!$B$5:$B$2004,B95))</f>
        <v/>
      </c>
      <c r="E95" s="35">
        <f>IF(B95="","",COUNTIFS('سجل التحفيز'!$T$5:$T$2004,"&gt;0",'سجل التحفيز'!$B$5:$B$2004,B95,'سجل التحفيز'!$D$5:$D$2004,"ذهبي"))</f>
        <v/>
      </c>
      <c r="F95" s="35">
        <f>IF(B95="","",SUMIFS('سجل التحفيز'!$G$5:$G$2004,'سجل التحفيز'!$T$5:$T$2004,"&gt;0",'سجل التحفيز'!$B$5:$B$2004,B95))</f>
        <v/>
      </c>
      <c r="G95" s="35">
        <f>IF(B95="","",COUNTIF($D$38:$D$187,"&gt;"&amp;D95)+1)</f>
        <v/>
      </c>
      <c r="H95" s="35">
        <f>IF(B95="","",INDEX(الموظفات!$L$5:$L$304,MATCH(B95,الموظفات!$B$5:$B$304,0)))</f>
        <v/>
      </c>
      <c r="K95" s="36">
        <f>IF(58&gt;$B$10,"",58)</f>
        <v/>
      </c>
      <c r="L95" s="37">
        <f>IF($K95="","",INDEX('سجل التحفيز'!$A$5:$A$2004,MATCH($K95,'سجل التحفيز'!$T$5:$T$2004,0)))</f>
        <v/>
      </c>
      <c r="M95" s="9">
        <f>IF($K95="","",INDEX('سجل التحفيز'!$B$5:$B$2004,MATCH($K95,'سجل التحفيز'!$T$5:$T$2004,0)))</f>
        <v/>
      </c>
      <c r="N95" s="9">
        <f>IF($K95="","",INDEX('سجل التحفيز'!$M$5:$M$2004,MATCH($K95,'سجل التحفيز'!$T$5:$T$2004,0)))</f>
        <v/>
      </c>
      <c r="O95" s="9">
        <f>IF($K95="","",INDEX('سجل التحفيز'!$C$5:$C$2004,MATCH($K95,'سجل التحفيز'!$T$5:$T$2004,0)))</f>
        <v/>
      </c>
      <c r="P95" s="36">
        <f>IF($K95="","",INDEX('سجل التحفيز'!$D$5:$D$2004,MATCH($K95,'سجل التحفيز'!$T$5:$T$2004,0)))</f>
        <v/>
      </c>
      <c r="Q95" s="9">
        <f>IF($K95="","",INDEX('سجل التحفيز'!$E$5:$E$2004,MATCH($K95,'سجل التحفيز'!$T$5:$T$2004,0)))</f>
        <v/>
      </c>
      <c r="R95" s="9">
        <f>IF($K95="","",INDEX('سجل التحفيز'!$F$5:$F$2004,MATCH($K95,'سجل التحفيز'!$T$5:$T$2004,0)))</f>
        <v/>
      </c>
      <c r="S95" s="35">
        <f>IF($K95="","",INDEX('سجل التحفيز'!$G$5:$G$2004,MATCH($K95,'سجل التحفيز'!$T$5:$T$2004,0)))</f>
        <v/>
      </c>
    </row>
    <row r="96">
      <c r="B96" s="34">
        <f>IFERROR(INDEX(الموظفات!$B$5:$B$304,MATCH(59,الموظفات!$N$5:$N$304,0)),"")</f>
        <v/>
      </c>
      <c r="C96" s="34">
        <f>IF(B96="","",INDEX(الموظفات!$D$5:$D$304,MATCH(B96,الموظفات!$B$5:$B$304,0))&amp;"")</f>
        <v/>
      </c>
      <c r="D96" s="35">
        <f>IF(B96="","",COUNTIFS('سجل التحفيز'!$T$5:$T$2004,"&gt;0",'سجل التحفيز'!$B$5:$B$2004,B96))</f>
        <v/>
      </c>
      <c r="E96" s="35">
        <f>IF(B96="","",COUNTIFS('سجل التحفيز'!$T$5:$T$2004,"&gt;0",'سجل التحفيز'!$B$5:$B$2004,B96,'سجل التحفيز'!$D$5:$D$2004,"ذهبي"))</f>
        <v/>
      </c>
      <c r="F96" s="35">
        <f>IF(B96="","",SUMIFS('سجل التحفيز'!$G$5:$G$2004,'سجل التحفيز'!$T$5:$T$2004,"&gt;0",'سجل التحفيز'!$B$5:$B$2004,B96))</f>
        <v/>
      </c>
      <c r="G96" s="35">
        <f>IF(B96="","",COUNTIF($D$38:$D$187,"&gt;"&amp;D96)+1)</f>
        <v/>
      </c>
      <c r="H96" s="35">
        <f>IF(B96="","",INDEX(الموظفات!$L$5:$L$304,MATCH(B96,الموظفات!$B$5:$B$304,0)))</f>
        <v/>
      </c>
      <c r="K96" s="36">
        <f>IF(59&gt;$B$10,"",59)</f>
        <v/>
      </c>
      <c r="L96" s="37">
        <f>IF($K96="","",INDEX('سجل التحفيز'!$A$5:$A$2004,MATCH($K96,'سجل التحفيز'!$T$5:$T$2004,0)))</f>
        <v/>
      </c>
      <c r="M96" s="9">
        <f>IF($K96="","",INDEX('سجل التحفيز'!$B$5:$B$2004,MATCH($K96,'سجل التحفيز'!$T$5:$T$2004,0)))</f>
        <v/>
      </c>
      <c r="N96" s="9">
        <f>IF($K96="","",INDEX('سجل التحفيز'!$M$5:$M$2004,MATCH($K96,'سجل التحفيز'!$T$5:$T$2004,0)))</f>
        <v/>
      </c>
      <c r="O96" s="9">
        <f>IF($K96="","",INDEX('سجل التحفيز'!$C$5:$C$2004,MATCH($K96,'سجل التحفيز'!$T$5:$T$2004,0)))</f>
        <v/>
      </c>
      <c r="P96" s="36">
        <f>IF($K96="","",INDEX('سجل التحفيز'!$D$5:$D$2004,MATCH($K96,'سجل التحفيز'!$T$5:$T$2004,0)))</f>
        <v/>
      </c>
      <c r="Q96" s="9">
        <f>IF($K96="","",INDEX('سجل التحفيز'!$E$5:$E$2004,MATCH($K96,'سجل التحفيز'!$T$5:$T$2004,0)))</f>
        <v/>
      </c>
      <c r="R96" s="9">
        <f>IF($K96="","",INDEX('سجل التحفيز'!$F$5:$F$2004,MATCH($K96,'سجل التحفيز'!$T$5:$T$2004,0)))</f>
        <v/>
      </c>
      <c r="S96" s="35">
        <f>IF($K96="","",INDEX('سجل التحفيز'!$G$5:$G$2004,MATCH($K96,'سجل التحفيز'!$T$5:$T$2004,0)))</f>
        <v/>
      </c>
    </row>
    <row r="97">
      <c r="B97" s="34">
        <f>IFERROR(INDEX(الموظفات!$B$5:$B$304,MATCH(60,الموظفات!$N$5:$N$304,0)),"")</f>
        <v/>
      </c>
      <c r="C97" s="34">
        <f>IF(B97="","",INDEX(الموظفات!$D$5:$D$304,MATCH(B97,الموظفات!$B$5:$B$304,0))&amp;"")</f>
        <v/>
      </c>
      <c r="D97" s="35">
        <f>IF(B97="","",COUNTIFS('سجل التحفيز'!$T$5:$T$2004,"&gt;0",'سجل التحفيز'!$B$5:$B$2004,B97))</f>
        <v/>
      </c>
      <c r="E97" s="35">
        <f>IF(B97="","",COUNTIFS('سجل التحفيز'!$T$5:$T$2004,"&gt;0",'سجل التحفيز'!$B$5:$B$2004,B97,'سجل التحفيز'!$D$5:$D$2004,"ذهبي"))</f>
        <v/>
      </c>
      <c r="F97" s="35">
        <f>IF(B97="","",SUMIFS('سجل التحفيز'!$G$5:$G$2004,'سجل التحفيز'!$T$5:$T$2004,"&gt;0",'سجل التحفيز'!$B$5:$B$2004,B97))</f>
        <v/>
      </c>
      <c r="G97" s="35">
        <f>IF(B97="","",COUNTIF($D$38:$D$187,"&gt;"&amp;D97)+1)</f>
        <v/>
      </c>
      <c r="H97" s="35">
        <f>IF(B97="","",INDEX(الموظفات!$L$5:$L$304,MATCH(B97,الموظفات!$B$5:$B$304,0)))</f>
        <v/>
      </c>
      <c r="K97" s="36">
        <f>IF(60&gt;$B$10,"",60)</f>
        <v/>
      </c>
      <c r="L97" s="37">
        <f>IF($K97="","",INDEX('سجل التحفيز'!$A$5:$A$2004,MATCH($K97,'سجل التحفيز'!$T$5:$T$2004,0)))</f>
        <v/>
      </c>
      <c r="M97" s="9">
        <f>IF($K97="","",INDEX('سجل التحفيز'!$B$5:$B$2004,MATCH($K97,'سجل التحفيز'!$T$5:$T$2004,0)))</f>
        <v/>
      </c>
      <c r="N97" s="9">
        <f>IF($K97="","",INDEX('سجل التحفيز'!$M$5:$M$2004,MATCH($K97,'سجل التحفيز'!$T$5:$T$2004,0)))</f>
        <v/>
      </c>
      <c r="O97" s="9">
        <f>IF($K97="","",INDEX('سجل التحفيز'!$C$5:$C$2004,MATCH($K97,'سجل التحفيز'!$T$5:$T$2004,0)))</f>
        <v/>
      </c>
      <c r="P97" s="36">
        <f>IF($K97="","",INDEX('سجل التحفيز'!$D$5:$D$2004,MATCH($K97,'سجل التحفيز'!$T$5:$T$2004,0)))</f>
        <v/>
      </c>
      <c r="Q97" s="9">
        <f>IF($K97="","",INDEX('سجل التحفيز'!$E$5:$E$2004,MATCH($K97,'سجل التحفيز'!$T$5:$T$2004,0)))</f>
        <v/>
      </c>
      <c r="R97" s="9">
        <f>IF($K97="","",INDEX('سجل التحفيز'!$F$5:$F$2004,MATCH($K97,'سجل التحفيز'!$T$5:$T$2004,0)))</f>
        <v/>
      </c>
      <c r="S97" s="35">
        <f>IF($K97="","",INDEX('سجل التحفيز'!$G$5:$G$2004,MATCH($K97,'سجل التحفيز'!$T$5:$T$2004,0)))</f>
        <v/>
      </c>
    </row>
    <row r="98">
      <c r="B98" s="34">
        <f>IFERROR(INDEX(الموظفات!$B$5:$B$304,MATCH(61,الموظفات!$N$5:$N$304,0)),"")</f>
        <v/>
      </c>
      <c r="C98" s="34">
        <f>IF(B98="","",INDEX(الموظفات!$D$5:$D$304,MATCH(B98,الموظفات!$B$5:$B$304,0))&amp;"")</f>
        <v/>
      </c>
      <c r="D98" s="35">
        <f>IF(B98="","",COUNTIFS('سجل التحفيز'!$T$5:$T$2004,"&gt;0",'سجل التحفيز'!$B$5:$B$2004,B98))</f>
        <v/>
      </c>
      <c r="E98" s="35">
        <f>IF(B98="","",COUNTIFS('سجل التحفيز'!$T$5:$T$2004,"&gt;0",'سجل التحفيز'!$B$5:$B$2004,B98,'سجل التحفيز'!$D$5:$D$2004,"ذهبي"))</f>
        <v/>
      </c>
      <c r="F98" s="35">
        <f>IF(B98="","",SUMIFS('سجل التحفيز'!$G$5:$G$2004,'سجل التحفيز'!$T$5:$T$2004,"&gt;0",'سجل التحفيز'!$B$5:$B$2004,B98))</f>
        <v/>
      </c>
      <c r="G98" s="35">
        <f>IF(B98="","",COUNTIF($D$38:$D$187,"&gt;"&amp;D98)+1)</f>
        <v/>
      </c>
      <c r="H98" s="35">
        <f>IF(B98="","",INDEX(الموظفات!$L$5:$L$304,MATCH(B98,الموظفات!$B$5:$B$304,0)))</f>
        <v/>
      </c>
      <c r="K98" s="36">
        <f>IF(61&gt;$B$10,"",61)</f>
        <v/>
      </c>
      <c r="L98" s="37">
        <f>IF($K98="","",INDEX('سجل التحفيز'!$A$5:$A$2004,MATCH($K98,'سجل التحفيز'!$T$5:$T$2004,0)))</f>
        <v/>
      </c>
      <c r="M98" s="9">
        <f>IF($K98="","",INDEX('سجل التحفيز'!$B$5:$B$2004,MATCH($K98,'سجل التحفيز'!$T$5:$T$2004,0)))</f>
        <v/>
      </c>
      <c r="N98" s="9">
        <f>IF($K98="","",INDEX('سجل التحفيز'!$M$5:$M$2004,MATCH($K98,'سجل التحفيز'!$T$5:$T$2004,0)))</f>
        <v/>
      </c>
      <c r="O98" s="9">
        <f>IF($K98="","",INDEX('سجل التحفيز'!$C$5:$C$2004,MATCH($K98,'سجل التحفيز'!$T$5:$T$2004,0)))</f>
        <v/>
      </c>
      <c r="P98" s="36">
        <f>IF($K98="","",INDEX('سجل التحفيز'!$D$5:$D$2004,MATCH($K98,'سجل التحفيز'!$T$5:$T$2004,0)))</f>
        <v/>
      </c>
      <c r="Q98" s="9">
        <f>IF($K98="","",INDEX('سجل التحفيز'!$E$5:$E$2004,MATCH($K98,'سجل التحفيز'!$T$5:$T$2004,0)))</f>
        <v/>
      </c>
      <c r="R98" s="9">
        <f>IF($K98="","",INDEX('سجل التحفيز'!$F$5:$F$2004,MATCH($K98,'سجل التحفيز'!$T$5:$T$2004,0)))</f>
        <v/>
      </c>
      <c r="S98" s="35">
        <f>IF($K98="","",INDEX('سجل التحفيز'!$G$5:$G$2004,MATCH($K98,'سجل التحفيز'!$T$5:$T$2004,0)))</f>
        <v/>
      </c>
    </row>
    <row r="99">
      <c r="B99" s="34">
        <f>IFERROR(INDEX(الموظفات!$B$5:$B$304,MATCH(62,الموظفات!$N$5:$N$304,0)),"")</f>
        <v/>
      </c>
      <c r="C99" s="34">
        <f>IF(B99="","",INDEX(الموظفات!$D$5:$D$304,MATCH(B99,الموظفات!$B$5:$B$304,0))&amp;"")</f>
        <v/>
      </c>
      <c r="D99" s="35">
        <f>IF(B99="","",COUNTIFS('سجل التحفيز'!$T$5:$T$2004,"&gt;0",'سجل التحفيز'!$B$5:$B$2004,B99))</f>
        <v/>
      </c>
      <c r="E99" s="35">
        <f>IF(B99="","",COUNTIFS('سجل التحفيز'!$T$5:$T$2004,"&gt;0",'سجل التحفيز'!$B$5:$B$2004,B99,'سجل التحفيز'!$D$5:$D$2004,"ذهبي"))</f>
        <v/>
      </c>
      <c r="F99" s="35">
        <f>IF(B99="","",SUMIFS('سجل التحفيز'!$G$5:$G$2004,'سجل التحفيز'!$T$5:$T$2004,"&gt;0",'سجل التحفيز'!$B$5:$B$2004,B99))</f>
        <v/>
      </c>
      <c r="G99" s="35">
        <f>IF(B99="","",COUNTIF($D$38:$D$187,"&gt;"&amp;D99)+1)</f>
        <v/>
      </c>
      <c r="H99" s="35">
        <f>IF(B99="","",INDEX(الموظفات!$L$5:$L$304,MATCH(B99,الموظفات!$B$5:$B$304,0)))</f>
        <v/>
      </c>
      <c r="K99" s="36">
        <f>IF(62&gt;$B$10,"",62)</f>
        <v/>
      </c>
      <c r="L99" s="37">
        <f>IF($K99="","",INDEX('سجل التحفيز'!$A$5:$A$2004,MATCH($K99,'سجل التحفيز'!$T$5:$T$2004,0)))</f>
        <v/>
      </c>
      <c r="M99" s="9">
        <f>IF($K99="","",INDEX('سجل التحفيز'!$B$5:$B$2004,MATCH($K99,'سجل التحفيز'!$T$5:$T$2004,0)))</f>
        <v/>
      </c>
      <c r="N99" s="9">
        <f>IF($K99="","",INDEX('سجل التحفيز'!$M$5:$M$2004,MATCH($K99,'سجل التحفيز'!$T$5:$T$2004,0)))</f>
        <v/>
      </c>
      <c r="O99" s="9">
        <f>IF($K99="","",INDEX('سجل التحفيز'!$C$5:$C$2004,MATCH($K99,'سجل التحفيز'!$T$5:$T$2004,0)))</f>
        <v/>
      </c>
      <c r="P99" s="36">
        <f>IF($K99="","",INDEX('سجل التحفيز'!$D$5:$D$2004,MATCH($K99,'سجل التحفيز'!$T$5:$T$2004,0)))</f>
        <v/>
      </c>
      <c r="Q99" s="9">
        <f>IF($K99="","",INDEX('سجل التحفيز'!$E$5:$E$2004,MATCH($K99,'سجل التحفيز'!$T$5:$T$2004,0)))</f>
        <v/>
      </c>
      <c r="R99" s="9">
        <f>IF($K99="","",INDEX('سجل التحفيز'!$F$5:$F$2004,MATCH($K99,'سجل التحفيز'!$T$5:$T$2004,0)))</f>
        <v/>
      </c>
      <c r="S99" s="35">
        <f>IF($K99="","",INDEX('سجل التحفيز'!$G$5:$G$2004,MATCH($K99,'سجل التحفيز'!$T$5:$T$2004,0)))</f>
        <v/>
      </c>
    </row>
    <row r="100">
      <c r="B100" s="34">
        <f>IFERROR(INDEX(الموظفات!$B$5:$B$304,MATCH(63,الموظفات!$N$5:$N$304,0)),"")</f>
        <v/>
      </c>
      <c r="C100" s="34">
        <f>IF(B100="","",INDEX(الموظفات!$D$5:$D$304,MATCH(B100,الموظفات!$B$5:$B$304,0))&amp;"")</f>
        <v/>
      </c>
      <c r="D100" s="35">
        <f>IF(B100="","",COUNTIFS('سجل التحفيز'!$T$5:$T$2004,"&gt;0",'سجل التحفيز'!$B$5:$B$2004,B100))</f>
        <v/>
      </c>
      <c r="E100" s="35">
        <f>IF(B100="","",COUNTIFS('سجل التحفيز'!$T$5:$T$2004,"&gt;0",'سجل التحفيز'!$B$5:$B$2004,B100,'سجل التحفيز'!$D$5:$D$2004,"ذهبي"))</f>
        <v/>
      </c>
      <c r="F100" s="35">
        <f>IF(B100="","",SUMIFS('سجل التحفيز'!$G$5:$G$2004,'سجل التحفيز'!$T$5:$T$2004,"&gt;0",'سجل التحفيز'!$B$5:$B$2004,B100))</f>
        <v/>
      </c>
      <c r="G100" s="35">
        <f>IF(B100="","",COUNTIF($D$38:$D$187,"&gt;"&amp;D100)+1)</f>
        <v/>
      </c>
      <c r="H100" s="35">
        <f>IF(B100="","",INDEX(الموظفات!$L$5:$L$304,MATCH(B100,الموظفات!$B$5:$B$304,0)))</f>
        <v/>
      </c>
      <c r="K100" s="36">
        <f>IF(63&gt;$B$10,"",63)</f>
        <v/>
      </c>
      <c r="L100" s="37">
        <f>IF($K100="","",INDEX('سجل التحفيز'!$A$5:$A$2004,MATCH($K100,'سجل التحفيز'!$T$5:$T$2004,0)))</f>
        <v/>
      </c>
      <c r="M100" s="9">
        <f>IF($K100="","",INDEX('سجل التحفيز'!$B$5:$B$2004,MATCH($K100,'سجل التحفيز'!$T$5:$T$2004,0)))</f>
        <v/>
      </c>
      <c r="N100" s="9">
        <f>IF($K100="","",INDEX('سجل التحفيز'!$M$5:$M$2004,MATCH($K100,'سجل التحفيز'!$T$5:$T$2004,0)))</f>
        <v/>
      </c>
      <c r="O100" s="9">
        <f>IF($K100="","",INDEX('سجل التحفيز'!$C$5:$C$2004,MATCH($K100,'سجل التحفيز'!$T$5:$T$2004,0)))</f>
        <v/>
      </c>
      <c r="P100" s="36">
        <f>IF($K100="","",INDEX('سجل التحفيز'!$D$5:$D$2004,MATCH($K100,'سجل التحفيز'!$T$5:$T$2004,0)))</f>
        <v/>
      </c>
      <c r="Q100" s="9">
        <f>IF($K100="","",INDEX('سجل التحفيز'!$E$5:$E$2004,MATCH($K100,'سجل التحفيز'!$T$5:$T$2004,0)))</f>
        <v/>
      </c>
      <c r="R100" s="9">
        <f>IF($K100="","",INDEX('سجل التحفيز'!$F$5:$F$2004,MATCH($K100,'سجل التحفيز'!$T$5:$T$2004,0)))</f>
        <v/>
      </c>
      <c r="S100" s="35">
        <f>IF($K100="","",INDEX('سجل التحفيز'!$G$5:$G$2004,MATCH($K100,'سجل التحفيز'!$T$5:$T$2004,0)))</f>
        <v/>
      </c>
    </row>
    <row r="101">
      <c r="B101" s="34">
        <f>IFERROR(INDEX(الموظفات!$B$5:$B$304,MATCH(64,الموظفات!$N$5:$N$304,0)),"")</f>
        <v/>
      </c>
      <c r="C101" s="34">
        <f>IF(B101="","",INDEX(الموظفات!$D$5:$D$304,MATCH(B101,الموظفات!$B$5:$B$304,0))&amp;"")</f>
        <v/>
      </c>
      <c r="D101" s="35">
        <f>IF(B101="","",COUNTIFS('سجل التحفيز'!$T$5:$T$2004,"&gt;0",'سجل التحفيز'!$B$5:$B$2004,B101))</f>
        <v/>
      </c>
      <c r="E101" s="35">
        <f>IF(B101="","",COUNTIFS('سجل التحفيز'!$T$5:$T$2004,"&gt;0",'سجل التحفيز'!$B$5:$B$2004,B101,'سجل التحفيز'!$D$5:$D$2004,"ذهبي"))</f>
        <v/>
      </c>
      <c r="F101" s="35">
        <f>IF(B101="","",SUMIFS('سجل التحفيز'!$G$5:$G$2004,'سجل التحفيز'!$T$5:$T$2004,"&gt;0",'سجل التحفيز'!$B$5:$B$2004,B101))</f>
        <v/>
      </c>
      <c r="G101" s="35">
        <f>IF(B101="","",COUNTIF($D$38:$D$187,"&gt;"&amp;D101)+1)</f>
        <v/>
      </c>
      <c r="H101" s="35">
        <f>IF(B101="","",INDEX(الموظفات!$L$5:$L$304,MATCH(B101,الموظفات!$B$5:$B$304,0)))</f>
        <v/>
      </c>
      <c r="K101" s="36">
        <f>IF(64&gt;$B$10,"",64)</f>
        <v/>
      </c>
      <c r="L101" s="37">
        <f>IF($K101="","",INDEX('سجل التحفيز'!$A$5:$A$2004,MATCH($K101,'سجل التحفيز'!$T$5:$T$2004,0)))</f>
        <v/>
      </c>
      <c r="M101" s="9">
        <f>IF($K101="","",INDEX('سجل التحفيز'!$B$5:$B$2004,MATCH($K101,'سجل التحفيز'!$T$5:$T$2004,0)))</f>
        <v/>
      </c>
      <c r="N101" s="9">
        <f>IF($K101="","",INDEX('سجل التحفيز'!$M$5:$M$2004,MATCH($K101,'سجل التحفيز'!$T$5:$T$2004,0)))</f>
        <v/>
      </c>
      <c r="O101" s="9">
        <f>IF($K101="","",INDEX('سجل التحفيز'!$C$5:$C$2004,MATCH($K101,'سجل التحفيز'!$T$5:$T$2004,0)))</f>
        <v/>
      </c>
      <c r="P101" s="36">
        <f>IF($K101="","",INDEX('سجل التحفيز'!$D$5:$D$2004,MATCH($K101,'سجل التحفيز'!$T$5:$T$2004,0)))</f>
        <v/>
      </c>
      <c r="Q101" s="9">
        <f>IF($K101="","",INDEX('سجل التحفيز'!$E$5:$E$2004,MATCH($K101,'سجل التحفيز'!$T$5:$T$2004,0)))</f>
        <v/>
      </c>
      <c r="R101" s="9">
        <f>IF($K101="","",INDEX('سجل التحفيز'!$F$5:$F$2004,MATCH($K101,'سجل التحفيز'!$T$5:$T$2004,0)))</f>
        <v/>
      </c>
      <c r="S101" s="35">
        <f>IF($K101="","",INDEX('سجل التحفيز'!$G$5:$G$2004,MATCH($K101,'سجل التحفيز'!$T$5:$T$2004,0)))</f>
        <v/>
      </c>
    </row>
    <row r="102">
      <c r="B102" s="34">
        <f>IFERROR(INDEX(الموظفات!$B$5:$B$304,MATCH(65,الموظفات!$N$5:$N$304,0)),"")</f>
        <v/>
      </c>
      <c r="C102" s="34">
        <f>IF(B102="","",INDEX(الموظفات!$D$5:$D$304,MATCH(B102,الموظفات!$B$5:$B$304,0))&amp;"")</f>
        <v/>
      </c>
      <c r="D102" s="35">
        <f>IF(B102="","",COUNTIFS('سجل التحفيز'!$T$5:$T$2004,"&gt;0",'سجل التحفيز'!$B$5:$B$2004,B102))</f>
        <v/>
      </c>
      <c r="E102" s="35">
        <f>IF(B102="","",COUNTIFS('سجل التحفيز'!$T$5:$T$2004,"&gt;0",'سجل التحفيز'!$B$5:$B$2004,B102,'سجل التحفيز'!$D$5:$D$2004,"ذهبي"))</f>
        <v/>
      </c>
      <c r="F102" s="35">
        <f>IF(B102="","",SUMIFS('سجل التحفيز'!$G$5:$G$2004,'سجل التحفيز'!$T$5:$T$2004,"&gt;0",'سجل التحفيز'!$B$5:$B$2004,B102))</f>
        <v/>
      </c>
      <c r="G102" s="35">
        <f>IF(B102="","",COUNTIF($D$38:$D$187,"&gt;"&amp;D102)+1)</f>
        <v/>
      </c>
      <c r="H102" s="35">
        <f>IF(B102="","",INDEX(الموظفات!$L$5:$L$304,MATCH(B102,الموظفات!$B$5:$B$304,0)))</f>
        <v/>
      </c>
      <c r="K102" s="36">
        <f>IF(65&gt;$B$10,"",65)</f>
        <v/>
      </c>
      <c r="L102" s="37">
        <f>IF($K102="","",INDEX('سجل التحفيز'!$A$5:$A$2004,MATCH($K102,'سجل التحفيز'!$T$5:$T$2004,0)))</f>
        <v/>
      </c>
      <c r="M102" s="9">
        <f>IF($K102="","",INDEX('سجل التحفيز'!$B$5:$B$2004,MATCH($K102,'سجل التحفيز'!$T$5:$T$2004,0)))</f>
        <v/>
      </c>
      <c r="N102" s="9">
        <f>IF($K102="","",INDEX('سجل التحفيز'!$M$5:$M$2004,MATCH($K102,'سجل التحفيز'!$T$5:$T$2004,0)))</f>
        <v/>
      </c>
      <c r="O102" s="9">
        <f>IF($K102="","",INDEX('سجل التحفيز'!$C$5:$C$2004,MATCH($K102,'سجل التحفيز'!$T$5:$T$2004,0)))</f>
        <v/>
      </c>
      <c r="P102" s="36">
        <f>IF($K102="","",INDEX('سجل التحفيز'!$D$5:$D$2004,MATCH($K102,'سجل التحفيز'!$T$5:$T$2004,0)))</f>
        <v/>
      </c>
      <c r="Q102" s="9">
        <f>IF($K102="","",INDEX('سجل التحفيز'!$E$5:$E$2004,MATCH($K102,'سجل التحفيز'!$T$5:$T$2004,0)))</f>
        <v/>
      </c>
      <c r="R102" s="9">
        <f>IF($K102="","",INDEX('سجل التحفيز'!$F$5:$F$2004,MATCH($K102,'سجل التحفيز'!$T$5:$T$2004,0)))</f>
        <v/>
      </c>
      <c r="S102" s="35">
        <f>IF($K102="","",INDEX('سجل التحفيز'!$G$5:$G$2004,MATCH($K102,'سجل التحفيز'!$T$5:$T$2004,0)))</f>
        <v/>
      </c>
    </row>
    <row r="103">
      <c r="B103" s="34">
        <f>IFERROR(INDEX(الموظفات!$B$5:$B$304,MATCH(66,الموظفات!$N$5:$N$304,0)),"")</f>
        <v/>
      </c>
      <c r="C103" s="34">
        <f>IF(B103="","",INDEX(الموظفات!$D$5:$D$304,MATCH(B103,الموظفات!$B$5:$B$304,0))&amp;"")</f>
        <v/>
      </c>
      <c r="D103" s="35">
        <f>IF(B103="","",COUNTIFS('سجل التحفيز'!$T$5:$T$2004,"&gt;0",'سجل التحفيز'!$B$5:$B$2004,B103))</f>
        <v/>
      </c>
      <c r="E103" s="35">
        <f>IF(B103="","",COUNTIFS('سجل التحفيز'!$T$5:$T$2004,"&gt;0",'سجل التحفيز'!$B$5:$B$2004,B103,'سجل التحفيز'!$D$5:$D$2004,"ذهبي"))</f>
        <v/>
      </c>
      <c r="F103" s="35">
        <f>IF(B103="","",SUMIFS('سجل التحفيز'!$G$5:$G$2004,'سجل التحفيز'!$T$5:$T$2004,"&gt;0",'سجل التحفيز'!$B$5:$B$2004,B103))</f>
        <v/>
      </c>
      <c r="G103" s="35">
        <f>IF(B103="","",COUNTIF($D$38:$D$187,"&gt;"&amp;D103)+1)</f>
        <v/>
      </c>
      <c r="H103" s="35">
        <f>IF(B103="","",INDEX(الموظفات!$L$5:$L$304,MATCH(B103,الموظفات!$B$5:$B$304,0)))</f>
        <v/>
      </c>
      <c r="K103" s="36">
        <f>IF(66&gt;$B$10,"",66)</f>
        <v/>
      </c>
      <c r="L103" s="37">
        <f>IF($K103="","",INDEX('سجل التحفيز'!$A$5:$A$2004,MATCH($K103,'سجل التحفيز'!$T$5:$T$2004,0)))</f>
        <v/>
      </c>
      <c r="M103" s="9">
        <f>IF($K103="","",INDEX('سجل التحفيز'!$B$5:$B$2004,MATCH($K103,'سجل التحفيز'!$T$5:$T$2004,0)))</f>
        <v/>
      </c>
      <c r="N103" s="9">
        <f>IF($K103="","",INDEX('سجل التحفيز'!$M$5:$M$2004,MATCH($K103,'سجل التحفيز'!$T$5:$T$2004,0)))</f>
        <v/>
      </c>
      <c r="O103" s="9">
        <f>IF($K103="","",INDEX('سجل التحفيز'!$C$5:$C$2004,MATCH($K103,'سجل التحفيز'!$T$5:$T$2004,0)))</f>
        <v/>
      </c>
      <c r="P103" s="36">
        <f>IF($K103="","",INDEX('سجل التحفيز'!$D$5:$D$2004,MATCH($K103,'سجل التحفيز'!$T$5:$T$2004,0)))</f>
        <v/>
      </c>
      <c r="Q103" s="9">
        <f>IF($K103="","",INDEX('سجل التحفيز'!$E$5:$E$2004,MATCH($K103,'سجل التحفيز'!$T$5:$T$2004,0)))</f>
        <v/>
      </c>
      <c r="R103" s="9">
        <f>IF($K103="","",INDEX('سجل التحفيز'!$F$5:$F$2004,MATCH($K103,'سجل التحفيز'!$T$5:$T$2004,0)))</f>
        <v/>
      </c>
      <c r="S103" s="35">
        <f>IF($K103="","",INDEX('سجل التحفيز'!$G$5:$G$2004,MATCH($K103,'سجل التحفيز'!$T$5:$T$2004,0)))</f>
        <v/>
      </c>
    </row>
    <row r="104">
      <c r="B104" s="34">
        <f>IFERROR(INDEX(الموظفات!$B$5:$B$304,MATCH(67,الموظفات!$N$5:$N$304,0)),"")</f>
        <v/>
      </c>
      <c r="C104" s="34">
        <f>IF(B104="","",INDEX(الموظفات!$D$5:$D$304,MATCH(B104,الموظفات!$B$5:$B$304,0))&amp;"")</f>
        <v/>
      </c>
      <c r="D104" s="35">
        <f>IF(B104="","",COUNTIFS('سجل التحفيز'!$T$5:$T$2004,"&gt;0",'سجل التحفيز'!$B$5:$B$2004,B104))</f>
        <v/>
      </c>
      <c r="E104" s="35">
        <f>IF(B104="","",COUNTIFS('سجل التحفيز'!$T$5:$T$2004,"&gt;0",'سجل التحفيز'!$B$5:$B$2004,B104,'سجل التحفيز'!$D$5:$D$2004,"ذهبي"))</f>
        <v/>
      </c>
      <c r="F104" s="35">
        <f>IF(B104="","",SUMIFS('سجل التحفيز'!$G$5:$G$2004,'سجل التحفيز'!$T$5:$T$2004,"&gt;0",'سجل التحفيز'!$B$5:$B$2004,B104))</f>
        <v/>
      </c>
      <c r="G104" s="35">
        <f>IF(B104="","",COUNTIF($D$38:$D$187,"&gt;"&amp;D104)+1)</f>
        <v/>
      </c>
      <c r="H104" s="35">
        <f>IF(B104="","",INDEX(الموظفات!$L$5:$L$304,MATCH(B104,الموظفات!$B$5:$B$304,0)))</f>
        <v/>
      </c>
      <c r="K104" s="36">
        <f>IF(67&gt;$B$10,"",67)</f>
        <v/>
      </c>
      <c r="L104" s="37">
        <f>IF($K104="","",INDEX('سجل التحفيز'!$A$5:$A$2004,MATCH($K104,'سجل التحفيز'!$T$5:$T$2004,0)))</f>
        <v/>
      </c>
      <c r="M104" s="9">
        <f>IF($K104="","",INDEX('سجل التحفيز'!$B$5:$B$2004,MATCH($K104,'سجل التحفيز'!$T$5:$T$2004,0)))</f>
        <v/>
      </c>
      <c r="N104" s="9">
        <f>IF($K104="","",INDEX('سجل التحفيز'!$M$5:$M$2004,MATCH($K104,'سجل التحفيز'!$T$5:$T$2004,0)))</f>
        <v/>
      </c>
      <c r="O104" s="9">
        <f>IF($K104="","",INDEX('سجل التحفيز'!$C$5:$C$2004,MATCH($K104,'سجل التحفيز'!$T$5:$T$2004,0)))</f>
        <v/>
      </c>
      <c r="P104" s="36">
        <f>IF($K104="","",INDEX('سجل التحفيز'!$D$5:$D$2004,MATCH($K104,'سجل التحفيز'!$T$5:$T$2004,0)))</f>
        <v/>
      </c>
      <c r="Q104" s="9">
        <f>IF($K104="","",INDEX('سجل التحفيز'!$E$5:$E$2004,MATCH($K104,'سجل التحفيز'!$T$5:$T$2004,0)))</f>
        <v/>
      </c>
      <c r="R104" s="9">
        <f>IF($K104="","",INDEX('سجل التحفيز'!$F$5:$F$2004,MATCH($K104,'سجل التحفيز'!$T$5:$T$2004,0)))</f>
        <v/>
      </c>
      <c r="S104" s="35">
        <f>IF($K104="","",INDEX('سجل التحفيز'!$G$5:$G$2004,MATCH($K104,'سجل التحفيز'!$T$5:$T$2004,0)))</f>
        <v/>
      </c>
    </row>
    <row r="105">
      <c r="B105" s="34">
        <f>IFERROR(INDEX(الموظفات!$B$5:$B$304,MATCH(68,الموظفات!$N$5:$N$304,0)),"")</f>
        <v/>
      </c>
      <c r="C105" s="34">
        <f>IF(B105="","",INDEX(الموظفات!$D$5:$D$304,MATCH(B105,الموظفات!$B$5:$B$304,0))&amp;"")</f>
        <v/>
      </c>
      <c r="D105" s="35">
        <f>IF(B105="","",COUNTIFS('سجل التحفيز'!$T$5:$T$2004,"&gt;0",'سجل التحفيز'!$B$5:$B$2004,B105))</f>
        <v/>
      </c>
      <c r="E105" s="35">
        <f>IF(B105="","",COUNTIFS('سجل التحفيز'!$T$5:$T$2004,"&gt;0",'سجل التحفيز'!$B$5:$B$2004,B105,'سجل التحفيز'!$D$5:$D$2004,"ذهبي"))</f>
        <v/>
      </c>
      <c r="F105" s="35">
        <f>IF(B105="","",SUMIFS('سجل التحفيز'!$G$5:$G$2004,'سجل التحفيز'!$T$5:$T$2004,"&gt;0",'سجل التحفيز'!$B$5:$B$2004,B105))</f>
        <v/>
      </c>
      <c r="G105" s="35">
        <f>IF(B105="","",COUNTIF($D$38:$D$187,"&gt;"&amp;D105)+1)</f>
        <v/>
      </c>
      <c r="H105" s="35">
        <f>IF(B105="","",INDEX(الموظفات!$L$5:$L$304,MATCH(B105,الموظفات!$B$5:$B$304,0)))</f>
        <v/>
      </c>
      <c r="K105" s="36">
        <f>IF(68&gt;$B$10,"",68)</f>
        <v/>
      </c>
      <c r="L105" s="37">
        <f>IF($K105="","",INDEX('سجل التحفيز'!$A$5:$A$2004,MATCH($K105,'سجل التحفيز'!$T$5:$T$2004,0)))</f>
        <v/>
      </c>
      <c r="M105" s="9">
        <f>IF($K105="","",INDEX('سجل التحفيز'!$B$5:$B$2004,MATCH($K105,'سجل التحفيز'!$T$5:$T$2004,0)))</f>
        <v/>
      </c>
      <c r="N105" s="9">
        <f>IF($K105="","",INDEX('سجل التحفيز'!$M$5:$M$2004,MATCH($K105,'سجل التحفيز'!$T$5:$T$2004,0)))</f>
        <v/>
      </c>
      <c r="O105" s="9">
        <f>IF($K105="","",INDEX('سجل التحفيز'!$C$5:$C$2004,MATCH($K105,'سجل التحفيز'!$T$5:$T$2004,0)))</f>
        <v/>
      </c>
      <c r="P105" s="36">
        <f>IF($K105="","",INDEX('سجل التحفيز'!$D$5:$D$2004,MATCH($K105,'سجل التحفيز'!$T$5:$T$2004,0)))</f>
        <v/>
      </c>
      <c r="Q105" s="9">
        <f>IF($K105="","",INDEX('سجل التحفيز'!$E$5:$E$2004,MATCH($K105,'سجل التحفيز'!$T$5:$T$2004,0)))</f>
        <v/>
      </c>
      <c r="R105" s="9">
        <f>IF($K105="","",INDEX('سجل التحفيز'!$F$5:$F$2004,MATCH($K105,'سجل التحفيز'!$T$5:$T$2004,0)))</f>
        <v/>
      </c>
      <c r="S105" s="35">
        <f>IF($K105="","",INDEX('سجل التحفيز'!$G$5:$G$2004,MATCH($K105,'سجل التحفيز'!$T$5:$T$2004,0)))</f>
        <v/>
      </c>
    </row>
    <row r="106">
      <c r="B106" s="34">
        <f>IFERROR(INDEX(الموظفات!$B$5:$B$304,MATCH(69,الموظفات!$N$5:$N$304,0)),"")</f>
        <v/>
      </c>
      <c r="C106" s="34">
        <f>IF(B106="","",INDEX(الموظفات!$D$5:$D$304,MATCH(B106,الموظفات!$B$5:$B$304,0))&amp;"")</f>
        <v/>
      </c>
      <c r="D106" s="35">
        <f>IF(B106="","",COUNTIFS('سجل التحفيز'!$T$5:$T$2004,"&gt;0",'سجل التحفيز'!$B$5:$B$2004,B106))</f>
        <v/>
      </c>
      <c r="E106" s="35">
        <f>IF(B106="","",COUNTIFS('سجل التحفيز'!$T$5:$T$2004,"&gt;0",'سجل التحفيز'!$B$5:$B$2004,B106,'سجل التحفيز'!$D$5:$D$2004,"ذهبي"))</f>
        <v/>
      </c>
      <c r="F106" s="35">
        <f>IF(B106="","",SUMIFS('سجل التحفيز'!$G$5:$G$2004,'سجل التحفيز'!$T$5:$T$2004,"&gt;0",'سجل التحفيز'!$B$5:$B$2004,B106))</f>
        <v/>
      </c>
      <c r="G106" s="35">
        <f>IF(B106="","",COUNTIF($D$38:$D$187,"&gt;"&amp;D106)+1)</f>
        <v/>
      </c>
      <c r="H106" s="35">
        <f>IF(B106="","",INDEX(الموظفات!$L$5:$L$304,MATCH(B106,الموظفات!$B$5:$B$304,0)))</f>
        <v/>
      </c>
      <c r="K106" s="36">
        <f>IF(69&gt;$B$10,"",69)</f>
        <v/>
      </c>
      <c r="L106" s="37">
        <f>IF($K106="","",INDEX('سجل التحفيز'!$A$5:$A$2004,MATCH($K106,'سجل التحفيز'!$T$5:$T$2004,0)))</f>
        <v/>
      </c>
      <c r="M106" s="9">
        <f>IF($K106="","",INDEX('سجل التحفيز'!$B$5:$B$2004,MATCH($K106,'سجل التحفيز'!$T$5:$T$2004,0)))</f>
        <v/>
      </c>
      <c r="N106" s="9">
        <f>IF($K106="","",INDEX('سجل التحفيز'!$M$5:$M$2004,MATCH($K106,'سجل التحفيز'!$T$5:$T$2004,0)))</f>
        <v/>
      </c>
      <c r="O106" s="9">
        <f>IF($K106="","",INDEX('سجل التحفيز'!$C$5:$C$2004,MATCH($K106,'سجل التحفيز'!$T$5:$T$2004,0)))</f>
        <v/>
      </c>
      <c r="P106" s="36">
        <f>IF($K106="","",INDEX('سجل التحفيز'!$D$5:$D$2004,MATCH($K106,'سجل التحفيز'!$T$5:$T$2004,0)))</f>
        <v/>
      </c>
      <c r="Q106" s="9">
        <f>IF($K106="","",INDEX('سجل التحفيز'!$E$5:$E$2004,MATCH($K106,'سجل التحفيز'!$T$5:$T$2004,0)))</f>
        <v/>
      </c>
      <c r="R106" s="9">
        <f>IF($K106="","",INDEX('سجل التحفيز'!$F$5:$F$2004,MATCH($K106,'سجل التحفيز'!$T$5:$T$2004,0)))</f>
        <v/>
      </c>
      <c r="S106" s="35">
        <f>IF($K106="","",INDEX('سجل التحفيز'!$G$5:$G$2004,MATCH($K106,'سجل التحفيز'!$T$5:$T$2004,0)))</f>
        <v/>
      </c>
    </row>
    <row r="107">
      <c r="B107" s="34">
        <f>IFERROR(INDEX(الموظفات!$B$5:$B$304,MATCH(70,الموظفات!$N$5:$N$304,0)),"")</f>
        <v/>
      </c>
      <c r="C107" s="34">
        <f>IF(B107="","",INDEX(الموظفات!$D$5:$D$304,MATCH(B107,الموظفات!$B$5:$B$304,0))&amp;"")</f>
        <v/>
      </c>
      <c r="D107" s="35">
        <f>IF(B107="","",COUNTIFS('سجل التحفيز'!$T$5:$T$2004,"&gt;0",'سجل التحفيز'!$B$5:$B$2004,B107))</f>
        <v/>
      </c>
      <c r="E107" s="35">
        <f>IF(B107="","",COUNTIFS('سجل التحفيز'!$T$5:$T$2004,"&gt;0",'سجل التحفيز'!$B$5:$B$2004,B107,'سجل التحفيز'!$D$5:$D$2004,"ذهبي"))</f>
        <v/>
      </c>
      <c r="F107" s="35">
        <f>IF(B107="","",SUMIFS('سجل التحفيز'!$G$5:$G$2004,'سجل التحفيز'!$T$5:$T$2004,"&gt;0",'سجل التحفيز'!$B$5:$B$2004,B107))</f>
        <v/>
      </c>
      <c r="G107" s="35">
        <f>IF(B107="","",COUNTIF($D$38:$D$187,"&gt;"&amp;D107)+1)</f>
        <v/>
      </c>
      <c r="H107" s="35">
        <f>IF(B107="","",INDEX(الموظفات!$L$5:$L$304,MATCH(B107,الموظفات!$B$5:$B$304,0)))</f>
        <v/>
      </c>
      <c r="K107" s="36">
        <f>IF(70&gt;$B$10,"",70)</f>
        <v/>
      </c>
      <c r="L107" s="37">
        <f>IF($K107="","",INDEX('سجل التحفيز'!$A$5:$A$2004,MATCH($K107,'سجل التحفيز'!$T$5:$T$2004,0)))</f>
        <v/>
      </c>
      <c r="M107" s="9">
        <f>IF($K107="","",INDEX('سجل التحفيز'!$B$5:$B$2004,MATCH($K107,'سجل التحفيز'!$T$5:$T$2004,0)))</f>
        <v/>
      </c>
      <c r="N107" s="9">
        <f>IF($K107="","",INDEX('سجل التحفيز'!$M$5:$M$2004,MATCH($K107,'سجل التحفيز'!$T$5:$T$2004,0)))</f>
        <v/>
      </c>
      <c r="O107" s="9">
        <f>IF($K107="","",INDEX('سجل التحفيز'!$C$5:$C$2004,MATCH($K107,'سجل التحفيز'!$T$5:$T$2004,0)))</f>
        <v/>
      </c>
      <c r="P107" s="36">
        <f>IF($K107="","",INDEX('سجل التحفيز'!$D$5:$D$2004,MATCH($K107,'سجل التحفيز'!$T$5:$T$2004,0)))</f>
        <v/>
      </c>
      <c r="Q107" s="9">
        <f>IF($K107="","",INDEX('سجل التحفيز'!$E$5:$E$2004,MATCH($K107,'سجل التحفيز'!$T$5:$T$2004,0)))</f>
        <v/>
      </c>
      <c r="R107" s="9">
        <f>IF($K107="","",INDEX('سجل التحفيز'!$F$5:$F$2004,MATCH($K107,'سجل التحفيز'!$T$5:$T$2004,0)))</f>
        <v/>
      </c>
      <c r="S107" s="35">
        <f>IF($K107="","",INDEX('سجل التحفيز'!$G$5:$G$2004,MATCH($K107,'سجل التحفيز'!$T$5:$T$2004,0)))</f>
        <v/>
      </c>
    </row>
    <row r="108">
      <c r="B108" s="34">
        <f>IFERROR(INDEX(الموظفات!$B$5:$B$304,MATCH(71,الموظفات!$N$5:$N$304,0)),"")</f>
        <v/>
      </c>
      <c r="C108" s="34">
        <f>IF(B108="","",INDEX(الموظفات!$D$5:$D$304,MATCH(B108,الموظفات!$B$5:$B$304,0))&amp;"")</f>
        <v/>
      </c>
      <c r="D108" s="35">
        <f>IF(B108="","",COUNTIFS('سجل التحفيز'!$T$5:$T$2004,"&gt;0",'سجل التحفيز'!$B$5:$B$2004,B108))</f>
        <v/>
      </c>
      <c r="E108" s="35">
        <f>IF(B108="","",COUNTIFS('سجل التحفيز'!$T$5:$T$2004,"&gt;0",'سجل التحفيز'!$B$5:$B$2004,B108,'سجل التحفيز'!$D$5:$D$2004,"ذهبي"))</f>
        <v/>
      </c>
      <c r="F108" s="35">
        <f>IF(B108="","",SUMIFS('سجل التحفيز'!$G$5:$G$2004,'سجل التحفيز'!$T$5:$T$2004,"&gt;0",'سجل التحفيز'!$B$5:$B$2004,B108))</f>
        <v/>
      </c>
      <c r="G108" s="35">
        <f>IF(B108="","",COUNTIF($D$38:$D$187,"&gt;"&amp;D108)+1)</f>
        <v/>
      </c>
      <c r="H108" s="35">
        <f>IF(B108="","",INDEX(الموظفات!$L$5:$L$304,MATCH(B108,الموظفات!$B$5:$B$304,0)))</f>
        <v/>
      </c>
      <c r="K108" s="36">
        <f>IF(71&gt;$B$10,"",71)</f>
        <v/>
      </c>
      <c r="L108" s="37">
        <f>IF($K108="","",INDEX('سجل التحفيز'!$A$5:$A$2004,MATCH($K108,'سجل التحفيز'!$T$5:$T$2004,0)))</f>
        <v/>
      </c>
      <c r="M108" s="9">
        <f>IF($K108="","",INDEX('سجل التحفيز'!$B$5:$B$2004,MATCH($K108,'سجل التحفيز'!$T$5:$T$2004,0)))</f>
        <v/>
      </c>
      <c r="N108" s="9">
        <f>IF($K108="","",INDEX('سجل التحفيز'!$M$5:$M$2004,MATCH($K108,'سجل التحفيز'!$T$5:$T$2004,0)))</f>
        <v/>
      </c>
      <c r="O108" s="9">
        <f>IF($K108="","",INDEX('سجل التحفيز'!$C$5:$C$2004,MATCH($K108,'سجل التحفيز'!$T$5:$T$2004,0)))</f>
        <v/>
      </c>
      <c r="P108" s="36">
        <f>IF($K108="","",INDEX('سجل التحفيز'!$D$5:$D$2004,MATCH($K108,'سجل التحفيز'!$T$5:$T$2004,0)))</f>
        <v/>
      </c>
      <c r="Q108" s="9">
        <f>IF($K108="","",INDEX('سجل التحفيز'!$E$5:$E$2004,MATCH($K108,'سجل التحفيز'!$T$5:$T$2004,0)))</f>
        <v/>
      </c>
      <c r="R108" s="9">
        <f>IF($K108="","",INDEX('سجل التحفيز'!$F$5:$F$2004,MATCH($K108,'سجل التحفيز'!$T$5:$T$2004,0)))</f>
        <v/>
      </c>
      <c r="S108" s="35">
        <f>IF($K108="","",INDEX('سجل التحفيز'!$G$5:$G$2004,MATCH($K108,'سجل التحفيز'!$T$5:$T$2004,0)))</f>
        <v/>
      </c>
    </row>
    <row r="109">
      <c r="B109" s="34">
        <f>IFERROR(INDEX(الموظفات!$B$5:$B$304,MATCH(72,الموظفات!$N$5:$N$304,0)),"")</f>
        <v/>
      </c>
      <c r="C109" s="34">
        <f>IF(B109="","",INDEX(الموظفات!$D$5:$D$304,MATCH(B109,الموظفات!$B$5:$B$304,0))&amp;"")</f>
        <v/>
      </c>
      <c r="D109" s="35">
        <f>IF(B109="","",COUNTIFS('سجل التحفيز'!$T$5:$T$2004,"&gt;0",'سجل التحفيز'!$B$5:$B$2004,B109))</f>
        <v/>
      </c>
      <c r="E109" s="35">
        <f>IF(B109="","",COUNTIFS('سجل التحفيز'!$T$5:$T$2004,"&gt;0",'سجل التحفيز'!$B$5:$B$2004,B109,'سجل التحفيز'!$D$5:$D$2004,"ذهبي"))</f>
        <v/>
      </c>
      <c r="F109" s="35">
        <f>IF(B109="","",SUMIFS('سجل التحفيز'!$G$5:$G$2004,'سجل التحفيز'!$T$5:$T$2004,"&gt;0",'سجل التحفيز'!$B$5:$B$2004,B109))</f>
        <v/>
      </c>
      <c r="G109" s="35">
        <f>IF(B109="","",COUNTIF($D$38:$D$187,"&gt;"&amp;D109)+1)</f>
        <v/>
      </c>
      <c r="H109" s="35">
        <f>IF(B109="","",INDEX(الموظفات!$L$5:$L$304,MATCH(B109,الموظفات!$B$5:$B$304,0)))</f>
        <v/>
      </c>
      <c r="K109" s="36">
        <f>IF(72&gt;$B$10,"",72)</f>
        <v/>
      </c>
      <c r="L109" s="37">
        <f>IF($K109="","",INDEX('سجل التحفيز'!$A$5:$A$2004,MATCH($K109,'سجل التحفيز'!$T$5:$T$2004,0)))</f>
        <v/>
      </c>
      <c r="M109" s="9">
        <f>IF($K109="","",INDEX('سجل التحفيز'!$B$5:$B$2004,MATCH($K109,'سجل التحفيز'!$T$5:$T$2004,0)))</f>
        <v/>
      </c>
      <c r="N109" s="9">
        <f>IF($K109="","",INDEX('سجل التحفيز'!$M$5:$M$2004,MATCH($K109,'سجل التحفيز'!$T$5:$T$2004,0)))</f>
        <v/>
      </c>
      <c r="O109" s="9">
        <f>IF($K109="","",INDEX('سجل التحفيز'!$C$5:$C$2004,MATCH($K109,'سجل التحفيز'!$T$5:$T$2004,0)))</f>
        <v/>
      </c>
      <c r="P109" s="36">
        <f>IF($K109="","",INDEX('سجل التحفيز'!$D$5:$D$2004,MATCH($K109,'سجل التحفيز'!$T$5:$T$2004,0)))</f>
        <v/>
      </c>
      <c r="Q109" s="9">
        <f>IF($K109="","",INDEX('سجل التحفيز'!$E$5:$E$2004,MATCH($K109,'سجل التحفيز'!$T$5:$T$2004,0)))</f>
        <v/>
      </c>
      <c r="R109" s="9">
        <f>IF($K109="","",INDEX('سجل التحفيز'!$F$5:$F$2004,MATCH($K109,'سجل التحفيز'!$T$5:$T$2004,0)))</f>
        <v/>
      </c>
      <c r="S109" s="35">
        <f>IF($K109="","",INDEX('سجل التحفيز'!$G$5:$G$2004,MATCH($K109,'سجل التحفيز'!$T$5:$T$2004,0)))</f>
        <v/>
      </c>
    </row>
    <row r="110">
      <c r="B110" s="34">
        <f>IFERROR(INDEX(الموظفات!$B$5:$B$304,MATCH(73,الموظفات!$N$5:$N$304,0)),"")</f>
        <v/>
      </c>
      <c r="C110" s="34">
        <f>IF(B110="","",INDEX(الموظفات!$D$5:$D$304,MATCH(B110,الموظفات!$B$5:$B$304,0))&amp;"")</f>
        <v/>
      </c>
      <c r="D110" s="35">
        <f>IF(B110="","",COUNTIFS('سجل التحفيز'!$T$5:$T$2004,"&gt;0",'سجل التحفيز'!$B$5:$B$2004,B110))</f>
        <v/>
      </c>
      <c r="E110" s="35">
        <f>IF(B110="","",COUNTIFS('سجل التحفيز'!$T$5:$T$2004,"&gt;0",'سجل التحفيز'!$B$5:$B$2004,B110,'سجل التحفيز'!$D$5:$D$2004,"ذهبي"))</f>
        <v/>
      </c>
      <c r="F110" s="35">
        <f>IF(B110="","",SUMIFS('سجل التحفيز'!$G$5:$G$2004,'سجل التحفيز'!$T$5:$T$2004,"&gt;0",'سجل التحفيز'!$B$5:$B$2004,B110))</f>
        <v/>
      </c>
      <c r="G110" s="35">
        <f>IF(B110="","",COUNTIF($D$38:$D$187,"&gt;"&amp;D110)+1)</f>
        <v/>
      </c>
      <c r="H110" s="35">
        <f>IF(B110="","",INDEX(الموظفات!$L$5:$L$304,MATCH(B110,الموظفات!$B$5:$B$304,0)))</f>
        <v/>
      </c>
      <c r="K110" s="36">
        <f>IF(73&gt;$B$10,"",73)</f>
        <v/>
      </c>
      <c r="L110" s="37">
        <f>IF($K110="","",INDEX('سجل التحفيز'!$A$5:$A$2004,MATCH($K110,'سجل التحفيز'!$T$5:$T$2004,0)))</f>
        <v/>
      </c>
      <c r="M110" s="9">
        <f>IF($K110="","",INDEX('سجل التحفيز'!$B$5:$B$2004,MATCH($K110,'سجل التحفيز'!$T$5:$T$2004,0)))</f>
        <v/>
      </c>
      <c r="N110" s="9">
        <f>IF($K110="","",INDEX('سجل التحفيز'!$M$5:$M$2004,MATCH($K110,'سجل التحفيز'!$T$5:$T$2004,0)))</f>
        <v/>
      </c>
      <c r="O110" s="9">
        <f>IF($K110="","",INDEX('سجل التحفيز'!$C$5:$C$2004,MATCH($K110,'سجل التحفيز'!$T$5:$T$2004,0)))</f>
        <v/>
      </c>
      <c r="P110" s="36">
        <f>IF($K110="","",INDEX('سجل التحفيز'!$D$5:$D$2004,MATCH($K110,'سجل التحفيز'!$T$5:$T$2004,0)))</f>
        <v/>
      </c>
      <c r="Q110" s="9">
        <f>IF($K110="","",INDEX('سجل التحفيز'!$E$5:$E$2004,MATCH($K110,'سجل التحفيز'!$T$5:$T$2004,0)))</f>
        <v/>
      </c>
      <c r="R110" s="9">
        <f>IF($K110="","",INDEX('سجل التحفيز'!$F$5:$F$2004,MATCH($K110,'سجل التحفيز'!$T$5:$T$2004,0)))</f>
        <v/>
      </c>
      <c r="S110" s="35">
        <f>IF($K110="","",INDEX('سجل التحفيز'!$G$5:$G$2004,MATCH($K110,'سجل التحفيز'!$T$5:$T$2004,0)))</f>
        <v/>
      </c>
    </row>
    <row r="111">
      <c r="B111" s="34">
        <f>IFERROR(INDEX(الموظفات!$B$5:$B$304,MATCH(74,الموظفات!$N$5:$N$304,0)),"")</f>
        <v/>
      </c>
      <c r="C111" s="34">
        <f>IF(B111="","",INDEX(الموظفات!$D$5:$D$304,MATCH(B111,الموظفات!$B$5:$B$304,0))&amp;"")</f>
        <v/>
      </c>
      <c r="D111" s="35">
        <f>IF(B111="","",COUNTIFS('سجل التحفيز'!$T$5:$T$2004,"&gt;0",'سجل التحفيز'!$B$5:$B$2004,B111))</f>
        <v/>
      </c>
      <c r="E111" s="35">
        <f>IF(B111="","",COUNTIFS('سجل التحفيز'!$T$5:$T$2004,"&gt;0",'سجل التحفيز'!$B$5:$B$2004,B111,'سجل التحفيز'!$D$5:$D$2004,"ذهبي"))</f>
        <v/>
      </c>
      <c r="F111" s="35">
        <f>IF(B111="","",SUMIFS('سجل التحفيز'!$G$5:$G$2004,'سجل التحفيز'!$T$5:$T$2004,"&gt;0",'سجل التحفيز'!$B$5:$B$2004,B111))</f>
        <v/>
      </c>
      <c r="G111" s="35">
        <f>IF(B111="","",COUNTIF($D$38:$D$187,"&gt;"&amp;D111)+1)</f>
        <v/>
      </c>
      <c r="H111" s="35">
        <f>IF(B111="","",INDEX(الموظفات!$L$5:$L$304,MATCH(B111,الموظفات!$B$5:$B$304,0)))</f>
        <v/>
      </c>
      <c r="K111" s="36">
        <f>IF(74&gt;$B$10,"",74)</f>
        <v/>
      </c>
      <c r="L111" s="37">
        <f>IF($K111="","",INDEX('سجل التحفيز'!$A$5:$A$2004,MATCH($K111,'سجل التحفيز'!$T$5:$T$2004,0)))</f>
        <v/>
      </c>
      <c r="M111" s="9">
        <f>IF($K111="","",INDEX('سجل التحفيز'!$B$5:$B$2004,MATCH($K111,'سجل التحفيز'!$T$5:$T$2004,0)))</f>
        <v/>
      </c>
      <c r="N111" s="9">
        <f>IF($K111="","",INDEX('سجل التحفيز'!$M$5:$M$2004,MATCH($K111,'سجل التحفيز'!$T$5:$T$2004,0)))</f>
        <v/>
      </c>
      <c r="O111" s="9">
        <f>IF($K111="","",INDEX('سجل التحفيز'!$C$5:$C$2004,MATCH($K111,'سجل التحفيز'!$T$5:$T$2004,0)))</f>
        <v/>
      </c>
      <c r="P111" s="36">
        <f>IF($K111="","",INDEX('سجل التحفيز'!$D$5:$D$2004,MATCH($K111,'سجل التحفيز'!$T$5:$T$2004,0)))</f>
        <v/>
      </c>
      <c r="Q111" s="9">
        <f>IF($K111="","",INDEX('سجل التحفيز'!$E$5:$E$2004,MATCH($K111,'سجل التحفيز'!$T$5:$T$2004,0)))</f>
        <v/>
      </c>
      <c r="R111" s="9">
        <f>IF($K111="","",INDEX('سجل التحفيز'!$F$5:$F$2004,MATCH($K111,'سجل التحفيز'!$T$5:$T$2004,0)))</f>
        <v/>
      </c>
      <c r="S111" s="35">
        <f>IF($K111="","",INDEX('سجل التحفيز'!$G$5:$G$2004,MATCH($K111,'سجل التحفيز'!$T$5:$T$2004,0)))</f>
        <v/>
      </c>
    </row>
    <row r="112">
      <c r="B112" s="34">
        <f>IFERROR(INDEX(الموظفات!$B$5:$B$304,MATCH(75,الموظفات!$N$5:$N$304,0)),"")</f>
        <v/>
      </c>
      <c r="C112" s="34">
        <f>IF(B112="","",INDEX(الموظفات!$D$5:$D$304,MATCH(B112,الموظفات!$B$5:$B$304,0))&amp;"")</f>
        <v/>
      </c>
      <c r="D112" s="35">
        <f>IF(B112="","",COUNTIFS('سجل التحفيز'!$T$5:$T$2004,"&gt;0",'سجل التحفيز'!$B$5:$B$2004,B112))</f>
        <v/>
      </c>
      <c r="E112" s="35">
        <f>IF(B112="","",COUNTIFS('سجل التحفيز'!$T$5:$T$2004,"&gt;0",'سجل التحفيز'!$B$5:$B$2004,B112,'سجل التحفيز'!$D$5:$D$2004,"ذهبي"))</f>
        <v/>
      </c>
      <c r="F112" s="35">
        <f>IF(B112="","",SUMIFS('سجل التحفيز'!$G$5:$G$2004,'سجل التحفيز'!$T$5:$T$2004,"&gt;0",'سجل التحفيز'!$B$5:$B$2004,B112))</f>
        <v/>
      </c>
      <c r="G112" s="35">
        <f>IF(B112="","",COUNTIF($D$38:$D$187,"&gt;"&amp;D112)+1)</f>
        <v/>
      </c>
      <c r="H112" s="35">
        <f>IF(B112="","",INDEX(الموظفات!$L$5:$L$304,MATCH(B112,الموظفات!$B$5:$B$304,0)))</f>
        <v/>
      </c>
      <c r="K112" s="36">
        <f>IF(75&gt;$B$10,"",75)</f>
        <v/>
      </c>
      <c r="L112" s="37">
        <f>IF($K112="","",INDEX('سجل التحفيز'!$A$5:$A$2004,MATCH($K112,'سجل التحفيز'!$T$5:$T$2004,0)))</f>
        <v/>
      </c>
      <c r="M112" s="9">
        <f>IF($K112="","",INDEX('سجل التحفيز'!$B$5:$B$2004,MATCH($K112,'سجل التحفيز'!$T$5:$T$2004,0)))</f>
        <v/>
      </c>
      <c r="N112" s="9">
        <f>IF($K112="","",INDEX('سجل التحفيز'!$M$5:$M$2004,MATCH($K112,'سجل التحفيز'!$T$5:$T$2004,0)))</f>
        <v/>
      </c>
      <c r="O112" s="9">
        <f>IF($K112="","",INDEX('سجل التحفيز'!$C$5:$C$2004,MATCH($K112,'سجل التحفيز'!$T$5:$T$2004,0)))</f>
        <v/>
      </c>
      <c r="P112" s="36">
        <f>IF($K112="","",INDEX('سجل التحفيز'!$D$5:$D$2004,MATCH($K112,'سجل التحفيز'!$T$5:$T$2004,0)))</f>
        <v/>
      </c>
      <c r="Q112" s="9">
        <f>IF($K112="","",INDEX('سجل التحفيز'!$E$5:$E$2004,MATCH($K112,'سجل التحفيز'!$T$5:$T$2004,0)))</f>
        <v/>
      </c>
      <c r="R112" s="9">
        <f>IF($K112="","",INDEX('سجل التحفيز'!$F$5:$F$2004,MATCH($K112,'سجل التحفيز'!$T$5:$T$2004,0)))</f>
        <v/>
      </c>
      <c r="S112" s="35">
        <f>IF($K112="","",INDEX('سجل التحفيز'!$G$5:$G$2004,MATCH($K112,'سجل التحفيز'!$T$5:$T$2004,0)))</f>
        <v/>
      </c>
    </row>
    <row r="113">
      <c r="B113" s="34">
        <f>IFERROR(INDEX(الموظفات!$B$5:$B$304,MATCH(76,الموظفات!$N$5:$N$304,0)),"")</f>
        <v/>
      </c>
      <c r="C113" s="34">
        <f>IF(B113="","",INDEX(الموظفات!$D$5:$D$304,MATCH(B113,الموظفات!$B$5:$B$304,0))&amp;"")</f>
        <v/>
      </c>
      <c r="D113" s="35">
        <f>IF(B113="","",COUNTIFS('سجل التحفيز'!$T$5:$T$2004,"&gt;0",'سجل التحفيز'!$B$5:$B$2004,B113))</f>
        <v/>
      </c>
      <c r="E113" s="35">
        <f>IF(B113="","",COUNTIFS('سجل التحفيز'!$T$5:$T$2004,"&gt;0",'سجل التحفيز'!$B$5:$B$2004,B113,'سجل التحفيز'!$D$5:$D$2004,"ذهبي"))</f>
        <v/>
      </c>
      <c r="F113" s="35">
        <f>IF(B113="","",SUMIFS('سجل التحفيز'!$G$5:$G$2004,'سجل التحفيز'!$T$5:$T$2004,"&gt;0",'سجل التحفيز'!$B$5:$B$2004,B113))</f>
        <v/>
      </c>
      <c r="G113" s="35">
        <f>IF(B113="","",COUNTIF($D$38:$D$187,"&gt;"&amp;D113)+1)</f>
        <v/>
      </c>
      <c r="H113" s="35">
        <f>IF(B113="","",INDEX(الموظفات!$L$5:$L$304,MATCH(B113,الموظفات!$B$5:$B$304,0)))</f>
        <v/>
      </c>
      <c r="K113" s="36">
        <f>IF(76&gt;$B$10,"",76)</f>
        <v/>
      </c>
      <c r="L113" s="37">
        <f>IF($K113="","",INDEX('سجل التحفيز'!$A$5:$A$2004,MATCH($K113,'سجل التحفيز'!$T$5:$T$2004,0)))</f>
        <v/>
      </c>
      <c r="M113" s="9">
        <f>IF($K113="","",INDEX('سجل التحفيز'!$B$5:$B$2004,MATCH($K113,'سجل التحفيز'!$T$5:$T$2004,0)))</f>
        <v/>
      </c>
      <c r="N113" s="9">
        <f>IF($K113="","",INDEX('سجل التحفيز'!$M$5:$M$2004,MATCH($K113,'سجل التحفيز'!$T$5:$T$2004,0)))</f>
        <v/>
      </c>
      <c r="O113" s="9">
        <f>IF($K113="","",INDEX('سجل التحفيز'!$C$5:$C$2004,MATCH($K113,'سجل التحفيز'!$T$5:$T$2004,0)))</f>
        <v/>
      </c>
      <c r="P113" s="36">
        <f>IF($K113="","",INDEX('سجل التحفيز'!$D$5:$D$2004,MATCH($K113,'سجل التحفيز'!$T$5:$T$2004,0)))</f>
        <v/>
      </c>
      <c r="Q113" s="9">
        <f>IF($K113="","",INDEX('سجل التحفيز'!$E$5:$E$2004,MATCH($K113,'سجل التحفيز'!$T$5:$T$2004,0)))</f>
        <v/>
      </c>
      <c r="R113" s="9">
        <f>IF($K113="","",INDEX('سجل التحفيز'!$F$5:$F$2004,MATCH($K113,'سجل التحفيز'!$T$5:$T$2004,0)))</f>
        <v/>
      </c>
      <c r="S113" s="35">
        <f>IF($K113="","",INDEX('سجل التحفيز'!$G$5:$G$2004,MATCH($K113,'سجل التحفيز'!$T$5:$T$2004,0)))</f>
        <v/>
      </c>
    </row>
    <row r="114">
      <c r="B114" s="34">
        <f>IFERROR(INDEX(الموظفات!$B$5:$B$304,MATCH(77,الموظفات!$N$5:$N$304,0)),"")</f>
        <v/>
      </c>
      <c r="C114" s="34">
        <f>IF(B114="","",INDEX(الموظفات!$D$5:$D$304,MATCH(B114,الموظفات!$B$5:$B$304,0))&amp;"")</f>
        <v/>
      </c>
      <c r="D114" s="35">
        <f>IF(B114="","",COUNTIFS('سجل التحفيز'!$T$5:$T$2004,"&gt;0",'سجل التحفيز'!$B$5:$B$2004,B114))</f>
        <v/>
      </c>
      <c r="E114" s="35">
        <f>IF(B114="","",COUNTIFS('سجل التحفيز'!$T$5:$T$2004,"&gt;0",'سجل التحفيز'!$B$5:$B$2004,B114,'سجل التحفيز'!$D$5:$D$2004,"ذهبي"))</f>
        <v/>
      </c>
      <c r="F114" s="35">
        <f>IF(B114="","",SUMIFS('سجل التحفيز'!$G$5:$G$2004,'سجل التحفيز'!$T$5:$T$2004,"&gt;0",'سجل التحفيز'!$B$5:$B$2004,B114))</f>
        <v/>
      </c>
      <c r="G114" s="35">
        <f>IF(B114="","",COUNTIF($D$38:$D$187,"&gt;"&amp;D114)+1)</f>
        <v/>
      </c>
      <c r="H114" s="35">
        <f>IF(B114="","",INDEX(الموظفات!$L$5:$L$304,MATCH(B114,الموظفات!$B$5:$B$304,0)))</f>
        <v/>
      </c>
      <c r="K114" s="36">
        <f>IF(77&gt;$B$10,"",77)</f>
        <v/>
      </c>
      <c r="L114" s="37">
        <f>IF($K114="","",INDEX('سجل التحفيز'!$A$5:$A$2004,MATCH($K114,'سجل التحفيز'!$T$5:$T$2004,0)))</f>
        <v/>
      </c>
      <c r="M114" s="9">
        <f>IF($K114="","",INDEX('سجل التحفيز'!$B$5:$B$2004,MATCH($K114,'سجل التحفيز'!$T$5:$T$2004,0)))</f>
        <v/>
      </c>
      <c r="N114" s="9">
        <f>IF($K114="","",INDEX('سجل التحفيز'!$M$5:$M$2004,MATCH($K114,'سجل التحفيز'!$T$5:$T$2004,0)))</f>
        <v/>
      </c>
      <c r="O114" s="9">
        <f>IF($K114="","",INDEX('سجل التحفيز'!$C$5:$C$2004,MATCH($K114,'سجل التحفيز'!$T$5:$T$2004,0)))</f>
        <v/>
      </c>
      <c r="P114" s="36">
        <f>IF($K114="","",INDEX('سجل التحفيز'!$D$5:$D$2004,MATCH($K114,'سجل التحفيز'!$T$5:$T$2004,0)))</f>
        <v/>
      </c>
      <c r="Q114" s="9">
        <f>IF($K114="","",INDEX('سجل التحفيز'!$E$5:$E$2004,MATCH($K114,'سجل التحفيز'!$T$5:$T$2004,0)))</f>
        <v/>
      </c>
      <c r="R114" s="9">
        <f>IF($K114="","",INDEX('سجل التحفيز'!$F$5:$F$2004,MATCH($K114,'سجل التحفيز'!$T$5:$T$2004,0)))</f>
        <v/>
      </c>
      <c r="S114" s="35">
        <f>IF($K114="","",INDEX('سجل التحفيز'!$G$5:$G$2004,MATCH($K114,'سجل التحفيز'!$T$5:$T$2004,0)))</f>
        <v/>
      </c>
    </row>
    <row r="115">
      <c r="B115" s="34">
        <f>IFERROR(INDEX(الموظفات!$B$5:$B$304,MATCH(78,الموظفات!$N$5:$N$304,0)),"")</f>
        <v/>
      </c>
      <c r="C115" s="34">
        <f>IF(B115="","",INDEX(الموظفات!$D$5:$D$304,MATCH(B115,الموظفات!$B$5:$B$304,0))&amp;"")</f>
        <v/>
      </c>
      <c r="D115" s="35">
        <f>IF(B115="","",COUNTIFS('سجل التحفيز'!$T$5:$T$2004,"&gt;0",'سجل التحفيز'!$B$5:$B$2004,B115))</f>
        <v/>
      </c>
      <c r="E115" s="35">
        <f>IF(B115="","",COUNTIFS('سجل التحفيز'!$T$5:$T$2004,"&gt;0",'سجل التحفيز'!$B$5:$B$2004,B115,'سجل التحفيز'!$D$5:$D$2004,"ذهبي"))</f>
        <v/>
      </c>
      <c r="F115" s="35">
        <f>IF(B115="","",SUMIFS('سجل التحفيز'!$G$5:$G$2004,'سجل التحفيز'!$T$5:$T$2004,"&gt;0",'سجل التحفيز'!$B$5:$B$2004,B115))</f>
        <v/>
      </c>
      <c r="G115" s="35">
        <f>IF(B115="","",COUNTIF($D$38:$D$187,"&gt;"&amp;D115)+1)</f>
        <v/>
      </c>
      <c r="H115" s="35">
        <f>IF(B115="","",INDEX(الموظفات!$L$5:$L$304,MATCH(B115,الموظفات!$B$5:$B$304,0)))</f>
        <v/>
      </c>
      <c r="K115" s="36">
        <f>IF(78&gt;$B$10,"",78)</f>
        <v/>
      </c>
      <c r="L115" s="37">
        <f>IF($K115="","",INDEX('سجل التحفيز'!$A$5:$A$2004,MATCH($K115,'سجل التحفيز'!$T$5:$T$2004,0)))</f>
        <v/>
      </c>
      <c r="M115" s="9">
        <f>IF($K115="","",INDEX('سجل التحفيز'!$B$5:$B$2004,MATCH($K115,'سجل التحفيز'!$T$5:$T$2004,0)))</f>
        <v/>
      </c>
      <c r="N115" s="9">
        <f>IF($K115="","",INDEX('سجل التحفيز'!$M$5:$M$2004,MATCH($K115,'سجل التحفيز'!$T$5:$T$2004,0)))</f>
        <v/>
      </c>
      <c r="O115" s="9">
        <f>IF($K115="","",INDEX('سجل التحفيز'!$C$5:$C$2004,MATCH($K115,'سجل التحفيز'!$T$5:$T$2004,0)))</f>
        <v/>
      </c>
      <c r="P115" s="36">
        <f>IF($K115="","",INDEX('سجل التحفيز'!$D$5:$D$2004,MATCH($K115,'سجل التحفيز'!$T$5:$T$2004,0)))</f>
        <v/>
      </c>
      <c r="Q115" s="9">
        <f>IF($K115="","",INDEX('سجل التحفيز'!$E$5:$E$2004,MATCH($K115,'سجل التحفيز'!$T$5:$T$2004,0)))</f>
        <v/>
      </c>
      <c r="R115" s="9">
        <f>IF($K115="","",INDEX('سجل التحفيز'!$F$5:$F$2004,MATCH($K115,'سجل التحفيز'!$T$5:$T$2004,0)))</f>
        <v/>
      </c>
      <c r="S115" s="35">
        <f>IF($K115="","",INDEX('سجل التحفيز'!$G$5:$G$2004,MATCH($K115,'سجل التحفيز'!$T$5:$T$2004,0)))</f>
        <v/>
      </c>
    </row>
    <row r="116">
      <c r="B116" s="34">
        <f>IFERROR(INDEX(الموظفات!$B$5:$B$304,MATCH(79,الموظفات!$N$5:$N$304,0)),"")</f>
        <v/>
      </c>
      <c r="C116" s="34">
        <f>IF(B116="","",INDEX(الموظفات!$D$5:$D$304,MATCH(B116,الموظفات!$B$5:$B$304,0))&amp;"")</f>
        <v/>
      </c>
      <c r="D116" s="35">
        <f>IF(B116="","",COUNTIFS('سجل التحفيز'!$T$5:$T$2004,"&gt;0",'سجل التحفيز'!$B$5:$B$2004,B116))</f>
        <v/>
      </c>
      <c r="E116" s="35">
        <f>IF(B116="","",COUNTIFS('سجل التحفيز'!$T$5:$T$2004,"&gt;0",'سجل التحفيز'!$B$5:$B$2004,B116,'سجل التحفيز'!$D$5:$D$2004,"ذهبي"))</f>
        <v/>
      </c>
      <c r="F116" s="35">
        <f>IF(B116="","",SUMIFS('سجل التحفيز'!$G$5:$G$2004,'سجل التحفيز'!$T$5:$T$2004,"&gt;0",'سجل التحفيز'!$B$5:$B$2004,B116))</f>
        <v/>
      </c>
      <c r="G116" s="35">
        <f>IF(B116="","",COUNTIF($D$38:$D$187,"&gt;"&amp;D116)+1)</f>
        <v/>
      </c>
      <c r="H116" s="35">
        <f>IF(B116="","",INDEX(الموظفات!$L$5:$L$304,MATCH(B116,الموظفات!$B$5:$B$304,0)))</f>
        <v/>
      </c>
      <c r="K116" s="36">
        <f>IF(79&gt;$B$10,"",79)</f>
        <v/>
      </c>
      <c r="L116" s="37">
        <f>IF($K116="","",INDEX('سجل التحفيز'!$A$5:$A$2004,MATCH($K116,'سجل التحفيز'!$T$5:$T$2004,0)))</f>
        <v/>
      </c>
      <c r="M116" s="9">
        <f>IF($K116="","",INDEX('سجل التحفيز'!$B$5:$B$2004,MATCH($K116,'سجل التحفيز'!$T$5:$T$2004,0)))</f>
        <v/>
      </c>
      <c r="N116" s="9">
        <f>IF($K116="","",INDEX('سجل التحفيز'!$M$5:$M$2004,MATCH($K116,'سجل التحفيز'!$T$5:$T$2004,0)))</f>
        <v/>
      </c>
      <c r="O116" s="9">
        <f>IF($K116="","",INDEX('سجل التحفيز'!$C$5:$C$2004,MATCH($K116,'سجل التحفيز'!$T$5:$T$2004,0)))</f>
        <v/>
      </c>
      <c r="P116" s="36">
        <f>IF($K116="","",INDEX('سجل التحفيز'!$D$5:$D$2004,MATCH($K116,'سجل التحفيز'!$T$5:$T$2004,0)))</f>
        <v/>
      </c>
      <c r="Q116" s="9">
        <f>IF($K116="","",INDEX('سجل التحفيز'!$E$5:$E$2004,MATCH($K116,'سجل التحفيز'!$T$5:$T$2004,0)))</f>
        <v/>
      </c>
      <c r="R116" s="9">
        <f>IF($K116="","",INDEX('سجل التحفيز'!$F$5:$F$2004,MATCH($K116,'سجل التحفيز'!$T$5:$T$2004,0)))</f>
        <v/>
      </c>
      <c r="S116" s="35">
        <f>IF($K116="","",INDEX('سجل التحفيز'!$G$5:$G$2004,MATCH($K116,'سجل التحفيز'!$T$5:$T$2004,0)))</f>
        <v/>
      </c>
    </row>
    <row r="117">
      <c r="B117" s="34">
        <f>IFERROR(INDEX(الموظفات!$B$5:$B$304,MATCH(80,الموظفات!$N$5:$N$304,0)),"")</f>
        <v/>
      </c>
      <c r="C117" s="34">
        <f>IF(B117="","",INDEX(الموظفات!$D$5:$D$304,MATCH(B117,الموظفات!$B$5:$B$304,0))&amp;"")</f>
        <v/>
      </c>
      <c r="D117" s="35">
        <f>IF(B117="","",COUNTIFS('سجل التحفيز'!$T$5:$T$2004,"&gt;0",'سجل التحفيز'!$B$5:$B$2004,B117))</f>
        <v/>
      </c>
      <c r="E117" s="35">
        <f>IF(B117="","",COUNTIFS('سجل التحفيز'!$T$5:$T$2004,"&gt;0",'سجل التحفيز'!$B$5:$B$2004,B117,'سجل التحفيز'!$D$5:$D$2004,"ذهبي"))</f>
        <v/>
      </c>
      <c r="F117" s="35">
        <f>IF(B117="","",SUMIFS('سجل التحفيز'!$G$5:$G$2004,'سجل التحفيز'!$T$5:$T$2004,"&gt;0",'سجل التحفيز'!$B$5:$B$2004,B117))</f>
        <v/>
      </c>
      <c r="G117" s="35">
        <f>IF(B117="","",COUNTIF($D$38:$D$187,"&gt;"&amp;D117)+1)</f>
        <v/>
      </c>
      <c r="H117" s="35">
        <f>IF(B117="","",INDEX(الموظفات!$L$5:$L$304,MATCH(B117,الموظفات!$B$5:$B$304,0)))</f>
        <v/>
      </c>
      <c r="K117" s="36">
        <f>IF(80&gt;$B$10,"",80)</f>
        <v/>
      </c>
      <c r="L117" s="37">
        <f>IF($K117="","",INDEX('سجل التحفيز'!$A$5:$A$2004,MATCH($K117,'سجل التحفيز'!$T$5:$T$2004,0)))</f>
        <v/>
      </c>
      <c r="M117" s="9">
        <f>IF($K117="","",INDEX('سجل التحفيز'!$B$5:$B$2004,MATCH($K117,'سجل التحفيز'!$T$5:$T$2004,0)))</f>
        <v/>
      </c>
      <c r="N117" s="9">
        <f>IF($K117="","",INDEX('سجل التحفيز'!$M$5:$M$2004,MATCH($K117,'سجل التحفيز'!$T$5:$T$2004,0)))</f>
        <v/>
      </c>
      <c r="O117" s="9">
        <f>IF($K117="","",INDEX('سجل التحفيز'!$C$5:$C$2004,MATCH($K117,'سجل التحفيز'!$T$5:$T$2004,0)))</f>
        <v/>
      </c>
      <c r="P117" s="36">
        <f>IF($K117="","",INDEX('سجل التحفيز'!$D$5:$D$2004,MATCH($K117,'سجل التحفيز'!$T$5:$T$2004,0)))</f>
        <v/>
      </c>
      <c r="Q117" s="9">
        <f>IF($K117="","",INDEX('سجل التحفيز'!$E$5:$E$2004,MATCH($K117,'سجل التحفيز'!$T$5:$T$2004,0)))</f>
        <v/>
      </c>
      <c r="R117" s="9">
        <f>IF($K117="","",INDEX('سجل التحفيز'!$F$5:$F$2004,MATCH($K117,'سجل التحفيز'!$T$5:$T$2004,0)))</f>
        <v/>
      </c>
      <c r="S117" s="35">
        <f>IF($K117="","",INDEX('سجل التحفيز'!$G$5:$G$2004,MATCH($K117,'سجل التحفيز'!$T$5:$T$2004,0)))</f>
        <v/>
      </c>
    </row>
    <row r="118">
      <c r="B118" s="34">
        <f>IFERROR(INDEX(الموظفات!$B$5:$B$304,MATCH(81,الموظفات!$N$5:$N$304,0)),"")</f>
        <v/>
      </c>
      <c r="C118" s="34">
        <f>IF(B118="","",INDEX(الموظفات!$D$5:$D$304,MATCH(B118,الموظفات!$B$5:$B$304,0))&amp;"")</f>
        <v/>
      </c>
      <c r="D118" s="35">
        <f>IF(B118="","",COUNTIFS('سجل التحفيز'!$T$5:$T$2004,"&gt;0",'سجل التحفيز'!$B$5:$B$2004,B118))</f>
        <v/>
      </c>
      <c r="E118" s="35">
        <f>IF(B118="","",COUNTIFS('سجل التحفيز'!$T$5:$T$2004,"&gt;0",'سجل التحفيز'!$B$5:$B$2004,B118,'سجل التحفيز'!$D$5:$D$2004,"ذهبي"))</f>
        <v/>
      </c>
      <c r="F118" s="35">
        <f>IF(B118="","",SUMIFS('سجل التحفيز'!$G$5:$G$2004,'سجل التحفيز'!$T$5:$T$2004,"&gt;0",'سجل التحفيز'!$B$5:$B$2004,B118))</f>
        <v/>
      </c>
      <c r="G118" s="35">
        <f>IF(B118="","",COUNTIF($D$38:$D$187,"&gt;"&amp;D118)+1)</f>
        <v/>
      </c>
      <c r="H118" s="35">
        <f>IF(B118="","",INDEX(الموظفات!$L$5:$L$304,MATCH(B118,الموظفات!$B$5:$B$304,0)))</f>
        <v/>
      </c>
      <c r="K118" s="36">
        <f>IF(81&gt;$B$10,"",81)</f>
        <v/>
      </c>
      <c r="L118" s="37">
        <f>IF($K118="","",INDEX('سجل التحفيز'!$A$5:$A$2004,MATCH($K118,'سجل التحفيز'!$T$5:$T$2004,0)))</f>
        <v/>
      </c>
      <c r="M118" s="9">
        <f>IF($K118="","",INDEX('سجل التحفيز'!$B$5:$B$2004,MATCH($K118,'سجل التحفيز'!$T$5:$T$2004,0)))</f>
        <v/>
      </c>
      <c r="N118" s="9">
        <f>IF($K118="","",INDEX('سجل التحفيز'!$M$5:$M$2004,MATCH($K118,'سجل التحفيز'!$T$5:$T$2004,0)))</f>
        <v/>
      </c>
      <c r="O118" s="9">
        <f>IF($K118="","",INDEX('سجل التحفيز'!$C$5:$C$2004,MATCH($K118,'سجل التحفيز'!$T$5:$T$2004,0)))</f>
        <v/>
      </c>
      <c r="P118" s="36">
        <f>IF($K118="","",INDEX('سجل التحفيز'!$D$5:$D$2004,MATCH($K118,'سجل التحفيز'!$T$5:$T$2004,0)))</f>
        <v/>
      </c>
      <c r="Q118" s="9">
        <f>IF($K118="","",INDEX('سجل التحفيز'!$E$5:$E$2004,MATCH($K118,'سجل التحفيز'!$T$5:$T$2004,0)))</f>
        <v/>
      </c>
      <c r="R118" s="9">
        <f>IF($K118="","",INDEX('سجل التحفيز'!$F$5:$F$2004,MATCH($K118,'سجل التحفيز'!$T$5:$T$2004,0)))</f>
        <v/>
      </c>
      <c r="S118" s="35">
        <f>IF($K118="","",INDEX('سجل التحفيز'!$G$5:$G$2004,MATCH($K118,'سجل التحفيز'!$T$5:$T$2004,0)))</f>
        <v/>
      </c>
    </row>
    <row r="119">
      <c r="B119" s="34">
        <f>IFERROR(INDEX(الموظفات!$B$5:$B$304,MATCH(82,الموظفات!$N$5:$N$304,0)),"")</f>
        <v/>
      </c>
      <c r="C119" s="34">
        <f>IF(B119="","",INDEX(الموظفات!$D$5:$D$304,MATCH(B119,الموظفات!$B$5:$B$304,0))&amp;"")</f>
        <v/>
      </c>
      <c r="D119" s="35">
        <f>IF(B119="","",COUNTIFS('سجل التحفيز'!$T$5:$T$2004,"&gt;0",'سجل التحفيز'!$B$5:$B$2004,B119))</f>
        <v/>
      </c>
      <c r="E119" s="35">
        <f>IF(B119="","",COUNTIFS('سجل التحفيز'!$T$5:$T$2004,"&gt;0",'سجل التحفيز'!$B$5:$B$2004,B119,'سجل التحفيز'!$D$5:$D$2004,"ذهبي"))</f>
        <v/>
      </c>
      <c r="F119" s="35">
        <f>IF(B119="","",SUMIFS('سجل التحفيز'!$G$5:$G$2004,'سجل التحفيز'!$T$5:$T$2004,"&gt;0",'سجل التحفيز'!$B$5:$B$2004,B119))</f>
        <v/>
      </c>
      <c r="G119" s="35">
        <f>IF(B119="","",COUNTIF($D$38:$D$187,"&gt;"&amp;D119)+1)</f>
        <v/>
      </c>
      <c r="H119" s="35">
        <f>IF(B119="","",INDEX(الموظفات!$L$5:$L$304,MATCH(B119,الموظفات!$B$5:$B$304,0)))</f>
        <v/>
      </c>
      <c r="K119" s="36">
        <f>IF(82&gt;$B$10,"",82)</f>
        <v/>
      </c>
      <c r="L119" s="37">
        <f>IF($K119="","",INDEX('سجل التحفيز'!$A$5:$A$2004,MATCH($K119,'سجل التحفيز'!$T$5:$T$2004,0)))</f>
        <v/>
      </c>
      <c r="M119" s="9">
        <f>IF($K119="","",INDEX('سجل التحفيز'!$B$5:$B$2004,MATCH($K119,'سجل التحفيز'!$T$5:$T$2004,0)))</f>
        <v/>
      </c>
      <c r="N119" s="9">
        <f>IF($K119="","",INDEX('سجل التحفيز'!$M$5:$M$2004,MATCH($K119,'سجل التحفيز'!$T$5:$T$2004,0)))</f>
        <v/>
      </c>
      <c r="O119" s="9">
        <f>IF($K119="","",INDEX('سجل التحفيز'!$C$5:$C$2004,MATCH($K119,'سجل التحفيز'!$T$5:$T$2004,0)))</f>
        <v/>
      </c>
      <c r="P119" s="36">
        <f>IF($K119="","",INDEX('سجل التحفيز'!$D$5:$D$2004,MATCH($K119,'سجل التحفيز'!$T$5:$T$2004,0)))</f>
        <v/>
      </c>
      <c r="Q119" s="9">
        <f>IF($K119="","",INDEX('سجل التحفيز'!$E$5:$E$2004,MATCH($K119,'سجل التحفيز'!$T$5:$T$2004,0)))</f>
        <v/>
      </c>
      <c r="R119" s="9">
        <f>IF($K119="","",INDEX('سجل التحفيز'!$F$5:$F$2004,MATCH($K119,'سجل التحفيز'!$T$5:$T$2004,0)))</f>
        <v/>
      </c>
      <c r="S119" s="35">
        <f>IF($K119="","",INDEX('سجل التحفيز'!$G$5:$G$2004,MATCH($K119,'سجل التحفيز'!$T$5:$T$2004,0)))</f>
        <v/>
      </c>
    </row>
    <row r="120">
      <c r="B120" s="34">
        <f>IFERROR(INDEX(الموظفات!$B$5:$B$304,MATCH(83,الموظفات!$N$5:$N$304,0)),"")</f>
        <v/>
      </c>
      <c r="C120" s="34">
        <f>IF(B120="","",INDEX(الموظفات!$D$5:$D$304,MATCH(B120,الموظفات!$B$5:$B$304,0))&amp;"")</f>
        <v/>
      </c>
      <c r="D120" s="35">
        <f>IF(B120="","",COUNTIFS('سجل التحفيز'!$T$5:$T$2004,"&gt;0",'سجل التحفيز'!$B$5:$B$2004,B120))</f>
        <v/>
      </c>
      <c r="E120" s="35">
        <f>IF(B120="","",COUNTIFS('سجل التحفيز'!$T$5:$T$2004,"&gt;0",'سجل التحفيز'!$B$5:$B$2004,B120,'سجل التحفيز'!$D$5:$D$2004,"ذهبي"))</f>
        <v/>
      </c>
      <c r="F120" s="35">
        <f>IF(B120="","",SUMIFS('سجل التحفيز'!$G$5:$G$2004,'سجل التحفيز'!$T$5:$T$2004,"&gt;0",'سجل التحفيز'!$B$5:$B$2004,B120))</f>
        <v/>
      </c>
      <c r="G120" s="35">
        <f>IF(B120="","",COUNTIF($D$38:$D$187,"&gt;"&amp;D120)+1)</f>
        <v/>
      </c>
      <c r="H120" s="35">
        <f>IF(B120="","",INDEX(الموظفات!$L$5:$L$304,MATCH(B120,الموظفات!$B$5:$B$304,0)))</f>
        <v/>
      </c>
      <c r="K120" s="36">
        <f>IF(83&gt;$B$10,"",83)</f>
        <v/>
      </c>
      <c r="L120" s="37">
        <f>IF($K120="","",INDEX('سجل التحفيز'!$A$5:$A$2004,MATCH($K120,'سجل التحفيز'!$T$5:$T$2004,0)))</f>
        <v/>
      </c>
      <c r="M120" s="9">
        <f>IF($K120="","",INDEX('سجل التحفيز'!$B$5:$B$2004,MATCH($K120,'سجل التحفيز'!$T$5:$T$2004,0)))</f>
        <v/>
      </c>
      <c r="N120" s="9">
        <f>IF($K120="","",INDEX('سجل التحفيز'!$M$5:$M$2004,MATCH($K120,'سجل التحفيز'!$T$5:$T$2004,0)))</f>
        <v/>
      </c>
      <c r="O120" s="9">
        <f>IF($K120="","",INDEX('سجل التحفيز'!$C$5:$C$2004,MATCH($K120,'سجل التحفيز'!$T$5:$T$2004,0)))</f>
        <v/>
      </c>
      <c r="P120" s="36">
        <f>IF($K120="","",INDEX('سجل التحفيز'!$D$5:$D$2004,MATCH($K120,'سجل التحفيز'!$T$5:$T$2004,0)))</f>
        <v/>
      </c>
      <c r="Q120" s="9">
        <f>IF($K120="","",INDEX('سجل التحفيز'!$E$5:$E$2004,MATCH($K120,'سجل التحفيز'!$T$5:$T$2004,0)))</f>
        <v/>
      </c>
      <c r="R120" s="9">
        <f>IF($K120="","",INDEX('سجل التحفيز'!$F$5:$F$2004,MATCH($K120,'سجل التحفيز'!$T$5:$T$2004,0)))</f>
        <v/>
      </c>
      <c r="S120" s="35">
        <f>IF($K120="","",INDEX('سجل التحفيز'!$G$5:$G$2004,MATCH($K120,'سجل التحفيز'!$T$5:$T$2004,0)))</f>
        <v/>
      </c>
    </row>
    <row r="121">
      <c r="B121" s="34">
        <f>IFERROR(INDEX(الموظفات!$B$5:$B$304,MATCH(84,الموظفات!$N$5:$N$304,0)),"")</f>
        <v/>
      </c>
      <c r="C121" s="34">
        <f>IF(B121="","",INDEX(الموظفات!$D$5:$D$304,MATCH(B121,الموظفات!$B$5:$B$304,0))&amp;"")</f>
        <v/>
      </c>
      <c r="D121" s="35">
        <f>IF(B121="","",COUNTIFS('سجل التحفيز'!$T$5:$T$2004,"&gt;0",'سجل التحفيز'!$B$5:$B$2004,B121))</f>
        <v/>
      </c>
      <c r="E121" s="35">
        <f>IF(B121="","",COUNTIFS('سجل التحفيز'!$T$5:$T$2004,"&gt;0",'سجل التحفيز'!$B$5:$B$2004,B121,'سجل التحفيز'!$D$5:$D$2004,"ذهبي"))</f>
        <v/>
      </c>
      <c r="F121" s="35">
        <f>IF(B121="","",SUMIFS('سجل التحفيز'!$G$5:$G$2004,'سجل التحفيز'!$T$5:$T$2004,"&gt;0",'سجل التحفيز'!$B$5:$B$2004,B121))</f>
        <v/>
      </c>
      <c r="G121" s="35">
        <f>IF(B121="","",COUNTIF($D$38:$D$187,"&gt;"&amp;D121)+1)</f>
        <v/>
      </c>
      <c r="H121" s="35">
        <f>IF(B121="","",INDEX(الموظفات!$L$5:$L$304,MATCH(B121,الموظفات!$B$5:$B$304,0)))</f>
        <v/>
      </c>
      <c r="K121" s="36">
        <f>IF(84&gt;$B$10,"",84)</f>
        <v/>
      </c>
      <c r="L121" s="37">
        <f>IF($K121="","",INDEX('سجل التحفيز'!$A$5:$A$2004,MATCH($K121,'سجل التحفيز'!$T$5:$T$2004,0)))</f>
        <v/>
      </c>
      <c r="M121" s="9">
        <f>IF($K121="","",INDEX('سجل التحفيز'!$B$5:$B$2004,MATCH($K121,'سجل التحفيز'!$T$5:$T$2004,0)))</f>
        <v/>
      </c>
      <c r="N121" s="9">
        <f>IF($K121="","",INDEX('سجل التحفيز'!$M$5:$M$2004,MATCH($K121,'سجل التحفيز'!$T$5:$T$2004,0)))</f>
        <v/>
      </c>
      <c r="O121" s="9">
        <f>IF($K121="","",INDEX('سجل التحفيز'!$C$5:$C$2004,MATCH($K121,'سجل التحفيز'!$T$5:$T$2004,0)))</f>
        <v/>
      </c>
      <c r="P121" s="36">
        <f>IF($K121="","",INDEX('سجل التحفيز'!$D$5:$D$2004,MATCH($K121,'سجل التحفيز'!$T$5:$T$2004,0)))</f>
        <v/>
      </c>
      <c r="Q121" s="9">
        <f>IF($K121="","",INDEX('سجل التحفيز'!$E$5:$E$2004,MATCH($K121,'سجل التحفيز'!$T$5:$T$2004,0)))</f>
        <v/>
      </c>
      <c r="R121" s="9">
        <f>IF($K121="","",INDEX('سجل التحفيز'!$F$5:$F$2004,MATCH($K121,'سجل التحفيز'!$T$5:$T$2004,0)))</f>
        <v/>
      </c>
      <c r="S121" s="35">
        <f>IF($K121="","",INDEX('سجل التحفيز'!$G$5:$G$2004,MATCH($K121,'سجل التحفيز'!$T$5:$T$2004,0)))</f>
        <v/>
      </c>
    </row>
    <row r="122">
      <c r="B122" s="34">
        <f>IFERROR(INDEX(الموظفات!$B$5:$B$304,MATCH(85,الموظفات!$N$5:$N$304,0)),"")</f>
        <v/>
      </c>
      <c r="C122" s="34">
        <f>IF(B122="","",INDEX(الموظفات!$D$5:$D$304,MATCH(B122,الموظفات!$B$5:$B$304,0))&amp;"")</f>
        <v/>
      </c>
      <c r="D122" s="35">
        <f>IF(B122="","",COUNTIFS('سجل التحفيز'!$T$5:$T$2004,"&gt;0",'سجل التحفيز'!$B$5:$B$2004,B122))</f>
        <v/>
      </c>
      <c r="E122" s="35">
        <f>IF(B122="","",COUNTIFS('سجل التحفيز'!$T$5:$T$2004,"&gt;0",'سجل التحفيز'!$B$5:$B$2004,B122,'سجل التحفيز'!$D$5:$D$2004,"ذهبي"))</f>
        <v/>
      </c>
      <c r="F122" s="35">
        <f>IF(B122="","",SUMIFS('سجل التحفيز'!$G$5:$G$2004,'سجل التحفيز'!$T$5:$T$2004,"&gt;0",'سجل التحفيز'!$B$5:$B$2004,B122))</f>
        <v/>
      </c>
      <c r="G122" s="35">
        <f>IF(B122="","",COUNTIF($D$38:$D$187,"&gt;"&amp;D122)+1)</f>
        <v/>
      </c>
      <c r="H122" s="35">
        <f>IF(B122="","",INDEX(الموظفات!$L$5:$L$304,MATCH(B122,الموظفات!$B$5:$B$304,0)))</f>
        <v/>
      </c>
      <c r="K122" s="36">
        <f>IF(85&gt;$B$10,"",85)</f>
        <v/>
      </c>
      <c r="L122" s="37">
        <f>IF($K122="","",INDEX('سجل التحفيز'!$A$5:$A$2004,MATCH($K122,'سجل التحفيز'!$T$5:$T$2004,0)))</f>
        <v/>
      </c>
      <c r="M122" s="9">
        <f>IF($K122="","",INDEX('سجل التحفيز'!$B$5:$B$2004,MATCH($K122,'سجل التحفيز'!$T$5:$T$2004,0)))</f>
        <v/>
      </c>
      <c r="N122" s="9">
        <f>IF($K122="","",INDEX('سجل التحفيز'!$M$5:$M$2004,MATCH($K122,'سجل التحفيز'!$T$5:$T$2004,0)))</f>
        <v/>
      </c>
      <c r="O122" s="9">
        <f>IF($K122="","",INDEX('سجل التحفيز'!$C$5:$C$2004,MATCH($K122,'سجل التحفيز'!$T$5:$T$2004,0)))</f>
        <v/>
      </c>
      <c r="P122" s="36">
        <f>IF($K122="","",INDEX('سجل التحفيز'!$D$5:$D$2004,MATCH($K122,'سجل التحفيز'!$T$5:$T$2004,0)))</f>
        <v/>
      </c>
      <c r="Q122" s="9">
        <f>IF($K122="","",INDEX('سجل التحفيز'!$E$5:$E$2004,MATCH($K122,'سجل التحفيز'!$T$5:$T$2004,0)))</f>
        <v/>
      </c>
      <c r="R122" s="9">
        <f>IF($K122="","",INDEX('سجل التحفيز'!$F$5:$F$2004,MATCH($K122,'سجل التحفيز'!$T$5:$T$2004,0)))</f>
        <v/>
      </c>
      <c r="S122" s="35">
        <f>IF($K122="","",INDEX('سجل التحفيز'!$G$5:$G$2004,MATCH($K122,'سجل التحفيز'!$T$5:$T$2004,0)))</f>
        <v/>
      </c>
    </row>
    <row r="123">
      <c r="B123" s="34">
        <f>IFERROR(INDEX(الموظفات!$B$5:$B$304,MATCH(86,الموظفات!$N$5:$N$304,0)),"")</f>
        <v/>
      </c>
      <c r="C123" s="34">
        <f>IF(B123="","",INDEX(الموظفات!$D$5:$D$304,MATCH(B123,الموظفات!$B$5:$B$304,0))&amp;"")</f>
        <v/>
      </c>
      <c r="D123" s="35">
        <f>IF(B123="","",COUNTIFS('سجل التحفيز'!$T$5:$T$2004,"&gt;0",'سجل التحفيز'!$B$5:$B$2004,B123))</f>
        <v/>
      </c>
      <c r="E123" s="35">
        <f>IF(B123="","",COUNTIFS('سجل التحفيز'!$T$5:$T$2004,"&gt;0",'سجل التحفيز'!$B$5:$B$2004,B123,'سجل التحفيز'!$D$5:$D$2004,"ذهبي"))</f>
        <v/>
      </c>
      <c r="F123" s="35">
        <f>IF(B123="","",SUMIFS('سجل التحفيز'!$G$5:$G$2004,'سجل التحفيز'!$T$5:$T$2004,"&gt;0",'سجل التحفيز'!$B$5:$B$2004,B123))</f>
        <v/>
      </c>
      <c r="G123" s="35">
        <f>IF(B123="","",COUNTIF($D$38:$D$187,"&gt;"&amp;D123)+1)</f>
        <v/>
      </c>
      <c r="H123" s="35">
        <f>IF(B123="","",INDEX(الموظفات!$L$5:$L$304,MATCH(B123,الموظفات!$B$5:$B$304,0)))</f>
        <v/>
      </c>
      <c r="K123" s="36">
        <f>IF(86&gt;$B$10,"",86)</f>
        <v/>
      </c>
      <c r="L123" s="37">
        <f>IF($K123="","",INDEX('سجل التحفيز'!$A$5:$A$2004,MATCH($K123,'سجل التحفيز'!$T$5:$T$2004,0)))</f>
        <v/>
      </c>
      <c r="M123" s="9">
        <f>IF($K123="","",INDEX('سجل التحفيز'!$B$5:$B$2004,MATCH($K123,'سجل التحفيز'!$T$5:$T$2004,0)))</f>
        <v/>
      </c>
      <c r="N123" s="9">
        <f>IF($K123="","",INDEX('سجل التحفيز'!$M$5:$M$2004,MATCH($K123,'سجل التحفيز'!$T$5:$T$2004,0)))</f>
        <v/>
      </c>
      <c r="O123" s="9">
        <f>IF($K123="","",INDEX('سجل التحفيز'!$C$5:$C$2004,MATCH($K123,'سجل التحفيز'!$T$5:$T$2004,0)))</f>
        <v/>
      </c>
      <c r="P123" s="36">
        <f>IF($K123="","",INDEX('سجل التحفيز'!$D$5:$D$2004,MATCH($K123,'سجل التحفيز'!$T$5:$T$2004,0)))</f>
        <v/>
      </c>
      <c r="Q123" s="9">
        <f>IF($K123="","",INDEX('سجل التحفيز'!$E$5:$E$2004,MATCH($K123,'سجل التحفيز'!$T$5:$T$2004,0)))</f>
        <v/>
      </c>
      <c r="R123" s="9">
        <f>IF($K123="","",INDEX('سجل التحفيز'!$F$5:$F$2004,MATCH($K123,'سجل التحفيز'!$T$5:$T$2004,0)))</f>
        <v/>
      </c>
      <c r="S123" s="35">
        <f>IF($K123="","",INDEX('سجل التحفيز'!$G$5:$G$2004,MATCH($K123,'سجل التحفيز'!$T$5:$T$2004,0)))</f>
        <v/>
      </c>
    </row>
    <row r="124">
      <c r="B124" s="34">
        <f>IFERROR(INDEX(الموظفات!$B$5:$B$304,MATCH(87,الموظفات!$N$5:$N$304,0)),"")</f>
        <v/>
      </c>
      <c r="C124" s="34">
        <f>IF(B124="","",INDEX(الموظفات!$D$5:$D$304,MATCH(B124,الموظفات!$B$5:$B$304,0))&amp;"")</f>
        <v/>
      </c>
      <c r="D124" s="35">
        <f>IF(B124="","",COUNTIFS('سجل التحفيز'!$T$5:$T$2004,"&gt;0",'سجل التحفيز'!$B$5:$B$2004,B124))</f>
        <v/>
      </c>
      <c r="E124" s="35">
        <f>IF(B124="","",COUNTIFS('سجل التحفيز'!$T$5:$T$2004,"&gt;0",'سجل التحفيز'!$B$5:$B$2004,B124,'سجل التحفيز'!$D$5:$D$2004,"ذهبي"))</f>
        <v/>
      </c>
      <c r="F124" s="35">
        <f>IF(B124="","",SUMIFS('سجل التحفيز'!$G$5:$G$2004,'سجل التحفيز'!$T$5:$T$2004,"&gt;0",'سجل التحفيز'!$B$5:$B$2004,B124))</f>
        <v/>
      </c>
      <c r="G124" s="35">
        <f>IF(B124="","",COUNTIF($D$38:$D$187,"&gt;"&amp;D124)+1)</f>
        <v/>
      </c>
      <c r="H124" s="35">
        <f>IF(B124="","",INDEX(الموظفات!$L$5:$L$304,MATCH(B124,الموظفات!$B$5:$B$304,0)))</f>
        <v/>
      </c>
      <c r="K124" s="36">
        <f>IF(87&gt;$B$10,"",87)</f>
        <v/>
      </c>
      <c r="L124" s="37">
        <f>IF($K124="","",INDEX('سجل التحفيز'!$A$5:$A$2004,MATCH($K124,'سجل التحفيز'!$T$5:$T$2004,0)))</f>
        <v/>
      </c>
      <c r="M124" s="9">
        <f>IF($K124="","",INDEX('سجل التحفيز'!$B$5:$B$2004,MATCH($K124,'سجل التحفيز'!$T$5:$T$2004,0)))</f>
        <v/>
      </c>
      <c r="N124" s="9">
        <f>IF($K124="","",INDEX('سجل التحفيز'!$M$5:$M$2004,MATCH($K124,'سجل التحفيز'!$T$5:$T$2004,0)))</f>
        <v/>
      </c>
      <c r="O124" s="9">
        <f>IF($K124="","",INDEX('سجل التحفيز'!$C$5:$C$2004,MATCH($K124,'سجل التحفيز'!$T$5:$T$2004,0)))</f>
        <v/>
      </c>
      <c r="P124" s="36">
        <f>IF($K124="","",INDEX('سجل التحفيز'!$D$5:$D$2004,MATCH($K124,'سجل التحفيز'!$T$5:$T$2004,0)))</f>
        <v/>
      </c>
      <c r="Q124" s="9">
        <f>IF($K124="","",INDEX('سجل التحفيز'!$E$5:$E$2004,MATCH($K124,'سجل التحفيز'!$T$5:$T$2004,0)))</f>
        <v/>
      </c>
      <c r="R124" s="9">
        <f>IF($K124="","",INDEX('سجل التحفيز'!$F$5:$F$2004,MATCH($K124,'سجل التحفيز'!$T$5:$T$2004,0)))</f>
        <v/>
      </c>
      <c r="S124" s="35">
        <f>IF($K124="","",INDEX('سجل التحفيز'!$G$5:$G$2004,MATCH($K124,'سجل التحفيز'!$T$5:$T$2004,0)))</f>
        <v/>
      </c>
    </row>
    <row r="125">
      <c r="B125" s="34">
        <f>IFERROR(INDEX(الموظفات!$B$5:$B$304,MATCH(88,الموظفات!$N$5:$N$304,0)),"")</f>
        <v/>
      </c>
      <c r="C125" s="34">
        <f>IF(B125="","",INDEX(الموظفات!$D$5:$D$304,MATCH(B125,الموظفات!$B$5:$B$304,0))&amp;"")</f>
        <v/>
      </c>
      <c r="D125" s="35">
        <f>IF(B125="","",COUNTIFS('سجل التحفيز'!$T$5:$T$2004,"&gt;0",'سجل التحفيز'!$B$5:$B$2004,B125))</f>
        <v/>
      </c>
      <c r="E125" s="35">
        <f>IF(B125="","",COUNTIFS('سجل التحفيز'!$T$5:$T$2004,"&gt;0",'سجل التحفيز'!$B$5:$B$2004,B125,'سجل التحفيز'!$D$5:$D$2004,"ذهبي"))</f>
        <v/>
      </c>
      <c r="F125" s="35">
        <f>IF(B125="","",SUMIFS('سجل التحفيز'!$G$5:$G$2004,'سجل التحفيز'!$T$5:$T$2004,"&gt;0",'سجل التحفيز'!$B$5:$B$2004,B125))</f>
        <v/>
      </c>
      <c r="G125" s="35">
        <f>IF(B125="","",COUNTIF($D$38:$D$187,"&gt;"&amp;D125)+1)</f>
        <v/>
      </c>
      <c r="H125" s="35">
        <f>IF(B125="","",INDEX(الموظفات!$L$5:$L$304,MATCH(B125,الموظفات!$B$5:$B$304,0)))</f>
        <v/>
      </c>
      <c r="K125" s="36">
        <f>IF(88&gt;$B$10,"",88)</f>
        <v/>
      </c>
      <c r="L125" s="37">
        <f>IF($K125="","",INDEX('سجل التحفيز'!$A$5:$A$2004,MATCH($K125,'سجل التحفيز'!$T$5:$T$2004,0)))</f>
        <v/>
      </c>
      <c r="M125" s="9">
        <f>IF($K125="","",INDEX('سجل التحفيز'!$B$5:$B$2004,MATCH($K125,'سجل التحفيز'!$T$5:$T$2004,0)))</f>
        <v/>
      </c>
      <c r="N125" s="9">
        <f>IF($K125="","",INDEX('سجل التحفيز'!$M$5:$M$2004,MATCH($K125,'سجل التحفيز'!$T$5:$T$2004,0)))</f>
        <v/>
      </c>
      <c r="O125" s="9">
        <f>IF($K125="","",INDEX('سجل التحفيز'!$C$5:$C$2004,MATCH($K125,'سجل التحفيز'!$T$5:$T$2004,0)))</f>
        <v/>
      </c>
      <c r="P125" s="36">
        <f>IF($K125="","",INDEX('سجل التحفيز'!$D$5:$D$2004,MATCH($K125,'سجل التحفيز'!$T$5:$T$2004,0)))</f>
        <v/>
      </c>
      <c r="Q125" s="9">
        <f>IF($K125="","",INDEX('سجل التحفيز'!$E$5:$E$2004,MATCH($K125,'سجل التحفيز'!$T$5:$T$2004,0)))</f>
        <v/>
      </c>
      <c r="R125" s="9">
        <f>IF($K125="","",INDEX('سجل التحفيز'!$F$5:$F$2004,MATCH($K125,'سجل التحفيز'!$T$5:$T$2004,0)))</f>
        <v/>
      </c>
      <c r="S125" s="35">
        <f>IF($K125="","",INDEX('سجل التحفيز'!$G$5:$G$2004,MATCH($K125,'سجل التحفيز'!$T$5:$T$2004,0)))</f>
        <v/>
      </c>
    </row>
    <row r="126">
      <c r="B126" s="34">
        <f>IFERROR(INDEX(الموظفات!$B$5:$B$304,MATCH(89,الموظفات!$N$5:$N$304,0)),"")</f>
        <v/>
      </c>
      <c r="C126" s="34">
        <f>IF(B126="","",INDEX(الموظفات!$D$5:$D$304,MATCH(B126,الموظفات!$B$5:$B$304,0))&amp;"")</f>
        <v/>
      </c>
      <c r="D126" s="35">
        <f>IF(B126="","",COUNTIFS('سجل التحفيز'!$T$5:$T$2004,"&gt;0",'سجل التحفيز'!$B$5:$B$2004,B126))</f>
        <v/>
      </c>
      <c r="E126" s="35">
        <f>IF(B126="","",COUNTIFS('سجل التحفيز'!$T$5:$T$2004,"&gt;0",'سجل التحفيز'!$B$5:$B$2004,B126,'سجل التحفيز'!$D$5:$D$2004,"ذهبي"))</f>
        <v/>
      </c>
      <c r="F126" s="35">
        <f>IF(B126="","",SUMIFS('سجل التحفيز'!$G$5:$G$2004,'سجل التحفيز'!$T$5:$T$2004,"&gt;0",'سجل التحفيز'!$B$5:$B$2004,B126))</f>
        <v/>
      </c>
      <c r="G126" s="35">
        <f>IF(B126="","",COUNTIF($D$38:$D$187,"&gt;"&amp;D126)+1)</f>
        <v/>
      </c>
      <c r="H126" s="35">
        <f>IF(B126="","",INDEX(الموظفات!$L$5:$L$304,MATCH(B126,الموظفات!$B$5:$B$304,0)))</f>
        <v/>
      </c>
      <c r="K126" s="36">
        <f>IF(89&gt;$B$10,"",89)</f>
        <v/>
      </c>
      <c r="L126" s="37">
        <f>IF($K126="","",INDEX('سجل التحفيز'!$A$5:$A$2004,MATCH($K126,'سجل التحفيز'!$T$5:$T$2004,0)))</f>
        <v/>
      </c>
      <c r="M126" s="9">
        <f>IF($K126="","",INDEX('سجل التحفيز'!$B$5:$B$2004,MATCH($K126,'سجل التحفيز'!$T$5:$T$2004,0)))</f>
        <v/>
      </c>
      <c r="N126" s="9">
        <f>IF($K126="","",INDEX('سجل التحفيز'!$M$5:$M$2004,MATCH($K126,'سجل التحفيز'!$T$5:$T$2004,0)))</f>
        <v/>
      </c>
      <c r="O126" s="9">
        <f>IF($K126="","",INDEX('سجل التحفيز'!$C$5:$C$2004,MATCH($K126,'سجل التحفيز'!$T$5:$T$2004,0)))</f>
        <v/>
      </c>
      <c r="P126" s="36">
        <f>IF($K126="","",INDEX('سجل التحفيز'!$D$5:$D$2004,MATCH($K126,'سجل التحفيز'!$T$5:$T$2004,0)))</f>
        <v/>
      </c>
      <c r="Q126" s="9">
        <f>IF($K126="","",INDEX('سجل التحفيز'!$E$5:$E$2004,MATCH($K126,'سجل التحفيز'!$T$5:$T$2004,0)))</f>
        <v/>
      </c>
      <c r="R126" s="9">
        <f>IF($K126="","",INDEX('سجل التحفيز'!$F$5:$F$2004,MATCH($K126,'سجل التحفيز'!$T$5:$T$2004,0)))</f>
        <v/>
      </c>
      <c r="S126" s="35">
        <f>IF($K126="","",INDEX('سجل التحفيز'!$G$5:$G$2004,MATCH($K126,'سجل التحفيز'!$T$5:$T$2004,0)))</f>
        <v/>
      </c>
    </row>
    <row r="127">
      <c r="B127" s="34">
        <f>IFERROR(INDEX(الموظفات!$B$5:$B$304,MATCH(90,الموظفات!$N$5:$N$304,0)),"")</f>
        <v/>
      </c>
      <c r="C127" s="34">
        <f>IF(B127="","",INDEX(الموظفات!$D$5:$D$304,MATCH(B127,الموظفات!$B$5:$B$304,0))&amp;"")</f>
        <v/>
      </c>
      <c r="D127" s="35">
        <f>IF(B127="","",COUNTIFS('سجل التحفيز'!$T$5:$T$2004,"&gt;0",'سجل التحفيز'!$B$5:$B$2004,B127))</f>
        <v/>
      </c>
      <c r="E127" s="35">
        <f>IF(B127="","",COUNTIFS('سجل التحفيز'!$T$5:$T$2004,"&gt;0",'سجل التحفيز'!$B$5:$B$2004,B127,'سجل التحفيز'!$D$5:$D$2004,"ذهبي"))</f>
        <v/>
      </c>
      <c r="F127" s="35">
        <f>IF(B127="","",SUMIFS('سجل التحفيز'!$G$5:$G$2004,'سجل التحفيز'!$T$5:$T$2004,"&gt;0",'سجل التحفيز'!$B$5:$B$2004,B127))</f>
        <v/>
      </c>
      <c r="G127" s="35">
        <f>IF(B127="","",COUNTIF($D$38:$D$187,"&gt;"&amp;D127)+1)</f>
        <v/>
      </c>
      <c r="H127" s="35">
        <f>IF(B127="","",INDEX(الموظفات!$L$5:$L$304,MATCH(B127,الموظفات!$B$5:$B$304,0)))</f>
        <v/>
      </c>
      <c r="K127" s="36">
        <f>IF(90&gt;$B$10,"",90)</f>
        <v/>
      </c>
      <c r="L127" s="37">
        <f>IF($K127="","",INDEX('سجل التحفيز'!$A$5:$A$2004,MATCH($K127,'سجل التحفيز'!$T$5:$T$2004,0)))</f>
        <v/>
      </c>
      <c r="M127" s="9">
        <f>IF($K127="","",INDEX('سجل التحفيز'!$B$5:$B$2004,MATCH($K127,'سجل التحفيز'!$T$5:$T$2004,0)))</f>
        <v/>
      </c>
      <c r="N127" s="9">
        <f>IF($K127="","",INDEX('سجل التحفيز'!$M$5:$M$2004,MATCH($K127,'سجل التحفيز'!$T$5:$T$2004,0)))</f>
        <v/>
      </c>
      <c r="O127" s="9">
        <f>IF($K127="","",INDEX('سجل التحفيز'!$C$5:$C$2004,MATCH($K127,'سجل التحفيز'!$T$5:$T$2004,0)))</f>
        <v/>
      </c>
      <c r="P127" s="36">
        <f>IF($K127="","",INDEX('سجل التحفيز'!$D$5:$D$2004,MATCH($K127,'سجل التحفيز'!$T$5:$T$2004,0)))</f>
        <v/>
      </c>
      <c r="Q127" s="9">
        <f>IF($K127="","",INDEX('سجل التحفيز'!$E$5:$E$2004,MATCH($K127,'سجل التحفيز'!$T$5:$T$2004,0)))</f>
        <v/>
      </c>
      <c r="R127" s="9">
        <f>IF($K127="","",INDEX('سجل التحفيز'!$F$5:$F$2004,MATCH($K127,'سجل التحفيز'!$T$5:$T$2004,0)))</f>
        <v/>
      </c>
      <c r="S127" s="35">
        <f>IF($K127="","",INDEX('سجل التحفيز'!$G$5:$G$2004,MATCH($K127,'سجل التحفيز'!$T$5:$T$2004,0)))</f>
        <v/>
      </c>
    </row>
    <row r="128">
      <c r="B128" s="34">
        <f>IFERROR(INDEX(الموظفات!$B$5:$B$304,MATCH(91,الموظفات!$N$5:$N$304,0)),"")</f>
        <v/>
      </c>
      <c r="C128" s="34">
        <f>IF(B128="","",INDEX(الموظفات!$D$5:$D$304,MATCH(B128,الموظفات!$B$5:$B$304,0))&amp;"")</f>
        <v/>
      </c>
      <c r="D128" s="35">
        <f>IF(B128="","",COUNTIFS('سجل التحفيز'!$T$5:$T$2004,"&gt;0",'سجل التحفيز'!$B$5:$B$2004,B128))</f>
        <v/>
      </c>
      <c r="E128" s="35">
        <f>IF(B128="","",COUNTIFS('سجل التحفيز'!$T$5:$T$2004,"&gt;0",'سجل التحفيز'!$B$5:$B$2004,B128,'سجل التحفيز'!$D$5:$D$2004,"ذهبي"))</f>
        <v/>
      </c>
      <c r="F128" s="35">
        <f>IF(B128="","",SUMIFS('سجل التحفيز'!$G$5:$G$2004,'سجل التحفيز'!$T$5:$T$2004,"&gt;0",'سجل التحفيز'!$B$5:$B$2004,B128))</f>
        <v/>
      </c>
      <c r="G128" s="35">
        <f>IF(B128="","",COUNTIF($D$38:$D$187,"&gt;"&amp;D128)+1)</f>
        <v/>
      </c>
      <c r="H128" s="35">
        <f>IF(B128="","",INDEX(الموظفات!$L$5:$L$304,MATCH(B128,الموظفات!$B$5:$B$304,0)))</f>
        <v/>
      </c>
      <c r="K128" s="36">
        <f>IF(91&gt;$B$10,"",91)</f>
        <v/>
      </c>
      <c r="L128" s="37">
        <f>IF($K128="","",INDEX('سجل التحفيز'!$A$5:$A$2004,MATCH($K128,'سجل التحفيز'!$T$5:$T$2004,0)))</f>
        <v/>
      </c>
      <c r="M128" s="9">
        <f>IF($K128="","",INDEX('سجل التحفيز'!$B$5:$B$2004,MATCH($K128,'سجل التحفيز'!$T$5:$T$2004,0)))</f>
        <v/>
      </c>
      <c r="N128" s="9">
        <f>IF($K128="","",INDEX('سجل التحفيز'!$M$5:$M$2004,MATCH($K128,'سجل التحفيز'!$T$5:$T$2004,0)))</f>
        <v/>
      </c>
      <c r="O128" s="9">
        <f>IF($K128="","",INDEX('سجل التحفيز'!$C$5:$C$2004,MATCH($K128,'سجل التحفيز'!$T$5:$T$2004,0)))</f>
        <v/>
      </c>
      <c r="P128" s="36">
        <f>IF($K128="","",INDEX('سجل التحفيز'!$D$5:$D$2004,MATCH($K128,'سجل التحفيز'!$T$5:$T$2004,0)))</f>
        <v/>
      </c>
      <c r="Q128" s="9">
        <f>IF($K128="","",INDEX('سجل التحفيز'!$E$5:$E$2004,MATCH($K128,'سجل التحفيز'!$T$5:$T$2004,0)))</f>
        <v/>
      </c>
      <c r="R128" s="9">
        <f>IF($K128="","",INDEX('سجل التحفيز'!$F$5:$F$2004,MATCH($K128,'سجل التحفيز'!$T$5:$T$2004,0)))</f>
        <v/>
      </c>
      <c r="S128" s="35">
        <f>IF($K128="","",INDEX('سجل التحفيز'!$G$5:$G$2004,MATCH($K128,'سجل التحفيز'!$T$5:$T$2004,0)))</f>
        <v/>
      </c>
    </row>
    <row r="129">
      <c r="B129" s="34">
        <f>IFERROR(INDEX(الموظفات!$B$5:$B$304,MATCH(92,الموظفات!$N$5:$N$304,0)),"")</f>
        <v/>
      </c>
      <c r="C129" s="34">
        <f>IF(B129="","",INDEX(الموظفات!$D$5:$D$304,MATCH(B129,الموظفات!$B$5:$B$304,0))&amp;"")</f>
        <v/>
      </c>
      <c r="D129" s="35">
        <f>IF(B129="","",COUNTIFS('سجل التحفيز'!$T$5:$T$2004,"&gt;0",'سجل التحفيز'!$B$5:$B$2004,B129))</f>
        <v/>
      </c>
      <c r="E129" s="35">
        <f>IF(B129="","",COUNTIFS('سجل التحفيز'!$T$5:$T$2004,"&gt;0",'سجل التحفيز'!$B$5:$B$2004,B129,'سجل التحفيز'!$D$5:$D$2004,"ذهبي"))</f>
        <v/>
      </c>
      <c r="F129" s="35">
        <f>IF(B129="","",SUMIFS('سجل التحفيز'!$G$5:$G$2004,'سجل التحفيز'!$T$5:$T$2004,"&gt;0",'سجل التحفيز'!$B$5:$B$2004,B129))</f>
        <v/>
      </c>
      <c r="G129" s="35">
        <f>IF(B129="","",COUNTIF($D$38:$D$187,"&gt;"&amp;D129)+1)</f>
        <v/>
      </c>
      <c r="H129" s="35">
        <f>IF(B129="","",INDEX(الموظفات!$L$5:$L$304,MATCH(B129,الموظفات!$B$5:$B$304,0)))</f>
        <v/>
      </c>
      <c r="K129" s="36">
        <f>IF(92&gt;$B$10,"",92)</f>
        <v/>
      </c>
      <c r="L129" s="37">
        <f>IF($K129="","",INDEX('سجل التحفيز'!$A$5:$A$2004,MATCH($K129,'سجل التحفيز'!$T$5:$T$2004,0)))</f>
        <v/>
      </c>
      <c r="M129" s="9">
        <f>IF($K129="","",INDEX('سجل التحفيز'!$B$5:$B$2004,MATCH($K129,'سجل التحفيز'!$T$5:$T$2004,0)))</f>
        <v/>
      </c>
      <c r="N129" s="9">
        <f>IF($K129="","",INDEX('سجل التحفيز'!$M$5:$M$2004,MATCH($K129,'سجل التحفيز'!$T$5:$T$2004,0)))</f>
        <v/>
      </c>
      <c r="O129" s="9">
        <f>IF($K129="","",INDEX('سجل التحفيز'!$C$5:$C$2004,MATCH($K129,'سجل التحفيز'!$T$5:$T$2004,0)))</f>
        <v/>
      </c>
      <c r="P129" s="36">
        <f>IF($K129="","",INDEX('سجل التحفيز'!$D$5:$D$2004,MATCH($K129,'سجل التحفيز'!$T$5:$T$2004,0)))</f>
        <v/>
      </c>
      <c r="Q129" s="9">
        <f>IF($K129="","",INDEX('سجل التحفيز'!$E$5:$E$2004,MATCH($K129,'سجل التحفيز'!$T$5:$T$2004,0)))</f>
        <v/>
      </c>
      <c r="R129" s="9">
        <f>IF($K129="","",INDEX('سجل التحفيز'!$F$5:$F$2004,MATCH($K129,'سجل التحفيز'!$T$5:$T$2004,0)))</f>
        <v/>
      </c>
      <c r="S129" s="35">
        <f>IF($K129="","",INDEX('سجل التحفيز'!$G$5:$G$2004,MATCH($K129,'سجل التحفيز'!$T$5:$T$2004,0)))</f>
        <v/>
      </c>
    </row>
    <row r="130">
      <c r="B130" s="34">
        <f>IFERROR(INDEX(الموظفات!$B$5:$B$304,MATCH(93,الموظفات!$N$5:$N$304,0)),"")</f>
        <v/>
      </c>
      <c r="C130" s="34">
        <f>IF(B130="","",INDEX(الموظفات!$D$5:$D$304,MATCH(B130,الموظفات!$B$5:$B$304,0))&amp;"")</f>
        <v/>
      </c>
      <c r="D130" s="35">
        <f>IF(B130="","",COUNTIFS('سجل التحفيز'!$T$5:$T$2004,"&gt;0",'سجل التحفيز'!$B$5:$B$2004,B130))</f>
        <v/>
      </c>
      <c r="E130" s="35">
        <f>IF(B130="","",COUNTIFS('سجل التحفيز'!$T$5:$T$2004,"&gt;0",'سجل التحفيز'!$B$5:$B$2004,B130,'سجل التحفيز'!$D$5:$D$2004,"ذهبي"))</f>
        <v/>
      </c>
      <c r="F130" s="35">
        <f>IF(B130="","",SUMIFS('سجل التحفيز'!$G$5:$G$2004,'سجل التحفيز'!$T$5:$T$2004,"&gt;0",'سجل التحفيز'!$B$5:$B$2004,B130))</f>
        <v/>
      </c>
      <c r="G130" s="35">
        <f>IF(B130="","",COUNTIF($D$38:$D$187,"&gt;"&amp;D130)+1)</f>
        <v/>
      </c>
      <c r="H130" s="35">
        <f>IF(B130="","",INDEX(الموظفات!$L$5:$L$304,MATCH(B130,الموظفات!$B$5:$B$304,0)))</f>
        <v/>
      </c>
      <c r="K130" s="36">
        <f>IF(93&gt;$B$10,"",93)</f>
        <v/>
      </c>
      <c r="L130" s="37">
        <f>IF($K130="","",INDEX('سجل التحفيز'!$A$5:$A$2004,MATCH($K130,'سجل التحفيز'!$T$5:$T$2004,0)))</f>
        <v/>
      </c>
      <c r="M130" s="9">
        <f>IF($K130="","",INDEX('سجل التحفيز'!$B$5:$B$2004,MATCH($K130,'سجل التحفيز'!$T$5:$T$2004,0)))</f>
        <v/>
      </c>
      <c r="N130" s="9">
        <f>IF($K130="","",INDEX('سجل التحفيز'!$M$5:$M$2004,MATCH($K130,'سجل التحفيز'!$T$5:$T$2004,0)))</f>
        <v/>
      </c>
      <c r="O130" s="9">
        <f>IF($K130="","",INDEX('سجل التحفيز'!$C$5:$C$2004,MATCH($K130,'سجل التحفيز'!$T$5:$T$2004,0)))</f>
        <v/>
      </c>
      <c r="P130" s="36">
        <f>IF($K130="","",INDEX('سجل التحفيز'!$D$5:$D$2004,MATCH($K130,'سجل التحفيز'!$T$5:$T$2004,0)))</f>
        <v/>
      </c>
      <c r="Q130" s="9">
        <f>IF($K130="","",INDEX('سجل التحفيز'!$E$5:$E$2004,MATCH($K130,'سجل التحفيز'!$T$5:$T$2004,0)))</f>
        <v/>
      </c>
      <c r="R130" s="9">
        <f>IF($K130="","",INDEX('سجل التحفيز'!$F$5:$F$2004,MATCH($K130,'سجل التحفيز'!$T$5:$T$2004,0)))</f>
        <v/>
      </c>
      <c r="S130" s="35">
        <f>IF($K130="","",INDEX('سجل التحفيز'!$G$5:$G$2004,MATCH($K130,'سجل التحفيز'!$T$5:$T$2004,0)))</f>
        <v/>
      </c>
    </row>
    <row r="131">
      <c r="B131" s="34">
        <f>IFERROR(INDEX(الموظفات!$B$5:$B$304,MATCH(94,الموظفات!$N$5:$N$304,0)),"")</f>
        <v/>
      </c>
      <c r="C131" s="34">
        <f>IF(B131="","",INDEX(الموظفات!$D$5:$D$304,MATCH(B131,الموظفات!$B$5:$B$304,0))&amp;"")</f>
        <v/>
      </c>
      <c r="D131" s="35">
        <f>IF(B131="","",COUNTIFS('سجل التحفيز'!$T$5:$T$2004,"&gt;0",'سجل التحفيز'!$B$5:$B$2004,B131))</f>
        <v/>
      </c>
      <c r="E131" s="35">
        <f>IF(B131="","",COUNTIFS('سجل التحفيز'!$T$5:$T$2004,"&gt;0",'سجل التحفيز'!$B$5:$B$2004,B131,'سجل التحفيز'!$D$5:$D$2004,"ذهبي"))</f>
        <v/>
      </c>
      <c r="F131" s="35">
        <f>IF(B131="","",SUMIFS('سجل التحفيز'!$G$5:$G$2004,'سجل التحفيز'!$T$5:$T$2004,"&gt;0",'سجل التحفيز'!$B$5:$B$2004,B131))</f>
        <v/>
      </c>
      <c r="G131" s="35">
        <f>IF(B131="","",COUNTIF($D$38:$D$187,"&gt;"&amp;D131)+1)</f>
        <v/>
      </c>
      <c r="H131" s="35">
        <f>IF(B131="","",INDEX(الموظفات!$L$5:$L$304,MATCH(B131,الموظفات!$B$5:$B$304,0)))</f>
        <v/>
      </c>
      <c r="K131" s="36">
        <f>IF(94&gt;$B$10,"",94)</f>
        <v/>
      </c>
      <c r="L131" s="37">
        <f>IF($K131="","",INDEX('سجل التحفيز'!$A$5:$A$2004,MATCH($K131,'سجل التحفيز'!$T$5:$T$2004,0)))</f>
        <v/>
      </c>
      <c r="M131" s="9">
        <f>IF($K131="","",INDEX('سجل التحفيز'!$B$5:$B$2004,MATCH($K131,'سجل التحفيز'!$T$5:$T$2004,0)))</f>
        <v/>
      </c>
      <c r="N131" s="9">
        <f>IF($K131="","",INDEX('سجل التحفيز'!$M$5:$M$2004,MATCH($K131,'سجل التحفيز'!$T$5:$T$2004,0)))</f>
        <v/>
      </c>
      <c r="O131" s="9">
        <f>IF($K131="","",INDEX('سجل التحفيز'!$C$5:$C$2004,MATCH($K131,'سجل التحفيز'!$T$5:$T$2004,0)))</f>
        <v/>
      </c>
      <c r="P131" s="36">
        <f>IF($K131="","",INDEX('سجل التحفيز'!$D$5:$D$2004,MATCH($K131,'سجل التحفيز'!$T$5:$T$2004,0)))</f>
        <v/>
      </c>
      <c r="Q131" s="9">
        <f>IF($K131="","",INDEX('سجل التحفيز'!$E$5:$E$2004,MATCH($K131,'سجل التحفيز'!$T$5:$T$2004,0)))</f>
        <v/>
      </c>
      <c r="R131" s="9">
        <f>IF($K131="","",INDEX('سجل التحفيز'!$F$5:$F$2004,MATCH($K131,'سجل التحفيز'!$T$5:$T$2004,0)))</f>
        <v/>
      </c>
      <c r="S131" s="35">
        <f>IF($K131="","",INDEX('سجل التحفيز'!$G$5:$G$2004,MATCH($K131,'سجل التحفيز'!$T$5:$T$2004,0)))</f>
        <v/>
      </c>
    </row>
    <row r="132">
      <c r="B132" s="34">
        <f>IFERROR(INDEX(الموظفات!$B$5:$B$304,MATCH(95,الموظفات!$N$5:$N$304,0)),"")</f>
        <v/>
      </c>
      <c r="C132" s="34">
        <f>IF(B132="","",INDEX(الموظفات!$D$5:$D$304,MATCH(B132,الموظفات!$B$5:$B$304,0))&amp;"")</f>
        <v/>
      </c>
      <c r="D132" s="35">
        <f>IF(B132="","",COUNTIFS('سجل التحفيز'!$T$5:$T$2004,"&gt;0",'سجل التحفيز'!$B$5:$B$2004,B132))</f>
        <v/>
      </c>
      <c r="E132" s="35">
        <f>IF(B132="","",COUNTIFS('سجل التحفيز'!$T$5:$T$2004,"&gt;0",'سجل التحفيز'!$B$5:$B$2004,B132,'سجل التحفيز'!$D$5:$D$2004,"ذهبي"))</f>
        <v/>
      </c>
      <c r="F132" s="35">
        <f>IF(B132="","",SUMIFS('سجل التحفيز'!$G$5:$G$2004,'سجل التحفيز'!$T$5:$T$2004,"&gt;0",'سجل التحفيز'!$B$5:$B$2004,B132))</f>
        <v/>
      </c>
      <c r="G132" s="35">
        <f>IF(B132="","",COUNTIF($D$38:$D$187,"&gt;"&amp;D132)+1)</f>
        <v/>
      </c>
      <c r="H132" s="35">
        <f>IF(B132="","",INDEX(الموظفات!$L$5:$L$304,MATCH(B132,الموظفات!$B$5:$B$304,0)))</f>
        <v/>
      </c>
      <c r="K132" s="36">
        <f>IF(95&gt;$B$10,"",95)</f>
        <v/>
      </c>
      <c r="L132" s="37">
        <f>IF($K132="","",INDEX('سجل التحفيز'!$A$5:$A$2004,MATCH($K132,'سجل التحفيز'!$T$5:$T$2004,0)))</f>
        <v/>
      </c>
      <c r="M132" s="9">
        <f>IF($K132="","",INDEX('سجل التحفيز'!$B$5:$B$2004,MATCH($K132,'سجل التحفيز'!$T$5:$T$2004,0)))</f>
        <v/>
      </c>
      <c r="N132" s="9">
        <f>IF($K132="","",INDEX('سجل التحفيز'!$M$5:$M$2004,MATCH($K132,'سجل التحفيز'!$T$5:$T$2004,0)))</f>
        <v/>
      </c>
      <c r="O132" s="9">
        <f>IF($K132="","",INDEX('سجل التحفيز'!$C$5:$C$2004,MATCH($K132,'سجل التحفيز'!$T$5:$T$2004,0)))</f>
        <v/>
      </c>
      <c r="P132" s="36">
        <f>IF($K132="","",INDEX('سجل التحفيز'!$D$5:$D$2004,MATCH($K132,'سجل التحفيز'!$T$5:$T$2004,0)))</f>
        <v/>
      </c>
      <c r="Q132" s="9">
        <f>IF($K132="","",INDEX('سجل التحفيز'!$E$5:$E$2004,MATCH($K132,'سجل التحفيز'!$T$5:$T$2004,0)))</f>
        <v/>
      </c>
      <c r="R132" s="9">
        <f>IF($K132="","",INDEX('سجل التحفيز'!$F$5:$F$2004,MATCH($K132,'سجل التحفيز'!$T$5:$T$2004,0)))</f>
        <v/>
      </c>
      <c r="S132" s="35">
        <f>IF($K132="","",INDEX('سجل التحفيز'!$G$5:$G$2004,MATCH($K132,'سجل التحفيز'!$T$5:$T$2004,0)))</f>
        <v/>
      </c>
    </row>
    <row r="133">
      <c r="B133" s="34">
        <f>IFERROR(INDEX(الموظفات!$B$5:$B$304,MATCH(96,الموظفات!$N$5:$N$304,0)),"")</f>
        <v/>
      </c>
      <c r="C133" s="34">
        <f>IF(B133="","",INDEX(الموظفات!$D$5:$D$304,MATCH(B133,الموظفات!$B$5:$B$304,0))&amp;"")</f>
        <v/>
      </c>
      <c r="D133" s="35">
        <f>IF(B133="","",COUNTIFS('سجل التحفيز'!$T$5:$T$2004,"&gt;0",'سجل التحفيز'!$B$5:$B$2004,B133))</f>
        <v/>
      </c>
      <c r="E133" s="35">
        <f>IF(B133="","",COUNTIFS('سجل التحفيز'!$T$5:$T$2004,"&gt;0",'سجل التحفيز'!$B$5:$B$2004,B133,'سجل التحفيز'!$D$5:$D$2004,"ذهبي"))</f>
        <v/>
      </c>
      <c r="F133" s="35">
        <f>IF(B133="","",SUMIFS('سجل التحفيز'!$G$5:$G$2004,'سجل التحفيز'!$T$5:$T$2004,"&gt;0",'سجل التحفيز'!$B$5:$B$2004,B133))</f>
        <v/>
      </c>
      <c r="G133" s="35">
        <f>IF(B133="","",COUNTIF($D$38:$D$187,"&gt;"&amp;D133)+1)</f>
        <v/>
      </c>
      <c r="H133" s="35">
        <f>IF(B133="","",INDEX(الموظفات!$L$5:$L$304,MATCH(B133,الموظفات!$B$5:$B$304,0)))</f>
        <v/>
      </c>
      <c r="K133" s="36">
        <f>IF(96&gt;$B$10,"",96)</f>
        <v/>
      </c>
      <c r="L133" s="37">
        <f>IF($K133="","",INDEX('سجل التحفيز'!$A$5:$A$2004,MATCH($K133,'سجل التحفيز'!$T$5:$T$2004,0)))</f>
        <v/>
      </c>
      <c r="M133" s="9">
        <f>IF($K133="","",INDEX('سجل التحفيز'!$B$5:$B$2004,MATCH($K133,'سجل التحفيز'!$T$5:$T$2004,0)))</f>
        <v/>
      </c>
      <c r="N133" s="9">
        <f>IF($K133="","",INDEX('سجل التحفيز'!$M$5:$M$2004,MATCH($K133,'سجل التحفيز'!$T$5:$T$2004,0)))</f>
        <v/>
      </c>
      <c r="O133" s="9">
        <f>IF($K133="","",INDEX('سجل التحفيز'!$C$5:$C$2004,MATCH($K133,'سجل التحفيز'!$T$5:$T$2004,0)))</f>
        <v/>
      </c>
      <c r="P133" s="36">
        <f>IF($K133="","",INDEX('سجل التحفيز'!$D$5:$D$2004,MATCH($K133,'سجل التحفيز'!$T$5:$T$2004,0)))</f>
        <v/>
      </c>
      <c r="Q133" s="9">
        <f>IF($K133="","",INDEX('سجل التحفيز'!$E$5:$E$2004,MATCH($K133,'سجل التحفيز'!$T$5:$T$2004,0)))</f>
        <v/>
      </c>
      <c r="R133" s="9">
        <f>IF($K133="","",INDEX('سجل التحفيز'!$F$5:$F$2004,MATCH($K133,'سجل التحفيز'!$T$5:$T$2004,0)))</f>
        <v/>
      </c>
      <c r="S133" s="35">
        <f>IF($K133="","",INDEX('سجل التحفيز'!$G$5:$G$2004,MATCH($K133,'سجل التحفيز'!$T$5:$T$2004,0)))</f>
        <v/>
      </c>
    </row>
    <row r="134">
      <c r="B134" s="34">
        <f>IFERROR(INDEX(الموظفات!$B$5:$B$304,MATCH(97,الموظفات!$N$5:$N$304,0)),"")</f>
        <v/>
      </c>
      <c r="C134" s="34">
        <f>IF(B134="","",INDEX(الموظفات!$D$5:$D$304,MATCH(B134,الموظفات!$B$5:$B$304,0))&amp;"")</f>
        <v/>
      </c>
      <c r="D134" s="35">
        <f>IF(B134="","",COUNTIFS('سجل التحفيز'!$T$5:$T$2004,"&gt;0",'سجل التحفيز'!$B$5:$B$2004,B134))</f>
        <v/>
      </c>
      <c r="E134" s="35">
        <f>IF(B134="","",COUNTIFS('سجل التحفيز'!$T$5:$T$2004,"&gt;0",'سجل التحفيز'!$B$5:$B$2004,B134,'سجل التحفيز'!$D$5:$D$2004,"ذهبي"))</f>
        <v/>
      </c>
      <c r="F134" s="35">
        <f>IF(B134="","",SUMIFS('سجل التحفيز'!$G$5:$G$2004,'سجل التحفيز'!$T$5:$T$2004,"&gt;0",'سجل التحفيز'!$B$5:$B$2004,B134))</f>
        <v/>
      </c>
      <c r="G134" s="35">
        <f>IF(B134="","",COUNTIF($D$38:$D$187,"&gt;"&amp;D134)+1)</f>
        <v/>
      </c>
      <c r="H134" s="35">
        <f>IF(B134="","",INDEX(الموظفات!$L$5:$L$304,MATCH(B134,الموظفات!$B$5:$B$304,0)))</f>
        <v/>
      </c>
      <c r="K134" s="36">
        <f>IF(97&gt;$B$10,"",97)</f>
        <v/>
      </c>
      <c r="L134" s="37">
        <f>IF($K134="","",INDEX('سجل التحفيز'!$A$5:$A$2004,MATCH($K134,'سجل التحفيز'!$T$5:$T$2004,0)))</f>
        <v/>
      </c>
      <c r="M134" s="9">
        <f>IF($K134="","",INDEX('سجل التحفيز'!$B$5:$B$2004,MATCH($K134,'سجل التحفيز'!$T$5:$T$2004,0)))</f>
        <v/>
      </c>
      <c r="N134" s="9">
        <f>IF($K134="","",INDEX('سجل التحفيز'!$M$5:$M$2004,MATCH($K134,'سجل التحفيز'!$T$5:$T$2004,0)))</f>
        <v/>
      </c>
      <c r="O134" s="9">
        <f>IF($K134="","",INDEX('سجل التحفيز'!$C$5:$C$2004,MATCH($K134,'سجل التحفيز'!$T$5:$T$2004,0)))</f>
        <v/>
      </c>
      <c r="P134" s="36">
        <f>IF($K134="","",INDEX('سجل التحفيز'!$D$5:$D$2004,MATCH($K134,'سجل التحفيز'!$T$5:$T$2004,0)))</f>
        <v/>
      </c>
      <c r="Q134" s="9">
        <f>IF($K134="","",INDEX('سجل التحفيز'!$E$5:$E$2004,MATCH($K134,'سجل التحفيز'!$T$5:$T$2004,0)))</f>
        <v/>
      </c>
      <c r="R134" s="9">
        <f>IF($K134="","",INDEX('سجل التحفيز'!$F$5:$F$2004,MATCH($K134,'سجل التحفيز'!$T$5:$T$2004,0)))</f>
        <v/>
      </c>
      <c r="S134" s="35">
        <f>IF($K134="","",INDEX('سجل التحفيز'!$G$5:$G$2004,MATCH($K134,'سجل التحفيز'!$T$5:$T$2004,0)))</f>
        <v/>
      </c>
    </row>
    <row r="135">
      <c r="B135" s="34">
        <f>IFERROR(INDEX(الموظفات!$B$5:$B$304,MATCH(98,الموظفات!$N$5:$N$304,0)),"")</f>
        <v/>
      </c>
      <c r="C135" s="34">
        <f>IF(B135="","",INDEX(الموظفات!$D$5:$D$304,MATCH(B135,الموظفات!$B$5:$B$304,0))&amp;"")</f>
        <v/>
      </c>
      <c r="D135" s="35">
        <f>IF(B135="","",COUNTIFS('سجل التحفيز'!$T$5:$T$2004,"&gt;0",'سجل التحفيز'!$B$5:$B$2004,B135))</f>
        <v/>
      </c>
      <c r="E135" s="35">
        <f>IF(B135="","",COUNTIFS('سجل التحفيز'!$T$5:$T$2004,"&gt;0",'سجل التحفيز'!$B$5:$B$2004,B135,'سجل التحفيز'!$D$5:$D$2004,"ذهبي"))</f>
        <v/>
      </c>
      <c r="F135" s="35">
        <f>IF(B135="","",SUMIFS('سجل التحفيز'!$G$5:$G$2004,'سجل التحفيز'!$T$5:$T$2004,"&gt;0",'سجل التحفيز'!$B$5:$B$2004,B135))</f>
        <v/>
      </c>
      <c r="G135" s="35">
        <f>IF(B135="","",COUNTIF($D$38:$D$187,"&gt;"&amp;D135)+1)</f>
        <v/>
      </c>
      <c r="H135" s="35">
        <f>IF(B135="","",INDEX(الموظفات!$L$5:$L$304,MATCH(B135,الموظفات!$B$5:$B$304,0)))</f>
        <v/>
      </c>
      <c r="K135" s="36">
        <f>IF(98&gt;$B$10,"",98)</f>
        <v/>
      </c>
      <c r="L135" s="37">
        <f>IF($K135="","",INDEX('سجل التحفيز'!$A$5:$A$2004,MATCH($K135,'سجل التحفيز'!$T$5:$T$2004,0)))</f>
        <v/>
      </c>
      <c r="M135" s="9">
        <f>IF($K135="","",INDEX('سجل التحفيز'!$B$5:$B$2004,MATCH($K135,'سجل التحفيز'!$T$5:$T$2004,0)))</f>
        <v/>
      </c>
      <c r="N135" s="9">
        <f>IF($K135="","",INDEX('سجل التحفيز'!$M$5:$M$2004,MATCH($K135,'سجل التحفيز'!$T$5:$T$2004,0)))</f>
        <v/>
      </c>
      <c r="O135" s="9">
        <f>IF($K135="","",INDEX('سجل التحفيز'!$C$5:$C$2004,MATCH($K135,'سجل التحفيز'!$T$5:$T$2004,0)))</f>
        <v/>
      </c>
      <c r="P135" s="36">
        <f>IF($K135="","",INDEX('سجل التحفيز'!$D$5:$D$2004,MATCH($K135,'سجل التحفيز'!$T$5:$T$2004,0)))</f>
        <v/>
      </c>
      <c r="Q135" s="9">
        <f>IF($K135="","",INDEX('سجل التحفيز'!$E$5:$E$2004,MATCH($K135,'سجل التحفيز'!$T$5:$T$2004,0)))</f>
        <v/>
      </c>
      <c r="R135" s="9">
        <f>IF($K135="","",INDEX('سجل التحفيز'!$F$5:$F$2004,MATCH($K135,'سجل التحفيز'!$T$5:$T$2004,0)))</f>
        <v/>
      </c>
      <c r="S135" s="35">
        <f>IF($K135="","",INDEX('سجل التحفيز'!$G$5:$G$2004,MATCH($K135,'سجل التحفيز'!$T$5:$T$2004,0)))</f>
        <v/>
      </c>
    </row>
    <row r="136">
      <c r="B136" s="34">
        <f>IFERROR(INDEX(الموظفات!$B$5:$B$304,MATCH(99,الموظفات!$N$5:$N$304,0)),"")</f>
        <v/>
      </c>
      <c r="C136" s="34">
        <f>IF(B136="","",INDEX(الموظفات!$D$5:$D$304,MATCH(B136,الموظفات!$B$5:$B$304,0))&amp;"")</f>
        <v/>
      </c>
      <c r="D136" s="35">
        <f>IF(B136="","",COUNTIFS('سجل التحفيز'!$T$5:$T$2004,"&gt;0",'سجل التحفيز'!$B$5:$B$2004,B136))</f>
        <v/>
      </c>
      <c r="E136" s="35">
        <f>IF(B136="","",COUNTIFS('سجل التحفيز'!$T$5:$T$2004,"&gt;0",'سجل التحفيز'!$B$5:$B$2004,B136,'سجل التحفيز'!$D$5:$D$2004,"ذهبي"))</f>
        <v/>
      </c>
      <c r="F136" s="35">
        <f>IF(B136="","",SUMIFS('سجل التحفيز'!$G$5:$G$2004,'سجل التحفيز'!$T$5:$T$2004,"&gt;0",'سجل التحفيز'!$B$5:$B$2004,B136))</f>
        <v/>
      </c>
      <c r="G136" s="35">
        <f>IF(B136="","",COUNTIF($D$38:$D$187,"&gt;"&amp;D136)+1)</f>
        <v/>
      </c>
      <c r="H136" s="35">
        <f>IF(B136="","",INDEX(الموظفات!$L$5:$L$304,MATCH(B136,الموظفات!$B$5:$B$304,0)))</f>
        <v/>
      </c>
      <c r="K136" s="36">
        <f>IF(99&gt;$B$10,"",99)</f>
        <v/>
      </c>
      <c r="L136" s="37">
        <f>IF($K136="","",INDEX('سجل التحفيز'!$A$5:$A$2004,MATCH($K136,'سجل التحفيز'!$T$5:$T$2004,0)))</f>
        <v/>
      </c>
      <c r="M136" s="9">
        <f>IF($K136="","",INDEX('سجل التحفيز'!$B$5:$B$2004,MATCH($K136,'سجل التحفيز'!$T$5:$T$2004,0)))</f>
        <v/>
      </c>
      <c r="N136" s="9">
        <f>IF($K136="","",INDEX('سجل التحفيز'!$M$5:$M$2004,MATCH($K136,'سجل التحفيز'!$T$5:$T$2004,0)))</f>
        <v/>
      </c>
      <c r="O136" s="9">
        <f>IF($K136="","",INDEX('سجل التحفيز'!$C$5:$C$2004,MATCH($K136,'سجل التحفيز'!$T$5:$T$2004,0)))</f>
        <v/>
      </c>
      <c r="P136" s="36">
        <f>IF($K136="","",INDEX('سجل التحفيز'!$D$5:$D$2004,MATCH($K136,'سجل التحفيز'!$T$5:$T$2004,0)))</f>
        <v/>
      </c>
      <c r="Q136" s="9">
        <f>IF($K136="","",INDEX('سجل التحفيز'!$E$5:$E$2004,MATCH($K136,'سجل التحفيز'!$T$5:$T$2004,0)))</f>
        <v/>
      </c>
      <c r="R136" s="9">
        <f>IF($K136="","",INDEX('سجل التحفيز'!$F$5:$F$2004,MATCH($K136,'سجل التحفيز'!$T$5:$T$2004,0)))</f>
        <v/>
      </c>
      <c r="S136" s="35">
        <f>IF($K136="","",INDEX('سجل التحفيز'!$G$5:$G$2004,MATCH($K136,'سجل التحفيز'!$T$5:$T$2004,0)))</f>
        <v/>
      </c>
    </row>
    <row r="137">
      <c r="B137" s="34">
        <f>IFERROR(INDEX(الموظفات!$B$5:$B$304,MATCH(100,الموظفات!$N$5:$N$304,0)),"")</f>
        <v/>
      </c>
      <c r="C137" s="34">
        <f>IF(B137="","",INDEX(الموظفات!$D$5:$D$304,MATCH(B137,الموظفات!$B$5:$B$304,0))&amp;"")</f>
        <v/>
      </c>
      <c r="D137" s="35">
        <f>IF(B137="","",COUNTIFS('سجل التحفيز'!$T$5:$T$2004,"&gt;0",'سجل التحفيز'!$B$5:$B$2004,B137))</f>
        <v/>
      </c>
      <c r="E137" s="35">
        <f>IF(B137="","",COUNTIFS('سجل التحفيز'!$T$5:$T$2004,"&gt;0",'سجل التحفيز'!$B$5:$B$2004,B137,'سجل التحفيز'!$D$5:$D$2004,"ذهبي"))</f>
        <v/>
      </c>
      <c r="F137" s="35">
        <f>IF(B137="","",SUMIFS('سجل التحفيز'!$G$5:$G$2004,'سجل التحفيز'!$T$5:$T$2004,"&gt;0",'سجل التحفيز'!$B$5:$B$2004,B137))</f>
        <v/>
      </c>
      <c r="G137" s="35">
        <f>IF(B137="","",COUNTIF($D$38:$D$187,"&gt;"&amp;D137)+1)</f>
        <v/>
      </c>
      <c r="H137" s="35">
        <f>IF(B137="","",INDEX(الموظفات!$L$5:$L$304,MATCH(B137,الموظفات!$B$5:$B$304,0)))</f>
        <v/>
      </c>
      <c r="K137" s="36">
        <f>IF(100&gt;$B$10,"",100)</f>
        <v/>
      </c>
      <c r="L137" s="37">
        <f>IF($K137="","",INDEX('سجل التحفيز'!$A$5:$A$2004,MATCH($K137,'سجل التحفيز'!$T$5:$T$2004,0)))</f>
        <v/>
      </c>
      <c r="M137" s="9">
        <f>IF($K137="","",INDEX('سجل التحفيز'!$B$5:$B$2004,MATCH($K137,'سجل التحفيز'!$T$5:$T$2004,0)))</f>
        <v/>
      </c>
      <c r="N137" s="9">
        <f>IF($K137="","",INDEX('سجل التحفيز'!$M$5:$M$2004,MATCH($K137,'سجل التحفيز'!$T$5:$T$2004,0)))</f>
        <v/>
      </c>
      <c r="O137" s="9">
        <f>IF($K137="","",INDEX('سجل التحفيز'!$C$5:$C$2004,MATCH($K137,'سجل التحفيز'!$T$5:$T$2004,0)))</f>
        <v/>
      </c>
      <c r="P137" s="36">
        <f>IF($K137="","",INDEX('سجل التحفيز'!$D$5:$D$2004,MATCH($K137,'سجل التحفيز'!$T$5:$T$2004,0)))</f>
        <v/>
      </c>
      <c r="Q137" s="9">
        <f>IF($K137="","",INDEX('سجل التحفيز'!$E$5:$E$2004,MATCH($K137,'سجل التحفيز'!$T$5:$T$2004,0)))</f>
        <v/>
      </c>
      <c r="R137" s="9">
        <f>IF($K137="","",INDEX('سجل التحفيز'!$F$5:$F$2004,MATCH($K137,'سجل التحفيز'!$T$5:$T$2004,0)))</f>
        <v/>
      </c>
      <c r="S137" s="35">
        <f>IF($K137="","",INDEX('سجل التحفيز'!$G$5:$G$2004,MATCH($K137,'سجل التحفيز'!$T$5:$T$2004,0)))</f>
        <v/>
      </c>
    </row>
    <row r="138">
      <c r="B138" s="34">
        <f>IFERROR(INDEX(الموظفات!$B$5:$B$304,MATCH(101,الموظفات!$N$5:$N$304,0)),"")</f>
        <v/>
      </c>
      <c r="C138" s="34">
        <f>IF(B138="","",INDEX(الموظفات!$D$5:$D$304,MATCH(B138,الموظفات!$B$5:$B$304,0))&amp;"")</f>
        <v/>
      </c>
      <c r="D138" s="35">
        <f>IF(B138="","",COUNTIFS('سجل التحفيز'!$T$5:$T$2004,"&gt;0",'سجل التحفيز'!$B$5:$B$2004,B138))</f>
        <v/>
      </c>
      <c r="E138" s="35">
        <f>IF(B138="","",COUNTIFS('سجل التحفيز'!$T$5:$T$2004,"&gt;0",'سجل التحفيز'!$B$5:$B$2004,B138,'سجل التحفيز'!$D$5:$D$2004,"ذهبي"))</f>
        <v/>
      </c>
      <c r="F138" s="35">
        <f>IF(B138="","",SUMIFS('سجل التحفيز'!$G$5:$G$2004,'سجل التحفيز'!$T$5:$T$2004,"&gt;0",'سجل التحفيز'!$B$5:$B$2004,B138))</f>
        <v/>
      </c>
      <c r="G138" s="35">
        <f>IF(B138="","",COUNTIF($D$38:$D$187,"&gt;"&amp;D138)+1)</f>
        <v/>
      </c>
      <c r="H138" s="35">
        <f>IF(B138="","",INDEX(الموظفات!$L$5:$L$304,MATCH(B138,الموظفات!$B$5:$B$304,0)))</f>
        <v/>
      </c>
      <c r="K138" s="36">
        <f>IF(101&gt;$B$10,"",101)</f>
        <v/>
      </c>
      <c r="L138" s="37">
        <f>IF($K138="","",INDEX('سجل التحفيز'!$A$5:$A$2004,MATCH($K138,'سجل التحفيز'!$T$5:$T$2004,0)))</f>
        <v/>
      </c>
      <c r="M138" s="9">
        <f>IF($K138="","",INDEX('سجل التحفيز'!$B$5:$B$2004,MATCH($K138,'سجل التحفيز'!$T$5:$T$2004,0)))</f>
        <v/>
      </c>
      <c r="N138" s="9">
        <f>IF($K138="","",INDEX('سجل التحفيز'!$M$5:$M$2004,MATCH($K138,'سجل التحفيز'!$T$5:$T$2004,0)))</f>
        <v/>
      </c>
      <c r="O138" s="9">
        <f>IF($K138="","",INDEX('سجل التحفيز'!$C$5:$C$2004,MATCH($K138,'سجل التحفيز'!$T$5:$T$2004,0)))</f>
        <v/>
      </c>
      <c r="P138" s="36">
        <f>IF($K138="","",INDEX('سجل التحفيز'!$D$5:$D$2004,MATCH($K138,'سجل التحفيز'!$T$5:$T$2004,0)))</f>
        <v/>
      </c>
      <c r="Q138" s="9">
        <f>IF($K138="","",INDEX('سجل التحفيز'!$E$5:$E$2004,MATCH($K138,'سجل التحفيز'!$T$5:$T$2004,0)))</f>
        <v/>
      </c>
      <c r="R138" s="9">
        <f>IF($K138="","",INDEX('سجل التحفيز'!$F$5:$F$2004,MATCH($K138,'سجل التحفيز'!$T$5:$T$2004,0)))</f>
        <v/>
      </c>
      <c r="S138" s="35">
        <f>IF($K138="","",INDEX('سجل التحفيز'!$G$5:$G$2004,MATCH($K138,'سجل التحفيز'!$T$5:$T$2004,0)))</f>
        <v/>
      </c>
    </row>
    <row r="139">
      <c r="B139" s="34">
        <f>IFERROR(INDEX(الموظفات!$B$5:$B$304,MATCH(102,الموظفات!$N$5:$N$304,0)),"")</f>
        <v/>
      </c>
      <c r="C139" s="34">
        <f>IF(B139="","",INDEX(الموظفات!$D$5:$D$304,MATCH(B139,الموظفات!$B$5:$B$304,0))&amp;"")</f>
        <v/>
      </c>
      <c r="D139" s="35">
        <f>IF(B139="","",COUNTIFS('سجل التحفيز'!$T$5:$T$2004,"&gt;0",'سجل التحفيز'!$B$5:$B$2004,B139))</f>
        <v/>
      </c>
      <c r="E139" s="35">
        <f>IF(B139="","",COUNTIFS('سجل التحفيز'!$T$5:$T$2004,"&gt;0",'سجل التحفيز'!$B$5:$B$2004,B139,'سجل التحفيز'!$D$5:$D$2004,"ذهبي"))</f>
        <v/>
      </c>
      <c r="F139" s="35">
        <f>IF(B139="","",SUMIFS('سجل التحفيز'!$G$5:$G$2004,'سجل التحفيز'!$T$5:$T$2004,"&gt;0",'سجل التحفيز'!$B$5:$B$2004,B139))</f>
        <v/>
      </c>
      <c r="G139" s="35">
        <f>IF(B139="","",COUNTIF($D$38:$D$187,"&gt;"&amp;D139)+1)</f>
        <v/>
      </c>
      <c r="H139" s="35">
        <f>IF(B139="","",INDEX(الموظفات!$L$5:$L$304,MATCH(B139,الموظفات!$B$5:$B$304,0)))</f>
        <v/>
      </c>
      <c r="K139" s="36">
        <f>IF(102&gt;$B$10,"",102)</f>
        <v/>
      </c>
      <c r="L139" s="37">
        <f>IF($K139="","",INDEX('سجل التحفيز'!$A$5:$A$2004,MATCH($K139,'سجل التحفيز'!$T$5:$T$2004,0)))</f>
        <v/>
      </c>
      <c r="M139" s="9">
        <f>IF($K139="","",INDEX('سجل التحفيز'!$B$5:$B$2004,MATCH($K139,'سجل التحفيز'!$T$5:$T$2004,0)))</f>
        <v/>
      </c>
      <c r="N139" s="9">
        <f>IF($K139="","",INDEX('سجل التحفيز'!$M$5:$M$2004,MATCH($K139,'سجل التحفيز'!$T$5:$T$2004,0)))</f>
        <v/>
      </c>
      <c r="O139" s="9">
        <f>IF($K139="","",INDEX('سجل التحفيز'!$C$5:$C$2004,MATCH($K139,'سجل التحفيز'!$T$5:$T$2004,0)))</f>
        <v/>
      </c>
      <c r="P139" s="36">
        <f>IF($K139="","",INDEX('سجل التحفيز'!$D$5:$D$2004,MATCH($K139,'سجل التحفيز'!$T$5:$T$2004,0)))</f>
        <v/>
      </c>
      <c r="Q139" s="9">
        <f>IF($K139="","",INDEX('سجل التحفيز'!$E$5:$E$2004,MATCH($K139,'سجل التحفيز'!$T$5:$T$2004,0)))</f>
        <v/>
      </c>
      <c r="R139" s="9">
        <f>IF($K139="","",INDEX('سجل التحفيز'!$F$5:$F$2004,MATCH($K139,'سجل التحفيز'!$T$5:$T$2004,0)))</f>
        <v/>
      </c>
      <c r="S139" s="35">
        <f>IF($K139="","",INDEX('سجل التحفيز'!$G$5:$G$2004,MATCH($K139,'سجل التحفيز'!$T$5:$T$2004,0)))</f>
        <v/>
      </c>
    </row>
    <row r="140">
      <c r="B140" s="34">
        <f>IFERROR(INDEX(الموظفات!$B$5:$B$304,MATCH(103,الموظفات!$N$5:$N$304,0)),"")</f>
        <v/>
      </c>
      <c r="C140" s="34">
        <f>IF(B140="","",INDEX(الموظفات!$D$5:$D$304,MATCH(B140,الموظفات!$B$5:$B$304,0))&amp;"")</f>
        <v/>
      </c>
      <c r="D140" s="35">
        <f>IF(B140="","",COUNTIFS('سجل التحفيز'!$T$5:$T$2004,"&gt;0",'سجل التحفيز'!$B$5:$B$2004,B140))</f>
        <v/>
      </c>
      <c r="E140" s="35">
        <f>IF(B140="","",COUNTIFS('سجل التحفيز'!$T$5:$T$2004,"&gt;0",'سجل التحفيز'!$B$5:$B$2004,B140,'سجل التحفيز'!$D$5:$D$2004,"ذهبي"))</f>
        <v/>
      </c>
      <c r="F140" s="35">
        <f>IF(B140="","",SUMIFS('سجل التحفيز'!$G$5:$G$2004,'سجل التحفيز'!$T$5:$T$2004,"&gt;0",'سجل التحفيز'!$B$5:$B$2004,B140))</f>
        <v/>
      </c>
      <c r="G140" s="35">
        <f>IF(B140="","",COUNTIF($D$38:$D$187,"&gt;"&amp;D140)+1)</f>
        <v/>
      </c>
      <c r="H140" s="35">
        <f>IF(B140="","",INDEX(الموظفات!$L$5:$L$304,MATCH(B140,الموظفات!$B$5:$B$304,0)))</f>
        <v/>
      </c>
      <c r="K140" s="36">
        <f>IF(103&gt;$B$10,"",103)</f>
        <v/>
      </c>
      <c r="L140" s="37">
        <f>IF($K140="","",INDEX('سجل التحفيز'!$A$5:$A$2004,MATCH($K140,'سجل التحفيز'!$T$5:$T$2004,0)))</f>
        <v/>
      </c>
      <c r="M140" s="9">
        <f>IF($K140="","",INDEX('سجل التحفيز'!$B$5:$B$2004,MATCH($K140,'سجل التحفيز'!$T$5:$T$2004,0)))</f>
        <v/>
      </c>
      <c r="N140" s="9">
        <f>IF($K140="","",INDEX('سجل التحفيز'!$M$5:$M$2004,MATCH($K140,'سجل التحفيز'!$T$5:$T$2004,0)))</f>
        <v/>
      </c>
      <c r="O140" s="9">
        <f>IF($K140="","",INDEX('سجل التحفيز'!$C$5:$C$2004,MATCH($K140,'سجل التحفيز'!$T$5:$T$2004,0)))</f>
        <v/>
      </c>
      <c r="P140" s="36">
        <f>IF($K140="","",INDEX('سجل التحفيز'!$D$5:$D$2004,MATCH($K140,'سجل التحفيز'!$T$5:$T$2004,0)))</f>
        <v/>
      </c>
      <c r="Q140" s="9">
        <f>IF($K140="","",INDEX('سجل التحفيز'!$E$5:$E$2004,MATCH($K140,'سجل التحفيز'!$T$5:$T$2004,0)))</f>
        <v/>
      </c>
      <c r="R140" s="9">
        <f>IF($K140="","",INDEX('سجل التحفيز'!$F$5:$F$2004,MATCH($K140,'سجل التحفيز'!$T$5:$T$2004,0)))</f>
        <v/>
      </c>
      <c r="S140" s="35">
        <f>IF($K140="","",INDEX('سجل التحفيز'!$G$5:$G$2004,MATCH($K140,'سجل التحفيز'!$T$5:$T$2004,0)))</f>
        <v/>
      </c>
    </row>
    <row r="141">
      <c r="B141" s="34">
        <f>IFERROR(INDEX(الموظفات!$B$5:$B$304,MATCH(104,الموظفات!$N$5:$N$304,0)),"")</f>
        <v/>
      </c>
      <c r="C141" s="34">
        <f>IF(B141="","",INDEX(الموظفات!$D$5:$D$304,MATCH(B141,الموظفات!$B$5:$B$304,0))&amp;"")</f>
        <v/>
      </c>
      <c r="D141" s="35">
        <f>IF(B141="","",COUNTIFS('سجل التحفيز'!$T$5:$T$2004,"&gt;0",'سجل التحفيز'!$B$5:$B$2004,B141))</f>
        <v/>
      </c>
      <c r="E141" s="35">
        <f>IF(B141="","",COUNTIFS('سجل التحفيز'!$T$5:$T$2004,"&gt;0",'سجل التحفيز'!$B$5:$B$2004,B141,'سجل التحفيز'!$D$5:$D$2004,"ذهبي"))</f>
        <v/>
      </c>
      <c r="F141" s="35">
        <f>IF(B141="","",SUMIFS('سجل التحفيز'!$G$5:$G$2004,'سجل التحفيز'!$T$5:$T$2004,"&gt;0",'سجل التحفيز'!$B$5:$B$2004,B141))</f>
        <v/>
      </c>
      <c r="G141" s="35">
        <f>IF(B141="","",COUNTIF($D$38:$D$187,"&gt;"&amp;D141)+1)</f>
        <v/>
      </c>
      <c r="H141" s="35">
        <f>IF(B141="","",INDEX(الموظفات!$L$5:$L$304,MATCH(B141,الموظفات!$B$5:$B$304,0)))</f>
        <v/>
      </c>
      <c r="K141" s="36">
        <f>IF(104&gt;$B$10,"",104)</f>
        <v/>
      </c>
      <c r="L141" s="37">
        <f>IF($K141="","",INDEX('سجل التحفيز'!$A$5:$A$2004,MATCH($K141,'سجل التحفيز'!$T$5:$T$2004,0)))</f>
        <v/>
      </c>
      <c r="M141" s="9">
        <f>IF($K141="","",INDEX('سجل التحفيز'!$B$5:$B$2004,MATCH($K141,'سجل التحفيز'!$T$5:$T$2004,0)))</f>
        <v/>
      </c>
      <c r="N141" s="9">
        <f>IF($K141="","",INDEX('سجل التحفيز'!$M$5:$M$2004,MATCH($K141,'سجل التحفيز'!$T$5:$T$2004,0)))</f>
        <v/>
      </c>
      <c r="O141" s="9">
        <f>IF($K141="","",INDEX('سجل التحفيز'!$C$5:$C$2004,MATCH($K141,'سجل التحفيز'!$T$5:$T$2004,0)))</f>
        <v/>
      </c>
      <c r="P141" s="36">
        <f>IF($K141="","",INDEX('سجل التحفيز'!$D$5:$D$2004,MATCH($K141,'سجل التحفيز'!$T$5:$T$2004,0)))</f>
        <v/>
      </c>
      <c r="Q141" s="9">
        <f>IF($K141="","",INDEX('سجل التحفيز'!$E$5:$E$2004,MATCH($K141,'سجل التحفيز'!$T$5:$T$2004,0)))</f>
        <v/>
      </c>
      <c r="R141" s="9">
        <f>IF($K141="","",INDEX('سجل التحفيز'!$F$5:$F$2004,MATCH($K141,'سجل التحفيز'!$T$5:$T$2004,0)))</f>
        <v/>
      </c>
      <c r="S141" s="35">
        <f>IF($K141="","",INDEX('سجل التحفيز'!$G$5:$G$2004,MATCH($K141,'سجل التحفيز'!$T$5:$T$2004,0)))</f>
        <v/>
      </c>
    </row>
    <row r="142">
      <c r="B142" s="34">
        <f>IFERROR(INDEX(الموظفات!$B$5:$B$304,MATCH(105,الموظفات!$N$5:$N$304,0)),"")</f>
        <v/>
      </c>
      <c r="C142" s="34">
        <f>IF(B142="","",INDEX(الموظفات!$D$5:$D$304,MATCH(B142,الموظفات!$B$5:$B$304,0))&amp;"")</f>
        <v/>
      </c>
      <c r="D142" s="35">
        <f>IF(B142="","",COUNTIFS('سجل التحفيز'!$T$5:$T$2004,"&gt;0",'سجل التحفيز'!$B$5:$B$2004,B142))</f>
        <v/>
      </c>
      <c r="E142" s="35">
        <f>IF(B142="","",COUNTIFS('سجل التحفيز'!$T$5:$T$2004,"&gt;0",'سجل التحفيز'!$B$5:$B$2004,B142,'سجل التحفيز'!$D$5:$D$2004,"ذهبي"))</f>
        <v/>
      </c>
      <c r="F142" s="35">
        <f>IF(B142="","",SUMIFS('سجل التحفيز'!$G$5:$G$2004,'سجل التحفيز'!$T$5:$T$2004,"&gt;0",'سجل التحفيز'!$B$5:$B$2004,B142))</f>
        <v/>
      </c>
      <c r="G142" s="35">
        <f>IF(B142="","",COUNTIF($D$38:$D$187,"&gt;"&amp;D142)+1)</f>
        <v/>
      </c>
      <c r="H142" s="35">
        <f>IF(B142="","",INDEX(الموظفات!$L$5:$L$304,MATCH(B142,الموظفات!$B$5:$B$304,0)))</f>
        <v/>
      </c>
      <c r="K142" s="36">
        <f>IF(105&gt;$B$10,"",105)</f>
        <v/>
      </c>
      <c r="L142" s="37">
        <f>IF($K142="","",INDEX('سجل التحفيز'!$A$5:$A$2004,MATCH($K142,'سجل التحفيز'!$T$5:$T$2004,0)))</f>
        <v/>
      </c>
      <c r="M142" s="9">
        <f>IF($K142="","",INDEX('سجل التحفيز'!$B$5:$B$2004,MATCH($K142,'سجل التحفيز'!$T$5:$T$2004,0)))</f>
        <v/>
      </c>
      <c r="N142" s="9">
        <f>IF($K142="","",INDEX('سجل التحفيز'!$M$5:$M$2004,MATCH($K142,'سجل التحفيز'!$T$5:$T$2004,0)))</f>
        <v/>
      </c>
      <c r="O142" s="9">
        <f>IF($K142="","",INDEX('سجل التحفيز'!$C$5:$C$2004,MATCH($K142,'سجل التحفيز'!$T$5:$T$2004,0)))</f>
        <v/>
      </c>
      <c r="P142" s="36">
        <f>IF($K142="","",INDEX('سجل التحفيز'!$D$5:$D$2004,MATCH($K142,'سجل التحفيز'!$T$5:$T$2004,0)))</f>
        <v/>
      </c>
      <c r="Q142" s="9">
        <f>IF($K142="","",INDEX('سجل التحفيز'!$E$5:$E$2004,MATCH($K142,'سجل التحفيز'!$T$5:$T$2004,0)))</f>
        <v/>
      </c>
      <c r="R142" s="9">
        <f>IF($K142="","",INDEX('سجل التحفيز'!$F$5:$F$2004,MATCH($K142,'سجل التحفيز'!$T$5:$T$2004,0)))</f>
        <v/>
      </c>
      <c r="S142" s="35">
        <f>IF($K142="","",INDEX('سجل التحفيز'!$G$5:$G$2004,MATCH($K142,'سجل التحفيز'!$T$5:$T$2004,0)))</f>
        <v/>
      </c>
    </row>
    <row r="143">
      <c r="B143" s="34">
        <f>IFERROR(INDEX(الموظفات!$B$5:$B$304,MATCH(106,الموظفات!$N$5:$N$304,0)),"")</f>
        <v/>
      </c>
      <c r="C143" s="34">
        <f>IF(B143="","",INDEX(الموظفات!$D$5:$D$304,MATCH(B143,الموظفات!$B$5:$B$304,0))&amp;"")</f>
        <v/>
      </c>
      <c r="D143" s="35">
        <f>IF(B143="","",COUNTIFS('سجل التحفيز'!$T$5:$T$2004,"&gt;0",'سجل التحفيز'!$B$5:$B$2004,B143))</f>
        <v/>
      </c>
      <c r="E143" s="35">
        <f>IF(B143="","",COUNTIFS('سجل التحفيز'!$T$5:$T$2004,"&gt;0",'سجل التحفيز'!$B$5:$B$2004,B143,'سجل التحفيز'!$D$5:$D$2004,"ذهبي"))</f>
        <v/>
      </c>
      <c r="F143" s="35">
        <f>IF(B143="","",SUMIFS('سجل التحفيز'!$G$5:$G$2004,'سجل التحفيز'!$T$5:$T$2004,"&gt;0",'سجل التحفيز'!$B$5:$B$2004,B143))</f>
        <v/>
      </c>
      <c r="G143" s="35">
        <f>IF(B143="","",COUNTIF($D$38:$D$187,"&gt;"&amp;D143)+1)</f>
        <v/>
      </c>
      <c r="H143" s="35">
        <f>IF(B143="","",INDEX(الموظفات!$L$5:$L$304,MATCH(B143,الموظفات!$B$5:$B$304,0)))</f>
        <v/>
      </c>
      <c r="K143" s="36">
        <f>IF(106&gt;$B$10,"",106)</f>
        <v/>
      </c>
      <c r="L143" s="37">
        <f>IF($K143="","",INDEX('سجل التحفيز'!$A$5:$A$2004,MATCH($K143,'سجل التحفيز'!$T$5:$T$2004,0)))</f>
        <v/>
      </c>
      <c r="M143" s="9">
        <f>IF($K143="","",INDEX('سجل التحفيز'!$B$5:$B$2004,MATCH($K143,'سجل التحفيز'!$T$5:$T$2004,0)))</f>
        <v/>
      </c>
      <c r="N143" s="9">
        <f>IF($K143="","",INDEX('سجل التحفيز'!$M$5:$M$2004,MATCH($K143,'سجل التحفيز'!$T$5:$T$2004,0)))</f>
        <v/>
      </c>
      <c r="O143" s="9">
        <f>IF($K143="","",INDEX('سجل التحفيز'!$C$5:$C$2004,MATCH($K143,'سجل التحفيز'!$T$5:$T$2004,0)))</f>
        <v/>
      </c>
      <c r="P143" s="36">
        <f>IF($K143="","",INDEX('سجل التحفيز'!$D$5:$D$2004,MATCH($K143,'سجل التحفيز'!$T$5:$T$2004,0)))</f>
        <v/>
      </c>
      <c r="Q143" s="9">
        <f>IF($K143="","",INDEX('سجل التحفيز'!$E$5:$E$2004,MATCH($K143,'سجل التحفيز'!$T$5:$T$2004,0)))</f>
        <v/>
      </c>
      <c r="R143" s="9">
        <f>IF($K143="","",INDEX('سجل التحفيز'!$F$5:$F$2004,MATCH($K143,'سجل التحفيز'!$T$5:$T$2004,0)))</f>
        <v/>
      </c>
      <c r="S143" s="35">
        <f>IF($K143="","",INDEX('سجل التحفيز'!$G$5:$G$2004,MATCH($K143,'سجل التحفيز'!$T$5:$T$2004,0)))</f>
        <v/>
      </c>
    </row>
    <row r="144">
      <c r="B144" s="34">
        <f>IFERROR(INDEX(الموظفات!$B$5:$B$304,MATCH(107,الموظفات!$N$5:$N$304,0)),"")</f>
        <v/>
      </c>
      <c r="C144" s="34">
        <f>IF(B144="","",INDEX(الموظفات!$D$5:$D$304,MATCH(B144,الموظفات!$B$5:$B$304,0))&amp;"")</f>
        <v/>
      </c>
      <c r="D144" s="35">
        <f>IF(B144="","",COUNTIFS('سجل التحفيز'!$T$5:$T$2004,"&gt;0",'سجل التحفيز'!$B$5:$B$2004,B144))</f>
        <v/>
      </c>
      <c r="E144" s="35">
        <f>IF(B144="","",COUNTIFS('سجل التحفيز'!$T$5:$T$2004,"&gt;0",'سجل التحفيز'!$B$5:$B$2004,B144,'سجل التحفيز'!$D$5:$D$2004,"ذهبي"))</f>
        <v/>
      </c>
      <c r="F144" s="35">
        <f>IF(B144="","",SUMIFS('سجل التحفيز'!$G$5:$G$2004,'سجل التحفيز'!$T$5:$T$2004,"&gt;0",'سجل التحفيز'!$B$5:$B$2004,B144))</f>
        <v/>
      </c>
      <c r="G144" s="35">
        <f>IF(B144="","",COUNTIF($D$38:$D$187,"&gt;"&amp;D144)+1)</f>
        <v/>
      </c>
      <c r="H144" s="35">
        <f>IF(B144="","",INDEX(الموظفات!$L$5:$L$304,MATCH(B144,الموظفات!$B$5:$B$304,0)))</f>
        <v/>
      </c>
      <c r="K144" s="36">
        <f>IF(107&gt;$B$10,"",107)</f>
        <v/>
      </c>
      <c r="L144" s="37">
        <f>IF($K144="","",INDEX('سجل التحفيز'!$A$5:$A$2004,MATCH($K144,'سجل التحفيز'!$T$5:$T$2004,0)))</f>
        <v/>
      </c>
      <c r="M144" s="9">
        <f>IF($K144="","",INDEX('سجل التحفيز'!$B$5:$B$2004,MATCH($K144,'سجل التحفيز'!$T$5:$T$2004,0)))</f>
        <v/>
      </c>
      <c r="N144" s="9">
        <f>IF($K144="","",INDEX('سجل التحفيز'!$M$5:$M$2004,MATCH($K144,'سجل التحفيز'!$T$5:$T$2004,0)))</f>
        <v/>
      </c>
      <c r="O144" s="9">
        <f>IF($K144="","",INDEX('سجل التحفيز'!$C$5:$C$2004,MATCH($K144,'سجل التحفيز'!$T$5:$T$2004,0)))</f>
        <v/>
      </c>
      <c r="P144" s="36">
        <f>IF($K144="","",INDEX('سجل التحفيز'!$D$5:$D$2004,MATCH($K144,'سجل التحفيز'!$T$5:$T$2004,0)))</f>
        <v/>
      </c>
      <c r="Q144" s="9">
        <f>IF($K144="","",INDEX('سجل التحفيز'!$E$5:$E$2004,MATCH($K144,'سجل التحفيز'!$T$5:$T$2004,0)))</f>
        <v/>
      </c>
      <c r="R144" s="9">
        <f>IF($K144="","",INDEX('سجل التحفيز'!$F$5:$F$2004,MATCH($K144,'سجل التحفيز'!$T$5:$T$2004,0)))</f>
        <v/>
      </c>
      <c r="S144" s="35">
        <f>IF($K144="","",INDEX('سجل التحفيز'!$G$5:$G$2004,MATCH($K144,'سجل التحفيز'!$T$5:$T$2004,0)))</f>
        <v/>
      </c>
    </row>
    <row r="145">
      <c r="B145" s="34">
        <f>IFERROR(INDEX(الموظفات!$B$5:$B$304,MATCH(108,الموظفات!$N$5:$N$304,0)),"")</f>
        <v/>
      </c>
      <c r="C145" s="34">
        <f>IF(B145="","",INDEX(الموظفات!$D$5:$D$304,MATCH(B145,الموظفات!$B$5:$B$304,0))&amp;"")</f>
        <v/>
      </c>
      <c r="D145" s="35">
        <f>IF(B145="","",COUNTIFS('سجل التحفيز'!$T$5:$T$2004,"&gt;0",'سجل التحفيز'!$B$5:$B$2004,B145))</f>
        <v/>
      </c>
      <c r="E145" s="35">
        <f>IF(B145="","",COUNTIFS('سجل التحفيز'!$T$5:$T$2004,"&gt;0",'سجل التحفيز'!$B$5:$B$2004,B145,'سجل التحفيز'!$D$5:$D$2004,"ذهبي"))</f>
        <v/>
      </c>
      <c r="F145" s="35">
        <f>IF(B145="","",SUMIFS('سجل التحفيز'!$G$5:$G$2004,'سجل التحفيز'!$T$5:$T$2004,"&gt;0",'سجل التحفيز'!$B$5:$B$2004,B145))</f>
        <v/>
      </c>
      <c r="G145" s="35">
        <f>IF(B145="","",COUNTIF($D$38:$D$187,"&gt;"&amp;D145)+1)</f>
        <v/>
      </c>
      <c r="H145" s="35">
        <f>IF(B145="","",INDEX(الموظفات!$L$5:$L$304,MATCH(B145,الموظفات!$B$5:$B$304,0)))</f>
        <v/>
      </c>
      <c r="K145" s="36">
        <f>IF(108&gt;$B$10,"",108)</f>
        <v/>
      </c>
      <c r="L145" s="37">
        <f>IF($K145="","",INDEX('سجل التحفيز'!$A$5:$A$2004,MATCH($K145,'سجل التحفيز'!$T$5:$T$2004,0)))</f>
        <v/>
      </c>
      <c r="M145" s="9">
        <f>IF($K145="","",INDEX('سجل التحفيز'!$B$5:$B$2004,MATCH($K145,'سجل التحفيز'!$T$5:$T$2004,0)))</f>
        <v/>
      </c>
      <c r="N145" s="9">
        <f>IF($K145="","",INDEX('سجل التحفيز'!$M$5:$M$2004,MATCH($K145,'سجل التحفيز'!$T$5:$T$2004,0)))</f>
        <v/>
      </c>
      <c r="O145" s="9">
        <f>IF($K145="","",INDEX('سجل التحفيز'!$C$5:$C$2004,MATCH($K145,'سجل التحفيز'!$T$5:$T$2004,0)))</f>
        <v/>
      </c>
      <c r="P145" s="36">
        <f>IF($K145="","",INDEX('سجل التحفيز'!$D$5:$D$2004,MATCH($K145,'سجل التحفيز'!$T$5:$T$2004,0)))</f>
        <v/>
      </c>
      <c r="Q145" s="9">
        <f>IF($K145="","",INDEX('سجل التحفيز'!$E$5:$E$2004,MATCH($K145,'سجل التحفيز'!$T$5:$T$2004,0)))</f>
        <v/>
      </c>
      <c r="R145" s="9">
        <f>IF($K145="","",INDEX('سجل التحفيز'!$F$5:$F$2004,MATCH($K145,'سجل التحفيز'!$T$5:$T$2004,0)))</f>
        <v/>
      </c>
      <c r="S145" s="35">
        <f>IF($K145="","",INDEX('سجل التحفيز'!$G$5:$G$2004,MATCH($K145,'سجل التحفيز'!$T$5:$T$2004,0)))</f>
        <v/>
      </c>
    </row>
    <row r="146">
      <c r="B146" s="34">
        <f>IFERROR(INDEX(الموظفات!$B$5:$B$304,MATCH(109,الموظفات!$N$5:$N$304,0)),"")</f>
        <v/>
      </c>
      <c r="C146" s="34">
        <f>IF(B146="","",INDEX(الموظفات!$D$5:$D$304,MATCH(B146,الموظفات!$B$5:$B$304,0))&amp;"")</f>
        <v/>
      </c>
      <c r="D146" s="35">
        <f>IF(B146="","",COUNTIFS('سجل التحفيز'!$T$5:$T$2004,"&gt;0",'سجل التحفيز'!$B$5:$B$2004,B146))</f>
        <v/>
      </c>
      <c r="E146" s="35">
        <f>IF(B146="","",COUNTIFS('سجل التحفيز'!$T$5:$T$2004,"&gt;0",'سجل التحفيز'!$B$5:$B$2004,B146,'سجل التحفيز'!$D$5:$D$2004,"ذهبي"))</f>
        <v/>
      </c>
      <c r="F146" s="35">
        <f>IF(B146="","",SUMIFS('سجل التحفيز'!$G$5:$G$2004,'سجل التحفيز'!$T$5:$T$2004,"&gt;0",'سجل التحفيز'!$B$5:$B$2004,B146))</f>
        <v/>
      </c>
      <c r="G146" s="35">
        <f>IF(B146="","",COUNTIF($D$38:$D$187,"&gt;"&amp;D146)+1)</f>
        <v/>
      </c>
      <c r="H146" s="35">
        <f>IF(B146="","",INDEX(الموظفات!$L$5:$L$304,MATCH(B146,الموظفات!$B$5:$B$304,0)))</f>
        <v/>
      </c>
      <c r="K146" s="36">
        <f>IF(109&gt;$B$10,"",109)</f>
        <v/>
      </c>
      <c r="L146" s="37">
        <f>IF($K146="","",INDEX('سجل التحفيز'!$A$5:$A$2004,MATCH($K146,'سجل التحفيز'!$T$5:$T$2004,0)))</f>
        <v/>
      </c>
      <c r="M146" s="9">
        <f>IF($K146="","",INDEX('سجل التحفيز'!$B$5:$B$2004,MATCH($K146,'سجل التحفيز'!$T$5:$T$2004,0)))</f>
        <v/>
      </c>
      <c r="N146" s="9">
        <f>IF($K146="","",INDEX('سجل التحفيز'!$M$5:$M$2004,MATCH($K146,'سجل التحفيز'!$T$5:$T$2004,0)))</f>
        <v/>
      </c>
      <c r="O146" s="9">
        <f>IF($K146="","",INDEX('سجل التحفيز'!$C$5:$C$2004,MATCH($K146,'سجل التحفيز'!$T$5:$T$2004,0)))</f>
        <v/>
      </c>
      <c r="P146" s="36">
        <f>IF($K146="","",INDEX('سجل التحفيز'!$D$5:$D$2004,MATCH($K146,'سجل التحفيز'!$T$5:$T$2004,0)))</f>
        <v/>
      </c>
      <c r="Q146" s="9">
        <f>IF($K146="","",INDEX('سجل التحفيز'!$E$5:$E$2004,MATCH($K146,'سجل التحفيز'!$T$5:$T$2004,0)))</f>
        <v/>
      </c>
      <c r="R146" s="9">
        <f>IF($K146="","",INDEX('سجل التحفيز'!$F$5:$F$2004,MATCH($K146,'سجل التحفيز'!$T$5:$T$2004,0)))</f>
        <v/>
      </c>
      <c r="S146" s="35">
        <f>IF($K146="","",INDEX('سجل التحفيز'!$G$5:$G$2004,MATCH($K146,'سجل التحفيز'!$T$5:$T$2004,0)))</f>
        <v/>
      </c>
    </row>
    <row r="147">
      <c r="B147" s="34">
        <f>IFERROR(INDEX(الموظفات!$B$5:$B$304,MATCH(110,الموظفات!$N$5:$N$304,0)),"")</f>
        <v/>
      </c>
      <c r="C147" s="34">
        <f>IF(B147="","",INDEX(الموظفات!$D$5:$D$304,MATCH(B147,الموظفات!$B$5:$B$304,0))&amp;"")</f>
        <v/>
      </c>
      <c r="D147" s="35">
        <f>IF(B147="","",COUNTIFS('سجل التحفيز'!$T$5:$T$2004,"&gt;0",'سجل التحفيز'!$B$5:$B$2004,B147))</f>
        <v/>
      </c>
      <c r="E147" s="35">
        <f>IF(B147="","",COUNTIFS('سجل التحفيز'!$T$5:$T$2004,"&gt;0",'سجل التحفيز'!$B$5:$B$2004,B147,'سجل التحفيز'!$D$5:$D$2004,"ذهبي"))</f>
        <v/>
      </c>
      <c r="F147" s="35">
        <f>IF(B147="","",SUMIFS('سجل التحفيز'!$G$5:$G$2004,'سجل التحفيز'!$T$5:$T$2004,"&gt;0",'سجل التحفيز'!$B$5:$B$2004,B147))</f>
        <v/>
      </c>
      <c r="G147" s="35">
        <f>IF(B147="","",COUNTIF($D$38:$D$187,"&gt;"&amp;D147)+1)</f>
        <v/>
      </c>
      <c r="H147" s="35">
        <f>IF(B147="","",INDEX(الموظفات!$L$5:$L$304,MATCH(B147,الموظفات!$B$5:$B$304,0)))</f>
        <v/>
      </c>
      <c r="K147" s="36">
        <f>IF(110&gt;$B$10,"",110)</f>
        <v/>
      </c>
      <c r="L147" s="37">
        <f>IF($K147="","",INDEX('سجل التحفيز'!$A$5:$A$2004,MATCH($K147,'سجل التحفيز'!$T$5:$T$2004,0)))</f>
        <v/>
      </c>
      <c r="M147" s="9">
        <f>IF($K147="","",INDEX('سجل التحفيز'!$B$5:$B$2004,MATCH($K147,'سجل التحفيز'!$T$5:$T$2004,0)))</f>
        <v/>
      </c>
      <c r="N147" s="9">
        <f>IF($K147="","",INDEX('سجل التحفيز'!$M$5:$M$2004,MATCH($K147,'سجل التحفيز'!$T$5:$T$2004,0)))</f>
        <v/>
      </c>
      <c r="O147" s="9">
        <f>IF($K147="","",INDEX('سجل التحفيز'!$C$5:$C$2004,MATCH($K147,'سجل التحفيز'!$T$5:$T$2004,0)))</f>
        <v/>
      </c>
      <c r="P147" s="36">
        <f>IF($K147="","",INDEX('سجل التحفيز'!$D$5:$D$2004,MATCH($K147,'سجل التحفيز'!$T$5:$T$2004,0)))</f>
        <v/>
      </c>
      <c r="Q147" s="9">
        <f>IF($K147="","",INDEX('سجل التحفيز'!$E$5:$E$2004,MATCH($K147,'سجل التحفيز'!$T$5:$T$2004,0)))</f>
        <v/>
      </c>
      <c r="R147" s="9">
        <f>IF($K147="","",INDEX('سجل التحفيز'!$F$5:$F$2004,MATCH($K147,'سجل التحفيز'!$T$5:$T$2004,0)))</f>
        <v/>
      </c>
      <c r="S147" s="35">
        <f>IF($K147="","",INDEX('سجل التحفيز'!$G$5:$G$2004,MATCH($K147,'سجل التحفيز'!$T$5:$T$2004,0)))</f>
        <v/>
      </c>
    </row>
    <row r="148">
      <c r="B148" s="34">
        <f>IFERROR(INDEX(الموظفات!$B$5:$B$304,MATCH(111,الموظفات!$N$5:$N$304,0)),"")</f>
        <v/>
      </c>
      <c r="C148" s="34">
        <f>IF(B148="","",INDEX(الموظفات!$D$5:$D$304,MATCH(B148,الموظفات!$B$5:$B$304,0))&amp;"")</f>
        <v/>
      </c>
      <c r="D148" s="35">
        <f>IF(B148="","",COUNTIFS('سجل التحفيز'!$T$5:$T$2004,"&gt;0",'سجل التحفيز'!$B$5:$B$2004,B148))</f>
        <v/>
      </c>
      <c r="E148" s="35">
        <f>IF(B148="","",COUNTIFS('سجل التحفيز'!$T$5:$T$2004,"&gt;0",'سجل التحفيز'!$B$5:$B$2004,B148,'سجل التحفيز'!$D$5:$D$2004,"ذهبي"))</f>
        <v/>
      </c>
      <c r="F148" s="35">
        <f>IF(B148="","",SUMIFS('سجل التحفيز'!$G$5:$G$2004,'سجل التحفيز'!$T$5:$T$2004,"&gt;0",'سجل التحفيز'!$B$5:$B$2004,B148))</f>
        <v/>
      </c>
      <c r="G148" s="35">
        <f>IF(B148="","",COUNTIF($D$38:$D$187,"&gt;"&amp;D148)+1)</f>
        <v/>
      </c>
      <c r="H148" s="35">
        <f>IF(B148="","",INDEX(الموظفات!$L$5:$L$304,MATCH(B148,الموظفات!$B$5:$B$304,0)))</f>
        <v/>
      </c>
      <c r="K148" s="36">
        <f>IF(111&gt;$B$10,"",111)</f>
        <v/>
      </c>
      <c r="L148" s="37">
        <f>IF($K148="","",INDEX('سجل التحفيز'!$A$5:$A$2004,MATCH($K148,'سجل التحفيز'!$T$5:$T$2004,0)))</f>
        <v/>
      </c>
      <c r="M148" s="9">
        <f>IF($K148="","",INDEX('سجل التحفيز'!$B$5:$B$2004,MATCH($K148,'سجل التحفيز'!$T$5:$T$2004,0)))</f>
        <v/>
      </c>
      <c r="N148" s="9">
        <f>IF($K148="","",INDEX('سجل التحفيز'!$M$5:$M$2004,MATCH($K148,'سجل التحفيز'!$T$5:$T$2004,0)))</f>
        <v/>
      </c>
      <c r="O148" s="9">
        <f>IF($K148="","",INDEX('سجل التحفيز'!$C$5:$C$2004,MATCH($K148,'سجل التحفيز'!$T$5:$T$2004,0)))</f>
        <v/>
      </c>
      <c r="P148" s="36">
        <f>IF($K148="","",INDEX('سجل التحفيز'!$D$5:$D$2004,MATCH($K148,'سجل التحفيز'!$T$5:$T$2004,0)))</f>
        <v/>
      </c>
      <c r="Q148" s="9">
        <f>IF($K148="","",INDEX('سجل التحفيز'!$E$5:$E$2004,MATCH($K148,'سجل التحفيز'!$T$5:$T$2004,0)))</f>
        <v/>
      </c>
      <c r="R148" s="9">
        <f>IF($K148="","",INDEX('سجل التحفيز'!$F$5:$F$2004,MATCH($K148,'سجل التحفيز'!$T$5:$T$2004,0)))</f>
        <v/>
      </c>
      <c r="S148" s="35">
        <f>IF($K148="","",INDEX('سجل التحفيز'!$G$5:$G$2004,MATCH($K148,'سجل التحفيز'!$T$5:$T$2004,0)))</f>
        <v/>
      </c>
    </row>
    <row r="149">
      <c r="B149" s="34">
        <f>IFERROR(INDEX(الموظفات!$B$5:$B$304,MATCH(112,الموظفات!$N$5:$N$304,0)),"")</f>
        <v/>
      </c>
      <c r="C149" s="34">
        <f>IF(B149="","",INDEX(الموظفات!$D$5:$D$304,MATCH(B149,الموظفات!$B$5:$B$304,0))&amp;"")</f>
        <v/>
      </c>
      <c r="D149" s="35">
        <f>IF(B149="","",COUNTIFS('سجل التحفيز'!$T$5:$T$2004,"&gt;0",'سجل التحفيز'!$B$5:$B$2004,B149))</f>
        <v/>
      </c>
      <c r="E149" s="35">
        <f>IF(B149="","",COUNTIFS('سجل التحفيز'!$T$5:$T$2004,"&gt;0",'سجل التحفيز'!$B$5:$B$2004,B149,'سجل التحفيز'!$D$5:$D$2004,"ذهبي"))</f>
        <v/>
      </c>
      <c r="F149" s="35">
        <f>IF(B149="","",SUMIFS('سجل التحفيز'!$G$5:$G$2004,'سجل التحفيز'!$T$5:$T$2004,"&gt;0",'سجل التحفيز'!$B$5:$B$2004,B149))</f>
        <v/>
      </c>
      <c r="G149" s="35">
        <f>IF(B149="","",COUNTIF($D$38:$D$187,"&gt;"&amp;D149)+1)</f>
        <v/>
      </c>
      <c r="H149" s="35">
        <f>IF(B149="","",INDEX(الموظفات!$L$5:$L$304,MATCH(B149,الموظفات!$B$5:$B$304,0)))</f>
        <v/>
      </c>
      <c r="K149" s="36">
        <f>IF(112&gt;$B$10,"",112)</f>
        <v/>
      </c>
      <c r="L149" s="37">
        <f>IF($K149="","",INDEX('سجل التحفيز'!$A$5:$A$2004,MATCH($K149,'سجل التحفيز'!$T$5:$T$2004,0)))</f>
        <v/>
      </c>
      <c r="M149" s="9">
        <f>IF($K149="","",INDEX('سجل التحفيز'!$B$5:$B$2004,MATCH($K149,'سجل التحفيز'!$T$5:$T$2004,0)))</f>
        <v/>
      </c>
      <c r="N149" s="9">
        <f>IF($K149="","",INDEX('سجل التحفيز'!$M$5:$M$2004,MATCH($K149,'سجل التحفيز'!$T$5:$T$2004,0)))</f>
        <v/>
      </c>
      <c r="O149" s="9">
        <f>IF($K149="","",INDEX('سجل التحفيز'!$C$5:$C$2004,MATCH($K149,'سجل التحفيز'!$T$5:$T$2004,0)))</f>
        <v/>
      </c>
      <c r="P149" s="36">
        <f>IF($K149="","",INDEX('سجل التحفيز'!$D$5:$D$2004,MATCH($K149,'سجل التحفيز'!$T$5:$T$2004,0)))</f>
        <v/>
      </c>
      <c r="Q149" s="9">
        <f>IF($K149="","",INDEX('سجل التحفيز'!$E$5:$E$2004,MATCH($K149,'سجل التحفيز'!$T$5:$T$2004,0)))</f>
        <v/>
      </c>
      <c r="R149" s="9">
        <f>IF($K149="","",INDEX('سجل التحفيز'!$F$5:$F$2004,MATCH($K149,'سجل التحفيز'!$T$5:$T$2004,0)))</f>
        <v/>
      </c>
      <c r="S149" s="35">
        <f>IF($K149="","",INDEX('سجل التحفيز'!$G$5:$G$2004,MATCH($K149,'سجل التحفيز'!$T$5:$T$2004,0)))</f>
        <v/>
      </c>
    </row>
    <row r="150">
      <c r="B150" s="34">
        <f>IFERROR(INDEX(الموظفات!$B$5:$B$304,MATCH(113,الموظفات!$N$5:$N$304,0)),"")</f>
        <v/>
      </c>
      <c r="C150" s="34">
        <f>IF(B150="","",INDEX(الموظفات!$D$5:$D$304,MATCH(B150,الموظفات!$B$5:$B$304,0))&amp;"")</f>
        <v/>
      </c>
      <c r="D150" s="35">
        <f>IF(B150="","",COUNTIFS('سجل التحفيز'!$T$5:$T$2004,"&gt;0",'سجل التحفيز'!$B$5:$B$2004,B150))</f>
        <v/>
      </c>
      <c r="E150" s="35">
        <f>IF(B150="","",COUNTIFS('سجل التحفيز'!$T$5:$T$2004,"&gt;0",'سجل التحفيز'!$B$5:$B$2004,B150,'سجل التحفيز'!$D$5:$D$2004,"ذهبي"))</f>
        <v/>
      </c>
      <c r="F150" s="35">
        <f>IF(B150="","",SUMIFS('سجل التحفيز'!$G$5:$G$2004,'سجل التحفيز'!$T$5:$T$2004,"&gt;0",'سجل التحفيز'!$B$5:$B$2004,B150))</f>
        <v/>
      </c>
      <c r="G150" s="35">
        <f>IF(B150="","",COUNTIF($D$38:$D$187,"&gt;"&amp;D150)+1)</f>
        <v/>
      </c>
      <c r="H150" s="35">
        <f>IF(B150="","",INDEX(الموظفات!$L$5:$L$304,MATCH(B150,الموظفات!$B$5:$B$304,0)))</f>
        <v/>
      </c>
      <c r="K150" s="36">
        <f>IF(113&gt;$B$10,"",113)</f>
        <v/>
      </c>
      <c r="L150" s="37">
        <f>IF($K150="","",INDEX('سجل التحفيز'!$A$5:$A$2004,MATCH($K150,'سجل التحفيز'!$T$5:$T$2004,0)))</f>
        <v/>
      </c>
      <c r="M150" s="9">
        <f>IF($K150="","",INDEX('سجل التحفيز'!$B$5:$B$2004,MATCH($K150,'سجل التحفيز'!$T$5:$T$2004,0)))</f>
        <v/>
      </c>
      <c r="N150" s="9">
        <f>IF($K150="","",INDEX('سجل التحفيز'!$M$5:$M$2004,MATCH($K150,'سجل التحفيز'!$T$5:$T$2004,0)))</f>
        <v/>
      </c>
      <c r="O150" s="9">
        <f>IF($K150="","",INDEX('سجل التحفيز'!$C$5:$C$2004,MATCH($K150,'سجل التحفيز'!$T$5:$T$2004,0)))</f>
        <v/>
      </c>
      <c r="P150" s="36">
        <f>IF($K150="","",INDEX('سجل التحفيز'!$D$5:$D$2004,MATCH($K150,'سجل التحفيز'!$T$5:$T$2004,0)))</f>
        <v/>
      </c>
      <c r="Q150" s="9">
        <f>IF($K150="","",INDEX('سجل التحفيز'!$E$5:$E$2004,MATCH($K150,'سجل التحفيز'!$T$5:$T$2004,0)))</f>
        <v/>
      </c>
      <c r="R150" s="9">
        <f>IF($K150="","",INDEX('سجل التحفيز'!$F$5:$F$2004,MATCH($K150,'سجل التحفيز'!$T$5:$T$2004,0)))</f>
        <v/>
      </c>
      <c r="S150" s="35">
        <f>IF($K150="","",INDEX('سجل التحفيز'!$G$5:$G$2004,MATCH($K150,'سجل التحفيز'!$T$5:$T$2004,0)))</f>
        <v/>
      </c>
    </row>
    <row r="151">
      <c r="B151" s="34">
        <f>IFERROR(INDEX(الموظفات!$B$5:$B$304,MATCH(114,الموظفات!$N$5:$N$304,0)),"")</f>
        <v/>
      </c>
      <c r="C151" s="34">
        <f>IF(B151="","",INDEX(الموظفات!$D$5:$D$304,MATCH(B151,الموظفات!$B$5:$B$304,0))&amp;"")</f>
        <v/>
      </c>
      <c r="D151" s="35">
        <f>IF(B151="","",COUNTIFS('سجل التحفيز'!$T$5:$T$2004,"&gt;0",'سجل التحفيز'!$B$5:$B$2004,B151))</f>
        <v/>
      </c>
      <c r="E151" s="35">
        <f>IF(B151="","",COUNTIFS('سجل التحفيز'!$T$5:$T$2004,"&gt;0",'سجل التحفيز'!$B$5:$B$2004,B151,'سجل التحفيز'!$D$5:$D$2004,"ذهبي"))</f>
        <v/>
      </c>
      <c r="F151" s="35">
        <f>IF(B151="","",SUMIFS('سجل التحفيز'!$G$5:$G$2004,'سجل التحفيز'!$T$5:$T$2004,"&gt;0",'سجل التحفيز'!$B$5:$B$2004,B151))</f>
        <v/>
      </c>
      <c r="G151" s="35">
        <f>IF(B151="","",COUNTIF($D$38:$D$187,"&gt;"&amp;D151)+1)</f>
        <v/>
      </c>
      <c r="H151" s="35">
        <f>IF(B151="","",INDEX(الموظفات!$L$5:$L$304,MATCH(B151,الموظفات!$B$5:$B$304,0)))</f>
        <v/>
      </c>
      <c r="K151" s="36">
        <f>IF(114&gt;$B$10,"",114)</f>
        <v/>
      </c>
      <c r="L151" s="37">
        <f>IF($K151="","",INDEX('سجل التحفيز'!$A$5:$A$2004,MATCH($K151,'سجل التحفيز'!$T$5:$T$2004,0)))</f>
        <v/>
      </c>
      <c r="M151" s="9">
        <f>IF($K151="","",INDEX('سجل التحفيز'!$B$5:$B$2004,MATCH($K151,'سجل التحفيز'!$T$5:$T$2004,0)))</f>
        <v/>
      </c>
      <c r="N151" s="9">
        <f>IF($K151="","",INDEX('سجل التحفيز'!$M$5:$M$2004,MATCH($K151,'سجل التحفيز'!$T$5:$T$2004,0)))</f>
        <v/>
      </c>
      <c r="O151" s="9">
        <f>IF($K151="","",INDEX('سجل التحفيز'!$C$5:$C$2004,MATCH($K151,'سجل التحفيز'!$T$5:$T$2004,0)))</f>
        <v/>
      </c>
      <c r="P151" s="36">
        <f>IF($K151="","",INDEX('سجل التحفيز'!$D$5:$D$2004,MATCH($K151,'سجل التحفيز'!$T$5:$T$2004,0)))</f>
        <v/>
      </c>
      <c r="Q151" s="9">
        <f>IF($K151="","",INDEX('سجل التحفيز'!$E$5:$E$2004,MATCH($K151,'سجل التحفيز'!$T$5:$T$2004,0)))</f>
        <v/>
      </c>
      <c r="R151" s="9">
        <f>IF($K151="","",INDEX('سجل التحفيز'!$F$5:$F$2004,MATCH($K151,'سجل التحفيز'!$T$5:$T$2004,0)))</f>
        <v/>
      </c>
      <c r="S151" s="35">
        <f>IF($K151="","",INDEX('سجل التحفيز'!$G$5:$G$2004,MATCH($K151,'سجل التحفيز'!$T$5:$T$2004,0)))</f>
        <v/>
      </c>
    </row>
    <row r="152">
      <c r="B152" s="34">
        <f>IFERROR(INDEX(الموظفات!$B$5:$B$304,MATCH(115,الموظفات!$N$5:$N$304,0)),"")</f>
        <v/>
      </c>
      <c r="C152" s="34">
        <f>IF(B152="","",INDEX(الموظفات!$D$5:$D$304,MATCH(B152,الموظفات!$B$5:$B$304,0))&amp;"")</f>
        <v/>
      </c>
      <c r="D152" s="35">
        <f>IF(B152="","",COUNTIFS('سجل التحفيز'!$T$5:$T$2004,"&gt;0",'سجل التحفيز'!$B$5:$B$2004,B152))</f>
        <v/>
      </c>
      <c r="E152" s="35">
        <f>IF(B152="","",COUNTIFS('سجل التحفيز'!$T$5:$T$2004,"&gt;0",'سجل التحفيز'!$B$5:$B$2004,B152,'سجل التحفيز'!$D$5:$D$2004,"ذهبي"))</f>
        <v/>
      </c>
      <c r="F152" s="35">
        <f>IF(B152="","",SUMIFS('سجل التحفيز'!$G$5:$G$2004,'سجل التحفيز'!$T$5:$T$2004,"&gt;0",'سجل التحفيز'!$B$5:$B$2004,B152))</f>
        <v/>
      </c>
      <c r="G152" s="35">
        <f>IF(B152="","",COUNTIF($D$38:$D$187,"&gt;"&amp;D152)+1)</f>
        <v/>
      </c>
      <c r="H152" s="35">
        <f>IF(B152="","",INDEX(الموظفات!$L$5:$L$304,MATCH(B152,الموظفات!$B$5:$B$304,0)))</f>
        <v/>
      </c>
      <c r="K152" s="36">
        <f>IF(115&gt;$B$10,"",115)</f>
        <v/>
      </c>
      <c r="L152" s="37">
        <f>IF($K152="","",INDEX('سجل التحفيز'!$A$5:$A$2004,MATCH($K152,'سجل التحفيز'!$T$5:$T$2004,0)))</f>
        <v/>
      </c>
      <c r="M152" s="9">
        <f>IF($K152="","",INDEX('سجل التحفيز'!$B$5:$B$2004,MATCH($K152,'سجل التحفيز'!$T$5:$T$2004,0)))</f>
        <v/>
      </c>
      <c r="N152" s="9">
        <f>IF($K152="","",INDEX('سجل التحفيز'!$M$5:$M$2004,MATCH($K152,'سجل التحفيز'!$T$5:$T$2004,0)))</f>
        <v/>
      </c>
      <c r="O152" s="9">
        <f>IF($K152="","",INDEX('سجل التحفيز'!$C$5:$C$2004,MATCH($K152,'سجل التحفيز'!$T$5:$T$2004,0)))</f>
        <v/>
      </c>
      <c r="P152" s="36">
        <f>IF($K152="","",INDEX('سجل التحفيز'!$D$5:$D$2004,MATCH($K152,'سجل التحفيز'!$T$5:$T$2004,0)))</f>
        <v/>
      </c>
      <c r="Q152" s="9">
        <f>IF($K152="","",INDEX('سجل التحفيز'!$E$5:$E$2004,MATCH($K152,'سجل التحفيز'!$T$5:$T$2004,0)))</f>
        <v/>
      </c>
      <c r="R152" s="9">
        <f>IF($K152="","",INDEX('سجل التحفيز'!$F$5:$F$2004,MATCH($K152,'سجل التحفيز'!$T$5:$T$2004,0)))</f>
        <v/>
      </c>
      <c r="S152" s="35">
        <f>IF($K152="","",INDEX('سجل التحفيز'!$G$5:$G$2004,MATCH($K152,'سجل التحفيز'!$T$5:$T$2004,0)))</f>
        <v/>
      </c>
    </row>
    <row r="153">
      <c r="B153" s="34">
        <f>IFERROR(INDEX(الموظفات!$B$5:$B$304,MATCH(116,الموظفات!$N$5:$N$304,0)),"")</f>
        <v/>
      </c>
      <c r="C153" s="34">
        <f>IF(B153="","",INDEX(الموظفات!$D$5:$D$304,MATCH(B153,الموظفات!$B$5:$B$304,0))&amp;"")</f>
        <v/>
      </c>
      <c r="D153" s="35">
        <f>IF(B153="","",COUNTIFS('سجل التحفيز'!$T$5:$T$2004,"&gt;0",'سجل التحفيز'!$B$5:$B$2004,B153))</f>
        <v/>
      </c>
      <c r="E153" s="35">
        <f>IF(B153="","",COUNTIFS('سجل التحفيز'!$T$5:$T$2004,"&gt;0",'سجل التحفيز'!$B$5:$B$2004,B153,'سجل التحفيز'!$D$5:$D$2004,"ذهبي"))</f>
        <v/>
      </c>
      <c r="F153" s="35">
        <f>IF(B153="","",SUMIFS('سجل التحفيز'!$G$5:$G$2004,'سجل التحفيز'!$T$5:$T$2004,"&gt;0",'سجل التحفيز'!$B$5:$B$2004,B153))</f>
        <v/>
      </c>
      <c r="G153" s="35">
        <f>IF(B153="","",COUNTIF($D$38:$D$187,"&gt;"&amp;D153)+1)</f>
        <v/>
      </c>
      <c r="H153" s="35">
        <f>IF(B153="","",INDEX(الموظفات!$L$5:$L$304,MATCH(B153,الموظفات!$B$5:$B$304,0)))</f>
        <v/>
      </c>
      <c r="K153" s="36">
        <f>IF(116&gt;$B$10,"",116)</f>
        <v/>
      </c>
      <c r="L153" s="37">
        <f>IF($K153="","",INDEX('سجل التحفيز'!$A$5:$A$2004,MATCH($K153,'سجل التحفيز'!$T$5:$T$2004,0)))</f>
        <v/>
      </c>
      <c r="M153" s="9">
        <f>IF($K153="","",INDEX('سجل التحفيز'!$B$5:$B$2004,MATCH($K153,'سجل التحفيز'!$T$5:$T$2004,0)))</f>
        <v/>
      </c>
      <c r="N153" s="9">
        <f>IF($K153="","",INDEX('سجل التحفيز'!$M$5:$M$2004,MATCH($K153,'سجل التحفيز'!$T$5:$T$2004,0)))</f>
        <v/>
      </c>
      <c r="O153" s="9">
        <f>IF($K153="","",INDEX('سجل التحفيز'!$C$5:$C$2004,MATCH($K153,'سجل التحفيز'!$T$5:$T$2004,0)))</f>
        <v/>
      </c>
      <c r="P153" s="36">
        <f>IF($K153="","",INDEX('سجل التحفيز'!$D$5:$D$2004,MATCH($K153,'سجل التحفيز'!$T$5:$T$2004,0)))</f>
        <v/>
      </c>
      <c r="Q153" s="9">
        <f>IF($K153="","",INDEX('سجل التحفيز'!$E$5:$E$2004,MATCH($K153,'سجل التحفيز'!$T$5:$T$2004,0)))</f>
        <v/>
      </c>
      <c r="R153" s="9">
        <f>IF($K153="","",INDEX('سجل التحفيز'!$F$5:$F$2004,MATCH($K153,'سجل التحفيز'!$T$5:$T$2004,0)))</f>
        <v/>
      </c>
      <c r="S153" s="35">
        <f>IF($K153="","",INDEX('سجل التحفيز'!$G$5:$G$2004,MATCH($K153,'سجل التحفيز'!$T$5:$T$2004,0)))</f>
        <v/>
      </c>
    </row>
    <row r="154">
      <c r="B154" s="34">
        <f>IFERROR(INDEX(الموظفات!$B$5:$B$304,MATCH(117,الموظفات!$N$5:$N$304,0)),"")</f>
        <v/>
      </c>
      <c r="C154" s="34">
        <f>IF(B154="","",INDEX(الموظفات!$D$5:$D$304,MATCH(B154,الموظفات!$B$5:$B$304,0))&amp;"")</f>
        <v/>
      </c>
      <c r="D154" s="35">
        <f>IF(B154="","",COUNTIFS('سجل التحفيز'!$T$5:$T$2004,"&gt;0",'سجل التحفيز'!$B$5:$B$2004,B154))</f>
        <v/>
      </c>
      <c r="E154" s="35">
        <f>IF(B154="","",COUNTIFS('سجل التحفيز'!$T$5:$T$2004,"&gt;0",'سجل التحفيز'!$B$5:$B$2004,B154,'سجل التحفيز'!$D$5:$D$2004,"ذهبي"))</f>
        <v/>
      </c>
      <c r="F154" s="35">
        <f>IF(B154="","",SUMIFS('سجل التحفيز'!$G$5:$G$2004,'سجل التحفيز'!$T$5:$T$2004,"&gt;0",'سجل التحفيز'!$B$5:$B$2004,B154))</f>
        <v/>
      </c>
      <c r="G154" s="35">
        <f>IF(B154="","",COUNTIF($D$38:$D$187,"&gt;"&amp;D154)+1)</f>
        <v/>
      </c>
      <c r="H154" s="35">
        <f>IF(B154="","",INDEX(الموظفات!$L$5:$L$304,MATCH(B154,الموظفات!$B$5:$B$304,0)))</f>
        <v/>
      </c>
      <c r="K154" s="36">
        <f>IF(117&gt;$B$10,"",117)</f>
        <v/>
      </c>
      <c r="L154" s="37">
        <f>IF($K154="","",INDEX('سجل التحفيز'!$A$5:$A$2004,MATCH($K154,'سجل التحفيز'!$T$5:$T$2004,0)))</f>
        <v/>
      </c>
      <c r="M154" s="9">
        <f>IF($K154="","",INDEX('سجل التحفيز'!$B$5:$B$2004,MATCH($K154,'سجل التحفيز'!$T$5:$T$2004,0)))</f>
        <v/>
      </c>
      <c r="N154" s="9">
        <f>IF($K154="","",INDEX('سجل التحفيز'!$M$5:$M$2004,MATCH($K154,'سجل التحفيز'!$T$5:$T$2004,0)))</f>
        <v/>
      </c>
      <c r="O154" s="9">
        <f>IF($K154="","",INDEX('سجل التحفيز'!$C$5:$C$2004,MATCH($K154,'سجل التحفيز'!$T$5:$T$2004,0)))</f>
        <v/>
      </c>
      <c r="P154" s="36">
        <f>IF($K154="","",INDEX('سجل التحفيز'!$D$5:$D$2004,MATCH($K154,'سجل التحفيز'!$T$5:$T$2004,0)))</f>
        <v/>
      </c>
      <c r="Q154" s="9">
        <f>IF($K154="","",INDEX('سجل التحفيز'!$E$5:$E$2004,MATCH($K154,'سجل التحفيز'!$T$5:$T$2004,0)))</f>
        <v/>
      </c>
      <c r="R154" s="9">
        <f>IF($K154="","",INDEX('سجل التحفيز'!$F$5:$F$2004,MATCH($K154,'سجل التحفيز'!$T$5:$T$2004,0)))</f>
        <v/>
      </c>
      <c r="S154" s="35">
        <f>IF($K154="","",INDEX('سجل التحفيز'!$G$5:$G$2004,MATCH($K154,'سجل التحفيز'!$T$5:$T$2004,0)))</f>
        <v/>
      </c>
    </row>
    <row r="155">
      <c r="B155" s="34">
        <f>IFERROR(INDEX(الموظفات!$B$5:$B$304,MATCH(118,الموظفات!$N$5:$N$304,0)),"")</f>
        <v/>
      </c>
      <c r="C155" s="34">
        <f>IF(B155="","",INDEX(الموظفات!$D$5:$D$304,MATCH(B155,الموظفات!$B$5:$B$304,0))&amp;"")</f>
        <v/>
      </c>
      <c r="D155" s="35">
        <f>IF(B155="","",COUNTIFS('سجل التحفيز'!$T$5:$T$2004,"&gt;0",'سجل التحفيز'!$B$5:$B$2004,B155))</f>
        <v/>
      </c>
      <c r="E155" s="35">
        <f>IF(B155="","",COUNTIFS('سجل التحفيز'!$T$5:$T$2004,"&gt;0",'سجل التحفيز'!$B$5:$B$2004,B155,'سجل التحفيز'!$D$5:$D$2004,"ذهبي"))</f>
        <v/>
      </c>
      <c r="F155" s="35">
        <f>IF(B155="","",SUMIFS('سجل التحفيز'!$G$5:$G$2004,'سجل التحفيز'!$T$5:$T$2004,"&gt;0",'سجل التحفيز'!$B$5:$B$2004,B155))</f>
        <v/>
      </c>
      <c r="G155" s="35">
        <f>IF(B155="","",COUNTIF($D$38:$D$187,"&gt;"&amp;D155)+1)</f>
        <v/>
      </c>
      <c r="H155" s="35">
        <f>IF(B155="","",INDEX(الموظفات!$L$5:$L$304,MATCH(B155,الموظفات!$B$5:$B$304,0)))</f>
        <v/>
      </c>
      <c r="K155" s="36">
        <f>IF(118&gt;$B$10,"",118)</f>
        <v/>
      </c>
      <c r="L155" s="37">
        <f>IF($K155="","",INDEX('سجل التحفيز'!$A$5:$A$2004,MATCH($K155,'سجل التحفيز'!$T$5:$T$2004,0)))</f>
        <v/>
      </c>
      <c r="M155" s="9">
        <f>IF($K155="","",INDEX('سجل التحفيز'!$B$5:$B$2004,MATCH($K155,'سجل التحفيز'!$T$5:$T$2004,0)))</f>
        <v/>
      </c>
      <c r="N155" s="9">
        <f>IF($K155="","",INDEX('سجل التحفيز'!$M$5:$M$2004,MATCH($K155,'سجل التحفيز'!$T$5:$T$2004,0)))</f>
        <v/>
      </c>
      <c r="O155" s="9">
        <f>IF($K155="","",INDEX('سجل التحفيز'!$C$5:$C$2004,MATCH($K155,'سجل التحفيز'!$T$5:$T$2004,0)))</f>
        <v/>
      </c>
      <c r="P155" s="36">
        <f>IF($K155="","",INDEX('سجل التحفيز'!$D$5:$D$2004,MATCH($K155,'سجل التحفيز'!$T$5:$T$2004,0)))</f>
        <v/>
      </c>
      <c r="Q155" s="9">
        <f>IF($K155="","",INDEX('سجل التحفيز'!$E$5:$E$2004,MATCH($K155,'سجل التحفيز'!$T$5:$T$2004,0)))</f>
        <v/>
      </c>
      <c r="R155" s="9">
        <f>IF($K155="","",INDEX('سجل التحفيز'!$F$5:$F$2004,MATCH($K155,'سجل التحفيز'!$T$5:$T$2004,0)))</f>
        <v/>
      </c>
      <c r="S155" s="35">
        <f>IF($K155="","",INDEX('سجل التحفيز'!$G$5:$G$2004,MATCH($K155,'سجل التحفيز'!$T$5:$T$2004,0)))</f>
        <v/>
      </c>
    </row>
    <row r="156">
      <c r="B156" s="34">
        <f>IFERROR(INDEX(الموظفات!$B$5:$B$304,MATCH(119,الموظفات!$N$5:$N$304,0)),"")</f>
        <v/>
      </c>
      <c r="C156" s="34">
        <f>IF(B156="","",INDEX(الموظفات!$D$5:$D$304,MATCH(B156,الموظفات!$B$5:$B$304,0))&amp;"")</f>
        <v/>
      </c>
      <c r="D156" s="35">
        <f>IF(B156="","",COUNTIFS('سجل التحفيز'!$T$5:$T$2004,"&gt;0",'سجل التحفيز'!$B$5:$B$2004,B156))</f>
        <v/>
      </c>
      <c r="E156" s="35">
        <f>IF(B156="","",COUNTIFS('سجل التحفيز'!$T$5:$T$2004,"&gt;0",'سجل التحفيز'!$B$5:$B$2004,B156,'سجل التحفيز'!$D$5:$D$2004,"ذهبي"))</f>
        <v/>
      </c>
      <c r="F156" s="35">
        <f>IF(B156="","",SUMIFS('سجل التحفيز'!$G$5:$G$2004,'سجل التحفيز'!$T$5:$T$2004,"&gt;0",'سجل التحفيز'!$B$5:$B$2004,B156))</f>
        <v/>
      </c>
      <c r="G156" s="35">
        <f>IF(B156="","",COUNTIF($D$38:$D$187,"&gt;"&amp;D156)+1)</f>
        <v/>
      </c>
      <c r="H156" s="35">
        <f>IF(B156="","",INDEX(الموظفات!$L$5:$L$304,MATCH(B156,الموظفات!$B$5:$B$304,0)))</f>
        <v/>
      </c>
      <c r="K156" s="36">
        <f>IF(119&gt;$B$10,"",119)</f>
        <v/>
      </c>
      <c r="L156" s="37">
        <f>IF($K156="","",INDEX('سجل التحفيز'!$A$5:$A$2004,MATCH($K156,'سجل التحفيز'!$T$5:$T$2004,0)))</f>
        <v/>
      </c>
      <c r="M156" s="9">
        <f>IF($K156="","",INDEX('سجل التحفيز'!$B$5:$B$2004,MATCH($K156,'سجل التحفيز'!$T$5:$T$2004,0)))</f>
        <v/>
      </c>
      <c r="N156" s="9">
        <f>IF($K156="","",INDEX('سجل التحفيز'!$M$5:$M$2004,MATCH($K156,'سجل التحفيز'!$T$5:$T$2004,0)))</f>
        <v/>
      </c>
      <c r="O156" s="9">
        <f>IF($K156="","",INDEX('سجل التحفيز'!$C$5:$C$2004,MATCH($K156,'سجل التحفيز'!$T$5:$T$2004,0)))</f>
        <v/>
      </c>
      <c r="P156" s="36">
        <f>IF($K156="","",INDEX('سجل التحفيز'!$D$5:$D$2004,MATCH($K156,'سجل التحفيز'!$T$5:$T$2004,0)))</f>
        <v/>
      </c>
      <c r="Q156" s="9">
        <f>IF($K156="","",INDEX('سجل التحفيز'!$E$5:$E$2004,MATCH($K156,'سجل التحفيز'!$T$5:$T$2004,0)))</f>
        <v/>
      </c>
      <c r="R156" s="9">
        <f>IF($K156="","",INDEX('سجل التحفيز'!$F$5:$F$2004,MATCH($K156,'سجل التحفيز'!$T$5:$T$2004,0)))</f>
        <v/>
      </c>
      <c r="S156" s="35">
        <f>IF($K156="","",INDEX('سجل التحفيز'!$G$5:$G$2004,MATCH($K156,'سجل التحفيز'!$T$5:$T$2004,0)))</f>
        <v/>
      </c>
    </row>
    <row r="157">
      <c r="B157" s="34">
        <f>IFERROR(INDEX(الموظفات!$B$5:$B$304,MATCH(120,الموظفات!$N$5:$N$304,0)),"")</f>
        <v/>
      </c>
      <c r="C157" s="34">
        <f>IF(B157="","",INDEX(الموظفات!$D$5:$D$304,MATCH(B157,الموظفات!$B$5:$B$304,0))&amp;"")</f>
        <v/>
      </c>
      <c r="D157" s="35">
        <f>IF(B157="","",COUNTIFS('سجل التحفيز'!$T$5:$T$2004,"&gt;0",'سجل التحفيز'!$B$5:$B$2004,B157))</f>
        <v/>
      </c>
      <c r="E157" s="35">
        <f>IF(B157="","",COUNTIFS('سجل التحفيز'!$T$5:$T$2004,"&gt;0",'سجل التحفيز'!$B$5:$B$2004,B157,'سجل التحفيز'!$D$5:$D$2004,"ذهبي"))</f>
        <v/>
      </c>
      <c r="F157" s="35">
        <f>IF(B157="","",SUMIFS('سجل التحفيز'!$G$5:$G$2004,'سجل التحفيز'!$T$5:$T$2004,"&gt;0",'سجل التحفيز'!$B$5:$B$2004,B157))</f>
        <v/>
      </c>
      <c r="G157" s="35">
        <f>IF(B157="","",COUNTIF($D$38:$D$187,"&gt;"&amp;D157)+1)</f>
        <v/>
      </c>
      <c r="H157" s="35">
        <f>IF(B157="","",INDEX(الموظفات!$L$5:$L$304,MATCH(B157,الموظفات!$B$5:$B$304,0)))</f>
        <v/>
      </c>
      <c r="K157" s="36">
        <f>IF(120&gt;$B$10,"",120)</f>
        <v/>
      </c>
      <c r="L157" s="37">
        <f>IF($K157="","",INDEX('سجل التحفيز'!$A$5:$A$2004,MATCH($K157,'سجل التحفيز'!$T$5:$T$2004,0)))</f>
        <v/>
      </c>
      <c r="M157" s="9">
        <f>IF($K157="","",INDEX('سجل التحفيز'!$B$5:$B$2004,MATCH($K157,'سجل التحفيز'!$T$5:$T$2004,0)))</f>
        <v/>
      </c>
      <c r="N157" s="9">
        <f>IF($K157="","",INDEX('سجل التحفيز'!$M$5:$M$2004,MATCH($K157,'سجل التحفيز'!$T$5:$T$2004,0)))</f>
        <v/>
      </c>
      <c r="O157" s="9">
        <f>IF($K157="","",INDEX('سجل التحفيز'!$C$5:$C$2004,MATCH($K157,'سجل التحفيز'!$T$5:$T$2004,0)))</f>
        <v/>
      </c>
      <c r="P157" s="36">
        <f>IF($K157="","",INDEX('سجل التحفيز'!$D$5:$D$2004,MATCH($K157,'سجل التحفيز'!$T$5:$T$2004,0)))</f>
        <v/>
      </c>
      <c r="Q157" s="9">
        <f>IF($K157="","",INDEX('سجل التحفيز'!$E$5:$E$2004,MATCH($K157,'سجل التحفيز'!$T$5:$T$2004,0)))</f>
        <v/>
      </c>
      <c r="R157" s="9">
        <f>IF($K157="","",INDEX('سجل التحفيز'!$F$5:$F$2004,MATCH($K157,'سجل التحفيز'!$T$5:$T$2004,0)))</f>
        <v/>
      </c>
      <c r="S157" s="35">
        <f>IF($K157="","",INDEX('سجل التحفيز'!$G$5:$G$2004,MATCH($K157,'سجل التحفيز'!$T$5:$T$2004,0)))</f>
        <v/>
      </c>
    </row>
    <row r="158">
      <c r="B158" s="34">
        <f>IFERROR(INDEX(الموظفات!$B$5:$B$304,MATCH(121,الموظفات!$N$5:$N$304,0)),"")</f>
        <v/>
      </c>
      <c r="C158" s="34">
        <f>IF(B158="","",INDEX(الموظفات!$D$5:$D$304,MATCH(B158,الموظفات!$B$5:$B$304,0))&amp;"")</f>
        <v/>
      </c>
      <c r="D158" s="35">
        <f>IF(B158="","",COUNTIFS('سجل التحفيز'!$T$5:$T$2004,"&gt;0",'سجل التحفيز'!$B$5:$B$2004,B158))</f>
        <v/>
      </c>
      <c r="E158" s="35">
        <f>IF(B158="","",COUNTIFS('سجل التحفيز'!$T$5:$T$2004,"&gt;0",'سجل التحفيز'!$B$5:$B$2004,B158,'سجل التحفيز'!$D$5:$D$2004,"ذهبي"))</f>
        <v/>
      </c>
      <c r="F158" s="35">
        <f>IF(B158="","",SUMIFS('سجل التحفيز'!$G$5:$G$2004,'سجل التحفيز'!$T$5:$T$2004,"&gt;0",'سجل التحفيز'!$B$5:$B$2004,B158))</f>
        <v/>
      </c>
      <c r="G158" s="35">
        <f>IF(B158="","",COUNTIF($D$38:$D$187,"&gt;"&amp;D158)+1)</f>
        <v/>
      </c>
      <c r="H158" s="35">
        <f>IF(B158="","",INDEX(الموظفات!$L$5:$L$304,MATCH(B158,الموظفات!$B$5:$B$304,0)))</f>
        <v/>
      </c>
      <c r="K158" s="36">
        <f>IF(121&gt;$B$10,"",121)</f>
        <v/>
      </c>
      <c r="L158" s="37">
        <f>IF($K158="","",INDEX('سجل التحفيز'!$A$5:$A$2004,MATCH($K158,'سجل التحفيز'!$T$5:$T$2004,0)))</f>
        <v/>
      </c>
      <c r="M158" s="9">
        <f>IF($K158="","",INDEX('سجل التحفيز'!$B$5:$B$2004,MATCH($K158,'سجل التحفيز'!$T$5:$T$2004,0)))</f>
        <v/>
      </c>
      <c r="N158" s="9">
        <f>IF($K158="","",INDEX('سجل التحفيز'!$M$5:$M$2004,MATCH($K158,'سجل التحفيز'!$T$5:$T$2004,0)))</f>
        <v/>
      </c>
      <c r="O158" s="9">
        <f>IF($K158="","",INDEX('سجل التحفيز'!$C$5:$C$2004,MATCH($K158,'سجل التحفيز'!$T$5:$T$2004,0)))</f>
        <v/>
      </c>
      <c r="P158" s="36">
        <f>IF($K158="","",INDEX('سجل التحفيز'!$D$5:$D$2004,MATCH($K158,'سجل التحفيز'!$T$5:$T$2004,0)))</f>
        <v/>
      </c>
      <c r="Q158" s="9">
        <f>IF($K158="","",INDEX('سجل التحفيز'!$E$5:$E$2004,MATCH($K158,'سجل التحفيز'!$T$5:$T$2004,0)))</f>
        <v/>
      </c>
      <c r="R158" s="9">
        <f>IF($K158="","",INDEX('سجل التحفيز'!$F$5:$F$2004,MATCH($K158,'سجل التحفيز'!$T$5:$T$2004,0)))</f>
        <v/>
      </c>
      <c r="S158" s="35">
        <f>IF($K158="","",INDEX('سجل التحفيز'!$G$5:$G$2004,MATCH($K158,'سجل التحفيز'!$T$5:$T$2004,0)))</f>
        <v/>
      </c>
    </row>
    <row r="159">
      <c r="B159" s="34">
        <f>IFERROR(INDEX(الموظفات!$B$5:$B$304,MATCH(122,الموظفات!$N$5:$N$304,0)),"")</f>
        <v/>
      </c>
      <c r="C159" s="34">
        <f>IF(B159="","",INDEX(الموظفات!$D$5:$D$304,MATCH(B159,الموظفات!$B$5:$B$304,0))&amp;"")</f>
        <v/>
      </c>
      <c r="D159" s="35">
        <f>IF(B159="","",COUNTIFS('سجل التحفيز'!$T$5:$T$2004,"&gt;0",'سجل التحفيز'!$B$5:$B$2004,B159))</f>
        <v/>
      </c>
      <c r="E159" s="35">
        <f>IF(B159="","",COUNTIFS('سجل التحفيز'!$T$5:$T$2004,"&gt;0",'سجل التحفيز'!$B$5:$B$2004,B159,'سجل التحفيز'!$D$5:$D$2004,"ذهبي"))</f>
        <v/>
      </c>
      <c r="F159" s="35">
        <f>IF(B159="","",SUMIFS('سجل التحفيز'!$G$5:$G$2004,'سجل التحفيز'!$T$5:$T$2004,"&gt;0",'سجل التحفيز'!$B$5:$B$2004,B159))</f>
        <v/>
      </c>
      <c r="G159" s="35">
        <f>IF(B159="","",COUNTIF($D$38:$D$187,"&gt;"&amp;D159)+1)</f>
        <v/>
      </c>
      <c r="H159" s="35">
        <f>IF(B159="","",INDEX(الموظفات!$L$5:$L$304,MATCH(B159,الموظفات!$B$5:$B$304,0)))</f>
        <v/>
      </c>
      <c r="K159" s="36">
        <f>IF(122&gt;$B$10,"",122)</f>
        <v/>
      </c>
      <c r="L159" s="37">
        <f>IF($K159="","",INDEX('سجل التحفيز'!$A$5:$A$2004,MATCH($K159,'سجل التحفيز'!$T$5:$T$2004,0)))</f>
        <v/>
      </c>
      <c r="M159" s="9">
        <f>IF($K159="","",INDEX('سجل التحفيز'!$B$5:$B$2004,MATCH($K159,'سجل التحفيز'!$T$5:$T$2004,0)))</f>
        <v/>
      </c>
      <c r="N159" s="9">
        <f>IF($K159="","",INDEX('سجل التحفيز'!$M$5:$M$2004,MATCH($K159,'سجل التحفيز'!$T$5:$T$2004,0)))</f>
        <v/>
      </c>
      <c r="O159" s="9">
        <f>IF($K159="","",INDEX('سجل التحفيز'!$C$5:$C$2004,MATCH($K159,'سجل التحفيز'!$T$5:$T$2004,0)))</f>
        <v/>
      </c>
      <c r="P159" s="36">
        <f>IF($K159="","",INDEX('سجل التحفيز'!$D$5:$D$2004,MATCH($K159,'سجل التحفيز'!$T$5:$T$2004,0)))</f>
        <v/>
      </c>
      <c r="Q159" s="9">
        <f>IF($K159="","",INDEX('سجل التحفيز'!$E$5:$E$2004,MATCH($K159,'سجل التحفيز'!$T$5:$T$2004,0)))</f>
        <v/>
      </c>
      <c r="R159" s="9">
        <f>IF($K159="","",INDEX('سجل التحفيز'!$F$5:$F$2004,MATCH($K159,'سجل التحفيز'!$T$5:$T$2004,0)))</f>
        <v/>
      </c>
      <c r="S159" s="35">
        <f>IF($K159="","",INDEX('سجل التحفيز'!$G$5:$G$2004,MATCH($K159,'سجل التحفيز'!$T$5:$T$2004,0)))</f>
        <v/>
      </c>
    </row>
    <row r="160">
      <c r="B160" s="34">
        <f>IFERROR(INDEX(الموظفات!$B$5:$B$304,MATCH(123,الموظفات!$N$5:$N$304,0)),"")</f>
        <v/>
      </c>
      <c r="C160" s="34">
        <f>IF(B160="","",INDEX(الموظفات!$D$5:$D$304,MATCH(B160,الموظفات!$B$5:$B$304,0))&amp;"")</f>
        <v/>
      </c>
      <c r="D160" s="35">
        <f>IF(B160="","",COUNTIFS('سجل التحفيز'!$T$5:$T$2004,"&gt;0",'سجل التحفيز'!$B$5:$B$2004,B160))</f>
        <v/>
      </c>
      <c r="E160" s="35">
        <f>IF(B160="","",COUNTIFS('سجل التحفيز'!$T$5:$T$2004,"&gt;0",'سجل التحفيز'!$B$5:$B$2004,B160,'سجل التحفيز'!$D$5:$D$2004,"ذهبي"))</f>
        <v/>
      </c>
      <c r="F160" s="35">
        <f>IF(B160="","",SUMIFS('سجل التحفيز'!$G$5:$G$2004,'سجل التحفيز'!$T$5:$T$2004,"&gt;0",'سجل التحفيز'!$B$5:$B$2004,B160))</f>
        <v/>
      </c>
      <c r="G160" s="35">
        <f>IF(B160="","",COUNTIF($D$38:$D$187,"&gt;"&amp;D160)+1)</f>
        <v/>
      </c>
      <c r="H160" s="35">
        <f>IF(B160="","",INDEX(الموظفات!$L$5:$L$304,MATCH(B160,الموظفات!$B$5:$B$304,0)))</f>
        <v/>
      </c>
      <c r="K160" s="36">
        <f>IF(123&gt;$B$10,"",123)</f>
        <v/>
      </c>
      <c r="L160" s="37">
        <f>IF($K160="","",INDEX('سجل التحفيز'!$A$5:$A$2004,MATCH($K160,'سجل التحفيز'!$T$5:$T$2004,0)))</f>
        <v/>
      </c>
      <c r="M160" s="9">
        <f>IF($K160="","",INDEX('سجل التحفيز'!$B$5:$B$2004,MATCH($K160,'سجل التحفيز'!$T$5:$T$2004,0)))</f>
        <v/>
      </c>
      <c r="N160" s="9">
        <f>IF($K160="","",INDEX('سجل التحفيز'!$M$5:$M$2004,MATCH($K160,'سجل التحفيز'!$T$5:$T$2004,0)))</f>
        <v/>
      </c>
      <c r="O160" s="9">
        <f>IF($K160="","",INDEX('سجل التحفيز'!$C$5:$C$2004,MATCH($K160,'سجل التحفيز'!$T$5:$T$2004,0)))</f>
        <v/>
      </c>
      <c r="P160" s="36">
        <f>IF($K160="","",INDEX('سجل التحفيز'!$D$5:$D$2004,MATCH($K160,'سجل التحفيز'!$T$5:$T$2004,0)))</f>
        <v/>
      </c>
      <c r="Q160" s="9">
        <f>IF($K160="","",INDEX('سجل التحفيز'!$E$5:$E$2004,MATCH($K160,'سجل التحفيز'!$T$5:$T$2004,0)))</f>
        <v/>
      </c>
      <c r="R160" s="9">
        <f>IF($K160="","",INDEX('سجل التحفيز'!$F$5:$F$2004,MATCH($K160,'سجل التحفيز'!$T$5:$T$2004,0)))</f>
        <v/>
      </c>
      <c r="S160" s="35">
        <f>IF($K160="","",INDEX('سجل التحفيز'!$G$5:$G$2004,MATCH($K160,'سجل التحفيز'!$T$5:$T$2004,0)))</f>
        <v/>
      </c>
    </row>
    <row r="161">
      <c r="B161" s="34">
        <f>IFERROR(INDEX(الموظفات!$B$5:$B$304,MATCH(124,الموظفات!$N$5:$N$304,0)),"")</f>
        <v/>
      </c>
      <c r="C161" s="34">
        <f>IF(B161="","",INDEX(الموظفات!$D$5:$D$304,MATCH(B161,الموظفات!$B$5:$B$304,0))&amp;"")</f>
        <v/>
      </c>
      <c r="D161" s="35">
        <f>IF(B161="","",COUNTIFS('سجل التحفيز'!$T$5:$T$2004,"&gt;0",'سجل التحفيز'!$B$5:$B$2004,B161))</f>
        <v/>
      </c>
      <c r="E161" s="35">
        <f>IF(B161="","",COUNTIFS('سجل التحفيز'!$T$5:$T$2004,"&gt;0",'سجل التحفيز'!$B$5:$B$2004,B161,'سجل التحفيز'!$D$5:$D$2004,"ذهبي"))</f>
        <v/>
      </c>
      <c r="F161" s="35">
        <f>IF(B161="","",SUMIFS('سجل التحفيز'!$G$5:$G$2004,'سجل التحفيز'!$T$5:$T$2004,"&gt;0",'سجل التحفيز'!$B$5:$B$2004,B161))</f>
        <v/>
      </c>
      <c r="G161" s="35">
        <f>IF(B161="","",COUNTIF($D$38:$D$187,"&gt;"&amp;D161)+1)</f>
        <v/>
      </c>
      <c r="H161" s="35">
        <f>IF(B161="","",INDEX(الموظفات!$L$5:$L$304,MATCH(B161,الموظفات!$B$5:$B$304,0)))</f>
        <v/>
      </c>
      <c r="K161" s="36">
        <f>IF(124&gt;$B$10,"",124)</f>
        <v/>
      </c>
      <c r="L161" s="37">
        <f>IF($K161="","",INDEX('سجل التحفيز'!$A$5:$A$2004,MATCH($K161,'سجل التحفيز'!$T$5:$T$2004,0)))</f>
        <v/>
      </c>
      <c r="M161" s="9">
        <f>IF($K161="","",INDEX('سجل التحفيز'!$B$5:$B$2004,MATCH($K161,'سجل التحفيز'!$T$5:$T$2004,0)))</f>
        <v/>
      </c>
      <c r="N161" s="9">
        <f>IF($K161="","",INDEX('سجل التحفيز'!$M$5:$M$2004,MATCH($K161,'سجل التحفيز'!$T$5:$T$2004,0)))</f>
        <v/>
      </c>
      <c r="O161" s="9">
        <f>IF($K161="","",INDEX('سجل التحفيز'!$C$5:$C$2004,MATCH($K161,'سجل التحفيز'!$T$5:$T$2004,0)))</f>
        <v/>
      </c>
      <c r="P161" s="36">
        <f>IF($K161="","",INDEX('سجل التحفيز'!$D$5:$D$2004,MATCH($K161,'سجل التحفيز'!$T$5:$T$2004,0)))</f>
        <v/>
      </c>
      <c r="Q161" s="9">
        <f>IF($K161="","",INDEX('سجل التحفيز'!$E$5:$E$2004,MATCH($K161,'سجل التحفيز'!$T$5:$T$2004,0)))</f>
        <v/>
      </c>
      <c r="R161" s="9">
        <f>IF($K161="","",INDEX('سجل التحفيز'!$F$5:$F$2004,MATCH($K161,'سجل التحفيز'!$T$5:$T$2004,0)))</f>
        <v/>
      </c>
      <c r="S161" s="35">
        <f>IF($K161="","",INDEX('سجل التحفيز'!$G$5:$G$2004,MATCH($K161,'سجل التحفيز'!$T$5:$T$2004,0)))</f>
        <v/>
      </c>
    </row>
    <row r="162">
      <c r="B162" s="34">
        <f>IFERROR(INDEX(الموظفات!$B$5:$B$304,MATCH(125,الموظفات!$N$5:$N$304,0)),"")</f>
        <v/>
      </c>
      <c r="C162" s="34">
        <f>IF(B162="","",INDEX(الموظفات!$D$5:$D$304,MATCH(B162,الموظفات!$B$5:$B$304,0))&amp;"")</f>
        <v/>
      </c>
      <c r="D162" s="35">
        <f>IF(B162="","",COUNTIFS('سجل التحفيز'!$T$5:$T$2004,"&gt;0",'سجل التحفيز'!$B$5:$B$2004,B162))</f>
        <v/>
      </c>
      <c r="E162" s="35">
        <f>IF(B162="","",COUNTIFS('سجل التحفيز'!$T$5:$T$2004,"&gt;0",'سجل التحفيز'!$B$5:$B$2004,B162,'سجل التحفيز'!$D$5:$D$2004,"ذهبي"))</f>
        <v/>
      </c>
      <c r="F162" s="35">
        <f>IF(B162="","",SUMIFS('سجل التحفيز'!$G$5:$G$2004,'سجل التحفيز'!$T$5:$T$2004,"&gt;0",'سجل التحفيز'!$B$5:$B$2004,B162))</f>
        <v/>
      </c>
      <c r="G162" s="35">
        <f>IF(B162="","",COUNTIF($D$38:$D$187,"&gt;"&amp;D162)+1)</f>
        <v/>
      </c>
      <c r="H162" s="35">
        <f>IF(B162="","",INDEX(الموظفات!$L$5:$L$304,MATCH(B162,الموظفات!$B$5:$B$304,0)))</f>
        <v/>
      </c>
      <c r="K162" s="36">
        <f>IF(125&gt;$B$10,"",125)</f>
        <v/>
      </c>
      <c r="L162" s="37">
        <f>IF($K162="","",INDEX('سجل التحفيز'!$A$5:$A$2004,MATCH($K162,'سجل التحفيز'!$T$5:$T$2004,0)))</f>
        <v/>
      </c>
      <c r="M162" s="9">
        <f>IF($K162="","",INDEX('سجل التحفيز'!$B$5:$B$2004,MATCH($K162,'سجل التحفيز'!$T$5:$T$2004,0)))</f>
        <v/>
      </c>
      <c r="N162" s="9">
        <f>IF($K162="","",INDEX('سجل التحفيز'!$M$5:$M$2004,MATCH($K162,'سجل التحفيز'!$T$5:$T$2004,0)))</f>
        <v/>
      </c>
      <c r="O162" s="9">
        <f>IF($K162="","",INDEX('سجل التحفيز'!$C$5:$C$2004,MATCH($K162,'سجل التحفيز'!$T$5:$T$2004,0)))</f>
        <v/>
      </c>
      <c r="P162" s="36">
        <f>IF($K162="","",INDEX('سجل التحفيز'!$D$5:$D$2004,MATCH($K162,'سجل التحفيز'!$T$5:$T$2004,0)))</f>
        <v/>
      </c>
      <c r="Q162" s="9">
        <f>IF($K162="","",INDEX('سجل التحفيز'!$E$5:$E$2004,MATCH($K162,'سجل التحفيز'!$T$5:$T$2004,0)))</f>
        <v/>
      </c>
      <c r="R162" s="9">
        <f>IF($K162="","",INDEX('سجل التحفيز'!$F$5:$F$2004,MATCH($K162,'سجل التحفيز'!$T$5:$T$2004,0)))</f>
        <v/>
      </c>
      <c r="S162" s="35">
        <f>IF($K162="","",INDEX('سجل التحفيز'!$G$5:$G$2004,MATCH($K162,'سجل التحفيز'!$T$5:$T$2004,0)))</f>
        <v/>
      </c>
    </row>
    <row r="163">
      <c r="B163" s="34">
        <f>IFERROR(INDEX(الموظفات!$B$5:$B$304,MATCH(126,الموظفات!$N$5:$N$304,0)),"")</f>
        <v/>
      </c>
      <c r="C163" s="34">
        <f>IF(B163="","",INDEX(الموظفات!$D$5:$D$304,MATCH(B163,الموظفات!$B$5:$B$304,0))&amp;"")</f>
        <v/>
      </c>
      <c r="D163" s="35">
        <f>IF(B163="","",COUNTIFS('سجل التحفيز'!$T$5:$T$2004,"&gt;0",'سجل التحفيز'!$B$5:$B$2004,B163))</f>
        <v/>
      </c>
      <c r="E163" s="35">
        <f>IF(B163="","",COUNTIFS('سجل التحفيز'!$T$5:$T$2004,"&gt;0",'سجل التحفيز'!$B$5:$B$2004,B163,'سجل التحفيز'!$D$5:$D$2004,"ذهبي"))</f>
        <v/>
      </c>
      <c r="F163" s="35">
        <f>IF(B163="","",SUMIFS('سجل التحفيز'!$G$5:$G$2004,'سجل التحفيز'!$T$5:$T$2004,"&gt;0",'سجل التحفيز'!$B$5:$B$2004,B163))</f>
        <v/>
      </c>
      <c r="G163" s="35">
        <f>IF(B163="","",COUNTIF($D$38:$D$187,"&gt;"&amp;D163)+1)</f>
        <v/>
      </c>
      <c r="H163" s="35">
        <f>IF(B163="","",INDEX(الموظفات!$L$5:$L$304,MATCH(B163,الموظفات!$B$5:$B$304,0)))</f>
        <v/>
      </c>
      <c r="K163" s="36">
        <f>IF(126&gt;$B$10,"",126)</f>
        <v/>
      </c>
      <c r="L163" s="37">
        <f>IF($K163="","",INDEX('سجل التحفيز'!$A$5:$A$2004,MATCH($K163,'سجل التحفيز'!$T$5:$T$2004,0)))</f>
        <v/>
      </c>
      <c r="M163" s="9">
        <f>IF($K163="","",INDEX('سجل التحفيز'!$B$5:$B$2004,MATCH($K163,'سجل التحفيز'!$T$5:$T$2004,0)))</f>
        <v/>
      </c>
      <c r="N163" s="9">
        <f>IF($K163="","",INDEX('سجل التحفيز'!$M$5:$M$2004,MATCH($K163,'سجل التحفيز'!$T$5:$T$2004,0)))</f>
        <v/>
      </c>
      <c r="O163" s="9">
        <f>IF($K163="","",INDEX('سجل التحفيز'!$C$5:$C$2004,MATCH($K163,'سجل التحفيز'!$T$5:$T$2004,0)))</f>
        <v/>
      </c>
      <c r="P163" s="36">
        <f>IF($K163="","",INDEX('سجل التحفيز'!$D$5:$D$2004,MATCH($K163,'سجل التحفيز'!$T$5:$T$2004,0)))</f>
        <v/>
      </c>
      <c r="Q163" s="9">
        <f>IF($K163="","",INDEX('سجل التحفيز'!$E$5:$E$2004,MATCH($K163,'سجل التحفيز'!$T$5:$T$2004,0)))</f>
        <v/>
      </c>
      <c r="R163" s="9">
        <f>IF($K163="","",INDEX('سجل التحفيز'!$F$5:$F$2004,MATCH($K163,'سجل التحفيز'!$T$5:$T$2004,0)))</f>
        <v/>
      </c>
      <c r="S163" s="35">
        <f>IF($K163="","",INDEX('سجل التحفيز'!$G$5:$G$2004,MATCH($K163,'سجل التحفيز'!$T$5:$T$2004,0)))</f>
        <v/>
      </c>
    </row>
    <row r="164">
      <c r="B164" s="34">
        <f>IFERROR(INDEX(الموظفات!$B$5:$B$304,MATCH(127,الموظفات!$N$5:$N$304,0)),"")</f>
        <v/>
      </c>
      <c r="C164" s="34">
        <f>IF(B164="","",INDEX(الموظفات!$D$5:$D$304,MATCH(B164,الموظفات!$B$5:$B$304,0))&amp;"")</f>
        <v/>
      </c>
      <c r="D164" s="35">
        <f>IF(B164="","",COUNTIFS('سجل التحفيز'!$T$5:$T$2004,"&gt;0",'سجل التحفيز'!$B$5:$B$2004,B164))</f>
        <v/>
      </c>
      <c r="E164" s="35">
        <f>IF(B164="","",COUNTIFS('سجل التحفيز'!$T$5:$T$2004,"&gt;0",'سجل التحفيز'!$B$5:$B$2004,B164,'سجل التحفيز'!$D$5:$D$2004,"ذهبي"))</f>
        <v/>
      </c>
      <c r="F164" s="35">
        <f>IF(B164="","",SUMIFS('سجل التحفيز'!$G$5:$G$2004,'سجل التحفيز'!$T$5:$T$2004,"&gt;0",'سجل التحفيز'!$B$5:$B$2004,B164))</f>
        <v/>
      </c>
      <c r="G164" s="35">
        <f>IF(B164="","",COUNTIF($D$38:$D$187,"&gt;"&amp;D164)+1)</f>
        <v/>
      </c>
      <c r="H164" s="35">
        <f>IF(B164="","",INDEX(الموظفات!$L$5:$L$304,MATCH(B164,الموظفات!$B$5:$B$304,0)))</f>
        <v/>
      </c>
      <c r="K164" s="36">
        <f>IF(127&gt;$B$10,"",127)</f>
        <v/>
      </c>
      <c r="L164" s="37">
        <f>IF($K164="","",INDEX('سجل التحفيز'!$A$5:$A$2004,MATCH($K164,'سجل التحفيز'!$T$5:$T$2004,0)))</f>
        <v/>
      </c>
      <c r="M164" s="9">
        <f>IF($K164="","",INDEX('سجل التحفيز'!$B$5:$B$2004,MATCH($K164,'سجل التحفيز'!$T$5:$T$2004,0)))</f>
        <v/>
      </c>
      <c r="N164" s="9">
        <f>IF($K164="","",INDEX('سجل التحفيز'!$M$5:$M$2004,MATCH($K164,'سجل التحفيز'!$T$5:$T$2004,0)))</f>
        <v/>
      </c>
      <c r="O164" s="9">
        <f>IF($K164="","",INDEX('سجل التحفيز'!$C$5:$C$2004,MATCH($K164,'سجل التحفيز'!$T$5:$T$2004,0)))</f>
        <v/>
      </c>
      <c r="P164" s="36">
        <f>IF($K164="","",INDEX('سجل التحفيز'!$D$5:$D$2004,MATCH($K164,'سجل التحفيز'!$T$5:$T$2004,0)))</f>
        <v/>
      </c>
      <c r="Q164" s="9">
        <f>IF($K164="","",INDEX('سجل التحفيز'!$E$5:$E$2004,MATCH($K164,'سجل التحفيز'!$T$5:$T$2004,0)))</f>
        <v/>
      </c>
      <c r="R164" s="9">
        <f>IF($K164="","",INDEX('سجل التحفيز'!$F$5:$F$2004,MATCH($K164,'سجل التحفيز'!$T$5:$T$2004,0)))</f>
        <v/>
      </c>
      <c r="S164" s="35">
        <f>IF($K164="","",INDEX('سجل التحفيز'!$G$5:$G$2004,MATCH($K164,'سجل التحفيز'!$T$5:$T$2004,0)))</f>
        <v/>
      </c>
    </row>
    <row r="165">
      <c r="B165" s="34">
        <f>IFERROR(INDEX(الموظفات!$B$5:$B$304,MATCH(128,الموظفات!$N$5:$N$304,0)),"")</f>
        <v/>
      </c>
      <c r="C165" s="34">
        <f>IF(B165="","",INDEX(الموظفات!$D$5:$D$304,MATCH(B165,الموظفات!$B$5:$B$304,0))&amp;"")</f>
        <v/>
      </c>
      <c r="D165" s="35">
        <f>IF(B165="","",COUNTIFS('سجل التحفيز'!$T$5:$T$2004,"&gt;0",'سجل التحفيز'!$B$5:$B$2004,B165))</f>
        <v/>
      </c>
      <c r="E165" s="35">
        <f>IF(B165="","",COUNTIFS('سجل التحفيز'!$T$5:$T$2004,"&gt;0",'سجل التحفيز'!$B$5:$B$2004,B165,'سجل التحفيز'!$D$5:$D$2004,"ذهبي"))</f>
        <v/>
      </c>
      <c r="F165" s="35">
        <f>IF(B165="","",SUMIFS('سجل التحفيز'!$G$5:$G$2004,'سجل التحفيز'!$T$5:$T$2004,"&gt;0",'سجل التحفيز'!$B$5:$B$2004,B165))</f>
        <v/>
      </c>
      <c r="G165" s="35">
        <f>IF(B165="","",COUNTIF($D$38:$D$187,"&gt;"&amp;D165)+1)</f>
        <v/>
      </c>
      <c r="H165" s="35">
        <f>IF(B165="","",INDEX(الموظفات!$L$5:$L$304,MATCH(B165,الموظفات!$B$5:$B$304,0)))</f>
        <v/>
      </c>
      <c r="K165" s="36">
        <f>IF(128&gt;$B$10,"",128)</f>
        <v/>
      </c>
      <c r="L165" s="37">
        <f>IF($K165="","",INDEX('سجل التحفيز'!$A$5:$A$2004,MATCH($K165,'سجل التحفيز'!$T$5:$T$2004,0)))</f>
        <v/>
      </c>
      <c r="M165" s="9">
        <f>IF($K165="","",INDEX('سجل التحفيز'!$B$5:$B$2004,MATCH($K165,'سجل التحفيز'!$T$5:$T$2004,0)))</f>
        <v/>
      </c>
      <c r="N165" s="9">
        <f>IF($K165="","",INDEX('سجل التحفيز'!$M$5:$M$2004,MATCH($K165,'سجل التحفيز'!$T$5:$T$2004,0)))</f>
        <v/>
      </c>
      <c r="O165" s="9">
        <f>IF($K165="","",INDEX('سجل التحفيز'!$C$5:$C$2004,MATCH($K165,'سجل التحفيز'!$T$5:$T$2004,0)))</f>
        <v/>
      </c>
      <c r="P165" s="36">
        <f>IF($K165="","",INDEX('سجل التحفيز'!$D$5:$D$2004,MATCH($K165,'سجل التحفيز'!$T$5:$T$2004,0)))</f>
        <v/>
      </c>
      <c r="Q165" s="9">
        <f>IF($K165="","",INDEX('سجل التحفيز'!$E$5:$E$2004,MATCH($K165,'سجل التحفيز'!$T$5:$T$2004,0)))</f>
        <v/>
      </c>
      <c r="R165" s="9">
        <f>IF($K165="","",INDEX('سجل التحفيز'!$F$5:$F$2004,MATCH($K165,'سجل التحفيز'!$T$5:$T$2004,0)))</f>
        <v/>
      </c>
      <c r="S165" s="35">
        <f>IF($K165="","",INDEX('سجل التحفيز'!$G$5:$G$2004,MATCH($K165,'سجل التحفيز'!$T$5:$T$2004,0)))</f>
        <v/>
      </c>
    </row>
    <row r="166">
      <c r="B166" s="34">
        <f>IFERROR(INDEX(الموظفات!$B$5:$B$304,MATCH(129,الموظفات!$N$5:$N$304,0)),"")</f>
        <v/>
      </c>
      <c r="C166" s="34">
        <f>IF(B166="","",INDEX(الموظفات!$D$5:$D$304,MATCH(B166,الموظفات!$B$5:$B$304,0))&amp;"")</f>
        <v/>
      </c>
      <c r="D166" s="35">
        <f>IF(B166="","",COUNTIFS('سجل التحفيز'!$T$5:$T$2004,"&gt;0",'سجل التحفيز'!$B$5:$B$2004,B166))</f>
        <v/>
      </c>
      <c r="E166" s="35">
        <f>IF(B166="","",COUNTIFS('سجل التحفيز'!$T$5:$T$2004,"&gt;0",'سجل التحفيز'!$B$5:$B$2004,B166,'سجل التحفيز'!$D$5:$D$2004,"ذهبي"))</f>
        <v/>
      </c>
      <c r="F166" s="35">
        <f>IF(B166="","",SUMIFS('سجل التحفيز'!$G$5:$G$2004,'سجل التحفيز'!$T$5:$T$2004,"&gt;0",'سجل التحفيز'!$B$5:$B$2004,B166))</f>
        <v/>
      </c>
      <c r="G166" s="35">
        <f>IF(B166="","",COUNTIF($D$38:$D$187,"&gt;"&amp;D166)+1)</f>
        <v/>
      </c>
      <c r="H166" s="35">
        <f>IF(B166="","",INDEX(الموظفات!$L$5:$L$304,MATCH(B166,الموظفات!$B$5:$B$304,0)))</f>
        <v/>
      </c>
      <c r="K166" s="36">
        <f>IF(129&gt;$B$10,"",129)</f>
        <v/>
      </c>
      <c r="L166" s="37">
        <f>IF($K166="","",INDEX('سجل التحفيز'!$A$5:$A$2004,MATCH($K166,'سجل التحفيز'!$T$5:$T$2004,0)))</f>
        <v/>
      </c>
      <c r="M166" s="9">
        <f>IF($K166="","",INDEX('سجل التحفيز'!$B$5:$B$2004,MATCH($K166,'سجل التحفيز'!$T$5:$T$2004,0)))</f>
        <v/>
      </c>
      <c r="N166" s="9">
        <f>IF($K166="","",INDEX('سجل التحفيز'!$M$5:$M$2004,MATCH($K166,'سجل التحفيز'!$T$5:$T$2004,0)))</f>
        <v/>
      </c>
      <c r="O166" s="9">
        <f>IF($K166="","",INDEX('سجل التحفيز'!$C$5:$C$2004,MATCH($K166,'سجل التحفيز'!$T$5:$T$2004,0)))</f>
        <v/>
      </c>
      <c r="P166" s="36">
        <f>IF($K166="","",INDEX('سجل التحفيز'!$D$5:$D$2004,MATCH($K166,'سجل التحفيز'!$T$5:$T$2004,0)))</f>
        <v/>
      </c>
      <c r="Q166" s="9">
        <f>IF($K166="","",INDEX('سجل التحفيز'!$E$5:$E$2004,MATCH($K166,'سجل التحفيز'!$T$5:$T$2004,0)))</f>
        <v/>
      </c>
      <c r="R166" s="9">
        <f>IF($K166="","",INDEX('سجل التحفيز'!$F$5:$F$2004,MATCH($K166,'سجل التحفيز'!$T$5:$T$2004,0)))</f>
        <v/>
      </c>
      <c r="S166" s="35">
        <f>IF($K166="","",INDEX('سجل التحفيز'!$G$5:$G$2004,MATCH($K166,'سجل التحفيز'!$T$5:$T$2004,0)))</f>
        <v/>
      </c>
    </row>
    <row r="167">
      <c r="B167" s="34">
        <f>IFERROR(INDEX(الموظفات!$B$5:$B$304,MATCH(130,الموظفات!$N$5:$N$304,0)),"")</f>
        <v/>
      </c>
      <c r="C167" s="34">
        <f>IF(B167="","",INDEX(الموظفات!$D$5:$D$304,MATCH(B167,الموظفات!$B$5:$B$304,0))&amp;"")</f>
        <v/>
      </c>
      <c r="D167" s="35">
        <f>IF(B167="","",COUNTIFS('سجل التحفيز'!$T$5:$T$2004,"&gt;0",'سجل التحفيز'!$B$5:$B$2004,B167))</f>
        <v/>
      </c>
      <c r="E167" s="35">
        <f>IF(B167="","",COUNTIFS('سجل التحفيز'!$T$5:$T$2004,"&gt;0",'سجل التحفيز'!$B$5:$B$2004,B167,'سجل التحفيز'!$D$5:$D$2004,"ذهبي"))</f>
        <v/>
      </c>
      <c r="F167" s="35">
        <f>IF(B167="","",SUMIFS('سجل التحفيز'!$G$5:$G$2004,'سجل التحفيز'!$T$5:$T$2004,"&gt;0",'سجل التحفيز'!$B$5:$B$2004,B167))</f>
        <v/>
      </c>
      <c r="G167" s="35">
        <f>IF(B167="","",COUNTIF($D$38:$D$187,"&gt;"&amp;D167)+1)</f>
        <v/>
      </c>
      <c r="H167" s="35">
        <f>IF(B167="","",INDEX(الموظفات!$L$5:$L$304,MATCH(B167,الموظفات!$B$5:$B$304,0)))</f>
        <v/>
      </c>
      <c r="K167" s="36">
        <f>IF(130&gt;$B$10,"",130)</f>
        <v/>
      </c>
      <c r="L167" s="37">
        <f>IF($K167="","",INDEX('سجل التحفيز'!$A$5:$A$2004,MATCH($K167,'سجل التحفيز'!$T$5:$T$2004,0)))</f>
        <v/>
      </c>
      <c r="M167" s="9">
        <f>IF($K167="","",INDEX('سجل التحفيز'!$B$5:$B$2004,MATCH($K167,'سجل التحفيز'!$T$5:$T$2004,0)))</f>
        <v/>
      </c>
      <c r="N167" s="9">
        <f>IF($K167="","",INDEX('سجل التحفيز'!$M$5:$M$2004,MATCH($K167,'سجل التحفيز'!$T$5:$T$2004,0)))</f>
        <v/>
      </c>
      <c r="O167" s="9">
        <f>IF($K167="","",INDEX('سجل التحفيز'!$C$5:$C$2004,MATCH($K167,'سجل التحفيز'!$T$5:$T$2004,0)))</f>
        <v/>
      </c>
      <c r="P167" s="36">
        <f>IF($K167="","",INDEX('سجل التحفيز'!$D$5:$D$2004,MATCH($K167,'سجل التحفيز'!$T$5:$T$2004,0)))</f>
        <v/>
      </c>
      <c r="Q167" s="9">
        <f>IF($K167="","",INDEX('سجل التحفيز'!$E$5:$E$2004,MATCH($K167,'سجل التحفيز'!$T$5:$T$2004,0)))</f>
        <v/>
      </c>
      <c r="R167" s="9">
        <f>IF($K167="","",INDEX('سجل التحفيز'!$F$5:$F$2004,MATCH($K167,'سجل التحفيز'!$T$5:$T$2004,0)))</f>
        <v/>
      </c>
      <c r="S167" s="35">
        <f>IF($K167="","",INDEX('سجل التحفيز'!$G$5:$G$2004,MATCH($K167,'سجل التحفيز'!$T$5:$T$2004,0)))</f>
        <v/>
      </c>
    </row>
    <row r="168">
      <c r="B168" s="34">
        <f>IFERROR(INDEX(الموظفات!$B$5:$B$304,MATCH(131,الموظفات!$N$5:$N$304,0)),"")</f>
        <v/>
      </c>
      <c r="C168" s="34">
        <f>IF(B168="","",INDEX(الموظفات!$D$5:$D$304,MATCH(B168,الموظفات!$B$5:$B$304,0))&amp;"")</f>
        <v/>
      </c>
      <c r="D168" s="35">
        <f>IF(B168="","",COUNTIFS('سجل التحفيز'!$T$5:$T$2004,"&gt;0",'سجل التحفيز'!$B$5:$B$2004,B168))</f>
        <v/>
      </c>
      <c r="E168" s="35">
        <f>IF(B168="","",COUNTIFS('سجل التحفيز'!$T$5:$T$2004,"&gt;0",'سجل التحفيز'!$B$5:$B$2004,B168,'سجل التحفيز'!$D$5:$D$2004,"ذهبي"))</f>
        <v/>
      </c>
      <c r="F168" s="35">
        <f>IF(B168="","",SUMIFS('سجل التحفيز'!$G$5:$G$2004,'سجل التحفيز'!$T$5:$T$2004,"&gt;0",'سجل التحفيز'!$B$5:$B$2004,B168))</f>
        <v/>
      </c>
      <c r="G168" s="35">
        <f>IF(B168="","",COUNTIF($D$38:$D$187,"&gt;"&amp;D168)+1)</f>
        <v/>
      </c>
      <c r="H168" s="35">
        <f>IF(B168="","",INDEX(الموظفات!$L$5:$L$304,MATCH(B168,الموظفات!$B$5:$B$304,0)))</f>
        <v/>
      </c>
      <c r="K168" s="36">
        <f>IF(131&gt;$B$10,"",131)</f>
        <v/>
      </c>
      <c r="L168" s="37">
        <f>IF($K168="","",INDEX('سجل التحفيز'!$A$5:$A$2004,MATCH($K168,'سجل التحفيز'!$T$5:$T$2004,0)))</f>
        <v/>
      </c>
      <c r="M168" s="9">
        <f>IF($K168="","",INDEX('سجل التحفيز'!$B$5:$B$2004,MATCH($K168,'سجل التحفيز'!$T$5:$T$2004,0)))</f>
        <v/>
      </c>
      <c r="N168" s="9">
        <f>IF($K168="","",INDEX('سجل التحفيز'!$M$5:$M$2004,MATCH($K168,'سجل التحفيز'!$T$5:$T$2004,0)))</f>
        <v/>
      </c>
      <c r="O168" s="9">
        <f>IF($K168="","",INDEX('سجل التحفيز'!$C$5:$C$2004,MATCH($K168,'سجل التحفيز'!$T$5:$T$2004,0)))</f>
        <v/>
      </c>
      <c r="P168" s="36">
        <f>IF($K168="","",INDEX('سجل التحفيز'!$D$5:$D$2004,MATCH($K168,'سجل التحفيز'!$T$5:$T$2004,0)))</f>
        <v/>
      </c>
      <c r="Q168" s="9">
        <f>IF($K168="","",INDEX('سجل التحفيز'!$E$5:$E$2004,MATCH($K168,'سجل التحفيز'!$T$5:$T$2004,0)))</f>
        <v/>
      </c>
      <c r="R168" s="9">
        <f>IF($K168="","",INDEX('سجل التحفيز'!$F$5:$F$2004,MATCH($K168,'سجل التحفيز'!$T$5:$T$2004,0)))</f>
        <v/>
      </c>
      <c r="S168" s="35">
        <f>IF($K168="","",INDEX('سجل التحفيز'!$G$5:$G$2004,MATCH($K168,'سجل التحفيز'!$T$5:$T$2004,0)))</f>
        <v/>
      </c>
    </row>
    <row r="169">
      <c r="B169" s="34">
        <f>IFERROR(INDEX(الموظفات!$B$5:$B$304,MATCH(132,الموظفات!$N$5:$N$304,0)),"")</f>
        <v/>
      </c>
      <c r="C169" s="34">
        <f>IF(B169="","",INDEX(الموظفات!$D$5:$D$304,MATCH(B169,الموظفات!$B$5:$B$304,0))&amp;"")</f>
        <v/>
      </c>
      <c r="D169" s="35">
        <f>IF(B169="","",COUNTIFS('سجل التحفيز'!$T$5:$T$2004,"&gt;0",'سجل التحفيز'!$B$5:$B$2004,B169))</f>
        <v/>
      </c>
      <c r="E169" s="35">
        <f>IF(B169="","",COUNTIFS('سجل التحفيز'!$T$5:$T$2004,"&gt;0",'سجل التحفيز'!$B$5:$B$2004,B169,'سجل التحفيز'!$D$5:$D$2004,"ذهبي"))</f>
        <v/>
      </c>
      <c r="F169" s="35">
        <f>IF(B169="","",SUMIFS('سجل التحفيز'!$G$5:$G$2004,'سجل التحفيز'!$T$5:$T$2004,"&gt;0",'سجل التحفيز'!$B$5:$B$2004,B169))</f>
        <v/>
      </c>
      <c r="G169" s="35">
        <f>IF(B169="","",COUNTIF($D$38:$D$187,"&gt;"&amp;D169)+1)</f>
        <v/>
      </c>
      <c r="H169" s="35">
        <f>IF(B169="","",INDEX(الموظفات!$L$5:$L$304,MATCH(B169,الموظفات!$B$5:$B$304,0)))</f>
        <v/>
      </c>
      <c r="K169" s="36">
        <f>IF(132&gt;$B$10,"",132)</f>
        <v/>
      </c>
      <c r="L169" s="37">
        <f>IF($K169="","",INDEX('سجل التحفيز'!$A$5:$A$2004,MATCH($K169,'سجل التحفيز'!$T$5:$T$2004,0)))</f>
        <v/>
      </c>
      <c r="M169" s="9">
        <f>IF($K169="","",INDEX('سجل التحفيز'!$B$5:$B$2004,MATCH($K169,'سجل التحفيز'!$T$5:$T$2004,0)))</f>
        <v/>
      </c>
      <c r="N169" s="9">
        <f>IF($K169="","",INDEX('سجل التحفيز'!$M$5:$M$2004,MATCH($K169,'سجل التحفيز'!$T$5:$T$2004,0)))</f>
        <v/>
      </c>
      <c r="O169" s="9">
        <f>IF($K169="","",INDEX('سجل التحفيز'!$C$5:$C$2004,MATCH($K169,'سجل التحفيز'!$T$5:$T$2004,0)))</f>
        <v/>
      </c>
      <c r="P169" s="36">
        <f>IF($K169="","",INDEX('سجل التحفيز'!$D$5:$D$2004,MATCH($K169,'سجل التحفيز'!$T$5:$T$2004,0)))</f>
        <v/>
      </c>
      <c r="Q169" s="9">
        <f>IF($K169="","",INDEX('سجل التحفيز'!$E$5:$E$2004,MATCH($K169,'سجل التحفيز'!$T$5:$T$2004,0)))</f>
        <v/>
      </c>
      <c r="R169" s="9">
        <f>IF($K169="","",INDEX('سجل التحفيز'!$F$5:$F$2004,MATCH($K169,'سجل التحفيز'!$T$5:$T$2004,0)))</f>
        <v/>
      </c>
      <c r="S169" s="35">
        <f>IF($K169="","",INDEX('سجل التحفيز'!$G$5:$G$2004,MATCH($K169,'سجل التحفيز'!$T$5:$T$2004,0)))</f>
        <v/>
      </c>
    </row>
    <row r="170">
      <c r="B170" s="34">
        <f>IFERROR(INDEX(الموظفات!$B$5:$B$304,MATCH(133,الموظفات!$N$5:$N$304,0)),"")</f>
        <v/>
      </c>
      <c r="C170" s="34">
        <f>IF(B170="","",INDEX(الموظفات!$D$5:$D$304,MATCH(B170,الموظفات!$B$5:$B$304,0))&amp;"")</f>
        <v/>
      </c>
      <c r="D170" s="35">
        <f>IF(B170="","",COUNTIFS('سجل التحفيز'!$T$5:$T$2004,"&gt;0",'سجل التحفيز'!$B$5:$B$2004,B170))</f>
        <v/>
      </c>
      <c r="E170" s="35">
        <f>IF(B170="","",COUNTIFS('سجل التحفيز'!$T$5:$T$2004,"&gt;0",'سجل التحفيز'!$B$5:$B$2004,B170,'سجل التحفيز'!$D$5:$D$2004,"ذهبي"))</f>
        <v/>
      </c>
      <c r="F170" s="35">
        <f>IF(B170="","",SUMIFS('سجل التحفيز'!$G$5:$G$2004,'سجل التحفيز'!$T$5:$T$2004,"&gt;0",'سجل التحفيز'!$B$5:$B$2004,B170))</f>
        <v/>
      </c>
      <c r="G170" s="35">
        <f>IF(B170="","",COUNTIF($D$38:$D$187,"&gt;"&amp;D170)+1)</f>
        <v/>
      </c>
      <c r="H170" s="35">
        <f>IF(B170="","",INDEX(الموظفات!$L$5:$L$304,MATCH(B170,الموظفات!$B$5:$B$304,0)))</f>
        <v/>
      </c>
      <c r="K170" s="36">
        <f>IF(133&gt;$B$10,"",133)</f>
        <v/>
      </c>
      <c r="L170" s="37">
        <f>IF($K170="","",INDEX('سجل التحفيز'!$A$5:$A$2004,MATCH($K170,'سجل التحفيز'!$T$5:$T$2004,0)))</f>
        <v/>
      </c>
      <c r="M170" s="9">
        <f>IF($K170="","",INDEX('سجل التحفيز'!$B$5:$B$2004,MATCH($K170,'سجل التحفيز'!$T$5:$T$2004,0)))</f>
        <v/>
      </c>
      <c r="N170" s="9">
        <f>IF($K170="","",INDEX('سجل التحفيز'!$M$5:$M$2004,MATCH($K170,'سجل التحفيز'!$T$5:$T$2004,0)))</f>
        <v/>
      </c>
      <c r="O170" s="9">
        <f>IF($K170="","",INDEX('سجل التحفيز'!$C$5:$C$2004,MATCH($K170,'سجل التحفيز'!$T$5:$T$2004,0)))</f>
        <v/>
      </c>
      <c r="P170" s="36">
        <f>IF($K170="","",INDEX('سجل التحفيز'!$D$5:$D$2004,MATCH($K170,'سجل التحفيز'!$T$5:$T$2004,0)))</f>
        <v/>
      </c>
      <c r="Q170" s="9">
        <f>IF($K170="","",INDEX('سجل التحفيز'!$E$5:$E$2004,MATCH($K170,'سجل التحفيز'!$T$5:$T$2004,0)))</f>
        <v/>
      </c>
      <c r="R170" s="9">
        <f>IF($K170="","",INDEX('سجل التحفيز'!$F$5:$F$2004,MATCH($K170,'سجل التحفيز'!$T$5:$T$2004,0)))</f>
        <v/>
      </c>
      <c r="S170" s="35">
        <f>IF($K170="","",INDEX('سجل التحفيز'!$G$5:$G$2004,MATCH($K170,'سجل التحفيز'!$T$5:$T$2004,0)))</f>
        <v/>
      </c>
    </row>
    <row r="171">
      <c r="B171" s="34">
        <f>IFERROR(INDEX(الموظفات!$B$5:$B$304,MATCH(134,الموظفات!$N$5:$N$304,0)),"")</f>
        <v/>
      </c>
      <c r="C171" s="34">
        <f>IF(B171="","",INDEX(الموظفات!$D$5:$D$304,MATCH(B171,الموظفات!$B$5:$B$304,0))&amp;"")</f>
        <v/>
      </c>
      <c r="D171" s="35">
        <f>IF(B171="","",COUNTIFS('سجل التحفيز'!$T$5:$T$2004,"&gt;0",'سجل التحفيز'!$B$5:$B$2004,B171))</f>
        <v/>
      </c>
      <c r="E171" s="35">
        <f>IF(B171="","",COUNTIFS('سجل التحفيز'!$T$5:$T$2004,"&gt;0",'سجل التحفيز'!$B$5:$B$2004,B171,'سجل التحفيز'!$D$5:$D$2004,"ذهبي"))</f>
        <v/>
      </c>
      <c r="F171" s="35">
        <f>IF(B171="","",SUMIFS('سجل التحفيز'!$G$5:$G$2004,'سجل التحفيز'!$T$5:$T$2004,"&gt;0",'سجل التحفيز'!$B$5:$B$2004,B171))</f>
        <v/>
      </c>
      <c r="G171" s="35">
        <f>IF(B171="","",COUNTIF($D$38:$D$187,"&gt;"&amp;D171)+1)</f>
        <v/>
      </c>
      <c r="H171" s="35">
        <f>IF(B171="","",INDEX(الموظفات!$L$5:$L$304,MATCH(B171,الموظفات!$B$5:$B$304,0)))</f>
        <v/>
      </c>
      <c r="K171" s="36">
        <f>IF(134&gt;$B$10,"",134)</f>
        <v/>
      </c>
      <c r="L171" s="37">
        <f>IF($K171="","",INDEX('سجل التحفيز'!$A$5:$A$2004,MATCH($K171,'سجل التحفيز'!$T$5:$T$2004,0)))</f>
        <v/>
      </c>
      <c r="M171" s="9">
        <f>IF($K171="","",INDEX('سجل التحفيز'!$B$5:$B$2004,MATCH($K171,'سجل التحفيز'!$T$5:$T$2004,0)))</f>
        <v/>
      </c>
      <c r="N171" s="9">
        <f>IF($K171="","",INDEX('سجل التحفيز'!$M$5:$M$2004,MATCH($K171,'سجل التحفيز'!$T$5:$T$2004,0)))</f>
        <v/>
      </c>
      <c r="O171" s="9">
        <f>IF($K171="","",INDEX('سجل التحفيز'!$C$5:$C$2004,MATCH($K171,'سجل التحفيز'!$T$5:$T$2004,0)))</f>
        <v/>
      </c>
      <c r="P171" s="36">
        <f>IF($K171="","",INDEX('سجل التحفيز'!$D$5:$D$2004,MATCH($K171,'سجل التحفيز'!$T$5:$T$2004,0)))</f>
        <v/>
      </c>
      <c r="Q171" s="9">
        <f>IF($K171="","",INDEX('سجل التحفيز'!$E$5:$E$2004,MATCH($K171,'سجل التحفيز'!$T$5:$T$2004,0)))</f>
        <v/>
      </c>
      <c r="R171" s="9">
        <f>IF($K171="","",INDEX('سجل التحفيز'!$F$5:$F$2004,MATCH($K171,'سجل التحفيز'!$T$5:$T$2004,0)))</f>
        <v/>
      </c>
      <c r="S171" s="35">
        <f>IF($K171="","",INDEX('سجل التحفيز'!$G$5:$G$2004,MATCH($K171,'سجل التحفيز'!$T$5:$T$2004,0)))</f>
        <v/>
      </c>
    </row>
    <row r="172">
      <c r="B172" s="34">
        <f>IFERROR(INDEX(الموظفات!$B$5:$B$304,MATCH(135,الموظفات!$N$5:$N$304,0)),"")</f>
        <v/>
      </c>
      <c r="C172" s="34">
        <f>IF(B172="","",INDEX(الموظفات!$D$5:$D$304,MATCH(B172,الموظفات!$B$5:$B$304,0))&amp;"")</f>
        <v/>
      </c>
      <c r="D172" s="35">
        <f>IF(B172="","",COUNTIFS('سجل التحفيز'!$T$5:$T$2004,"&gt;0",'سجل التحفيز'!$B$5:$B$2004,B172))</f>
        <v/>
      </c>
      <c r="E172" s="35">
        <f>IF(B172="","",COUNTIFS('سجل التحفيز'!$T$5:$T$2004,"&gt;0",'سجل التحفيز'!$B$5:$B$2004,B172,'سجل التحفيز'!$D$5:$D$2004,"ذهبي"))</f>
        <v/>
      </c>
      <c r="F172" s="35">
        <f>IF(B172="","",SUMIFS('سجل التحفيز'!$G$5:$G$2004,'سجل التحفيز'!$T$5:$T$2004,"&gt;0",'سجل التحفيز'!$B$5:$B$2004,B172))</f>
        <v/>
      </c>
      <c r="G172" s="35">
        <f>IF(B172="","",COUNTIF($D$38:$D$187,"&gt;"&amp;D172)+1)</f>
        <v/>
      </c>
      <c r="H172" s="35">
        <f>IF(B172="","",INDEX(الموظفات!$L$5:$L$304,MATCH(B172,الموظفات!$B$5:$B$304,0)))</f>
        <v/>
      </c>
      <c r="K172" s="36">
        <f>IF(135&gt;$B$10,"",135)</f>
        <v/>
      </c>
      <c r="L172" s="37">
        <f>IF($K172="","",INDEX('سجل التحفيز'!$A$5:$A$2004,MATCH($K172,'سجل التحفيز'!$T$5:$T$2004,0)))</f>
        <v/>
      </c>
      <c r="M172" s="9">
        <f>IF($K172="","",INDEX('سجل التحفيز'!$B$5:$B$2004,MATCH($K172,'سجل التحفيز'!$T$5:$T$2004,0)))</f>
        <v/>
      </c>
      <c r="N172" s="9">
        <f>IF($K172="","",INDEX('سجل التحفيز'!$M$5:$M$2004,MATCH($K172,'سجل التحفيز'!$T$5:$T$2004,0)))</f>
        <v/>
      </c>
      <c r="O172" s="9">
        <f>IF($K172="","",INDEX('سجل التحفيز'!$C$5:$C$2004,MATCH($K172,'سجل التحفيز'!$T$5:$T$2004,0)))</f>
        <v/>
      </c>
      <c r="P172" s="36">
        <f>IF($K172="","",INDEX('سجل التحفيز'!$D$5:$D$2004,MATCH($K172,'سجل التحفيز'!$T$5:$T$2004,0)))</f>
        <v/>
      </c>
      <c r="Q172" s="9">
        <f>IF($K172="","",INDEX('سجل التحفيز'!$E$5:$E$2004,MATCH($K172,'سجل التحفيز'!$T$5:$T$2004,0)))</f>
        <v/>
      </c>
      <c r="R172" s="9">
        <f>IF($K172="","",INDEX('سجل التحفيز'!$F$5:$F$2004,MATCH($K172,'سجل التحفيز'!$T$5:$T$2004,0)))</f>
        <v/>
      </c>
      <c r="S172" s="35">
        <f>IF($K172="","",INDEX('سجل التحفيز'!$G$5:$G$2004,MATCH($K172,'سجل التحفيز'!$T$5:$T$2004,0)))</f>
        <v/>
      </c>
    </row>
    <row r="173">
      <c r="B173" s="34">
        <f>IFERROR(INDEX(الموظفات!$B$5:$B$304,MATCH(136,الموظفات!$N$5:$N$304,0)),"")</f>
        <v/>
      </c>
      <c r="C173" s="34">
        <f>IF(B173="","",INDEX(الموظفات!$D$5:$D$304,MATCH(B173,الموظفات!$B$5:$B$304,0))&amp;"")</f>
        <v/>
      </c>
      <c r="D173" s="35">
        <f>IF(B173="","",COUNTIFS('سجل التحفيز'!$T$5:$T$2004,"&gt;0",'سجل التحفيز'!$B$5:$B$2004,B173))</f>
        <v/>
      </c>
      <c r="E173" s="35">
        <f>IF(B173="","",COUNTIFS('سجل التحفيز'!$T$5:$T$2004,"&gt;0",'سجل التحفيز'!$B$5:$B$2004,B173,'سجل التحفيز'!$D$5:$D$2004,"ذهبي"))</f>
        <v/>
      </c>
      <c r="F173" s="35">
        <f>IF(B173="","",SUMIFS('سجل التحفيز'!$G$5:$G$2004,'سجل التحفيز'!$T$5:$T$2004,"&gt;0",'سجل التحفيز'!$B$5:$B$2004,B173))</f>
        <v/>
      </c>
      <c r="G173" s="35">
        <f>IF(B173="","",COUNTIF($D$38:$D$187,"&gt;"&amp;D173)+1)</f>
        <v/>
      </c>
      <c r="H173" s="35">
        <f>IF(B173="","",INDEX(الموظفات!$L$5:$L$304,MATCH(B173,الموظفات!$B$5:$B$304,0)))</f>
        <v/>
      </c>
      <c r="K173" s="36">
        <f>IF(136&gt;$B$10,"",136)</f>
        <v/>
      </c>
      <c r="L173" s="37">
        <f>IF($K173="","",INDEX('سجل التحفيز'!$A$5:$A$2004,MATCH($K173,'سجل التحفيز'!$T$5:$T$2004,0)))</f>
        <v/>
      </c>
      <c r="M173" s="9">
        <f>IF($K173="","",INDEX('سجل التحفيز'!$B$5:$B$2004,MATCH($K173,'سجل التحفيز'!$T$5:$T$2004,0)))</f>
        <v/>
      </c>
      <c r="N173" s="9">
        <f>IF($K173="","",INDEX('سجل التحفيز'!$M$5:$M$2004,MATCH($K173,'سجل التحفيز'!$T$5:$T$2004,0)))</f>
        <v/>
      </c>
      <c r="O173" s="9">
        <f>IF($K173="","",INDEX('سجل التحفيز'!$C$5:$C$2004,MATCH($K173,'سجل التحفيز'!$T$5:$T$2004,0)))</f>
        <v/>
      </c>
      <c r="P173" s="36">
        <f>IF($K173="","",INDEX('سجل التحفيز'!$D$5:$D$2004,MATCH($K173,'سجل التحفيز'!$T$5:$T$2004,0)))</f>
        <v/>
      </c>
      <c r="Q173" s="9">
        <f>IF($K173="","",INDEX('سجل التحفيز'!$E$5:$E$2004,MATCH($K173,'سجل التحفيز'!$T$5:$T$2004,0)))</f>
        <v/>
      </c>
      <c r="R173" s="9">
        <f>IF($K173="","",INDEX('سجل التحفيز'!$F$5:$F$2004,MATCH($K173,'سجل التحفيز'!$T$5:$T$2004,0)))</f>
        <v/>
      </c>
      <c r="S173" s="35">
        <f>IF($K173="","",INDEX('سجل التحفيز'!$G$5:$G$2004,MATCH($K173,'سجل التحفيز'!$T$5:$T$2004,0)))</f>
        <v/>
      </c>
    </row>
    <row r="174">
      <c r="B174" s="34">
        <f>IFERROR(INDEX(الموظفات!$B$5:$B$304,MATCH(137,الموظفات!$N$5:$N$304,0)),"")</f>
        <v/>
      </c>
      <c r="C174" s="34">
        <f>IF(B174="","",INDEX(الموظفات!$D$5:$D$304,MATCH(B174,الموظفات!$B$5:$B$304,0))&amp;"")</f>
        <v/>
      </c>
      <c r="D174" s="35">
        <f>IF(B174="","",COUNTIFS('سجل التحفيز'!$T$5:$T$2004,"&gt;0",'سجل التحفيز'!$B$5:$B$2004,B174))</f>
        <v/>
      </c>
      <c r="E174" s="35">
        <f>IF(B174="","",COUNTIFS('سجل التحفيز'!$T$5:$T$2004,"&gt;0",'سجل التحفيز'!$B$5:$B$2004,B174,'سجل التحفيز'!$D$5:$D$2004,"ذهبي"))</f>
        <v/>
      </c>
      <c r="F174" s="35">
        <f>IF(B174="","",SUMIFS('سجل التحفيز'!$G$5:$G$2004,'سجل التحفيز'!$T$5:$T$2004,"&gt;0",'سجل التحفيز'!$B$5:$B$2004,B174))</f>
        <v/>
      </c>
      <c r="G174" s="35">
        <f>IF(B174="","",COUNTIF($D$38:$D$187,"&gt;"&amp;D174)+1)</f>
        <v/>
      </c>
      <c r="H174" s="35">
        <f>IF(B174="","",INDEX(الموظفات!$L$5:$L$304,MATCH(B174,الموظفات!$B$5:$B$304,0)))</f>
        <v/>
      </c>
      <c r="K174" s="36">
        <f>IF(137&gt;$B$10,"",137)</f>
        <v/>
      </c>
      <c r="L174" s="37">
        <f>IF($K174="","",INDEX('سجل التحفيز'!$A$5:$A$2004,MATCH($K174,'سجل التحفيز'!$T$5:$T$2004,0)))</f>
        <v/>
      </c>
      <c r="M174" s="9">
        <f>IF($K174="","",INDEX('سجل التحفيز'!$B$5:$B$2004,MATCH($K174,'سجل التحفيز'!$T$5:$T$2004,0)))</f>
        <v/>
      </c>
      <c r="N174" s="9">
        <f>IF($K174="","",INDEX('سجل التحفيز'!$M$5:$M$2004,MATCH($K174,'سجل التحفيز'!$T$5:$T$2004,0)))</f>
        <v/>
      </c>
      <c r="O174" s="9">
        <f>IF($K174="","",INDEX('سجل التحفيز'!$C$5:$C$2004,MATCH($K174,'سجل التحفيز'!$T$5:$T$2004,0)))</f>
        <v/>
      </c>
      <c r="P174" s="36">
        <f>IF($K174="","",INDEX('سجل التحفيز'!$D$5:$D$2004,MATCH($K174,'سجل التحفيز'!$T$5:$T$2004,0)))</f>
        <v/>
      </c>
      <c r="Q174" s="9">
        <f>IF($K174="","",INDEX('سجل التحفيز'!$E$5:$E$2004,MATCH($K174,'سجل التحفيز'!$T$5:$T$2004,0)))</f>
        <v/>
      </c>
      <c r="R174" s="9">
        <f>IF($K174="","",INDEX('سجل التحفيز'!$F$5:$F$2004,MATCH($K174,'سجل التحفيز'!$T$5:$T$2004,0)))</f>
        <v/>
      </c>
      <c r="S174" s="35">
        <f>IF($K174="","",INDEX('سجل التحفيز'!$G$5:$G$2004,MATCH($K174,'سجل التحفيز'!$T$5:$T$2004,0)))</f>
        <v/>
      </c>
    </row>
    <row r="175">
      <c r="B175" s="34">
        <f>IFERROR(INDEX(الموظفات!$B$5:$B$304,MATCH(138,الموظفات!$N$5:$N$304,0)),"")</f>
        <v/>
      </c>
      <c r="C175" s="34">
        <f>IF(B175="","",INDEX(الموظفات!$D$5:$D$304,MATCH(B175,الموظفات!$B$5:$B$304,0))&amp;"")</f>
        <v/>
      </c>
      <c r="D175" s="35">
        <f>IF(B175="","",COUNTIFS('سجل التحفيز'!$T$5:$T$2004,"&gt;0",'سجل التحفيز'!$B$5:$B$2004,B175))</f>
        <v/>
      </c>
      <c r="E175" s="35">
        <f>IF(B175="","",COUNTIFS('سجل التحفيز'!$T$5:$T$2004,"&gt;0",'سجل التحفيز'!$B$5:$B$2004,B175,'سجل التحفيز'!$D$5:$D$2004,"ذهبي"))</f>
        <v/>
      </c>
      <c r="F175" s="35">
        <f>IF(B175="","",SUMIFS('سجل التحفيز'!$G$5:$G$2004,'سجل التحفيز'!$T$5:$T$2004,"&gt;0",'سجل التحفيز'!$B$5:$B$2004,B175))</f>
        <v/>
      </c>
      <c r="G175" s="35">
        <f>IF(B175="","",COUNTIF($D$38:$D$187,"&gt;"&amp;D175)+1)</f>
        <v/>
      </c>
      <c r="H175" s="35">
        <f>IF(B175="","",INDEX(الموظفات!$L$5:$L$304,MATCH(B175,الموظفات!$B$5:$B$304,0)))</f>
        <v/>
      </c>
      <c r="K175" s="36">
        <f>IF(138&gt;$B$10,"",138)</f>
        <v/>
      </c>
      <c r="L175" s="37">
        <f>IF($K175="","",INDEX('سجل التحفيز'!$A$5:$A$2004,MATCH($K175,'سجل التحفيز'!$T$5:$T$2004,0)))</f>
        <v/>
      </c>
      <c r="M175" s="9">
        <f>IF($K175="","",INDEX('سجل التحفيز'!$B$5:$B$2004,MATCH($K175,'سجل التحفيز'!$T$5:$T$2004,0)))</f>
        <v/>
      </c>
      <c r="N175" s="9">
        <f>IF($K175="","",INDEX('سجل التحفيز'!$M$5:$M$2004,MATCH($K175,'سجل التحفيز'!$T$5:$T$2004,0)))</f>
        <v/>
      </c>
      <c r="O175" s="9">
        <f>IF($K175="","",INDEX('سجل التحفيز'!$C$5:$C$2004,MATCH($K175,'سجل التحفيز'!$T$5:$T$2004,0)))</f>
        <v/>
      </c>
      <c r="P175" s="36">
        <f>IF($K175="","",INDEX('سجل التحفيز'!$D$5:$D$2004,MATCH($K175,'سجل التحفيز'!$T$5:$T$2004,0)))</f>
        <v/>
      </c>
      <c r="Q175" s="9">
        <f>IF($K175="","",INDEX('سجل التحفيز'!$E$5:$E$2004,MATCH($K175,'سجل التحفيز'!$T$5:$T$2004,0)))</f>
        <v/>
      </c>
      <c r="R175" s="9">
        <f>IF($K175="","",INDEX('سجل التحفيز'!$F$5:$F$2004,MATCH($K175,'سجل التحفيز'!$T$5:$T$2004,0)))</f>
        <v/>
      </c>
      <c r="S175" s="35">
        <f>IF($K175="","",INDEX('سجل التحفيز'!$G$5:$G$2004,MATCH($K175,'سجل التحفيز'!$T$5:$T$2004,0)))</f>
        <v/>
      </c>
    </row>
    <row r="176">
      <c r="B176" s="34">
        <f>IFERROR(INDEX(الموظفات!$B$5:$B$304,MATCH(139,الموظفات!$N$5:$N$304,0)),"")</f>
        <v/>
      </c>
      <c r="C176" s="34">
        <f>IF(B176="","",INDEX(الموظفات!$D$5:$D$304,MATCH(B176,الموظفات!$B$5:$B$304,0))&amp;"")</f>
        <v/>
      </c>
      <c r="D176" s="35">
        <f>IF(B176="","",COUNTIFS('سجل التحفيز'!$T$5:$T$2004,"&gt;0",'سجل التحفيز'!$B$5:$B$2004,B176))</f>
        <v/>
      </c>
      <c r="E176" s="35">
        <f>IF(B176="","",COUNTIFS('سجل التحفيز'!$T$5:$T$2004,"&gt;0",'سجل التحفيز'!$B$5:$B$2004,B176,'سجل التحفيز'!$D$5:$D$2004,"ذهبي"))</f>
        <v/>
      </c>
      <c r="F176" s="35">
        <f>IF(B176="","",SUMIFS('سجل التحفيز'!$G$5:$G$2004,'سجل التحفيز'!$T$5:$T$2004,"&gt;0",'سجل التحفيز'!$B$5:$B$2004,B176))</f>
        <v/>
      </c>
      <c r="G176" s="35">
        <f>IF(B176="","",COUNTIF($D$38:$D$187,"&gt;"&amp;D176)+1)</f>
        <v/>
      </c>
      <c r="H176" s="35">
        <f>IF(B176="","",INDEX(الموظفات!$L$5:$L$304,MATCH(B176,الموظفات!$B$5:$B$304,0)))</f>
        <v/>
      </c>
      <c r="K176" s="36">
        <f>IF(139&gt;$B$10,"",139)</f>
        <v/>
      </c>
      <c r="L176" s="37">
        <f>IF($K176="","",INDEX('سجل التحفيز'!$A$5:$A$2004,MATCH($K176,'سجل التحفيز'!$T$5:$T$2004,0)))</f>
        <v/>
      </c>
      <c r="M176" s="9">
        <f>IF($K176="","",INDEX('سجل التحفيز'!$B$5:$B$2004,MATCH($K176,'سجل التحفيز'!$T$5:$T$2004,0)))</f>
        <v/>
      </c>
      <c r="N176" s="9">
        <f>IF($K176="","",INDEX('سجل التحفيز'!$M$5:$M$2004,MATCH($K176,'سجل التحفيز'!$T$5:$T$2004,0)))</f>
        <v/>
      </c>
      <c r="O176" s="9">
        <f>IF($K176="","",INDEX('سجل التحفيز'!$C$5:$C$2004,MATCH($K176,'سجل التحفيز'!$T$5:$T$2004,0)))</f>
        <v/>
      </c>
      <c r="P176" s="36">
        <f>IF($K176="","",INDEX('سجل التحفيز'!$D$5:$D$2004,MATCH($K176,'سجل التحفيز'!$T$5:$T$2004,0)))</f>
        <v/>
      </c>
      <c r="Q176" s="9">
        <f>IF($K176="","",INDEX('سجل التحفيز'!$E$5:$E$2004,MATCH($K176,'سجل التحفيز'!$T$5:$T$2004,0)))</f>
        <v/>
      </c>
      <c r="R176" s="9">
        <f>IF($K176="","",INDEX('سجل التحفيز'!$F$5:$F$2004,MATCH($K176,'سجل التحفيز'!$T$5:$T$2004,0)))</f>
        <v/>
      </c>
      <c r="S176" s="35">
        <f>IF($K176="","",INDEX('سجل التحفيز'!$G$5:$G$2004,MATCH($K176,'سجل التحفيز'!$T$5:$T$2004,0)))</f>
        <v/>
      </c>
    </row>
    <row r="177">
      <c r="B177" s="34">
        <f>IFERROR(INDEX(الموظفات!$B$5:$B$304,MATCH(140,الموظفات!$N$5:$N$304,0)),"")</f>
        <v/>
      </c>
      <c r="C177" s="34">
        <f>IF(B177="","",INDEX(الموظفات!$D$5:$D$304,MATCH(B177,الموظفات!$B$5:$B$304,0))&amp;"")</f>
        <v/>
      </c>
      <c r="D177" s="35">
        <f>IF(B177="","",COUNTIFS('سجل التحفيز'!$T$5:$T$2004,"&gt;0",'سجل التحفيز'!$B$5:$B$2004,B177))</f>
        <v/>
      </c>
      <c r="E177" s="35">
        <f>IF(B177="","",COUNTIFS('سجل التحفيز'!$T$5:$T$2004,"&gt;0",'سجل التحفيز'!$B$5:$B$2004,B177,'سجل التحفيز'!$D$5:$D$2004,"ذهبي"))</f>
        <v/>
      </c>
      <c r="F177" s="35">
        <f>IF(B177="","",SUMIFS('سجل التحفيز'!$G$5:$G$2004,'سجل التحفيز'!$T$5:$T$2004,"&gt;0",'سجل التحفيز'!$B$5:$B$2004,B177))</f>
        <v/>
      </c>
      <c r="G177" s="35">
        <f>IF(B177="","",COUNTIF($D$38:$D$187,"&gt;"&amp;D177)+1)</f>
        <v/>
      </c>
      <c r="H177" s="35">
        <f>IF(B177="","",INDEX(الموظفات!$L$5:$L$304,MATCH(B177,الموظفات!$B$5:$B$304,0)))</f>
        <v/>
      </c>
      <c r="K177" s="36">
        <f>IF(140&gt;$B$10,"",140)</f>
        <v/>
      </c>
      <c r="L177" s="37">
        <f>IF($K177="","",INDEX('سجل التحفيز'!$A$5:$A$2004,MATCH($K177,'سجل التحفيز'!$T$5:$T$2004,0)))</f>
        <v/>
      </c>
      <c r="M177" s="9">
        <f>IF($K177="","",INDEX('سجل التحفيز'!$B$5:$B$2004,MATCH($K177,'سجل التحفيز'!$T$5:$T$2004,0)))</f>
        <v/>
      </c>
      <c r="N177" s="9">
        <f>IF($K177="","",INDEX('سجل التحفيز'!$M$5:$M$2004,MATCH($K177,'سجل التحفيز'!$T$5:$T$2004,0)))</f>
        <v/>
      </c>
      <c r="O177" s="9">
        <f>IF($K177="","",INDEX('سجل التحفيز'!$C$5:$C$2004,MATCH($K177,'سجل التحفيز'!$T$5:$T$2004,0)))</f>
        <v/>
      </c>
      <c r="P177" s="36">
        <f>IF($K177="","",INDEX('سجل التحفيز'!$D$5:$D$2004,MATCH($K177,'سجل التحفيز'!$T$5:$T$2004,0)))</f>
        <v/>
      </c>
      <c r="Q177" s="9">
        <f>IF($K177="","",INDEX('سجل التحفيز'!$E$5:$E$2004,MATCH($K177,'سجل التحفيز'!$T$5:$T$2004,0)))</f>
        <v/>
      </c>
      <c r="R177" s="9">
        <f>IF($K177="","",INDEX('سجل التحفيز'!$F$5:$F$2004,MATCH($K177,'سجل التحفيز'!$T$5:$T$2004,0)))</f>
        <v/>
      </c>
      <c r="S177" s="35">
        <f>IF($K177="","",INDEX('سجل التحفيز'!$G$5:$G$2004,MATCH($K177,'سجل التحفيز'!$T$5:$T$2004,0)))</f>
        <v/>
      </c>
    </row>
    <row r="178">
      <c r="B178" s="34">
        <f>IFERROR(INDEX(الموظفات!$B$5:$B$304,MATCH(141,الموظفات!$N$5:$N$304,0)),"")</f>
        <v/>
      </c>
      <c r="C178" s="34">
        <f>IF(B178="","",INDEX(الموظفات!$D$5:$D$304,MATCH(B178,الموظفات!$B$5:$B$304,0))&amp;"")</f>
        <v/>
      </c>
      <c r="D178" s="35">
        <f>IF(B178="","",COUNTIFS('سجل التحفيز'!$T$5:$T$2004,"&gt;0",'سجل التحفيز'!$B$5:$B$2004,B178))</f>
        <v/>
      </c>
      <c r="E178" s="35">
        <f>IF(B178="","",COUNTIFS('سجل التحفيز'!$T$5:$T$2004,"&gt;0",'سجل التحفيز'!$B$5:$B$2004,B178,'سجل التحفيز'!$D$5:$D$2004,"ذهبي"))</f>
        <v/>
      </c>
      <c r="F178" s="35">
        <f>IF(B178="","",SUMIFS('سجل التحفيز'!$G$5:$G$2004,'سجل التحفيز'!$T$5:$T$2004,"&gt;0",'سجل التحفيز'!$B$5:$B$2004,B178))</f>
        <v/>
      </c>
      <c r="G178" s="35">
        <f>IF(B178="","",COUNTIF($D$38:$D$187,"&gt;"&amp;D178)+1)</f>
        <v/>
      </c>
      <c r="H178" s="35">
        <f>IF(B178="","",INDEX(الموظفات!$L$5:$L$304,MATCH(B178,الموظفات!$B$5:$B$304,0)))</f>
        <v/>
      </c>
      <c r="K178" s="36">
        <f>IF(141&gt;$B$10,"",141)</f>
        <v/>
      </c>
      <c r="L178" s="37">
        <f>IF($K178="","",INDEX('سجل التحفيز'!$A$5:$A$2004,MATCH($K178,'سجل التحفيز'!$T$5:$T$2004,0)))</f>
        <v/>
      </c>
      <c r="M178" s="9">
        <f>IF($K178="","",INDEX('سجل التحفيز'!$B$5:$B$2004,MATCH($K178,'سجل التحفيز'!$T$5:$T$2004,0)))</f>
        <v/>
      </c>
      <c r="N178" s="9">
        <f>IF($K178="","",INDEX('سجل التحفيز'!$M$5:$M$2004,MATCH($K178,'سجل التحفيز'!$T$5:$T$2004,0)))</f>
        <v/>
      </c>
      <c r="O178" s="9">
        <f>IF($K178="","",INDEX('سجل التحفيز'!$C$5:$C$2004,MATCH($K178,'سجل التحفيز'!$T$5:$T$2004,0)))</f>
        <v/>
      </c>
      <c r="P178" s="36">
        <f>IF($K178="","",INDEX('سجل التحفيز'!$D$5:$D$2004,MATCH($K178,'سجل التحفيز'!$T$5:$T$2004,0)))</f>
        <v/>
      </c>
      <c r="Q178" s="9">
        <f>IF($K178="","",INDEX('سجل التحفيز'!$E$5:$E$2004,MATCH($K178,'سجل التحفيز'!$T$5:$T$2004,0)))</f>
        <v/>
      </c>
      <c r="R178" s="9">
        <f>IF($K178="","",INDEX('سجل التحفيز'!$F$5:$F$2004,MATCH($K178,'سجل التحفيز'!$T$5:$T$2004,0)))</f>
        <v/>
      </c>
      <c r="S178" s="35">
        <f>IF($K178="","",INDEX('سجل التحفيز'!$G$5:$G$2004,MATCH($K178,'سجل التحفيز'!$T$5:$T$2004,0)))</f>
        <v/>
      </c>
    </row>
    <row r="179">
      <c r="B179" s="34">
        <f>IFERROR(INDEX(الموظفات!$B$5:$B$304,MATCH(142,الموظفات!$N$5:$N$304,0)),"")</f>
        <v/>
      </c>
      <c r="C179" s="34">
        <f>IF(B179="","",INDEX(الموظفات!$D$5:$D$304,MATCH(B179,الموظفات!$B$5:$B$304,0))&amp;"")</f>
        <v/>
      </c>
      <c r="D179" s="35">
        <f>IF(B179="","",COUNTIFS('سجل التحفيز'!$T$5:$T$2004,"&gt;0",'سجل التحفيز'!$B$5:$B$2004,B179))</f>
        <v/>
      </c>
      <c r="E179" s="35">
        <f>IF(B179="","",COUNTIFS('سجل التحفيز'!$T$5:$T$2004,"&gt;0",'سجل التحفيز'!$B$5:$B$2004,B179,'سجل التحفيز'!$D$5:$D$2004,"ذهبي"))</f>
        <v/>
      </c>
      <c r="F179" s="35">
        <f>IF(B179="","",SUMIFS('سجل التحفيز'!$G$5:$G$2004,'سجل التحفيز'!$T$5:$T$2004,"&gt;0",'سجل التحفيز'!$B$5:$B$2004,B179))</f>
        <v/>
      </c>
      <c r="G179" s="35">
        <f>IF(B179="","",COUNTIF($D$38:$D$187,"&gt;"&amp;D179)+1)</f>
        <v/>
      </c>
      <c r="H179" s="35">
        <f>IF(B179="","",INDEX(الموظفات!$L$5:$L$304,MATCH(B179,الموظفات!$B$5:$B$304,0)))</f>
        <v/>
      </c>
      <c r="K179" s="36">
        <f>IF(142&gt;$B$10,"",142)</f>
        <v/>
      </c>
      <c r="L179" s="37">
        <f>IF($K179="","",INDEX('سجل التحفيز'!$A$5:$A$2004,MATCH($K179,'سجل التحفيز'!$T$5:$T$2004,0)))</f>
        <v/>
      </c>
      <c r="M179" s="9">
        <f>IF($K179="","",INDEX('سجل التحفيز'!$B$5:$B$2004,MATCH($K179,'سجل التحفيز'!$T$5:$T$2004,0)))</f>
        <v/>
      </c>
      <c r="N179" s="9">
        <f>IF($K179="","",INDEX('سجل التحفيز'!$M$5:$M$2004,MATCH($K179,'سجل التحفيز'!$T$5:$T$2004,0)))</f>
        <v/>
      </c>
      <c r="O179" s="9">
        <f>IF($K179="","",INDEX('سجل التحفيز'!$C$5:$C$2004,MATCH($K179,'سجل التحفيز'!$T$5:$T$2004,0)))</f>
        <v/>
      </c>
      <c r="P179" s="36">
        <f>IF($K179="","",INDEX('سجل التحفيز'!$D$5:$D$2004,MATCH($K179,'سجل التحفيز'!$T$5:$T$2004,0)))</f>
        <v/>
      </c>
      <c r="Q179" s="9">
        <f>IF($K179="","",INDEX('سجل التحفيز'!$E$5:$E$2004,MATCH($K179,'سجل التحفيز'!$T$5:$T$2004,0)))</f>
        <v/>
      </c>
      <c r="R179" s="9">
        <f>IF($K179="","",INDEX('سجل التحفيز'!$F$5:$F$2004,MATCH($K179,'سجل التحفيز'!$T$5:$T$2004,0)))</f>
        <v/>
      </c>
      <c r="S179" s="35">
        <f>IF($K179="","",INDEX('سجل التحفيز'!$G$5:$G$2004,MATCH($K179,'سجل التحفيز'!$T$5:$T$2004,0)))</f>
        <v/>
      </c>
    </row>
    <row r="180">
      <c r="B180" s="34">
        <f>IFERROR(INDEX(الموظفات!$B$5:$B$304,MATCH(143,الموظفات!$N$5:$N$304,0)),"")</f>
        <v/>
      </c>
      <c r="C180" s="34">
        <f>IF(B180="","",INDEX(الموظفات!$D$5:$D$304,MATCH(B180,الموظفات!$B$5:$B$304,0))&amp;"")</f>
        <v/>
      </c>
      <c r="D180" s="35">
        <f>IF(B180="","",COUNTIFS('سجل التحفيز'!$T$5:$T$2004,"&gt;0",'سجل التحفيز'!$B$5:$B$2004,B180))</f>
        <v/>
      </c>
      <c r="E180" s="35">
        <f>IF(B180="","",COUNTIFS('سجل التحفيز'!$T$5:$T$2004,"&gt;0",'سجل التحفيز'!$B$5:$B$2004,B180,'سجل التحفيز'!$D$5:$D$2004,"ذهبي"))</f>
        <v/>
      </c>
      <c r="F180" s="35">
        <f>IF(B180="","",SUMIFS('سجل التحفيز'!$G$5:$G$2004,'سجل التحفيز'!$T$5:$T$2004,"&gt;0",'سجل التحفيز'!$B$5:$B$2004,B180))</f>
        <v/>
      </c>
      <c r="G180" s="35">
        <f>IF(B180="","",COUNTIF($D$38:$D$187,"&gt;"&amp;D180)+1)</f>
        <v/>
      </c>
      <c r="H180" s="35">
        <f>IF(B180="","",INDEX(الموظفات!$L$5:$L$304,MATCH(B180,الموظفات!$B$5:$B$304,0)))</f>
        <v/>
      </c>
      <c r="K180" s="36">
        <f>IF(143&gt;$B$10,"",143)</f>
        <v/>
      </c>
      <c r="L180" s="37">
        <f>IF($K180="","",INDEX('سجل التحفيز'!$A$5:$A$2004,MATCH($K180,'سجل التحفيز'!$T$5:$T$2004,0)))</f>
        <v/>
      </c>
      <c r="M180" s="9">
        <f>IF($K180="","",INDEX('سجل التحفيز'!$B$5:$B$2004,MATCH($K180,'سجل التحفيز'!$T$5:$T$2004,0)))</f>
        <v/>
      </c>
      <c r="N180" s="9">
        <f>IF($K180="","",INDEX('سجل التحفيز'!$M$5:$M$2004,MATCH($K180,'سجل التحفيز'!$T$5:$T$2004,0)))</f>
        <v/>
      </c>
      <c r="O180" s="9">
        <f>IF($K180="","",INDEX('سجل التحفيز'!$C$5:$C$2004,MATCH($K180,'سجل التحفيز'!$T$5:$T$2004,0)))</f>
        <v/>
      </c>
      <c r="P180" s="36">
        <f>IF($K180="","",INDEX('سجل التحفيز'!$D$5:$D$2004,MATCH($K180,'سجل التحفيز'!$T$5:$T$2004,0)))</f>
        <v/>
      </c>
      <c r="Q180" s="9">
        <f>IF($K180="","",INDEX('سجل التحفيز'!$E$5:$E$2004,MATCH($K180,'سجل التحفيز'!$T$5:$T$2004,0)))</f>
        <v/>
      </c>
      <c r="R180" s="9">
        <f>IF($K180="","",INDEX('سجل التحفيز'!$F$5:$F$2004,MATCH($K180,'سجل التحفيز'!$T$5:$T$2004,0)))</f>
        <v/>
      </c>
      <c r="S180" s="35">
        <f>IF($K180="","",INDEX('سجل التحفيز'!$G$5:$G$2004,MATCH($K180,'سجل التحفيز'!$T$5:$T$2004,0)))</f>
        <v/>
      </c>
    </row>
    <row r="181">
      <c r="B181" s="34">
        <f>IFERROR(INDEX(الموظفات!$B$5:$B$304,MATCH(144,الموظفات!$N$5:$N$304,0)),"")</f>
        <v/>
      </c>
      <c r="C181" s="34">
        <f>IF(B181="","",INDEX(الموظفات!$D$5:$D$304,MATCH(B181,الموظفات!$B$5:$B$304,0))&amp;"")</f>
        <v/>
      </c>
      <c r="D181" s="35">
        <f>IF(B181="","",COUNTIFS('سجل التحفيز'!$T$5:$T$2004,"&gt;0",'سجل التحفيز'!$B$5:$B$2004,B181))</f>
        <v/>
      </c>
      <c r="E181" s="35">
        <f>IF(B181="","",COUNTIFS('سجل التحفيز'!$T$5:$T$2004,"&gt;0",'سجل التحفيز'!$B$5:$B$2004,B181,'سجل التحفيز'!$D$5:$D$2004,"ذهبي"))</f>
        <v/>
      </c>
      <c r="F181" s="35">
        <f>IF(B181="","",SUMIFS('سجل التحفيز'!$G$5:$G$2004,'سجل التحفيز'!$T$5:$T$2004,"&gt;0",'سجل التحفيز'!$B$5:$B$2004,B181))</f>
        <v/>
      </c>
      <c r="G181" s="35">
        <f>IF(B181="","",COUNTIF($D$38:$D$187,"&gt;"&amp;D181)+1)</f>
        <v/>
      </c>
      <c r="H181" s="35">
        <f>IF(B181="","",INDEX(الموظفات!$L$5:$L$304,MATCH(B181,الموظفات!$B$5:$B$304,0)))</f>
        <v/>
      </c>
      <c r="K181" s="36">
        <f>IF(144&gt;$B$10,"",144)</f>
        <v/>
      </c>
      <c r="L181" s="37">
        <f>IF($K181="","",INDEX('سجل التحفيز'!$A$5:$A$2004,MATCH($K181,'سجل التحفيز'!$T$5:$T$2004,0)))</f>
        <v/>
      </c>
      <c r="M181" s="9">
        <f>IF($K181="","",INDEX('سجل التحفيز'!$B$5:$B$2004,MATCH($K181,'سجل التحفيز'!$T$5:$T$2004,0)))</f>
        <v/>
      </c>
      <c r="N181" s="9">
        <f>IF($K181="","",INDEX('سجل التحفيز'!$M$5:$M$2004,MATCH($K181,'سجل التحفيز'!$T$5:$T$2004,0)))</f>
        <v/>
      </c>
      <c r="O181" s="9">
        <f>IF($K181="","",INDEX('سجل التحفيز'!$C$5:$C$2004,MATCH($K181,'سجل التحفيز'!$T$5:$T$2004,0)))</f>
        <v/>
      </c>
      <c r="P181" s="36">
        <f>IF($K181="","",INDEX('سجل التحفيز'!$D$5:$D$2004,MATCH($K181,'سجل التحفيز'!$T$5:$T$2004,0)))</f>
        <v/>
      </c>
      <c r="Q181" s="9">
        <f>IF($K181="","",INDEX('سجل التحفيز'!$E$5:$E$2004,MATCH($K181,'سجل التحفيز'!$T$5:$T$2004,0)))</f>
        <v/>
      </c>
      <c r="R181" s="9">
        <f>IF($K181="","",INDEX('سجل التحفيز'!$F$5:$F$2004,MATCH($K181,'سجل التحفيز'!$T$5:$T$2004,0)))</f>
        <v/>
      </c>
      <c r="S181" s="35">
        <f>IF($K181="","",INDEX('سجل التحفيز'!$G$5:$G$2004,MATCH($K181,'سجل التحفيز'!$T$5:$T$2004,0)))</f>
        <v/>
      </c>
    </row>
    <row r="182">
      <c r="B182" s="34">
        <f>IFERROR(INDEX(الموظفات!$B$5:$B$304,MATCH(145,الموظفات!$N$5:$N$304,0)),"")</f>
        <v/>
      </c>
      <c r="C182" s="34">
        <f>IF(B182="","",INDEX(الموظفات!$D$5:$D$304,MATCH(B182,الموظفات!$B$5:$B$304,0))&amp;"")</f>
        <v/>
      </c>
      <c r="D182" s="35">
        <f>IF(B182="","",COUNTIFS('سجل التحفيز'!$T$5:$T$2004,"&gt;0",'سجل التحفيز'!$B$5:$B$2004,B182))</f>
        <v/>
      </c>
      <c r="E182" s="35">
        <f>IF(B182="","",COUNTIFS('سجل التحفيز'!$T$5:$T$2004,"&gt;0",'سجل التحفيز'!$B$5:$B$2004,B182,'سجل التحفيز'!$D$5:$D$2004,"ذهبي"))</f>
        <v/>
      </c>
      <c r="F182" s="35">
        <f>IF(B182="","",SUMIFS('سجل التحفيز'!$G$5:$G$2004,'سجل التحفيز'!$T$5:$T$2004,"&gt;0",'سجل التحفيز'!$B$5:$B$2004,B182))</f>
        <v/>
      </c>
      <c r="G182" s="35">
        <f>IF(B182="","",COUNTIF($D$38:$D$187,"&gt;"&amp;D182)+1)</f>
        <v/>
      </c>
      <c r="H182" s="35">
        <f>IF(B182="","",INDEX(الموظفات!$L$5:$L$304,MATCH(B182,الموظفات!$B$5:$B$304,0)))</f>
        <v/>
      </c>
      <c r="K182" s="36">
        <f>IF(145&gt;$B$10,"",145)</f>
        <v/>
      </c>
      <c r="L182" s="37">
        <f>IF($K182="","",INDEX('سجل التحفيز'!$A$5:$A$2004,MATCH($K182,'سجل التحفيز'!$T$5:$T$2004,0)))</f>
        <v/>
      </c>
      <c r="M182" s="9">
        <f>IF($K182="","",INDEX('سجل التحفيز'!$B$5:$B$2004,MATCH($K182,'سجل التحفيز'!$T$5:$T$2004,0)))</f>
        <v/>
      </c>
      <c r="N182" s="9">
        <f>IF($K182="","",INDEX('سجل التحفيز'!$M$5:$M$2004,MATCH($K182,'سجل التحفيز'!$T$5:$T$2004,0)))</f>
        <v/>
      </c>
      <c r="O182" s="9">
        <f>IF($K182="","",INDEX('سجل التحفيز'!$C$5:$C$2004,MATCH($K182,'سجل التحفيز'!$T$5:$T$2004,0)))</f>
        <v/>
      </c>
      <c r="P182" s="36">
        <f>IF($K182="","",INDEX('سجل التحفيز'!$D$5:$D$2004,MATCH($K182,'سجل التحفيز'!$T$5:$T$2004,0)))</f>
        <v/>
      </c>
      <c r="Q182" s="9">
        <f>IF($K182="","",INDEX('سجل التحفيز'!$E$5:$E$2004,MATCH($K182,'سجل التحفيز'!$T$5:$T$2004,0)))</f>
        <v/>
      </c>
      <c r="R182" s="9">
        <f>IF($K182="","",INDEX('سجل التحفيز'!$F$5:$F$2004,MATCH($K182,'سجل التحفيز'!$T$5:$T$2004,0)))</f>
        <v/>
      </c>
      <c r="S182" s="35">
        <f>IF($K182="","",INDEX('سجل التحفيز'!$G$5:$G$2004,MATCH($K182,'سجل التحفيز'!$T$5:$T$2004,0)))</f>
        <v/>
      </c>
    </row>
    <row r="183">
      <c r="B183" s="34">
        <f>IFERROR(INDEX(الموظفات!$B$5:$B$304,MATCH(146,الموظفات!$N$5:$N$304,0)),"")</f>
        <v/>
      </c>
      <c r="C183" s="34">
        <f>IF(B183="","",INDEX(الموظفات!$D$5:$D$304,MATCH(B183,الموظفات!$B$5:$B$304,0))&amp;"")</f>
        <v/>
      </c>
      <c r="D183" s="35">
        <f>IF(B183="","",COUNTIFS('سجل التحفيز'!$T$5:$T$2004,"&gt;0",'سجل التحفيز'!$B$5:$B$2004,B183))</f>
        <v/>
      </c>
      <c r="E183" s="35">
        <f>IF(B183="","",COUNTIFS('سجل التحفيز'!$T$5:$T$2004,"&gt;0",'سجل التحفيز'!$B$5:$B$2004,B183,'سجل التحفيز'!$D$5:$D$2004,"ذهبي"))</f>
        <v/>
      </c>
      <c r="F183" s="35">
        <f>IF(B183="","",SUMIFS('سجل التحفيز'!$G$5:$G$2004,'سجل التحفيز'!$T$5:$T$2004,"&gt;0",'سجل التحفيز'!$B$5:$B$2004,B183))</f>
        <v/>
      </c>
      <c r="G183" s="35">
        <f>IF(B183="","",COUNTIF($D$38:$D$187,"&gt;"&amp;D183)+1)</f>
        <v/>
      </c>
      <c r="H183" s="35">
        <f>IF(B183="","",INDEX(الموظفات!$L$5:$L$304,MATCH(B183,الموظفات!$B$5:$B$304,0)))</f>
        <v/>
      </c>
      <c r="K183" s="36">
        <f>IF(146&gt;$B$10,"",146)</f>
        <v/>
      </c>
      <c r="L183" s="37">
        <f>IF($K183="","",INDEX('سجل التحفيز'!$A$5:$A$2004,MATCH($K183,'سجل التحفيز'!$T$5:$T$2004,0)))</f>
        <v/>
      </c>
      <c r="M183" s="9">
        <f>IF($K183="","",INDEX('سجل التحفيز'!$B$5:$B$2004,MATCH($K183,'سجل التحفيز'!$T$5:$T$2004,0)))</f>
        <v/>
      </c>
      <c r="N183" s="9">
        <f>IF($K183="","",INDEX('سجل التحفيز'!$M$5:$M$2004,MATCH($K183,'سجل التحفيز'!$T$5:$T$2004,0)))</f>
        <v/>
      </c>
      <c r="O183" s="9">
        <f>IF($K183="","",INDEX('سجل التحفيز'!$C$5:$C$2004,MATCH($K183,'سجل التحفيز'!$T$5:$T$2004,0)))</f>
        <v/>
      </c>
      <c r="P183" s="36">
        <f>IF($K183="","",INDEX('سجل التحفيز'!$D$5:$D$2004,MATCH($K183,'سجل التحفيز'!$T$5:$T$2004,0)))</f>
        <v/>
      </c>
      <c r="Q183" s="9">
        <f>IF($K183="","",INDEX('سجل التحفيز'!$E$5:$E$2004,MATCH($K183,'سجل التحفيز'!$T$5:$T$2004,0)))</f>
        <v/>
      </c>
      <c r="R183" s="9">
        <f>IF($K183="","",INDEX('سجل التحفيز'!$F$5:$F$2004,MATCH($K183,'سجل التحفيز'!$T$5:$T$2004,0)))</f>
        <v/>
      </c>
      <c r="S183" s="35">
        <f>IF($K183="","",INDEX('سجل التحفيز'!$G$5:$G$2004,MATCH($K183,'سجل التحفيز'!$T$5:$T$2004,0)))</f>
        <v/>
      </c>
    </row>
    <row r="184">
      <c r="B184" s="34">
        <f>IFERROR(INDEX(الموظفات!$B$5:$B$304,MATCH(147,الموظفات!$N$5:$N$304,0)),"")</f>
        <v/>
      </c>
      <c r="C184" s="34">
        <f>IF(B184="","",INDEX(الموظفات!$D$5:$D$304,MATCH(B184,الموظفات!$B$5:$B$304,0))&amp;"")</f>
        <v/>
      </c>
      <c r="D184" s="35">
        <f>IF(B184="","",COUNTIFS('سجل التحفيز'!$T$5:$T$2004,"&gt;0",'سجل التحفيز'!$B$5:$B$2004,B184))</f>
        <v/>
      </c>
      <c r="E184" s="35">
        <f>IF(B184="","",COUNTIFS('سجل التحفيز'!$T$5:$T$2004,"&gt;0",'سجل التحفيز'!$B$5:$B$2004,B184,'سجل التحفيز'!$D$5:$D$2004,"ذهبي"))</f>
        <v/>
      </c>
      <c r="F184" s="35">
        <f>IF(B184="","",SUMIFS('سجل التحفيز'!$G$5:$G$2004,'سجل التحفيز'!$T$5:$T$2004,"&gt;0",'سجل التحفيز'!$B$5:$B$2004,B184))</f>
        <v/>
      </c>
      <c r="G184" s="35">
        <f>IF(B184="","",COUNTIF($D$38:$D$187,"&gt;"&amp;D184)+1)</f>
        <v/>
      </c>
      <c r="H184" s="35">
        <f>IF(B184="","",INDEX(الموظفات!$L$5:$L$304,MATCH(B184,الموظفات!$B$5:$B$304,0)))</f>
        <v/>
      </c>
      <c r="K184" s="36">
        <f>IF(147&gt;$B$10,"",147)</f>
        <v/>
      </c>
      <c r="L184" s="37">
        <f>IF($K184="","",INDEX('سجل التحفيز'!$A$5:$A$2004,MATCH($K184,'سجل التحفيز'!$T$5:$T$2004,0)))</f>
        <v/>
      </c>
      <c r="M184" s="9">
        <f>IF($K184="","",INDEX('سجل التحفيز'!$B$5:$B$2004,MATCH($K184,'سجل التحفيز'!$T$5:$T$2004,0)))</f>
        <v/>
      </c>
      <c r="N184" s="9">
        <f>IF($K184="","",INDEX('سجل التحفيز'!$M$5:$M$2004,MATCH($K184,'سجل التحفيز'!$T$5:$T$2004,0)))</f>
        <v/>
      </c>
      <c r="O184" s="9">
        <f>IF($K184="","",INDEX('سجل التحفيز'!$C$5:$C$2004,MATCH($K184,'سجل التحفيز'!$T$5:$T$2004,0)))</f>
        <v/>
      </c>
      <c r="P184" s="36">
        <f>IF($K184="","",INDEX('سجل التحفيز'!$D$5:$D$2004,MATCH($K184,'سجل التحفيز'!$T$5:$T$2004,0)))</f>
        <v/>
      </c>
      <c r="Q184" s="9">
        <f>IF($K184="","",INDEX('سجل التحفيز'!$E$5:$E$2004,MATCH($K184,'سجل التحفيز'!$T$5:$T$2004,0)))</f>
        <v/>
      </c>
      <c r="R184" s="9">
        <f>IF($K184="","",INDEX('سجل التحفيز'!$F$5:$F$2004,MATCH($K184,'سجل التحفيز'!$T$5:$T$2004,0)))</f>
        <v/>
      </c>
      <c r="S184" s="35">
        <f>IF($K184="","",INDEX('سجل التحفيز'!$G$5:$G$2004,MATCH($K184,'سجل التحفيز'!$T$5:$T$2004,0)))</f>
        <v/>
      </c>
    </row>
    <row r="185">
      <c r="B185" s="34">
        <f>IFERROR(INDEX(الموظفات!$B$5:$B$304,MATCH(148,الموظفات!$N$5:$N$304,0)),"")</f>
        <v/>
      </c>
      <c r="C185" s="34">
        <f>IF(B185="","",INDEX(الموظفات!$D$5:$D$304,MATCH(B185,الموظفات!$B$5:$B$304,0))&amp;"")</f>
        <v/>
      </c>
      <c r="D185" s="35">
        <f>IF(B185="","",COUNTIFS('سجل التحفيز'!$T$5:$T$2004,"&gt;0",'سجل التحفيز'!$B$5:$B$2004,B185))</f>
        <v/>
      </c>
      <c r="E185" s="35">
        <f>IF(B185="","",COUNTIFS('سجل التحفيز'!$T$5:$T$2004,"&gt;0",'سجل التحفيز'!$B$5:$B$2004,B185,'سجل التحفيز'!$D$5:$D$2004,"ذهبي"))</f>
        <v/>
      </c>
      <c r="F185" s="35">
        <f>IF(B185="","",SUMIFS('سجل التحفيز'!$G$5:$G$2004,'سجل التحفيز'!$T$5:$T$2004,"&gt;0",'سجل التحفيز'!$B$5:$B$2004,B185))</f>
        <v/>
      </c>
      <c r="G185" s="35">
        <f>IF(B185="","",COUNTIF($D$38:$D$187,"&gt;"&amp;D185)+1)</f>
        <v/>
      </c>
      <c r="H185" s="35">
        <f>IF(B185="","",INDEX(الموظفات!$L$5:$L$304,MATCH(B185,الموظفات!$B$5:$B$304,0)))</f>
        <v/>
      </c>
      <c r="K185" s="36">
        <f>IF(148&gt;$B$10,"",148)</f>
        <v/>
      </c>
      <c r="L185" s="37">
        <f>IF($K185="","",INDEX('سجل التحفيز'!$A$5:$A$2004,MATCH($K185,'سجل التحفيز'!$T$5:$T$2004,0)))</f>
        <v/>
      </c>
      <c r="M185" s="9">
        <f>IF($K185="","",INDEX('سجل التحفيز'!$B$5:$B$2004,MATCH($K185,'سجل التحفيز'!$T$5:$T$2004,0)))</f>
        <v/>
      </c>
      <c r="N185" s="9">
        <f>IF($K185="","",INDEX('سجل التحفيز'!$M$5:$M$2004,MATCH($K185,'سجل التحفيز'!$T$5:$T$2004,0)))</f>
        <v/>
      </c>
      <c r="O185" s="9">
        <f>IF($K185="","",INDEX('سجل التحفيز'!$C$5:$C$2004,MATCH($K185,'سجل التحفيز'!$T$5:$T$2004,0)))</f>
        <v/>
      </c>
      <c r="P185" s="36">
        <f>IF($K185="","",INDEX('سجل التحفيز'!$D$5:$D$2004,MATCH($K185,'سجل التحفيز'!$T$5:$T$2004,0)))</f>
        <v/>
      </c>
      <c r="Q185" s="9">
        <f>IF($K185="","",INDEX('سجل التحفيز'!$E$5:$E$2004,MATCH($K185,'سجل التحفيز'!$T$5:$T$2004,0)))</f>
        <v/>
      </c>
      <c r="R185" s="9">
        <f>IF($K185="","",INDEX('سجل التحفيز'!$F$5:$F$2004,MATCH($K185,'سجل التحفيز'!$T$5:$T$2004,0)))</f>
        <v/>
      </c>
      <c r="S185" s="35">
        <f>IF($K185="","",INDEX('سجل التحفيز'!$G$5:$G$2004,MATCH($K185,'سجل التحفيز'!$T$5:$T$2004,0)))</f>
        <v/>
      </c>
    </row>
    <row r="186">
      <c r="B186" s="34">
        <f>IFERROR(INDEX(الموظفات!$B$5:$B$304,MATCH(149,الموظفات!$N$5:$N$304,0)),"")</f>
        <v/>
      </c>
      <c r="C186" s="34">
        <f>IF(B186="","",INDEX(الموظفات!$D$5:$D$304,MATCH(B186,الموظفات!$B$5:$B$304,0))&amp;"")</f>
        <v/>
      </c>
      <c r="D186" s="35">
        <f>IF(B186="","",COUNTIFS('سجل التحفيز'!$T$5:$T$2004,"&gt;0",'سجل التحفيز'!$B$5:$B$2004,B186))</f>
        <v/>
      </c>
      <c r="E186" s="35">
        <f>IF(B186="","",COUNTIFS('سجل التحفيز'!$T$5:$T$2004,"&gt;0",'سجل التحفيز'!$B$5:$B$2004,B186,'سجل التحفيز'!$D$5:$D$2004,"ذهبي"))</f>
        <v/>
      </c>
      <c r="F186" s="35">
        <f>IF(B186="","",SUMIFS('سجل التحفيز'!$G$5:$G$2004,'سجل التحفيز'!$T$5:$T$2004,"&gt;0",'سجل التحفيز'!$B$5:$B$2004,B186))</f>
        <v/>
      </c>
      <c r="G186" s="35">
        <f>IF(B186="","",COUNTIF($D$38:$D$187,"&gt;"&amp;D186)+1)</f>
        <v/>
      </c>
      <c r="H186" s="35">
        <f>IF(B186="","",INDEX(الموظفات!$L$5:$L$304,MATCH(B186,الموظفات!$B$5:$B$304,0)))</f>
        <v/>
      </c>
      <c r="K186" s="36">
        <f>IF(149&gt;$B$10,"",149)</f>
        <v/>
      </c>
      <c r="L186" s="37">
        <f>IF($K186="","",INDEX('سجل التحفيز'!$A$5:$A$2004,MATCH($K186,'سجل التحفيز'!$T$5:$T$2004,0)))</f>
        <v/>
      </c>
      <c r="M186" s="9">
        <f>IF($K186="","",INDEX('سجل التحفيز'!$B$5:$B$2004,MATCH($K186,'سجل التحفيز'!$T$5:$T$2004,0)))</f>
        <v/>
      </c>
      <c r="N186" s="9">
        <f>IF($K186="","",INDEX('سجل التحفيز'!$M$5:$M$2004,MATCH($K186,'سجل التحفيز'!$T$5:$T$2004,0)))</f>
        <v/>
      </c>
      <c r="O186" s="9">
        <f>IF($K186="","",INDEX('سجل التحفيز'!$C$5:$C$2004,MATCH($K186,'سجل التحفيز'!$T$5:$T$2004,0)))</f>
        <v/>
      </c>
      <c r="P186" s="36">
        <f>IF($K186="","",INDEX('سجل التحفيز'!$D$5:$D$2004,MATCH($K186,'سجل التحفيز'!$T$5:$T$2004,0)))</f>
        <v/>
      </c>
      <c r="Q186" s="9">
        <f>IF($K186="","",INDEX('سجل التحفيز'!$E$5:$E$2004,MATCH($K186,'سجل التحفيز'!$T$5:$T$2004,0)))</f>
        <v/>
      </c>
      <c r="R186" s="9">
        <f>IF($K186="","",INDEX('سجل التحفيز'!$F$5:$F$2004,MATCH($K186,'سجل التحفيز'!$T$5:$T$2004,0)))</f>
        <v/>
      </c>
      <c r="S186" s="35">
        <f>IF($K186="","",INDEX('سجل التحفيز'!$G$5:$G$2004,MATCH($K186,'سجل التحفيز'!$T$5:$T$2004,0)))</f>
        <v/>
      </c>
    </row>
    <row r="187">
      <c r="B187" s="34">
        <f>IFERROR(INDEX(الموظفات!$B$5:$B$304,MATCH(150,الموظفات!$N$5:$N$304,0)),"")</f>
        <v/>
      </c>
      <c r="C187" s="34">
        <f>IF(B187="","",INDEX(الموظفات!$D$5:$D$304,MATCH(B187,الموظفات!$B$5:$B$304,0))&amp;"")</f>
        <v/>
      </c>
      <c r="D187" s="35">
        <f>IF(B187="","",COUNTIFS('سجل التحفيز'!$T$5:$T$2004,"&gt;0",'سجل التحفيز'!$B$5:$B$2004,B187))</f>
        <v/>
      </c>
      <c r="E187" s="35">
        <f>IF(B187="","",COUNTIFS('سجل التحفيز'!$T$5:$T$2004,"&gt;0",'سجل التحفيز'!$B$5:$B$2004,B187,'سجل التحفيز'!$D$5:$D$2004,"ذهبي"))</f>
        <v/>
      </c>
      <c r="F187" s="35">
        <f>IF(B187="","",SUMIFS('سجل التحفيز'!$G$5:$G$2004,'سجل التحفيز'!$T$5:$T$2004,"&gt;0",'سجل التحفيز'!$B$5:$B$2004,B187))</f>
        <v/>
      </c>
      <c r="G187" s="35">
        <f>IF(B187="","",COUNTIF($D$38:$D$187,"&gt;"&amp;D187)+1)</f>
        <v/>
      </c>
      <c r="H187" s="35">
        <f>IF(B187="","",INDEX(الموظفات!$L$5:$L$304,MATCH(B187,الموظفات!$B$5:$B$304,0)))</f>
        <v/>
      </c>
      <c r="K187" s="36">
        <f>IF(150&gt;$B$10,"",150)</f>
        <v/>
      </c>
      <c r="L187" s="37">
        <f>IF($K187="","",INDEX('سجل التحفيز'!$A$5:$A$2004,MATCH($K187,'سجل التحفيز'!$T$5:$T$2004,0)))</f>
        <v/>
      </c>
      <c r="M187" s="9">
        <f>IF($K187="","",INDEX('سجل التحفيز'!$B$5:$B$2004,MATCH($K187,'سجل التحفيز'!$T$5:$T$2004,0)))</f>
        <v/>
      </c>
      <c r="N187" s="9">
        <f>IF($K187="","",INDEX('سجل التحفيز'!$M$5:$M$2004,MATCH($K187,'سجل التحفيز'!$T$5:$T$2004,0)))</f>
        <v/>
      </c>
      <c r="O187" s="9">
        <f>IF($K187="","",INDEX('سجل التحفيز'!$C$5:$C$2004,MATCH($K187,'سجل التحفيز'!$T$5:$T$2004,0)))</f>
        <v/>
      </c>
      <c r="P187" s="36">
        <f>IF($K187="","",INDEX('سجل التحفيز'!$D$5:$D$2004,MATCH($K187,'سجل التحفيز'!$T$5:$T$2004,0)))</f>
        <v/>
      </c>
      <c r="Q187" s="9">
        <f>IF($K187="","",INDEX('سجل التحفيز'!$E$5:$E$2004,MATCH($K187,'سجل التحفيز'!$T$5:$T$2004,0)))</f>
        <v/>
      </c>
      <c r="R187" s="9">
        <f>IF($K187="","",INDEX('سجل التحفيز'!$F$5:$F$2004,MATCH($K187,'سجل التحفيز'!$T$5:$T$2004,0)))</f>
        <v/>
      </c>
      <c r="S187" s="35">
        <f>IF($K187="","",INDEX('سجل التحفيز'!$G$5:$G$2004,MATCH($K187,'سجل التحفيز'!$T$5:$T$2004,0)))</f>
        <v/>
      </c>
    </row>
    <row r="188">
      <c r="K188" s="36">
        <f>IF(151&gt;$B$10,"",151)</f>
        <v/>
      </c>
      <c r="L188" s="37">
        <f>IF($K188="","",INDEX('سجل التحفيز'!$A$5:$A$2004,MATCH($K188,'سجل التحفيز'!$T$5:$T$2004,0)))</f>
        <v/>
      </c>
      <c r="M188" s="9">
        <f>IF($K188="","",INDEX('سجل التحفيز'!$B$5:$B$2004,MATCH($K188,'سجل التحفيز'!$T$5:$T$2004,0)))</f>
        <v/>
      </c>
      <c r="N188" s="9">
        <f>IF($K188="","",INDEX('سجل التحفيز'!$M$5:$M$2004,MATCH($K188,'سجل التحفيز'!$T$5:$T$2004,0)))</f>
        <v/>
      </c>
      <c r="O188" s="9">
        <f>IF($K188="","",INDEX('سجل التحفيز'!$C$5:$C$2004,MATCH($K188,'سجل التحفيز'!$T$5:$T$2004,0)))</f>
        <v/>
      </c>
      <c r="P188" s="36">
        <f>IF($K188="","",INDEX('سجل التحفيز'!$D$5:$D$2004,MATCH($K188,'سجل التحفيز'!$T$5:$T$2004,0)))</f>
        <v/>
      </c>
      <c r="Q188" s="9">
        <f>IF($K188="","",INDEX('سجل التحفيز'!$E$5:$E$2004,MATCH($K188,'سجل التحفيز'!$T$5:$T$2004,0)))</f>
        <v/>
      </c>
      <c r="R188" s="9">
        <f>IF($K188="","",INDEX('سجل التحفيز'!$F$5:$F$2004,MATCH($K188,'سجل التحفيز'!$T$5:$T$2004,0)))</f>
        <v/>
      </c>
      <c r="S188" s="35">
        <f>IF($K188="","",INDEX('سجل التحفيز'!$G$5:$G$2004,MATCH($K188,'سجل التحفيز'!$T$5:$T$2004,0)))</f>
        <v/>
      </c>
    </row>
    <row r="189">
      <c r="K189" s="36">
        <f>IF(152&gt;$B$10,"",152)</f>
        <v/>
      </c>
      <c r="L189" s="37">
        <f>IF($K189="","",INDEX('سجل التحفيز'!$A$5:$A$2004,MATCH($K189,'سجل التحفيز'!$T$5:$T$2004,0)))</f>
        <v/>
      </c>
      <c r="M189" s="9">
        <f>IF($K189="","",INDEX('سجل التحفيز'!$B$5:$B$2004,MATCH($K189,'سجل التحفيز'!$T$5:$T$2004,0)))</f>
        <v/>
      </c>
      <c r="N189" s="9">
        <f>IF($K189="","",INDEX('سجل التحفيز'!$M$5:$M$2004,MATCH($K189,'سجل التحفيز'!$T$5:$T$2004,0)))</f>
        <v/>
      </c>
      <c r="O189" s="9">
        <f>IF($K189="","",INDEX('سجل التحفيز'!$C$5:$C$2004,MATCH($K189,'سجل التحفيز'!$T$5:$T$2004,0)))</f>
        <v/>
      </c>
      <c r="P189" s="36">
        <f>IF($K189="","",INDEX('سجل التحفيز'!$D$5:$D$2004,MATCH($K189,'سجل التحفيز'!$T$5:$T$2004,0)))</f>
        <v/>
      </c>
      <c r="Q189" s="9">
        <f>IF($K189="","",INDEX('سجل التحفيز'!$E$5:$E$2004,MATCH($K189,'سجل التحفيز'!$T$5:$T$2004,0)))</f>
        <v/>
      </c>
      <c r="R189" s="9">
        <f>IF($K189="","",INDEX('سجل التحفيز'!$F$5:$F$2004,MATCH($K189,'سجل التحفيز'!$T$5:$T$2004,0)))</f>
        <v/>
      </c>
      <c r="S189" s="35">
        <f>IF($K189="","",INDEX('سجل التحفيز'!$G$5:$G$2004,MATCH($K189,'سجل التحفيز'!$T$5:$T$2004,0)))</f>
        <v/>
      </c>
    </row>
    <row r="190">
      <c r="K190" s="36">
        <f>IF(153&gt;$B$10,"",153)</f>
        <v/>
      </c>
      <c r="L190" s="37">
        <f>IF($K190="","",INDEX('سجل التحفيز'!$A$5:$A$2004,MATCH($K190,'سجل التحفيز'!$T$5:$T$2004,0)))</f>
        <v/>
      </c>
      <c r="M190" s="9">
        <f>IF($K190="","",INDEX('سجل التحفيز'!$B$5:$B$2004,MATCH($K190,'سجل التحفيز'!$T$5:$T$2004,0)))</f>
        <v/>
      </c>
      <c r="N190" s="9">
        <f>IF($K190="","",INDEX('سجل التحفيز'!$M$5:$M$2004,MATCH($K190,'سجل التحفيز'!$T$5:$T$2004,0)))</f>
        <v/>
      </c>
      <c r="O190" s="9">
        <f>IF($K190="","",INDEX('سجل التحفيز'!$C$5:$C$2004,MATCH($K190,'سجل التحفيز'!$T$5:$T$2004,0)))</f>
        <v/>
      </c>
      <c r="P190" s="36">
        <f>IF($K190="","",INDEX('سجل التحفيز'!$D$5:$D$2004,MATCH($K190,'سجل التحفيز'!$T$5:$T$2004,0)))</f>
        <v/>
      </c>
      <c r="Q190" s="9">
        <f>IF($K190="","",INDEX('سجل التحفيز'!$E$5:$E$2004,MATCH($K190,'سجل التحفيز'!$T$5:$T$2004,0)))</f>
        <v/>
      </c>
      <c r="R190" s="9">
        <f>IF($K190="","",INDEX('سجل التحفيز'!$F$5:$F$2004,MATCH($K190,'سجل التحفيز'!$T$5:$T$2004,0)))</f>
        <v/>
      </c>
      <c r="S190" s="35">
        <f>IF($K190="","",INDEX('سجل التحفيز'!$G$5:$G$2004,MATCH($K190,'سجل التحفيز'!$T$5:$T$2004,0)))</f>
        <v/>
      </c>
    </row>
    <row r="191">
      <c r="K191" s="36">
        <f>IF(154&gt;$B$10,"",154)</f>
        <v/>
      </c>
      <c r="L191" s="37">
        <f>IF($K191="","",INDEX('سجل التحفيز'!$A$5:$A$2004,MATCH($K191,'سجل التحفيز'!$T$5:$T$2004,0)))</f>
        <v/>
      </c>
      <c r="M191" s="9">
        <f>IF($K191="","",INDEX('سجل التحفيز'!$B$5:$B$2004,MATCH($K191,'سجل التحفيز'!$T$5:$T$2004,0)))</f>
        <v/>
      </c>
      <c r="N191" s="9">
        <f>IF($K191="","",INDEX('سجل التحفيز'!$M$5:$M$2004,MATCH($K191,'سجل التحفيز'!$T$5:$T$2004,0)))</f>
        <v/>
      </c>
      <c r="O191" s="9">
        <f>IF($K191="","",INDEX('سجل التحفيز'!$C$5:$C$2004,MATCH($K191,'سجل التحفيز'!$T$5:$T$2004,0)))</f>
        <v/>
      </c>
      <c r="P191" s="36">
        <f>IF($K191="","",INDEX('سجل التحفيز'!$D$5:$D$2004,MATCH($K191,'سجل التحفيز'!$T$5:$T$2004,0)))</f>
        <v/>
      </c>
      <c r="Q191" s="9">
        <f>IF($K191="","",INDEX('سجل التحفيز'!$E$5:$E$2004,MATCH($K191,'سجل التحفيز'!$T$5:$T$2004,0)))</f>
        <v/>
      </c>
      <c r="R191" s="9">
        <f>IF($K191="","",INDEX('سجل التحفيز'!$F$5:$F$2004,MATCH($K191,'سجل التحفيز'!$T$5:$T$2004,0)))</f>
        <v/>
      </c>
      <c r="S191" s="35">
        <f>IF($K191="","",INDEX('سجل التحفيز'!$G$5:$G$2004,MATCH($K191,'سجل التحفيز'!$T$5:$T$2004,0)))</f>
        <v/>
      </c>
    </row>
    <row r="192">
      <c r="K192" s="36">
        <f>IF(155&gt;$B$10,"",155)</f>
        <v/>
      </c>
      <c r="L192" s="37">
        <f>IF($K192="","",INDEX('سجل التحفيز'!$A$5:$A$2004,MATCH($K192,'سجل التحفيز'!$T$5:$T$2004,0)))</f>
        <v/>
      </c>
      <c r="M192" s="9">
        <f>IF($K192="","",INDEX('سجل التحفيز'!$B$5:$B$2004,MATCH($K192,'سجل التحفيز'!$T$5:$T$2004,0)))</f>
        <v/>
      </c>
      <c r="N192" s="9">
        <f>IF($K192="","",INDEX('سجل التحفيز'!$M$5:$M$2004,MATCH($K192,'سجل التحفيز'!$T$5:$T$2004,0)))</f>
        <v/>
      </c>
      <c r="O192" s="9">
        <f>IF($K192="","",INDEX('سجل التحفيز'!$C$5:$C$2004,MATCH($K192,'سجل التحفيز'!$T$5:$T$2004,0)))</f>
        <v/>
      </c>
      <c r="P192" s="36">
        <f>IF($K192="","",INDEX('سجل التحفيز'!$D$5:$D$2004,MATCH($K192,'سجل التحفيز'!$T$5:$T$2004,0)))</f>
        <v/>
      </c>
      <c r="Q192" s="9">
        <f>IF($K192="","",INDEX('سجل التحفيز'!$E$5:$E$2004,MATCH($K192,'سجل التحفيز'!$T$5:$T$2004,0)))</f>
        <v/>
      </c>
      <c r="R192" s="9">
        <f>IF($K192="","",INDEX('سجل التحفيز'!$F$5:$F$2004,MATCH($K192,'سجل التحفيز'!$T$5:$T$2004,0)))</f>
        <v/>
      </c>
      <c r="S192" s="35">
        <f>IF($K192="","",INDEX('سجل التحفيز'!$G$5:$G$2004,MATCH($K192,'سجل التحفيز'!$T$5:$T$2004,0)))</f>
        <v/>
      </c>
    </row>
    <row r="193">
      <c r="K193" s="36">
        <f>IF(156&gt;$B$10,"",156)</f>
        <v/>
      </c>
      <c r="L193" s="37">
        <f>IF($K193="","",INDEX('سجل التحفيز'!$A$5:$A$2004,MATCH($K193,'سجل التحفيز'!$T$5:$T$2004,0)))</f>
        <v/>
      </c>
      <c r="M193" s="9">
        <f>IF($K193="","",INDEX('سجل التحفيز'!$B$5:$B$2004,MATCH($K193,'سجل التحفيز'!$T$5:$T$2004,0)))</f>
        <v/>
      </c>
      <c r="N193" s="9">
        <f>IF($K193="","",INDEX('سجل التحفيز'!$M$5:$M$2004,MATCH($K193,'سجل التحفيز'!$T$5:$T$2004,0)))</f>
        <v/>
      </c>
      <c r="O193" s="9">
        <f>IF($K193="","",INDEX('سجل التحفيز'!$C$5:$C$2004,MATCH($K193,'سجل التحفيز'!$T$5:$T$2004,0)))</f>
        <v/>
      </c>
      <c r="P193" s="36">
        <f>IF($K193="","",INDEX('سجل التحفيز'!$D$5:$D$2004,MATCH($K193,'سجل التحفيز'!$T$5:$T$2004,0)))</f>
        <v/>
      </c>
      <c r="Q193" s="9">
        <f>IF($K193="","",INDEX('سجل التحفيز'!$E$5:$E$2004,MATCH($K193,'سجل التحفيز'!$T$5:$T$2004,0)))</f>
        <v/>
      </c>
      <c r="R193" s="9">
        <f>IF($K193="","",INDEX('سجل التحفيز'!$F$5:$F$2004,MATCH($K193,'سجل التحفيز'!$T$5:$T$2004,0)))</f>
        <v/>
      </c>
      <c r="S193" s="35">
        <f>IF($K193="","",INDEX('سجل التحفيز'!$G$5:$G$2004,MATCH($K193,'سجل التحفيز'!$T$5:$T$2004,0)))</f>
        <v/>
      </c>
    </row>
    <row r="194">
      <c r="K194" s="36">
        <f>IF(157&gt;$B$10,"",157)</f>
        <v/>
      </c>
      <c r="L194" s="37">
        <f>IF($K194="","",INDEX('سجل التحفيز'!$A$5:$A$2004,MATCH($K194,'سجل التحفيز'!$T$5:$T$2004,0)))</f>
        <v/>
      </c>
      <c r="M194" s="9">
        <f>IF($K194="","",INDEX('سجل التحفيز'!$B$5:$B$2004,MATCH($K194,'سجل التحفيز'!$T$5:$T$2004,0)))</f>
        <v/>
      </c>
      <c r="N194" s="9">
        <f>IF($K194="","",INDEX('سجل التحفيز'!$M$5:$M$2004,MATCH($K194,'سجل التحفيز'!$T$5:$T$2004,0)))</f>
        <v/>
      </c>
      <c r="O194" s="9">
        <f>IF($K194="","",INDEX('سجل التحفيز'!$C$5:$C$2004,MATCH($K194,'سجل التحفيز'!$T$5:$T$2004,0)))</f>
        <v/>
      </c>
      <c r="P194" s="36">
        <f>IF($K194="","",INDEX('سجل التحفيز'!$D$5:$D$2004,MATCH($K194,'سجل التحفيز'!$T$5:$T$2004,0)))</f>
        <v/>
      </c>
      <c r="Q194" s="9">
        <f>IF($K194="","",INDEX('سجل التحفيز'!$E$5:$E$2004,MATCH($K194,'سجل التحفيز'!$T$5:$T$2004,0)))</f>
        <v/>
      </c>
      <c r="R194" s="9">
        <f>IF($K194="","",INDEX('سجل التحفيز'!$F$5:$F$2004,MATCH($K194,'سجل التحفيز'!$T$5:$T$2004,0)))</f>
        <v/>
      </c>
      <c r="S194" s="35">
        <f>IF($K194="","",INDEX('سجل التحفيز'!$G$5:$G$2004,MATCH($K194,'سجل التحفيز'!$T$5:$T$2004,0)))</f>
        <v/>
      </c>
    </row>
    <row r="195">
      <c r="K195" s="36">
        <f>IF(158&gt;$B$10,"",158)</f>
        <v/>
      </c>
      <c r="L195" s="37">
        <f>IF($K195="","",INDEX('سجل التحفيز'!$A$5:$A$2004,MATCH($K195,'سجل التحفيز'!$T$5:$T$2004,0)))</f>
        <v/>
      </c>
      <c r="M195" s="9">
        <f>IF($K195="","",INDEX('سجل التحفيز'!$B$5:$B$2004,MATCH($K195,'سجل التحفيز'!$T$5:$T$2004,0)))</f>
        <v/>
      </c>
      <c r="N195" s="9">
        <f>IF($K195="","",INDEX('سجل التحفيز'!$M$5:$M$2004,MATCH($K195,'سجل التحفيز'!$T$5:$T$2004,0)))</f>
        <v/>
      </c>
      <c r="O195" s="9">
        <f>IF($K195="","",INDEX('سجل التحفيز'!$C$5:$C$2004,MATCH($K195,'سجل التحفيز'!$T$5:$T$2004,0)))</f>
        <v/>
      </c>
      <c r="P195" s="36">
        <f>IF($K195="","",INDEX('سجل التحفيز'!$D$5:$D$2004,MATCH($K195,'سجل التحفيز'!$T$5:$T$2004,0)))</f>
        <v/>
      </c>
      <c r="Q195" s="9">
        <f>IF($K195="","",INDEX('سجل التحفيز'!$E$5:$E$2004,MATCH($K195,'سجل التحفيز'!$T$5:$T$2004,0)))</f>
        <v/>
      </c>
      <c r="R195" s="9">
        <f>IF($K195="","",INDEX('سجل التحفيز'!$F$5:$F$2004,MATCH($K195,'سجل التحفيز'!$T$5:$T$2004,0)))</f>
        <v/>
      </c>
      <c r="S195" s="35">
        <f>IF($K195="","",INDEX('سجل التحفيز'!$G$5:$G$2004,MATCH($K195,'سجل التحفيز'!$T$5:$T$2004,0)))</f>
        <v/>
      </c>
    </row>
    <row r="196">
      <c r="K196" s="36">
        <f>IF(159&gt;$B$10,"",159)</f>
        <v/>
      </c>
      <c r="L196" s="37">
        <f>IF($K196="","",INDEX('سجل التحفيز'!$A$5:$A$2004,MATCH($K196,'سجل التحفيز'!$T$5:$T$2004,0)))</f>
        <v/>
      </c>
      <c r="M196" s="9">
        <f>IF($K196="","",INDEX('سجل التحفيز'!$B$5:$B$2004,MATCH($K196,'سجل التحفيز'!$T$5:$T$2004,0)))</f>
        <v/>
      </c>
      <c r="N196" s="9">
        <f>IF($K196="","",INDEX('سجل التحفيز'!$M$5:$M$2004,MATCH($K196,'سجل التحفيز'!$T$5:$T$2004,0)))</f>
        <v/>
      </c>
      <c r="O196" s="9">
        <f>IF($K196="","",INDEX('سجل التحفيز'!$C$5:$C$2004,MATCH($K196,'سجل التحفيز'!$T$5:$T$2004,0)))</f>
        <v/>
      </c>
      <c r="P196" s="36">
        <f>IF($K196="","",INDEX('سجل التحفيز'!$D$5:$D$2004,MATCH($K196,'سجل التحفيز'!$T$5:$T$2004,0)))</f>
        <v/>
      </c>
      <c r="Q196" s="9">
        <f>IF($K196="","",INDEX('سجل التحفيز'!$E$5:$E$2004,MATCH($K196,'سجل التحفيز'!$T$5:$T$2004,0)))</f>
        <v/>
      </c>
      <c r="R196" s="9">
        <f>IF($K196="","",INDEX('سجل التحفيز'!$F$5:$F$2004,MATCH($K196,'سجل التحفيز'!$T$5:$T$2004,0)))</f>
        <v/>
      </c>
      <c r="S196" s="35">
        <f>IF($K196="","",INDEX('سجل التحفيز'!$G$5:$G$2004,MATCH($K196,'سجل التحفيز'!$T$5:$T$2004,0)))</f>
        <v/>
      </c>
    </row>
    <row r="197">
      <c r="K197" s="36">
        <f>IF(160&gt;$B$10,"",160)</f>
        <v/>
      </c>
      <c r="L197" s="37">
        <f>IF($K197="","",INDEX('سجل التحفيز'!$A$5:$A$2004,MATCH($K197,'سجل التحفيز'!$T$5:$T$2004,0)))</f>
        <v/>
      </c>
      <c r="M197" s="9">
        <f>IF($K197="","",INDEX('سجل التحفيز'!$B$5:$B$2004,MATCH($K197,'سجل التحفيز'!$T$5:$T$2004,0)))</f>
        <v/>
      </c>
      <c r="N197" s="9">
        <f>IF($K197="","",INDEX('سجل التحفيز'!$M$5:$M$2004,MATCH($K197,'سجل التحفيز'!$T$5:$T$2004,0)))</f>
        <v/>
      </c>
      <c r="O197" s="9">
        <f>IF($K197="","",INDEX('سجل التحفيز'!$C$5:$C$2004,MATCH($K197,'سجل التحفيز'!$T$5:$T$2004,0)))</f>
        <v/>
      </c>
      <c r="P197" s="36">
        <f>IF($K197="","",INDEX('سجل التحفيز'!$D$5:$D$2004,MATCH($K197,'سجل التحفيز'!$T$5:$T$2004,0)))</f>
        <v/>
      </c>
      <c r="Q197" s="9">
        <f>IF($K197="","",INDEX('سجل التحفيز'!$E$5:$E$2004,MATCH($K197,'سجل التحفيز'!$T$5:$T$2004,0)))</f>
        <v/>
      </c>
      <c r="R197" s="9">
        <f>IF($K197="","",INDEX('سجل التحفيز'!$F$5:$F$2004,MATCH($K197,'سجل التحفيز'!$T$5:$T$2004,0)))</f>
        <v/>
      </c>
      <c r="S197" s="35">
        <f>IF($K197="","",INDEX('سجل التحفيز'!$G$5:$G$2004,MATCH($K197,'سجل التحفيز'!$T$5:$T$2004,0)))</f>
        <v/>
      </c>
    </row>
    <row r="198">
      <c r="K198" s="36">
        <f>IF(161&gt;$B$10,"",161)</f>
        <v/>
      </c>
      <c r="L198" s="37">
        <f>IF($K198="","",INDEX('سجل التحفيز'!$A$5:$A$2004,MATCH($K198,'سجل التحفيز'!$T$5:$T$2004,0)))</f>
        <v/>
      </c>
      <c r="M198" s="9">
        <f>IF($K198="","",INDEX('سجل التحفيز'!$B$5:$B$2004,MATCH($K198,'سجل التحفيز'!$T$5:$T$2004,0)))</f>
        <v/>
      </c>
      <c r="N198" s="9">
        <f>IF($K198="","",INDEX('سجل التحفيز'!$M$5:$M$2004,MATCH($K198,'سجل التحفيز'!$T$5:$T$2004,0)))</f>
        <v/>
      </c>
      <c r="O198" s="9">
        <f>IF($K198="","",INDEX('سجل التحفيز'!$C$5:$C$2004,MATCH($K198,'سجل التحفيز'!$T$5:$T$2004,0)))</f>
        <v/>
      </c>
      <c r="P198" s="36">
        <f>IF($K198="","",INDEX('سجل التحفيز'!$D$5:$D$2004,MATCH($K198,'سجل التحفيز'!$T$5:$T$2004,0)))</f>
        <v/>
      </c>
      <c r="Q198" s="9">
        <f>IF($K198="","",INDEX('سجل التحفيز'!$E$5:$E$2004,MATCH($K198,'سجل التحفيز'!$T$5:$T$2004,0)))</f>
        <v/>
      </c>
      <c r="R198" s="9">
        <f>IF($K198="","",INDEX('سجل التحفيز'!$F$5:$F$2004,MATCH($K198,'سجل التحفيز'!$T$5:$T$2004,0)))</f>
        <v/>
      </c>
      <c r="S198" s="35">
        <f>IF($K198="","",INDEX('سجل التحفيز'!$G$5:$G$2004,MATCH($K198,'سجل التحفيز'!$T$5:$T$2004,0)))</f>
        <v/>
      </c>
    </row>
    <row r="199">
      <c r="K199" s="36">
        <f>IF(162&gt;$B$10,"",162)</f>
        <v/>
      </c>
      <c r="L199" s="37">
        <f>IF($K199="","",INDEX('سجل التحفيز'!$A$5:$A$2004,MATCH($K199,'سجل التحفيز'!$T$5:$T$2004,0)))</f>
        <v/>
      </c>
      <c r="M199" s="9">
        <f>IF($K199="","",INDEX('سجل التحفيز'!$B$5:$B$2004,MATCH($K199,'سجل التحفيز'!$T$5:$T$2004,0)))</f>
        <v/>
      </c>
      <c r="N199" s="9">
        <f>IF($K199="","",INDEX('سجل التحفيز'!$M$5:$M$2004,MATCH($K199,'سجل التحفيز'!$T$5:$T$2004,0)))</f>
        <v/>
      </c>
      <c r="O199" s="9">
        <f>IF($K199="","",INDEX('سجل التحفيز'!$C$5:$C$2004,MATCH($K199,'سجل التحفيز'!$T$5:$T$2004,0)))</f>
        <v/>
      </c>
      <c r="P199" s="36">
        <f>IF($K199="","",INDEX('سجل التحفيز'!$D$5:$D$2004,MATCH($K199,'سجل التحفيز'!$T$5:$T$2004,0)))</f>
        <v/>
      </c>
      <c r="Q199" s="9">
        <f>IF($K199="","",INDEX('سجل التحفيز'!$E$5:$E$2004,MATCH($K199,'سجل التحفيز'!$T$5:$T$2004,0)))</f>
        <v/>
      </c>
      <c r="R199" s="9">
        <f>IF($K199="","",INDEX('سجل التحفيز'!$F$5:$F$2004,MATCH($K199,'سجل التحفيز'!$T$5:$T$2004,0)))</f>
        <v/>
      </c>
      <c r="S199" s="35">
        <f>IF($K199="","",INDEX('سجل التحفيز'!$G$5:$G$2004,MATCH($K199,'سجل التحفيز'!$T$5:$T$2004,0)))</f>
        <v/>
      </c>
    </row>
    <row r="200">
      <c r="K200" s="36">
        <f>IF(163&gt;$B$10,"",163)</f>
        <v/>
      </c>
      <c r="L200" s="37">
        <f>IF($K200="","",INDEX('سجل التحفيز'!$A$5:$A$2004,MATCH($K200,'سجل التحفيز'!$T$5:$T$2004,0)))</f>
        <v/>
      </c>
      <c r="M200" s="9">
        <f>IF($K200="","",INDEX('سجل التحفيز'!$B$5:$B$2004,MATCH($K200,'سجل التحفيز'!$T$5:$T$2004,0)))</f>
        <v/>
      </c>
      <c r="N200" s="9">
        <f>IF($K200="","",INDEX('سجل التحفيز'!$M$5:$M$2004,MATCH($K200,'سجل التحفيز'!$T$5:$T$2004,0)))</f>
        <v/>
      </c>
      <c r="O200" s="9">
        <f>IF($K200="","",INDEX('سجل التحفيز'!$C$5:$C$2004,MATCH($K200,'سجل التحفيز'!$T$5:$T$2004,0)))</f>
        <v/>
      </c>
      <c r="P200" s="36">
        <f>IF($K200="","",INDEX('سجل التحفيز'!$D$5:$D$2004,MATCH($K200,'سجل التحفيز'!$T$5:$T$2004,0)))</f>
        <v/>
      </c>
      <c r="Q200" s="9">
        <f>IF($K200="","",INDEX('سجل التحفيز'!$E$5:$E$2004,MATCH($K200,'سجل التحفيز'!$T$5:$T$2004,0)))</f>
        <v/>
      </c>
      <c r="R200" s="9">
        <f>IF($K200="","",INDEX('سجل التحفيز'!$F$5:$F$2004,MATCH($K200,'سجل التحفيز'!$T$5:$T$2004,0)))</f>
        <v/>
      </c>
      <c r="S200" s="35">
        <f>IF($K200="","",INDEX('سجل التحفيز'!$G$5:$G$2004,MATCH($K200,'سجل التحفيز'!$T$5:$T$2004,0)))</f>
        <v/>
      </c>
    </row>
    <row r="201">
      <c r="K201" s="36">
        <f>IF(164&gt;$B$10,"",164)</f>
        <v/>
      </c>
      <c r="L201" s="37">
        <f>IF($K201="","",INDEX('سجل التحفيز'!$A$5:$A$2004,MATCH($K201,'سجل التحفيز'!$T$5:$T$2004,0)))</f>
        <v/>
      </c>
      <c r="M201" s="9">
        <f>IF($K201="","",INDEX('سجل التحفيز'!$B$5:$B$2004,MATCH($K201,'سجل التحفيز'!$T$5:$T$2004,0)))</f>
        <v/>
      </c>
      <c r="N201" s="9">
        <f>IF($K201="","",INDEX('سجل التحفيز'!$M$5:$M$2004,MATCH($K201,'سجل التحفيز'!$T$5:$T$2004,0)))</f>
        <v/>
      </c>
      <c r="O201" s="9">
        <f>IF($K201="","",INDEX('سجل التحفيز'!$C$5:$C$2004,MATCH($K201,'سجل التحفيز'!$T$5:$T$2004,0)))</f>
        <v/>
      </c>
      <c r="P201" s="36">
        <f>IF($K201="","",INDEX('سجل التحفيز'!$D$5:$D$2004,MATCH($K201,'سجل التحفيز'!$T$5:$T$2004,0)))</f>
        <v/>
      </c>
      <c r="Q201" s="9">
        <f>IF($K201="","",INDEX('سجل التحفيز'!$E$5:$E$2004,MATCH($K201,'سجل التحفيز'!$T$5:$T$2004,0)))</f>
        <v/>
      </c>
      <c r="R201" s="9">
        <f>IF($K201="","",INDEX('سجل التحفيز'!$F$5:$F$2004,MATCH($K201,'سجل التحفيز'!$T$5:$T$2004,0)))</f>
        <v/>
      </c>
      <c r="S201" s="35">
        <f>IF($K201="","",INDEX('سجل التحفيز'!$G$5:$G$2004,MATCH($K201,'سجل التحفيز'!$T$5:$T$2004,0)))</f>
        <v/>
      </c>
    </row>
    <row r="202">
      <c r="K202" s="36">
        <f>IF(165&gt;$B$10,"",165)</f>
        <v/>
      </c>
      <c r="L202" s="37">
        <f>IF($K202="","",INDEX('سجل التحفيز'!$A$5:$A$2004,MATCH($K202,'سجل التحفيز'!$T$5:$T$2004,0)))</f>
        <v/>
      </c>
      <c r="M202" s="9">
        <f>IF($K202="","",INDEX('سجل التحفيز'!$B$5:$B$2004,MATCH($K202,'سجل التحفيز'!$T$5:$T$2004,0)))</f>
        <v/>
      </c>
      <c r="N202" s="9">
        <f>IF($K202="","",INDEX('سجل التحفيز'!$M$5:$M$2004,MATCH($K202,'سجل التحفيز'!$T$5:$T$2004,0)))</f>
        <v/>
      </c>
      <c r="O202" s="9">
        <f>IF($K202="","",INDEX('سجل التحفيز'!$C$5:$C$2004,MATCH($K202,'سجل التحفيز'!$T$5:$T$2004,0)))</f>
        <v/>
      </c>
      <c r="P202" s="36">
        <f>IF($K202="","",INDEX('سجل التحفيز'!$D$5:$D$2004,MATCH($K202,'سجل التحفيز'!$T$5:$T$2004,0)))</f>
        <v/>
      </c>
      <c r="Q202" s="9">
        <f>IF($K202="","",INDEX('سجل التحفيز'!$E$5:$E$2004,MATCH($K202,'سجل التحفيز'!$T$5:$T$2004,0)))</f>
        <v/>
      </c>
      <c r="R202" s="9">
        <f>IF($K202="","",INDEX('سجل التحفيز'!$F$5:$F$2004,MATCH($K202,'سجل التحفيز'!$T$5:$T$2004,0)))</f>
        <v/>
      </c>
      <c r="S202" s="35">
        <f>IF($K202="","",INDEX('سجل التحفيز'!$G$5:$G$2004,MATCH($K202,'سجل التحفيز'!$T$5:$T$2004,0)))</f>
        <v/>
      </c>
    </row>
    <row r="203">
      <c r="K203" s="36">
        <f>IF(166&gt;$B$10,"",166)</f>
        <v/>
      </c>
      <c r="L203" s="37">
        <f>IF($K203="","",INDEX('سجل التحفيز'!$A$5:$A$2004,MATCH($K203,'سجل التحفيز'!$T$5:$T$2004,0)))</f>
        <v/>
      </c>
      <c r="M203" s="9">
        <f>IF($K203="","",INDEX('سجل التحفيز'!$B$5:$B$2004,MATCH($K203,'سجل التحفيز'!$T$5:$T$2004,0)))</f>
        <v/>
      </c>
      <c r="N203" s="9">
        <f>IF($K203="","",INDEX('سجل التحفيز'!$M$5:$M$2004,MATCH($K203,'سجل التحفيز'!$T$5:$T$2004,0)))</f>
        <v/>
      </c>
      <c r="O203" s="9">
        <f>IF($K203="","",INDEX('سجل التحفيز'!$C$5:$C$2004,MATCH($K203,'سجل التحفيز'!$T$5:$T$2004,0)))</f>
        <v/>
      </c>
      <c r="P203" s="36">
        <f>IF($K203="","",INDEX('سجل التحفيز'!$D$5:$D$2004,MATCH($K203,'سجل التحفيز'!$T$5:$T$2004,0)))</f>
        <v/>
      </c>
      <c r="Q203" s="9">
        <f>IF($K203="","",INDEX('سجل التحفيز'!$E$5:$E$2004,MATCH($K203,'سجل التحفيز'!$T$5:$T$2004,0)))</f>
        <v/>
      </c>
      <c r="R203" s="9">
        <f>IF($K203="","",INDEX('سجل التحفيز'!$F$5:$F$2004,MATCH($K203,'سجل التحفيز'!$T$5:$T$2004,0)))</f>
        <v/>
      </c>
      <c r="S203" s="35">
        <f>IF($K203="","",INDEX('سجل التحفيز'!$G$5:$G$2004,MATCH($K203,'سجل التحفيز'!$T$5:$T$2004,0)))</f>
        <v/>
      </c>
    </row>
    <row r="204">
      <c r="K204" s="36">
        <f>IF(167&gt;$B$10,"",167)</f>
        <v/>
      </c>
      <c r="L204" s="37">
        <f>IF($K204="","",INDEX('سجل التحفيز'!$A$5:$A$2004,MATCH($K204,'سجل التحفيز'!$T$5:$T$2004,0)))</f>
        <v/>
      </c>
      <c r="M204" s="9">
        <f>IF($K204="","",INDEX('سجل التحفيز'!$B$5:$B$2004,MATCH($K204,'سجل التحفيز'!$T$5:$T$2004,0)))</f>
        <v/>
      </c>
      <c r="N204" s="9">
        <f>IF($K204="","",INDEX('سجل التحفيز'!$M$5:$M$2004,MATCH($K204,'سجل التحفيز'!$T$5:$T$2004,0)))</f>
        <v/>
      </c>
      <c r="O204" s="9">
        <f>IF($K204="","",INDEX('سجل التحفيز'!$C$5:$C$2004,MATCH($K204,'سجل التحفيز'!$T$5:$T$2004,0)))</f>
        <v/>
      </c>
      <c r="P204" s="36">
        <f>IF($K204="","",INDEX('سجل التحفيز'!$D$5:$D$2004,MATCH($K204,'سجل التحفيز'!$T$5:$T$2004,0)))</f>
        <v/>
      </c>
      <c r="Q204" s="9">
        <f>IF($K204="","",INDEX('سجل التحفيز'!$E$5:$E$2004,MATCH($K204,'سجل التحفيز'!$T$5:$T$2004,0)))</f>
        <v/>
      </c>
      <c r="R204" s="9">
        <f>IF($K204="","",INDEX('سجل التحفيز'!$F$5:$F$2004,MATCH($K204,'سجل التحفيز'!$T$5:$T$2004,0)))</f>
        <v/>
      </c>
      <c r="S204" s="35">
        <f>IF($K204="","",INDEX('سجل التحفيز'!$G$5:$G$2004,MATCH($K204,'سجل التحفيز'!$T$5:$T$2004,0)))</f>
        <v/>
      </c>
    </row>
    <row r="205">
      <c r="K205" s="36">
        <f>IF(168&gt;$B$10,"",168)</f>
        <v/>
      </c>
      <c r="L205" s="37">
        <f>IF($K205="","",INDEX('سجل التحفيز'!$A$5:$A$2004,MATCH($K205,'سجل التحفيز'!$T$5:$T$2004,0)))</f>
        <v/>
      </c>
      <c r="M205" s="9">
        <f>IF($K205="","",INDEX('سجل التحفيز'!$B$5:$B$2004,MATCH($K205,'سجل التحفيز'!$T$5:$T$2004,0)))</f>
        <v/>
      </c>
      <c r="N205" s="9">
        <f>IF($K205="","",INDEX('سجل التحفيز'!$M$5:$M$2004,MATCH($K205,'سجل التحفيز'!$T$5:$T$2004,0)))</f>
        <v/>
      </c>
      <c r="O205" s="9">
        <f>IF($K205="","",INDEX('سجل التحفيز'!$C$5:$C$2004,MATCH($K205,'سجل التحفيز'!$T$5:$T$2004,0)))</f>
        <v/>
      </c>
      <c r="P205" s="36">
        <f>IF($K205="","",INDEX('سجل التحفيز'!$D$5:$D$2004,MATCH($K205,'سجل التحفيز'!$T$5:$T$2004,0)))</f>
        <v/>
      </c>
      <c r="Q205" s="9">
        <f>IF($K205="","",INDEX('سجل التحفيز'!$E$5:$E$2004,MATCH($K205,'سجل التحفيز'!$T$5:$T$2004,0)))</f>
        <v/>
      </c>
      <c r="R205" s="9">
        <f>IF($K205="","",INDEX('سجل التحفيز'!$F$5:$F$2004,MATCH($K205,'سجل التحفيز'!$T$5:$T$2004,0)))</f>
        <v/>
      </c>
      <c r="S205" s="35">
        <f>IF($K205="","",INDEX('سجل التحفيز'!$G$5:$G$2004,MATCH($K205,'سجل التحفيز'!$T$5:$T$2004,0)))</f>
        <v/>
      </c>
    </row>
    <row r="206">
      <c r="K206" s="36">
        <f>IF(169&gt;$B$10,"",169)</f>
        <v/>
      </c>
      <c r="L206" s="37">
        <f>IF($K206="","",INDEX('سجل التحفيز'!$A$5:$A$2004,MATCH($K206,'سجل التحفيز'!$T$5:$T$2004,0)))</f>
        <v/>
      </c>
      <c r="M206" s="9">
        <f>IF($K206="","",INDEX('سجل التحفيز'!$B$5:$B$2004,MATCH($K206,'سجل التحفيز'!$T$5:$T$2004,0)))</f>
        <v/>
      </c>
      <c r="N206" s="9">
        <f>IF($K206="","",INDEX('سجل التحفيز'!$M$5:$M$2004,MATCH($K206,'سجل التحفيز'!$T$5:$T$2004,0)))</f>
        <v/>
      </c>
      <c r="O206" s="9">
        <f>IF($K206="","",INDEX('سجل التحفيز'!$C$5:$C$2004,MATCH($K206,'سجل التحفيز'!$T$5:$T$2004,0)))</f>
        <v/>
      </c>
      <c r="P206" s="36">
        <f>IF($K206="","",INDEX('سجل التحفيز'!$D$5:$D$2004,MATCH($K206,'سجل التحفيز'!$T$5:$T$2004,0)))</f>
        <v/>
      </c>
      <c r="Q206" s="9">
        <f>IF($K206="","",INDEX('سجل التحفيز'!$E$5:$E$2004,MATCH($K206,'سجل التحفيز'!$T$5:$T$2004,0)))</f>
        <v/>
      </c>
      <c r="R206" s="9">
        <f>IF($K206="","",INDEX('سجل التحفيز'!$F$5:$F$2004,MATCH($K206,'سجل التحفيز'!$T$5:$T$2004,0)))</f>
        <v/>
      </c>
      <c r="S206" s="35">
        <f>IF($K206="","",INDEX('سجل التحفيز'!$G$5:$G$2004,MATCH($K206,'سجل التحفيز'!$T$5:$T$2004,0)))</f>
        <v/>
      </c>
    </row>
    <row r="207">
      <c r="K207" s="36">
        <f>IF(170&gt;$B$10,"",170)</f>
        <v/>
      </c>
      <c r="L207" s="37">
        <f>IF($K207="","",INDEX('سجل التحفيز'!$A$5:$A$2004,MATCH($K207,'سجل التحفيز'!$T$5:$T$2004,0)))</f>
        <v/>
      </c>
      <c r="M207" s="9">
        <f>IF($K207="","",INDEX('سجل التحفيز'!$B$5:$B$2004,MATCH($K207,'سجل التحفيز'!$T$5:$T$2004,0)))</f>
        <v/>
      </c>
      <c r="N207" s="9">
        <f>IF($K207="","",INDEX('سجل التحفيز'!$M$5:$M$2004,MATCH($K207,'سجل التحفيز'!$T$5:$T$2004,0)))</f>
        <v/>
      </c>
      <c r="O207" s="9">
        <f>IF($K207="","",INDEX('سجل التحفيز'!$C$5:$C$2004,MATCH($K207,'سجل التحفيز'!$T$5:$T$2004,0)))</f>
        <v/>
      </c>
      <c r="P207" s="36">
        <f>IF($K207="","",INDEX('سجل التحفيز'!$D$5:$D$2004,MATCH($K207,'سجل التحفيز'!$T$5:$T$2004,0)))</f>
        <v/>
      </c>
      <c r="Q207" s="9">
        <f>IF($K207="","",INDEX('سجل التحفيز'!$E$5:$E$2004,MATCH($K207,'سجل التحفيز'!$T$5:$T$2004,0)))</f>
        <v/>
      </c>
      <c r="R207" s="9">
        <f>IF($K207="","",INDEX('سجل التحفيز'!$F$5:$F$2004,MATCH($K207,'سجل التحفيز'!$T$5:$T$2004,0)))</f>
        <v/>
      </c>
      <c r="S207" s="35">
        <f>IF($K207="","",INDEX('سجل التحفيز'!$G$5:$G$2004,MATCH($K207,'سجل التحفيز'!$T$5:$T$2004,0)))</f>
        <v/>
      </c>
    </row>
    <row r="208">
      <c r="K208" s="36">
        <f>IF(171&gt;$B$10,"",171)</f>
        <v/>
      </c>
      <c r="L208" s="37">
        <f>IF($K208="","",INDEX('سجل التحفيز'!$A$5:$A$2004,MATCH($K208,'سجل التحفيز'!$T$5:$T$2004,0)))</f>
        <v/>
      </c>
      <c r="M208" s="9">
        <f>IF($K208="","",INDEX('سجل التحفيز'!$B$5:$B$2004,MATCH($K208,'سجل التحفيز'!$T$5:$T$2004,0)))</f>
        <v/>
      </c>
      <c r="N208" s="9">
        <f>IF($K208="","",INDEX('سجل التحفيز'!$M$5:$M$2004,MATCH($K208,'سجل التحفيز'!$T$5:$T$2004,0)))</f>
        <v/>
      </c>
      <c r="O208" s="9">
        <f>IF($K208="","",INDEX('سجل التحفيز'!$C$5:$C$2004,MATCH($K208,'سجل التحفيز'!$T$5:$T$2004,0)))</f>
        <v/>
      </c>
      <c r="P208" s="36">
        <f>IF($K208="","",INDEX('سجل التحفيز'!$D$5:$D$2004,MATCH($K208,'سجل التحفيز'!$T$5:$T$2004,0)))</f>
        <v/>
      </c>
      <c r="Q208" s="9">
        <f>IF($K208="","",INDEX('سجل التحفيز'!$E$5:$E$2004,MATCH($K208,'سجل التحفيز'!$T$5:$T$2004,0)))</f>
        <v/>
      </c>
      <c r="R208" s="9">
        <f>IF($K208="","",INDEX('سجل التحفيز'!$F$5:$F$2004,MATCH($K208,'سجل التحفيز'!$T$5:$T$2004,0)))</f>
        <v/>
      </c>
      <c r="S208" s="35">
        <f>IF($K208="","",INDEX('سجل التحفيز'!$G$5:$G$2004,MATCH($K208,'سجل التحفيز'!$T$5:$T$2004,0)))</f>
        <v/>
      </c>
    </row>
    <row r="209">
      <c r="K209" s="36">
        <f>IF(172&gt;$B$10,"",172)</f>
        <v/>
      </c>
      <c r="L209" s="37">
        <f>IF($K209="","",INDEX('سجل التحفيز'!$A$5:$A$2004,MATCH($K209,'سجل التحفيز'!$T$5:$T$2004,0)))</f>
        <v/>
      </c>
      <c r="M209" s="9">
        <f>IF($K209="","",INDEX('سجل التحفيز'!$B$5:$B$2004,MATCH($K209,'سجل التحفيز'!$T$5:$T$2004,0)))</f>
        <v/>
      </c>
      <c r="N209" s="9">
        <f>IF($K209="","",INDEX('سجل التحفيز'!$M$5:$M$2004,MATCH($K209,'سجل التحفيز'!$T$5:$T$2004,0)))</f>
        <v/>
      </c>
      <c r="O209" s="9">
        <f>IF($K209="","",INDEX('سجل التحفيز'!$C$5:$C$2004,MATCH($K209,'سجل التحفيز'!$T$5:$T$2004,0)))</f>
        <v/>
      </c>
      <c r="P209" s="36">
        <f>IF($K209="","",INDEX('سجل التحفيز'!$D$5:$D$2004,MATCH($K209,'سجل التحفيز'!$T$5:$T$2004,0)))</f>
        <v/>
      </c>
      <c r="Q209" s="9">
        <f>IF($K209="","",INDEX('سجل التحفيز'!$E$5:$E$2004,MATCH($K209,'سجل التحفيز'!$T$5:$T$2004,0)))</f>
        <v/>
      </c>
      <c r="R209" s="9">
        <f>IF($K209="","",INDEX('سجل التحفيز'!$F$5:$F$2004,MATCH($K209,'سجل التحفيز'!$T$5:$T$2004,0)))</f>
        <v/>
      </c>
      <c r="S209" s="35">
        <f>IF($K209="","",INDEX('سجل التحفيز'!$G$5:$G$2004,MATCH($K209,'سجل التحفيز'!$T$5:$T$2004,0)))</f>
        <v/>
      </c>
    </row>
    <row r="210">
      <c r="K210" s="36">
        <f>IF(173&gt;$B$10,"",173)</f>
        <v/>
      </c>
      <c r="L210" s="37">
        <f>IF($K210="","",INDEX('سجل التحفيز'!$A$5:$A$2004,MATCH($K210,'سجل التحفيز'!$T$5:$T$2004,0)))</f>
        <v/>
      </c>
      <c r="M210" s="9">
        <f>IF($K210="","",INDEX('سجل التحفيز'!$B$5:$B$2004,MATCH($K210,'سجل التحفيز'!$T$5:$T$2004,0)))</f>
        <v/>
      </c>
      <c r="N210" s="9">
        <f>IF($K210="","",INDEX('سجل التحفيز'!$M$5:$M$2004,MATCH($K210,'سجل التحفيز'!$T$5:$T$2004,0)))</f>
        <v/>
      </c>
      <c r="O210" s="9">
        <f>IF($K210="","",INDEX('سجل التحفيز'!$C$5:$C$2004,MATCH($K210,'سجل التحفيز'!$T$5:$T$2004,0)))</f>
        <v/>
      </c>
      <c r="P210" s="36">
        <f>IF($K210="","",INDEX('سجل التحفيز'!$D$5:$D$2004,MATCH($K210,'سجل التحفيز'!$T$5:$T$2004,0)))</f>
        <v/>
      </c>
      <c r="Q210" s="9">
        <f>IF($K210="","",INDEX('سجل التحفيز'!$E$5:$E$2004,MATCH($K210,'سجل التحفيز'!$T$5:$T$2004,0)))</f>
        <v/>
      </c>
      <c r="R210" s="9">
        <f>IF($K210="","",INDEX('سجل التحفيز'!$F$5:$F$2004,MATCH($K210,'سجل التحفيز'!$T$5:$T$2004,0)))</f>
        <v/>
      </c>
      <c r="S210" s="35">
        <f>IF($K210="","",INDEX('سجل التحفيز'!$G$5:$G$2004,MATCH($K210,'سجل التحفيز'!$T$5:$T$2004,0)))</f>
        <v/>
      </c>
    </row>
    <row r="211">
      <c r="K211" s="36">
        <f>IF(174&gt;$B$10,"",174)</f>
        <v/>
      </c>
      <c r="L211" s="37">
        <f>IF($K211="","",INDEX('سجل التحفيز'!$A$5:$A$2004,MATCH($K211,'سجل التحفيز'!$T$5:$T$2004,0)))</f>
        <v/>
      </c>
      <c r="M211" s="9">
        <f>IF($K211="","",INDEX('سجل التحفيز'!$B$5:$B$2004,MATCH($K211,'سجل التحفيز'!$T$5:$T$2004,0)))</f>
        <v/>
      </c>
      <c r="N211" s="9">
        <f>IF($K211="","",INDEX('سجل التحفيز'!$M$5:$M$2004,MATCH($K211,'سجل التحفيز'!$T$5:$T$2004,0)))</f>
        <v/>
      </c>
      <c r="O211" s="9">
        <f>IF($K211="","",INDEX('سجل التحفيز'!$C$5:$C$2004,MATCH($K211,'سجل التحفيز'!$T$5:$T$2004,0)))</f>
        <v/>
      </c>
      <c r="P211" s="36">
        <f>IF($K211="","",INDEX('سجل التحفيز'!$D$5:$D$2004,MATCH($K211,'سجل التحفيز'!$T$5:$T$2004,0)))</f>
        <v/>
      </c>
      <c r="Q211" s="9">
        <f>IF($K211="","",INDEX('سجل التحفيز'!$E$5:$E$2004,MATCH($K211,'سجل التحفيز'!$T$5:$T$2004,0)))</f>
        <v/>
      </c>
      <c r="R211" s="9">
        <f>IF($K211="","",INDEX('سجل التحفيز'!$F$5:$F$2004,MATCH($K211,'سجل التحفيز'!$T$5:$T$2004,0)))</f>
        <v/>
      </c>
      <c r="S211" s="35">
        <f>IF($K211="","",INDEX('سجل التحفيز'!$G$5:$G$2004,MATCH($K211,'سجل التحفيز'!$T$5:$T$2004,0)))</f>
        <v/>
      </c>
    </row>
    <row r="212">
      <c r="K212" s="36">
        <f>IF(175&gt;$B$10,"",175)</f>
        <v/>
      </c>
      <c r="L212" s="37">
        <f>IF($K212="","",INDEX('سجل التحفيز'!$A$5:$A$2004,MATCH($K212,'سجل التحفيز'!$T$5:$T$2004,0)))</f>
        <v/>
      </c>
      <c r="M212" s="9">
        <f>IF($K212="","",INDEX('سجل التحفيز'!$B$5:$B$2004,MATCH($K212,'سجل التحفيز'!$T$5:$T$2004,0)))</f>
        <v/>
      </c>
      <c r="N212" s="9">
        <f>IF($K212="","",INDEX('سجل التحفيز'!$M$5:$M$2004,MATCH($K212,'سجل التحفيز'!$T$5:$T$2004,0)))</f>
        <v/>
      </c>
      <c r="O212" s="9">
        <f>IF($K212="","",INDEX('سجل التحفيز'!$C$5:$C$2004,MATCH($K212,'سجل التحفيز'!$T$5:$T$2004,0)))</f>
        <v/>
      </c>
      <c r="P212" s="36">
        <f>IF($K212="","",INDEX('سجل التحفيز'!$D$5:$D$2004,MATCH($K212,'سجل التحفيز'!$T$5:$T$2004,0)))</f>
        <v/>
      </c>
      <c r="Q212" s="9">
        <f>IF($K212="","",INDEX('سجل التحفيز'!$E$5:$E$2004,MATCH($K212,'سجل التحفيز'!$T$5:$T$2004,0)))</f>
        <v/>
      </c>
      <c r="R212" s="9">
        <f>IF($K212="","",INDEX('سجل التحفيز'!$F$5:$F$2004,MATCH($K212,'سجل التحفيز'!$T$5:$T$2004,0)))</f>
        <v/>
      </c>
      <c r="S212" s="35">
        <f>IF($K212="","",INDEX('سجل التحفيز'!$G$5:$G$2004,MATCH($K212,'سجل التحفيز'!$T$5:$T$2004,0)))</f>
        <v/>
      </c>
    </row>
    <row r="213">
      <c r="K213" s="36">
        <f>IF(176&gt;$B$10,"",176)</f>
        <v/>
      </c>
      <c r="L213" s="37">
        <f>IF($K213="","",INDEX('سجل التحفيز'!$A$5:$A$2004,MATCH($K213,'سجل التحفيز'!$T$5:$T$2004,0)))</f>
        <v/>
      </c>
      <c r="M213" s="9">
        <f>IF($K213="","",INDEX('سجل التحفيز'!$B$5:$B$2004,MATCH($K213,'سجل التحفيز'!$T$5:$T$2004,0)))</f>
        <v/>
      </c>
      <c r="N213" s="9">
        <f>IF($K213="","",INDEX('سجل التحفيز'!$M$5:$M$2004,MATCH($K213,'سجل التحفيز'!$T$5:$T$2004,0)))</f>
        <v/>
      </c>
      <c r="O213" s="9">
        <f>IF($K213="","",INDEX('سجل التحفيز'!$C$5:$C$2004,MATCH($K213,'سجل التحفيز'!$T$5:$T$2004,0)))</f>
        <v/>
      </c>
      <c r="P213" s="36">
        <f>IF($K213="","",INDEX('سجل التحفيز'!$D$5:$D$2004,MATCH($K213,'سجل التحفيز'!$T$5:$T$2004,0)))</f>
        <v/>
      </c>
      <c r="Q213" s="9">
        <f>IF($K213="","",INDEX('سجل التحفيز'!$E$5:$E$2004,MATCH($K213,'سجل التحفيز'!$T$5:$T$2004,0)))</f>
        <v/>
      </c>
      <c r="R213" s="9">
        <f>IF($K213="","",INDEX('سجل التحفيز'!$F$5:$F$2004,MATCH($K213,'سجل التحفيز'!$T$5:$T$2004,0)))</f>
        <v/>
      </c>
      <c r="S213" s="35">
        <f>IF($K213="","",INDEX('سجل التحفيز'!$G$5:$G$2004,MATCH($K213,'سجل التحفيز'!$T$5:$T$2004,0)))</f>
        <v/>
      </c>
    </row>
    <row r="214">
      <c r="K214" s="36">
        <f>IF(177&gt;$B$10,"",177)</f>
        <v/>
      </c>
      <c r="L214" s="37">
        <f>IF($K214="","",INDEX('سجل التحفيز'!$A$5:$A$2004,MATCH($K214,'سجل التحفيز'!$T$5:$T$2004,0)))</f>
        <v/>
      </c>
      <c r="M214" s="9">
        <f>IF($K214="","",INDEX('سجل التحفيز'!$B$5:$B$2004,MATCH($K214,'سجل التحفيز'!$T$5:$T$2004,0)))</f>
        <v/>
      </c>
      <c r="N214" s="9">
        <f>IF($K214="","",INDEX('سجل التحفيز'!$M$5:$M$2004,MATCH($K214,'سجل التحفيز'!$T$5:$T$2004,0)))</f>
        <v/>
      </c>
      <c r="O214" s="9">
        <f>IF($K214="","",INDEX('سجل التحفيز'!$C$5:$C$2004,MATCH($K214,'سجل التحفيز'!$T$5:$T$2004,0)))</f>
        <v/>
      </c>
      <c r="P214" s="36">
        <f>IF($K214="","",INDEX('سجل التحفيز'!$D$5:$D$2004,MATCH($K214,'سجل التحفيز'!$T$5:$T$2004,0)))</f>
        <v/>
      </c>
      <c r="Q214" s="9">
        <f>IF($K214="","",INDEX('سجل التحفيز'!$E$5:$E$2004,MATCH($K214,'سجل التحفيز'!$T$5:$T$2004,0)))</f>
        <v/>
      </c>
      <c r="R214" s="9">
        <f>IF($K214="","",INDEX('سجل التحفيز'!$F$5:$F$2004,MATCH($K214,'سجل التحفيز'!$T$5:$T$2004,0)))</f>
        <v/>
      </c>
      <c r="S214" s="35">
        <f>IF($K214="","",INDEX('سجل التحفيز'!$G$5:$G$2004,MATCH($K214,'سجل التحفيز'!$T$5:$T$2004,0)))</f>
        <v/>
      </c>
    </row>
    <row r="215">
      <c r="K215" s="36">
        <f>IF(178&gt;$B$10,"",178)</f>
        <v/>
      </c>
      <c r="L215" s="37">
        <f>IF($K215="","",INDEX('سجل التحفيز'!$A$5:$A$2004,MATCH($K215,'سجل التحفيز'!$T$5:$T$2004,0)))</f>
        <v/>
      </c>
      <c r="M215" s="9">
        <f>IF($K215="","",INDEX('سجل التحفيز'!$B$5:$B$2004,MATCH($K215,'سجل التحفيز'!$T$5:$T$2004,0)))</f>
        <v/>
      </c>
      <c r="N215" s="9">
        <f>IF($K215="","",INDEX('سجل التحفيز'!$M$5:$M$2004,MATCH($K215,'سجل التحفيز'!$T$5:$T$2004,0)))</f>
        <v/>
      </c>
      <c r="O215" s="9">
        <f>IF($K215="","",INDEX('سجل التحفيز'!$C$5:$C$2004,MATCH($K215,'سجل التحفيز'!$T$5:$T$2004,0)))</f>
        <v/>
      </c>
      <c r="P215" s="36">
        <f>IF($K215="","",INDEX('سجل التحفيز'!$D$5:$D$2004,MATCH($K215,'سجل التحفيز'!$T$5:$T$2004,0)))</f>
        <v/>
      </c>
      <c r="Q215" s="9">
        <f>IF($K215="","",INDEX('سجل التحفيز'!$E$5:$E$2004,MATCH($K215,'سجل التحفيز'!$T$5:$T$2004,0)))</f>
        <v/>
      </c>
      <c r="R215" s="9">
        <f>IF($K215="","",INDEX('سجل التحفيز'!$F$5:$F$2004,MATCH($K215,'سجل التحفيز'!$T$5:$T$2004,0)))</f>
        <v/>
      </c>
      <c r="S215" s="35">
        <f>IF($K215="","",INDEX('سجل التحفيز'!$G$5:$G$2004,MATCH($K215,'سجل التحفيز'!$T$5:$T$2004,0)))</f>
        <v/>
      </c>
    </row>
    <row r="216">
      <c r="K216" s="36">
        <f>IF(179&gt;$B$10,"",179)</f>
        <v/>
      </c>
      <c r="L216" s="37">
        <f>IF($K216="","",INDEX('سجل التحفيز'!$A$5:$A$2004,MATCH($K216,'سجل التحفيز'!$T$5:$T$2004,0)))</f>
        <v/>
      </c>
      <c r="M216" s="9">
        <f>IF($K216="","",INDEX('سجل التحفيز'!$B$5:$B$2004,MATCH($K216,'سجل التحفيز'!$T$5:$T$2004,0)))</f>
        <v/>
      </c>
      <c r="N216" s="9">
        <f>IF($K216="","",INDEX('سجل التحفيز'!$M$5:$M$2004,MATCH($K216,'سجل التحفيز'!$T$5:$T$2004,0)))</f>
        <v/>
      </c>
      <c r="O216" s="9">
        <f>IF($K216="","",INDEX('سجل التحفيز'!$C$5:$C$2004,MATCH($K216,'سجل التحفيز'!$T$5:$T$2004,0)))</f>
        <v/>
      </c>
      <c r="P216" s="36">
        <f>IF($K216="","",INDEX('سجل التحفيز'!$D$5:$D$2004,MATCH($K216,'سجل التحفيز'!$T$5:$T$2004,0)))</f>
        <v/>
      </c>
      <c r="Q216" s="9">
        <f>IF($K216="","",INDEX('سجل التحفيز'!$E$5:$E$2004,MATCH($K216,'سجل التحفيز'!$T$5:$T$2004,0)))</f>
        <v/>
      </c>
      <c r="R216" s="9">
        <f>IF($K216="","",INDEX('سجل التحفيز'!$F$5:$F$2004,MATCH($K216,'سجل التحفيز'!$T$5:$T$2004,0)))</f>
        <v/>
      </c>
      <c r="S216" s="35">
        <f>IF($K216="","",INDEX('سجل التحفيز'!$G$5:$G$2004,MATCH($K216,'سجل التحفيز'!$T$5:$T$2004,0)))</f>
        <v/>
      </c>
    </row>
    <row r="217">
      <c r="K217" s="36">
        <f>IF(180&gt;$B$10,"",180)</f>
        <v/>
      </c>
      <c r="L217" s="37">
        <f>IF($K217="","",INDEX('سجل التحفيز'!$A$5:$A$2004,MATCH($K217,'سجل التحفيز'!$T$5:$T$2004,0)))</f>
        <v/>
      </c>
      <c r="M217" s="9">
        <f>IF($K217="","",INDEX('سجل التحفيز'!$B$5:$B$2004,MATCH($K217,'سجل التحفيز'!$T$5:$T$2004,0)))</f>
        <v/>
      </c>
      <c r="N217" s="9">
        <f>IF($K217="","",INDEX('سجل التحفيز'!$M$5:$M$2004,MATCH($K217,'سجل التحفيز'!$T$5:$T$2004,0)))</f>
        <v/>
      </c>
      <c r="O217" s="9">
        <f>IF($K217="","",INDEX('سجل التحفيز'!$C$5:$C$2004,MATCH($K217,'سجل التحفيز'!$T$5:$T$2004,0)))</f>
        <v/>
      </c>
      <c r="P217" s="36">
        <f>IF($K217="","",INDEX('سجل التحفيز'!$D$5:$D$2004,MATCH($K217,'سجل التحفيز'!$T$5:$T$2004,0)))</f>
        <v/>
      </c>
      <c r="Q217" s="9">
        <f>IF($K217="","",INDEX('سجل التحفيز'!$E$5:$E$2004,MATCH($K217,'سجل التحفيز'!$T$5:$T$2004,0)))</f>
        <v/>
      </c>
      <c r="R217" s="9">
        <f>IF($K217="","",INDEX('سجل التحفيز'!$F$5:$F$2004,MATCH($K217,'سجل التحفيز'!$T$5:$T$2004,0)))</f>
        <v/>
      </c>
      <c r="S217" s="35">
        <f>IF($K217="","",INDEX('سجل التحفيز'!$G$5:$G$2004,MATCH($K217,'سجل التحفيز'!$T$5:$T$2004,0)))</f>
        <v/>
      </c>
    </row>
    <row r="218">
      <c r="K218" s="36">
        <f>IF(181&gt;$B$10,"",181)</f>
        <v/>
      </c>
      <c r="L218" s="37">
        <f>IF($K218="","",INDEX('سجل التحفيز'!$A$5:$A$2004,MATCH($K218,'سجل التحفيز'!$T$5:$T$2004,0)))</f>
        <v/>
      </c>
      <c r="M218" s="9">
        <f>IF($K218="","",INDEX('سجل التحفيز'!$B$5:$B$2004,MATCH($K218,'سجل التحفيز'!$T$5:$T$2004,0)))</f>
        <v/>
      </c>
      <c r="N218" s="9">
        <f>IF($K218="","",INDEX('سجل التحفيز'!$M$5:$M$2004,MATCH($K218,'سجل التحفيز'!$T$5:$T$2004,0)))</f>
        <v/>
      </c>
      <c r="O218" s="9">
        <f>IF($K218="","",INDEX('سجل التحفيز'!$C$5:$C$2004,MATCH($K218,'سجل التحفيز'!$T$5:$T$2004,0)))</f>
        <v/>
      </c>
      <c r="P218" s="36">
        <f>IF($K218="","",INDEX('سجل التحفيز'!$D$5:$D$2004,MATCH($K218,'سجل التحفيز'!$T$5:$T$2004,0)))</f>
        <v/>
      </c>
      <c r="Q218" s="9">
        <f>IF($K218="","",INDEX('سجل التحفيز'!$E$5:$E$2004,MATCH($K218,'سجل التحفيز'!$T$5:$T$2004,0)))</f>
        <v/>
      </c>
      <c r="R218" s="9">
        <f>IF($K218="","",INDEX('سجل التحفيز'!$F$5:$F$2004,MATCH($K218,'سجل التحفيز'!$T$5:$T$2004,0)))</f>
        <v/>
      </c>
      <c r="S218" s="35">
        <f>IF($K218="","",INDEX('سجل التحفيز'!$G$5:$G$2004,MATCH($K218,'سجل التحفيز'!$T$5:$T$2004,0)))</f>
        <v/>
      </c>
    </row>
    <row r="219">
      <c r="K219" s="36">
        <f>IF(182&gt;$B$10,"",182)</f>
        <v/>
      </c>
      <c r="L219" s="37">
        <f>IF($K219="","",INDEX('سجل التحفيز'!$A$5:$A$2004,MATCH($K219,'سجل التحفيز'!$T$5:$T$2004,0)))</f>
        <v/>
      </c>
      <c r="M219" s="9">
        <f>IF($K219="","",INDEX('سجل التحفيز'!$B$5:$B$2004,MATCH($K219,'سجل التحفيز'!$T$5:$T$2004,0)))</f>
        <v/>
      </c>
      <c r="N219" s="9">
        <f>IF($K219="","",INDEX('سجل التحفيز'!$M$5:$M$2004,MATCH($K219,'سجل التحفيز'!$T$5:$T$2004,0)))</f>
        <v/>
      </c>
      <c r="O219" s="9">
        <f>IF($K219="","",INDEX('سجل التحفيز'!$C$5:$C$2004,MATCH($K219,'سجل التحفيز'!$T$5:$T$2004,0)))</f>
        <v/>
      </c>
      <c r="P219" s="36">
        <f>IF($K219="","",INDEX('سجل التحفيز'!$D$5:$D$2004,MATCH($K219,'سجل التحفيز'!$T$5:$T$2004,0)))</f>
        <v/>
      </c>
      <c r="Q219" s="9">
        <f>IF($K219="","",INDEX('سجل التحفيز'!$E$5:$E$2004,MATCH($K219,'سجل التحفيز'!$T$5:$T$2004,0)))</f>
        <v/>
      </c>
      <c r="R219" s="9">
        <f>IF($K219="","",INDEX('سجل التحفيز'!$F$5:$F$2004,MATCH($K219,'سجل التحفيز'!$T$5:$T$2004,0)))</f>
        <v/>
      </c>
      <c r="S219" s="35">
        <f>IF($K219="","",INDEX('سجل التحفيز'!$G$5:$G$2004,MATCH($K219,'سجل التحفيز'!$T$5:$T$2004,0)))</f>
        <v/>
      </c>
    </row>
    <row r="220">
      <c r="K220" s="36">
        <f>IF(183&gt;$B$10,"",183)</f>
        <v/>
      </c>
      <c r="L220" s="37">
        <f>IF($K220="","",INDEX('سجل التحفيز'!$A$5:$A$2004,MATCH($K220,'سجل التحفيز'!$T$5:$T$2004,0)))</f>
        <v/>
      </c>
      <c r="M220" s="9">
        <f>IF($K220="","",INDEX('سجل التحفيز'!$B$5:$B$2004,MATCH($K220,'سجل التحفيز'!$T$5:$T$2004,0)))</f>
        <v/>
      </c>
      <c r="N220" s="9">
        <f>IF($K220="","",INDEX('سجل التحفيز'!$M$5:$M$2004,MATCH($K220,'سجل التحفيز'!$T$5:$T$2004,0)))</f>
        <v/>
      </c>
      <c r="O220" s="9">
        <f>IF($K220="","",INDEX('سجل التحفيز'!$C$5:$C$2004,MATCH($K220,'سجل التحفيز'!$T$5:$T$2004,0)))</f>
        <v/>
      </c>
      <c r="P220" s="36">
        <f>IF($K220="","",INDEX('سجل التحفيز'!$D$5:$D$2004,MATCH($K220,'سجل التحفيز'!$T$5:$T$2004,0)))</f>
        <v/>
      </c>
      <c r="Q220" s="9">
        <f>IF($K220="","",INDEX('سجل التحفيز'!$E$5:$E$2004,MATCH($K220,'سجل التحفيز'!$T$5:$T$2004,0)))</f>
        <v/>
      </c>
      <c r="R220" s="9">
        <f>IF($K220="","",INDEX('سجل التحفيز'!$F$5:$F$2004,MATCH($K220,'سجل التحفيز'!$T$5:$T$2004,0)))</f>
        <v/>
      </c>
      <c r="S220" s="35">
        <f>IF($K220="","",INDEX('سجل التحفيز'!$G$5:$G$2004,MATCH($K220,'سجل التحفيز'!$T$5:$T$2004,0)))</f>
        <v/>
      </c>
    </row>
    <row r="221">
      <c r="K221" s="36">
        <f>IF(184&gt;$B$10,"",184)</f>
        <v/>
      </c>
      <c r="L221" s="37">
        <f>IF($K221="","",INDEX('سجل التحفيز'!$A$5:$A$2004,MATCH($K221,'سجل التحفيز'!$T$5:$T$2004,0)))</f>
        <v/>
      </c>
      <c r="M221" s="9">
        <f>IF($K221="","",INDEX('سجل التحفيز'!$B$5:$B$2004,MATCH($K221,'سجل التحفيز'!$T$5:$T$2004,0)))</f>
        <v/>
      </c>
      <c r="N221" s="9">
        <f>IF($K221="","",INDEX('سجل التحفيز'!$M$5:$M$2004,MATCH($K221,'سجل التحفيز'!$T$5:$T$2004,0)))</f>
        <v/>
      </c>
      <c r="O221" s="9">
        <f>IF($K221="","",INDEX('سجل التحفيز'!$C$5:$C$2004,MATCH($K221,'سجل التحفيز'!$T$5:$T$2004,0)))</f>
        <v/>
      </c>
      <c r="P221" s="36">
        <f>IF($K221="","",INDEX('سجل التحفيز'!$D$5:$D$2004,MATCH($K221,'سجل التحفيز'!$T$5:$T$2004,0)))</f>
        <v/>
      </c>
      <c r="Q221" s="9">
        <f>IF($K221="","",INDEX('سجل التحفيز'!$E$5:$E$2004,MATCH($K221,'سجل التحفيز'!$T$5:$T$2004,0)))</f>
        <v/>
      </c>
      <c r="R221" s="9">
        <f>IF($K221="","",INDEX('سجل التحفيز'!$F$5:$F$2004,MATCH($K221,'سجل التحفيز'!$T$5:$T$2004,0)))</f>
        <v/>
      </c>
      <c r="S221" s="35">
        <f>IF($K221="","",INDEX('سجل التحفيز'!$G$5:$G$2004,MATCH($K221,'سجل التحفيز'!$T$5:$T$2004,0)))</f>
        <v/>
      </c>
    </row>
    <row r="222">
      <c r="K222" s="36">
        <f>IF(185&gt;$B$10,"",185)</f>
        <v/>
      </c>
      <c r="L222" s="37">
        <f>IF($K222="","",INDEX('سجل التحفيز'!$A$5:$A$2004,MATCH($K222,'سجل التحفيز'!$T$5:$T$2004,0)))</f>
        <v/>
      </c>
      <c r="M222" s="9">
        <f>IF($K222="","",INDEX('سجل التحفيز'!$B$5:$B$2004,MATCH($K222,'سجل التحفيز'!$T$5:$T$2004,0)))</f>
        <v/>
      </c>
      <c r="N222" s="9">
        <f>IF($K222="","",INDEX('سجل التحفيز'!$M$5:$M$2004,MATCH($K222,'سجل التحفيز'!$T$5:$T$2004,0)))</f>
        <v/>
      </c>
      <c r="O222" s="9">
        <f>IF($K222="","",INDEX('سجل التحفيز'!$C$5:$C$2004,MATCH($K222,'سجل التحفيز'!$T$5:$T$2004,0)))</f>
        <v/>
      </c>
      <c r="P222" s="36">
        <f>IF($K222="","",INDEX('سجل التحفيز'!$D$5:$D$2004,MATCH($K222,'سجل التحفيز'!$T$5:$T$2004,0)))</f>
        <v/>
      </c>
      <c r="Q222" s="9">
        <f>IF($K222="","",INDEX('سجل التحفيز'!$E$5:$E$2004,MATCH($K222,'سجل التحفيز'!$T$5:$T$2004,0)))</f>
        <v/>
      </c>
      <c r="R222" s="9">
        <f>IF($K222="","",INDEX('سجل التحفيز'!$F$5:$F$2004,MATCH($K222,'سجل التحفيز'!$T$5:$T$2004,0)))</f>
        <v/>
      </c>
      <c r="S222" s="35">
        <f>IF($K222="","",INDEX('سجل التحفيز'!$G$5:$G$2004,MATCH($K222,'سجل التحفيز'!$T$5:$T$2004,0)))</f>
        <v/>
      </c>
    </row>
    <row r="223">
      <c r="K223" s="36">
        <f>IF(186&gt;$B$10,"",186)</f>
        <v/>
      </c>
      <c r="L223" s="37">
        <f>IF($K223="","",INDEX('سجل التحفيز'!$A$5:$A$2004,MATCH($K223,'سجل التحفيز'!$T$5:$T$2004,0)))</f>
        <v/>
      </c>
      <c r="M223" s="9">
        <f>IF($K223="","",INDEX('سجل التحفيز'!$B$5:$B$2004,MATCH($K223,'سجل التحفيز'!$T$5:$T$2004,0)))</f>
        <v/>
      </c>
      <c r="N223" s="9">
        <f>IF($K223="","",INDEX('سجل التحفيز'!$M$5:$M$2004,MATCH($K223,'سجل التحفيز'!$T$5:$T$2004,0)))</f>
        <v/>
      </c>
      <c r="O223" s="9">
        <f>IF($K223="","",INDEX('سجل التحفيز'!$C$5:$C$2004,MATCH($K223,'سجل التحفيز'!$T$5:$T$2004,0)))</f>
        <v/>
      </c>
      <c r="P223" s="36">
        <f>IF($K223="","",INDEX('سجل التحفيز'!$D$5:$D$2004,MATCH($K223,'سجل التحفيز'!$T$5:$T$2004,0)))</f>
        <v/>
      </c>
      <c r="Q223" s="9">
        <f>IF($K223="","",INDEX('سجل التحفيز'!$E$5:$E$2004,MATCH($K223,'سجل التحفيز'!$T$5:$T$2004,0)))</f>
        <v/>
      </c>
      <c r="R223" s="9">
        <f>IF($K223="","",INDEX('سجل التحفيز'!$F$5:$F$2004,MATCH($K223,'سجل التحفيز'!$T$5:$T$2004,0)))</f>
        <v/>
      </c>
      <c r="S223" s="35">
        <f>IF($K223="","",INDEX('سجل التحفيز'!$G$5:$G$2004,MATCH($K223,'سجل التحفيز'!$T$5:$T$2004,0)))</f>
        <v/>
      </c>
    </row>
    <row r="224">
      <c r="K224" s="36">
        <f>IF(187&gt;$B$10,"",187)</f>
        <v/>
      </c>
      <c r="L224" s="37">
        <f>IF($K224="","",INDEX('سجل التحفيز'!$A$5:$A$2004,MATCH($K224,'سجل التحفيز'!$T$5:$T$2004,0)))</f>
        <v/>
      </c>
      <c r="M224" s="9">
        <f>IF($K224="","",INDEX('سجل التحفيز'!$B$5:$B$2004,MATCH($K224,'سجل التحفيز'!$T$5:$T$2004,0)))</f>
        <v/>
      </c>
      <c r="N224" s="9">
        <f>IF($K224="","",INDEX('سجل التحفيز'!$M$5:$M$2004,MATCH($K224,'سجل التحفيز'!$T$5:$T$2004,0)))</f>
        <v/>
      </c>
      <c r="O224" s="9">
        <f>IF($K224="","",INDEX('سجل التحفيز'!$C$5:$C$2004,MATCH($K224,'سجل التحفيز'!$T$5:$T$2004,0)))</f>
        <v/>
      </c>
      <c r="P224" s="36">
        <f>IF($K224="","",INDEX('سجل التحفيز'!$D$5:$D$2004,MATCH($K224,'سجل التحفيز'!$T$5:$T$2004,0)))</f>
        <v/>
      </c>
      <c r="Q224" s="9">
        <f>IF($K224="","",INDEX('سجل التحفيز'!$E$5:$E$2004,MATCH($K224,'سجل التحفيز'!$T$5:$T$2004,0)))</f>
        <v/>
      </c>
      <c r="R224" s="9">
        <f>IF($K224="","",INDEX('سجل التحفيز'!$F$5:$F$2004,MATCH($K224,'سجل التحفيز'!$T$5:$T$2004,0)))</f>
        <v/>
      </c>
      <c r="S224" s="35">
        <f>IF($K224="","",INDEX('سجل التحفيز'!$G$5:$G$2004,MATCH($K224,'سجل التحفيز'!$T$5:$T$2004,0)))</f>
        <v/>
      </c>
    </row>
    <row r="225">
      <c r="K225" s="36">
        <f>IF(188&gt;$B$10,"",188)</f>
        <v/>
      </c>
      <c r="L225" s="37">
        <f>IF($K225="","",INDEX('سجل التحفيز'!$A$5:$A$2004,MATCH($K225,'سجل التحفيز'!$T$5:$T$2004,0)))</f>
        <v/>
      </c>
      <c r="M225" s="9">
        <f>IF($K225="","",INDEX('سجل التحفيز'!$B$5:$B$2004,MATCH($K225,'سجل التحفيز'!$T$5:$T$2004,0)))</f>
        <v/>
      </c>
      <c r="N225" s="9">
        <f>IF($K225="","",INDEX('سجل التحفيز'!$M$5:$M$2004,MATCH($K225,'سجل التحفيز'!$T$5:$T$2004,0)))</f>
        <v/>
      </c>
      <c r="O225" s="9">
        <f>IF($K225="","",INDEX('سجل التحفيز'!$C$5:$C$2004,MATCH($K225,'سجل التحفيز'!$T$5:$T$2004,0)))</f>
        <v/>
      </c>
      <c r="P225" s="36">
        <f>IF($K225="","",INDEX('سجل التحفيز'!$D$5:$D$2004,MATCH($K225,'سجل التحفيز'!$T$5:$T$2004,0)))</f>
        <v/>
      </c>
      <c r="Q225" s="9">
        <f>IF($K225="","",INDEX('سجل التحفيز'!$E$5:$E$2004,MATCH($K225,'سجل التحفيز'!$T$5:$T$2004,0)))</f>
        <v/>
      </c>
      <c r="R225" s="9">
        <f>IF($K225="","",INDEX('سجل التحفيز'!$F$5:$F$2004,MATCH($K225,'سجل التحفيز'!$T$5:$T$2004,0)))</f>
        <v/>
      </c>
      <c r="S225" s="35">
        <f>IF($K225="","",INDEX('سجل التحفيز'!$G$5:$G$2004,MATCH($K225,'سجل التحفيز'!$T$5:$T$2004,0)))</f>
        <v/>
      </c>
    </row>
    <row r="226">
      <c r="K226" s="36">
        <f>IF(189&gt;$B$10,"",189)</f>
        <v/>
      </c>
      <c r="L226" s="37">
        <f>IF($K226="","",INDEX('سجل التحفيز'!$A$5:$A$2004,MATCH($K226,'سجل التحفيز'!$T$5:$T$2004,0)))</f>
        <v/>
      </c>
      <c r="M226" s="9">
        <f>IF($K226="","",INDEX('سجل التحفيز'!$B$5:$B$2004,MATCH($K226,'سجل التحفيز'!$T$5:$T$2004,0)))</f>
        <v/>
      </c>
      <c r="N226" s="9">
        <f>IF($K226="","",INDEX('سجل التحفيز'!$M$5:$M$2004,MATCH($K226,'سجل التحفيز'!$T$5:$T$2004,0)))</f>
        <v/>
      </c>
      <c r="O226" s="9">
        <f>IF($K226="","",INDEX('سجل التحفيز'!$C$5:$C$2004,MATCH($K226,'سجل التحفيز'!$T$5:$T$2004,0)))</f>
        <v/>
      </c>
      <c r="P226" s="36">
        <f>IF($K226="","",INDEX('سجل التحفيز'!$D$5:$D$2004,MATCH($K226,'سجل التحفيز'!$T$5:$T$2004,0)))</f>
        <v/>
      </c>
      <c r="Q226" s="9">
        <f>IF($K226="","",INDEX('سجل التحفيز'!$E$5:$E$2004,MATCH($K226,'سجل التحفيز'!$T$5:$T$2004,0)))</f>
        <v/>
      </c>
      <c r="R226" s="9">
        <f>IF($K226="","",INDEX('سجل التحفيز'!$F$5:$F$2004,MATCH($K226,'سجل التحفيز'!$T$5:$T$2004,0)))</f>
        <v/>
      </c>
      <c r="S226" s="35">
        <f>IF($K226="","",INDEX('سجل التحفيز'!$G$5:$G$2004,MATCH($K226,'سجل التحفيز'!$T$5:$T$2004,0)))</f>
        <v/>
      </c>
    </row>
    <row r="227">
      <c r="K227" s="36">
        <f>IF(190&gt;$B$10,"",190)</f>
        <v/>
      </c>
      <c r="L227" s="37">
        <f>IF($K227="","",INDEX('سجل التحفيز'!$A$5:$A$2004,MATCH($K227,'سجل التحفيز'!$T$5:$T$2004,0)))</f>
        <v/>
      </c>
      <c r="M227" s="9">
        <f>IF($K227="","",INDEX('سجل التحفيز'!$B$5:$B$2004,MATCH($K227,'سجل التحفيز'!$T$5:$T$2004,0)))</f>
        <v/>
      </c>
      <c r="N227" s="9">
        <f>IF($K227="","",INDEX('سجل التحفيز'!$M$5:$M$2004,MATCH($K227,'سجل التحفيز'!$T$5:$T$2004,0)))</f>
        <v/>
      </c>
      <c r="O227" s="9">
        <f>IF($K227="","",INDEX('سجل التحفيز'!$C$5:$C$2004,MATCH($K227,'سجل التحفيز'!$T$5:$T$2004,0)))</f>
        <v/>
      </c>
      <c r="P227" s="36">
        <f>IF($K227="","",INDEX('سجل التحفيز'!$D$5:$D$2004,MATCH($K227,'سجل التحفيز'!$T$5:$T$2004,0)))</f>
        <v/>
      </c>
      <c r="Q227" s="9">
        <f>IF($K227="","",INDEX('سجل التحفيز'!$E$5:$E$2004,MATCH($K227,'سجل التحفيز'!$T$5:$T$2004,0)))</f>
        <v/>
      </c>
      <c r="R227" s="9">
        <f>IF($K227="","",INDEX('سجل التحفيز'!$F$5:$F$2004,MATCH($K227,'سجل التحفيز'!$T$5:$T$2004,0)))</f>
        <v/>
      </c>
      <c r="S227" s="35">
        <f>IF($K227="","",INDEX('سجل التحفيز'!$G$5:$G$2004,MATCH($K227,'سجل التحفيز'!$T$5:$T$2004,0)))</f>
        <v/>
      </c>
    </row>
    <row r="228">
      <c r="K228" s="36">
        <f>IF(191&gt;$B$10,"",191)</f>
        <v/>
      </c>
      <c r="L228" s="37">
        <f>IF($K228="","",INDEX('سجل التحفيز'!$A$5:$A$2004,MATCH($K228,'سجل التحفيز'!$T$5:$T$2004,0)))</f>
        <v/>
      </c>
      <c r="M228" s="9">
        <f>IF($K228="","",INDEX('سجل التحفيز'!$B$5:$B$2004,MATCH($K228,'سجل التحفيز'!$T$5:$T$2004,0)))</f>
        <v/>
      </c>
      <c r="N228" s="9">
        <f>IF($K228="","",INDEX('سجل التحفيز'!$M$5:$M$2004,MATCH($K228,'سجل التحفيز'!$T$5:$T$2004,0)))</f>
        <v/>
      </c>
      <c r="O228" s="9">
        <f>IF($K228="","",INDEX('سجل التحفيز'!$C$5:$C$2004,MATCH($K228,'سجل التحفيز'!$T$5:$T$2004,0)))</f>
        <v/>
      </c>
      <c r="P228" s="36">
        <f>IF($K228="","",INDEX('سجل التحفيز'!$D$5:$D$2004,MATCH($K228,'سجل التحفيز'!$T$5:$T$2004,0)))</f>
        <v/>
      </c>
      <c r="Q228" s="9">
        <f>IF($K228="","",INDEX('سجل التحفيز'!$E$5:$E$2004,MATCH($K228,'سجل التحفيز'!$T$5:$T$2004,0)))</f>
        <v/>
      </c>
      <c r="R228" s="9">
        <f>IF($K228="","",INDEX('سجل التحفيز'!$F$5:$F$2004,MATCH($K228,'سجل التحفيز'!$T$5:$T$2004,0)))</f>
        <v/>
      </c>
      <c r="S228" s="35">
        <f>IF($K228="","",INDEX('سجل التحفيز'!$G$5:$G$2004,MATCH($K228,'سجل التحفيز'!$T$5:$T$2004,0)))</f>
        <v/>
      </c>
    </row>
    <row r="229">
      <c r="K229" s="36">
        <f>IF(192&gt;$B$10,"",192)</f>
        <v/>
      </c>
      <c r="L229" s="37">
        <f>IF($K229="","",INDEX('سجل التحفيز'!$A$5:$A$2004,MATCH($K229,'سجل التحفيز'!$T$5:$T$2004,0)))</f>
        <v/>
      </c>
      <c r="M229" s="9">
        <f>IF($K229="","",INDEX('سجل التحفيز'!$B$5:$B$2004,MATCH($K229,'سجل التحفيز'!$T$5:$T$2004,0)))</f>
        <v/>
      </c>
      <c r="N229" s="9">
        <f>IF($K229="","",INDEX('سجل التحفيز'!$M$5:$M$2004,MATCH($K229,'سجل التحفيز'!$T$5:$T$2004,0)))</f>
        <v/>
      </c>
      <c r="O229" s="9">
        <f>IF($K229="","",INDEX('سجل التحفيز'!$C$5:$C$2004,MATCH($K229,'سجل التحفيز'!$T$5:$T$2004,0)))</f>
        <v/>
      </c>
      <c r="P229" s="36">
        <f>IF($K229="","",INDEX('سجل التحفيز'!$D$5:$D$2004,MATCH($K229,'سجل التحفيز'!$T$5:$T$2004,0)))</f>
        <v/>
      </c>
      <c r="Q229" s="9">
        <f>IF($K229="","",INDEX('سجل التحفيز'!$E$5:$E$2004,MATCH($K229,'سجل التحفيز'!$T$5:$T$2004,0)))</f>
        <v/>
      </c>
      <c r="R229" s="9">
        <f>IF($K229="","",INDEX('سجل التحفيز'!$F$5:$F$2004,MATCH($K229,'سجل التحفيز'!$T$5:$T$2004,0)))</f>
        <v/>
      </c>
      <c r="S229" s="35">
        <f>IF($K229="","",INDEX('سجل التحفيز'!$G$5:$G$2004,MATCH($K229,'سجل التحفيز'!$T$5:$T$2004,0)))</f>
        <v/>
      </c>
    </row>
    <row r="230">
      <c r="K230" s="36">
        <f>IF(193&gt;$B$10,"",193)</f>
        <v/>
      </c>
      <c r="L230" s="37">
        <f>IF($K230="","",INDEX('سجل التحفيز'!$A$5:$A$2004,MATCH($K230,'سجل التحفيز'!$T$5:$T$2004,0)))</f>
        <v/>
      </c>
      <c r="M230" s="9">
        <f>IF($K230="","",INDEX('سجل التحفيز'!$B$5:$B$2004,MATCH($K230,'سجل التحفيز'!$T$5:$T$2004,0)))</f>
        <v/>
      </c>
      <c r="N230" s="9">
        <f>IF($K230="","",INDEX('سجل التحفيز'!$M$5:$M$2004,MATCH($K230,'سجل التحفيز'!$T$5:$T$2004,0)))</f>
        <v/>
      </c>
      <c r="O230" s="9">
        <f>IF($K230="","",INDEX('سجل التحفيز'!$C$5:$C$2004,MATCH($K230,'سجل التحفيز'!$T$5:$T$2004,0)))</f>
        <v/>
      </c>
      <c r="P230" s="36">
        <f>IF($K230="","",INDEX('سجل التحفيز'!$D$5:$D$2004,MATCH($K230,'سجل التحفيز'!$T$5:$T$2004,0)))</f>
        <v/>
      </c>
      <c r="Q230" s="9">
        <f>IF($K230="","",INDEX('سجل التحفيز'!$E$5:$E$2004,MATCH($K230,'سجل التحفيز'!$T$5:$T$2004,0)))</f>
        <v/>
      </c>
      <c r="R230" s="9">
        <f>IF($K230="","",INDEX('سجل التحفيز'!$F$5:$F$2004,MATCH($K230,'سجل التحفيز'!$T$5:$T$2004,0)))</f>
        <v/>
      </c>
      <c r="S230" s="35">
        <f>IF($K230="","",INDEX('سجل التحفيز'!$G$5:$G$2004,MATCH($K230,'سجل التحفيز'!$T$5:$T$2004,0)))</f>
        <v/>
      </c>
    </row>
    <row r="231">
      <c r="K231" s="36">
        <f>IF(194&gt;$B$10,"",194)</f>
        <v/>
      </c>
      <c r="L231" s="37">
        <f>IF($K231="","",INDEX('سجل التحفيز'!$A$5:$A$2004,MATCH($K231,'سجل التحفيز'!$T$5:$T$2004,0)))</f>
        <v/>
      </c>
      <c r="M231" s="9">
        <f>IF($K231="","",INDEX('سجل التحفيز'!$B$5:$B$2004,MATCH($K231,'سجل التحفيز'!$T$5:$T$2004,0)))</f>
        <v/>
      </c>
      <c r="N231" s="9">
        <f>IF($K231="","",INDEX('سجل التحفيز'!$M$5:$M$2004,MATCH($K231,'سجل التحفيز'!$T$5:$T$2004,0)))</f>
        <v/>
      </c>
      <c r="O231" s="9">
        <f>IF($K231="","",INDEX('سجل التحفيز'!$C$5:$C$2004,MATCH($K231,'سجل التحفيز'!$T$5:$T$2004,0)))</f>
        <v/>
      </c>
      <c r="P231" s="36">
        <f>IF($K231="","",INDEX('سجل التحفيز'!$D$5:$D$2004,MATCH($K231,'سجل التحفيز'!$T$5:$T$2004,0)))</f>
        <v/>
      </c>
      <c r="Q231" s="9">
        <f>IF($K231="","",INDEX('سجل التحفيز'!$E$5:$E$2004,MATCH($K231,'سجل التحفيز'!$T$5:$T$2004,0)))</f>
        <v/>
      </c>
      <c r="R231" s="9">
        <f>IF($K231="","",INDEX('سجل التحفيز'!$F$5:$F$2004,MATCH($K231,'سجل التحفيز'!$T$5:$T$2004,0)))</f>
        <v/>
      </c>
      <c r="S231" s="35">
        <f>IF($K231="","",INDEX('سجل التحفيز'!$G$5:$G$2004,MATCH($K231,'سجل التحفيز'!$T$5:$T$2004,0)))</f>
        <v/>
      </c>
    </row>
    <row r="232">
      <c r="K232" s="36">
        <f>IF(195&gt;$B$10,"",195)</f>
        <v/>
      </c>
      <c r="L232" s="37">
        <f>IF($K232="","",INDEX('سجل التحفيز'!$A$5:$A$2004,MATCH($K232,'سجل التحفيز'!$T$5:$T$2004,0)))</f>
        <v/>
      </c>
      <c r="M232" s="9">
        <f>IF($K232="","",INDEX('سجل التحفيز'!$B$5:$B$2004,MATCH($K232,'سجل التحفيز'!$T$5:$T$2004,0)))</f>
        <v/>
      </c>
      <c r="N232" s="9">
        <f>IF($K232="","",INDEX('سجل التحفيز'!$M$5:$M$2004,MATCH($K232,'سجل التحفيز'!$T$5:$T$2004,0)))</f>
        <v/>
      </c>
      <c r="O232" s="9">
        <f>IF($K232="","",INDEX('سجل التحفيز'!$C$5:$C$2004,MATCH($K232,'سجل التحفيز'!$T$5:$T$2004,0)))</f>
        <v/>
      </c>
      <c r="P232" s="36">
        <f>IF($K232="","",INDEX('سجل التحفيز'!$D$5:$D$2004,MATCH($K232,'سجل التحفيز'!$T$5:$T$2004,0)))</f>
        <v/>
      </c>
      <c r="Q232" s="9">
        <f>IF($K232="","",INDEX('سجل التحفيز'!$E$5:$E$2004,MATCH($K232,'سجل التحفيز'!$T$5:$T$2004,0)))</f>
        <v/>
      </c>
      <c r="R232" s="9">
        <f>IF($K232="","",INDEX('سجل التحفيز'!$F$5:$F$2004,MATCH($K232,'سجل التحفيز'!$T$5:$T$2004,0)))</f>
        <v/>
      </c>
      <c r="S232" s="35">
        <f>IF($K232="","",INDEX('سجل التحفيز'!$G$5:$G$2004,MATCH($K232,'سجل التحفيز'!$T$5:$T$2004,0)))</f>
        <v/>
      </c>
    </row>
    <row r="233">
      <c r="K233" s="36">
        <f>IF(196&gt;$B$10,"",196)</f>
        <v/>
      </c>
      <c r="L233" s="37">
        <f>IF($K233="","",INDEX('سجل التحفيز'!$A$5:$A$2004,MATCH($K233,'سجل التحفيز'!$T$5:$T$2004,0)))</f>
        <v/>
      </c>
      <c r="M233" s="9">
        <f>IF($K233="","",INDEX('سجل التحفيز'!$B$5:$B$2004,MATCH($K233,'سجل التحفيز'!$T$5:$T$2004,0)))</f>
        <v/>
      </c>
      <c r="N233" s="9">
        <f>IF($K233="","",INDEX('سجل التحفيز'!$M$5:$M$2004,MATCH($K233,'سجل التحفيز'!$T$5:$T$2004,0)))</f>
        <v/>
      </c>
      <c r="O233" s="9">
        <f>IF($K233="","",INDEX('سجل التحفيز'!$C$5:$C$2004,MATCH($K233,'سجل التحفيز'!$T$5:$T$2004,0)))</f>
        <v/>
      </c>
      <c r="P233" s="36">
        <f>IF($K233="","",INDEX('سجل التحفيز'!$D$5:$D$2004,MATCH($K233,'سجل التحفيز'!$T$5:$T$2004,0)))</f>
        <v/>
      </c>
      <c r="Q233" s="9">
        <f>IF($K233="","",INDEX('سجل التحفيز'!$E$5:$E$2004,MATCH($K233,'سجل التحفيز'!$T$5:$T$2004,0)))</f>
        <v/>
      </c>
      <c r="R233" s="9">
        <f>IF($K233="","",INDEX('سجل التحفيز'!$F$5:$F$2004,MATCH($K233,'سجل التحفيز'!$T$5:$T$2004,0)))</f>
        <v/>
      </c>
      <c r="S233" s="35">
        <f>IF($K233="","",INDEX('سجل التحفيز'!$G$5:$G$2004,MATCH($K233,'سجل التحفيز'!$T$5:$T$2004,0)))</f>
        <v/>
      </c>
    </row>
    <row r="234">
      <c r="K234" s="36">
        <f>IF(197&gt;$B$10,"",197)</f>
        <v/>
      </c>
      <c r="L234" s="37">
        <f>IF($K234="","",INDEX('سجل التحفيز'!$A$5:$A$2004,MATCH($K234,'سجل التحفيز'!$T$5:$T$2004,0)))</f>
        <v/>
      </c>
      <c r="M234" s="9">
        <f>IF($K234="","",INDEX('سجل التحفيز'!$B$5:$B$2004,MATCH($K234,'سجل التحفيز'!$T$5:$T$2004,0)))</f>
        <v/>
      </c>
      <c r="N234" s="9">
        <f>IF($K234="","",INDEX('سجل التحفيز'!$M$5:$M$2004,MATCH($K234,'سجل التحفيز'!$T$5:$T$2004,0)))</f>
        <v/>
      </c>
      <c r="O234" s="9">
        <f>IF($K234="","",INDEX('سجل التحفيز'!$C$5:$C$2004,MATCH($K234,'سجل التحفيز'!$T$5:$T$2004,0)))</f>
        <v/>
      </c>
      <c r="P234" s="36">
        <f>IF($K234="","",INDEX('سجل التحفيز'!$D$5:$D$2004,MATCH($K234,'سجل التحفيز'!$T$5:$T$2004,0)))</f>
        <v/>
      </c>
      <c r="Q234" s="9">
        <f>IF($K234="","",INDEX('سجل التحفيز'!$E$5:$E$2004,MATCH($K234,'سجل التحفيز'!$T$5:$T$2004,0)))</f>
        <v/>
      </c>
      <c r="R234" s="9">
        <f>IF($K234="","",INDEX('سجل التحفيز'!$F$5:$F$2004,MATCH($K234,'سجل التحفيز'!$T$5:$T$2004,0)))</f>
        <v/>
      </c>
      <c r="S234" s="35">
        <f>IF($K234="","",INDEX('سجل التحفيز'!$G$5:$G$2004,MATCH($K234,'سجل التحفيز'!$T$5:$T$2004,0)))</f>
        <v/>
      </c>
    </row>
    <row r="235">
      <c r="K235" s="36">
        <f>IF(198&gt;$B$10,"",198)</f>
        <v/>
      </c>
      <c r="L235" s="37">
        <f>IF($K235="","",INDEX('سجل التحفيز'!$A$5:$A$2004,MATCH($K235,'سجل التحفيز'!$T$5:$T$2004,0)))</f>
        <v/>
      </c>
      <c r="M235" s="9">
        <f>IF($K235="","",INDEX('سجل التحفيز'!$B$5:$B$2004,MATCH($K235,'سجل التحفيز'!$T$5:$T$2004,0)))</f>
        <v/>
      </c>
      <c r="N235" s="9">
        <f>IF($K235="","",INDEX('سجل التحفيز'!$M$5:$M$2004,MATCH($K235,'سجل التحفيز'!$T$5:$T$2004,0)))</f>
        <v/>
      </c>
      <c r="O235" s="9">
        <f>IF($K235="","",INDEX('سجل التحفيز'!$C$5:$C$2004,MATCH($K235,'سجل التحفيز'!$T$5:$T$2004,0)))</f>
        <v/>
      </c>
      <c r="P235" s="36">
        <f>IF($K235="","",INDEX('سجل التحفيز'!$D$5:$D$2004,MATCH($K235,'سجل التحفيز'!$T$5:$T$2004,0)))</f>
        <v/>
      </c>
      <c r="Q235" s="9">
        <f>IF($K235="","",INDEX('سجل التحفيز'!$E$5:$E$2004,MATCH($K235,'سجل التحفيز'!$T$5:$T$2004,0)))</f>
        <v/>
      </c>
      <c r="R235" s="9">
        <f>IF($K235="","",INDEX('سجل التحفيز'!$F$5:$F$2004,MATCH($K235,'سجل التحفيز'!$T$5:$T$2004,0)))</f>
        <v/>
      </c>
      <c r="S235" s="35">
        <f>IF($K235="","",INDEX('سجل التحفيز'!$G$5:$G$2004,MATCH($K235,'سجل التحفيز'!$T$5:$T$2004,0)))</f>
        <v/>
      </c>
    </row>
    <row r="236">
      <c r="K236" s="36">
        <f>IF(199&gt;$B$10,"",199)</f>
        <v/>
      </c>
      <c r="L236" s="37">
        <f>IF($K236="","",INDEX('سجل التحفيز'!$A$5:$A$2004,MATCH($K236,'سجل التحفيز'!$T$5:$T$2004,0)))</f>
        <v/>
      </c>
      <c r="M236" s="9">
        <f>IF($K236="","",INDEX('سجل التحفيز'!$B$5:$B$2004,MATCH($K236,'سجل التحفيز'!$T$5:$T$2004,0)))</f>
        <v/>
      </c>
      <c r="N236" s="9">
        <f>IF($K236="","",INDEX('سجل التحفيز'!$M$5:$M$2004,MATCH($K236,'سجل التحفيز'!$T$5:$T$2004,0)))</f>
        <v/>
      </c>
      <c r="O236" s="9">
        <f>IF($K236="","",INDEX('سجل التحفيز'!$C$5:$C$2004,MATCH($K236,'سجل التحفيز'!$T$5:$T$2004,0)))</f>
        <v/>
      </c>
      <c r="P236" s="36">
        <f>IF($K236="","",INDEX('سجل التحفيز'!$D$5:$D$2004,MATCH($K236,'سجل التحفيز'!$T$5:$T$2004,0)))</f>
        <v/>
      </c>
      <c r="Q236" s="9">
        <f>IF($K236="","",INDEX('سجل التحفيز'!$E$5:$E$2004,MATCH($K236,'سجل التحفيز'!$T$5:$T$2004,0)))</f>
        <v/>
      </c>
      <c r="R236" s="9">
        <f>IF($K236="","",INDEX('سجل التحفيز'!$F$5:$F$2004,MATCH($K236,'سجل التحفيز'!$T$5:$T$2004,0)))</f>
        <v/>
      </c>
      <c r="S236" s="35">
        <f>IF($K236="","",INDEX('سجل التحفيز'!$G$5:$G$2004,MATCH($K236,'سجل التحفيز'!$T$5:$T$2004,0)))</f>
        <v/>
      </c>
    </row>
    <row r="237">
      <c r="K237" s="36">
        <f>IF(200&gt;$B$10,"",200)</f>
        <v/>
      </c>
      <c r="L237" s="37">
        <f>IF($K237="","",INDEX('سجل التحفيز'!$A$5:$A$2004,MATCH($K237,'سجل التحفيز'!$T$5:$T$2004,0)))</f>
        <v/>
      </c>
      <c r="M237" s="9">
        <f>IF($K237="","",INDEX('سجل التحفيز'!$B$5:$B$2004,MATCH($K237,'سجل التحفيز'!$T$5:$T$2004,0)))</f>
        <v/>
      </c>
      <c r="N237" s="9">
        <f>IF($K237="","",INDEX('سجل التحفيز'!$M$5:$M$2004,MATCH($K237,'سجل التحفيز'!$T$5:$T$2004,0)))</f>
        <v/>
      </c>
      <c r="O237" s="9">
        <f>IF($K237="","",INDEX('سجل التحفيز'!$C$5:$C$2004,MATCH($K237,'سجل التحفيز'!$T$5:$T$2004,0)))</f>
        <v/>
      </c>
      <c r="P237" s="36">
        <f>IF($K237="","",INDEX('سجل التحفيز'!$D$5:$D$2004,MATCH($K237,'سجل التحفيز'!$T$5:$T$2004,0)))</f>
        <v/>
      </c>
      <c r="Q237" s="9">
        <f>IF($K237="","",INDEX('سجل التحفيز'!$E$5:$E$2004,MATCH($K237,'سجل التحفيز'!$T$5:$T$2004,0)))</f>
        <v/>
      </c>
      <c r="R237" s="9">
        <f>IF($K237="","",INDEX('سجل التحفيز'!$F$5:$F$2004,MATCH($K237,'سجل التحفيز'!$T$5:$T$2004,0)))</f>
        <v/>
      </c>
      <c r="S237" s="35">
        <f>IF($K237="","",INDEX('سجل التحفيز'!$G$5:$G$2004,MATCH($K237,'سجل التحفيز'!$T$5:$T$2004,0)))</f>
        <v/>
      </c>
    </row>
    <row r="238">
      <c r="K238" s="36">
        <f>IF(201&gt;$B$10,"",201)</f>
        <v/>
      </c>
      <c r="L238" s="37">
        <f>IF($K238="","",INDEX('سجل التحفيز'!$A$5:$A$2004,MATCH($K238,'سجل التحفيز'!$T$5:$T$2004,0)))</f>
        <v/>
      </c>
      <c r="M238" s="9">
        <f>IF($K238="","",INDEX('سجل التحفيز'!$B$5:$B$2004,MATCH($K238,'سجل التحفيز'!$T$5:$T$2004,0)))</f>
        <v/>
      </c>
      <c r="N238" s="9">
        <f>IF($K238="","",INDEX('سجل التحفيز'!$M$5:$M$2004,MATCH($K238,'سجل التحفيز'!$T$5:$T$2004,0)))</f>
        <v/>
      </c>
      <c r="O238" s="9">
        <f>IF($K238="","",INDEX('سجل التحفيز'!$C$5:$C$2004,MATCH($K238,'سجل التحفيز'!$T$5:$T$2004,0)))</f>
        <v/>
      </c>
      <c r="P238" s="36">
        <f>IF($K238="","",INDEX('سجل التحفيز'!$D$5:$D$2004,MATCH($K238,'سجل التحفيز'!$T$5:$T$2004,0)))</f>
        <v/>
      </c>
      <c r="Q238" s="9">
        <f>IF($K238="","",INDEX('سجل التحفيز'!$E$5:$E$2004,MATCH($K238,'سجل التحفيز'!$T$5:$T$2004,0)))</f>
        <v/>
      </c>
      <c r="R238" s="9">
        <f>IF($K238="","",INDEX('سجل التحفيز'!$F$5:$F$2004,MATCH($K238,'سجل التحفيز'!$T$5:$T$2004,0)))</f>
        <v/>
      </c>
      <c r="S238" s="35">
        <f>IF($K238="","",INDEX('سجل التحفيز'!$G$5:$G$2004,MATCH($K238,'سجل التحفيز'!$T$5:$T$2004,0)))</f>
        <v/>
      </c>
    </row>
    <row r="239">
      <c r="K239" s="36">
        <f>IF(202&gt;$B$10,"",202)</f>
        <v/>
      </c>
      <c r="L239" s="37">
        <f>IF($K239="","",INDEX('سجل التحفيز'!$A$5:$A$2004,MATCH($K239,'سجل التحفيز'!$T$5:$T$2004,0)))</f>
        <v/>
      </c>
      <c r="M239" s="9">
        <f>IF($K239="","",INDEX('سجل التحفيز'!$B$5:$B$2004,MATCH($K239,'سجل التحفيز'!$T$5:$T$2004,0)))</f>
        <v/>
      </c>
      <c r="N239" s="9">
        <f>IF($K239="","",INDEX('سجل التحفيز'!$M$5:$M$2004,MATCH($K239,'سجل التحفيز'!$T$5:$T$2004,0)))</f>
        <v/>
      </c>
      <c r="O239" s="9">
        <f>IF($K239="","",INDEX('سجل التحفيز'!$C$5:$C$2004,MATCH($K239,'سجل التحفيز'!$T$5:$T$2004,0)))</f>
        <v/>
      </c>
      <c r="P239" s="36">
        <f>IF($K239="","",INDEX('سجل التحفيز'!$D$5:$D$2004,MATCH($K239,'سجل التحفيز'!$T$5:$T$2004,0)))</f>
        <v/>
      </c>
      <c r="Q239" s="9">
        <f>IF($K239="","",INDEX('سجل التحفيز'!$E$5:$E$2004,MATCH($K239,'سجل التحفيز'!$T$5:$T$2004,0)))</f>
        <v/>
      </c>
      <c r="R239" s="9">
        <f>IF($K239="","",INDEX('سجل التحفيز'!$F$5:$F$2004,MATCH($K239,'سجل التحفيز'!$T$5:$T$2004,0)))</f>
        <v/>
      </c>
      <c r="S239" s="35">
        <f>IF($K239="","",INDEX('سجل التحفيز'!$G$5:$G$2004,MATCH($K239,'سجل التحفيز'!$T$5:$T$2004,0)))</f>
        <v/>
      </c>
    </row>
    <row r="240">
      <c r="K240" s="36">
        <f>IF(203&gt;$B$10,"",203)</f>
        <v/>
      </c>
      <c r="L240" s="37">
        <f>IF($K240="","",INDEX('سجل التحفيز'!$A$5:$A$2004,MATCH($K240,'سجل التحفيز'!$T$5:$T$2004,0)))</f>
        <v/>
      </c>
      <c r="M240" s="9">
        <f>IF($K240="","",INDEX('سجل التحفيز'!$B$5:$B$2004,MATCH($K240,'سجل التحفيز'!$T$5:$T$2004,0)))</f>
        <v/>
      </c>
      <c r="N240" s="9">
        <f>IF($K240="","",INDEX('سجل التحفيز'!$M$5:$M$2004,MATCH($K240,'سجل التحفيز'!$T$5:$T$2004,0)))</f>
        <v/>
      </c>
      <c r="O240" s="9">
        <f>IF($K240="","",INDEX('سجل التحفيز'!$C$5:$C$2004,MATCH($K240,'سجل التحفيز'!$T$5:$T$2004,0)))</f>
        <v/>
      </c>
      <c r="P240" s="36">
        <f>IF($K240="","",INDEX('سجل التحفيز'!$D$5:$D$2004,MATCH($K240,'سجل التحفيز'!$T$5:$T$2004,0)))</f>
        <v/>
      </c>
      <c r="Q240" s="9">
        <f>IF($K240="","",INDEX('سجل التحفيز'!$E$5:$E$2004,MATCH($K240,'سجل التحفيز'!$T$5:$T$2004,0)))</f>
        <v/>
      </c>
      <c r="R240" s="9">
        <f>IF($K240="","",INDEX('سجل التحفيز'!$F$5:$F$2004,MATCH($K240,'سجل التحفيز'!$T$5:$T$2004,0)))</f>
        <v/>
      </c>
      <c r="S240" s="35">
        <f>IF($K240="","",INDEX('سجل التحفيز'!$G$5:$G$2004,MATCH($K240,'سجل التحفيز'!$T$5:$T$2004,0)))</f>
        <v/>
      </c>
    </row>
    <row r="241">
      <c r="K241" s="36">
        <f>IF(204&gt;$B$10,"",204)</f>
        <v/>
      </c>
      <c r="L241" s="37">
        <f>IF($K241="","",INDEX('سجل التحفيز'!$A$5:$A$2004,MATCH($K241,'سجل التحفيز'!$T$5:$T$2004,0)))</f>
        <v/>
      </c>
      <c r="M241" s="9">
        <f>IF($K241="","",INDEX('سجل التحفيز'!$B$5:$B$2004,MATCH($K241,'سجل التحفيز'!$T$5:$T$2004,0)))</f>
        <v/>
      </c>
      <c r="N241" s="9">
        <f>IF($K241="","",INDEX('سجل التحفيز'!$M$5:$M$2004,MATCH($K241,'سجل التحفيز'!$T$5:$T$2004,0)))</f>
        <v/>
      </c>
      <c r="O241" s="9">
        <f>IF($K241="","",INDEX('سجل التحفيز'!$C$5:$C$2004,MATCH($K241,'سجل التحفيز'!$T$5:$T$2004,0)))</f>
        <v/>
      </c>
      <c r="P241" s="36">
        <f>IF($K241="","",INDEX('سجل التحفيز'!$D$5:$D$2004,MATCH($K241,'سجل التحفيز'!$T$5:$T$2004,0)))</f>
        <v/>
      </c>
      <c r="Q241" s="9">
        <f>IF($K241="","",INDEX('سجل التحفيز'!$E$5:$E$2004,MATCH($K241,'سجل التحفيز'!$T$5:$T$2004,0)))</f>
        <v/>
      </c>
      <c r="R241" s="9">
        <f>IF($K241="","",INDEX('سجل التحفيز'!$F$5:$F$2004,MATCH($K241,'سجل التحفيز'!$T$5:$T$2004,0)))</f>
        <v/>
      </c>
      <c r="S241" s="35">
        <f>IF($K241="","",INDEX('سجل التحفيز'!$G$5:$G$2004,MATCH($K241,'سجل التحفيز'!$T$5:$T$2004,0)))</f>
        <v/>
      </c>
    </row>
    <row r="242">
      <c r="K242" s="36">
        <f>IF(205&gt;$B$10,"",205)</f>
        <v/>
      </c>
      <c r="L242" s="37">
        <f>IF($K242="","",INDEX('سجل التحفيز'!$A$5:$A$2004,MATCH($K242,'سجل التحفيز'!$T$5:$T$2004,0)))</f>
        <v/>
      </c>
      <c r="M242" s="9">
        <f>IF($K242="","",INDEX('سجل التحفيز'!$B$5:$B$2004,MATCH($K242,'سجل التحفيز'!$T$5:$T$2004,0)))</f>
        <v/>
      </c>
      <c r="N242" s="9">
        <f>IF($K242="","",INDEX('سجل التحفيز'!$M$5:$M$2004,MATCH($K242,'سجل التحفيز'!$T$5:$T$2004,0)))</f>
        <v/>
      </c>
      <c r="O242" s="9">
        <f>IF($K242="","",INDEX('سجل التحفيز'!$C$5:$C$2004,MATCH($K242,'سجل التحفيز'!$T$5:$T$2004,0)))</f>
        <v/>
      </c>
      <c r="P242" s="36">
        <f>IF($K242="","",INDEX('سجل التحفيز'!$D$5:$D$2004,MATCH($K242,'سجل التحفيز'!$T$5:$T$2004,0)))</f>
        <v/>
      </c>
      <c r="Q242" s="9">
        <f>IF($K242="","",INDEX('سجل التحفيز'!$E$5:$E$2004,MATCH($K242,'سجل التحفيز'!$T$5:$T$2004,0)))</f>
        <v/>
      </c>
      <c r="R242" s="9">
        <f>IF($K242="","",INDEX('سجل التحفيز'!$F$5:$F$2004,MATCH($K242,'سجل التحفيز'!$T$5:$T$2004,0)))</f>
        <v/>
      </c>
      <c r="S242" s="35">
        <f>IF($K242="","",INDEX('سجل التحفيز'!$G$5:$G$2004,MATCH($K242,'سجل التحفيز'!$T$5:$T$2004,0)))</f>
        <v/>
      </c>
    </row>
    <row r="243">
      <c r="K243" s="36">
        <f>IF(206&gt;$B$10,"",206)</f>
        <v/>
      </c>
      <c r="L243" s="37">
        <f>IF($K243="","",INDEX('سجل التحفيز'!$A$5:$A$2004,MATCH($K243,'سجل التحفيز'!$T$5:$T$2004,0)))</f>
        <v/>
      </c>
      <c r="M243" s="9">
        <f>IF($K243="","",INDEX('سجل التحفيز'!$B$5:$B$2004,MATCH($K243,'سجل التحفيز'!$T$5:$T$2004,0)))</f>
        <v/>
      </c>
      <c r="N243" s="9">
        <f>IF($K243="","",INDEX('سجل التحفيز'!$M$5:$M$2004,MATCH($K243,'سجل التحفيز'!$T$5:$T$2004,0)))</f>
        <v/>
      </c>
      <c r="O243" s="9">
        <f>IF($K243="","",INDEX('سجل التحفيز'!$C$5:$C$2004,MATCH($K243,'سجل التحفيز'!$T$5:$T$2004,0)))</f>
        <v/>
      </c>
      <c r="P243" s="36">
        <f>IF($K243="","",INDEX('سجل التحفيز'!$D$5:$D$2004,MATCH($K243,'سجل التحفيز'!$T$5:$T$2004,0)))</f>
        <v/>
      </c>
      <c r="Q243" s="9">
        <f>IF($K243="","",INDEX('سجل التحفيز'!$E$5:$E$2004,MATCH($K243,'سجل التحفيز'!$T$5:$T$2004,0)))</f>
        <v/>
      </c>
      <c r="R243" s="9">
        <f>IF($K243="","",INDEX('سجل التحفيز'!$F$5:$F$2004,MATCH($K243,'سجل التحفيز'!$T$5:$T$2004,0)))</f>
        <v/>
      </c>
      <c r="S243" s="35">
        <f>IF($K243="","",INDEX('سجل التحفيز'!$G$5:$G$2004,MATCH($K243,'سجل التحفيز'!$T$5:$T$2004,0)))</f>
        <v/>
      </c>
    </row>
    <row r="244">
      <c r="K244" s="36">
        <f>IF(207&gt;$B$10,"",207)</f>
        <v/>
      </c>
      <c r="L244" s="37">
        <f>IF($K244="","",INDEX('سجل التحفيز'!$A$5:$A$2004,MATCH($K244,'سجل التحفيز'!$T$5:$T$2004,0)))</f>
        <v/>
      </c>
      <c r="M244" s="9">
        <f>IF($K244="","",INDEX('سجل التحفيز'!$B$5:$B$2004,MATCH($K244,'سجل التحفيز'!$T$5:$T$2004,0)))</f>
        <v/>
      </c>
      <c r="N244" s="9">
        <f>IF($K244="","",INDEX('سجل التحفيز'!$M$5:$M$2004,MATCH($K244,'سجل التحفيز'!$T$5:$T$2004,0)))</f>
        <v/>
      </c>
      <c r="O244" s="9">
        <f>IF($K244="","",INDEX('سجل التحفيز'!$C$5:$C$2004,MATCH($K244,'سجل التحفيز'!$T$5:$T$2004,0)))</f>
        <v/>
      </c>
      <c r="P244" s="36">
        <f>IF($K244="","",INDEX('سجل التحفيز'!$D$5:$D$2004,MATCH($K244,'سجل التحفيز'!$T$5:$T$2004,0)))</f>
        <v/>
      </c>
      <c r="Q244" s="9">
        <f>IF($K244="","",INDEX('سجل التحفيز'!$E$5:$E$2004,MATCH($K244,'سجل التحفيز'!$T$5:$T$2004,0)))</f>
        <v/>
      </c>
      <c r="R244" s="9">
        <f>IF($K244="","",INDEX('سجل التحفيز'!$F$5:$F$2004,MATCH($K244,'سجل التحفيز'!$T$5:$T$2004,0)))</f>
        <v/>
      </c>
      <c r="S244" s="35">
        <f>IF($K244="","",INDEX('سجل التحفيز'!$G$5:$G$2004,MATCH($K244,'سجل التحفيز'!$T$5:$T$2004,0)))</f>
        <v/>
      </c>
    </row>
    <row r="245">
      <c r="K245" s="36">
        <f>IF(208&gt;$B$10,"",208)</f>
        <v/>
      </c>
      <c r="L245" s="37">
        <f>IF($K245="","",INDEX('سجل التحفيز'!$A$5:$A$2004,MATCH($K245,'سجل التحفيز'!$T$5:$T$2004,0)))</f>
        <v/>
      </c>
      <c r="M245" s="9">
        <f>IF($K245="","",INDEX('سجل التحفيز'!$B$5:$B$2004,MATCH($K245,'سجل التحفيز'!$T$5:$T$2004,0)))</f>
        <v/>
      </c>
      <c r="N245" s="9">
        <f>IF($K245="","",INDEX('سجل التحفيز'!$M$5:$M$2004,MATCH($K245,'سجل التحفيز'!$T$5:$T$2004,0)))</f>
        <v/>
      </c>
      <c r="O245" s="9">
        <f>IF($K245="","",INDEX('سجل التحفيز'!$C$5:$C$2004,MATCH($K245,'سجل التحفيز'!$T$5:$T$2004,0)))</f>
        <v/>
      </c>
      <c r="P245" s="36">
        <f>IF($K245="","",INDEX('سجل التحفيز'!$D$5:$D$2004,MATCH($K245,'سجل التحفيز'!$T$5:$T$2004,0)))</f>
        <v/>
      </c>
      <c r="Q245" s="9">
        <f>IF($K245="","",INDEX('سجل التحفيز'!$E$5:$E$2004,MATCH($K245,'سجل التحفيز'!$T$5:$T$2004,0)))</f>
        <v/>
      </c>
      <c r="R245" s="9">
        <f>IF($K245="","",INDEX('سجل التحفيز'!$F$5:$F$2004,MATCH($K245,'سجل التحفيز'!$T$5:$T$2004,0)))</f>
        <v/>
      </c>
      <c r="S245" s="35">
        <f>IF($K245="","",INDEX('سجل التحفيز'!$G$5:$G$2004,MATCH($K245,'سجل التحفيز'!$T$5:$T$2004,0)))</f>
        <v/>
      </c>
    </row>
    <row r="246">
      <c r="K246" s="36">
        <f>IF(209&gt;$B$10,"",209)</f>
        <v/>
      </c>
      <c r="L246" s="37">
        <f>IF($K246="","",INDEX('سجل التحفيز'!$A$5:$A$2004,MATCH($K246,'سجل التحفيز'!$T$5:$T$2004,0)))</f>
        <v/>
      </c>
      <c r="M246" s="9">
        <f>IF($K246="","",INDEX('سجل التحفيز'!$B$5:$B$2004,MATCH($K246,'سجل التحفيز'!$T$5:$T$2004,0)))</f>
        <v/>
      </c>
      <c r="N246" s="9">
        <f>IF($K246="","",INDEX('سجل التحفيز'!$M$5:$M$2004,MATCH($K246,'سجل التحفيز'!$T$5:$T$2004,0)))</f>
        <v/>
      </c>
      <c r="O246" s="9">
        <f>IF($K246="","",INDEX('سجل التحفيز'!$C$5:$C$2004,MATCH($K246,'سجل التحفيز'!$T$5:$T$2004,0)))</f>
        <v/>
      </c>
      <c r="P246" s="36">
        <f>IF($K246="","",INDEX('سجل التحفيز'!$D$5:$D$2004,MATCH($K246,'سجل التحفيز'!$T$5:$T$2004,0)))</f>
        <v/>
      </c>
      <c r="Q246" s="9">
        <f>IF($K246="","",INDEX('سجل التحفيز'!$E$5:$E$2004,MATCH($K246,'سجل التحفيز'!$T$5:$T$2004,0)))</f>
        <v/>
      </c>
      <c r="R246" s="9">
        <f>IF($K246="","",INDEX('سجل التحفيز'!$F$5:$F$2004,MATCH($K246,'سجل التحفيز'!$T$5:$T$2004,0)))</f>
        <v/>
      </c>
      <c r="S246" s="35">
        <f>IF($K246="","",INDEX('سجل التحفيز'!$G$5:$G$2004,MATCH($K246,'سجل التحفيز'!$T$5:$T$2004,0)))</f>
        <v/>
      </c>
    </row>
    <row r="247">
      <c r="K247" s="36">
        <f>IF(210&gt;$B$10,"",210)</f>
        <v/>
      </c>
      <c r="L247" s="37">
        <f>IF($K247="","",INDEX('سجل التحفيز'!$A$5:$A$2004,MATCH($K247,'سجل التحفيز'!$T$5:$T$2004,0)))</f>
        <v/>
      </c>
      <c r="M247" s="9">
        <f>IF($K247="","",INDEX('سجل التحفيز'!$B$5:$B$2004,MATCH($K247,'سجل التحفيز'!$T$5:$T$2004,0)))</f>
        <v/>
      </c>
      <c r="N247" s="9">
        <f>IF($K247="","",INDEX('سجل التحفيز'!$M$5:$M$2004,MATCH($K247,'سجل التحفيز'!$T$5:$T$2004,0)))</f>
        <v/>
      </c>
      <c r="O247" s="9">
        <f>IF($K247="","",INDEX('سجل التحفيز'!$C$5:$C$2004,MATCH($K247,'سجل التحفيز'!$T$5:$T$2004,0)))</f>
        <v/>
      </c>
      <c r="P247" s="36">
        <f>IF($K247="","",INDEX('سجل التحفيز'!$D$5:$D$2004,MATCH($K247,'سجل التحفيز'!$T$5:$T$2004,0)))</f>
        <v/>
      </c>
      <c r="Q247" s="9">
        <f>IF($K247="","",INDEX('سجل التحفيز'!$E$5:$E$2004,MATCH($K247,'سجل التحفيز'!$T$5:$T$2004,0)))</f>
        <v/>
      </c>
      <c r="R247" s="9">
        <f>IF($K247="","",INDEX('سجل التحفيز'!$F$5:$F$2004,MATCH($K247,'سجل التحفيز'!$T$5:$T$2004,0)))</f>
        <v/>
      </c>
      <c r="S247" s="35">
        <f>IF($K247="","",INDEX('سجل التحفيز'!$G$5:$G$2004,MATCH($K247,'سجل التحفيز'!$T$5:$T$2004,0)))</f>
        <v/>
      </c>
    </row>
    <row r="248">
      <c r="K248" s="36">
        <f>IF(211&gt;$B$10,"",211)</f>
        <v/>
      </c>
      <c r="L248" s="37">
        <f>IF($K248="","",INDEX('سجل التحفيز'!$A$5:$A$2004,MATCH($K248,'سجل التحفيز'!$T$5:$T$2004,0)))</f>
        <v/>
      </c>
      <c r="M248" s="9">
        <f>IF($K248="","",INDEX('سجل التحفيز'!$B$5:$B$2004,MATCH($K248,'سجل التحفيز'!$T$5:$T$2004,0)))</f>
        <v/>
      </c>
      <c r="N248" s="9">
        <f>IF($K248="","",INDEX('سجل التحفيز'!$M$5:$M$2004,MATCH($K248,'سجل التحفيز'!$T$5:$T$2004,0)))</f>
        <v/>
      </c>
      <c r="O248" s="9">
        <f>IF($K248="","",INDEX('سجل التحفيز'!$C$5:$C$2004,MATCH($K248,'سجل التحفيز'!$T$5:$T$2004,0)))</f>
        <v/>
      </c>
      <c r="P248" s="36">
        <f>IF($K248="","",INDEX('سجل التحفيز'!$D$5:$D$2004,MATCH($K248,'سجل التحفيز'!$T$5:$T$2004,0)))</f>
        <v/>
      </c>
      <c r="Q248" s="9">
        <f>IF($K248="","",INDEX('سجل التحفيز'!$E$5:$E$2004,MATCH($K248,'سجل التحفيز'!$T$5:$T$2004,0)))</f>
        <v/>
      </c>
      <c r="R248" s="9">
        <f>IF($K248="","",INDEX('سجل التحفيز'!$F$5:$F$2004,MATCH($K248,'سجل التحفيز'!$T$5:$T$2004,0)))</f>
        <v/>
      </c>
      <c r="S248" s="35">
        <f>IF($K248="","",INDEX('سجل التحفيز'!$G$5:$G$2004,MATCH($K248,'سجل التحفيز'!$T$5:$T$2004,0)))</f>
        <v/>
      </c>
    </row>
    <row r="249">
      <c r="K249" s="36">
        <f>IF(212&gt;$B$10,"",212)</f>
        <v/>
      </c>
      <c r="L249" s="37">
        <f>IF($K249="","",INDEX('سجل التحفيز'!$A$5:$A$2004,MATCH($K249,'سجل التحفيز'!$T$5:$T$2004,0)))</f>
        <v/>
      </c>
      <c r="M249" s="9">
        <f>IF($K249="","",INDEX('سجل التحفيز'!$B$5:$B$2004,MATCH($K249,'سجل التحفيز'!$T$5:$T$2004,0)))</f>
        <v/>
      </c>
      <c r="N249" s="9">
        <f>IF($K249="","",INDEX('سجل التحفيز'!$M$5:$M$2004,MATCH($K249,'سجل التحفيز'!$T$5:$T$2004,0)))</f>
        <v/>
      </c>
      <c r="O249" s="9">
        <f>IF($K249="","",INDEX('سجل التحفيز'!$C$5:$C$2004,MATCH($K249,'سجل التحفيز'!$T$5:$T$2004,0)))</f>
        <v/>
      </c>
      <c r="P249" s="36">
        <f>IF($K249="","",INDEX('سجل التحفيز'!$D$5:$D$2004,MATCH($K249,'سجل التحفيز'!$T$5:$T$2004,0)))</f>
        <v/>
      </c>
      <c r="Q249" s="9">
        <f>IF($K249="","",INDEX('سجل التحفيز'!$E$5:$E$2004,MATCH($K249,'سجل التحفيز'!$T$5:$T$2004,0)))</f>
        <v/>
      </c>
      <c r="R249" s="9">
        <f>IF($K249="","",INDEX('سجل التحفيز'!$F$5:$F$2004,MATCH($K249,'سجل التحفيز'!$T$5:$T$2004,0)))</f>
        <v/>
      </c>
      <c r="S249" s="35">
        <f>IF($K249="","",INDEX('سجل التحفيز'!$G$5:$G$2004,MATCH($K249,'سجل التحفيز'!$T$5:$T$2004,0)))</f>
        <v/>
      </c>
    </row>
    <row r="250">
      <c r="K250" s="36">
        <f>IF(213&gt;$B$10,"",213)</f>
        <v/>
      </c>
      <c r="L250" s="37">
        <f>IF($K250="","",INDEX('سجل التحفيز'!$A$5:$A$2004,MATCH($K250,'سجل التحفيز'!$T$5:$T$2004,0)))</f>
        <v/>
      </c>
      <c r="M250" s="9">
        <f>IF($K250="","",INDEX('سجل التحفيز'!$B$5:$B$2004,MATCH($K250,'سجل التحفيز'!$T$5:$T$2004,0)))</f>
        <v/>
      </c>
      <c r="N250" s="9">
        <f>IF($K250="","",INDEX('سجل التحفيز'!$M$5:$M$2004,MATCH($K250,'سجل التحفيز'!$T$5:$T$2004,0)))</f>
        <v/>
      </c>
      <c r="O250" s="9">
        <f>IF($K250="","",INDEX('سجل التحفيز'!$C$5:$C$2004,MATCH($K250,'سجل التحفيز'!$T$5:$T$2004,0)))</f>
        <v/>
      </c>
      <c r="P250" s="36">
        <f>IF($K250="","",INDEX('سجل التحفيز'!$D$5:$D$2004,MATCH($K250,'سجل التحفيز'!$T$5:$T$2004,0)))</f>
        <v/>
      </c>
      <c r="Q250" s="9">
        <f>IF($K250="","",INDEX('سجل التحفيز'!$E$5:$E$2004,MATCH($K250,'سجل التحفيز'!$T$5:$T$2004,0)))</f>
        <v/>
      </c>
      <c r="R250" s="9">
        <f>IF($K250="","",INDEX('سجل التحفيز'!$F$5:$F$2004,MATCH($K250,'سجل التحفيز'!$T$5:$T$2004,0)))</f>
        <v/>
      </c>
      <c r="S250" s="35">
        <f>IF($K250="","",INDEX('سجل التحفيز'!$G$5:$G$2004,MATCH($K250,'سجل التحفيز'!$T$5:$T$2004,0)))</f>
        <v/>
      </c>
    </row>
    <row r="251">
      <c r="K251" s="36">
        <f>IF(214&gt;$B$10,"",214)</f>
        <v/>
      </c>
      <c r="L251" s="37">
        <f>IF($K251="","",INDEX('سجل التحفيز'!$A$5:$A$2004,MATCH($K251,'سجل التحفيز'!$T$5:$T$2004,0)))</f>
        <v/>
      </c>
      <c r="M251" s="9">
        <f>IF($K251="","",INDEX('سجل التحفيز'!$B$5:$B$2004,MATCH($K251,'سجل التحفيز'!$T$5:$T$2004,0)))</f>
        <v/>
      </c>
      <c r="N251" s="9">
        <f>IF($K251="","",INDEX('سجل التحفيز'!$M$5:$M$2004,MATCH($K251,'سجل التحفيز'!$T$5:$T$2004,0)))</f>
        <v/>
      </c>
      <c r="O251" s="9">
        <f>IF($K251="","",INDEX('سجل التحفيز'!$C$5:$C$2004,MATCH($K251,'سجل التحفيز'!$T$5:$T$2004,0)))</f>
        <v/>
      </c>
      <c r="P251" s="36">
        <f>IF($K251="","",INDEX('سجل التحفيز'!$D$5:$D$2004,MATCH($K251,'سجل التحفيز'!$T$5:$T$2004,0)))</f>
        <v/>
      </c>
      <c r="Q251" s="9">
        <f>IF($K251="","",INDEX('سجل التحفيز'!$E$5:$E$2004,MATCH($K251,'سجل التحفيز'!$T$5:$T$2004,0)))</f>
        <v/>
      </c>
      <c r="R251" s="9">
        <f>IF($K251="","",INDEX('سجل التحفيز'!$F$5:$F$2004,MATCH($K251,'سجل التحفيز'!$T$5:$T$2004,0)))</f>
        <v/>
      </c>
      <c r="S251" s="35">
        <f>IF($K251="","",INDEX('سجل التحفيز'!$G$5:$G$2004,MATCH($K251,'سجل التحفيز'!$T$5:$T$2004,0)))</f>
        <v/>
      </c>
    </row>
    <row r="252">
      <c r="K252" s="36">
        <f>IF(215&gt;$B$10,"",215)</f>
        <v/>
      </c>
      <c r="L252" s="37">
        <f>IF($K252="","",INDEX('سجل التحفيز'!$A$5:$A$2004,MATCH($K252,'سجل التحفيز'!$T$5:$T$2004,0)))</f>
        <v/>
      </c>
      <c r="M252" s="9">
        <f>IF($K252="","",INDEX('سجل التحفيز'!$B$5:$B$2004,MATCH($K252,'سجل التحفيز'!$T$5:$T$2004,0)))</f>
        <v/>
      </c>
      <c r="N252" s="9">
        <f>IF($K252="","",INDEX('سجل التحفيز'!$M$5:$M$2004,MATCH($K252,'سجل التحفيز'!$T$5:$T$2004,0)))</f>
        <v/>
      </c>
      <c r="O252" s="9">
        <f>IF($K252="","",INDEX('سجل التحفيز'!$C$5:$C$2004,MATCH($K252,'سجل التحفيز'!$T$5:$T$2004,0)))</f>
        <v/>
      </c>
      <c r="P252" s="36">
        <f>IF($K252="","",INDEX('سجل التحفيز'!$D$5:$D$2004,MATCH($K252,'سجل التحفيز'!$T$5:$T$2004,0)))</f>
        <v/>
      </c>
      <c r="Q252" s="9">
        <f>IF($K252="","",INDEX('سجل التحفيز'!$E$5:$E$2004,MATCH($K252,'سجل التحفيز'!$T$5:$T$2004,0)))</f>
        <v/>
      </c>
      <c r="R252" s="9">
        <f>IF($K252="","",INDEX('سجل التحفيز'!$F$5:$F$2004,MATCH($K252,'سجل التحفيز'!$T$5:$T$2004,0)))</f>
        <v/>
      </c>
      <c r="S252" s="35">
        <f>IF($K252="","",INDEX('سجل التحفيز'!$G$5:$G$2004,MATCH($K252,'سجل التحفيز'!$T$5:$T$2004,0)))</f>
        <v/>
      </c>
    </row>
    <row r="253">
      <c r="K253" s="36">
        <f>IF(216&gt;$B$10,"",216)</f>
        <v/>
      </c>
      <c r="L253" s="37">
        <f>IF($K253="","",INDEX('سجل التحفيز'!$A$5:$A$2004,MATCH($K253,'سجل التحفيز'!$T$5:$T$2004,0)))</f>
        <v/>
      </c>
      <c r="M253" s="9">
        <f>IF($K253="","",INDEX('سجل التحفيز'!$B$5:$B$2004,MATCH($K253,'سجل التحفيز'!$T$5:$T$2004,0)))</f>
        <v/>
      </c>
      <c r="N253" s="9">
        <f>IF($K253="","",INDEX('سجل التحفيز'!$M$5:$M$2004,MATCH($K253,'سجل التحفيز'!$T$5:$T$2004,0)))</f>
        <v/>
      </c>
      <c r="O253" s="9">
        <f>IF($K253="","",INDEX('سجل التحفيز'!$C$5:$C$2004,MATCH($K253,'سجل التحفيز'!$T$5:$T$2004,0)))</f>
        <v/>
      </c>
      <c r="P253" s="36">
        <f>IF($K253="","",INDEX('سجل التحفيز'!$D$5:$D$2004,MATCH($K253,'سجل التحفيز'!$T$5:$T$2004,0)))</f>
        <v/>
      </c>
      <c r="Q253" s="9">
        <f>IF($K253="","",INDEX('سجل التحفيز'!$E$5:$E$2004,MATCH($K253,'سجل التحفيز'!$T$5:$T$2004,0)))</f>
        <v/>
      </c>
      <c r="R253" s="9">
        <f>IF($K253="","",INDEX('سجل التحفيز'!$F$5:$F$2004,MATCH($K253,'سجل التحفيز'!$T$5:$T$2004,0)))</f>
        <v/>
      </c>
      <c r="S253" s="35">
        <f>IF($K253="","",INDEX('سجل التحفيز'!$G$5:$G$2004,MATCH($K253,'سجل التحفيز'!$T$5:$T$2004,0)))</f>
        <v/>
      </c>
    </row>
    <row r="254">
      <c r="K254" s="36">
        <f>IF(217&gt;$B$10,"",217)</f>
        <v/>
      </c>
      <c r="L254" s="37">
        <f>IF($K254="","",INDEX('سجل التحفيز'!$A$5:$A$2004,MATCH($K254,'سجل التحفيز'!$T$5:$T$2004,0)))</f>
        <v/>
      </c>
      <c r="M254" s="9">
        <f>IF($K254="","",INDEX('سجل التحفيز'!$B$5:$B$2004,MATCH($K254,'سجل التحفيز'!$T$5:$T$2004,0)))</f>
        <v/>
      </c>
      <c r="N254" s="9">
        <f>IF($K254="","",INDEX('سجل التحفيز'!$M$5:$M$2004,MATCH($K254,'سجل التحفيز'!$T$5:$T$2004,0)))</f>
        <v/>
      </c>
      <c r="O254" s="9">
        <f>IF($K254="","",INDEX('سجل التحفيز'!$C$5:$C$2004,MATCH($K254,'سجل التحفيز'!$T$5:$T$2004,0)))</f>
        <v/>
      </c>
      <c r="P254" s="36">
        <f>IF($K254="","",INDEX('سجل التحفيز'!$D$5:$D$2004,MATCH($K254,'سجل التحفيز'!$T$5:$T$2004,0)))</f>
        <v/>
      </c>
      <c r="Q254" s="9">
        <f>IF($K254="","",INDEX('سجل التحفيز'!$E$5:$E$2004,MATCH($K254,'سجل التحفيز'!$T$5:$T$2004,0)))</f>
        <v/>
      </c>
      <c r="R254" s="9">
        <f>IF($K254="","",INDEX('سجل التحفيز'!$F$5:$F$2004,MATCH($K254,'سجل التحفيز'!$T$5:$T$2004,0)))</f>
        <v/>
      </c>
      <c r="S254" s="35">
        <f>IF($K254="","",INDEX('سجل التحفيز'!$G$5:$G$2004,MATCH($K254,'سجل التحفيز'!$T$5:$T$2004,0)))</f>
        <v/>
      </c>
    </row>
    <row r="255">
      <c r="K255" s="36">
        <f>IF(218&gt;$B$10,"",218)</f>
        <v/>
      </c>
      <c r="L255" s="37">
        <f>IF($K255="","",INDEX('سجل التحفيز'!$A$5:$A$2004,MATCH($K255,'سجل التحفيز'!$T$5:$T$2004,0)))</f>
        <v/>
      </c>
      <c r="M255" s="9">
        <f>IF($K255="","",INDEX('سجل التحفيز'!$B$5:$B$2004,MATCH($K255,'سجل التحفيز'!$T$5:$T$2004,0)))</f>
        <v/>
      </c>
      <c r="N255" s="9">
        <f>IF($K255="","",INDEX('سجل التحفيز'!$M$5:$M$2004,MATCH($K255,'سجل التحفيز'!$T$5:$T$2004,0)))</f>
        <v/>
      </c>
      <c r="O255" s="9">
        <f>IF($K255="","",INDEX('سجل التحفيز'!$C$5:$C$2004,MATCH($K255,'سجل التحفيز'!$T$5:$T$2004,0)))</f>
        <v/>
      </c>
      <c r="P255" s="36">
        <f>IF($K255="","",INDEX('سجل التحفيز'!$D$5:$D$2004,MATCH($K255,'سجل التحفيز'!$T$5:$T$2004,0)))</f>
        <v/>
      </c>
      <c r="Q255" s="9">
        <f>IF($K255="","",INDEX('سجل التحفيز'!$E$5:$E$2004,MATCH($K255,'سجل التحفيز'!$T$5:$T$2004,0)))</f>
        <v/>
      </c>
      <c r="R255" s="9">
        <f>IF($K255="","",INDEX('سجل التحفيز'!$F$5:$F$2004,MATCH($K255,'سجل التحفيز'!$T$5:$T$2004,0)))</f>
        <v/>
      </c>
      <c r="S255" s="35">
        <f>IF($K255="","",INDEX('سجل التحفيز'!$G$5:$G$2004,MATCH($K255,'سجل التحفيز'!$T$5:$T$2004,0)))</f>
        <v/>
      </c>
    </row>
    <row r="256">
      <c r="K256" s="36">
        <f>IF(219&gt;$B$10,"",219)</f>
        <v/>
      </c>
      <c r="L256" s="37">
        <f>IF($K256="","",INDEX('سجل التحفيز'!$A$5:$A$2004,MATCH($K256,'سجل التحفيز'!$T$5:$T$2004,0)))</f>
        <v/>
      </c>
      <c r="M256" s="9">
        <f>IF($K256="","",INDEX('سجل التحفيز'!$B$5:$B$2004,MATCH($K256,'سجل التحفيز'!$T$5:$T$2004,0)))</f>
        <v/>
      </c>
      <c r="N256" s="9">
        <f>IF($K256="","",INDEX('سجل التحفيز'!$M$5:$M$2004,MATCH($K256,'سجل التحفيز'!$T$5:$T$2004,0)))</f>
        <v/>
      </c>
      <c r="O256" s="9">
        <f>IF($K256="","",INDEX('سجل التحفيز'!$C$5:$C$2004,MATCH($K256,'سجل التحفيز'!$T$5:$T$2004,0)))</f>
        <v/>
      </c>
      <c r="P256" s="36">
        <f>IF($K256="","",INDEX('سجل التحفيز'!$D$5:$D$2004,MATCH($K256,'سجل التحفيز'!$T$5:$T$2004,0)))</f>
        <v/>
      </c>
      <c r="Q256" s="9">
        <f>IF($K256="","",INDEX('سجل التحفيز'!$E$5:$E$2004,MATCH($K256,'سجل التحفيز'!$T$5:$T$2004,0)))</f>
        <v/>
      </c>
      <c r="R256" s="9">
        <f>IF($K256="","",INDEX('سجل التحفيز'!$F$5:$F$2004,MATCH($K256,'سجل التحفيز'!$T$5:$T$2004,0)))</f>
        <v/>
      </c>
      <c r="S256" s="35">
        <f>IF($K256="","",INDEX('سجل التحفيز'!$G$5:$G$2004,MATCH($K256,'سجل التحفيز'!$T$5:$T$2004,0)))</f>
        <v/>
      </c>
    </row>
    <row r="257">
      <c r="K257" s="36">
        <f>IF(220&gt;$B$10,"",220)</f>
        <v/>
      </c>
      <c r="L257" s="37">
        <f>IF($K257="","",INDEX('سجل التحفيز'!$A$5:$A$2004,MATCH($K257,'سجل التحفيز'!$T$5:$T$2004,0)))</f>
        <v/>
      </c>
      <c r="M257" s="9">
        <f>IF($K257="","",INDEX('سجل التحفيز'!$B$5:$B$2004,MATCH($K257,'سجل التحفيز'!$T$5:$T$2004,0)))</f>
        <v/>
      </c>
      <c r="N257" s="9">
        <f>IF($K257="","",INDEX('سجل التحفيز'!$M$5:$M$2004,MATCH($K257,'سجل التحفيز'!$T$5:$T$2004,0)))</f>
        <v/>
      </c>
      <c r="O257" s="9">
        <f>IF($K257="","",INDEX('سجل التحفيز'!$C$5:$C$2004,MATCH($K257,'سجل التحفيز'!$T$5:$T$2004,0)))</f>
        <v/>
      </c>
      <c r="P257" s="36">
        <f>IF($K257="","",INDEX('سجل التحفيز'!$D$5:$D$2004,MATCH($K257,'سجل التحفيز'!$T$5:$T$2004,0)))</f>
        <v/>
      </c>
      <c r="Q257" s="9">
        <f>IF($K257="","",INDEX('سجل التحفيز'!$E$5:$E$2004,MATCH($K257,'سجل التحفيز'!$T$5:$T$2004,0)))</f>
        <v/>
      </c>
      <c r="R257" s="9">
        <f>IF($K257="","",INDEX('سجل التحفيز'!$F$5:$F$2004,MATCH($K257,'سجل التحفيز'!$T$5:$T$2004,0)))</f>
        <v/>
      </c>
      <c r="S257" s="35">
        <f>IF($K257="","",INDEX('سجل التحفيز'!$G$5:$G$2004,MATCH($K257,'سجل التحفيز'!$T$5:$T$2004,0)))</f>
        <v/>
      </c>
    </row>
    <row r="258">
      <c r="K258" s="36">
        <f>IF(221&gt;$B$10,"",221)</f>
        <v/>
      </c>
      <c r="L258" s="37">
        <f>IF($K258="","",INDEX('سجل التحفيز'!$A$5:$A$2004,MATCH($K258,'سجل التحفيز'!$T$5:$T$2004,0)))</f>
        <v/>
      </c>
      <c r="M258" s="9">
        <f>IF($K258="","",INDEX('سجل التحفيز'!$B$5:$B$2004,MATCH($K258,'سجل التحفيز'!$T$5:$T$2004,0)))</f>
        <v/>
      </c>
      <c r="N258" s="9">
        <f>IF($K258="","",INDEX('سجل التحفيز'!$M$5:$M$2004,MATCH($K258,'سجل التحفيز'!$T$5:$T$2004,0)))</f>
        <v/>
      </c>
      <c r="O258" s="9">
        <f>IF($K258="","",INDEX('سجل التحفيز'!$C$5:$C$2004,MATCH($K258,'سجل التحفيز'!$T$5:$T$2004,0)))</f>
        <v/>
      </c>
      <c r="P258" s="36">
        <f>IF($K258="","",INDEX('سجل التحفيز'!$D$5:$D$2004,MATCH($K258,'سجل التحفيز'!$T$5:$T$2004,0)))</f>
        <v/>
      </c>
      <c r="Q258" s="9">
        <f>IF($K258="","",INDEX('سجل التحفيز'!$E$5:$E$2004,MATCH($K258,'سجل التحفيز'!$T$5:$T$2004,0)))</f>
        <v/>
      </c>
      <c r="R258" s="9">
        <f>IF($K258="","",INDEX('سجل التحفيز'!$F$5:$F$2004,MATCH($K258,'سجل التحفيز'!$T$5:$T$2004,0)))</f>
        <v/>
      </c>
      <c r="S258" s="35">
        <f>IF($K258="","",INDEX('سجل التحفيز'!$G$5:$G$2004,MATCH($K258,'سجل التحفيز'!$T$5:$T$2004,0)))</f>
        <v/>
      </c>
    </row>
    <row r="259">
      <c r="K259" s="36">
        <f>IF(222&gt;$B$10,"",222)</f>
        <v/>
      </c>
      <c r="L259" s="37">
        <f>IF($K259="","",INDEX('سجل التحفيز'!$A$5:$A$2004,MATCH($K259,'سجل التحفيز'!$T$5:$T$2004,0)))</f>
        <v/>
      </c>
      <c r="M259" s="9">
        <f>IF($K259="","",INDEX('سجل التحفيز'!$B$5:$B$2004,MATCH($K259,'سجل التحفيز'!$T$5:$T$2004,0)))</f>
        <v/>
      </c>
      <c r="N259" s="9">
        <f>IF($K259="","",INDEX('سجل التحفيز'!$M$5:$M$2004,MATCH($K259,'سجل التحفيز'!$T$5:$T$2004,0)))</f>
        <v/>
      </c>
      <c r="O259" s="9">
        <f>IF($K259="","",INDEX('سجل التحفيز'!$C$5:$C$2004,MATCH($K259,'سجل التحفيز'!$T$5:$T$2004,0)))</f>
        <v/>
      </c>
      <c r="P259" s="36">
        <f>IF($K259="","",INDEX('سجل التحفيز'!$D$5:$D$2004,MATCH($K259,'سجل التحفيز'!$T$5:$T$2004,0)))</f>
        <v/>
      </c>
      <c r="Q259" s="9">
        <f>IF($K259="","",INDEX('سجل التحفيز'!$E$5:$E$2004,MATCH($K259,'سجل التحفيز'!$T$5:$T$2004,0)))</f>
        <v/>
      </c>
      <c r="R259" s="9">
        <f>IF($K259="","",INDEX('سجل التحفيز'!$F$5:$F$2004,MATCH($K259,'سجل التحفيز'!$T$5:$T$2004,0)))</f>
        <v/>
      </c>
      <c r="S259" s="35">
        <f>IF($K259="","",INDEX('سجل التحفيز'!$G$5:$G$2004,MATCH($K259,'سجل التحفيز'!$T$5:$T$2004,0)))</f>
        <v/>
      </c>
    </row>
    <row r="260">
      <c r="K260" s="36">
        <f>IF(223&gt;$B$10,"",223)</f>
        <v/>
      </c>
      <c r="L260" s="37">
        <f>IF($K260="","",INDEX('سجل التحفيز'!$A$5:$A$2004,MATCH($K260,'سجل التحفيز'!$T$5:$T$2004,0)))</f>
        <v/>
      </c>
      <c r="M260" s="9">
        <f>IF($K260="","",INDEX('سجل التحفيز'!$B$5:$B$2004,MATCH($K260,'سجل التحفيز'!$T$5:$T$2004,0)))</f>
        <v/>
      </c>
      <c r="N260" s="9">
        <f>IF($K260="","",INDEX('سجل التحفيز'!$M$5:$M$2004,MATCH($K260,'سجل التحفيز'!$T$5:$T$2004,0)))</f>
        <v/>
      </c>
      <c r="O260" s="9">
        <f>IF($K260="","",INDEX('سجل التحفيز'!$C$5:$C$2004,MATCH($K260,'سجل التحفيز'!$T$5:$T$2004,0)))</f>
        <v/>
      </c>
      <c r="P260" s="36">
        <f>IF($K260="","",INDEX('سجل التحفيز'!$D$5:$D$2004,MATCH($K260,'سجل التحفيز'!$T$5:$T$2004,0)))</f>
        <v/>
      </c>
      <c r="Q260" s="9">
        <f>IF($K260="","",INDEX('سجل التحفيز'!$E$5:$E$2004,MATCH($K260,'سجل التحفيز'!$T$5:$T$2004,0)))</f>
        <v/>
      </c>
      <c r="R260" s="9">
        <f>IF($K260="","",INDEX('سجل التحفيز'!$F$5:$F$2004,MATCH($K260,'سجل التحفيز'!$T$5:$T$2004,0)))</f>
        <v/>
      </c>
      <c r="S260" s="35">
        <f>IF($K260="","",INDEX('سجل التحفيز'!$G$5:$G$2004,MATCH($K260,'سجل التحفيز'!$T$5:$T$2004,0)))</f>
        <v/>
      </c>
    </row>
    <row r="261">
      <c r="K261" s="36">
        <f>IF(224&gt;$B$10,"",224)</f>
        <v/>
      </c>
      <c r="L261" s="37">
        <f>IF($K261="","",INDEX('سجل التحفيز'!$A$5:$A$2004,MATCH($K261,'سجل التحفيز'!$T$5:$T$2004,0)))</f>
        <v/>
      </c>
      <c r="M261" s="9">
        <f>IF($K261="","",INDEX('سجل التحفيز'!$B$5:$B$2004,MATCH($K261,'سجل التحفيز'!$T$5:$T$2004,0)))</f>
        <v/>
      </c>
      <c r="N261" s="9">
        <f>IF($K261="","",INDEX('سجل التحفيز'!$M$5:$M$2004,MATCH($K261,'سجل التحفيز'!$T$5:$T$2004,0)))</f>
        <v/>
      </c>
      <c r="O261" s="9">
        <f>IF($K261="","",INDEX('سجل التحفيز'!$C$5:$C$2004,MATCH($K261,'سجل التحفيز'!$T$5:$T$2004,0)))</f>
        <v/>
      </c>
      <c r="P261" s="36">
        <f>IF($K261="","",INDEX('سجل التحفيز'!$D$5:$D$2004,MATCH($K261,'سجل التحفيز'!$T$5:$T$2004,0)))</f>
        <v/>
      </c>
      <c r="Q261" s="9">
        <f>IF($K261="","",INDEX('سجل التحفيز'!$E$5:$E$2004,MATCH($K261,'سجل التحفيز'!$T$5:$T$2004,0)))</f>
        <v/>
      </c>
      <c r="R261" s="9">
        <f>IF($K261="","",INDEX('سجل التحفيز'!$F$5:$F$2004,MATCH($K261,'سجل التحفيز'!$T$5:$T$2004,0)))</f>
        <v/>
      </c>
      <c r="S261" s="35">
        <f>IF($K261="","",INDEX('سجل التحفيز'!$G$5:$G$2004,MATCH($K261,'سجل التحفيز'!$T$5:$T$2004,0)))</f>
        <v/>
      </c>
    </row>
    <row r="262">
      <c r="K262" s="36">
        <f>IF(225&gt;$B$10,"",225)</f>
        <v/>
      </c>
      <c r="L262" s="37">
        <f>IF($K262="","",INDEX('سجل التحفيز'!$A$5:$A$2004,MATCH($K262,'سجل التحفيز'!$T$5:$T$2004,0)))</f>
        <v/>
      </c>
      <c r="M262" s="9">
        <f>IF($K262="","",INDEX('سجل التحفيز'!$B$5:$B$2004,MATCH($K262,'سجل التحفيز'!$T$5:$T$2004,0)))</f>
        <v/>
      </c>
      <c r="N262" s="9">
        <f>IF($K262="","",INDEX('سجل التحفيز'!$M$5:$M$2004,MATCH($K262,'سجل التحفيز'!$T$5:$T$2004,0)))</f>
        <v/>
      </c>
      <c r="O262" s="9">
        <f>IF($K262="","",INDEX('سجل التحفيز'!$C$5:$C$2004,MATCH($K262,'سجل التحفيز'!$T$5:$T$2004,0)))</f>
        <v/>
      </c>
      <c r="P262" s="36">
        <f>IF($K262="","",INDEX('سجل التحفيز'!$D$5:$D$2004,MATCH($K262,'سجل التحفيز'!$T$5:$T$2004,0)))</f>
        <v/>
      </c>
      <c r="Q262" s="9">
        <f>IF($K262="","",INDEX('سجل التحفيز'!$E$5:$E$2004,MATCH($K262,'سجل التحفيز'!$T$5:$T$2004,0)))</f>
        <v/>
      </c>
      <c r="R262" s="9">
        <f>IF($K262="","",INDEX('سجل التحفيز'!$F$5:$F$2004,MATCH($K262,'سجل التحفيز'!$T$5:$T$2004,0)))</f>
        <v/>
      </c>
      <c r="S262" s="35">
        <f>IF($K262="","",INDEX('سجل التحفيز'!$G$5:$G$2004,MATCH($K262,'سجل التحفيز'!$T$5:$T$2004,0)))</f>
        <v/>
      </c>
    </row>
    <row r="263">
      <c r="K263" s="36">
        <f>IF(226&gt;$B$10,"",226)</f>
        <v/>
      </c>
      <c r="L263" s="37">
        <f>IF($K263="","",INDEX('سجل التحفيز'!$A$5:$A$2004,MATCH($K263,'سجل التحفيز'!$T$5:$T$2004,0)))</f>
        <v/>
      </c>
      <c r="M263" s="9">
        <f>IF($K263="","",INDEX('سجل التحفيز'!$B$5:$B$2004,MATCH($K263,'سجل التحفيز'!$T$5:$T$2004,0)))</f>
        <v/>
      </c>
      <c r="N263" s="9">
        <f>IF($K263="","",INDEX('سجل التحفيز'!$M$5:$M$2004,MATCH($K263,'سجل التحفيز'!$T$5:$T$2004,0)))</f>
        <v/>
      </c>
      <c r="O263" s="9">
        <f>IF($K263="","",INDEX('سجل التحفيز'!$C$5:$C$2004,MATCH($K263,'سجل التحفيز'!$T$5:$T$2004,0)))</f>
        <v/>
      </c>
      <c r="P263" s="36">
        <f>IF($K263="","",INDEX('سجل التحفيز'!$D$5:$D$2004,MATCH($K263,'سجل التحفيز'!$T$5:$T$2004,0)))</f>
        <v/>
      </c>
      <c r="Q263" s="9">
        <f>IF($K263="","",INDEX('سجل التحفيز'!$E$5:$E$2004,MATCH($K263,'سجل التحفيز'!$T$5:$T$2004,0)))</f>
        <v/>
      </c>
      <c r="R263" s="9">
        <f>IF($K263="","",INDEX('سجل التحفيز'!$F$5:$F$2004,MATCH($K263,'سجل التحفيز'!$T$5:$T$2004,0)))</f>
        <v/>
      </c>
      <c r="S263" s="35">
        <f>IF($K263="","",INDEX('سجل التحفيز'!$G$5:$G$2004,MATCH($K263,'سجل التحفيز'!$T$5:$T$2004,0)))</f>
        <v/>
      </c>
    </row>
    <row r="264">
      <c r="K264" s="36">
        <f>IF(227&gt;$B$10,"",227)</f>
        <v/>
      </c>
      <c r="L264" s="37">
        <f>IF($K264="","",INDEX('سجل التحفيز'!$A$5:$A$2004,MATCH($K264,'سجل التحفيز'!$T$5:$T$2004,0)))</f>
        <v/>
      </c>
      <c r="M264" s="9">
        <f>IF($K264="","",INDEX('سجل التحفيز'!$B$5:$B$2004,MATCH($K264,'سجل التحفيز'!$T$5:$T$2004,0)))</f>
        <v/>
      </c>
      <c r="N264" s="9">
        <f>IF($K264="","",INDEX('سجل التحفيز'!$M$5:$M$2004,MATCH($K264,'سجل التحفيز'!$T$5:$T$2004,0)))</f>
        <v/>
      </c>
      <c r="O264" s="9">
        <f>IF($K264="","",INDEX('سجل التحفيز'!$C$5:$C$2004,MATCH($K264,'سجل التحفيز'!$T$5:$T$2004,0)))</f>
        <v/>
      </c>
      <c r="P264" s="36">
        <f>IF($K264="","",INDEX('سجل التحفيز'!$D$5:$D$2004,MATCH($K264,'سجل التحفيز'!$T$5:$T$2004,0)))</f>
        <v/>
      </c>
      <c r="Q264" s="9">
        <f>IF($K264="","",INDEX('سجل التحفيز'!$E$5:$E$2004,MATCH($K264,'سجل التحفيز'!$T$5:$T$2004,0)))</f>
        <v/>
      </c>
      <c r="R264" s="9">
        <f>IF($K264="","",INDEX('سجل التحفيز'!$F$5:$F$2004,MATCH($K264,'سجل التحفيز'!$T$5:$T$2004,0)))</f>
        <v/>
      </c>
      <c r="S264" s="35">
        <f>IF($K264="","",INDEX('سجل التحفيز'!$G$5:$G$2004,MATCH($K264,'سجل التحفيز'!$T$5:$T$2004,0)))</f>
        <v/>
      </c>
    </row>
    <row r="265">
      <c r="K265" s="36">
        <f>IF(228&gt;$B$10,"",228)</f>
        <v/>
      </c>
      <c r="L265" s="37">
        <f>IF($K265="","",INDEX('سجل التحفيز'!$A$5:$A$2004,MATCH($K265,'سجل التحفيز'!$T$5:$T$2004,0)))</f>
        <v/>
      </c>
      <c r="M265" s="9">
        <f>IF($K265="","",INDEX('سجل التحفيز'!$B$5:$B$2004,MATCH($K265,'سجل التحفيز'!$T$5:$T$2004,0)))</f>
        <v/>
      </c>
      <c r="N265" s="9">
        <f>IF($K265="","",INDEX('سجل التحفيز'!$M$5:$M$2004,MATCH($K265,'سجل التحفيز'!$T$5:$T$2004,0)))</f>
        <v/>
      </c>
      <c r="O265" s="9">
        <f>IF($K265="","",INDEX('سجل التحفيز'!$C$5:$C$2004,MATCH($K265,'سجل التحفيز'!$T$5:$T$2004,0)))</f>
        <v/>
      </c>
      <c r="P265" s="36">
        <f>IF($K265="","",INDEX('سجل التحفيز'!$D$5:$D$2004,MATCH($K265,'سجل التحفيز'!$T$5:$T$2004,0)))</f>
        <v/>
      </c>
      <c r="Q265" s="9">
        <f>IF($K265="","",INDEX('سجل التحفيز'!$E$5:$E$2004,MATCH($K265,'سجل التحفيز'!$T$5:$T$2004,0)))</f>
        <v/>
      </c>
      <c r="R265" s="9">
        <f>IF($K265="","",INDEX('سجل التحفيز'!$F$5:$F$2004,MATCH($K265,'سجل التحفيز'!$T$5:$T$2004,0)))</f>
        <v/>
      </c>
      <c r="S265" s="35">
        <f>IF($K265="","",INDEX('سجل التحفيز'!$G$5:$G$2004,MATCH($K265,'سجل التحفيز'!$T$5:$T$2004,0)))</f>
        <v/>
      </c>
    </row>
    <row r="266">
      <c r="K266" s="36">
        <f>IF(229&gt;$B$10,"",229)</f>
        <v/>
      </c>
      <c r="L266" s="37">
        <f>IF($K266="","",INDEX('سجل التحفيز'!$A$5:$A$2004,MATCH($K266,'سجل التحفيز'!$T$5:$T$2004,0)))</f>
        <v/>
      </c>
      <c r="M266" s="9">
        <f>IF($K266="","",INDEX('سجل التحفيز'!$B$5:$B$2004,MATCH($K266,'سجل التحفيز'!$T$5:$T$2004,0)))</f>
        <v/>
      </c>
      <c r="N266" s="9">
        <f>IF($K266="","",INDEX('سجل التحفيز'!$M$5:$M$2004,MATCH($K266,'سجل التحفيز'!$T$5:$T$2004,0)))</f>
        <v/>
      </c>
      <c r="O266" s="9">
        <f>IF($K266="","",INDEX('سجل التحفيز'!$C$5:$C$2004,MATCH($K266,'سجل التحفيز'!$T$5:$T$2004,0)))</f>
        <v/>
      </c>
      <c r="P266" s="36">
        <f>IF($K266="","",INDEX('سجل التحفيز'!$D$5:$D$2004,MATCH($K266,'سجل التحفيز'!$T$5:$T$2004,0)))</f>
        <v/>
      </c>
      <c r="Q266" s="9">
        <f>IF($K266="","",INDEX('سجل التحفيز'!$E$5:$E$2004,MATCH($K266,'سجل التحفيز'!$T$5:$T$2004,0)))</f>
        <v/>
      </c>
      <c r="R266" s="9">
        <f>IF($K266="","",INDEX('سجل التحفيز'!$F$5:$F$2004,MATCH($K266,'سجل التحفيز'!$T$5:$T$2004,0)))</f>
        <v/>
      </c>
      <c r="S266" s="35">
        <f>IF($K266="","",INDEX('سجل التحفيز'!$G$5:$G$2004,MATCH($K266,'سجل التحفيز'!$T$5:$T$2004,0)))</f>
        <v/>
      </c>
    </row>
    <row r="267">
      <c r="K267" s="36">
        <f>IF(230&gt;$B$10,"",230)</f>
        <v/>
      </c>
      <c r="L267" s="37">
        <f>IF($K267="","",INDEX('سجل التحفيز'!$A$5:$A$2004,MATCH($K267,'سجل التحفيز'!$T$5:$T$2004,0)))</f>
        <v/>
      </c>
      <c r="M267" s="9">
        <f>IF($K267="","",INDEX('سجل التحفيز'!$B$5:$B$2004,MATCH($K267,'سجل التحفيز'!$T$5:$T$2004,0)))</f>
        <v/>
      </c>
      <c r="N267" s="9">
        <f>IF($K267="","",INDEX('سجل التحفيز'!$M$5:$M$2004,MATCH($K267,'سجل التحفيز'!$T$5:$T$2004,0)))</f>
        <v/>
      </c>
      <c r="O267" s="9">
        <f>IF($K267="","",INDEX('سجل التحفيز'!$C$5:$C$2004,MATCH($K267,'سجل التحفيز'!$T$5:$T$2004,0)))</f>
        <v/>
      </c>
      <c r="P267" s="36">
        <f>IF($K267="","",INDEX('سجل التحفيز'!$D$5:$D$2004,MATCH($K267,'سجل التحفيز'!$T$5:$T$2004,0)))</f>
        <v/>
      </c>
      <c r="Q267" s="9">
        <f>IF($K267="","",INDEX('سجل التحفيز'!$E$5:$E$2004,MATCH($K267,'سجل التحفيز'!$T$5:$T$2004,0)))</f>
        <v/>
      </c>
      <c r="R267" s="9">
        <f>IF($K267="","",INDEX('سجل التحفيز'!$F$5:$F$2004,MATCH($K267,'سجل التحفيز'!$T$5:$T$2004,0)))</f>
        <v/>
      </c>
      <c r="S267" s="35">
        <f>IF($K267="","",INDEX('سجل التحفيز'!$G$5:$G$2004,MATCH($K267,'سجل التحفيز'!$T$5:$T$2004,0)))</f>
        <v/>
      </c>
    </row>
    <row r="268">
      <c r="K268" s="36">
        <f>IF(231&gt;$B$10,"",231)</f>
        <v/>
      </c>
      <c r="L268" s="37">
        <f>IF($K268="","",INDEX('سجل التحفيز'!$A$5:$A$2004,MATCH($K268,'سجل التحفيز'!$T$5:$T$2004,0)))</f>
        <v/>
      </c>
      <c r="M268" s="9">
        <f>IF($K268="","",INDEX('سجل التحفيز'!$B$5:$B$2004,MATCH($K268,'سجل التحفيز'!$T$5:$T$2004,0)))</f>
        <v/>
      </c>
      <c r="N268" s="9">
        <f>IF($K268="","",INDEX('سجل التحفيز'!$M$5:$M$2004,MATCH($K268,'سجل التحفيز'!$T$5:$T$2004,0)))</f>
        <v/>
      </c>
      <c r="O268" s="9">
        <f>IF($K268="","",INDEX('سجل التحفيز'!$C$5:$C$2004,MATCH($K268,'سجل التحفيز'!$T$5:$T$2004,0)))</f>
        <v/>
      </c>
      <c r="P268" s="36">
        <f>IF($K268="","",INDEX('سجل التحفيز'!$D$5:$D$2004,MATCH($K268,'سجل التحفيز'!$T$5:$T$2004,0)))</f>
        <v/>
      </c>
      <c r="Q268" s="9">
        <f>IF($K268="","",INDEX('سجل التحفيز'!$E$5:$E$2004,MATCH($K268,'سجل التحفيز'!$T$5:$T$2004,0)))</f>
        <v/>
      </c>
      <c r="R268" s="9">
        <f>IF($K268="","",INDEX('سجل التحفيز'!$F$5:$F$2004,MATCH($K268,'سجل التحفيز'!$T$5:$T$2004,0)))</f>
        <v/>
      </c>
      <c r="S268" s="35">
        <f>IF($K268="","",INDEX('سجل التحفيز'!$G$5:$G$2004,MATCH($K268,'سجل التحفيز'!$T$5:$T$2004,0)))</f>
        <v/>
      </c>
    </row>
    <row r="269">
      <c r="K269" s="36">
        <f>IF(232&gt;$B$10,"",232)</f>
        <v/>
      </c>
      <c r="L269" s="37">
        <f>IF($K269="","",INDEX('سجل التحفيز'!$A$5:$A$2004,MATCH($K269,'سجل التحفيز'!$T$5:$T$2004,0)))</f>
        <v/>
      </c>
      <c r="M269" s="9">
        <f>IF($K269="","",INDEX('سجل التحفيز'!$B$5:$B$2004,MATCH($K269,'سجل التحفيز'!$T$5:$T$2004,0)))</f>
        <v/>
      </c>
      <c r="N269" s="9">
        <f>IF($K269="","",INDEX('سجل التحفيز'!$M$5:$M$2004,MATCH($K269,'سجل التحفيز'!$T$5:$T$2004,0)))</f>
        <v/>
      </c>
      <c r="O269" s="9">
        <f>IF($K269="","",INDEX('سجل التحفيز'!$C$5:$C$2004,MATCH($K269,'سجل التحفيز'!$T$5:$T$2004,0)))</f>
        <v/>
      </c>
      <c r="P269" s="36">
        <f>IF($K269="","",INDEX('سجل التحفيز'!$D$5:$D$2004,MATCH($K269,'سجل التحفيز'!$T$5:$T$2004,0)))</f>
        <v/>
      </c>
      <c r="Q269" s="9">
        <f>IF($K269="","",INDEX('سجل التحفيز'!$E$5:$E$2004,MATCH($K269,'سجل التحفيز'!$T$5:$T$2004,0)))</f>
        <v/>
      </c>
      <c r="R269" s="9">
        <f>IF($K269="","",INDEX('سجل التحفيز'!$F$5:$F$2004,MATCH($K269,'سجل التحفيز'!$T$5:$T$2004,0)))</f>
        <v/>
      </c>
      <c r="S269" s="35">
        <f>IF($K269="","",INDEX('سجل التحفيز'!$G$5:$G$2004,MATCH($K269,'سجل التحفيز'!$T$5:$T$2004,0)))</f>
        <v/>
      </c>
    </row>
    <row r="270">
      <c r="K270" s="36">
        <f>IF(233&gt;$B$10,"",233)</f>
        <v/>
      </c>
      <c r="L270" s="37">
        <f>IF($K270="","",INDEX('سجل التحفيز'!$A$5:$A$2004,MATCH($K270,'سجل التحفيز'!$T$5:$T$2004,0)))</f>
        <v/>
      </c>
      <c r="M270" s="9">
        <f>IF($K270="","",INDEX('سجل التحفيز'!$B$5:$B$2004,MATCH($K270,'سجل التحفيز'!$T$5:$T$2004,0)))</f>
        <v/>
      </c>
      <c r="N270" s="9">
        <f>IF($K270="","",INDEX('سجل التحفيز'!$M$5:$M$2004,MATCH($K270,'سجل التحفيز'!$T$5:$T$2004,0)))</f>
        <v/>
      </c>
      <c r="O270" s="9">
        <f>IF($K270="","",INDEX('سجل التحفيز'!$C$5:$C$2004,MATCH($K270,'سجل التحفيز'!$T$5:$T$2004,0)))</f>
        <v/>
      </c>
      <c r="P270" s="36">
        <f>IF($K270="","",INDEX('سجل التحفيز'!$D$5:$D$2004,MATCH($K270,'سجل التحفيز'!$T$5:$T$2004,0)))</f>
        <v/>
      </c>
      <c r="Q270" s="9">
        <f>IF($K270="","",INDEX('سجل التحفيز'!$E$5:$E$2004,MATCH($K270,'سجل التحفيز'!$T$5:$T$2004,0)))</f>
        <v/>
      </c>
      <c r="R270" s="9">
        <f>IF($K270="","",INDEX('سجل التحفيز'!$F$5:$F$2004,MATCH($K270,'سجل التحفيز'!$T$5:$T$2004,0)))</f>
        <v/>
      </c>
      <c r="S270" s="35">
        <f>IF($K270="","",INDEX('سجل التحفيز'!$G$5:$G$2004,MATCH($K270,'سجل التحفيز'!$T$5:$T$2004,0)))</f>
        <v/>
      </c>
    </row>
    <row r="271">
      <c r="K271" s="36">
        <f>IF(234&gt;$B$10,"",234)</f>
        <v/>
      </c>
      <c r="L271" s="37">
        <f>IF($K271="","",INDEX('سجل التحفيز'!$A$5:$A$2004,MATCH($K271,'سجل التحفيز'!$T$5:$T$2004,0)))</f>
        <v/>
      </c>
      <c r="M271" s="9">
        <f>IF($K271="","",INDEX('سجل التحفيز'!$B$5:$B$2004,MATCH($K271,'سجل التحفيز'!$T$5:$T$2004,0)))</f>
        <v/>
      </c>
      <c r="N271" s="9">
        <f>IF($K271="","",INDEX('سجل التحفيز'!$M$5:$M$2004,MATCH($K271,'سجل التحفيز'!$T$5:$T$2004,0)))</f>
        <v/>
      </c>
      <c r="O271" s="9">
        <f>IF($K271="","",INDEX('سجل التحفيز'!$C$5:$C$2004,MATCH($K271,'سجل التحفيز'!$T$5:$T$2004,0)))</f>
        <v/>
      </c>
      <c r="P271" s="36">
        <f>IF($K271="","",INDEX('سجل التحفيز'!$D$5:$D$2004,MATCH($K271,'سجل التحفيز'!$T$5:$T$2004,0)))</f>
        <v/>
      </c>
      <c r="Q271" s="9">
        <f>IF($K271="","",INDEX('سجل التحفيز'!$E$5:$E$2004,MATCH($K271,'سجل التحفيز'!$T$5:$T$2004,0)))</f>
        <v/>
      </c>
      <c r="R271" s="9">
        <f>IF($K271="","",INDEX('سجل التحفيز'!$F$5:$F$2004,MATCH($K271,'سجل التحفيز'!$T$5:$T$2004,0)))</f>
        <v/>
      </c>
      <c r="S271" s="35">
        <f>IF($K271="","",INDEX('سجل التحفيز'!$G$5:$G$2004,MATCH($K271,'سجل التحفيز'!$T$5:$T$2004,0)))</f>
        <v/>
      </c>
    </row>
    <row r="272">
      <c r="K272" s="36">
        <f>IF(235&gt;$B$10,"",235)</f>
        <v/>
      </c>
      <c r="L272" s="37">
        <f>IF($K272="","",INDEX('سجل التحفيز'!$A$5:$A$2004,MATCH($K272,'سجل التحفيز'!$T$5:$T$2004,0)))</f>
        <v/>
      </c>
      <c r="M272" s="9">
        <f>IF($K272="","",INDEX('سجل التحفيز'!$B$5:$B$2004,MATCH($K272,'سجل التحفيز'!$T$5:$T$2004,0)))</f>
        <v/>
      </c>
      <c r="N272" s="9">
        <f>IF($K272="","",INDEX('سجل التحفيز'!$M$5:$M$2004,MATCH($K272,'سجل التحفيز'!$T$5:$T$2004,0)))</f>
        <v/>
      </c>
      <c r="O272" s="9">
        <f>IF($K272="","",INDEX('سجل التحفيز'!$C$5:$C$2004,MATCH($K272,'سجل التحفيز'!$T$5:$T$2004,0)))</f>
        <v/>
      </c>
      <c r="P272" s="36">
        <f>IF($K272="","",INDEX('سجل التحفيز'!$D$5:$D$2004,MATCH($K272,'سجل التحفيز'!$T$5:$T$2004,0)))</f>
        <v/>
      </c>
      <c r="Q272" s="9">
        <f>IF($K272="","",INDEX('سجل التحفيز'!$E$5:$E$2004,MATCH($K272,'سجل التحفيز'!$T$5:$T$2004,0)))</f>
        <v/>
      </c>
      <c r="R272" s="9">
        <f>IF($K272="","",INDEX('سجل التحفيز'!$F$5:$F$2004,MATCH($K272,'سجل التحفيز'!$T$5:$T$2004,0)))</f>
        <v/>
      </c>
      <c r="S272" s="35">
        <f>IF($K272="","",INDEX('سجل التحفيز'!$G$5:$G$2004,MATCH($K272,'سجل التحفيز'!$T$5:$T$2004,0)))</f>
        <v/>
      </c>
    </row>
    <row r="273">
      <c r="K273" s="36">
        <f>IF(236&gt;$B$10,"",236)</f>
        <v/>
      </c>
      <c r="L273" s="37">
        <f>IF($K273="","",INDEX('سجل التحفيز'!$A$5:$A$2004,MATCH($K273,'سجل التحفيز'!$T$5:$T$2004,0)))</f>
        <v/>
      </c>
      <c r="M273" s="9">
        <f>IF($K273="","",INDEX('سجل التحفيز'!$B$5:$B$2004,MATCH($K273,'سجل التحفيز'!$T$5:$T$2004,0)))</f>
        <v/>
      </c>
      <c r="N273" s="9">
        <f>IF($K273="","",INDEX('سجل التحفيز'!$M$5:$M$2004,MATCH($K273,'سجل التحفيز'!$T$5:$T$2004,0)))</f>
        <v/>
      </c>
      <c r="O273" s="9">
        <f>IF($K273="","",INDEX('سجل التحفيز'!$C$5:$C$2004,MATCH($K273,'سجل التحفيز'!$T$5:$T$2004,0)))</f>
        <v/>
      </c>
      <c r="P273" s="36">
        <f>IF($K273="","",INDEX('سجل التحفيز'!$D$5:$D$2004,MATCH($K273,'سجل التحفيز'!$T$5:$T$2004,0)))</f>
        <v/>
      </c>
      <c r="Q273" s="9">
        <f>IF($K273="","",INDEX('سجل التحفيز'!$E$5:$E$2004,MATCH($K273,'سجل التحفيز'!$T$5:$T$2004,0)))</f>
        <v/>
      </c>
      <c r="R273" s="9">
        <f>IF($K273="","",INDEX('سجل التحفيز'!$F$5:$F$2004,MATCH($K273,'سجل التحفيز'!$T$5:$T$2004,0)))</f>
        <v/>
      </c>
      <c r="S273" s="35">
        <f>IF($K273="","",INDEX('سجل التحفيز'!$G$5:$G$2004,MATCH($K273,'سجل التحفيز'!$T$5:$T$2004,0)))</f>
        <v/>
      </c>
    </row>
    <row r="274">
      <c r="K274" s="36">
        <f>IF(237&gt;$B$10,"",237)</f>
        <v/>
      </c>
      <c r="L274" s="37">
        <f>IF($K274="","",INDEX('سجل التحفيز'!$A$5:$A$2004,MATCH($K274,'سجل التحفيز'!$T$5:$T$2004,0)))</f>
        <v/>
      </c>
      <c r="M274" s="9">
        <f>IF($K274="","",INDEX('سجل التحفيز'!$B$5:$B$2004,MATCH($K274,'سجل التحفيز'!$T$5:$T$2004,0)))</f>
        <v/>
      </c>
      <c r="N274" s="9">
        <f>IF($K274="","",INDEX('سجل التحفيز'!$M$5:$M$2004,MATCH($K274,'سجل التحفيز'!$T$5:$T$2004,0)))</f>
        <v/>
      </c>
      <c r="O274" s="9">
        <f>IF($K274="","",INDEX('سجل التحفيز'!$C$5:$C$2004,MATCH($K274,'سجل التحفيز'!$T$5:$T$2004,0)))</f>
        <v/>
      </c>
      <c r="P274" s="36">
        <f>IF($K274="","",INDEX('سجل التحفيز'!$D$5:$D$2004,MATCH($K274,'سجل التحفيز'!$T$5:$T$2004,0)))</f>
        <v/>
      </c>
      <c r="Q274" s="9">
        <f>IF($K274="","",INDEX('سجل التحفيز'!$E$5:$E$2004,MATCH($K274,'سجل التحفيز'!$T$5:$T$2004,0)))</f>
        <v/>
      </c>
      <c r="R274" s="9">
        <f>IF($K274="","",INDEX('سجل التحفيز'!$F$5:$F$2004,MATCH($K274,'سجل التحفيز'!$T$5:$T$2004,0)))</f>
        <v/>
      </c>
      <c r="S274" s="35">
        <f>IF($K274="","",INDEX('سجل التحفيز'!$G$5:$G$2004,MATCH($K274,'سجل التحفيز'!$T$5:$T$2004,0)))</f>
        <v/>
      </c>
    </row>
    <row r="275">
      <c r="K275" s="36">
        <f>IF(238&gt;$B$10,"",238)</f>
        <v/>
      </c>
      <c r="L275" s="37">
        <f>IF($K275="","",INDEX('سجل التحفيز'!$A$5:$A$2004,MATCH($K275,'سجل التحفيز'!$T$5:$T$2004,0)))</f>
        <v/>
      </c>
      <c r="M275" s="9">
        <f>IF($K275="","",INDEX('سجل التحفيز'!$B$5:$B$2004,MATCH($K275,'سجل التحفيز'!$T$5:$T$2004,0)))</f>
        <v/>
      </c>
      <c r="N275" s="9">
        <f>IF($K275="","",INDEX('سجل التحفيز'!$M$5:$M$2004,MATCH($K275,'سجل التحفيز'!$T$5:$T$2004,0)))</f>
        <v/>
      </c>
      <c r="O275" s="9">
        <f>IF($K275="","",INDEX('سجل التحفيز'!$C$5:$C$2004,MATCH($K275,'سجل التحفيز'!$T$5:$T$2004,0)))</f>
        <v/>
      </c>
      <c r="P275" s="36">
        <f>IF($K275="","",INDEX('سجل التحفيز'!$D$5:$D$2004,MATCH($K275,'سجل التحفيز'!$T$5:$T$2004,0)))</f>
        <v/>
      </c>
      <c r="Q275" s="9">
        <f>IF($K275="","",INDEX('سجل التحفيز'!$E$5:$E$2004,MATCH($K275,'سجل التحفيز'!$T$5:$T$2004,0)))</f>
        <v/>
      </c>
      <c r="R275" s="9">
        <f>IF($K275="","",INDEX('سجل التحفيز'!$F$5:$F$2004,MATCH($K275,'سجل التحفيز'!$T$5:$T$2004,0)))</f>
        <v/>
      </c>
      <c r="S275" s="35">
        <f>IF($K275="","",INDEX('سجل التحفيز'!$G$5:$G$2004,MATCH($K275,'سجل التحفيز'!$T$5:$T$2004,0)))</f>
        <v/>
      </c>
    </row>
    <row r="276">
      <c r="K276" s="36">
        <f>IF(239&gt;$B$10,"",239)</f>
        <v/>
      </c>
      <c r="L276" s="37">
        <f>IF($K276="","",INDEX('سجل التحفيز'!$A$5:$A$2004,MATCH($K276,'سجل التحفيز'!$T$5:$T$2004,0)))</f>
        <v/>
      </c>
      <c r="M276" s="9">
        <f>IF($K276="","",INDEX('سجل التحفيز'!$B$5:$B$2004,MATCH($K276,'سجل التحفيز'!$T$5:$T$2004,0)))</f>
        <v/>
      </c>
      <c r="N276" s="9">
        <f>IF($K276="","",INDEX('سجل التحفيز'!$M$5:$M$2004,MATCH($K276,'سجل التحفيز'!$T$5:$T$2004,0)))</f>
        <v/>
      </c>
      <c r="O276" s="9">
        <f>IF($K276="","",INDEX('سجل التحفيز'!$C$5:$C$2004,MATCH($K276,'سجل التحفيز'!$T$5:$T$2004,0)))</f>
        <v/>
      </c>
      <c r="P276" s="36">
        <f>IF($K276="","",INDEX('سجل التحفيز'!$D$5:$D$2004,MATCH($K276,'سجل التحفيز'!$T$5:$T$2004,0)))</f>
        <v/>
      </c>
      <c r="Q276" s="9">
        <f>IF($K276="","",INDEX('سجل التحفيز'!$E$5:$E$2004,MATCH($K276,'سجل التحفيز'!$T$5:$T$2004,0)))</f>
        <v/>
      </c>
      <c r="R276" s="9">
        <f>IF($K276="","",INDEX('سجل التحفيز'!$F$5:$F$2004,MATCH($K276,'سجل التحفيز'!$T$5:$T$2004,0)))</f>
        <v/>
      </c>
      <c r="S276" s="35">
        <f>IF($K276="","",INDEX('سجل التحفيز'!$G$5:$G$2004,MATCH($K276,'سجل التحفيز'!$T$5:$T$2004,0)))</f>
        <v/>
      </c>
    </row>
    <row r="277">
      <c r="K277" s="36">
        <f>IF(240&gt;$B$10,"",240)</f>
        <v/>
      </c>
      <c r="L277" s="37">
        <f>IF($K277="","",INDEX('سجل التحفيز'!$A$5:$A$2004,MATCH($K277,'سجل التحفيز'!$T$5:$T$2004,0)))</f>
        <v/>
      </c>
      <c r="M277" s="9">
        <f>IF($K277="","",INDEX('سجل التحفيز'!$B$5:$B$2004,MATCH($K277,'سجل التحفيز'!$T$5:$T$2004,0)))</f>
        <v/>
      </c>
      <c r="N277" s="9">
        <f>IF($K277="","",INDEX('سجل التحفيز'!$M$5:$M$2004,MATCH($K277,'سجل التحفيز'!$T$5:$T$2004,0)))</f>
        <v/>
      </c>
      <c r="O277" s="9">
        <f>IF($K277="","",INDEX('سجل التحفيز'!$C$5:$C$2004,MATCH($K277,'سجل التحفيز'!$T$5:$T$2004,0)))</f>
        <v/>
      </c>
      <c r="P277" s="36">
        <f>IF($K277="","",INDEX('سجل التحفيز'!$D$5:$D$2004,MATCH($K277,'سجل التحفيز'!$T$5:$T$2004,0)))</f>
        <v/>
      </c>
      <c r="Q277" s="9">
        <f>IF($K277="","",INDEX('سجل التحفيز'!$E$5:$E$2004,MATCH($K277,'سجل التحفيز'!$T$5:$T$2004,0)))</f>
        <v/>
      </c>
      <c r="R277" s="9">
        <f>IF($K277="","",INDEX('سجل التحفيز'!$F$5:$F$2004,MATCH($K277,'سجل التحفيز'!$T$5:$T$2004,0)))</f>
        <v/>
      </c>
      <c r="S277" s="35">
        <f>IF($K277="","",INDEX('سجل التحفيز'!$G$5:$G$2004,MATCH($K277,'سجل التحفيز'!$T$5:$T$2004,0)))</f>
        <v/>
      </c>
    </row>
    <row r="278">
      <c r="K278" s="36">
        <f>IF(241&gt;$B$10,"",241)</f>
        <v/>
      </c>
      <c r="L278" s="37">
        <f>IF($K278="","",INDEX('سجل التحفيز'!$A$5:$A$2004,MATCH($K278,'سجل التحفيز'!$T$5:$T$2004,0)))</f>
        <v/>
      </c>
      <c r="M278" s="9">
        <f>IF($K278="","",INDEX('سجل التحفيز'!$B$5:$B$2004,MATCH($K278,'سجل التحفيز'!$T$5:$T$2004,0)))</f>
        <v/>
      </c>
      <c r="N278" s="9">
        <f>IF($K278="","",INDEX('سجل التحفيز'!$M$5:$M$2004,MATCH($K278,'سجل التحفيز'!$T$5:$T$2004,0)))</f>
        <v/>
      </c>
      <c r="O278" s="9">
        <f>IF($K278="","",INDEX('سجل التحفيز'!$C$5:$C$2004,MATCH($K278,'سجل التحفيز'!$T$5:$T$2004,0)))</f>
        <v/>
      </c>
      <c r="P278" s="36">
        <f>IF($K278="","",INDEX('سجل التحفيز'!$D$5:$D$2004,MATCH($K278,'سجل التحفيز'!$T$5:$T$2004,0)))</f>
        <v/>
      </c>
      <c r="Q278" s="9">
        <f>IF($K278="","",INDEX('سجل التحفيز'!$E$5:$E$2004,MATCH($K278,'سجل التحفيز'!$T$5:$T$2004,0)))</f>
        <v/>
      </c>
      <c r="R278" s="9">
        <f>IF($K278="","",INDEX('سجل التحفيز'!$F$5:$F$2004,MATCH($K278,'سجل التحفيز'!$T$5:$T$2004,0)))</f>
        <v/>
      </c>
      <c r="S278" s="35">
        <f>IF($K278="","",INDEX('سجل التحفيز'!$G$5:$G$2004,MATCH($K278,'سجل التحفيز'!$T$5:$T$2004,0)))</f>
        <v/>
      </c>
    </row>
    <row r="279">
      <c r="K279" s="36">
        <f>IF(242&gt;$B$10,"",242)</f>
        <v/>
      </c>
      <c r="L279" s="37">
        <f>IF($K279="","",INDEX('سجل التحفيز'!$A$5:$A$2004,MATCH($K279,'سجل التحفيز'!$T$5:$T$2004,0)))</f>
        <v/>
      </c>
      <c r="M279" s="9">
        <f>IF($K279="","",INDEX('سجل التحفيز'!$B$5:$B$2004,MATCH($K279,'سجل التحفيز'!$T$5:$T$2004,0)))</f>
        <v/>
      </c>
      <c r="N279" s="9">
        <f>IF($K279="","",INDEX('سجل التحفيز'!$M$5:$M$2004,MATCH($K279,'سجل التحفيز'!$T$5:$T$2004,0)))</f>
        <v/>
      </c>
      <c r="O279" s="9">
        <f>IF($K279="","",INDEX('سجل التحفيز'!$C$5:$C$2004,MATCH($K279,'سجل التحفيز'!$T$5:$T$2004,0)))</f>
        <v/>
      </c>
      <c r="P279" s="36">
        <f>IF($K279="","",INDEX('سجل التحفيز'!$D$5:$D$2004,MATCH($K279,'سجل التحفيز'!$T$5:$T$2004,0)))</f>
        <v/>
      </c>
      <c r="Q279" s="9">
        <f>IF($K279="","",INDEX('سجل التحفيز'!$E$5:$E$2004,MATCH($K279,'سجل التحفيز'!$T$5:$T$2004,0)))</f>
        <v/>
      </c>
      <c r="R279" s="9">
        <f>IF($K279="","",INDEX('سجل التحفيز'!$F$5:$F$2004,MATCH($K279,'سجل التحفيز'!$T$5:$T$2004,0)))</f>
        <v/>
      </c>
      <c r="S279" s="35">
        <f>IF($K279="","",INDEX('سجل التحفيز'!$G$5:$G$2004,MATCH($K279,'سجل التحفيز'!$T$5:$T$2004,0)))</f>
        <v/>
      </c>
    </row>
    <row r="280">
      <c r="K280" s="36">
        <f>IF(243&gt;$B$10,"",243)</f>
        <v/>
      </c>
      <c r="L280" s="37">
        <f>IF($K280="","",INDEX('سجل التحفيز'!$A$5:$A$2004,MATCH($K280,'سجل التحفيز'!$T$5:$T$2004,0)))</f>
        <v/>
      </c>
      <c r="M280" s="9">
        <f>IF($K280="","",INDEX('سجل التحفيز'!$B$5:$B$2004,MATCH($K280,'سجل التحفيز'!$T$5:$T$2004,0)))</f>
        <v/>
      </c>
      <c r="N280" s="9">
        <f>IF($K280="","",INDEX('سجل التحفيز'!$M$5:$M$2004,MATCH($K280,'سجل التحفيز'!$T$5:$T$2004,0)))</f>
        <v/>
      </c>
      <c r="O280" s="9">
        <f>IF($K280="","",INDEX('سجل التحفيز'!$C$5:$C$2004,MATCH($K280,'سجل التحفيز'!$T$5:$T$2004,0)))</f>
        <v/>
      </c>
      <c r="P280" s="36">
        <f>IF($K280="","",INDEX('سجل التحفيز'!$D$5:$D$2004,MATCH($K280,'سجل التحفيز'!$T$5:$T$2004,0)))</f>
        <v/>
      </c>
      <c r="Q280" s="9">
        <f>IF($K280="","",INDEX('سجل التحفيز'!$E$5:$E$2004,MATCH($K280,'سجل التحفيز'!$T$5:$T$2004,0)))</f>
        <v/>
      </c>
      <c r="R280" s="9">
        <f>IF($K280="","",INDEX('سجل التحفيز'!$F$5:$F$2004,MATCH($K280,'سجل التحفيز'!$T$5:$T$2004,0)))</f>
        <v/>
      </c>
      <c r="S280" s="35">
        <f>IF($K280="","",INDEX('سجل التحفيز'!$G$5:$G$2004,MATCH($K280,'سجل التحفيز'!$T$5:$T$2004,0)))</f>
        <v/>
      </c>
    </row>
    <row r="281">
      <c r="K281" s="36">
        <f>IF(244&gt;$B$10,"",244)</f>
        <v/>
      </c>
      <c r="L281" s="37">
        <f>IF($K281="","",INDEX('سجل التحفيز'!$A$5:$A$2004,MATCH($K281,'سجل التحفيز'!$T$5:$T$2004,0)))</f>
        <v/>
      </c>
      <c r="M281" s="9">
        <f>IF($K281="","",INDEX('سجل التحفيز'!$B$5:$B$2004,MATCH($K281,'سجل التحفيز'!$T$5:$T$2004,0)))</f>
        <v/>
      </c>
      <c r="N281" s="9">
        <f>IF($K281="","",INDEX('سجل التحفيز'!$M$5:$M$2004,MATCH($K281,'سجل التحفيز'!$T$5:$T$2004,0)))</f>
        <v/>
      </c>
      <c r="O281" s="9">
        <f>IF($K281="","",INDEX('سجل التحفيز'!$C$5:$C$2004,MATCH($K281,'سجل التحفيز'!$T$5:$T$2004,0)))</f>
        <v/>
      </c>
      <c r="P281" s="36">
        <f>IF($K281="","",INDEX('سجل التحفيز'!$D$5:$D$2004,MATCH($K281,'سجل التحفيز'!$T$5:$T$2004,0)))</f>
        <v/>
      </c>
      <c r="Q281" s="9">
        <f>IF($K281="","",INDEX('سجل التحفيز'!$E$5:$E$2004,MATCH($K281,'سجل التحفيز'!$T$5:$T$2004,0)))</f>
        <v/>
      </c>
      <c r="R281" s="9">
        <f>IF($K281="","",INDEX('سجل التحفيز'!$F$5:$F$2004,MATCH($K281,'سجل التحفيز'!$T$5:$T$2004,0)))</f>
        <v/>
      </c>
      <c r="S281" s="35">
        <f>IF($K281="","",INDEX('سجل التحفيز'!$G$5:$G$2004,MATCH($K281,'سجل التحفيز'!$T$5:$T$2004,0)))</f>
        <v/>
      </c>
    </row>
    <row r="282">
      <c r="K282" s="36">
        <f>IF(245&gt;$B$10,"",245)</f>
        <v/>
      </c>
      <c r="L282" s="37">
        <f>IF($K282="","",INDEX('سجل التحفيز'!$A$5:$A$2004,MATCH($K282,'سجل التحفيز'!$T$5:$T$2004,0)))</f>
        <v/>
      </c>
      <c r="M282" s="9">
        <f>IF($K282="","",INDEX('سجل التحفيز'!$B$5:$B$2004,MATCH($K282,'سجل التحفيز'!$T$5:$T$2004,0)))</f>
        <v/>
      </c>
      <c r="N282" s="9">
        <f>IF($K282="","",INDEX('سجل التحفيز'!$M$5:$M$2004,MATCH($K282,'سجل التحفيز'!$T$5:$T$2004,0)))</f>
        <v/>
      </c>
      <c r="O282" s="9">
        <f>IF($K282="","",INDEX('سجل التحفيز'!$C$5:$C$2004,MATCH($K282,'سجل التحفيز'!$T$5:$T$2004,0)))</f>
        <v/>
      </c>
      <c r="P282" s="36">
        <f>IF($K282="","",INDEX('سجل التحفيز'!$D$5:$D$2004,MATCH($K282,'سجل التحفيز'!$T$5:$T$2004,0)))</f>
        <v/>
      </c>
      <c r="Q282" s="9">
        <f>IF($K282="","",INDEX('سجل التحفيز'!$E$5:$E$2004,MATCH($K282,'سجل التحفيز'!$T$5:$T$2004,0)))</f>
        <v/>
      </c>
      <c r="R282" s="9">
        <f>IF($K282="","",INDEX('سجل التحفيز'!$F$5:$F$2004,MATCH($K282,'سجل التحفيز'!$T$5:$T$2004,0)))</f>
        <v/>
      </c>
      <c r="S282" s="35">
        <f>IF($K282="","",INDEX('سجل التحفيز'!$G$5:$G$2004,MATCH($K282,'سجل التحفيز'!$T$5:$T$2004,0)))</f>
        <v/>
      </c>
    </row>
    <row r="283">
      <c r="K283" s="36">
        <f>IF(246&gt;$B$10,"",246)</f>
        <v/>
      </c>
      <c r="L283" s="37">
        <f>IF($K283="","",INDEX('سجل التحفيز'!$A$5:$A$2004,MATCH($K283,'سجل التحفيز'!$T$5:$T$2004,0)))</f>
        <v/>
      </c>
      <c r="M283" s="9">
        <f>IF($K283="","",INDEX('سجل التحفيز'!$B$5:$B$2004,MATCH($K283,'سجل التحفيز'!$T$5:$T$2004,0)))</f>
        <v/>
      </c>
      <c r="N283" s="9">
        <f>IF($K283="","",INDEX('سجل التحفيز'!$M$5:$M$2004,MATCH($K283,'سجل التحفيز'!$T$5:$T$2004,0)))</f>
        <v/>
      </c>
      <c r="O283" s="9">
        <f>IF($K283="","",INDEX('سجل التحفيز'!$C$5:$C$2004,MATCH($K283,'سجل التحفيز'!$T$5:$T$2004,0)))</f>
        <v/>
      </c>
      <c r="P283" s="36">
        <f>IF($K283="","",INDEX('سجل التحفيز'!$D$5:$D$2004,MATCH($K283,'سجل التحفيز'!$T$5:$T$2004,0)))</f>
        <v/>
      </c>
      <c r="Q283" s="9">
        <f>IF($K283="","",INDEX('سجل التحفيز'!$E$5:$E$2004,MATCH($K283,'سجل التحفيز'!$T$5:$T$2004,0)))</f>
        <v/>
      </c>
      <c r="R283" s="9">
        <f>IF($K283="","",INDEX('سجل التحفيز'!$F$5:$F$2004,MATCH($K283,'سجل التحفيز'!$T$5:$T$2004,0)))</f>
        <v/>
      </c>
      <c r="S283" s="35">
        <f>IF($K283="","",INDEX('سجل التحفيز'!$G$5:$G$2004,MATCH($K283,'سجل التحفيز'!$T$5:$T$2004,0)))</f>
        <v/>
      </c>
    </row>
    <row r="284">
      <c r="K284" s="36">
        <f>IF(247&gt;$B$10,"",247)</f>
        <v/>
      </c>
      <c r="L284" s="37">
        <f>IF($K284="","",INDEX('سجل التحفيز'!$A$5:$A$2004,MATCH($K284,'سجل التحفيز'!$T$5:$T$2004,0)))</f>
        <v/>
      </c>
      <c r="M284" s="9">
        <f>IF($K284="","",INDEX('سجل التحفيز'!$B$5:$B$2004,MATCH($K284,'سجل التحفيز'!$T$5:$T$2004,0)))</f>
        <v/>
      </c>
      <c r="N284" s="9">
        <f>IF($K284="","",INDEX('سجل التحفيز'!$M$5:$M$2004,MATCH($K284,'سجل التحفيز'!$T$5:$T$2004,0)))</f>
        <v/>
      </c>
      <c r="O284" s="9">
        <f>IF($K284="","",INDEX('سجل التحفيز'!$C$5:$C$2004,MATCH($K284,'سجل التحفيز'!$T$5:$T$2004,0)))</f>
        <v/>
      </c>
      <c r="P284" s="36">
        <f>IF($K284="","",INDEX('سجل التحفيز'!$D$5:$D$2004,MATCH($K284,'سجل التحفيز'!$T$5:$T$2004,0)))</f>
        <v/>
      </c>
      <c r="Q284" s="9">
        <f>IF($K284="","",INDEX('سجل التحفيز'!$E$5:$E$2004,MATCH($K284,'سجل التحفيز'!$T$5:$T$2004,0)))</f>
        <v/>
      </c>
      <c r="R284" s="9">
        <f>IF($K284="","",INDEX('سجل التحفيز'!$F$5:$F$2004,MATCH($K284,'سجل التحفيز'!$T$5:$T$2004,0)))</f>
        <v/>
      </c>
      <c r="S284" s="35">
        <f>IF($K284="","",INDEX('سجل التحفيز'!$G$5:$G$2004,MATCH($K284,'سجل التحفيز'!$T$5:$T$2004,0)))</f>
        <v/>
      </c>
    </row>
    <row r="285">
      <c r="K285" s="36">
        <f>IF(248&gt;$B$10,"",248)</f>
        <v/>
      </c>
      <c r="L285" s="37">
        <f>IF($K285="","",INDEX('سجل التحفيز'!$A$5:$A$2004,MATCH($K285,'سجل التحفيز'!$T$5:$T$2004,0)))</f>
        <v/>
      </c>
      <c r="M285" s="9">
        <f>IF($K285="","",INDEX('سجل التحفيز'!$B$5:$B$2004,MATCH($K285,'سجل التحفيز'!$T$5:$T$2004,0)))</f>
        <v/>
      </c>
      <c r="N285" s="9">
        <f>IF($K285="","",INDEX('سجل التحفيز'!$M$5:$M$2004,MATCH($K285,'سجل التحفيز'!$T$5:$T$2004,0)))</f>
        <v/>
      </c>
      <c r="O285" s="9">
        <f>IF($K285="","",INDEX('سجل التحفيز'!$C$5:$C$2004,MATCH($K285,'سجل التحفيز'!$T$5:$T$2004,0)))</f>
        <v/>
      </c>
      <c r="P285" s="36">
        <f>IF($K285="","",INDEX('سجل التحفيز'!$D$5:$D$2004,MATCH($K285,'سجل التحفيز'!$T$5:$T$2004,0)))</f>
        <v/>
      </c>
      <c r="Q285" s="9">
        <f>IF($K285="","",INDEX('سجل التحفيز'!$E$5:$E$2004,MATCH($K285,'سجل التحفيز'!$T$5:$T$2004,0)))</f>
        <v/>
      </c>
      <c r="R285" s="9">
        <f>IF($K285="","",INDEX('سجل التحفيز'!$F$5:$F$2004,MATCH($K285,'سجل التحفيز'!$T$5:$T$2004,0)))</f>
        <v/>
      </c>
      <c r="S285" s="35">
        <f>IF($K285="","",INDEX('سجل التحفيز'!$G$5:$G$2004,MATCH($K285,'سجل التحفيز'!$T$5:$T$2004,0)))</f>
        <v/>
      </c>
    </row>
    <row r="286">
      <c r="K286" s="36">
        <f>IF(249&gt;$B$10,"",249)</f>
        <v/>
      </c>
      <c r="L286" s="37">
        <f>IF($K286="","",INDEX('سجل التحفيز'!$A$5:$A$2004,MATCH($K286,'سجل التحفيز'!$T$5:$T$2004,0)))</f>
        <v/>
      </c>
      <c r="M286" s="9">
        <f>IF($K286="","",INDEX('سجل التحفيز'!$B$5:$B$2004,MATCH($K286,'سجل التحفيز'!$T$5:$T$2004,0)))</f>
        <v/>
      </c>
      <c r="N286" s="9">
        <f>IF($K286="","",INDEX('سجل التحفيز'!$M$5:$M$2004,MATCH($K286,'سجل التحفيز'!$T$5:$T$2004,0)))</f>
        <v/>
      </c>
      <c r="O286" s="9">
        <f>IF($K286="","",INDEX('سجل التحفيز'!$C$5:$C$2004,MATCH($K286,'سجل التحفيز'!$T$5:$T$2004,0)))</f>
        <v/>
      </c>
      <c r="P286" s="36">
        <f>IF($K286="","",INDEX('سجل التحفيز'!$D$5:$D$2004,MATCH($K286,'سجل التحفيز'!$T$5:$T$2004,0)))</f>
        <v/>
      </c>
      <c r="Q286" s="9">
        <f>IF($K286="","",INDEX('سجل التحفيز'!$E$5:$E$2004,MATCH($K286,'سجل التحفيز'!$T$5:$T$2004,0)))</f>
        <v/>
      </c>
      <c r="R286" s="9">
        <f>IF($K286="","",INDEX('سجل التحفيز'!$F$5:$F$2004,MATCH($K286,'سجل التحفيز'!$T$5:$T$2004,0)))</f>
        <v/>
      </c>
      <c r="S286" s="35">
        <f>IF($K286="","",INDEX('سجل التحفيز'!$G$5:$G$2004,MATCH($K286,'سجل التحفيز'!$T$5:$T$2004,0)))</f>
        <v/>
      </c>
    </row>
    <row r="287">
      <c r="K287" s="36">
        <f>IF(250&gt;$B$10,"",250)</f>
        <v/>
      </c>
      <c r="L287" s="37">
        <f>IF($K287="","",INDEX('سجل التحفيز'!$A$5:$A$2004,MATCH($K287,'سجل التحفيز'!$T$5:$T$2004,0)))</f>
        <v/>
      </c>
      <c r="M287" s="9">
        <f>IF($K287="","",INDEX('سجل التحفيز'!$B$5:$B$2004,MATCH($K287,'سجل التحفيز'!$T$5:$T$2004,0)))</f>
        <v/>
      </c>
      <c r="N287" s="9">
        <f>IF($K287="","",INDEX('سجل التحفيز'!$M$5:$M$2004,MATCH($K287,'سجل التحفيز'!$T$5:$T$2004,0)))</f>
        <v/>
      </c>
      <c r="O287" s="9">
        <f>IF($K287="","",INDEX('سجل التحفيز'!$C$5:$C$2004,MATCH($K287,'سجل التحفيز'!$T$5:$T$2004,0)))</f>
        <v/>
      </c>
      <c r="P287" s="36">
        <f>IF($K287="","",INDEX('سجل التحفيز'!$D$5:$D$2004,MATCH($K287,'سجل التحفيز'!$T$5:$T$2004,0)))</f>
        <v/>
      </c>
      <c r="Q287" s="9">
        <f>IF($K287="","",INDEX('سجل التحفيز'!$E$5:$E$2004,MATCH($K287,'سجل التحفيز'!$T$5:$T$2004,0)))</f>
        <v/>
      </c>
      <c r="R287" s="9">
        <f>IF($K287="","",INDEX('سجل التحفيز'!$F$5:$F$2004,MATCH($K287,'سجل التحفيز'!$T$5:$T$2004,0)))</f>
        <v/>
      </c>
      <c r="S287" s="35">
        <f>IF($K287="","",INDEX('سجل التحفيز'!$G$5:$G$2004,MATCH($K287,'سجل التحفيز'!$T$5:$T$2004,0)))</f>
        <v/>
      </c>
    </row>
    <row r="288">
      <c r="K288" s="36">
        <f>IF(251&gt;$B$10,"",251)</f>
        <v/>
      </c>
      <c r="L288" s="37">
        <f>IF($K288="","",INDEX('سجل التحفيز'!$A$5:$A$2004,MATCH($K288,'سجل التحفيز'!$T$5:$T$2004,0)))</f>
        <v/>
      </c>
      <c r="M288" s="9">
        <f>IF($K288="","",INDEX('سجل التحفيز'!$B$5:$B$2004,MATCH($K288,'سجل التحفيز'!$T$5:$T$2004,0)))</f>
        <v/>
      </c>
      <c r="N288" s="9">
        <f>IF($K288="","",INDEX('سجل التحفيز'!$M$5:$M$2004,MATCH($K288,'سجل التحفيز'!$T$5:$T$2004,0)))</f>
        <v/>
      </c>
      <c r="O288" s="9">
        <f>IF($K288="","",INDEX('سجل التحفيز'!$C$5:$C$2004,MATCH($K288,'سجل التحفيز'!$T$5:$T$2004,0)))</f>
        <v/>
      </c>
      <c r="P288" s="36">
        <f>IF($K288="","",INDEX('سجل التحفيز'!$D$5:$D$2004,MATCH($K288,'سجل التحفيز'!$T$5:$T$2004,0)))</f>
        <v/>
      </c>
      <c r="Q288" s="9">
        <f>IF($K288="","",INDEX('سجل التحفيز'!$E$5:$E$2004,MATCH($K288,'سجل التحفيز'!$T$5:$T$2004,0)))</f>
        <v/>
      </c>
      <c r="R288" s="9">
        <f>IF($K288="","",INDEX('سجل التحفيز'!$F$5:$F$2004,MATCH($K288,'سجل التحفيز'!$T$5:$T$2004,0)))</f>
        <v/>
      </c>
      <c r="S288" s="35">
        <f>IF($K288="","",INDEX('سجل التحفيز'!$G$5:$G$2004,MATCH($K288,'سجل التحفيز'!$T$5:$T$2004,0)))</f>
        <v/>
      </c>
    </row>
    <row r="289">
      <c r="K289" s="36">
        <f>IF(252&gt;$B$10,"",252)</f>
        <v/>
      </c>
      <c r="L289" s="37">
        <f>IF($K289="","",INDEX('سجل التحفيز'!$A$5:$A$2004,MATCH($K289,'سجل التحفيز'!$T$5:$T$2004,0)))</f>
        <v/>
      </c>
      <c r="M289" s="9">
        <f>IF($K289="","",INDEX('سجل التحفيز'!$B$5:$B$2004,MATCH($K289,'سجل التحفيز'!$T$5:$T$2004,0)))</f>
        <v/>
      </c>
      <c r="N289" s="9">
        <f>IF($K289="","",INDEX('سجل التحفيز'!$M$5:$M$2004,MATCH($K289,'سجل التحفيز'!$T$5:$T$2004,0)))</f>
        <v/>
      </c>
      <c r="O289" s="9">
        <f>IF($K289="","",INDEX('سجل التحفيز'!$C$5:$C$2004,MATCH($K289,'سجل التحفيز'!$T$5:$T$2004,0)))</f>
        <v/>
      </c>
      <c r="P289" s="36">
        <f>IF($K289="","",INDEX('سجل التحفيز'!$D$5:$D$2004,MATCH($K289,'سجل التحفيز'!$T$5:$T$2004,0)))</f>
        <v/>
      </c>
      <c r="Q289" s="9">
        <f>IF($K289="","",INDEX('سجل التحفيز'!$E$5:$E$2004,MATCH($K289,'سجل التحفيز'!$T$5:$T$2004,0)))</f>
        <v/>
      </c>
      <c r="R289" s="9">
        <f>IF($K289="","",INDEX('سجل التحفيز'!$F$5:$F$2004,MATCH($K289,'سجل التحفيز'!$T$5:$T$2004,0)))</f>
        <v/>
      </c>
      <c r="S289" s="35">
        <f>IF($K289="","",INDEX('سجل التحفيز'!$G$5:$G$2004,MATCH($K289,'سجل التحفيز'!$T$5:$T$2004,0)))</f>
        <v/>
      </c>
    </row>
    <row r="290">
      <c r="K290" s="36">
        <f>IF(253&gt;$B$10,"",253)</f>
        <v/>
      </c>
      <c r="L290" s="37">
        <f>IF($K290="","",INDEX('سجل التحفيز'!$A$5:$A$2004,MATCH($K290,'سجل التحفيز'!$T$5:$T$2004,0)))</f>
        <v/>
      </c>
      <c r="M290" s="9">
        <f>IF($K290="","",INDEX('سجل التحفيز'!$B$5:$B$2004,MATCH($K290,'سجل التحفيز'!$T$5:$T$2004,0)))</f>
        <v/>
      </c>
      <c r="N290" s="9">
        <f>IF($K290="","",INDEX('سجل التحفيز'!$M$5:$M$2004,MATCH($K290,'سجل التحفيز'!$T$5:$T$2004,0)))</f>
        <v/>
      </c>
      <c r="O290" s="9">
        <f>IF($K290="","",INDEX('سجل التحفيز'!$C$5:$C$2004,MATCH($K290,'سجل التحفيز'!$T$5:$T$2004,0)))</f>
        <v/>
      </c>
      <c r="P290" s="36">
        <f>IF($K290="","",INDEX('سجل التحفيز'!$D$5:$D$2004,MATCH($K290,'سجل التحفيز'!$T$5:$T$2004,0)))</f>
        <v/>
      </c>
      <c r="Q290" s="9">
        <f>IF($K290="","",INDEX('سجل التحفيز'!$E$5:$E$2004,MATCH($K290,'سجل التحفيز'!$T$5:$T$2004,0)))</f>
        <v/>
      </c>
      <c r="R290" s="9">
        <f>IF($K290="","",INDEX('سجل التحفيز'!$F$5:$F$2004,MATCH($K290,'سجل التحفيز'!$T$5:$T$2004,0)))</f>
        <v/>
      </c>
      <c r="S290" s="35">
        <f>IF($K290="","",INDEX('سجل التحفيز'!$G$5:$G$2004,MATCH($K290,'سجل التحفيز'!$T$5:$T$2004,0)))</f>
        <v/>
      </c>
    </row>
    <row r="291">
      <c r="K291" s="36">
        <f>IF(254&gt;$B$10,"",254)</f>
        <v/>
      </c>
      <c r="L291" s="37">
        <f>IF($K291="","",INDEX('سجل التحفيز'!$A$5:$A$2004,MATCH($K291,'سجل التحفيز'!$T$5:$T$2004,0)))</f>
        <v/>
      </c>
      <c r="M291" s="9">
        <f>IF($K291="","",INDEX('سجل التحفيز'!$B$5:$B$2004,MATCH($K291,'سجل التحفيز'!$T$5:$T$2004,0)))</f>
        <v/>
      </c>
      <c r="N291" s="9">
        <f>IF($K291="","",INDEX('سجل التحفيز'!$M$5:$M$2004,MATCH($K291,'سجل التحفيز'!$T$5:$T$2004,0)))</f>
        <v/>
      </c>
      <c r="O291" s="9">
        <f>IF($K291="","",INDEX('سجل التحفيز'!$C$5:$C$2004,MATCH($K291,'سجل التحفيز'!$T$5:$T$2004,0)))</f>
        <v/>
      </c>
      <c r="P291" s="36">
        <f>IF($K291="","",INDEX('سجل التحفيز'!$D$5:$D$2004,MATCH($K291,'سجل التحفيز'!$T$5:$T$2004,0)))</f>
        <v/>
      </c>
      <c r="Q291" s="9">
        <f>IF($K291="","",INDEX('سجل التحفيز'!$E$5:$E$2004,MATCH($K291,'سجل التحفيز'!$T$5:$T$2004,0)))</f>
        <v/>
      </c>
      <c r="R291" s="9">
        <f>IF($K291="","",INDEX('سجل التحفيز'!$F$5:$F$2004,MATCH($K291,'سجل التحفيز'!$T$5:$T$2004,0)))</f>
        <v/>
      </c>
      <c r="S291" s="35">
        <f>IF($K291="","",INDEX('سجل التحفيز'!$G$5:$G$2004,MATCH($K291,'سجل التحفيز'!$T$5:$T$2004,0)))</f>
        <v/>
      </c>
    </row>
    <row r="292">
      <c r="K292" s="36">
        <f>IF(255&gt;$B$10,"",255)</f>
        <v/>
      </c>
      <c r="L292" s="37">
        <f>IF($K292="","",INDEX('سجل التحفيز'!$A$5:$A$2004,MATCH($K292,'سجل التحفيز'!$T$5:$T$2004,0)))</f>
        <v/>
      </c>
      <c r="M292" s="9">
        <f>IF($K292="","",INDEX('سجل التحفيز'!$B$5:$B$2004,MATCH($K292,'سجل التحفيز'!$T$5:$T$2004,0)))</f>
        <v/>
      </c>
      <c r="N292" s="9">
        <f>IF($K292="","",INDEX('سجل التحفيز'!$M$5:$M$2004,MATCH($K292,'سجل التحفيز'!$T$5:$T$2004,0)))</f>
        <v/>
      </c>
      <c r="O292" s="9">
        <f>IF($K292="","",INDEX('سجل التحفيز'!$C$5:$C$2004,MATCH($K292,'سجل التحفيز'!$T$5:$T$2004,0)))</f>
        <v/>
      </c>
      <c r="P292" s="36">
        <f>IF($K292="","",INDEX('سجل التحفيز'!$D$5:$D$2004,MATCH($K292,'سجل التحفيز'!$T$5:$T$2004,0)))</f>
        <v/>
      </c>
      <c r="Q292" s="9">
        <f>IF($K292="","",INDEX('سجل التحفيز'!$E$5:$E$2004,MATCH($K292,'سجل التحفيز'!$T$5:$T$2004,0)))</f>
        <v/>
      </c>
      <c r="R292" s="9">
        <f>IF($K292="","",INDEX('سجل التحفيز'!$F$5:$F$2004,MATCH($K292,'سجل التحفيز'!$T$5:$T$2004,0)))</f>
        <v/>
      </c>
      <c r="S292" s="35">
        <f>IF($K292="","",INDEX('سجل التحفيز'!$G$5:$G$2004,MATCH($K292,'سجل التحفيز'!$T$5:$T$2004,0)))</f>
        <v/>
      </c>
    </row>
    <row r="293">
      <c r="K293" s="36">
        <f>IF(256&gt;$B$10,"",256)</f>
        <v/>
      </c>
      <c r="L293" s="37">
        <f>IF($K293="","",INDEX('سجل التحفيز'!$A$5:$A$2004,MATCH($K293,'سجل التحفيز'!$T$5:$T$2004,0)))</f>
        <v/>
      </c>
      <c r="M293" s="9">
        <f>IF($K293="","",INDEX('سجل التحفيز'!$B$5:$B$2004,MATCH($K293,'سجل التحفيز'!$T$5:$T$2004,0)))</f>
        <v/>
      </c>
      <c r="N293" s="9">
        <f>IF($K293="","",INDEX('سجل التحفيز'!$M$5:$M$2004,MATCH($K293,'سجل التحفيز'!$T$5:$T$2004,0)))</f>
        <v/>
      </c>
      <c r="O293" s="9">
        <f>IF($K293="","",INDEX('سجل التحفيز'!$C$5:$C$2004,MATCH($K293,'سجل التحفيز'!$T$5:$T$2004,0)))</f>
        <v/>
      </c>
      <c r="P293" s="36">
        <f>IF($K293="","",INDEX('سجل التحفيز'!$D$5:$D$2004,MATCH($K293,'سجل التحفيز'!$T$5:$T$2004,0)))</f>
        <v/>
      </c>
      <c r="Q293" s="9">
        <f>IF($K293="","",INDEX('سجل التحفيز'!$E$5:$E$2004,MATCH($K293,'سجل التحفيز'!$T$5:$T$2004,0)))</f>
        <v/>
      </c>
      <c r="R293" s="9">
        <f>IF($K293="","",INDEX('سجل التحفيز'!$F$5:$F$2004,MATCH($K293,'سجل التحفيز'!$T$5:$T$2004,0)))</f>
        <v/>
      </c>
      <c r="S293" s="35">
        <f>IF($K293="","",INDEX('سجل التحفيز'!$G$5:$G$2004,MATCH($K293,'سجل التحفيز'!$T$5:$T$2004,0)))</f>
        <v/>
      </c>
    </row>
    <row r="294">
      <c r="K294" s="36">
        <f>IF(257&gt;$B$10,"",257)</f>
        <v/>
      </c>
      <c r="L294" s="37">
        <f>IF($K294="","",INDEX('سجل التحفيز'!$A$5:$A$2004,MATCH($K294,'سجل التحفيز'!$T$5:$T$2004,0)))</f>
        <v/>
      </c>
      <c r="M294" s="9">
        <f>IF($K294="","",INDEX('سجل التحفيز'!$B$5:$B$2004,MATCH($K294,'سجل التحفيز'!$T$5:$T$2004,0)))</f>
        <v/>
      </c>
      <c r="N294" s="9">
        <f>IF($K294="","",INDEX('سجل التحفيز'!$M$5:$M$2004,MATCH($K294,'سجل التحفيز'!$T$5:$T$2004,0)))</f>
        <v/>
      </c>
      <c r="O294" s="9">
        <f>IF($K294="","",INDEX('سجل التحفيز'!$C$5:$C$2004,MATCH($K294,'سجل التحفيز'!$T$5:$T$2004,0)))</f>
        <v/>
      </c>
      <c r="P294" s="36">
        <f>IF($K294="","",INDEX('سجل التحفيز'!$D$5:$D$2004,MATCH($K294,'سجل التحفيز'!$T$5:$T$2004,0)))</f>
        <v/>
      </c>
      <c r="Q294" s="9">
        <f>IF($K294="","",INDEX('سجل التحفيز'!$E$5:$E$2004,MATCH($K294,'سجل التحفيز'!$T$5:$T$2004,0)))</f>
        <v/>
      </c>
      <c r="R294" s="9">
        <f>IF($K294="","",INDEX('سجل التحفيز'!$F$5:$F$2004,MATCH($K294,'سجل التحفيز'!$T$5:$T$2004,0)))</f>
        <v/>
      </c>
      <c r="S294" s="35">
        <f>IF($K294="","",INDEX('سجل التحفيز'!$G$5:$G$2004,MATCH($K294,'سجل التحفيز'!$T$5:$T$2004,0)))</f>
        <v/>
      </c>
    </row>
    <row r="295">
      <c r="K295" s="36">
        <f>IF(258&gt;$B$10,"",258)</f>
        <v/>
      </c>
      <c r="L295" s="37">
        <f>IF($K295="","",INDEX('سجل التحفيز'!$A$5:$A$2004,MATCH($K295,'سجل التحفيز'!$T$5:$T$2004,0)))</f>
        <v/>
      </c>
      <c r="M295" s="9">
        <f>IF($K295="","",INDEX('سجل التحفيز'!$B$5:$B$2004,MATCH($K295,'سجل التحفيز'!$T$5:$T$2004,0)))</f>
        <v/>
      </c>
      <c r="N295" s="9">
        <f>IF($K295="","",INDEX('سجل التحفيز'!$M$5:$M$2004,MATCH($K295,'سجل التحفيز'!$T$5:$T$2004,0)))</f>
        <v/>
      </c>
      <c r="O295" s="9">
        <f>IF($K295="","",INDEX('سجل التحفيز'!$C$5:$C$2004,MATCH($K295,'سجل التحفيز'!$T$5:$T$2004,0)))</f>
        <v/>
      </c>
      <c r="P295" s="36">
        <f>IF($K295="","",INDEX('سجل التحفيز'!$D$5:$D$2004,MATCH($K295,'سجل التحفيز'!$T$5:$T$2004,0)))</f>
        <v/>
      </c>
      <c r="Q295" s="9">
        <f>IF($K295="","",INDEX('سجل التحفيز'!$E$5:$E$2004,MATCH($K295,'سجل التحفيز'!$T$5:$T$2004,0)))</f>
        <v/>
      </c>
      <c r="R295" s="9">
        <f>IF($K295="","",INDEX('سجل التحفيز'!$F$5:$F$2004,MATCH($K295,'سجل التحفيز'!$T$5:$T$2004,0)))</f>
        <v/>
      </c>
      <c r="S295" s="35">
        <f>IF($K295="","",INDEX('سجل التحفيز'!$G$5:$G$2004,MATCH($K295,'سجل التحفيز'!$T$5:$T$2004,0)))</f>
        <v/>
      </c>
    </row>
    <row r="296">
      <c r="K296" s="36">
        <f>IF(259&gt;$B$10,"",259)</f>
        <v/>
      </c>
      <c r="L296" s="37">
        <f>IF($K296="","",INDEX('سجل التحفيز'!$A$5:$A$2004,MATCH($K296,'سجل التحفيز'!$T$5:$T$2004,0)))</f>
        <v/>
      </c>
      <c r="M296" s="9">
        <f>IF($K296="","",INDEX('سجل التحفيز'!$B$5:$B$2004,MATCH($K296,'سجل التحفيز'!$T$5:$T$2004,0)))</f>
        <v/>
      </c>
      <c r="N296" s="9">
        <f>IF($K296="","",INDEX('سجل التحفيز'!$M$5:$M$2004,MATCH($K296,'سجل التحفيز'!$T$5:$T$2004,0)))</f>
        <v/>
      </c>
      <c r="O296" s="9">
        <f>IF($K296="","",INDEX('سجل التحفيز'!$C$5:$C$2004,MATCH($K296,'سجل التحفيز'!$T$5:$T$2004,0)))</f>
        <v/>
      </c>
      <c r="P296" s="36">
        <f>IF($K296="","",INDEX('سجل التحفيز'!$D$5:$D$2004,MATCH($K296,'سجل التحفيز'!$T$5:$T$2004,0)))</f>
        <v/>
      </c>
      <c r="Q296" s="9">
        <f>IF($K296="","",INDEX('سجل التحفيز'!$E$5:$E$2004,MATCH($K296,'سجل التحفيز'!$T$5:$T$2004,0)))</f>
        <v/>
      </c>
      <c r="R296" s="9">
        <f>IF($K296="","",INDEX('سجل التحفيز'!$F$5:$F$2004,MATCH($K296,'سجل التحفيز'!$T$5:$T$2004,0)))</f>
        <v/>
      </c>
      <c r="S296" s="35">
        <f>IF($K296="","",INDEX('سجل التحفيز'!$G$5:$G$2004,MATCH($K296,'سجل التحفيز'!$T$5:$T$2004,0)))</f>
        <v/>
      </c>
    </row>
    <row r="297">
      <c r="K297" s="36">
        <f>IF(260&gt;$B$10,"",260)</f>
        <v/>
      </c>
      <c r="L297" s="37">
        <f>IF($K297="","",INDEX('سجل التحفيز'!$A$5:$A$2004,MATCH($K297,'سجل التحفيز'!$T$5:$T$2004,0)))</f>
        <v/>
      </c>
      <c r="M297" s="9">
        <f>IF($K297="","",INDEX('سجل التحفيز'!$B$5:$B$2004,MATCH($K297,'سجل التحفيز'!$T$5:$T$2004,0)))</f>
        <v/>
      </c>
      <c r="N297" s="9">
        <f>IF($K297="","",INDEX('سجل التحفيز'!$M$5:$M$2004,MATCH($K297,'سجل التحفيز'!$T$5:$T$2004,0)))</f>
        <v/>
      </c>
      <c r="O297" s="9">
        <f>IF($K297="","",INDEX('سجل التحفيز'!$C$5:$C$2004,MATCH($K297,'سجل التحفيز'!$T$5:$T$2004,0)))</f>
        <v/>
      </c>
      <c r="P297" s="36">
        <f>IF($K297="","",INDEX('سجل التحفيز'!$D$5:$D$2004,MATCH($K297,'سجل التحفيز'!$T$5:$T$2004,0)))</f>
        <v/>
      </c>
      <c r="Q297" s="9">
        <f>IF($K297="","",INDEX('سجل التحفيز'!$E$5:$E$2004,MATCH($K297,'سجل التحفيز'!$T$5:$T$2004,0)))</f>
        <v/>
      </c>
      <c r="R297" s="9">
        <f>IF($K297="","",INDEX('سجل التحفيز'!$F$5:$F$2004,MATCH($K297,'سجل التحفيز'!$T$5:$T$2004,0)))</f>
        <v/>
      </c>
      <c r="S297" s="35">
        <f>IF($K297="","",INDEX('سجل التحفيز'!$G$5:$G$2004,MATCH($K297,'سجل التحفيز'!$T$5:$T$2004,0)))</f>
        <v/>
      </c>
    </row>
    <row r="298">
      <c r="K298" s="36">
        <f>IF(261&gt;$B$10,"",261)</f>
        <v/>
      </c>
      <c r="L298" s="37">
        <f>IF($K298="","",INDEX('سجل التحفيز'!$A$5:$A$2004,MATCH($K298,'سجل التحفيز'!$T$5:$T$2004,0)))</f>
        <v/>
      </c>
      <c r="M298" s="9">
        <f>IF($K298="","",INDEX('سجل التحفيز'!$B$5:$B$2004,MATCH($K298,'سجل التحفيز'!$T$5:$T$2004,0)))</f>
        <v/>
      </c>
      <c r="N298" s="9">
        <f>IF($K298="","",INDEX('سجل التحفيز'!$M$5:$M$2004,MATCH($K298,'سجل التحفيز'!$T$5:$T$2004,0)))</f>
        <v/>
      </c>
      <c r="O298" s="9">
        <f>IF($K298="","",INDEX('سجل التحفيز'!$C$5:$C$2004,MATCH($K298,'سجل التحفيز'!$T$5:$T$2004,0)))</f>
        <v/>
      </c>
      <c r="P298" s="36">
        <f>IF($K298="","",INDEX('سجل التحفيز'!$D$5:$D$2004,MATCH($K298,'سجل التحفيز'!$T$5:$T$2004,0)))</f>
        <v/>
      </c>
      <c r="Q298" s="9">
        <f>IF($K298="","",INDEX('سجل التحفيز'!$E$5:$E$2004,MATCH($K298,'سجل التحفيز'!$T$5:$T$2004,0)))</f>
        <v/>
      </c>
      <c r="R298" s="9">
        <f>IF($K298="","",INDEX('سجل التحفيز'!$F$5:$F$2004,MATCH($K298,'سجل التحفيز'!$T$5:$T$2004,0)))</f>
        <v/>
      </c>
      <c r="S298" s="35">
        <f>IF($K298="","",INDEX('سجل التحفيز'!$G$5:$G$2004,MATCH($K298,'سجل التحفيز'!$T$5:$T$2004,0)))</f>
        <v/>
      </c>
    </row>
    <row r="299">
      <c r="K299" s="36">
        <f>IF(262&gt;$B$10,"",262)</f>
        <v/>
      </c>
      <c r="L299" s="37">
        <f>IF($K299="","",INDEX('سجل التحفيز'!$A$5:$A$2004,MATCH($K299,'سجل التحفيز'!$T$5:$T$2004,0)))</f>
        <v/>
      </c>
      <c r="M299" s="9">
        <f>IF($K299="","",INDEX('سجل التحفيز'!$B$5:$B$2004,MATCH($K299,'سجل التحفيز'!$T$5:$T$2004,0)))</f>
        <v/>
      </c>
      <c r="N299" s="9">
        <f>IF($K299="","",INDEX('سجل التحفيز'!$M$5:$M$2004,MATCH($K299,'سجل التحفيز'!$T$5:$T$2004,0)))</f>
        <v/>
      </c>
      <c r="O299" s="9">
        <f>IF($K299="","",INDEX('سجل التحفيز'!$C$5:$C$2004,MATCH($K299,'سجل التحفيز'!$T$5:$T$2004,0)))</f>
        <v/>
      </c>
      <c r="P299" s="36">
        <f>IF($K299="","",INDEX('سجل التحفيز'!$D$5:$D$2004,MATCH($K299,'سجل التحفيز'!$T$5:$T$2004,0)))</f>
        <v/>
      </c>
      <c r="Q299" s="9">
        <f>IF($K299="","",INDEX('سجل التحفيز'!$E$5:$E$2004,MATCH($K299,'سجل التحفيز'!$T$5:$T$2004,0)))</f>
        <v/>
      </c>
      <c r="R299" s="9">
        <f>IF($K299="","",INDEX('سجل التحفيز'!$F$5:$F$2004,MATCH($K299,'سجل التحفيز'!$T$5:$T$2004,0)))</f>
        <v/>
      </c>
      <c r="S299" s="35">
        <f>IF($K299="","",INDEX('سجل التحفيز'!$G$5:$G$2004,MATCH($K299,'سجل التحفيز'!$T$5:$T$2004,0)))</f>
        <v/>
      </c>
    </row>
    <row r="300">
      <c r="K300" s="36">
        <f>IF(263&gt;$B$10,"",263)</f>
        <v/>
      </c>
      <c r="L300" s="37">
        <f>IF($K300="","",INDEX('سجل التحفيز'!$A$5:$A$2004,MATCH($K300,'سجل التحفيز'!$T$5:$T$2004,0)))</f>
        <v/>
      </c>
      <c r="M300" s="9">
        <f>IF($K300="","",INDEX('سجل التحفيز'!$B$5:$B$2004,MATCH($K300,'سجل التحفيز'!$T$5:$T$2004,0)))</f>
        <v/>
      </c>
      <c r="N300" s="9">
        <f>IF($K300="","",INDEX('سجل التحفيز'!$M$5:$M$2004,MATCH($K300,'سجل التحفيز'!$T$5:$T$2004,0)))</f>
        <v/>
      </c>
      <c r="O300" s="9">
        <f>IF($K300="","",INDEX('سجل التحفيز'!$C$5:$C$2004,MATCH($K300,'سجل التحفيز'!$T$5:$T$2004,0)))</f>
        <v/>
      </c>
      <c r="P300" s="36">
        <f>IF($K300="","",INDEX('سجل التحفيز'!$D$5:$D$2004,MATCH($K300,'سجل التحفيز'!$T$5:$T$2004,0)))</f>
        <v/>
      </c>
      <c r="Q300" s="9">
        <f>IF($K300="","",INDEX('سجل التحفيز'!$E$5:$E$2004,MATCH($K300,'سجل التحفيز'!$T$5:$T$2004,0)))</f>
        <v/>
      </c>
      <c r="R300" s="9">
        <f>IF($K300="","",INDEX('سجل التحفيز'!$F$5:$F$2004,MATCH($K300,'سجل التحفيز'!$T$5:$T$2004,0)))</f>
        <v/>
      </c>
      <c r="S300" s="35">
        <f>IF($K300="","",INDEX('سجل التحفيز'!$G$5:$G$2004,MATCH($K300,'سجل التحفيز'!$T$5:$T$2004,0)))</f>
        <v/>
      </c>
    </row>
    <row r="301">
      <c r="K301" s="36">
        <f>IF(264&gt;$B$10,"",264)</f>
        <v/>
      </c>
      <c r="L301" s="37">
        <f>IF($K301="","",INDEX('سجل التحفيز'!$A$5:$A$2004,MATCH($K301,'سجل التحفيز'!$T$5:$T$2004,0)))</f>
        <v/>
      </c>
      <c r="M301" s="9">
        <f>IF($K301="","",INDEX('سجل التحفيز'!$B$5:$B$2004,MATCH($K301,'سجل التحفيز'!$T$5:$T$2004,0)))</f>
        <v/>
      </c>
      <c r="N301" s="9">
        <f>IF($K301="","",INDEX('سجل التحفيز'!$M$5:$M$2004,MATCH($K301,'سجل التحفيز'!$T$5:$T$2004,0)))</f>
        <v/>
      </c>
      <c r="O301" s="9">
        <f>IF($K301="","",INDEX('سجل التحفيز'!$C$5:$C$2004,MATCH($K301,'سجل التحفيز'!$T$5:$T$2004,0)))</f>
        <v/>
      </c>
      <c r="P301" s="36">
        <f>IF($K301="","",INDEX('سجل التحفيز'!$D$5:$D$2004,MATCH($K301,'سجل التحفيز'!$T$5:$T$2004,0)))</f>
        <v/>
      </c>
      <c r="Q301" s="9">
        <f>IF($K301="","",INDEX('سجل التحفيز'!$E$5:$E$2004,MATCH($K301,'سجل التحفيز'!$T$5:$T$2004,0)))</f>
        <v/>
      </c>
      <c r="R301" s="9">
        <f>IF($K301="","",INDEX('سجل التحفيز'!$F$5:$F$2004,MATCH($K301,'سجل التحفيز'!$T$5:$T$2004,0)))</f>
        <v/>
      </c>
      <c r="S301" s="35">
        <f>IF($K301="","",INDEX('سجل التحفيز'!$G$5:$G$2004,MATCH($K301,'سجل التحفيز'!$T$5:$T$2004,0)))</f>
        <v/>
      </c>
    </row>
    <row r="302">
      <c r="K302" s="36">
        <f>IF(265&gt;$B$10,"",265)</f>
        <v/>
      </c>
      <c r="L302" s="37">
        <f>IF($K302="","",INDEX('سجل التحفيز'!$A$5:$A$2004,MATCH($K302,'سجل التحفيز'!$T$5:$T$2004,0)))</f>
        <v/>
      </c>
      <c r="M302" s="9">
        <f>IF($K302="","",INDEX('سجل التحفيز'!$B$5:$B$2004,MATCH($K302,'سجل التحفيز'!$T$5:$T$2004,0)))</f>
        <v/>
      </c>
      <c r="N302" s="9">
        <f>IF($K302="","",INDEX('سجل التحفيز'!$M$5:$M$2004,MATCH($K302,'سجل التحفيز'!$T$5:$T$2004,0)))</f>
        <v/>
      </c>
      <c r="O302" s="9">
        <f>IF($K302="","",INDEX('سجل التحفيز'!$C$5:$C$2004,MATCH($K302,'سجل التحفيز'!$T$5:$T$2004,0)))</f>
        <v/>
      </c>
      <c r="P302" s="36">
        <f>IF($K302="","",INDEX('سجل التحفيز'!$D$5:$D$2004,MATCH($K302,'سجل التحفيز'!$T$5:$T$2004,0)))</f>
        <v/>
      </c>
      <c r="Q302" s="9">
        <f>IF($K302="","",INDEX('سجل التحفيز'!$E$5:$E$2004,MATCH($K302,'سجل التحفيز'!$T$5:$T$2004,0)))</f>
        <v/>
      </c>
      <c r="R302" s="9">
        <f>IF($K302="","",INDEX('سجل التحفيز'!$F$5:$F$2004,MATCH($K302,'سجل التحفيز'!$T$5:$T$2004,0)))</f>
        <v/>
      </c>
      <c r="S302" s="35">
        <f>IF($K302="","",INDEX('سجل التحفيز'!$G$5:$G$2004,MATCH($K302,'سجل التحفيز'!$T$5:$T$2004,0)))</f>
        <v/>
      </c>
    </row>
    <row r="303">
      <c r="K303" s="36">
        <f>IF(266&gt;$B$10,"",266)</f>
        <v/>
      </c>
      <c r="L303" s="37">
        <f>IF($K303="","",INDEX('سجل التحفيز'!$A$5:$A$2004,MATCH($K303,'سجل التحفيز'!$T$5:$T$2004,0)))</f>
        <v/>
      </c>
      <c r="M303" s="9">
        <f>IF($K303="","",INDEX('سجل التحفيز'!$B$5:$B$2004,MATCH($K303,'سجل التحفيز'!$T$5:$T$2004,0)))</f>
        <v/>
      </c>
      <c r="N303" s="9">
        <f>IF($K303="","",INDEX('سجل التحفيز'!$M$5:$M$2004,MATCH($K303,'سجل التحفيز'!$T$5:$T$2004,0)))</f>
        <v/>
      </c>
      <c r="O303" s="9">
        <f>IF($K303="","",INDEX('سجل التحفيز'!$C$5:$C$2004,MATCH($K303,'سجل التحفيز'!$T$5:$T$2004,0)))</f>
        <v/>
      </c>
      <c r="P303" s="36">
        <f>IF($K303="","",INDEX('سجل التحفيز'!$D$5:$D$2004,MATCH($K303,'سجل التحفيز'!$T$5:$T$2004,0)))</f>
        <v/>
      </c>
      <c r="Q303" s="9">
        <f>IF($K303="","",INDEX('سجل التحفيز'!$E$5:$E$2004,MATCH($K303,'سجل التحفيز'!$T$5:$T$2004,0)))</f>
        <v/>
      </c>
      <c r="R303" s="9">
        <f>IF($K303="","",INDEX('سجل التحفيز'!$F$5:$F$2004,MATCH($K303,'سجل التحفيز'!$T$5:$T$2004,0)))</f>
        <v/>
      </c>
      <c r="S303" s="35">
        <f>IF($K303="","",INDEX('سجل التحفيز'!$G$5:$G$2004,MATCH($K303,'سجل التحفيز'!$T$5:$T$2004,0)))</f>
        <v/>
      </c>
    </row>
    <row r="304">
      <c r="K304" s="36">
        <f>IF(267&gt;$B$10,"",267)</f>
        <v/>
      </c>
      <c r="L304" s="37">
        <f>IF($K304="","",INDEX('سجل التحفيز'!$A$5:$A$2004,MATCH($K304,'سجل التحفيز'!$T$5:$T$2004,0)))</f>
        <v/>
      </c>
      <c r="M304" s="9">
        <f>IF($K304="","",INDEX('سجل التحفيز'!$B$5:$B$2004,MATCH($K304,'سجل التحفيز'!$T$5:$T$2004,0)))</f>
        <v/>
      </c>
      <c r="N304" s="9">
        <f>IF($K304="","",INDEX('سجل التحفيز'!$M$5:$M$2004,MATCH($K304,'سجل التحفيز'!$T$5:$T$2004,0)))</f>
        <v/>
      </c>
      <c r="O304" s="9">
        <f>IF($K304="","",INDEX('سجل التحفيز'!$C$5:$C$2004,MATCH($K304,'سجل التحفيز'!$T$5:$T$2004,0)))</f>
        <v/>
      </c>
      <c r="P304" s="36">
        <f>IF($K304="","",INDEX('سجل التحفيز'!$D$5:$D$2004,MATCH($K304,'سجل التحفيز'!$T$5:$T$2004,0)))</f>
        <v/>
      </c>
      <c r="Q304" s="9">
        <f>IF($K304="","",INDEX('سجل التحفيز'!$E$5:$E$2004,MATCH($K304,'سجل التحفيز'!$T$5:$T$2004,0)))</f>
        <v/>
      </c>
      <c r="R304" s="9">
        <f>IF($K304="","",INDEX('سجل التحفيز'!$F$5:$F$2004,MATCH($K304,'سجل التحفيز'!$T$5:$T$2004,0)))</f>
        <v/>
      </c>
      <c r="S304" s="35">
        <f>IF($K304="","",INDEX('سجل التحفيز'!$G$5:$G$2004,MATCH($K304,'سجل التحفيز'!$T$5:$T$2004,0)))</f>
        <v/>
      </c>
    </row>
    <row r="305">
      <c r="K305" s="36">
        <f>IF(268&gt;$B$10,"",268)</f>
        <v/>
      </c>
      <c r="L305" s="37">
        <f>IF($K305="","",INDEX('سجل التحفيز'!$A$5:$A$2004,MATCH($K305,'سجل التحفيز'!$T$5:$T$2004,0)))</f>
        <v/>
      </c>
      <c r="M305" s="9">
        <f>IF($K305="","",INDEX('سجل التحفيز'!$B$5:$B$2004,MATCH($K305,'سجل التحفيز'!$T$5:$T$2004,0)))</f>
        <v/>
      </c>
      <c r="N305" s="9">
        <f>IF($K305="","",INDEX('سجل التحفيز'!$M$5:$M$2004,MATCH($K305,'سجل التحفيز'!$T$5:$T$2004,0)))</f>
        <v/>
      </c>
      <c r="O305" s="9">
        <f>IF($K305="","",INDEX('سجل التحفيز'!$C$5:$C$2004,MATCH($K305,'سجل التحفيز'!$T$5:$T$2004,0)))</f>
        <v/>
      </c>
      <c r="P305" s="36">
        <f>IF($K305="","",INDEX('سجل التحفيز'!$D$5:$D$2004,MATCH($K305,'سجل التحفيز'!$T$5:$T$2004,0)))</f>
        <v/>
      </c>
      <c r="Q305" s="9">
        <f>IF($K305="","",INDEX('سجل التحفيز'!$E$5:$E$2004,MATCH($K305,'سجل التحفيز'!$T$5:$T$2004,0)))</f>
        <v/>
      </c>
      <c r="R305" s="9">
        <f>IF($K305="","",INDEX('سجل التحفيز'!$F$5:$F$2004,MATCH($K305,'سجل التحفيز'!$T$5:$T$2004,0)))</f>
        <v/>
      </c>
      <c r="S305" s="35">
        <f>IF($K305="","",INDEX('سجل التحفيز'!$G$5:$G$2004,MATCH($K305,'سجل التحفيز'!$T$5:$T$2004,0)))</f>
        <v/>
      </c>
    </row>
    <row r="306">
      <c r="K306" s="36">
        <f>IF(269&gt;$B$10,"",269)</f>
        <v/>
      </c>
      <c r="L306" s="37">
        <f>IF($K306="","",INDEX('سجل التحفيز'!$A$5:$A$2004,MATCH($K306,'سجل التحفيز'!$T$5:$T$2004,0)))</f>
        <v/>
      </c>
      <c r="M306" s="9">
        <f>IF($K306="","",INDEX('سجل التحفيز'!$B$5:$B$2004,MATCH($K306,'سجل التحفيز'!$T$5:$T$2004,0)))</f>
        <v/>
      </c>
      <c r="N306" s="9">
        <f>IF($K306="","",INDEX('سجل التحفيز'!$M$5:$M$2004,MATCH($K306,'سجل التحفيز'!$T$5:$T$2004,0)))</f>
        <v/>
      </c>
      <c r="O306" s="9">
        <f>IF($K306="","",INDEX('سجل التحفيز'!$C$5:$C$2004,MATCH($K306,'سجل التحفيز'!$T$5:$T$2004,0)))</f>
        <v/>
      </c>
      <c r="P306" s="36">
        <f>IF($K306="","",INDEX('سجل التحفيز'!$D$5:$D$2004,MATCH($K306,'سجل التحفيز'!$T$5:$T$2004,0)))</f>
        <v/>
      </c>
      <c r="Q306" s="9">
        <f>IF($K306="","",INDEX('سجل التحفيز'!$E$5:$E$2004,MATCH($K306,'سجل التحفيز'!$T$5:$T$2004,0)))</f>
        <v/>
      </c>
      <c r="R306" s="9">
        <f>IF($K306="","",INDEX('سجل التحفيز'!$F$5:$F$2004,MATCH($K306,'سجل التحفيز'!$T$5:$T$2004,0)))</f>
        <v/>
      </c>
      <c r="S306" s="35">
        <f>IF($K306="","",INDEX('سجل التحفيز'!$G$5:$G$2004,MATCH($K306,'سجل التحفيز'!$T$5:$T$2004,0)))</f>
        <v/>
      </c>
    </row>
    <row r="307">
      <c r="K307" s="36">
        <f>IF(270&gt;$B$10,"",270)</f>
        <v/>
      </c>
      <c r="L307" s="37">
        <f>IF($K307="","",INDEX('سجل التحفيز'!$A$5:$A$2004,MATCH($K307,'سجل التحفيز'!$T$5:$T$2004,0)))</f>
        <v/>
      </c>
      <c r="M307" s="9">
        <f>IF($K307="","",INDEX('سجل التحفيز'!$B$5:$B$2004,MATCH($K307,'سجل التحفيز'!$T$5:$T$2004,0)))</f>
        <v/>
      </c>
      <c r="N307" s="9">
        <f>IF($K307="","",INDEX('سجل التحفيز'!$M$5:$M$2004,MATCH($K307,'سجل التحفيز'!$T$5:$T$2004,0)))</f>
        <v/>
      </c>
      <c r="O307" s="9">
        <f>IF($K307="","",INDEX('سجل التحفيز'!$C$5:$C$2004,MATCH($K307,'سجل التحفيز'!$T$5:$T$2004,0)))</f>
        <v/>
      </c>
      <c r="P307" s="36">
        <f>IF($K307="","",INDEX('سجل التحفيز'!$D$5:$D$2004,MATCH($K307,'سجل التحفيز'!$T$5:$T$2004,0)))</f>
        <v/>
      </c>
      <c r="Q307" s="9">
        <f>IF($K307="","",INDEX('سجل التحفيز'!$E$5:$E$2004,MATCH($K307,'سجل التحفيز'!$T$5:$T$2004,0)))</f>
        <v/>
      </c>
      <c r="R307" s="9">
        <f>IF($K307="","",INDEX('سجل التحفيز'!$F$5:$F$2004,MATCH($K307,'سجل التحفيز'!$T$5:$T$2004,0)))</f>
        <v/>
      </c>
      <c r="S307" s="35">
        <f>IF($K307="","",INDEX('سجل التحفيز'!$G$5:$G$2004,MATCH($K307,'سجل التحفيز'!$T$5:$T$2004,0)))</f>
        <v/>
      </c>
    </row>
    <row r="308">
      <c r="K308" s="36">
        <f>IF(271&gt;$B$10,"",271)</f>
        <v/>
      </c>
      <c r="L308" s="37">
        <f>IF($K308="","",INDEX('سجل التحفيز'!$A$5:$A$2004,MATCH($K308,'سجل التحفيز'!$T$5:$T$2004,0)))</f>
        <v/>
      </c>
      <c r="M308" s="9">
        <f>IF($K308="","",INDEX('سجل التحفيز'!$B$5:$B$2004,MATCH($K308,'سجل التحفيز'!$T$5:$T$2004,0)))</f>
        <v/>
      </c>
      <c r="N308" s="9">
        <f>IF($K308="","",INDEX('سجل التحفيز'!$M$5:$M$2004,MATCH($K308,'سجل التحفيز'!$T$5:$T$2004,0)))</f>
        <v/>
      </c>
      <c r="O308" s="9">
        <f>IF($K308="","",INDEX('سجل التحفيز'!$C$5:$C$2004,MATCH($K308,'سجل التحفيز'!$T$5:$T$2004,0)))</f>
        <v/>
      </c>
      <c r="P308" s="36">
        <f>IF($K308="","",INDEX('سجل التحفيز'!$D$5:$D$2004,MATCH($K308,'سجل التحفيز'!$T$5:$T$2004,0)))</f>
        <v/>
      </c>
      <c r="Q308" s="9">
        <f>IF($K308="","",INDEX('سجل التحفيز'!$E$5:$E$2004,MATCH($K308,'سجل التحفيز'!$T$5:$T$2004,0)))</f>
        <v/>
      </c>
      <c r="R308" s="9">
        <f>IF($K308="","",INDEX('سجل التحفيز'!$F$5:$F$2004,MATCH($K308,'سجل التحفيز'!$T$5:$T$2004,0)))</f>
        <v/>
      </c>
      <c r="S308" s="35">
        <f>IF($K308="","",INDEX('سجل التحفيز'!$G$5:$G$2004,MATCH($K308,'سجل التحفيز'!$T$5:$T$2004,0)))</f>
        <v/>
      </c>
    </row>
    <row r="309">
      <c r="K309" s="36">
        <f>IF(272&gt;$B$10,"",272)</f>
        <v/>
      </c>
      <c r="L309" s="37">
        <f>IF($K309="","",INDEX('سجل التحفيز'!$A$5:$A$2004,MATCH($K309,'سجل التحفيز'!$T$5:$T$2004,0)))</f>
        <v/>
      </c>
      <c r="M309" s="9">
        <f>IF($K309="","",INDEX('سجل التحفيز'!$B$5:$B$2004,MATCH($K309,'سجل التحفيز'!$T$5:$T$2004,0)))</f>
        <v/>
      </c>
      <c r="N309" s="9">
        <f>IF($K309="","",INDEX('سجل التحفيز'!$M$5:$M$2004,MATCH($K309,'سجل التحفيز'!$T$5:$T$2004,0)))</f>
        <v/>
      </c>
      <c r="O309" s="9">
        <f>IF($K309="","",INDEX('سجل التحفيز'!$C$5:$C$2004,MATCH($K309,'سجل التحفيز'!$T$5:$T$2004,0)))</f>
        <v/>
      </c>
      <c r="P309" s="36">
        <f>IF($K309="","",INDEX('سجل التحفيز'!$D$5:$D$2004,MATCH($K309,'سجل التحفيز'!$T$5:$T$2004,0)))</f>
        <v/>
      </c>
      <c r="Q309" s="9">
        <f>IF($K309="","",INDEX('سجل التحفيز'!$E$5:$E$2004,MATCH($K309,'سجل التحفيز'!$T$5:$T$2004,0)))</f>
        <v/>
      </c>
      <c r="R309" s="9">
        <f>IF($K309="","",INDEX('سجل التحفيز'!$F$5:$F$2004,MATCH($K309,'سجل التحفيز'!$T$5:$T$2004,0)))</f>
        <v/>
      </c>
      <c r="S309" s="35">
        <f>IF($K309="","",INDEX('سجل التحفيز'!$G$5:$G$2004,MATCH($K309,'سجل التحفيز'!$T$5:$T$2004,0)))</f>
        <v/>
      </c>
    </row>
    <row r="310">
      <c r="K310" s="36">
        <f>IF(273&gt;$B$10,"",273)</f>
        <v/>
      </c>
      <c r="L310" s="37">
        <f>IF($K310="","",INDEX('سجل التحفيز'!$A$5:$A$2004,MATCH($K310,'سجل التحفيز'!$T$5:$T$2004,0)))</f>
        <v/>
      </c>
      <c r="M310" s="9">
        <f>IF($K310="","",INDEX('سجل التحفيز'!$B$5:$B$2004,MATCH($K310,'سجل التحفيز'!$T$5:$T$2004,0)))</f>
        <v/>
      </c>
      <c r="N310" s="9">
        <f>IF($K310="","",INDEX('سجل التحفيز'!$M$5:$M$2004,MATCH($K310,'سجل التحفيز'!$T$5:$T$2004,0)))</f>
        <v/>
      </c>
      <c r="O310" s="9">
        <f>IF($K310="","",INDEX('سجل التحفيز'!$C$5:$C$2004,MATCH($K310,'سجل التحفيز'!$T$5:$T$2004,0)))</f>
        <v/>
      </c>
      <c r="P310" s="36">
        <f>IF($K310="","",INDEX('سجل التحفيز'!$D$5:$D$2004,MATCH($K310,'سجل التحفيز'!$T$5:$T$2004,0)))</f>
        <v/>
      </c>
      <c r="Q310" s="9">
        <f>IF($K310="","",INDEX('سجل التحفيز'!$E$5:$E$2004,MATCH($K310,'سجل التحفيز'!$T$5:$T$2004,0)))</f>
        <v/>
      </c>
      <c r="R310" s="9">
        <f>IF($K310="","",INDEX('سجل التحفيز'!$F$5:$F$2004,MATCH($K310,'سجل التحفيز'!$T$5:$T$2004,0)))</f>
        <v/>
      </c>
      <c r="S310" s="35">
        <f>IF($K310="","",INDEX('سجل التحفيز'!$G$5:$G$2004,MATCH($K310,'سجل التحفيز'!$T$5:$T$2004,0)))</f>
        <v/>
      </c>
    </row>
    <row r="311">
      <c r="K311" s="36">
        <f>IF(274&gt;$B$10,"",274)</f>
        <v/>
      </c>
      <c r="L311" s="37">
        <f>IF($K311="","",INDEX('سجل التحفيز'!$A$5:$A$2004,MATCH($K311,'سجل التحفيز'!$T$5:$T$2004,0)))</f>
        <v/>
      </c>
      <c r="M311" s="9">
        <f>IF($K311="","",INDEX('سجل التحفيز'!$B$5:$B$2004,MATCH($K311,'سجل التحفيز'!$T$5:$T$2004,0)))</f>
        <v/>
      </c>
      <c r="N311" s="9">
        <f>IF($K311="","",INDEX('سجل التحفيز'!$M$5:$M$2004,MATCH($K311,'سجل التحفيز'!$T$5:$T$2004,0)))</f>
        <v/>
      </c>
      <c r="O311" s="9">
        <f>IF($K311="","",INDEX('سجل التحفيز'!$C$5:$C$2004,MATCH($K311,'سجل التحفيز'!$T$5:$T$2004,0)))</f>
        <v/>
      </c>
      <c r="P311" s="36">
        <f>IF($K311="","",INDEX('سجل التحفيز'!$D$5:$D$2004,MATCH($K311,'سجل التحفيز'!$T$5:$T$2004,0)))</f>
        <v/>
      </c>
      <c r="Q311" s="9">
        <f>IF($K311="","",INDEX('سجل التحفيز'!$E$5:$E$2004,MATCH($K311,'سجل التحفيز'!$T$5:$T$2004,0)))</f>
        <v/>
      </c>
      <c r="R311" s="9">
        <f>IF($K311="","",INDEX('سجل التحفيز'!$F$5:$F$2004,MATCH($K311,'سجل التحفيز'!$T$5:$T$2004,0)))</f>
        <v/>
      </c>
      <c r="S311" s="35">
        <f>IF($K311="","",INDEX('سجل التحفيز'!$G$5:$G$2004,MATCH($K311,'سجل التحفيز'!$T$5:$T$2004,0)))</f>
        <v/>
      </c>
    </row>
    <row r="312">
      <c r="K312" s="36">
        <f>IF(275&gt;$B$10,"",275)</f>
        <v/>
      </c>
      <c r="L312" s="37">
        <f>IF($K312="","",INDEX('سجل التحفيز'!$A$5:$A$2004,MATCH($K312,'سجل التحفيز'!$T$5:$T$2004,0)))</f>
        <v/>
      </c>
      <c r="M312" s="9">
        <f>IF($K312="","",INDEX('سجل التحفيز'!$B$5:$B$2004,MATCH($K312,'سجل التحفيز'!$T$5:$T$2004,0)))</f>
        <v/>
      </c>
      <c r="N312" s="9">
        <f>IF($K312="","",INDEX('سجل التحفيز'!$M$5:$M$2004,MATCH($K312,'سجل التحفيز'!$T$5:$T$2004,0)))</f>
        <v/>
      </c>
      <c r="O312" s="9">
        <f>IF($K312="","",INDEX('سجل التحفيز'!$C$5:$C$2004,MATCH($K312,'سجل التحفيز'!$T$5:$T$2004,0)))</f>
        <v/>
      </c>
      <c r="P312" s="36">
        <f>IF($K312="","",INDEX('سجل التحفيز'!$D$5:$D$2004,MATCH($K312,'سجل التحفيز'!$T$5:$T$2004,0)))</f>
        <v/>
      </c>
      <c r="Q312" s="9">
        <f>IF($K312="","",INDEX('سجل التحفيز'!$E$5:$E$2004,MATCH($K312,'سجل التحفيز'!$T$5:$T$2004,0)))</f>
        <v/>
      </c>
      <c r="R312" s="9">
        <f>IF($K312="","",INDEX('سجل التحفيز'!$F$5:$F$2004,MATCH($K312,'سجل التحفيز'!$T$5:$T$2004,0)))</f>
        <v/>
      </c>
      <c r="S312" s="35">
        <f>IF($K312="","",INDEX('سجل التحفيز'!$G$5:$G$2004,MATCH($K312,'سجل التحفيز'!$T$5:$T$2004,0)))</f>
        <v/>
      </c>
    </row>
    <row r="313">
      <c r="K313" s="36">
        <f>IF(276&gt;$B$10,"",276)</f>
        <v/>
      </c>
      <c r="L313" s="37">
        <f>IF($K313="","",INDEX('سجل التحفيز'!$A$5:$A$2004,MATCH($K313,'سجل التحفيز'!$T$5:$T$2004,0)))</f>
        <v/>
      </c>
      <c r="M313" s="9">
        <f>IF($K313="","",INDEX('سجل التحفيز'!$B$5:$B$2004,MATCH($K313,'سجل التحفيز'!$T$5:$T$2004,0)))</f>
        <v/>
      </c>
      <c r="N313" s="9">
        <f>IF($K313="","",INDEX('سجل التحفيز'!$M$5:$M$2004,MATCH($K313,'سجل التحفيز'!$T$5:$T$2004,0)))</f>
        <v/>
      </c>
      <c r="O313" s="9">
        <f>IF($K313="","",INDEX('سجل التحفيز'!$C$5:$C$2004,MATCH($K313,'سجل التحفيز'!$T$5:$T$2004,0)))</f>
        <v/>
      </c>
      <c r="P313" s="36">
        <f>IF($K313="","",INDEX('سجل التحفيز'!$D$5:$D$2004,MATCH($K313,'سجل التحفيز'!$T$5:$T$2004,0)))</f>
        <v/>
      </c>
      <c r="Q313" s="9">
        <f>IF($K313="","",INDEX('سجل التحفيز'!$E$5:$E$2004,MATCH($K313,'سجل التحفيز'!$T$5:$T$2004,0)))</f>
        <v/>
      </c>
      <c r="R313" s="9">
        <f>IF($K313="","",INDEX('سجل التحفيز'!$F$5:$F$2004,MATCH($K313,'سجل التحفيز'!$T$5:$T$2004,0)))</f>
        <v/>
      </c>
      <c r="S313" s="35">
        <f>IF($K313="","",INDEX('سجل التحفيز'!$G$5:$G$2004,MATCH($K313,'سجل التحفيز'!$T$5:$T$2004,0)))</f>
        <v/>
      </c>
    </row>
    <row r="314">
      <c r="K314" s="36">
        <f>IF(277&gt;$B$10,"",277)</f>
        <v/>
      </c>
      <c r="L314" s="37">
        <f>IF($K314="","",INDEX('سجل التحفيز'!$A$5:$A$2004,MATCH($K314,'سجل التحفيز'!$T$5:$T$2004,0)))</f>
        <v/>
      </c>
      <c r="M314" s="9">
        <f>IF($K314="","",INDEX('سجل التحفيز'!$B$5:$B$2004,MATCH($K314,'سجل التحفيز'!$T$5:$T$2004,0)))</f>
        <v/>
      </c>
      <c r="N314" s="9">
        <f>IF($K314="","",INDEX('سجل التحفيز'!$M$5:$M$2004,MATCH($K314,'سجل التحفيز'!$T$5:$T$2004,0)))</f>
        <v/>
      </c>
      <c r="O314" s="9">
        <f>IF($K314="","",INDEX('سجل التحفيز'!$C$5:$C$2004,MATCH($K314,'سجل التحفيز'!$T$5:$T$2004,0)))</f>
        <v/>
      </c>
      <c r="P314" s="36">
        <f>IF($K314="","",INDEX('سجل التحفيز'!$D$5:$D$2004,MATCH($K314,'سجل التحفيز'!$T$5:$T$2004,0)))</f>
        <v/>
      </c>
      <c r="Q314" s="9">
        <f>IF($K314="","",INDEX('سجل التحفيز'!$E$5:$E$2004,MATCH($K314,'سجل التحفيز'!$T$5:$T$2004,0)))</f>
        <v/>
      </c>
      <c r="R314" s="9">
        <f>IF($K314="","",INDEX('سجل التحفيز'!$F$5:$F$2004,MATCH($K314,'سجل التحفيز'!$T$5:$T$2004,0)))</f>
        <v/>
      </c>
      <c r="S314" s="35">
        <f>IF($K314="","",INDEX('سجل التحفيز'!$G$5:$G$2004,MATCH($K314,'سجل التحفيز'!$T$5:$T$2004,0)))</f>
        <v/>
      </c>
    </row>
    <row r="315">
      <c r="K315" s="36">
        <f>IF(278&gt;$B$10,"",278)</f>
        <v/>
      </c>
      <c r="L315" s="37">
        <f>IF($K315="","",INDEX('سجل التحفيز'!$A$5:$A$2004,MATCH($K315,'سجل التحفيز'!$T$5:$T$2004,0)))</f>
        <v/>
      </c>
      <c r="M315" s="9">
        <f>IF($K315="","",INDEX('سجل التحفيز'!$B$5:$B$2004,MATCH($K315,'سجل التحفيز'!$T$5:$T$2004,0)))</f>
        <v/>
      </c>
      <c r="N315" s="9">
        <f>IF($K315="","",INDEX('سجل التحفيز'!$M$5:$M$2004,MATCH($K315,'سجل التحفيز'!$T$5:$T$2004,0)))</f>
        <v/>
      </c>
      <c r="O315" s="9">
        <f>IF($K315="","",INDEX('سجل التحفيز'!$C$5:$C$2004,MATCH($K315,'سجل التحفيز'!$T$5:$T$2004,0)))</f>
        <v/>
      </c>
      <c r="P315" s="36">
        <f>IF($K315="","",INDEX('سجل التحفيز'!$D$5:$D$2004,MATCH($K315,'سجل التحفيز'!$T$5:$T$2004,0)))</f>
        <v/>
      </c>
      <c r="Q315" s="9">
        <f>IF($K315="","",INDEX('سجل التحفيز'!$E$5:$E$2004,MATCH($K315,'سجل التحفيز'!$T$5:$T$2004,0)))</f>
        <v/>
      </c>
      <c r="R315" s="9">
        <f>IF($K315="","",INDEX('سجل التحفيز'!$F$5:$F$2004,MATCH($K315,'سجل التحفيز'!$T$5:$T$2004,0)))</f>
        <v/>
      </c>
      <c r="S315" s="35">
        <f>IF($K315="","",INDEX('سجل التحفيز'!$G$5:$G$2004,MATCH($K315,'سجل التحفيز'!$T$5:$T$2004,0)))</f>
        <v/>
      </c>
    </row>
    <row r="316">
      <c r="K316" s="36">
        <f>IF(279&gt;$B$10,"",279)</f>
        <v/>
      </c>
      <c r="L316" s="37">
        <f>IF($K316="","",INDEX('سجل التحفيز'!$A$5:$A$2004,MATCH($K316,'سجل التحفيز'!$T$5:$T$2004,0)))</f>
        <v/>
      </c>
      <c r="M316" s="9">
        <f>IF($K316="","",INDEX('سجل التحفيز'!$B$5:$B$2004,MATCH($K316,'سجل التحفيز'!$T$5:$T$2004,0)))</f>
        <v/>
      </c>
      <c r="N316" s="9">
        <f>IF($K316="","",INDEX('سجل التحفيز'!$M$5:$M$2004,MATCH($K316,'سجل التحفيز'!$T$5:$T$2004,0)))</f>
        <v/>
      </c>
      <c r="O316" s="9">
        <f>IF($K316="","",INDEX('سجل التحفيز'!$C$5:$C$2004,MATCH($K316,'سجل التحفيز'!$T$5:$T$2004,0)))</f>
        <v/>
      </c>
      <c r="P316" s="36">
        <f>IF($K316="","",INDEX('سجل التحفيز'!$D$5:$D$2004,MATCH($K316,'سجل التحفيز'!$T$5:$T$2004,0)))</f>
        <v/>
      </c>
      <c r="Q316" s="9">
        <f>IF($K316="","",INDEX('سجل التحفيز'!$E$5:$E$2004,MATCH($K316,'سجل التحفيز'!$T$5:$T$2004,0)))</f>
        <v/>
      </c>
      <c r="R316" s="9">
        <f>IF($K316="","",INDEX('سجل التحفيز'!$F$5:$F$2004,MATCH($K316,'سجل التحفيز'!$T$5:$T$2004,0)))</f>
        <v/>
      </c>
      <c r="S316" s="35">
        <f>IF($K316="","",INDEX('سجل التحفيز'!$G$5:$G$2004,MATCH($K316,'سجل التحفيز'!$T$5:$T$2004,0)))</f>
        <v/>
      </c>
    </row>
    <row r="317">
      <c r="K317" s="36">
        <f>IF(280&gt;$B$10,"",280)</f>
        <v/>
      </c>
      <c r="L317" s="37">
        <f>IF($K317="","",INDEX('سجل التحفيز'!$A$5:$A$2004,MATCH($K317,'سجل التحفيز'!$T$5:$T$2004,0)))</f>
        <v/>
      </c>
      <c r="M317" s="9">
        <f>IF($K317="","",INDEX('سجل التحفيز'!$B$5:$B$2004,MATCH($K317,'سجل التحفيز'!$T$5:$T$2004,0)))</f>
        <v/>
      </c>
      <c r="N317" s="9">
        <f>IF($K317="","",INDEX('سجل التحفيز'!$M$5:$M$2004,MATCH($K317,'سجل التحفيز'!$T$5:$T$2004,0)))</f>
        <v/>
      </c>
      <c r="O317" s="9">
        <f>IF($K317="","",INDEX('سجل التحفيز'!$C$5:$C$2004,MATCH($K317,'سجل التحفيز'!$T$5:$T$2004,0)))</f>
        <v/>
      </c>
      <c r="P317" s="36">
        <f>IF($K317="","",INDEX('سجل التحفيز'!$D$5:$D$2004,MATCH($K317,'سجل التحفيز'!$T$5:$T$2004,0)))</f>
        <v/>
      </c>
      <c r="Q317" s="9">
        <f>IF($K317="","",INDEX('سجل التحفيز'!$E$5:$E$2004,MATCH($K317,'سجل التحفيز'!$T$5:$T$2004,0)))</f>
        <v/>
      </c>
      <c r="R317" s="9">
        <f>IF($K317="","",INDEX('سجل التحفيز'!$F$5:$F$2004,MATCH($K317,'سجل التحفيز'!$T$5:$T$2004,0)))</f>
        <v/>
      </c>
      <c r="S317" s="35">
        <f>IF($K317="","",INDEX('سجل التحفيز'!$G$5:$G$2004,MATCH($K317,'سجل التحفيز'!$T$5:$T$2004,0)))</f>
        <v/>
      </c>
    </row>
    <row r="318">
      <c r="K318" s="36">
        <f>IF(281&gt;$B$10,"",281)</f>
        <v/>
      </c>
      <c r="L318" s="37">
        <f>IF($K318="","",INDEX('سجل التحفيز'!$A$5:$A$2004,MATCH($K318,'سجل التحفيز'!$T$5:$T$2004,0)))</f>
        <v/>
      </c>
      <c r="M318" s="9">
        <f>IF($K318="","",INDEX('سجل التحفيز'!$B$5:$B$2004,MATCH($K318,'سجل التحفيز'!$T$5:$T$2004,0)))</f>
        <v/>
      </c>
      <c r="N318" s="9">
        <f>IF($K318="","",INDEX('سجل التحفيز'!$M$5:$M$2004,MATCH($K318,'سجل التحفيز'!$T$5:$T$2004,0)))</f>
        <v/>
      </c>
      <c r="O318" s="9">
        <f>IF($K318="","",INDEX('سجل التحفيز'!$C$5:$C$2004,MATCH($K318,'سجل التحفيز'!$T$5:$T$2004,0)))</f>
        <v/>
      </c>
      <c r="P318" s="36">
        <f>IF($K318="","",INDEX('سجل التحفيز'!$D$5:$D$2004,MATCH($K318,'سجل التحفيز'!$T$5:$T$2004,0)))</f>
        <v/>
      </c>
      <c r="Q318" s="9">
        <f>IF($K318="","",INDEX('سجل التحفيز'!$E$5:$E$2004,MATCH($K318,'سجل التحفيز'!$T$5:$T$2004,0)))</f>
        <v/>
      </c>
      <c r="R318" s="9">
        <f>IF($K318="","",INDEX('سجل التحفيز'!$F$5:$F$2004,MATCH($K318,'سجل التحفيز'!$T$5:$T$2004,0)))</f>
        <v/>
      </c>
      <c r="S318" s="35">
        <f>IF($K318="","",INDEX('سجل التحفيز'!$G$5:$G$2004,MATCH($K318,'سجل التحفيز'!$T$5:$T$2004,0)))</f>
        <v/>
      </c>
    </row>
    <row r="319">
      <c r="K319" s="36">
        <f>IF(282&gt;$B$10,"",282)</f>
        <v/>
      </c>
      <c r="L319" s="37">
        <f>IF($K319="","",INDEX('سجل التحفيز'!$A$5:$A$2004,MATCH($K319,'سجل التحفيز'!$T$5:$T$2004,0)))</f>
        <v/>
      </c>
      <c r="M319" s="9">
        <f>IF($K319="","",INDEX('سجل التحفيز'!$B$5:$B$2004,MATCH($K319,'سجل التحفيز'!$T$5:$T$2004,0)))</f>
        <v/>
      </c>
      <c r="N319" s="9">
        <f>IF($K319="","",INDEX('سجل التحفيز'!$M$5:$M$2004,MATCH($K319,'سجل التحفيز'!$T$5:$T$2004,0)))</f>
        <v/>
      </c>
      <c r="O319" s="9">
        <f>IF($K319="","",INDEX('سجل التحفيز'!$C$5:$C$2004,MATCH($K319,'سجل التحفيز'!$T$5:$T$2004,0)))</f>
        <v/>
      </c>
      <c r="P319" s="36">
        <f>IF($K319="","",INDEX('سجل التحفيز'!$D$5:$D$2004,MATCH($K319,'سجل التحفيز'!$T$5:$T$2004,0)))</f>
        <v/>
      </c>
      <c r="Q319" s="9">
        <f>IF($K319="","",INDEX('سجل التحفيز'!$E$5:$E$2004,MATCH($K319,'سجل التحفيز'!$T$5:$T$2004,0)))</f>
        <v/>
      </c>
      <c r="R319" s="9">
        <f>IF($K319="","",INDEX('سجل التحفيز'!$F$5:$F$2004,MATCH($K319,'سجل التحفيز'!$T$5:$T$2004,0)))</f>
        <v/>
      </c>
      <c r="S319" s="35">
        <f>IF($K319="","",INDEX('سجل التحفيز'!$G$5:$G$2004,MATCH($K319,'سجل التحفيز'!$T$5:$T$2004,0)))</f>
        <v/>
      </c>
    </row>
    <row r="320">
      <c r="K320" s="36">
        <f>IF(283&gt;$B$10,"",283)</f>
        <v/>
      </c>
      <c r="L320" s="37">
        <f>IF($K320="","",INDEX('سجل التحفيز'!$A$5:$A$2004,MATCH($K320,'سجل التحفيز'!$T$5:$T$2004,0)))</f>
        <v/>
      </c>
      <c r="M320" s="9">
        <f>IF($K320="","",INDEX('سجل التحفيز'!$B$5:$B$2004,MATCH($K320,'سجل التحفيز'!$T$5:$T$2004,0)))</f>
        <v/>
      </c>
      <c r="N320" s="9">
        <f>IF($K320="","",INDEX('سجل التحفيز'!$M$5:$M$2004,MATCH($K320,'سجل التحفيز'!$T$5:$T$2004,0)))</f>
        <v/>
      </c>
      <c r="O320" s="9">
        <f>IF($K320="","",INDEX('سجل التحفيز'!$C$5:$C$2004,MATCH($K320,'سجل التحفيز'!$T$5:$T$2004,0)))</f>
        <v/>
      </c>
      <c r="P320" s="36">
        <f>IF($K320="","",INDEX('سجل التحفيز'!$D$5:$D$2004,MATCH($K320,'سجل التحفيز'!$T$5:$T$2004,0)))</f>
        <v/>
      </c>
      <c r="Q320" s="9">
        <f>IF($K320="","",INDEX('سجل التحفيز'!$E$5:$E$2004,MATCH($K320,'سجل التحفيز'!$T$5:$T$2004,0)))</f>
        <v/>
      </c>
      <c r="R320" s="9">
        <f>IF($K320="","",INDEX('سجل التحفيز'!$F$5:$F$2004,MATCH($K320,'سجل التحفيز'!$T$5:$T$2004,0)))</f>
        <v/>
      </c>
      <c r="S320" s="35">
        <f>IF($K320="","",INDEX('سجل التحفيز'!$G$5:$G$2004,MATCH($K320,'سجل التحفيز'!$T$5:$T$2004,0)))</f>
        <v/>
      </c>
    </row>
    <row r="321">
      <c r="K321" s="36">
        <f>IF(284&gt;$B$10,"",284)</f>
        <v/>
      </c>
      <c r="L321" s="37">
        <f>IF($K321="","",INDEX('سجل التحفيز'!$A$5:$A$2004,MATCH($K321,'سجل التحفيز'!$T$5:$T$2004,0)))</f>
        <v/>
      </c>
      <c r="M321" s="9">
        <f>IF($K321="","",INDEX('سجل التحفيز'!$B$5:$B$2004,MATCH($K321,'سجل التحفيز'!$T$5:$T$2004,0)))</f>
        <v/>
      </c>
      <c r="N321" s="9">
        <f>IF($K321="","",INDEX('سجل التحفيز'!$M$5:$M$2004,MATCH($K321,'سجل التحفيز'!$T$5:$T$2004,0)))</f>
        <v/>
      </c>
      <c r="O321" s="9">
        <f>IF($K321="","",INDEX('سجل التحفيز'!$C$5:$C$2004,MATCH($K321,'سجل التحفيز'!$T$5:$T$2004,0)))</f>
        <v/>
      </c>
      <c r="P321" s="36">
        <f>IF($K321="","",INDEX('سجل التحفيز'!$D$5:$D$2004,MATCH($K321,'سجل التحفيز'!$T$5:$T$2004,0)))</f>
        <v/>
      </c>
      <c r="Q321" s="9">
        <f>IF($K321="","",INDEX('سجل التحفيز'!$E$5:$E$2004,MATCH($K321,'سجل التحفيز'!$T$5:$T$2004,0)))</f>
        <v/>
      </c>
      <c r="R321" s="9">
        <f>IF($K321="","",INDEX('سجل التحفيز'!$F$5:$F$2004,MATCH($K321,'سجل التحفيز'!$T$5:$T$2004,0)))</f>
        <v/>
      </c>
      <c r="S321" s="35">
        <f>IF($K321="","",INDEX('سجل التحفيز'!$G$5:$G$2004,MATCH($K321,'سجل التحفيز'!$T$5:$T$2004,0)))</f>
        <v/>
      </c>
    </row>
    <row r="322">
      <c r="K322" s="36">
        <f>IF(285&gt;$B$10,"",285)</f>
        <v/>
      </c>
      <c r="L322" s="37">
        <f>IF($K322="","",INDEX('سجل التحفيز'!$A$5:$A$2004,MATCH($K322,'سجل التحفيز'!$T$5:$T$2004,0)))</f>
        <v/>
      </c>
      <c r="M322" s="9">
        <f>IF($K322="","",INDEX('سجل التحفيز'!$B$5:$B$2004,MATCH($K322,'سجل التحفيز'!$T$5:$T$2004,0)))</f>
        <v/>
      </c>
      <c r="N322" s="9">
        <f>IF($K322="","",INDEX('سجل التحفيز'!$M$5:$M$2004,MATCH($K322,'سجل التحفيز'!$T$5:$T$2004,0)))</f>
        <v/>
      </c>
      <c r="O322" s="9">
        <f>IF($K322="","",INDEX('سجل التحفيز'!$C$5:$C$2004,MATCH($K322,'سجل التحفيز'!$T$5:$T$2004,0)))</f>
        <v/>
      </c>
      <c r="P322" s="36">
        <f>IF($K322="","",INDEX('سجل التحفيز'!$D$5:$D$2004,MATCH($K322,'سجل التحفيز'!$T$5:$T$2004,0)))</f>
        <v/>
      </c>
      <c r="Q322" s="9">
        <f>IF($K322="","",INDEX('سجل التحفيز'!$E$5:$E$2004,MATCH($K322,'سجل التحفيز'!$T$5:$T$2004,0)))</f>
        <v/>
      </c>
      <c r="R322" s="9">
        <f>IF($K322="","",INDEX('سجل التحفيز'!$F$5:$F$2004,MATCH($K322,'سجل التحفيز'!$T$5:$T$2004,0)))</f>
        <v/>
      </c>
      <c r="S322" s="35">
        <f>IF($K322="","",INDEX('سجل التحفيز'!$G$5:$G$2004,MATCH($K322,'سجل التحفيز'!$T$5:$T$2004,0)))</f>
        <v/>
      </c>
    </row>
    <row r="323">
      <c r="K323" s="36">
        <f>IF(286&gt;$B$10,"",286)</f>
        <v/>
      </c>
      <c r="L323" s="37">
        <f>IF($K323="","",INDEX('سجل التحفيز'!$A$5:$A$2004,MATCH($K323,'سجل التحفيز'!$T$5:$T$2004,0)))</f>
        <v/>
      </c>
      <c r="M323" s="9">
        <f>IF($K323="","",INDEX('سجل التحفيز'!$B$5:$B$2004,MATCH($K323,'سجل التحفيز'!$T$5:$T$2004,0)))</f>
        <v/>
      </c>
      <c r="N323" s="9">
        <f>IF($K323="","",INDEX('سجل التحفيز'!$M$5:$M$2004,MATCH($K323,'سجل التحفيز'!$T$5:$T$2004,0)))</f>
        <v/>
      </c>
      <c r="O323" s="9">
        <f>IF($K323="","",INDEX('سجل التحفيز'!$C$5:$C$2004,MATCH($K323,'سجل التحفيز'!$T$5:$T$2004,0)))</f>
        <v/>
      </c>
      <c r="P323" s="36">
        <f>IF($K323="","",INDEX('سجل التحفيز'!$D$5:$D$2004,MATCH($K323,'سجل التحفيز'!$T$5:$T$2004,0)))</f>
        <v/>
      </c>
      <c r="Q323" s="9">
        <f>IF($K323="","",INDEX('سجل التحفيز'!$E$5:$E$2004,MATCH($K323,'سجل التحفيز'!$T$5:$T$2004,0)))</f>
        <v/>
      </c>
      <c r="R323" s="9">
        <f>IF($K323="","",INDEX('سجل التحفيز'!$F$5:$F$2004,MATCH($K323,'سجل التحفيز'!$T$5:$T$2004,0)))</f>
        <v/>
      </c>
      <c r="S323" s="35">
        <f>IF($K323="","",INDEX('سجل التحفيز'!$G$5:$G$2004,MATCH($K323,'سجل التحفيز'!$T$5:$T$2004,0)))</f>
        <v/>
      </c>
    </row>
    <row r="324">
      <c r="K324" s="36">
        <f>IF(287&gt;$B$10,"",287)</f>
        <v/>
      </c>
      <c r="L324" s="37">
        <f>IF($K324="","",INDEX('سجل التحفيز'!$A$5:$A$2004,MATCH($K324,'سجل التحفيز'!$T$5:$T$2004,0)))</f>
        <v/>
      </c>
      <c r="M324" s="9">
        <f>IF($K324="","",INDEX('سجل التحفيز'!$B$5:$B$2004,MATCH($K324,'سجل التحفيز'!$T$5:$T$2004,0)))</f>
        <v/>
      </c>
      <c r="N324" s="9">
        <f>IF($K324="","",INDEX('سجل التحفيز'!$M$5:$M$2004,MATCH($K324,'سجل التحفيز'!$T$5:$T$2004,0)))</f>
        <v/>
      </c>
      <c r="O324" s="9">
        <f>IF($K324="","",INDEX('سجل التحفيز'!$C$5:$C$2004,MATCH($K324,'سجل التحفيز'!$T$5:$T$2004,0)))</f>
        <v/>
      </c>
      <c r="P324" s="36">
        <f>IF($K324="","",INDEX('سجل التحفيز'!$D$5:$D$2004,MATCH($K324,'سجل التحفيز'!$T$5:$T$2004,0)))</f>
        <v/>
      </c>
      <c r="Q324" s="9">
        <f>IF($K324="","",INDEX('سجل التحفيز'!$E$5:$E$2004,MATCH($K324,'سجل التحفيز'!$T$5:$T$2004,0)))</f>
        <v/>
      </c>
      <c r="R324" s="9">
        <f>IF($K324="","",INDEX('سجل التحفيز'!$F$5:$F$2004,MATCH($K324,'سجل التحفيز'!$T$5:$T$2004,0)))</f>
        <v/>
      </c>
      <c r="S324" s="35">
        <f>IF($K324="","",INDEX('سجل التحفيز'!$G$5:$G$2004,MATCH($K324,'سجل التحفيز'!$T$5:$T$2004,0)))</f>
        <v/>
      </c>
    </row>
    <row r="325">
      <c r="K325" s="36">
        <f>IF(288&gt;$B$10,"",288)</f>
        <v/>
      </c>
      <c r="L325" s="37">
        <f>IF($K325="","",INDEX('سجل التحفيز'!$A$5:$A$2004,MATCH($K325,'سجل التحفيز'!$T$5:$T$2004,0)))</f>
        <v/>
      </c>
      <c r="M325" s="9">
        <f>IF($K325="","",INDEX('سجل التحفيز'!$B$5:$B$2004,MATCH($K325,'سجل التحفيز'!$T$5:$T$2004,0)))</f>
        <v/>
      </c>
      <c r="N325" s="9">
        <f>IF($K325="","",INDEX('سجل التحفيز'!$M$5:$M$2004,MATCH($K325,'سجل التحفيز'!$T$5:$T$2004,0)))</f>
        <v/>
      </c>
      <c r="O325" s="9">
        <f>IF($K325="","",INDEX('سجل التحفيز'!$C$5:$C$2004,MATCH($K325,'سجل التحفيز'!$T$5:$T$2004,0)))</f>
        <v/>
      </c>
      <c r="P325" s="36">
        <f>IF($K325="","",INDEX('سجل التحفيز'!$D$5:$D$2004,MATCH($K325,'سجل التحفيز'!$T$5:$T$2004,0)))</f>
        <v/>
      </c>
      <c r="Q325" s="9">
        <f>IF($K325="","",INDEX('سجل التحفيز'!$E$5:$E$2004,MATCH($K325,'سجل التحفيز'!$T$5:$T$2004,0)))</f>
        <v/>
      </c>
      <c r="R325" s="9">
        <f>IF($K325="","",INDEX('سجل التحفيز'!$F$5:$F$2004,MATCH($K325,'سجل التحفيز'!$T$5:$T$2004,0)))</f>
        <v/>
      </c>
      <c r="S325" s="35">
        <f>IF($K325="","",INDEX('سجل التحفيز'!$G$5:$G$2004,MATCH($K325,'سجل التحفيز'!$T$5:$T$2004,0)))</f>
        <v/>
      </c>
    </row>
    <row r="326">
      <c r="K326" s="36">
        <f>IF(289&gt;$B$10,"",289)</f>
        <v/>
      </c>
      <c r="L326" s="37">
        <f>IF($K326="","",INDEX('سجل التحفيز'!$A$5:$A$2004,MATCH($K326,'سجل التحفيز'!$T$5:$T$2004,0)))</f>
        <v/>
      </c>
      <c r="M326" s="9">
        <f>IF($K326="","",INDEX('سجل التحفيز'!$B$5:$B$2004,MATCH($K326,'سجل التحفيز'!$T$5:$T$2004,0)))</f>
        <v/>
      </c>
      <c r="N326" s="9">
        <f>IF($K326="","",INDEX('سجل التحفيز'!$M$5:$M$2004,MATCH($K326,'سجل التحفيز'!$T$5:$T$2004,0)))</f>
        <v/>
      </c>
      <c r="O326" s="9">
        <f>IF($K326="","",INDEX('سجل التحفيز'!$C$5:$C$2004,MATCH($K326,'سجل التحفيز'!$T$5:$T$2004,0)))</f>
        <v/>
      </c>
      <c r="P326" s="36">
        <f>IF($K326="","",INDEX('سجل التحفيز'!$D$5:$D$2004,MATCH($K326,'سجل التحفيز'!$T$5:$T$2004,0)))</f>
        <v/>
      </c>
      <c r="Q326" s="9">
        <f>IF($K326="","",INDEX('سجل التحفيز'!$E$5:$E$2004,MATCH($K326,'سجل التحفيز'!$T$5:$T$2004,0)))</f>
        <v/>
      </c>
      <c r="R326" s="9">
        <f>IF($K326="","",INDEX('سجل التحفيز'!$F$5:$F$2004,MATCH($K326,'سجل التحفيز'!$T$5:$T$2004,0)))</f>
        <v/>
      </c>
      <c r="S326" s="35">
        <f>IF($K326="","",INDEX('سجل التحفيز'!$G$5:$G$2004,MATCH($K326,'سجل التحفيز'!$T$5:$T$2004,0)))</f>
        <v/>
      </c>
    </row>
    <row r="327">
      <c r="K327" s="36">
        <f>IF(290&gt;$B$10,"",290)</f>
        <v/>
      </c>
      <c r="L327" s="37">
        <f>IF($K327="","",INDEX('سجل التحفيز'!$A$5:$A$2004,MATCH($K327,'سجل التحفيز'!$T$5:$T$2004,0)))</f>
        <v/>
      </c>
      <c r="M327" s="9">
        <f>IF($K327="","",INDEX('سجل التحفيز'!$B$5:$B$2004,MATCH($K327,'سجل التحفيز'!$T$5:$T$2004,0)))</f>
        <v/>
      </c>
      <c r="N327" s="9">
        <f>IF($K327="","",INDEX('سجل التحفيز'!$M$5:$M$2004,MATCH($K327,'سجل التحفيز'!$T$5:$T$2004,0)))</f>
        <v/>
      </c>
      <c r="O327" s="9">
        <f>IF($K327="","",INDEX('سجل التحفيز'!$C$5:$C$2004,MATCH($K327,'سجل التحفيز'!$T$5:$T$2004,0)))</f>
        <v/>
      </c>
      <c r="P327" s="36">
        <f>IF($K327="","",INDEX('سجل التحفيز'!$D$5:$D$2004,MATCH($K327,'سجل التحفيز'!$T$5:$T$2004,0)))</f>
        <v/>
      </c>
      <c r="Q327" s="9">
        <f>IF($K327="","",INDEX('سجل التحفيز'!$E$5:$E$2004,MATCH($K327,'سجل التحفيز'!$T$5:$T$2004,0)))</f>
        <v/>
      </c>
      <c r="R327" s="9">
        <f>IF($K327="","",INDEX('سجل التحفيز'!$F$5:$F$2004,MATCH($K327,'سجل التحفيز'!$T$5:$T$2004,0)))</f>
        <v/>
      </c>
      <c r="S327" s="35">
        <f>IF($K327="","",INDEX('سجل التحفيز'!$G$5:$G$2004,MATCH($K327,'سجل التحفيز'!$T$5:$T$2004,0)))</f>
        <v/>
      </c>
    </row>
    <row r="328">
      <c r="K328" s="36">
        <f>IF(291&gt;$B$10,"",291)</f>
        <v/>
      </c>
      <c r="L328" s="37">
        <f>IF($K328="","",INDEX('سجل التحفيز'!$A$5:$A$2004,MATCH($K328,'سجل التحفيز'!$T$5:$T$2004,0)))</f>
        <v/>
      </c>
      <c r="M328" s="9">
        <f>IF($K328="","",INDEX('سجل التحفيز'!$B$5:$B$2004,MATCH($K328,'سجل التحفيز'!$T$5:$T$2004,0)))</f>
        <v/>
      </c>
      <c r="N328" s="9">
        <f>IF($K328="","",INDEX('سجل التحفيز'!$M$5:$M$2004,MATCH($K328,'سجل التحفيز'!$T$5:$T$2004,0)))</f>
        <v/>
      </c>
      <c r="O328" s="9">
        <f>IF($K328="","",INDEX('سجل التحفيز'!$C$5:$C$2004,MATCH($K328,'سجل التحفيز'!$T$5:$T$2004,0)))</f>
        <v/>
      </c>
      <c r="P328" s="36">
        <f>IF($K328="","",INDEX('سجل التحفيز'!$D$5:$D$2004,MATCH($K328,'سجل التحفيز'!$T$5:$T$2004,0)))</f>
        <v/>
      </c>
      <c r="Q328" s="9">
        <f>IF($K328="","",INDEX('سجل التحفيز'!$E$5:$E$2004,MATCH($K328,'سجل التحفيز'!$T$5:$T$2004,0)))</f>
        <v/>
      </c>
      <c r="R328" s="9">
        <f>IF($K328="","",INDEX('سجل التحفيز'!$F$5:$F$2004,MATCH($K328,'سجل التحفيز'!$T$5:$T$2004,0)))</f>
        <v/>
      </c>
      <c r="S328" s="35">
        <f>IF($K328="","",INDEX('سجل التحفيز'!$G$5:$G$2004,MATCH($K328,'سجل التحفيز'!$T$5:$T$2004,0)))</f>
        <v/>
      </c>
    </row>
    <row r="329">
      <c r="K329" s="36">
        <f>IF(292&gt;$B$10,"",292)</f>
        <v/>
      </c>
      <c r="L329" s="37">
        <f>IF($K329="","",INDEX('سجل التحفيز'!$A$5:$A$2004,MATCH($K329,'سجل التحفيز'!$T$5:$T$2004,0)))</f>
        <v/>
      </c>
      <c r="M329" s="9">
        <f>IF($K329="","",INDEX('سجل التحفيز'!$B$5:$B$2004,MATCH($K329,'سجل التحفيز'!$T$5:$T$2004,0)))</f>
        <v/>
      </c>
      <c r="N329" s="9">
        <f>IF($K329="","",INDEX('سجل التحفيز'!$M$5:$M$2004,MATCH($K329,'سجل التحفيز'!$T$5:$T$2004,0)))</f>
        <v/>
      </c>
      <c r="O329" s="9">
        <f>IF($K329="","",INDEX('سجل التحفيز'!$C$5:$C$2004,MATCH($K329,'سجل التحفيز'!$T$5:$T$2004,0)))</f>
        <v/>
      </c>
      <c r="P329" s="36">
        <f>IF($K329="","",INDEX('سجل التحفيز'!$D$5:$D$2004,MATCH($K329,'سجل التحفيز'!$T$5:$T$2004,0)))</f>
        <v/>
      </c>
      <c r="Q329" s="9">
        <f>IF($K329="","",INDEX('سجل التحفيز'!$E$5:$E$2004,MATCH($K329,'سجل التحفيز'!$T$5:$T$2004,0)))</f>
        <v/>
      </c>
      <c r="R329" s="9">
        <f>IF($K329="","",INDEX('سجل التحفيز'!$F$5:$F$2004,MATCH($K329,'سجل التحفيز'!$T$5:$T$2004,0)))</f>
        <v/>
      </c>
      <c r="S329" s="35">
        <f>IF($K329="","",INDEX('سجل التحفيز'!$G$5:$G$2004,MATCH($K329,'سجل التحفيز'!$T$5:$T$2004,0)))</f>
        <v/>
      </c>
    </row>
    <row r="330">
      <c r="K330" s="36">
        <f>IF(293&gt;$B$10,"",293)</f>
        <v/>
      </c>
      <c r="L330" s="37">
        <f>IF($K330="","",INDEX('سجل التحفيز'!$A$5:$A$2004,MATCH($K330,'سجل التحفيز'!$T$5:$T$2004,0)))</f>
        <v/>
      </c>
      <c r="M330" s="9">
        <f>IF($K330="","",INDEX('سجل التحفيز'!$B$5:$B$2004,MATCH($K330,'سجل التحفيز'!$T$5:$T$2004,0)))</f>
        <v/>
      </c>
      <c r="N330" s="9">
        <f>IF($K330="","",INDEX('سجل التحفيز'!$M$5:$M$2004,MATCH($K330,'سجل التحفيز'!$T$5:$T$2004,0)))</f>
        <v/>
      </c>
      <c r="O330" s="9">
        <f>IF($K330="","",INDEX('سجل التحفيز'!$C$5:$C$2004,MATCH($K330,'سجل التحفيز'!$T$5:$T$2004,0)))</f>
        <v/>
      </c>
      <c r="P330" s="36">
        <f>IF($K330="","",INDEX('سجل التحفيز'!$D$5:$D$2004,MATCH($K330,'سجل التحفيز'!$T$5:$T$2004,0)))</f>
        <v/>
      </c>
      <c r="Q330" s="9">
        <f>IF($K330="","",INDEX('سجل التحفيز'!$E$5:$E$2004,MATCH($K330,'سجل التحفيز'!$T$5:$T$2004,0)))</f>
        <v/>
      </c>
      <c r="R330" s="9">
        <f>IF($K330="","",INDEX('سجل التحفيز'!$F$5:$F$2004,MATCH($K330,'سجل التحفيز'!$T$5:$T$2004,0)))</f>
        <v/>
      </c>
      <c r="S330" s="35">
        <f>IF($K330="","",INDEX('سجل التحفيز'!$G$5:$G$2004,MATCH($K330,'سجل التحفيز'!$T$5:$T$2004,0)))</f>
        <v/>
      </c>
    </row>
    <row r="331">
      <c r="K331" s="36">
        <f>IF(294&gt;$B$10,"",294)</f>
        <v/>
      </c>
      <c r="L331" s="37">
        <f>IF($K331="","",INDEX('سجل التحفيز'!$A$5:$A$2004,MATCH($K331,'سجل التحفيز'!$T$5:$T$2004,0)))</f>
        <v/>
      </c>
      <c r="M331" s="9">
        <f>IF($K331="","",INDEX('سجل التحفيز'!$B$5:$B$2004,MATCH($K331,'سجل التحفيز'!$T$5:$T$2004,0)))</f>
        <v/>
      </c>
      <c r="N331" s="9">
        <f>IF($K331="","",INDEX('سجل التحفيز'!$M$5:$M$2004,MATCH($K331,'سجل التحفيز'!$T$5:$T$2004,0)))</f>
        <v/>
      </c>
      <c r="O331" s="9">
        <f>IF($K331="","",INDEX('سجل التحفيز'!$C$5:$C$2004,MATCH($K331,'سجل التحفيز'!$T$5:$T$2004,0)))</f>
        <v/>
      </c>
      <c r="P331" s="36">
        <f>IF($K331="","",INDEX('سجل التحفيز'!$D$5:$D$2004,MATCH($K331,'سجل التحفيز'!$T$5:$T$2004,0)))</f>
        <v/>
      </c>
      <c r="Q331" s="9">
        <f>IF($K331="","",INDEX('سجل التحفيز'!$E$5:$E$2004,MATCH($K331,'سجل التحفيز'!$T$5:$T$2004,0)))</f>
        <v/>
      </c>
      <c r="R331" s="9">
        <f>IF($K331="","",INDEX('سجل التحفيز'!$F$5:$F$2004,MATCH($K331,'سجل التحفيز'!$T$5:$T$2004,0)))</f>
        <v/>
      </c>
      <c r="S331" s="35">
        <f>IF($K331="","",INDEX('سجل التحفيز'!$G$5:$G$2004,MATCH($K331,'سجل التحفيز'!$T$5:$T$2004,0)))</f>
        <v/>
      </c>
    </row>
    <row r="332">
      <c r="K332" s="36">
        <f>IF(295&gt;$B$10,"",295)</f>
        <v/>
      </c>
      <c r="L332" s="37">
        <f>IF($K332="","",INDEX('سجل التحفيز'!$A$5:$A$2004,MATCH($K332,'سجل التحفيز'!$T$5:$T$2004,0)))</f>
        <v/>
      </c>
      <c r="M332" s="9">
        <f>IF($K332="","",INDEX('سجل التحفيز'!$B$5:$B$2004,MATCH($K332,'سجل التحفيز'!$T$5:$T$2004,0)))</f>
        <v/>
      </c>
      <c r="N332" s="9">
        <f>IF($K332="","",INDEX('سجل التحفيز'!$M$5:$M$2004,MATCH($K332,'سجل التحفيز'!$T$5:$T$2004,0)))</f>
        <v/>
      </c>
      <c r="O332" s="9">
        <f>IF($K332="","",INDEX('سجل التحفيز'!$C$5:$C$2004,MATCH($K332,'سجل التحفيز'!$T$5:$T$2004,0)))</f>
        <v/>
      </c>
      <c r="P332" s="36">
        <f>IF($K332="","",INDEX('سجل التحفيز'!$D$5:$D$2004,MATCH($K332,'سجل التحفيز'!$T$5:$T$2004,0)))</f>
        <v/>
      </c>
      <c r="Q332" s="9">
        <f>IF($K332="","",INDEX('سجل التحفيز'!$E$5:$E$2004,MATCH($K332,'سجل التحفيز'!$T$5:$T$2004,0)))</f>
        <v/>
      </c>
      <c r="R332" s="9">
        <f>IF($K332="","",INDEX('سجل التحفيز'!$F$5:$F$2004,MATCH($K332,'سجل التحفيز'!$T$5:$T$2004,0)))</f>
        <v/>
      </c>
      <c r="S332" s="35">
        <f>IF($K332="","",INDEX('سجل التحفيز'!$G$5:$G$2004,MATCH($K332,'سجل التحفيز'!$T$5:$T$2004,0)))</f>
        <v/>
      </c>
    </row>
    <row r="333">
      <c r="K333" s="36">
        <f>IF(296&gt;$B$10,"",296)</f>
        <v/>
      </c>
      <c r="L333" s="37">
        <f>IF($K333="","",INDEX('سجل التحفيز'!$A$5:$A$2004,MATCH($K333,'سجل التحفيز'!$T$5:$T$2004,0)))</f>
        <v/>
      </c>
      <c r="M333" s="9">
        <f>IF($K333="","",INDEX('سجل التحفيز'!$B$5:$B$2004,MATCH($K333,'سجل التحفيز'!$T$5:$T$2004,0)))</f>
        <v/>
      </c>
      <c r="N333" s="9">
        <f>IF($K333="","",INDEX('سجل التحفيز'!$M$5:$M$2004,MATCH($K333,'سجل التحفيز'!$T$5:$T$2004,0)))</f>
        <v/>
      </c>
      <c r="O333" s="9">
        <f>IF($K333="","",INDEX('سجل التحفيز'!$C$5:$C$2004,MATCH($K333,'سجل التحفيز'!$T$5:$T$2004,0)))</f>
        <v/>
      </c>
      <c r="P333" s="36">
        <f>IF($K333="","",INDEX('سجل التحفيز'!$D$5:$D$2004,MATCH($K333,'سجل التحفيز'!$T$5:$T$2004,0)))</f>
        <v/>
      </c>
      <c r="Q333" s="9">
        <f>IF($K333="","",INDEX('سجل التحفيز'!$E$5:$E$2004,MATCH($K333,'سجل التحفيز'!$T$5:$T$2004,0)))</f>
        <v/>
      </c>
      <c r="R333" s="9">
        <f>IF($K333="","",INDEX('سجل التحفيز'!$F$5:$F$2004,MATCH($K333,'سجل التحفيز'!$T$5:$T$2004,0)))</f>
        <v/>
      </c>
      <c r="S333" s="35">
        <f>IF($K333="","",INDEX('سجل التحفيز'!$G$5:$G$2004,MATCH($K333,'سجل التحفيز'!$T$5:$T$2004,0)))</f>
        <v/>
      </c>
    </row>
    <row r="334">
      <c r="K334" s="36">
        <f>IF(297&gt;$B$10,"",297)</f>
        <v/>
      </c>
      <c r="L334" s="37">
        <f>IF($K334="","",INDEX('سجل التحفيز'!$A$5:$A$2004,MATCH($K334,'سجل التحفيز'!$T$5:$T$2004,0)))</f>
        <v/>
      </c>
      <c r="M334" s="9">
        <f>IF($K334="","",INDEX('سجل التحفيز'!$B$5:$B$2004,MATCH($K334,'سجل التحفيز'!$T$5:$T$2004,0)))</f>
        <v/>
      </c>
      <c r="N334" s="9">
        <f>IF($K334="","",INDEX('سجل التحفيز'!$M$5:$M$2004,MATCH($K334,'سجل التحفيز'!$T$5:$T$2004,0)))</f>
        <v/>
      </c>
      <c r="O334" s="9">
        <f>IF($K334="","",INDEX('سجل التحفيز'!$C$5:$C$2004,MATCH($K334,'سجل التحفيز'!$T$5:$T$2004,0)))</f>
        <v/>
      </c>
      <c r="P334" s="36">
        <f>IF($K334="","",INDEX('سجل التحفيز'!$D$5:$D$2004,MATCH($K334,'سجل التحفيز'!$T$5:$T$2004,0)))</f>
        <v/>
      </c>
      <c r="Q334" s="9">
        <f>IF($K334="","",INDEX('سجل التحفيز'!$E$5:$E$2004,MATCH($K334,'سجل التحفيز'!$T$5:$T$2004,0)))</f>
        <v/>
      </c>
      <c r="R334" s="9">
        <f>IF($K334="","",INDEX('سجل التحفيز'!$F$5:$F$2004,MATCH($K334,'سجل التحفيز'!$T$5:$T$2004,0)))</f>
        <v/>
      </c>
      <c r="S334" s="35">
        <f>IF($K334="","",INDEX('سجل التحفيز'!$G$5:$G$2004,MATCH($K334,'سجل التحفيز'!$T$5:$T$2004,0)))</f>
        <v/>
      </c>
    </row>
    <row r="335">
      <c r="K335" s="36">
        <f>IF(298&gt;$B$10,"",298)</f>
        <v/>
      </c>
      <c r="L335" s="37">
        <f>IF($K335="","",INDEX('سجل التحفيز'!$A$5:$A$2004,MATCH($K335,'سجل التحفيز'!$T$5:$T$2004,0)))</f>
        <v/>
      </c>
      <c r="M335" s="9">
        <f>IF($K335="","",INDEX('سجل التحفيز'!$B$5:$B$2004,MATCH($K335,'سجل التحفيز'!$T$5:$T$2004,0)))</f>
        <v/>
      </c>
      <c r="N335" s="9">
        <f>IF($K335="","",INDEX('سجل التحفيز'!$M$5:$M$2004,MATCH($K335,'سجل التحفيز'!$T$5:$T$2004,0)))</f>
        <v/>
      </c>
      <c r="O335" s="9">
        <f>IF($K335="","",INDEX('سجل التحفيز'!$C$5:$C$2004,MATCH($K335,'سجل التحفيز'!$T$5:$T$2004,0)))</f>
        <v/>
      </c>
      <c r="P335" s="36">
        <f>IF($K335="","",INDEX('سجل التحفيز'!$D$5:$D$2004,MATCH($K335,'سجل التحفيز'!$T$5:$T$2004,0)))</f>
        <v/>
      </c>
      <c r="Q335" s="9">
        <f>IF($K335="","",INDEX('سجل التحفيز'!$E$5:$E$2004,MATCH($K335,'سجل التحفيز'!$T$5:$T$2004,0)))</f>
        <v/>
      </c>
      <c r="R335" s="9">
        <f>IF($K335="","",INDEX('سجل التحفيز'!$F$5:$F$2004,MATCH($K335,'سجل التحفيز'!$T$5:$T$2004,0)))</f>
        <v/>
      </c>
      <c r="S335" s="35">
        <f>IF($K335="","",INDEX('سجل التحفيز'!$G$5:$G$2004,MATCH($K335,'سجل التحفيز'!$T$5:$T$2004,0)))</f>
        <v/>
      </c>
    </row>
    <row r="336">
      <c r="K336" s="36">
        <f>IF(299&gt;$B$10,"",299)</f>
        <v/>
      </c>
      <c r="L336" s="37">
        <f>IF($K336="","",INDEX('سجل التحفيز'!$A$5:$A$2004,MATCH($K336,'سجل التحفيز'!$T$5:$T$2004,0)))</f>
        <v/>
      </c>
      <c r="M336" s="9">
        <f>IF($K336="","",INDEX('سجل التحفيز'!$B$5:$B$2004,MATCH($K336,'سجل التحفيز'!$T$5:$T$2004,0)))</f>
        <v/>
      </c>
      <c r="N336" s="9">
        <f>IF($K336="","",INDEX('سجل التحفيز'!$M$5:$M$2004,MATCH($K336,'سجل التحفيز'!$T$5:$T$2004,0)))</f>
        <v/>
      </c>
      <c r="O336" s="9">
        <f>IF($K336="","",INDEX('سجل التحفيز'!$C$5:$C$2004,MATCH($K336,'سجل التحفيز'!$T$5:$T$2004,0)))</f>
        <v/>
      </c>
      <c r="P336" s="36">
        <f>IF($K336="","",INDEX('سجل التحفيز'!$D$5:$D$2004,MATCH($K336,'سجل التحفيز'!$T$5:$T$2004,0)))</f>
        <v/>
      </c>
      <c r="Q336" s="9">
        <f>IF($K336="","",INDEX('سجل التحفيز'!$E$5:$E$2004,MATCH($K336,'سجل التحفيز'!$T$5:$T$2004,0)))</f>
        <v/>
      </c>
      <c r="R336" s="9">
        <f>IF($K336="","",INDEX('سجل التحفيز'!$F$5:$F$2004,MATCH($K336,'سجل التحفيز'!$T$5:$T$2004,0)))</f>
        <v/>
      </c>
      <c r="S336" s="35">
        <f>IF($K336="","",INDEX('سجل التحفيز'!$G$5:$G$2004,MATCH($K336,'سجل التحفيز'!$T$5:$T$2004,0)))</f>
        <v/>
      </c>
    </row>
    <row r="337">
      <c r="K337" s="36">
        <f>IF(300&gt;$B$10,"",300)</f>
        <v/>
      </c>
      <c r="L337" s="37">
        <f>IF($K337="","",INDEX('سجل التحفيز'!$A$5:$A$2004,MATCH($K337,'سجل التحفيز'!$T$5:$T$2004,0)))</f>
        <v/>
      </c>
      <c r="M337" s="9">
        <f>IF($K337="","",INDEX('سجل التحفيز'!$B$5:$B$2004,MATCH($K337,'سجل التحفيز'!$T$5:$T$2004,0)))</f>
        <v/>
      </c>
      <c r="N337" s="9">
        <f>IF($K337="","",INDEX('سجل التحفيز'!$M$5:$M$2004,MATCH($K337,'سجل التحفيز'!$T$5:$T$2004,0)))</f>
        <v/>
      </c>
      <c r="O337" s="9">
        <f>IF($K337="","",INDEX('سجل التحفيز'!$C$5:$C$2004,MATCH($K337,'سجل التحفيز'!$T$5:$T$2004,0)))</f>
        <v/>
      </c>
      <c r="P337" s="36">
        <f>IF($K337="","",INDEX('سجل التحفيز'!$D$5:$D$2004,MATCH($K337,'سجل التحفيز'!$T$5:$T$2004,0)))</f>
        <v/>
      </c>
      <c r="Q337" s="9">
        <f>IF($K337="","",INDEX('سجل التحفيز'!$E$5:$E$2004,MATCH($K337,'سجل التحفيز'!$T$5:$T$2004,0)))</f>
        <v/>
      </c>
      <c r="R337" s="9">
        <f>IF($K337="","",INDEX('سجل التحفيز'!$F$5:$F$2004,MATCH($K337,'سجل التحفيز'!$T$5:$T$2004,0)))</f>
        <v/>
      </c>
      <c r="S337" s="35">
        <f>IF($K337="","",INDEX('سجل التحفيز'!$G$5:$G$2004,MATCH($K337,'سجل التحفيز'!$T$5:$T$2004,0)))</f>
        <v/>
      </c>
    </row>
    <row r="339">
      <c r="K339" s="38" t="inlineStr">
        <is>
          <t>يعرض الجدول حتى 300 تكريم في الفترة؛ للفترات الأكبر استخدمي التصفية في صفحة السجل.</t>
        </is>
      </c>
    </row>
  </sheetData>
  <mergeCells count="4">
    <mergeCell ref="A1:I1"/>
    <mergeCell ref="E4:I5"/>
    <mergeCell ref="E6:I7"/>
    <mergeCell ref="A2:I2"/>
  </mergeCells>
  <conditionalFormatting sqref="B38:H187">
    <cfRule type="expression" priority="1" dxfId="3">
      <formula>$B38&lt;&gt;""</formula>
    </cfRule>
    <cfRule type="expression" priority="2" dxfId="1">
      <formula>AND($B38&lt;&gt;"",$G38=1)</formula>
    </cfRule>
  </conditionalFormatting>
  <conditionalFormatting sqref="K38:S337">
    <cfRule type="expression" priority="3" dxfId="3">
      <formula>$K38&lt;&gt;""</formula>
    </cfRule>
    <cfRule type="expression" priority="4" dxfId="4">
      <formula>AND($K38&lt;&gt;"",$P38="ذهبي")</formula>
    </cfRule>
  </conditionalFormatting>
  <dataValidations count="4">
    <dataValidation sqref="C4" showDropDown="0" showInputMessage="0" showErrorMessage="0" allowBlank="0" type="list">
      <formula1>=YearList</formula1>
    </dataValidation>
    <dataValidation sqref="C5" showDropDown="0" showInputMessage="0" showErrorMessage="0" allowBlank="0" type="list">
      <formula1>=ReportTypes</formula1>
    </dataValidation>
    <dataValidation sqref="C6" showDropDown="0" showInputMessage="0" showErrorMessage="0" allowBlank="0" type="list">
      <formula1>=MonthNames</formula1>
    </dataValidation>
    <dataValidation sqref="C7" showDropDown="0" showInputMessage="0" showErrorMessage="0" allowBlank="0" type="list">
      <formula1>=SemList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rightToLeft="1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11" customWidth="1" min="17" max="17"/>
    <col width="11" customWidth="1" min="18" max="18"/>
  </cols>
  <sheetData>
    <row r="1" ht="34" customHeight="1">
      <c r="A1" s="1" t="inlineStr">
        <is>
          <t>لوحة السنة — المجالات × الأشهر</t>
        </is>
      </c>
    </row>
    <row r="2" ht="30" customHeight="1">
      <c r="A2" s="2" t="inlineStr">
        <is>
          <t>تعرض السنة الدراسية المختارة في صفحة «التقارير» (الخلية C4).</t>
        </is>
      </c>
    </row>
    <row r="4">
      <c r="B4" s="29">
        <f>"السنة الدراسية: "&amp;التقارير!C4</f>
        <v/>
      </c>
    </row>
    <row r="6">
      <c r="B6" s="39" t="inlineStr">
        <is>
          <t>المجال</t>
        </is>
      </c>
      <c r="C6" s="39" t="inlineStr">
        <is>
          <t>أغسطس</t>
        </is>
      </c>
      <c r="D6" s="39" t="inlineStr">
        <is>
          <t>سبتمبر</t>
        </is>
      </c>
      <c r="E6" s="39" t="inlineStr">
        <is>
          <t>أكتوبر</t>
        </is>
      </c>
      <c r="F6" s="39" t="inlineStr">
        <is>
          <t>نوفمبر</t>
        </is>
      </c>
      <c r="G6" s="39" t="inlineStr">
        <is>
          <t>ديسمبر</t>
        </is>
      </c>
      <c r="H6" s="39" t="inlineStr">
        <is>
          <t>يناير</t>
        </is>
      </c>
      <c r="I6" s="39" t="inlineStr">
        <is>
          <t>فبراير</t>
        </is>
      </c>
      <c r="J6" s="39" t="inlineStr">
        <is>
          <t>مارس</t>
        </is>
      </c>
      <c r="K6" s="39" t="inlineStr">
        <is>
          <t>أبريل</t>
        </is>
      </c>
      <c r="L6" s="39" t="inlineStr">
        <is>
          <t>مايو</t>
        </is>
      </c>
      <c r="M6" s="39" t="inlineStr">
        <is>
          <t>يونيو</t>
        </is>
      </c>
      <c r="N6" s="39" t="inlineStr">
        <is>
          <t>يوليو</t>
        </is>
      </c>
      <c r="O6" s="27" t="inlineStr">
        <is>
          <t>الفصل الأول</t>
        </is>
      </c>
      <c r="P6" s="27" t="inlineStr">
        <is>
          <t>الفصل الثاني</t>
        </is>
      </c>
      <c r="Q6" s="27" t="inlineStr">
        <is>
          <t>الإجمالي</t>
        </is>
      </c>
      <c r="R6" s="27" t="inlineStr">
        <is>
          <t>منها ذهبي</t>
        </is>
      </c>
    </row>
    <row r="7">
      <c r="B7" s="40">
        <f>الإعدادات!A7</f>
        <v/>
      </c>
      <c r="C7" s="41">
        <f>COUNTIFS('سجل التحفيز'!$C$5:$C$2004,$B7,'سجل التحفيز'!$R$5:$R$2004,التقارير!$C$4,'سجل التحفيز'!$P$5:$P$2004,C6)</f>
        <v/>
      </c>
      <c r="D7" s="41">
        <f>COUNTIFS('سجل التحفيز'!$C$5:$C$2004,$B7,'سجل التحفيز'!$R$5:$R$2004,التقارير!$C$4,'سجل التحفيز'!$P$5:$P$2004,D6)</f>
        <v/>
      </c>
      <c r="E7" s="41">
        <f>COUNTIFS('سجل التحفيز'!$C$5:$C$2004,$B7,'سجل التحفيز'!$R$5:$R$2004,التقارير!$C$4,'سجل التحفيز'!$P$5:$P$2004,E6)</f>
        <v/>
      </c>
      <c r="F7" s="41">
        <f>COUNTIFS('سجل التحفيز'!$C$5:$C$2004,$B7,'سجل التحفيز'!$R$5:$R$2004,التقارير!$C$4,'سجل التحفيز'!$P$5:$P$2004,F6)</f>
        <v/>
      </c>
      <c r="G7" s="41">
        <f>COUNTIFS('سجل التحفيز'!$C$5:$C$2004,$B7,'سجل التحفيز'!$R$5:$R$2004,التقارير!$C$4,'سجل التحفيز'!$P$5:$P$2004,G6)</f>
        <v/>
      </c>
      <c r="H7" s="41">
        <f>COUNTIFS('سجل التحفيز'!$C$5:$C$2004,$B7,'سجل التحفيز'!$R$5:$R$2004,التقارير!$C$4,'سجل التحفيز'!$P$5:$P$2004,H6)</f>
        <v/>
      </c>
      <c r="I7" s="41">
        <f>COUNTIFS('سجل التحفيز'!$C$5:$C$2004,$B7,'سجل التحفيز'!$R$5:$R$2004,التقارير!$C$4,'سجل التحفيز'!$P$5:$P$2004,I6)</f>
        <v/>
      </c>
      <c r="J7" s="41">
        <f>COUNTIFS('سجل التحفيز'!$C$5:$C$2004,$B7,'سجل التحفيز'!$R$5:$R$2004,التقارير!$C$4,'سجل التحفيز'!$P$5:$P$2004,J6)</f>
        <v/>
      </c>
      <c r="K7" s="41">
        <f>COUNTIFS('سجل التحفيز'!$C$5:$C$2004,$B7,'سجل التحفيز'!$R$5:$R$2004,التقارير!$C$4,'سجل التحفيز'!$P$5:$P$2004,K6)</f>
        <v/>
      </c>
      <c r="L7" s="41">
        <f>COUNTIFS('سجل التحفيز'!$C$5:$C$2004,$B7,'سجل التحفيز'!$R$5:$R$2004,التقارير!$C$4,'سجل التحفيز'!$P$5:$P$2004,L6)</f>
        <v/>
      </c>
      <c r="M7" s="41">
        <f>COUNTIFS('سجل التحفيز'!$C$5:$C$2004,$B7,'سجل التحفيز'!$R$5:$R$2004,التقارير!$C$4,'سجل التحفيز'!$P$5:$P$2004,M6)</f>
        <v/>
      </c>
      <c r="N7" s="41">
        <f>COUNTIFS('سجل التحفيز'!$C$5:$C$2004,$B7,'سجل التحفيز'!$R$5:$R$2004,التقارير!$C$4,'سجل التحفيز'!$P$5:$P$2004,N6)</f>
        <v/>
      </c>
      <c r="O7" s="41">
        <f>COUNTIFS('سجل التحفيز'!$C$5:$C$2004,$B7,'سجل التحفيز'!$R$5:$R$2004,التقارير!$C$4,'سجل التحفيز'!$Q$5:$Q$2004,"الفصل الأول")</f>
        <v/>
      </c>
      <c r="P7" s="41">
        <f>COUNTIFS('سجل التحفيز'!$C$5:$C$2004,$B7,'سجل التحفيز'!$R$5:$R$2004,التقارير!$C$4,'سجل التحفيز'!$Q$5:$Q$2004,"الفصل الثاني")</f>
        <v/>
      </c>
      <c r="Q7" s="42">
        <f>COUNTIFS('سجل التحفيز'!$C$5:$C$2004,$B7,'سجل التحفيز'!$R$5:$R$2004,التقارير!$C$4)</f>
        <v/>
      </c>
      <c r="R7" s="41">
        <f>COUNTIFS('سجل التحفيز'!$C$5:$C$2004,$B7,'سجل التحفيز'!$R$5:$R$2004,التقارير!$C$4,'سجل التحفيز'!$D$5:$D$2004,"ذهبي")</f>
        <v/>
      </c>
    </row>
    <row r="8">
      <c r="B8" s="40">
        <f>الإعدادات!A8</f>
        <v/>
      </c>
      <c r="C8" s="41">
        <f>COUNTIFS('سجل التحفيز'!$C$5:$C$2004,$B8,'سجل التحفيز'!$R$5:$R$2004,التقارير!$C$4,'سجل التحفيز'!$P$5:$P$2004,C6)</f>
        <v/>
      </c>
      <c r="D8" s="41">
        <f>COUNTIFS('سجل التحفيز'!$C$5:$C$2004,$B8,'سجل التحفيز'!$R$5:$R$2004,التقارير!$C$4,'سجل التحفيز'!$P$5:$P$2004,D6)</f>
        <v/>
      </c>
      <c r="E8" s="41">
        <f>COUNTIFS('سجل التحفيز'!$C$5:$C$2004,$B8,'سجل التحفيز'!$R$5:$R$2004,التقارير!$C$4,'سجل التحفيز'!$P$5:$P$2004,E6)</f>
        <v/>
      </c>
      <c r="F8" s="41">
        <f>COUNTIFS('سجل التحفيز'!$C$5:$C$2004,$B8,'سجل التحفيز'!$R$5:$R$2004,التقارير!$C$4,'سجل التحفيز'!$P$5:$P$2004,F6)</f>
        <v/>
      </c>
      <c r="G8" s="41">
        <f>COUNTIFS('سجل التحفيز'!$C$5:$C$2004,$B8,'سجل التحفيز'!$R$5:$R$2004,التقارير!$C$4,'سجل التحفيز'!$P$5:$P$2004,G6)</f>
        <v/>
      </c>
      <c r="H8" s="41">
        <f>COUNTIFS('سجل التحفيز'!$C$5:$C$2004,$B8,'سجل التحفيز'!$R$5:$R$2004,التقارير!$C$4,'سجل التحفيز'!$P$5:$P$2004,H6)</f>
        <v/>
      </c>
      <c r="I8" s="41">
        <f>COUNTIFS('سجل التحفيز'!$C$5:$C$2004,$B8,'سجل التحفيز'!$R$5:$R$2004,التقارير!$C$4,'سجل التحفيز'!$P$5:$P$2004,I6)</f>
        <v/>
      </c>
      <c r="J8" s="41">
        <f>COUNTIFS('سجل التحفيز'!$C$5:$C$2004,$B8,'سجل التحفيز'!$R$5:$R$2004,التقارير!$C$4,'سجل التحفيز'!$P$5:$P$2004,J6)</f>
        <v/>
      </c>
      <c r="K8" s="41">
        <f>COUNTIFS('سجل التحفيز'!$C$5:$C$2004,$B8,'سجل التحفيز'!$R$5:$R$2004,التقارير!$C$4,'سجل التحفيز'!$P$5:$P$2004,K6)</f>
        <v/>
      </c>
      <c r="L8" s="41">
        <f>COUNTIFS('سجل التحفيز'!$C$5:$C$2004,$B8,'سجل التحفيز'!$R$5:$R$2004,التقارير!$C$4,'سجل التحفيز'!$P$5:$P$2004,L6)</f>
        <v/>
      </c>
      <c r="M8" s="41">
        <f>COUNTIFS('سجل التحفيز'!$C$5:$C$2004,$B8,'سجل التحفيز'!$R$5:$R$2004,التقارير!$C$4,'سجل التحفيز'!$P$5:$P$2004,M6)</f>
        <v/>
      </c>
      <c r="N8" s="41">
        <f>COUNTIFS('سجل التحفيز'!$C$5:$C$2004,$B8,'سجل التحفيز'!$R$5:$R$2004,التقارير!$C$4,'سجل التحفيز'!$P$5:$P$2004,N6)</f>
        <v/>
      </c>
      <c r="O8" s="41">
        <f>COUNTIFS('سجل التحفيز'!$C$5:$C$2004,$B8,'سجل التحفيز'!$R$5:$R$2004,التقارير!$C$4,'سجل التحفيز'!$Q$5:$Q$2004,"الفصل الأول")</f>
        <v/>
      </c>
      <c r="P8" s="41">
        <f>COUNTIFS('سجل التحفيز'!$C$5:$C$2004,$B8,'سجل التحفيز'!$R$5:$R$2004,التقارير!$C$4,'سجل التحفيز'!$Q$5:$Q$2004,"الفصل الثاني")</f>
        <v/>
      </c>
      <c r="Q8" s="42">
        <f>COUNTIFS('سجل التحفيز'!$C$5:$C$2004,$B8,'سجل التحفيز'!$R$5:$R$2004,التقارير!$C$4)</f>
        <v/>
      </c>
      <c r="R8" s="41">
        <f>COUNTIFS('سجل التحفيز'!$C$5:$C$2004,$B8,'سجل التحفيز'!$R$5:$R$2004,التقارير!$C$4,'سجل التحفيز'!$D$5:$D$2004,"ذهبي")</f>
        <v/>
      </c>
    </row>
    <row r="9">
      <c r="B9" s="40">
        <f>الإعدادات!A9</f>
        <v/>
      </c>
      <c r="C9" s="41">
        <f>COUNTIFS('سجل التحفيز'!$C$5:$C$2004,$B9,'سجل التحفيز'!$R$5:$R$2004,التقارير!$C$4,'سجل التحفيز'!$P$5:$P$2004,C6)</f>
        <v/>
      </c>
      <c r="D9" s="41">
        <f>COUNTIFS('سجل التحفيز'!$C$5:$C$2004,$B9,'سجل التحفيز'!$R$5:$R$2004,التقارير!$C$4,'سجل التحفيز'!$P$5:$P$2004,D6)</f>
        <v/>
      </c>
      <c r="E9" s="41">
        <f>COUNTIFS('سجل التحفيز'!$C$5:$C$2004,$B9,'سجل التحفيز'!$R$5:$R$2004,التقارير!$C$4,'سجل التحفيز'!$P$5:$P$2004,E6)</f>
        <v/>
      </c>
      <c r="F9" s="41">
        <f>COUNTIFS('سجل التحفيز'!$C$5:$C$2004,$B9,'سجل التحفيز'!$R$5:$R$2004,التقارير!$C$4,'سجل التحفيز'!$P$5:$P$2004,F6)</f>
        <v/>
      </c>
      <c r="G9" s="41">
        <f>COUNTIFS('سجل التحفيز'!$C$5:$C$2004,$B9,'سجل التحفيز'!$R$5:$R$2004,التقارير!$C$4,'سجل التحفيز'!$P$5:$P$2004,G6)</f>
        <v/>
      </c>
      <c r="H9" s="41">
        <f>COUNTIFS('سجل التحفيز'!$C$5:$C$2004,$B9,'سجل التحفيز'!$R$5:$R$2004,التقارير!$C$4,'سجل التحفيز'!$P$5:$P$2004,H6)</f>
        <v/>
      </c>
      <c r="I9" s="41">
        <f>COUNTIFS('سجل التحفيز'!$C$5:$C$2004,$B9,'سجل التحفيز'!$R$5:$R$2004,التقارير!$C$4,'سجل التحفيز'!$P$5:$P$2004,I6)</f>
        <v/>
      </c>
      <c r="J9" s="41">
        <f>COUNTIFS('سجل التحفيز'!$C$5:$C$2004,$B9,'سجل التحفيز'!$R$5:$R$2004,التقارير!$C$4,'سجل التحفيز'!$P$5:$P$2004,J6)</f>
        <v/>
      </c>
      <c r="K9" s="41">
        <f>COUNTIFS('سجل التحفيز'!$C$5:$C$2004,$B9,'سجل التحفيز'!$R$5:$R$2004,التقارير!$C$4,'سجل التحفيز'!$P$5:$P$2004,K6)</f>
        <v/>
      </c>
      <c r="L9" s="41">
        <f>COUNTIFS('سجل التحفيز'!$C$5:$C$2004,$B9,'سجل التحفيز'!$R$5:$R$2004,التقارير!$C$4,'سجل التحفيز'!$P$5:$P$2004,L6)</f>
        <v/>
      </c>
      <c r="M9" s="41">
        <f>COUNTIFS('سجل التحفيز'!$C$5:$C$2004,$B9,'سجل التحفيز'!$R$5:$R$2004,التقارير!$C$4,'سجل التحفيز'!$P$5:$P$2004,M6)</f>
        <v/>
      </c>
      <c r="N9" s="41">
        <f>COUNTIFS('سجل التحفيز'!$C$5:$C$2004,$B9,'سجل التحفيز'!$R$5:$R$2004,التقارير!$C$4,'سجل التحفيز'!$P$5:$P$2004,N6)</f>
        <v/>
      </c>
      <c r="O9" s="41">
        <f>COUNTIFS('سجل التحفيز'!$C$5:$C$2004,$B9,'سجل التحفيز'!$R$5:$R$2004,التقارير!$C$4,'سجل التحفيز'!$Q$5:$Q$2004,"الفصل الأول")</f>
        <v/>
      </c>
      <c r="P9" s="41">
        <f>COUNTIFS('سجل التحفيز'!$C$5:$C$2004,$B9,'سجل التحفيز'!$R$5:$R$2004,التقارير!$C$4,'سجل التحفيز'!$Q$5:$Q$2004,"الفصل الثاني")</f>
        <v/>
      </c>
      <c r="Q9" s="42">
        <f>COUNTIFS('سجل التحفيز'!$C$5:$C$2004,$B9,'سجل التحفيز'!$R$5:$R$2004,التقارير!$C$4)</f>
        <v/>
      </c>
      <c r="R9" s="41">
        <f>COUNTIFS('سجل التحفيز'!$C$5:$C$2004,$B9,'سجل التحفيز'!$R$5:$R$2004,التقارير!$C$4,'سجل التحفيز'!$D$5:$D$2004,"ذهبي")</f>
        <v/>
      </c>
    </row>
    <row r="10">
      <c r="B10" s="40">
        <f>الإعدادات!A10</f>
        <v/>
      </c>
      <c r="C10" s="41">
        <f>COUNTIFS('سجل التحفيز'!$C$5:$C$2004,$B10,'سجل التحفيز'!$R$5:$R$2004,التقارير!$C$4,'سجل التحفيز'!$P$5:$P$2004,C6)</f>
        <v/>
      </c>
      <c r="D10" s="41">
        <f>COUNTIFS('سجل التحفيز'!$C$5:$C$2004,$B10,'سجل التحفيز'!$R$5:$R$2004,التقارير!$C$4,'سجل التحفيز'!$P$5:$P$2004,D6)</f>
        <v/>
      </c>
      <c r="E10" s="41">
        <f>COUNTIFS('سجل التحفيز'!$C$5:$C$2004,$B10,'سجل التحفيز'!$R$5:$R$2004,التقارير!$C$4,'سجل التحفيز'!$P$5:$P$2004,E6)</f>
        <v/>
      </c>
      <c r="F10" s="41">
        <f>COUNTIFS('سجل التحفيز'!$C$5:$C$2004,$B10,'سجل التحفيز'!$R$5:$R$2004,التقارير!$C$4,'سجل التحفيز'!$P$5:$P$2004,F6)</f>
        <v/>
      </c>
      <c r="G10" s="41">
        <f>COUNTIFS('سجل التحفيز'!$C$5:$C$2004,$B10,'سجل التحفيز'!$R$5:$R$2004,التقارير!$C$4,'سجل التحفيز'!$P$5:$P$2004,G6)</f>
        <v/>
      </c>
      <c r="H10" s="41">
        <f>COUNTIFS('سجل التحفيز'!$C$5:$C$2004,$B10,'سجل التحفيز'!$R$5:$R$2004,التقارير!$C$4,'سجل التحفيز'!$P$5:$P$2004,H6)</f>
        <v/>
      </c>
      <c r="I10" s="41">
        <f>COUNTIFS('سجل التحفيز'!$C$5:$C$2004,$B10,'سجل التحفيز'!$R$5:$R$2004,التقارير!$C$4,'سجل التحفيز'!$P$5:$P$2004,I6)</f>
        <v/>
      </c>
      <c r="J10" s="41">
        <f>COUNTIFS('سجل التحفيز'!$C$5:$C$2004,$B10,'سجل التحفيز'!$R$5:$R$2004,التقارير!$C$4,'سجل التحفيز'!$P$5:$P$2004,J6)</f>
        <v/>
      </c>
      <c r="K10" s="41">
        <f>COUNTIFS('سجل التحفيز'!$C$5:$C$2004,$B10,'سجل التحفيز'!$R$5:$R$2004,التقارير!$C$4,'سجل التحفيز'!$P$5:$P$2004,K6)</f>
        <v/>
      </c>
      <c r="L10" s="41">
        <f>COUNTIFS('سجل التحفيز'!$C$5:$C$2004,$B10,'سجل التحفيز'!$R$5:$R$2004,التقارير!$C$4,'سجل التحفيز'!$P$5:$P$2004,L6)</f>
        <v/>
      </c>
      <c r="M10" s="41">
        <f>COUNTIFS('سجل التحفيز'!$C$5:$C$2004,$B10,'سجل التحفيز'!$R$5:$R$2004,التقارير!$C$4,'سجل التحفيز'!$P$5:$P$2004,M6)</f>
        <v/>
      </c>
      <c r="N10" s="41">
        <f>COUNTIFS('سجل التحفيز'!$C$5:$C$2004,$B10,'سجل التحفيز'!$R$5:$R$2004,التقارير!$C$4,'سجل التحفيز'!$P$5:$P$2004,N6)</f>
        <v/>
      </c>
      <c r="O10" s="41">
        <f>COUNTIFS('سجل التحفيز'!$C$5:$C$2004,$B10,'سجل التحفيز'!$R$5:$R$2004,التقارير!$C$4,'سجل التحفيز'!$Q$5:$Q$2004,"الفصل الأول")</f>
        <v/>
      </c>
      <c r="P10" s="41">
        <f>COUNTIFS('سجل التحفيز'!$C$5:$C$2004,$B10,'سجل التحفيز'!$R$5:$R$2004,التقارير!$C$4,'سجل التحفيز'!$Q$5:$Q$2004,"الفصل الثاني")</f>
        <v/>
      </c>
      <c r="Q10" s="42">
        <f>COUNTIFS('سجل التحفيز'!$C$5:$C$2004,$B10,'سجل التحفيز'!$R$5:$R$2004,التقارير!$C$4)</f>
        <v/>
      </c>
      <c r="R10" s="41">
        <f>COUNTIFS('سجل التحفيز'!$C$5:$C$2004,$B10,'سجل التحفيز'!$R$5:$R$2004,التقارير!$C$4,'سجل التحفيز'!$D$5:$D$2004,"ذهبي")</f>
        <v/>
      </c>
    </row>
    <row r="11">
      <c r="B11" s="40">
        <f>الإعدادات!A11</f>
        <v/>
      </c>
      <c r="C11" s="41">
        <f>COUNTIFS('سجل التحفيز'!$C$5:$C$2004,$B11,'سجل التحفيز'!$R$5:$R$2004,التقارير!$C$4,'سجل التحفيز'!$P$5:$P$2004,C6)</f>
        <v/>
      </c>
      <c r="D11" s="41">
        <f>COUNTIFS('سجل التحفيز'!$C$5:$C$2004,$B11,'سجل التحفيز'!$R$5:$R$2004,التقارير!$C$4,'سجل التحفيز'!$P$5:$P$2004,D6)</f>
        <v/>
      </c>
      <c r="E11" s="41">
        <f>COUNTIFS('سجل التحفيز'!$C$5:$C$2004,$B11,'سجل التحفيز'!$R$5:$R$2004,التقارير!$C$4,'سجل التحفيز'!$P$5:$P$2004,E6)</f>
        <v/>
      </c>
      <c r="F11" s="41">
        <f>COUNTIFS('سجل التحفيز'!$C$5:$C$2004,$B11,'سجل التحفيز'!$R$5:$R$2004,التقارير!$C$4,'سجل التحفيز'!$P$5:$P$2004,F6)</f>
        <v/>
      </c>
      <c r="G11" s="41">
        <f>COUNTIFS('سجل التحفيز'!$C$5:$C$2004,$B11,'سجل التحفيز'!$R$5:$R$2004,التقارير!$C$4,'سجل التحفيز'!$P$5:$P$2004,G6)</f>
        <v/>
      </c>
      <c r="H11" s="41">
        <f>COUNTIFS('سجل التحفيز'!$C$5:$C$2004,$B11,'سجل التحفيز'!$R$5:$R$2004,التقارير!$C$4,'سجل التحفيز'!$P$5:$P$2004,H6)</f>
        <v/>
      </c>
      <c r="I11" s="41">
        <f>COUNTIFS('سجل التحفيز'!$C$5:$C$2004,$B11,'سجل التحفيز'!$R$5:$R$2004,التقارير!$C$4,'سجل التحفيز'!$P$5:$P$2004,I6)</f>
        <v/>
      </c>
      <c r="J11" s="41">
        <f>COUNTIFS('سجل التحفيز'!$C$5:$C$2004,$B11,'سجل التحفيز'!$R$5:$R$2004,التقارير!$C$4,'سجل التحفيز'!$P$5:$P$2004,J6)</f>
        <v/>
      </c>
      <c r="K11" s="41">
        <f>COUNTIFS('سجل التحفيز'!$C$5:$C$2004,$B11,'سجل التحفيز'!$R$5:$R$2004,التقارير!$C$4,'سجل التحفيز'!$P$5:$P$2004,K6)</f>
        <v/>
      </c>
      <c r="L11" s="41">
        <f>COUNTIFS('سجل التحفيز'!$C$5:$C$2004,$B11,'سجل التحفيز'!$R$5:$R$2004,التقارير!$C$4,'سجل التحفيز'!$P$5:$P$2004,L6)</f>
        <v/>
      </c>
      <c r="M11" s="41">
        <f>COUNTIFS('سجل التحفيز'!$C$5:$C$2004,$B11,'سجل التحفيز'!$R$5:$R$2004,التقارير!$C$4,'سجل التحفيز'!$P$5:$P$2004,M6)</f>
        <v/>
      </c>
      <c r="N11" s="41">
        <f>COUNTIFS('سجل التحفيز'!$C$5:$C$2004,$B11,'سجل التحفيز'!$R$5:$R$2004,التقارير!$C$4,'سجل التحفيز'!$P$5:$P$2004,N6)</f>
        <v/>
      </c>
      <c r="O11" s="41">
        <f>COUNTIFS('سجل التحفيز'!$C$5:$C$2004,$B11,'سجل التحفيز'!$R$5:$R$2004,التقارير!$C$4,'سجل التحفيز'!$Q$5:$Q$2004,"الفصل الأول")</f>
        <v/>
      </c>
      <c r="P11" s="41">
        <f>COUNTIFS('سجل التحفيز'!$C$5:$C$2004,$B11,'سجل التحفيز'!$R$5:$R$2004,التقارير!$C$4,'سجل التحفيز'!$Q$5:$Q$2004,"الفصل الثاني")</f>
        <v/>
      </c>
      <c r="Q11" s="42">
        <f>COUNTIFS('سجل التحفيز'!$C$5:$C$2004,$B11,'سجل التحفيز'!$R$5:$R$2004,التقارير!$C$4)</f>
        <v/>
      </c>
      <c r="R11" s="41">
        <f>COUNTIFS('سجل التحفيز'!$C$5:$C$2004,$B11,'سجل التحفيز'!$R$5:$R$2004,التقارير!$C$4,'سجل التحفيز'!$D$5:$D$2004,"ذهبي")</f>
        <v/>
      </c>
    </row>
    <row r="12">
      <c r="B12" s="40">
        <f>الإعدادات!A12</f>
        <v/>
      </c>
      <c r="C12" s="41">
        <f>COUNTIFS('سجل التحفيز'!$C$5:$C$2004,$B12,'سجل التحفيز'!$R$5:$R$2004,التقارير!$C$4,'سجل التحفيز'!$P$5:$P$2004,C6)</f>
        <v/>
      </c>
      <c r="D12" s="41">
        <f>COUNTIFS('سجل التحفيز'!$C$5:$C$2004,$B12,'سجل التحفيز'!$R$5:$R$2004,التقارير!$C$4,'سجل التحفيز'!$P$5:$P$2004,D6)</f>
        <v/>
      </c>
      <c r="E12" s="41">
        <f>COUNTIFS('سجل التحفيز'!$C$5:$C$2004,$B12,'سجل التحفيز'!$R$5:$R$2004,التقارير!$C$4,'سجل التحفيز'!$P$5:$P$2004,E6)</f>
        <v/>
      </c>
      <c r="F12" s="41">
        <f>COUNTIFS('سجل التحفيز'!$C$5:$C$2004,$B12,'سجل التحفيز'!$R$5:$R$2004,التقارير!$C$4,'سجل التحفيز'!$P$5:$P$2004,F6)</f>
        <v/>
      </c>
      <c r="G12" s="41">
        <f>COUNTIFS('سجل التحفيز'!$C$5:$C$2004,$B12,'سجل التحفيز'!$R$5:$R$2004,التقارير!$C$4,'سجل التحفيز'!$P$5:$P$2004,G6)</f>
        <v/>
      </c>
      <c r="H12" s="41">
        <f>COUNTIFS('سجل التحفيز'!$C$5:$C$2004,$B12,'سجل التحفيز'!$R$5:$R$2004,التقارير!$C$4,'سجل التحفيز'!$P$5:$P$2004,H6)</f>
        <v/>
      </c>
      <c r="I12" s="41">
        <f>COUNTIFS('سجل التحفيز'!$C$5:$C$2004,$B12,'سجل التحفيز'!$R$5:$R$2004,التقارير!$C$4,'سجل التحفيز'!$P$5:$P$2004,I6)</f>
        <v/>
      </c>
      <c r="J12" s="41">
        <f>COUNTIFS('سجل التحفيز'!$C$5:$C$2004,$B12,'سجل التحفيز'!$R$5:$R$2004,التقارير!$C$4,'سجل التحفيز'!$P$5:$P$2004,J6)</f>
        <v/>
      </c>
      <c r="K12" s="41">
        <f>COUNTIFS('سجل التحفيز'!$C$5:$C$2004,$B12,'سجل التحفيز'!$R$5:$R$2004,التقارير!$C$4,'سجل التحفيز'!$P$5:$P$2004,K6)</f>
        <v/>
      </c>
      <c r="L12" s="41">
        <f>COUNTIFS('سجل التحفيز'!$C$5:$C$2004,$B12,'سجل التحفيز'!$R$5:$R$2004,التقارير!$C$4,'سجل التحفيز'!$P$5:$P$2004,L6)</f>
        <v/>
      </c>
      <c r="M12" s="41">
        <f>COUNTIFS('سجل التحفيز'!$C$5:$C$2004,$B12,'سجل التحفيز'!$R$5:$R$2004,التقارير!$C$4,'سجل التحفيز'!$P$5:$P$2004,M6)</f>
        <v/>
      </c>
      <c r="N12" s="41">
        <f>COUNTIFS('سجل التحفيز'!$C$5:$C$2004,$B12,'سجل التحفيز'!$R$5:$R$2004,التقارير!$C$4,'سجل التحفيز'!$P$5:$P$2004,N6)</f>
        <v/>
      </c>
      <c r="O12" s="41">
        <f>COUNTIFS('سجل التحفيز'!$C$5:$C$2004,$B12,'سجل التحفيز'!$R$5:$R$2004,التقارير!$C$4,'سجل التحفيز'!$Q$5:$Q$2004,"الفصل الأول")</f>
        <v/>
      </c>
      <c r="P12" s="41">
        <f>COUNTIFS('سجل التحفيز'!$C$5:$C$2004,$B12,'سجل التحفيز'!$R$5:$R$2004,التقارير!$C$4,'سجل التحفيز'!$Q$5:$Q$2004,"الفصل الثاني")</f>
        <v/>
      </c>
      <c r="Q12" s="42">
        <f>COUNTIFS('سجل التحفيز'!$C$5:$C$2004,$B12,'سجل التحفيز'!$R$5:$R$2004,التقارير!$C$4)</f>
        <v/>
      </c>
      <c r="R12" s="41">
        <f>COUNTIFS('سجل التحفيز'!$C$5:$C$2004,$B12,'سجل التحفيز'!$R$5:$R$2004,التقارير!$C$4,'سجل التحفيز'!$D$5:$D$2004,"ذهبي")</f>
        <v/>
      </c>
    </row>
    <row r="13">
      <c r="B13" s="40">
        <f>الإعدادات!A13</f>
        <v/>
      </c>
      <c r="C13" s="41">
        <f>COUNTIFS('سجل التحفيز'!$C$5:$C$2004,$B13,'سجل التحفيز'!$R$5:$R$2004,التقارير!$C$4,'سجل التحفيز'!$P$5:$P$2004,C6)</f>
        <v/>
      </c>
      <c r="D13" s="41">
        <f>COUNTIFS('سجل التحفيز'!$C$5:$C$2004,$B13,'سجل التحفيز'!$R$5:$R$2004,التقارير!$C$4,'سجل التحفيز'!$P$5:$P$2004,D6)</f>
        <v/>
      </c>
      <c r="E13" s="41">
        <f>COUNTIFS('سجل التحفيز'!$C$5:$C$2004,$B13,'سجل التحفيز'!$R$5:$R$2004,التقارير!$C$4,'سجل التحفيز'!$P$5:$P$2004,E6)</f>
        <v/>
      </c>
      <c r="F13" s="41">
        <f>COUNTIFS('سجل التحفيز'!$C$5:$C$2004,$B13,'سجل التحفيز'!$R$5:$R$2004,التقارير!$C$4,'سجل التحفيز'!$P$5:$P$2004,F6)</f>
        <v/>
      </c>
      <c r="G13" s="41">
        <f>COUNTIFS('سجل التحفيز'!$C$5:$C$2004,$B13,'سجل التحفيز'!$R$5:$R$2004,التقارير!$C$4,'سجل التحفيز'!$P$5:$P$2004,G6)</f>
        <v/>
      </c>
      <c r="H13" s="41">
        <f>COUNTIFS('سجل التحفيز'!$C$5:$C$2004,$B13,'سجل التحفيز'!$R$5:$R$2004,التقارير!$C$4,'سجل التحفيز'!$P$5:$P$2004,H6)</f>
        <v/>
      </c>
      <c r="I13" s="41">
        <f>COUNTIFS('سجل التحفيز'!$C$5:$C$2004,$B13,'سجل التحفيز'!$R$5:$R$2004,التقارير!$C$4,'سجل التحفيز'!$P$5:$P$2004,I6)</f>
        <v/>
      </c>
      <c r="J13" s="41">
        <f>COUNTIFS('سجل التحفيز'!$C$5:$C$2004,$B13,'سجل التحفيز'!$R$5:$R$2004,التقارير!$C$4,'سجل التحفيز'!$P$5:$P$2004,J6)</f>
        <v/>
      </c>
      <c r="K13" s="41">
        <f>COUNTIFS('سجل التحفيز'!$C$5:$C$2004,$B13,'سجل التحفيز'!$R$5:$R$2004,التقارير!$C$4,'سجل التحفيز'!$P$5:$P$2004,K6)</f>
        <v/>
      </c>
      <c r="L13" s="41">
        <f>COUNTIFS('سجل التحفيز'!$C$5:$C$2004,$B13,'سجل التحفيز'!$R$5:$R$2004,التقارير!$C$4,'سجل التحفيز'!$P$5:$P$2004,L6)</f>
        <v/>
      </c>
      <c r="M13" s="41">
        <f>COUNTIFS('سجل التحفيز'!$C$5:$C$2004,$B13,'سجل التحفيز'!$R$5:$R$2004,التقارير!$C$4,'سجل التحفيز'!$P$5:$P$2004,M6)</f>
        <v/>
      </c>
      <c r="N13" s="41">
        <f>COUNTIFS('سجل التحفيز'!$C$5:$C$2004,$B13,'سجل التحفيز'!$R$5:$R$2004,التقارير!$C$4,'سجل التحفيز'!$P$5:$P$2004,N6)</f>
        <v/>
      </c>
      <c r="O13" s="41">
        <f>COUNTIFS('سجل التحفيز'!$C$5:$C$2004,$B13,'سجل التحفيز'!$R$5:$R$2004,التقارير!$C$4,'سجل التحفيز'!$Q$5:$Q$2004,"الفصل الأول")</f>
        <v/>
      </c>
      <c r="P13" s="41">
        <f>COUNTIFS('سجل التحفيز'!$C$5:$C$2004,$B13,'سجل التحفيز'!$R$5:$R$2004,التقارير!$C$4,'سجل التحفيز'!$Q$5:$Q$2004,"الفصل الثاني")</f>
        <v/>
      </c>
      <c r="Q13" s="42">
        <f>COUNTIFS('سجل التحفيز'!$C$5:$C$2004,$B13,'سجل التحفيز'!$R$5:$R$2004,التقارير!$C$4)</f>
        <v/>
      </c>
      <c r="R13" s="41">
        <f>COUNTIFS('سجل التحفيز'!$C$5:$C$2004,$B13,'سجل التحفيز'!$R$5:$R$2004,التقارير!$C$4,'سجل التحفيز'!$D$5:$D$2004,"ذهبي")</f>
        <v/>
      </c>
    </row>
    <row r="14">
      <c r="B14" s="40">
        <f>الإعدادات!A14</f>
        <v/>
      </c>
      <c r="C14" s="41">
        <f>COUNTIFS('سجل التحفيز'!$C$5:$C$2004,$B14,'سجل التحفيز'!$R$5:$R$2004,التقارير!$C$4,'سجل التحفيز'!$P$5:$P$2004,C6)</f>
        <v/>
      </c>
      <c r="D14" s="41">
        <f>COUNTIFS('سجل التحفيز'!$C$5:$C$2004,$B14,'سجل التحفيز'!$R$5:$R$2004,التقارير!$C$4,'سجل التحفيز'!$P$5:$P$2004,D6)</f>
        <v/>
      </c>
      <c r="E14" s="41">
        <f>COUNTIFS('سجل التحفيز'!$C$5:$C$2004,$B14,'سجل التحفيز'!$R$5:$R$2004,التقارير!$C$4,'سجل التحفيز'!$P$5:$P$2004,E6)</f>
        <v/>
      </c>
      <c r="F14" s="41">
        <f>COUNTIFS('سجل التحفيز'!$C$5:$C$2004,$B14,'سجل التحفيز'!$R$5:$R$2004,التقارير!$C$4,'سجل التحفيز'!$P$5:$P$2004,F6)</f>
        <v/>
      </c>
      <c r="G14" s="41">
        <f>COUNTIFS('سجل التحفيز'!$C$5:$C$2004,$B14,'سجل التحفيز'!$R$5:$R$2004,التقارير!$C$4,'سجل التحفيز'!$P$5:$P$2004,G6)</f>
        <v/>
      </c>
      <c r="H14" s="41">
        <f>COUNTIFS('سجل التحفيز'!$C$5:$C$2004,$B14,'سجل التحفيز'!$R$5:$R$2004,التقارير!$C$4,'سجل التحفيز'!$P$5:$P$2004,H6)</f>
        <v/>
      </c>
      <c r="I14" s="41">
        <f>COUNTIFS('سجل التحفيز'!$C$5:$C$2004,$B14,'سجل التحفيز'!$R$5:$R$2004,التقارير!$C$4,'سجل التحفيز'!$P$5:$P$2004,I6)</f>
        <v/>
      </c>
      <c r="J14" s="41">
        <f>COUNTIFS('سجل التحفيز'!$C$5:$C$2004,$B14,'سجل التحفيز'!$R$5:$R$2004,التقارير!$C$4,'سجل التحفيز'!$P$5:$P$2004,J6)</f>
        <v/>
      </c>
      <c r="K14" s="41">
        <f>COUNTIFS('سجل التحفيز'!$C$5:$C$2004,$B14,'سجل التحفيز'!$R$5:$R$2004,التقارير!$C$4,'سجل التحفيز'!$P$5:$P$2004,K6)</f>
        <v/>
      </c>
      <c r="L14" s="41">
        <f>COUNTIFS('سجل التحفيز'!$C$5:$C$2004,$B14,'سجل التحفيز'!$R$5:$R$2004,التقارير!$C$4,'سجل التحفيز'!$P$5:$P$2004,L6)</f>
        <v/>
      </c>
      <c r="M14" s="41">
        <f>COUNTIFS('سجل التحفيز'!$C$5:$C$2004,$B14,'سجل التحفيز'!$R$5:$R$2004,التقارير!$C$4,'سجل التحفيز'!$P$5:$P$2004,M6)</f>
        <v/>
      </c>
      <c r="N14" s="41">
        <f>COUNTIFS('سجل التحفيز'!$C$5:$C$2004,$B14,'سجل التحفيز'!$R$5:$R$2004,التقارير!$C$4,'سجل التحفيز'!$P$5:$P$2004,N6)</f>
        <v/>
      </c>
      <c r="O14" s="41">
        <f>COUNTIFS('سجل التحفيز'!$C$5:$C$2004,$B14,'سجل التحفيز'!$R$5:$R$2004,التقارير!$C$4,'سجل التحفيز'!$Q$5:$Q$2004,"الفصل الأول")</f>
        <v/>
      </c>
      <c r="P14" s="41">
        <f>COUNTIFS('سجل التحفيز'!$C$5:$C$2004,$B14,'سجل التحفيز'!$R$5:$R$2004,التقارير!$C$4,'سجل التحفيز'!$Q$5:$Q$2004,"الفصل الثاني")</f>
        <v/>
      </c>
      <c r="Q14" s="42">
        <f>COUNTIFS('سجل التحفيز'!$C$5:$C$2004,$B14,'سجل التحفيز'!$R$5:$R$2004,التقارير!$C$4)</f>
        <v/>
      </c>
      <c r="R14" s="41">
        <f>COUNTIFS('سجل التحفيز'!$C$5:$C$2004,$B14,'سجل التحفيز'!$R$5:$R$2004,التقارير!$C$4,'سجل التحفيز'!$D$5:$D$2004,"ذهبي")</f>
        <v/>
      </c>
    </row>
    <row r="15">
      <c r="B15" s="40">
        <f>الإعدادات!A15</f>
        <v/>
      </c>
      <c r="C15" s="41">
        <f>COUNTIFS('سجل التحفيز'!$C$5:$C$2004,$B15,'سجل التحفيز'!$R$5:$R$2004,التقارير!$C$4,'سجل التحفيز'!$P$5:$P$2004,C6)</f>
        <v/>
      </c>
      <c r="D15" s="41">
        <f>COUNTIFS('سجل التحفيز'!$C$5:$C$2004,$B15,'سجل التحفيز'!$R$5:$R$2004,التقارير!$C$4,'سجل التحفيز'!$P$5:$P$2004,D6)</f>
        <v/>
      </c>
      <c r="E15" s="41">
        <f>COUNTIFS('سجل التحفيز'!$C$5:$C$2004,$B15,'سجل التحفيز'!$R$5:$R$2004,التقارير!$C$4,'سجل التحفيز'!$P$5:$P$2004,E6)</f>
        <v/>
      </c>
      <c r="F15" s="41">
        <f>COUNTIFS('سجل التحفيز'!$C$5:$C$2004,$B15,'سجل التحفيز'!$R$5:$R$2004,التقارير!$C$4,'سجل التحفيز'!$P$5:$P$2004,F6)</f>
        <v/>
      </c>
      <c r="G15" s="41">
        <f>COUNTIFS('سجل التحفيز'!$C$5:$C$2004,$B15,'سجل التحفيز'!$R$5:$R$2004,التقارير!$C$4,'سجل التحفيز'!$P$5:$P$2004,G6)</f>
        <v/>
      </c>
      <c r="H15" s="41">
        <f>COUNTIFS('سجل التحفيز'!$C$5:$C$2004,$B15,'سجل التحفيز'!$R$5:$R$2004,التقارير!$C$4,'سجل التحفيز'!$P$5:$P$2004,H6)</f>
        <v/>
      </c>
      <c r="I15" s="41">
        <f>COUNTIFS('سجل التحفيز'!$C$5:$C$2004,$B15,'سجل التحفيز'!$R$5:$R$2004,التقارير!$C$4,'سجل التحفيز'!$P$5:$P$2004,I6)</f>
        <v/>
      </c>
      <c r="J15" s="41">
        <f>COUNTIFS('سجل التحفيز'!$C$5:$C$2004,$B15,'سجل التحفيز'!$R$5:$R$2004,التقارير!$C$4,'سجل التحفيز'!$P$5:$P$2004,J6)</f>
        <v/>
      </c>
      <c r="K15" s="41">
        <f>COUNTIFS('سجل التحفيز'!$C$5:$C$2004,$B15,'سجل التحفيز'!$R$5:$R$2004,التقارير!$C$4,'سجل التحفيز'!$P$5:$P$2004,K6)</f>
        <v/>
      </c>
      <c r="L15" s="41">
        <f>COUNTIFS('سجل التحفيز'!$C$5:$C$2004,$B15,'سجل التحفيز'!$R$5:$R$2004,التقارير!$C$4,'سجل التحفيز'!$P$5:$P$2004,L6)</f>
        <v/>
      </c>
      <c r="M15" s="41">
        <f>COUNTIFS('سجل التحفيز'!$C$5:$C$2004,$B15,'سجل التحفيز'!$R$5:$R$2004,التقارير!$C$4,'سجل التحفيز'!$P$5:$P$2004,M6)</f>
        <v/>
      </c>
      <c r="N15" s="41">
        <f>COUNTIFS('سجل التحفيز'!$C$5:$C$2004,$B15,'سجل التحفيز'!$R$5:$R$2004,التقارير!$C$4,'سجل التحفيز'!$P$5:$P$2004,N6)</f>
        <v/>
      </c>
      <c r="O15" s="41">
        <f>COUNTIFS('سجل التحفيز'!$C$5:$C$2004,$B15,'سجل التحفيز'!$R$5:$R$2004,التقارير!$C$4,'سجل التحفيز'!$Q$5:$Q$2004,"الفصل الأول")</f>
        <v/>
      </c>
      <c r="P15" s="41">
        <f>COUNTIFS('سجل التحفيز'!$C$5:$C$2004,$B15,'سجل التحفيز'!$R$5:$R$2004,التقارير!$C$4,'سجل التحفيز'!$Q$5:$Q$2004,"الفصل الثاني")</f>
        <v/>
      </c>
      <c r="Q15" s="42">
        <f>COUNTIFS('سجل التحفيز'!$C$5:$C$2004,$B15,'سجل التحفيز'!$R$5:$R$2004,التقارير!$C$4)</f>
        <v/>
      </c>
      <c r="R15" s="41">
        <f>COUNTIFS('سجل التحفيز'!$C$5:$C$2004,$B15,'سجل التحفيز'!$R$5:$R$2004,التقارير!$C$4,'سجل التحفيز'!$D$5:$D$2004,"ذهبي")</f>
        <v/>
      </c>
    </row>
    <row r="16">
      <c r="B16" s="40">
        <f>الإعدادات!A16</f>
        <v/>
      </c>
      <c r="C16" s="41">
        <f>COUNTIFS('سجل التحفيز'!$C$5:$C$2004,$B16,'سجل التحفيز'!$R$5:$R$2004,التقارير!$C$4,'سجل التحفيز'!$P$5:$P$2004,C6)</f>
        <v/>
      </c>
      <c r="D16" s="41">
        <f>COUNTIFS('سجل التحفيز'!$C$5:$C$2004,$B16,'سجل التحفيز'!$R$5:$R$2004,التقارير!$C$4,'سجل التحفيز'!$P$5:$P$2004,D6)</f>
        <v/>
      </c>
      <c r="E16" s="41">
        <f>COUNTIFS('سجل التحفيز'!$C$5:$C$2004,$B16,'سجل التحفيز'!$R$5:$R$2004,التقارير!$C$4,'سجل التحفيز'!$P$5:$P$2004,E6)</f>
        <v/>
      </c>
      <c r="F16" s="41">
        <f>COUNTIFS('سجل التحفيز'!$C$5:$C$2004,$B16,'سجل التحفيز'!$R$5:$R$2004,التقارير!$C$4,'سجل التحفيز'!$P$5:$P$2004,F6)</f>
        <v/>
      </c>
      <c r="G16" s="41">
        <f>COUNTIFS('سجل التحفيز'!$C$5:$C$2004,$B16,'سجل التحفيز'!$R$5:$R$2004,التقارير!$C$4,'سجل التحفيز'!$P$5:$P$2004,G6)</f>
        <v/>
      </c>
      <c r="H16" s="41">
        <f>COUNTIFS('سجل التحفيز'!$C$5:$C$2004,$B16,'سجل التحفيز'!$R$5:$R$2004,التقارير!$C$4,'سجل التحفيز'!$P$5:$P$2004,H6)</f>
        <v/>
      </c>
      <c r="I16" s="41">
        <f>COUNTIFS('سجل التحفيز'!$C$5:$C$2004,$B16,'سجل التحفيز'!$R$5:$R$2004,التقارير!$C$4,'سجل التحفيز'!$P$5:$P$2004,I6)</f>
        <v/>
      </c>
      <c r="J16" s="41">
        <f>COUNTIFS('سجل التحفيز'!$C$5:$C$2004,$B16,'سجل التحفيز'!$R$5:$R$2004,التقارير!$C$4,'سجل التحفيز'!$P$5:$P$2004,J6)</f>
        <v/>
      </c>
      <c r="K16" s="41">
        <f>COUNTIFS('سجل التحفيز'!$C$5:$C$2004,$B16,'سجل التحفيز'!$R$5:$R$2004,التقارير!$C$4,'سجل التحفيز'!$P$5:$P$2004,K6)</f>
        <v/>
      </c>
      <c r="L16" s="41">
        <f>COUNTIFS('سجل التحفيز'!$C$5:$C$2004,$B16,'سجل التحفيز'!$R$5:$R$2004,التقارير!$C$4,'سجل التحفيز'!$P$5:$P$2004,L6)</f>
        <v/>
      </c>
      <c r="M16" s="41">
        <f>COUNTIFS('سجل التحفيز'!$C$5:$C$2004,$B16,'سجل التحفيز'!$R$5:$R$2004,التقارير!$C$4,'سجل التحفيز'!$P$5:$P$2004,M6)</f>
        <v/>
      </c>
      <c r="N16" s="41">
        <f>COUNTIFS('سجل التحفيز'!$C$5:$C$2004,$B16,'سجل التحفيز'!$R$5:$R$2004,التقارير!$C$4,'سجل التحفيز'!$P$5:$P$2004,N6)</f>
        <v/>
      </c>
      <c r="O16" s="41">
        <f>COUNTIFS('سجل التحفيز'!$C$5:$C$2004,$B16,'سجل التحفيز'!$R$5:$R$2004,التقارير!$C$4,'سجل التحفيز'!$Q$5:$Q$2004,"الفصل الأول")</f>
        <v/>
      </c>
      <c r="P16" s="41">
        <f>COUNTIFS('سجل التحفيز'!$C$5:$C$2004,$B16,'سجل التحفيز'!$R$5:$R$2004,التقارير!$C$4,'سجل التحفيز'!$Q$5:$Q$2004,"الفصل الثاني")</f>
        <v/>
      </c>
      <c r="Q16" s="42">
        <f>COUNTIFS('سجل التحفيز'!$C$5:$C$2004,$B16,'سجل التحفيز'!$R$5:$R$2004,التقارير!$C$4)</f>
        <v/>
      </c>
      <c r="R16" s="41">
        <f>COUNTIFS('سجل التحفيز'!$C$5:$C$2004,$B16,'سجل التحفيز'!$R$5:$R$2004,التقارير!$C$4,'سجل التحفيز'!$D$5:$D$2004,"ذهبي")</f>
        <v/>
      </c>
    </row>
    <row r="17">
      <c r="B17" s="40">
        <f>الإعدادات!A17</f>
        <v/>
      </c>
      <c r="C17" s="41">
        <f>COUNTIFS('سجل التحفيز'!$C$5:$C$2004,$B17,'سجل التحفيز'!$R$5:$R$2004,التقارير!$C$4,'سجل التحفيز'!$P$5:$P$2004,C6)</f>
        <v/>
      </c>
      <c r="D17" s="41">
        <f>COUNTIFS('سجل التحفيز'!$C$5:$C$2004,$B17,'سجل التحفيز'!$R$5:$R$2004,التقارير!$C$4,'سجل التحفيز'!$P$5:$P$2004,D6)</f>
        <v/>
      </c>
      <c r="E17" s="41">
        <f>COUNTIFS('سجل التحفيز'!$C$5:$C$2004,$B17,'سجل التحفيز'!$R$5:$R$2004,التقارير!$C$4,'سجل التحفيز'!$P$5:$P$2004,E6)</f>
        <v/>
      </c>
      <c r="F17" s="41">
        <f>COUNTIFS('سجل التحفيز'!$C$5:$C$2004,$B17,'سجل التحفيز'!$R$5:$R$2004,التقارير!$C$4,'سجل التحفيز'!$P$5:$P$2004,F6)</f>
        <v/>
      </c>
      <c r="G17" s="41">
        <f>COUNTIFS('سجل التحفيز'!$C$5:$C$2004,$B17,'سجل التحفيز'!$R$5:$R$2004,التقارير!$C$4,'سجل التحفيز'!$P$5:$P$2004,G6)</f>
        <v/>
      </c>
      <c r="H17" s="41">
        <f>COUNTIFS('سجل التحفيز'!$C$5:$C$2004,$B17,'سجل التحفيز'!$R$5:$R$2004,التقارير!$C$4,'سجل التحفيز'!$P$5:$P$2004,H6)</f>
        <v/>
      </c>
      <c r="I17" s="41">
        <f>COUNTIFS('سجل التحفيز'!$C$5:$C$2004,$B17,'سجل التحفيز'!$R$5:$R$2004,التقارير!$C$4,'سجل التحفيز'!$P$5:$P$2004,I6)</f>
        <v/>
      </c>
      <c r="J17" s="41">
        <f>COUNTIFS('سجل التحفيز'!$C$5:$C$2004,$B17,'سجل التحفيز'!$R$5:$R$2004,التقارير!$C$4,'سجل التحفيز'!$P$5:$P$2004,J6)</f>
        <v/>
      </c>
      <c r="K17" s="41">
        <f>COUNTIFS('سجل التحفيز'!$C$5:$C$2004,$B17,'سجل التحفيز'!$R$5:$R$2004,التقارير!$C$4,'سجل التحفيز'!$P$5:$P$2004,K6)</f>
        <v/>
      </c>
      <c r="L17" s="41">
        <f>COUNTIFS('سجل التحفيز'!$C$5:$C$2004,$B17,'سجل التحفيز'!$R$5:$R$2004,التقارير!$C$4,'سجل التحفيز'!$P$5:$P$2004,L6)</f>
        <v/>
      </c>
      <c r="M17" s="41">
        <f>COUNTIFS('سجل التحفيز'!$C$5:$C$2004,$B17,'سجل التحفيز'!$R$5:$R$2004,التقارير!$C$4,'سجل التحفيز'!$P$5:$P$2004,M6)</f>
        <v/>
      </c>
      <c r="N17" s="41">
        <f>COUNTIFS('سجل التحفيز'!$C$5:$C$2004,$B17,'سجل التحفيز'!$R$5:$R$2004,التقارير!$C$4,'سجل التحفيز'!$P$5:$P$2004,N6)</f>
        <v/>
      </c>
      <c r="O17" s="41">
        <f>COUNTIFS('سجل التحفيز'!$C$5:$C$2004,$B17,'سجل التحفيز'!$R$5:$R$2004,التقارير!$C$4,'سجل التحفيز'!$Q$5:$Q$2004,"الفصل الأول")</f>
        <v/>
      </c>
      <c r="P17" s="41">
        <f>COUNTIFS('سجل التحفيز'!$C$5:$C$2004,$B17,'سجل التحفيز'!$R$5:$R$2004,التقارير!$C$4,'سجل التحفيز'!$Q$5:$Q$2004,"الفصل الثاني")</f>
        <v/>
      </c>
      <c r="Q17" s="42">
        <f>COUNTIFS('سجل التحفيز'!$C$5:$C$2004,$B17,'سجل التحفيز'!$R$5:$R$2004,التقارير!$C$4)</f>
        <v/>
      </c>
      <c r="R17" s="41">
        <f>COUNTIFS('سجل التحفيز'!$C$5:$C$2004,$B17,'سجل التحفيز'!$R$5:$R$2004,التقارير!$C$4,'سجل التحفيز'!$D$5:$D$2004,"ذهبي")</f>
        <v/>
      </c>
    </row>
    <row r="18">
      <c r="B18" s="40">
        <f>الإعدادات!A18</f>
        <v/>
      </c>
      <c r="C18" s="41">
        <f>COUNTIFS('سجل التحفيز'!$C$5:$C$2004,$B18,'سجل التحفيز'!$R$5:$R$2004,التقارير!$C$4,'سجل التحفيز'!$P$5:$P$2004,C6)</f>
        <v/>
      </c>
      <c r="D18" s="41">
        <f>COUNTIFS('سجل التحفيز'!$C$5:$C$2004,$B18,'سجل التحفيز'!$R$5:$R$2004,التقارير!$C$4,'سجل التحفيز'!$P$5:$P$2004,D6)</f>
        <v/>
      </c>
      <c r="E18" s="41">
        <f>COUNTIFS('سجل التحفيز'!$C$5:$C$2004,$B18,'سجل التحفيز'!$R$5:$R$2004,التقارير!$C$4,'سجل التحفيز'!$P$5:$P$2004,E6)</f>
        <v/>
      </c>
      <c r="F18" s="41">
        <f>COUNTIFS('سجل التحفيز'!$C$5:$C$2004,$B18,'سجل التحفيز'!$R$5:$R$2004,التقارير!$C$4,'سجل التحفيز'!$P$5:$P$2004,F6)</f>
        <v/>
      </c>
      <c r="G18" s="41">
        <f>COUNTIFS('سجل التحفيز'!$C$5:$C$2004,$B18,'سجل التحفيز'!$R$5:$R$2004,التقارير!$C$4,'سجل التحفيز'!$P$5:$P$2004,G6)</f>
        <v/>
      </c>
      <c r="H18" s="41">
        <f>COUNTIFS('سجل التحفيز'!$C$5:$C$2004,$B18,'سجل التحفيز'!$R$5:$R$2004,التقارير!$C$4,'سجل التحفيز'!$P$5:$P$2004,H6)</f>
        <v/>
      </c>
      <c r="I18" s="41">
        <f>COUNTIFS('سجل التحفيز'!$C$5:$C$2004,$B18,'سجل التحفيز'!$R$5:$R$2004,التقارير!$C$4,'سجل التحفيز'!$P$5:$P$2004,I6)</f>
        <v/>
      </c>
      <c r="J18" s="41">
        <f>COUNTIFS('سجل التحفيز'!$C$5:$C$2004,$B18,'سجل التحفيز'!$R$5:$R$2004,التقارير!$C$4,'سجل التحفيز'!$P$5:$P$2004,J6)</f>
        <v/>
      </c>
      <c r="K18" s="41">
        <f>COUNTIFS('سجل التحفيز'!$C$5:$C$2004,$B18,'سجل التحفيز'!$R$5:$R$2004,التقارير!$C$4,'سجل التحفيز'!$P$5:$P$2004,K6)</f>
        <v/>
      </c>
      <c r="L18" s="41">
        <f>COUNTIFS('سجل التحفيز'!$C$5:$C$2004,$B18,'سجل التحفيز'!$R$5:$R$2004,التقارير!$C$4,'سجل التحفيز'!$P$5:$P$2004,L6)</f>
        <v/>
      </c>
      <c r="M18" s="41">
        <f>COUNTIFS('سجل التحفيز'!$C$5:$C$2004,$B18,'سجل التحفيز'!$R$5:$R$2004,التقارير!$C$4,'سجل التحفيز'!$P$5:$P$2004,M6)</f>
        <v/>
      </c>
      <c r="N18" s="41">
        <f>COUNTIFS('سجل التحفيز'!$C$5:$C$2004,$B18,'سجل التحفيز'!$R$5:$R$2004,التقارير!$C$4,'سجل التحفيز'!$P$5:$P$2004,N6)</f>
        <v/>
      </c>
      <c r="O18" s="41">
        <f>COUNTIFS('سجل التحفيز'!$C$5:$C$2004,$B18,'سجل التحفيز'!$R$5:$R$2004,التقارير!$C$4,'سجل التحفيز'!$Q$5:$Q$2004,"الفصل الأول")</f>
        <v/>
      </c>
      <c r="P18" s="41">
        <f>COUNTIFS('سجل التحفيز'!$C$5:$C$2004,$B18,'سجل التحفيز'!$R$5:$R$2004,التقارير!$C$4,'سجل التحفيز'!$Q$5:$Q$2004,"الفصل الثاني")</f>
        <v/>
      </c>
      <c r="Q18" s="42">
        <f>COUNTIFS('سجل التحفيز'!$C$5:$C$2004,$B18,'سجل التحفيز'!$R$5:$R$2004,التقارير!$C$4)</f>
        <v/>
      </c>
      <c r="R18" s="41">
        <f>COUNTIFS('سجل التحفيز'!$C$5:$C$2004,$B18,'سجل التحفيز'!$R$5:$R$2004,التقارير!$C$4,'سجل التحفيز'!$D$5:$D$2004,"ذهبي")</f>
        <v/>
      </c>
    </row>
    <row r="19">
      <c r="B19" s="40">
        <f>الإعدادات!A19</f>
        <v/>
      </c>
      <c r="C19" s="41">
        <f>COUNTIFS('سجل التحفيز'!$C$5:$C$2004,$B19,'سجل التحفيز'!$R$5:$R$2004,التقارير!$C$4,'سجل التحفيز'!$P$5:$P$2004,C6)</f>
        <v/>
      </c>
      <c r="D19" s="41">
        <f>COUNTIFS('سجل التحفيز'!$C$5:$C$2004,$B19,'سجل التحفيز'!$R$5:$R$2004,التقارير!$C$4,'سجل التحفيز'!$P$5:$P$2004,D6)</f>
        <v/>
      </c>
      <c r="E19" s="41">
        <f>COUNTIFS('سجل التحفيز'!$C$5:$C$2004,$B19,'سجل التحفيز'!$R$5:$R$2004,التقارير!$C$4,'سجل التحفيز'!$P$5:$P$2004,E6)</f>
        <v/>
      </c>
      <c r="F19" s="41">
        <f>COUNTIFS('سجل التحفيز'!$C$5:$C$2004,$B19,'سجل التحفيز'!$R$5:$R$2004,التقارير!$C$4,'سجل التحفيز'!$P$5:$P$2004,F6)</f>
        <v/>
      </c>
      <c r="G19" s="41">
        <f>COUNTIFS('سجل التحفيز'!$C$5:$C$2004,$B19,'سجل التحفيز'!$R$5:$R$2004,التقارير!$C$4,'سجل التحفيز'!$P$5:$P$2004,G6)</f>
        <v/>
      </c>
      <c r="H19" s="41">
        <f>COUNTIFS('سجل التحفيز'!$C$5:$C$2004,$B19,'سجل التحفيز'!$R$5:$R$2004,التقارير!$C$4,'سجل التحفيز'!$P$5:$P$2004,H6)</f>
        <v/>
      </c>
      <c r="I19" s="41">
        <f>COUNTIFS('سجل التحفيز'!$C$5:$C$2004,$B19,'سجل التحفيز'!$R$5:$R$2004,التقارير!$C$4,'سجل التحفيز'!$P$5:$P$2004,I6)</f>
        <v/>
      </c>
      <c r="J19" s="41">
        <f>COUNTIFS('سجل التحفيز'!$C$5:$C$2004,$B19,'سجل التحفيز'!$R$5:$R$2004,التقارير!$C$4,'سجل التحفيز'!$P$5:$P$2004,J6)</f>
        <v/>
      </c>
      <c r="K19" s="41">
        <f>COUNTIFS('سجل التحفيز'!$C$5:$C$2004,$B19,'سجل التحفيز'!$R$5:$R$2004,التقارير!$C$4,'سجل التحفيز'!$P$5:$P$2004,K6)</f>
        <v/>
      </c>
      <c r="L19" s="41">
        <f>COUNTIFS('سجل التحفيز'!$C$5:$C$2004,$B19,'سجل التحفيز'!$R$5:$R$2004,التقارير!$C$4,'سجل التحفيز'!$P$5:$P$2004,L6)</f>
        <v/>
      </c>
      <c r="M19" s="41">
        <f>COUNTIFS('سجل التحفيز'!$C$5:$C$2004,$B19,'سجل التحفيز'!$R$5:$R$2004,التقارير!$C$4,'سجل التحفيز'!$P$5:$P$2004,M6)</f>
        <v/>
      </c>
      <c r="N19" s="41">
        <f>COUNTIFS('سجل التحفيز'!$C$5:$C$2004,$B19,'سجل التحفيز'!$R$5:$R$2004,التقارير!$C$4,'سجل التحفيز'!$P$5:$P$2004,N6)</f>
        <v/>
      </c>
      <c r="O19" s="41">
        <f>COUNTIFS('سجل التحفيز'!$C$5:$C$2004,$B19,'سجل التحفيز'!$R$5:$R$2004,التقارير!$C$4,'سجل التحفيز'!$Q$5:$Q$2004,"الفصل الأول")</f>
        <v/>
      </c>
      <c r="P19" s="41">
        <f>COUNTIFS('سجل التحفيز'!$C$5:$C$2004,$B19,'سجل التحفيز'!$R$5:$R$2004,التقارير!$C$4,'سجل التحفيز'!$Q$5:$Q$2004,"الفصل الثاني")</f>
        <v/>
      </c>
      <c r="Q19" s="42">
        <f>COUNTIFS('سجل التحفيز'!$C$5:$C$2004,$B19,'سجل التحفيز'!$R$5:$R$2004,التقارير!$C$4)</f>
        <v/>
      </c>
      <c r="R19" s="41">
        <f>COUNTIFS('سجل التحفيز'!$C$5:$C$2004,$B19,'سجل التحفيز'!$R$5:$R$2004,التقارير!$C$4,'سجل التحفيز'!$D$5:$D$2004,"ذهبي")</f>
        <v/>
      </c>
    </row>
    <row r="20">
      <c r="B20" s="40">
        <f>الإعدادات!A20</f>
        <v/>
      </c>
      <c r="C20" s="41">
        <f>COUNTIFS('سجل التحفيز'!$C$5:$C$2004,$B20,'سجل التحفيز'!$R$5:$R$2004,التقارير!$C$4,'سجل التحفيز'!$P$5:$P$2004,C6)</f>
        <v/>
      </c>
      <c r="D20" s="41">
        <f>COUNTIFS('سجل التحفيز'!$C$5:$C$2004,$B20,'سجل التحفيز'!$R$5:$R$2004,التقارير!$C$4,'سجل التحفيز'!$P$5:$P$2004,D6)</f>
        <v/>
      </c>
      <c r="E20" s="41">
        <f>COUNTIFS('سجل التحفيز'!$C$5:$C$2004,$B20,'سجل التحفيز'!$R$5:$R$2004,التقارير!$C$4,'سجل التحفيز'!$P$5:$P$2004,E6)</f>
        <v/>
      </c>
      <c r="F20" s="41">
        <f>COUNTIFS('سجل التحفيز'!$C$5:$C$2004,$B20,'سجل التحفيز'!$R$5:$R$2004,التقارير!$C$4,'سجل التحفيز'!$P$5:$P$2004,F6)</f>
        <v/>
      </c>
      <c r="G20" s="41">
        <f>COUNTIFS('سجل التحفيز'!$C$5:$C$2004,$B20,'سجل التحفيز'!$R$5:$R$2004,التقارير!$C$4,'سجل التحفيز'!$P$5:$P$2004,G6)</f>
        <v/>
      </c>
      <c r="H20" s="41">
        <f>COUNTIFS('سجل التحفيز'!$C$5:$C$2004,$B20,'سجل التحفيز'!$R$5:$R$2004,التقارير!$C$4,'سجل التحفيز'!$P$5:$P$2004,H6)</f>
        <v/>
      </c>
      <c r="I20" s="41">
        <f>COUNTIFS('سجل التحفيز'!$C$5:$C$2004,$B20,'سجل التحفيز'!$R$5:$R$2004,التقارير!$C$4,'سجل التحفيز'!$P$5:$P$2004,I6)</f>
        <v/>
      </c>
      <c r="J20" s="41">
        <f>COUNTIFS('سجل التحفيز'!$C$5:$C$2004,$B20,'سجل التحفيز'!$R$5:$R$2004,التقارير!$C$4,'سجل التحفيز'!$P$5:$P$2004,J6)</f>
        <v/>
      </c>
      <c r="K20" s="41">
        <f>COUNTIFS('سجل التحفيز'!$C$5:$C$2004,$B20,'سجل التحفيز'!$R$5:$R$2004,التقارير!$C$4,'سجل التحفيز'!$P$5:$P$2004,K6)</f>
        <v/>
      </c>
      <c r="L20" s="41">
        <f>COUNTIFS('سجل التحفيز'!$C$5:$C$2004,$B20,'سجل التحفيز'!$R$5:$R$2004,التقارير!$C$4,'سجل التحفيز'!$P$5:$P$2004,L6)</f>
        <v/>
      </c>
      <c r="M20" s="41">
        <f>COUNTIFS('سجل التحفيز'!$C$5:$C$2004,$B20,'سجل التحفيز'!$R$5:$R$2004,التقارير!$C$4,'سجل التحفيز'!$P$5:$P$2004,M6)</f>
        <v/>
      </c>
      <c r="N20" s="41">
        <f>COUNTIFS('سجل التحفيز'!$C$5:$C$2004,$B20,'سجل التحفيز'!$R$5:$R$2004,التقارير!$C$4,'سجل التحفيز'!$P$5:$P$2004,N6)</f>
        <v/>
      </c>
      <c r="O20" s="41">
        <f>COUNTIFS('سجل التحفيز'!$C$5:$C$2004,$B20,'سجل التحفيز'!$R$5:$R$2004,التقارير!$C$4,'سجل التحفيز'!$Q$5:$Q$2004,"الفصل الأول")</f>
        <v/>
      </c>
      <c r="P20" s="41">
        <f>COUNTIFS('سجل التحفيز'!$C$5:$C$2004,$B20,'سجل التحفيز'!$R$5:$R$2004,التقارير!$C$4,'سجل التحفيز'!$Q$5:$Q$2004,"الفصل الثاني")</f>
        <v/>
      </c>
      <c r="Q20" s="42">
        <f>COUNTIFS('سجل التحفيز'!$C$5:$C$2004,$B20,'سجل التحفيز'!$R$5:$R$2004,التقارير!$C$4)</f>
        <v/>
      </c>
      <c r="R20" s="41">
        <f>COUNTIFS('سجل التحفيز'!$C$5:$C$2004,$B20,'سجل التحفيز'!$R$5:$R$2004,التقارير!$C$4,'سجل التحفيز'!$D$5:$D$2004,"ذهبي")</f>
        <v/>
      </c>
    </row>
    <row r="21">
      <c r="B21" s="40">
        <f>الإعدادات!A21</f>
        <v/>
      </c>
      <c r="C21" s="41">
        <f>COUNTIFS('سجل التحفيز'!$C$5:$C$2004,$B21,'سجل التحفيز'!$R$5:$R$2004,التقارير!$C$4,'سجل التحفيز'!$P$5:$P$2004,C6)</f>
        <v/>
      </c>
      <c r="D21" s="41">
        <f>COUNTIFS('سجل التحفيز'!$C$5:$C$2004,$B21,'سجل التحفيز'!$R$5:$R$2004,التقارير!$C$4,'سجل التحفيز'!$P$5:$P$2004,D6)</f>
        <v/>
      </c>
      <c r="E21" s="41">
        <f>COUNTIFS('سجل التحفيز'!$C$5:$C$2004,$B21,'سجل التحفيز'!$R$5:$R$2004,التقارير!$C$4,'سجل التحفيز'!$P$5:$P$2004,E6)</f>
        <v/>
      </c>
      <c r="F21" s="41">
        <f>COUNTIFS('سجل التحفيز'!$C$5:$C$2004,$B21,'سجل التحفيز'!$R$5:$R$2004,التقارير!$C$4,'سجل التحفيز'!$P$5:$P$2004,F6)</f>
        <v/>
      </c>
      <c r="G21" s="41">
        <f>COUNTIFS('سجل التحفيز'!$C$5:$C$2004,$B21,'سجل التحفيز'!$R$5:$R$2004,التقارير!$C$4,'سجل التحفيز'!$P$5:$P$2004,G6)</f>
        <v/>
      </c>
      <c r="H21" s="41">
        <f>COUNTIFS('سجل التحفيز'!$C$5:$C$2004,$B21,'سجل التحفيز'!$R$5:$R$2004,التقارير!$C$4,'سجل التحفيز'!$P$5:$P$2004,H6)</f>
        <v/>
      </c>
      <c r="I21" s="41">
        <f>COUNTIFS('سجل التحفيز'!$C$5:$C$2004,$B21,'سجل التحفيز'!$R$5:$R$2004,التقارير!$C$4,'سجل التحفيز'!$P$5:$P$2004,I6)</f>
        <v/>
      </c>
      <c r="J21" s="41">
        <f>COUNTIFS('سجل التحفيز'!$C$5:$C$2004,$B21,'سجل التحفيز'!$R$5:$R$2004,التقارير!$C$4,'سجل التحفيز'!$P$5:$P$2004,J6)</f>
        <v/>
      </c>
      <c r="K21" s="41">
        <f>COUNTIFS('سجل التحفيز'!$C$5:$C$2004,$B21,'سجل التحفيز'!$R$5:$R$2004,التقارير!$C$4,'سجل التحفيز'!$P$5:$P$2004,K6)</f>
        <v/>
      </c>
      <c r="L21" s="41">
        <f>COUNTIFS('سجل التحفيز'!$C$5:$C$2004,$B21,'سجل التحفيز'!$R$5:$R$2004,التقارير!$C$4,'سجل التحفيز'!$P$5:$P$2004,L6)</f>
        <v/>
      </c>
      <c r="M21" s="41">
        <f>COUNTIFS('سجل التحفيز'!$C$5:$C$2004,$B21,'سجل التحفيز'!$R$5:$R$2004,التقارير!$C$4,'سجل التحفيز'!$P$5:$P$2004,M6)</f>
        <v/>
      </c>
      <c r="N21" s="41">
        <f>COUNTIFS('سجل التحفيز'!$C$5:$C$2004,$B21,'سجل التحفيز'!$R$5:$R$2004,التقارير!$C$4,'سجل التحفيز'!$P$5:$P$2004,N6)</f>
        <v/>
      </c>
      <c r="O21" s="41">
        <f>COUNTIFS('سجل التحفيز'!$C$5:$C$2004,$B21,'سجل التحفيز'!$R$5:$R$2004,التقارير!$C$4,'سجل التحفيز'!$Q$5:$Q$2004,"الفصل الأول")</f>
        <v/>
      </c>
      <c r="P21" s="41">
        <f>COUNTIFS('سجل التحفيز'!$C$5:$C$2004,$B21,'سجل التحفيز'!$R$5:$R$2004,التقارير!$C$4,'سجل التحفيز'!$Q$5:$Q$2004,"الفصل الثاني")</f>
        <v/>
      </c>
      <c r="Q21" s="42">
        <f>COUNTIFS('سجل التحفيز'!$C$5:$C$2004,$B21,'سجل التحفيز'!$R$5:$R$2004,التقارير!$C$4)</f>
        <v/>
      </c>
      <c r="R21" s="41">
        <f>COUNTIFS('سجل التحفيز'!$C$5:$C$2004,$B21,'سجل التحفيز'!$R$5:$R$2004,التقارير!$C$4,'سجل التحفيز'!$D$5:$D$2004,"ذهبي")</f>
        <v/>
      </c>
    </row>
    <row r="22">
      <c r="B22" s="40">
        <f>الإعدادات!A22</f>
        <v/>
      </c>
      <c r="C22" s="41">
        <f>COUNTIFS('سجل التحفيز'!$C$5:$C$2004,$B22,'سجل التحفيز'!$R$5:$R$2004,التقارير!$C$4,'سجل التحفيز'!$P$5:$P$2004,C6)</f>
        <v/>
      </c>
      <c r="D22" s="41">
        <f>COUNTIFS('سجل التحفيز'!$C$5:$C$2004,$B22,'سجل التحفيز'!$R$5:$R$2004,التقارير!$C$4,'سجل التحفيز'!$P$5:$P$2004,D6)</f>
        <v/>
      </c>
      <c r="E22" s="41">
        <f>COUNTIFS('سجل التحفيز'!$C$5:$C$2004,$B22,'سجل التحفيز'!$R$5:$R$2004,التقارير!$C$4,'سجل التحفيز'!$P$5:$P$2004,E6)</f>
        <v/>
      </c>
      <c r="F22" s="41">
        <f>COUNTIFS('سجل التحفيز'!$C$5:$C$2004,$B22,'سجل التحفيز'!$R$5:$R$2004,التقارير!$C$4,'سجل التحفيز'!$P$5:$P$2004,F6)</f>
        <v/>
      </c>
      <c r="G22" s="41">
        <f>COUNTIFS('سجل التحفيز'!$C$5:$C$2004,$B22,'سجل التحفيز'!$R$5:$R$2004,التقارير!$C$4,'سجل التحفيز'!$P$5:$P$2004,G6)</f>
        <v/>
      </c>
      <c r="H22" s="41">
        <f>COUNTIFS('سجل التحفيز'!$C$5:$C$2004,$B22,'سجل التحفيز'!$R$5:$R$2004,التقارير!$C$4,'سجل التحفيز'!$P$5:$P$2004,H6)</f>
        <v/>
      </c>
      <c r="I22" s="41">
        <f>COUNTIFS('سجل التحفيز'!$C$5:$C$2004,$B22,'سجل التحفيز'!$R$5:$R$2004,التقارير!$C$4,'سجل التحفيز'!$P$5:$P$2004,I6)</f>
        <v/>
      </c>
      <c r="J22" s="41">
        <f>COUNTIFS('سجل التحفيز'!$C$5:$C$2004,$B22,'سجل التحفيز'!$R$5:$R$2004,التقارير!$C$4,'سجل التحفيز'!$P$5:$P$2004,J6)</f>
        <v/>
      </c>
      <c r="K22" s="41">
        <f>COUNTIFS('سجل التحفيز'!$C$5:$C$2004,$B22,'سجل التحفيز'!$R$5:$R$2004,التقارير!$C$4,'سجل التحفيز'!$P$5:$P$2004,K6)</f>
        <v/>
      </c>
      <c r="L22" s="41">
        <f>COUNTIFS('سجل التحفيز'!$C$5:$C$2004,$B22,'سجل التحفيز'!$R$5:$R$2004,التقارير!$C$4,'سجل التحفيز'!$P$5:$P$2004,L6)</f>
        <v/>
      </c>
      <c r="M22" s="41">
        <f>COUNTIFS('سجل التحفيز'!$C$5:$C$2004,$B22,'سجل التحفيز'!$R$5:$R$2004,التقارير!$C$4,'سجل التحفيز'!$P$5:$P$2004,M6)</f>
        <v/>
      </c>
      <c r="N22" s="41">
        <f>COUNTIFS('سجل التحفيز'!$C$5:$C$2004,$B22,'سجل التحفيز'!$R$5:$R$2004,التقارير!$C$4,'سجل التحفيز'!$P$5:$P$2004,N6)</f>
        <v/>
      </c>
      <c r="O22" s="41">
        <f>COUNTIFS('سجل التحفيز'!$C$5:$C$2004,$B22,'سجل التحفيز'!$R$5:$R$2004,التقارير!$C$4,'سجل التحفيز'!$Q$5:$Q$2004,"الفصل الأول")</f>
        <v/>
      </c>
      <c r="P22" s="41">
        <f>COUNTIFS('سجل التحفيز'!$C$5:$C$2004,$B22,'سجل التحفيز'!$R$5:$R$2004,التقارير!$C$4,'سجل التحفيز'!$Q$5:$Q$2004,"الفصل الثاني")</f>
        <v/>
      </c>
      <c r="Q22" s="42">
        <f>COUNTIFS('سجل التحفيز'!$C$5:$C$2004,$B22,'سجل التحفيز'!$R$5:$R$2004,التقارير!$C$4)</f>
        <v/>
      </c>
      <c r="R22" s="41">
        <f>COUNTIFS('سجل التحفيز'!$C$5:$C$2004,$B22,'سجل التحفيز'!$R$5:$R$2004,التقارير!$C$4,'سجل التحفيز'!$D$5:$D$2004,"ذهبي")</f>
        <v/>
      </c>
    </row>
    <row r="23">
      <c r="B23" s="40">
        <f>الإعدادات!A23</f>
        <v/>
      </c>
      <c r="C23" s="41">
        <f>COUNTIFS('سجل التحفيز'!$C$5:$C$2004,$B23,'سجل التحفيز'!$R$5:$R$2004,التقارير!$C$4,'سجل التحفيز'!$P$5:$P$2004,C6)</f>
        <v/>
      </c>
      <c r="D23" s="41">
        <f>COUNTIFS('سجل التحفيز'!$C$5:$C$2004,$B23,'سجل التحفيز'!$R$5:$R$2004,التقارير!$C$4,'سجل التحفيز'!$P$5:$P$2004,D6)</f>
        <v/>
      </c>
      <c r="E23" s="41">
        <f>COUNTIFS('سجل التحفيز'!$C$5:$C$2004,$B23,'سجل التحفيز'!$R$5:$R$2004,التقارير!$C$4,'سجل التحفيز'!$P$5:$P$2004,E6)</f>
        <v/>
      </c>
      <c r="F23" s="41">
        <f>COUNTIFS('سجل التحفيز'!$C$5:$C$2004,$B23,'سجل التحفيز'!$R$5:$R$2004,التقارير!$C$4,'سجل التحفيز'!$P$5:$P$2004,F6)</f>
        <v/>
      </c>
      <c r="G23" s="41">
        <f>COUNTIFS('سجل التحفيز'!$C$5:$C$2004,$B23,'سجل التحفيز'!$R$5:$R$2004,التقارير!$C$4,'سجل التحفيز'!$P$5:$P$2004,G6)</f>
        <v/>
      </c>
      <c r="H23" s="41">
        <f>COUNTIFS('سجل التحفيز'!$C$5:$C$2004,$B23,'سجل التحفيز'!$R$5:$R$2004,التقارير!$C$4,'سجل التحفيز'!$P$5:$P$2004,H6)</f>
        <v/>
      </c>
      <c r="I23" s="41">
        <f>COUNTIFS('سجل التحفيز'!$C$5:$C$2004,$B23,'سجل التحفيز'!$R$5:$R$2004,التقارير!$C$4,'سجل التحفيز'!$P$5:$P$2004,I6)</f>
        <v/>
      </c>
      <c r="J23" s="41">
        <f>COUNTIFS('سجل التحفيز'!$C$5:$C$2004,$B23,'سجل التحفيز'!$R$5:$R$2004,التقارير!$C$4,'سجل التحفيز'!$P$5:$P$2004,J6)</f>
        <v/>
      </c>
      <c r="K23" s="41">
        <f>COUNTIFS('سجل التحفيز'!$C$5:$C$2004,$B23,'سجل التحفيز'!$R$5:$R$2004,التقارير!$C$4,'سجل التحفيز'!$P$5:$P$2004,K6)</f>
        <v/>
      </c>
      <c r="L23" s="41">
        <f>COUNTIFS('سجل التحفيز'!$C$5:$C$2004,$B23,'سجل التحفيز'!$R$5:$R$2004,التقارير!$C$4,'سجل التحفيز'!$P$5:$P$2004,L6)</f>
        <v/>
      </c>
      <c r="M23" s="41">
        <f>COUNTIFS('سجل التحفيز'!$C$5:$C$2004,$B23,'سجل التحفيز'!$R$5:$R$2004,التقارير!$C$4,'سجل التحفيز'!$P$5:$P$2004,M6)</f>
        <v/>
      </c>
      <c r="N23" s="41">
        <f>COUNTIFS('سجل التحفيز'!$C$5:$C$2004,$B23,'سجل التحفيز'!$R$5:$R$2004,التقارير!$C$4,'سجل التحفيز'!$P$5:$P$2004,N6)</f>
        <v/>
      </c>
      <c r="O23" s="41">
        <f>COUNTIFS('سجل التحفيز'!$C$5:$C$2004,$B23,'سجل التحفيز'!$R$5:$R$2004,التقارير!$C$4,'سجل التحفيز'!$Q$5:$Q$2004,"الفصل الأول")</f>
        <v/>
      </c>
      <c r="P23" s="41">
        <f>COUNTIFS('سجل التحفيز'!$C$5:$C$2004,$B23,'سجل التحفيز'!$R$5:$R$2004,التقارير!$C$4,'سجل التحفيز'!$Q$5:$Q$2004,"الفصل الثاني")</f>
        <v/>
      </c>
      <c r="Q23" s="42">
        <f>COUNTIFS('سجل التحفيز'!$C$5:$C$2004,$B23,'سجل التحفيز'!$R$5:$R$2004,التقارير!$C$4)</f>
        <v/>
      </c>
      <c r="R23" s="41">
        <f>COUNTIFS('سجل التحفيز'!$C$5:$C$2004,$B23,'سجل التحفيز'!$R$5:$R$2004,التقارير!$C$4,'سجل التحفيز'!$D$5:$D$2004,"ذهبي")</f>
        <v/>
      </c>
    </row>
    <row r="24">
      <c r="B24" s="40">
        <f>الإعدادات!A24</f>
        <v/>
      </c>
      <c r="C24" s="41">
        <f>COUNTIFS('سجل التحفيز'!$C$5:$C$2004,$B24,'سجل التحفيز'!$R$5:$R$2004,التقارير!$C$4,'سجل التحفيز'!$P$5:$P$2004,C6)</f>
        <v/>
      </c>
      <c r="D24" s="41">
        <f>COUNTIFS('سجل التحفيز'!$C$5:$C$2004,$B24,'سجل التحفيز'!$R$5:$R$2004,التقارير!$C$4,'سجل التحفيز'!$P$5:$P$2004,D6)</f>
        <v/>
      </c>
      <c r="E24" s="41">
        <f>COUNTIFS('سجل التحفيز'!$C$5:$C$2004,$B24,'سجل التحفيز'!$R$5:$R$2004,التقارير!$C$4,'سجل التحفيز'!$P$5:$P$2004,E6)</f>
        <v/>
      </c>
      <c r="F24" s="41">
        <f>COUNTIFS('سجل التحفيز'!$C$5:$C$2004,$B24,'سجل التحفيز'!$R$5:$R$2004,التقارير!$C$4,'سجل التحفيز'!$P$5:$P$2004,F6)</f>
        <v/>
      </c>
      <c r="G24" s="41">
        <f>COUNTIFS('سجل التحفيز'!$C$5:$C$2004,$B24,'سجل التحفيز'!$R$5:$R$2004,التقارير!$C$4,'سجل التحفيز'!$P$5:$P$2004,G6)</f>
        <v/>
      </c>
      <c r="H24" s="41">
        <f>COUNTIFS('سجل التحفيز'!$C$5:$C$2004,$B24,'سجل التحفيز'!$R$5:$R$2004,التقارير!$C$4,'سجل التحفيز'!$P$5:$P$2004,H6)</f>
        <v/>
      </c>
      <c r="I24" s="41">
        <f>COUNTIFS('سجل التحفيز'!$C$5:$C$2004,$B24,'سجل التحفيز'!$R$5:$R$2004,التقارير!$C$4,'سجل التحفيز'!$P$5:$P$2004,I6)</f>
        <v/>
      </c>
      <c r="J24" s="41">
        <f>COUNTIFS('سجل التحفيز'!$C$5:$C$2004,$B24,'سجل التحفيز'!$R$5:$R$2004,التقارير!$C$4,'سجل التحفيز'!$P$5:$P$2004,J6)</f>
        <v/>
      </c>
      <c r="K24" s="41">
        <f>COUNTIFS('سجل التحفيز'!$C$5:$C$2004,$B24,'سجل التحفيز'!$R$5:$R$2004,التقارير!$C$4,'سجل التحفيز'!$P$5:$P$2004,K6)</f>
        <v/>
      </c>
      <c r="L24" s="41">
        <f>COUNTIFS('سجل التحفيز'!$C$5:$C$2004,$B24,'سجل التحفيز'!$R$5:$R$2004,التقارير!$C$4,'سجل التحفيز'!$P$5:$P$2004,L6)</f>
        <v/>
      </c>
      <c r="M24" s="41">
        <f>COUNTIFS('سجل التحفيز'!$C$5:$C$2004,$B24,'سجل التحفيز'!$R$5:$R$2004,التقارير!$C$4,'سجل التحفيز'!$P$5:$P$2004,M6)</f>
        <v/>
      </c>
      <c r="N24" s="41">
        <f>COUNTIFS('سجل التحفيز'!$C$5:$C$2004,$B24,'سجل التحفيز'!$R$5:$R$2004,التقارير!$C$4,'سجل التحفيز'!$P$5:$P$2004,N6)</f>
        <v/>
      </c>
      <c r="O24" s="41">
        <f>COUNTIFS('سجل التحفيز'!$C$5:$C$2004,$B24,'سجل التحفيز'!$R$5:$R$2004,التقارير!$C$4,'سجل التحفيز'!$Q$5:$Q$2004,"الفصل الأول")</f>
        <v/>
      </c>
      <c r="P24" s="41">
        <f>COUNTIFS('سجل التحفيز'!$C$5:$C$2004,$B24,'سجل التحفيز'!$R$5:$R$2004,التقارير!$C$4,'سجل التحفيز'!$Q$5:$Q$2004,"الفصل الثاني")</f>
        <v/>
      </c>
      <c r="Q24" s="42">
        <f>COUNTIFS('سجل التحفيز'!$C$5:$C$2004,$B24,'سجل التحفيز'!$R$5:$R$2004,التقارير!$C$4)</f>
        <v/>
      </c>
      <c r="R24" s="41">
        <f>COUNTIFS('سجل التحفيز'!$C$5:$C$2004,$B24,'سجل التحفيز'!$R$5:$R$2004,التقارير!$C$4,'سجل التحفيز'!$D$5:$D$2004,"ذهبي")</f>
        <v/>
      </c>
    </row>
    <row r="25">
      <c r="B25" s="40">
        <f>الإعدادات!A25</f>
        <v/>
      </c>
      <c r="C25" s="41">
        <f>COUNTIFS('سجل التحفيز'!$C$5:$C$2004,$B25,'سجل التحفيز'!$R$5:$R$2004,التقارير!$C$4,'سجل التحفيز'!$P$5:$P$2004,C6)</f>
        <v/>
      </c>
      <c r="D25" s="41">
        <f>COUNTIFS('سجل التحفيز'!$C$5:$C$2004,$B25,'سجل التحفيز'!$R$5:$R$2004,التقارير!$C$4,'سجل التحفيز'!$P$5:$P$2004,D6)</f>
        <v/>
      </c>
      <c r="E25" s="41">
        <f>COUNTIFS('سجل التحفيز'!$C$5:$C$2004,$B25,'سجل التحفيز'!$R$5:$R$2004,التقارير!$C$4,'سجل التحفيز'!$P$5:$P$2004,E6)</f>
        <v/>
      </c>
      <c r="F25" s="41">
        <f>COUNTIFS('سجل التحفيز'!$C$5:$C$2004,$B25,'سجل التحفيز'!$R$5:$R$2004,التقارير!$C$4,'سجل التحفيز'!$P$5:$P$2004,F6)</f>
        <v/>
      </c>
      <c r="G25" s="41">
        <f>COUNTIFS('سجل التحفيز'!$C$5:$C$2004,$B25,'سجل التحفيز'!$R$5:$R$2004,التقارير!$C$4,'سجل التحفيز'!$P$5:$P$2004,G6)</f>
        <v/>
      </c>
      <c r="H25" s="41">
        <f>COUNTIFS('سجل التحفيز'!$C$5:$C$2004,$B25,'سجل التحفيز'!$R$5:$R$2004,التقارير!$C$4,'سجل التحفيز'!$P$5:$P$2004,H6)</f>
        <v/>
      </c>
      <c r="I25" s="41">
        <f>COUNTIFS('سجل التحفيز'!$C$5:$C$2004,$B25,'سجل التحفيز'!$R$5:$R$2004,التقارير!$C$4,'سجل التحفيز'!$P$5:$P$2004,I6)</f>
        <v/>
      </c>
      <c r="J25" s="41">
        <f>COUNTIFS('سجل التحفيز'!$C$5:$C$2004,$B25,'سجل التحفيز'!$R$5:$R$2004,التقارير!$C$4,'سجل التحفيز'!$P$5:$P$2004,J6)</f>
        <v/>
      </c>
      <c r="K25" s="41">
        <f>COUNTIFS('سجل التحفيز'!$C$5:$C$2004,$B25,'سجل التحفيز'!$R$5:$R$2004,التقارير!$C$4,'سجل التحفيز'!$P$5:$P$2004,K6)</f>
        <v/>
      </c>
      <c r="L25" s="41">
        <f>COUNTIFS('سجل التحفيز'!$C$5:$C$2004,$B25,'سجل التحفيز'!$R$5:$R$2004,التقارير!$C$4,'سجل التحفيز'!$P$5:$P$2004,L6)</f>
        <v/>
      </c>
      <c r="M25" s="41">
        <f>COUNTIFS('سجل التحفيز'!$C$5:$C$2004,$B25,'سجل التحفيز'!$R$5:$R$2004,التقارير!$C$4,'سجل التحفيز'!$P$5:$P$2004,M6)</f>
        <v/>
      </c>
      <c r="N25" s="41">
        <f>COUNTIFS('سجل التحفيز'!$C$5:$C$2004,$B25,'سجل التحفيز'!$R$5:$R$2004,التقارير!$C$4,'سجل التحفيز'!$P$5:$P$2004,N6)</f>
        <v/>
      </c>
      <c r="O25" s="41">
        <f>COUNTIFS('سجل التحفيز'!$C$5:$C$2004,$B25,'سجل التحفيز'!$R$5:$R$2004,التقارير!$C$4,'سجل التحفيز'!$Q$5:$Q$2004,"الفصل الأول")</f>
        <v/>
      </c>
      <c r="P25" s="41">
        <f>COUNTIFS('سجل التحفيز'!$C$5:$C$2004,$B25,'سجل التحفيز'!$R$5:$R$2004,التقارير!$C$4,'سجل التحفيز'!$Q$5:$Q$2004,"الفصل الثاني")</f>
        <v/>
      </c>
      <c r="Q25" s="42">
        <f>COUNTIFS('سجل التحفيز'!$C$5:$C$2004,$B25,'سجل التحفيز'!$R$5:$R$2004,التقارير!$C$4)</f>
        <v/>
      </c>
      <c r="R25" s="41">
        <f>COUNTIFS('سجل التحفيز'!$C$5:$C$2004,$B25,'سجل التحفيز'!$R$5:$R$2004,التقارير!$C$4,'سجل التحفيز'!$D$5:$D$2004,"ذهبي")</f>
        <v/>
      </c>
    </row>
    <row r="26">
      <c r="B26" s="43" t="inlineStr">
        <is>
          <t>الإجمالي</t>
        </is>
      </c>
      <c r="C26" s="43">
        <f>SUM(C7:C25)</f>
        <v/>
      </c>
      <c r="D26" s="43">
        <f>SUM(D7:D25)</f>
        <v/>
      </c>
      <c r="E26" s="43">
        <f>SUM(E7:E25)</f>
        <v/>
      </c>
      <c r="F26" s="43">
        <f>SUM(F7:F25)</f>
        <v/>
      </c>
      <c r="G26" s="43">
        <f>SUM(G7:G25)</f>
        <v/>
      </c>
      <c r="H26" s="43">
        <f>SUM(H7:H25)</f>
        <v/>
      </c>
      <c r="I26" s="43">
        <f>SUM(I7:I25)</f>
        <v/>
      </c>
      <c r="J26" s="43">
        <f>SUM(J7:J25)</f>
        <v/>
      </c>
      <c r="K26" s="43">
        <f>SUM(K7:K25)</f>
        <v/>
      </c>
      <c r="L26" s="43">
        <f>SUM(L7:L25)</f>
        <v/>
      </c>
      <c r="M26" s="43">
        <f>SUM(M7:M25)</f>
        <v/>
      </c>
      <c r="N26" s="43">
        <f>SUM(N7:N25)</f>
        <v/>
      </c>
      <c r="O26" s="43">
        <f>SUM(O7:O25)</f>
        <v/>
      </c>
      <c r="P26" s="43">
        <f>SUM(P7:P25)</f>
        <v/>
      </c>
      <c r="Q26" s="43">
        <f>SUM(Q7:Q25)</f>
        <v/>
      </c>
      <c r="R26" s="43">
        <f>SUM(R7:R25)</f>
        <v/>
      </c>
    </row>
  </sheetData>
  <mergeCells count="2">
    <mergeCell ref="A2:Q2"/>
    <mergeCell ref="A1:Q1"/>
  </mergeCells>
  <conditionalFormatting sqref="C7:N25">
    <cfRule type="colorScale" priority="1">
      <colorScale>
        <cfvo type="num" val="0"/>
        <cfvo type="max"/>
        <color rgb="00FFFFFF"/>
        <color rgb="005B9BD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70" customWidth="1" min="4" max="4"/>
  </cols>
  <sheetData>
    <row r="1" ht="34" customHeight="1">
      <c r="A1" s="1" t="inlineStr">
        <is>
          <t>معايير التحفيز (الأساسية والذهبية)</t>
        </is>
      </c>
    </row>
    <row r="2" ht="30" customHeight="1">
      <c r="A2" s="2" t="inlineStr">
        <is>
          <t>مرتبة حسب المجال والمستوى — تُغذّي القائمة المنسدلة «المعيار المحقق» في السجل. لإضافة معيار: أدرجي صفًا بجوار معايير نفس المجال والمستوى.</t>
        </is>
      </c>
    </row>
    <row r="4" ht="36" customHeight="1">
      <c r="A4" s="13" t="inlineStr">
        <is>
          <t>المفتاح (تلقائي)</t>
        </is>
      </c>
      <c r="B4" s="13" t="inlineStr">
        <is>
          <t>المجال</t>
        </is>
      </c>
      <c r="C4" s="13" t="inlineStr">
        <is>
          <t>المستوى</t>
        </is>
      </c>
      <c r="D4" s="13" t="inlineStr">
        <is>
          <t>المعيار</t>
        </is>
      </c>
    </row>
    <row r="5">
      <c r="A5" s="21">
        <f>B5&amp;"|"&amp;C5</f>
        <v/>
      </c>
      <c r="B5" s="6" t="inlineStr">
        <is>
          <t>رائدة التحصيل</t>
        </is>
      </c>
      <c r="C5" s="6" t="inlineStr">
        <is>
          <t>أساسي</t>
        </is>
      </c>
      <c r="D5" s="6" t="inlineStr">
        <is>
          <t>تحقيق قيمة مضافة في التقييمات الأساسية</t>
        </is>
      </c>
    </row>
    <row r="6">
      <c r="A6" s="21">
        <f>B6&amp;"|"&amp;C6</f>
        <v/>
      </c>
      <c r="B6" s="6" t="inlineStr">
        <is>
          <t>رائدة التحصيل</t>
        </is>
      </c>
      <c r="C6" s="6" t="inlineStr">
        <is>
          <t>أساسي</t>
        </is>
      </c>
      <c r="D6" s="6" t="inlineStr">
        <is>
          <t>أخرى (تُوضَّح في الملاحظات)</t>
        </is>
      </c>
    </row>
    <row r="7">
      <c r="A7" s="21">
        <f>B7&amp;"|"&amp;C7</f>
        <v/>
      </c>
      <c r="B7" s="6" t="inlineStr">
        <is>
          <t>رائدة التحصيل</t>
        </is>
      </c>
      <c r="C7" s="6" t="inlineStr">
        <is>
          <t>ذهبي</t>
        </is>
      </c>
      <c r="D7" s="6" t="inlineStr">
        <is>
          <t>تحقيق قيمة مضافة لجميع الصفوف</t>
        </is>
      </c>
    </row>
    <row r="8">
      <c r="A8" s="21">
        <f>B8&amp;"|"&amp;C8</f>
        <v/>
      </c>
      <c r="B8" s="6" t="inlineStr">
        <is>
          <t>رائدة التحصيل</t>
        </is>
      </c>
      <c r="C8" s="6" t="inlineStr">
        <is>
          <t>ذهبي</t>
        </is>
      </c>
      <c r="D8" s="6" t="inlineStr">
        <is>
          <t>تحقيق قيمة مضافة مستمرة في جميع الصفوف</t>
        </is>
      </c>
    </row>
    <row r="9">
      <c r="A9" s="21">
        <f>B9&amp;"|"&amp;C9</f>
        <v/>
      </c>
      <c r="B9" s="6" t="inlineStr">
        <is>
          <t>رائدة التحصيل</t>
        </is>
      </c>
      <c r="C9" s="6" t="inlineStr">
        <is>
          <t>ذهبي</t>
        </is>
      </c>
      <c r="D9" s="6" t="inlineStr">
        <is>
          <t>ابتكار برامج تعليمية حديثة أثرت إيجابًا على تحصيل الطالبات</t>
        </is>
      </c>
    </row>
    <row r="10">
      <c r="A10" s="21">
        <f>B10&amp;"|"&amp;C10</f>
        <v/>
      </c>
      <c r="B10" s="6" t="inlineStr">
        <is>
          <t>رائدة التحصيل</t>
        </is>
      </c>
      <c r="C10" s="6" t="inlineStr">
        <is>
          <t>ذهبي</t>
        </is>
      </c>
      <c r="D10" s="6" t="inlineStr">
        <is>
          <t>أخرى (تُوضَّح في الملاحظات)</t>
        </is>
      </c>
    </row>
    <row r="11">
      <c r="A11" s="21">
        <f>B11&amp;"|"&amp;C11</f>
        <v/>
      </c>
      <c r="B11" s="6" t="inlineStr">
        <is>
          <t>رائدة التطوير</t>
        </is>
      </c>
      <c r="C11" s="6" t="inlineStr">
        <is>
          <t>أساسي</t>
        </is>
      </c>
      <c r="D11" s="6" t="inlineStr">
        <is>
          <t>المشاركة في تدريب القسم</t>
        </is>
      </c>
    </row>
    <row r="12">
      <c r="A12" s="21">
        <f>B12&amp;"|"&amp;C12</f>
        <v/>
      </c>
      <c r="B12" s="6" t="inlineStr">
        <is>
          <t>رائدة التطوير</t>
        </is>
      </c>
      <c r="C12" s="6" t="inlineStr">
        <is>
          <t>أساسي</t>
        </is>
      </c>
      <c r="D12" s="6" t="inlineStr">
        <is>
          <t>تقديم درس مشاهدة داخلي للقسم</t>
        </is>
      </c>
    </row>
    <row r="13">
      <c r="A13" s="21">
        <f>B13&amp;"|"&amp;C13</f>
        <v/>
      </c>
      <c r="B13" s="6" t="inlineStr">
        <is>
          <t>رائدة التطوير</t>
        </is>
      </c>
      <c r="C13" s="6" t="inlineStr">
        <is>
          <t>أساسي</t>
        </is>
      </c>
      <c r="D13" s="6" t="inlineStr">
        <is>
          <t>أخرى (تُوضَّح في الملاحظات)</t>
        </is>
      </c>
    </row>
    <row r="14">
      <c r="A14" s="21">
        <f>B14&amp;"|"&amp;C14</f>
        <v/>
      </c>
      <c r="B14" s="6" t="inlineStr">
        <is>
          <t>رائدة التطوير</t>
        </is>
      </c>
      <c r="C14" s="6" t="inlineStr">
        <is>
          <t>ذهبي</t>
        </is>
      </c>
      <c r="D14" s="6" t="inlineStr">
        <is>
          <t>تقديم ورش تدريبية معتمدة على مستوى المدرسة</t>
        </is>
      </c>
    </row>
    <row r="15">
      <c r="A15" s="21">
        <f>B15&amp;"|"&amp;C15</f>
        <v/>
      </c>
      <c r="B15" s="6" t="inlineStr">
        <is>
          <t>رائدة التطوير</t>
        </is>
      </c>
      <c r="C15" s="6" t="inlineStr">
        <is>
          <t>ذهبي</t>
        </is>
      </c>
      <c r="D15" s="6" t="inlineStr">
        <is>
          <t>ابتكار أساليب تطوير مهني حديثة</t>
        </is>
      </c>
    </row>
    <row r="16">
      <c r="A16" s="21">
        <f>B16&amp;"|"&amp;C16</f>
        <v/>
      </c>
      <c r="B16" s="6" t="inlineStr">
        <is>
          <t>رائدة التطوير</t>
        </is>
      </c>
      <c r="C16" s="6" t="inlineStr">
        <is>
          <t>ذهبي</t>
        </is>
      </c>
      <c r="D16" s="6" t="inlineStr">
        <is>
          <t>تقديم دروس مشاهدة للمدرسة</t>
        </is>
      </c>
    </row>
    <row r="17">
      <c r="A17" s="21">
        <f>B17&amp;"|"&amp;C17</f>
        <v/>
      </c>
      <c r="B17" s="6" t="inlineStr">
        <is>
          <t>رائدة التطوير</t>
        </is>
      </c>
      <c r="C17" s="6" t="inlineStr">
        <is>
          <t>ذهبي</t>
        </is>
      </c>
      <c r="D17" s="6" t="inlineStr">
        <is>
          <t>تقديم دروس نموذجية</t>
        </is>
      </c>
    </row>
    <row r="18">
      <c r="A18" s="21">
        <f>B18&amp;"|"&amp;C18</f>
        <v/>
      </c>
      <c r="B18" s="6" t="inlineStr">
        <is>
          <t>رائدة التطوير</t>
        </is>
      </c>
      <c r="C18" s="6" t="inlineStr">
        <is>
          <t>ذهبي</t>
        </is>
      </c>
      <c r="D18" s="6" t="inlineStr">
        <is>
          <t>أخرى (تُوضَّح في الملاحظات)</t>
        </is>
      </c>
    </row>
    <row r="19">
      <c r="A19" s="21">
        <f>B19&amp;"|"&amp;C19</f>
        <v/>
      </c>
      <c r="B19" s="6" t="inlineStr">
        <is>
          <t>رائدة المبادرة</t>
        </is>
      </c>
      <c r="C19" s="6" t="inlineStr">
        <is>
          <t>أساسي</t>
        </is>
      </c>
      <c r="D19" s="6" t="inlineStr">
        <is>
          <t>المساهمة في مبادرة مدرسية</t>
        </is>
      </c>
    </row>
    <row r="20">
      <c r="A20" s="21">
        <f>B20&amp;"|"&amp;C20</f>
        <v/>
      </c>
      <c r="B20" s="6" t="inlineStr">
        <is>
          <t>رائدة المبادرة</t>
        </is>
      </c>
      <c r="C20" s="6" t="inlineStr">
        <is>
          <t>أساسي</t>
        </is>
      </c>
      <c r="D20" s="6" t="inlineStr">
        <is>
          <t>المشاركة في تحسين بيئة العمل</t>
        </is>
      </c>
    </row>
    <row r="21">
      <c r="A21" s="21">
        <f>B21&amp;"|"&amp;C21</f>
        <v/>
      </c>
      <c r="B21" s="6" t="inlineStr">
        <is>
          <t>رائدة المبادرة</t>
        </is>
      </c>
      <c r="C21" s="6" t="inlineStr">
        <is>
          <t>أساسي</t>
        </is>
      </c>
      <c r="D21" s="6" t="inlineStr">
        <is>
          <t>أكثر تغطية للاحتياط في القسم</t>
        </is>
      </c>
    </row>
    <row r="22">
      <c r="A22" s="21">
        <f>B22&amp;"|"&amp;C22</f>
        <v/>
      </c>
      <c r="B22" s="6" t="inlineStr">
        <is>
          <t>رائدة المبادرة</t>
        </is>
      </c>
      <c r="C22" s="6" t="inlineStr">
        <is>
          <t>أساسي</t>
        </is>
      </c>
      <c r="D22" s="6" t="inlineStr">
        <is>
          <t>أخرى (تُوضَّح في الملاحظات)</t>
        </is>
      </c>
    </row>
    <row r="23">
      <c r="A23" s="21">
        <f>B23&amp;"|"&amp;C23</f>
        <v/>
      </c>
      <c r="B23" s="6" t="inlineStr">
        <is>
          <t>رائدة المبادرة</t>
        </is>
      </c>
      <c r="C23" s="6" t="inlineStr">
        <is>
          <t>ذهبي</t>
        </is>
      </c>
      <c r="D23" s="6" t="inlineStr">
        <is>
          <t>تنفيذ مبادرة نوعية ذات أثر واضح ومستدام وممتدة خارجيًا</t>
        </is>
      </c>
    </row>
    <row r="24">
      <c r="A24" s="21">
        <f>B24&amp;"|"&amp;C24</f>
        <v/>
      </c>
      <c r="B24" s="6" t="inlineStr">
        <is>
          <t>رائدة المبادرة</t>
        </is>
      </c>
      <c r="C24" s="6" t="inlineStr">
        <is>
          <t>ذهبي</t>
        </is>
      </c>
      <c r="D24" s="6" t="inlineStr">
        <is>
          <t>تغطية شاغر في القسم لمدة أكثر من أسبوعين</t>
        </is>
      </c>
    </row>
    <row r="25">
      <c r="A25" s="21">
        <f>B25&amp;"|"&amp;C25</f>
        <v/>
      </c>
      <c r="B25" s="6" t="inlineStr">
        <is>
          <t>رائدة المبادرة</t>
        </is>
      </c>
      <c r="C25" s="6" t="inlineStr">
        <is>
          <t>ذهبي</t>
        </is>
      </c>
      <c r="D25" s="6" t="inlineStr">
        <is>
          <t>أخرى (تُوضَّح في الملاحظات)</t>
        </is>
      </c>
    </row>
    <row r="26">
      <c r="A26" s="21">
        <f>B26&amp;"|"&amp;C26</f>
        <v/>
      </c>
      <c r="B26" s="6" t="inlineStr">
        <is>
          <t>رائدة الإنجاز</t>
        </is>
      </c>
      <c r="C26" s="6" t="inlineStr">
        <is>
          <t>أساسي</t>
        </is>
      </c>
      <c r="D26" s="6" t="inlineStr">
        <is>
          <t>المشاركة في أنشطة أو مسابقات داخلية لدعم الطالبات ذات أثر</t>
        </is>
      </c>
    </row>
    <row r="27">
      <c r="A27" s="21">
        <f>B27&amp;"|"&amp;C27</f>
        <v/>
      </c>
      <c r="B27" s="6" t="inlineStr">
        <is>
          <t>رائدة الإنجاز</t>
        </is>
      </c>
      <c r="C27" s="6" t="inlineStr">
        <is>
          <t>أساسي</t>
        </is>
      </c>
      <c r="D27" s="6" t="inlineStr">
        <is>
          <t>المشاركة في المسابقات الخارجية</t>
        </is>
      </c>
    </row>
    <row r="28">
      <c r="A28" s="21">
        <f>B28&amp;"|"&amp;C28</f>
        <v/>
      </c>
      <c r="B28" s="6" t="inlineStr">
        <is>
          <t>رائدة الإنجاز</t>
        </is>
      </c>
      <c r="C28" s="6" t="inlineStr">
        <is>
          <t>أساسي</t>
        </is>
      </c>
      <c r="D28" s="6" t="inlineStr">
        <is>
          <t>أخرى (تُوضَّح في الملاحظات)</t>
        </is>
      </c>
    </row>
    <row r="29">
      <c r="A29" s="21">
        <f>B29&amp;"|"&amp;C29</f>
        <v/>
      </c>
      <c r="B29" s="6" t="inlineStr">
        <is>
          <t>رائدة الإنجاز</t>
        </is>
      </c>
      <c r="C29" s="6" t="inlineStr">
        <is>
          <t>ذهبي</t>
        </is>
      </c>
      <c r="D29" s="6" t="inlineStr">
        <is>
          <t>تحقيق مراكز متقدمة في مسابقات محلية أو دولية</t>
        </is>
      </c>
    </row>
    <row r="30">
      <c r="A30" s="21">
        <f>B30&amp;"|"&amp;C30</f>
        <v/>
      </c>
      <c r="B30" s="6" t="inlineStr">
        <is>
          <t>رائدة الإنجاز</t>
        </is>
      </c>
      <c r="C30" s="6" t="inlineStr">
        <is>
          <t>ذهبي</t>
        </is>
      </c>
      <c r="D30" s="6" t="inlineStr">
        <is>
          <t>تحقيق أفضل ملف ذكي للمعلمات</t>
        </is>
      </c>
    </row>
    <row r="31">
      <c r="A31" s="21">
        <f>B31&amp;"|"&amp;C31</f>
        <v/>
      </c>
      <c r="B31" s="6" t="inlineStr">
        <is>
          <t>رائدة الإنجاز</t>
        </is>
      </c>
      <c r="C31" s="6" t="inlineStr">
        <is>
          <t>ذهبي</t>
        </is>
      </c>
      <c r="D31" s="6" t="inlineStr">
        <is>
          <t>أخرى (تُوضَّح في الملاحظات)</t>
        </is>
      </c>
    </row>
    <row r="32">
      <c r="A32" s="21">
        <f>B32&amp;"|"&amp;C32</f>
        <v/>
      </c>
      <c r="B32" s="6" t="inlineStr">
        <is>
          <t>رائدة المعرفة والبحث</t>
        </is>
      </c>
      <c r="C32" s="6" t="inlineStr">
        <is>
          <t>أساسي</t>
        </is>
      </c>
      <c r="D32" s="6" t="inlineStr">
        <is>
          <t>المشاركة في بحث علمي أو إجرائي</t>
        </is>
      </c>
    </row>
    <row r="33">
      <c r="A33" s="21">
        <f>B33&amp;"|"&amp;C33</f>
        <v/>
      </c>
      <c r="B33" s="6" t="inlineStr">
        <is>
          <t>رائدة المعرفة والبحث</t>
        </is>
      </c>
      <c r="C33" s="6" t="inlineStr">
        <is>
          <t>أساسي</t>
        </is>
      </c>
      <c r="D33" s="6" t="inlineStr">
        <is>
          <t>المشاركة في مسابقات تتضمن البحث والاستقصاء</t>
        </is>
      </c>
    </row>
    <row r="34">
      <c r="A34" s="21">
        <f>B34&amp;"|"&amp;C34</f>
        <v/>
      </c>
      <c r="B34" s="6" t="inlineStr">
        <is>
          <t>رائدة المعرفة والبحث</t>
        </is>
      </c>
      <c r="C34" s="6" t="inlineStr">
        <is>
          <t>أساسي</t>
        </is>
      </c>
      <c r="D34" s="6" t="inlineStr">
        <is>
          <t>أخرى (تُوضَّح في الملاحظات)</t>
        </is>
      </c>
    </row>
    <row r="35">
      <c r="A35" s="21">
        <f>B35&amp;"|"&amp;C35</f>
        <v/>
      </c>
      <c r="B35" s="6" t="inlineStr">
        <is>
          <t>رائدة المعرفة والبحث</t>
        </is>
      </c>
      <c r="C35" s="6" t="inlineStr">
        <is>
          <t>ذهبي</t>
        </is>
      </c>
      <c r="D35" s="6" t="inlineStr">
        <is>
          <t>نشر بحث تربوي أو إجرائي على مستوى الدولة</t>
        </is>
      </c>
    </row>
    <row r="36">
      <c r="A36" s="21">
        <f>B36&amp;"|"&amp;C36</f>
        <v/>
      </c>
      <c r="B36" s="6" t="inlineStr">
        <is>
          <t>رائدة المعرفة والبحث</t>
        </is>
      </c>
      <c r="C36" s="6" t="inlineStr">
        <is>
          <t>ذهبي</t>
        </is>
      </c>
      <c r="D36" s="6" t="inlineStr">
        <is>
          <t>تمثيل المدرسة في ملتقى علمي</t>
        </is>
      </c>
    </row>
    <row r="37">
      <c r="A37" s="21">
        <f>B37&amp;"|"&amp;C37</f>
        <v/>
      </c>
      <c r="B37" s="6" t="inlineStr">
        <is>
          <t>رائدة المعرفة والبحث</t>
        </is>
      </c>
      <c r="C37" s="6" t="inlineStr">
        <is>
          <t>ذهبي</t>
        </is>
      </c>
      <c r="D37" s="6" t="inlineStr">
        <is>
          <t>التأهل أو الفوز في مسابقة البحث العلمي</t>
        </is>
      </c>
    </row>
    <row r="38">
      <c r="A38" s="21">
        <f>B38&amp;"|"&amp;C38</f>
        <v/>
      </c>
      <c r="B38" s="6" t="inlineStr">
        <is>
          <t>رائدة المعرفة والبحث</t>
        </is>
      </c>
      <c r="C38" s="6" t="inlineStr">
        <is>
          <t>ذهبي</t>
        </is>
      </c>
      <c r="D38" s="6" t="inlineStr">
        <is>
          <t>أخرى (تُوضَّح في الملاحظات)</t>
        </is>
      </c>
    </row>
    <row r="39">
      <c r="A39" s="21">
        <f>B39&amp;"|"&amp;C39</f>
        <v/>
      </c>
      <c r="B39" s="6" t="inlineStr">
        <is>
          <t>رائدة الابتكار والتجديد</t>
        </is>
      </c>
      <c r="C39" s="6" t="inlineStr">
        <is>
          <t>أساسي</t>
        </is>
      </c>
      <c r="D39" s="6" t="inlineStr">
        <is>
          <t>توظيف أدوات تقنية جديدة في التعليم</t>
        </is>
      </c>
    </row>
    <row r="40">
      <c r="A40" s="21">
        <f>B40&amp;"|"&amp;C40</f>
        <v/>
      </c>
      <c r="B40" s="6" t="inlineStr">
        <is>
          <t>رائدة الابتكار والتجديد</t>
        </is>
      </c>
      <c r="C40" s="6" t="inlineStr">
        <is>
          <t>أساسي</t>
        </is>
      </c>
      <c r="D40" s="6" t="inlineStr">
        <is>
          <t>ابتكار طرق تسهل العمل في المدرسة</t>
        </is>
      </c>
    </row>
    <row r="41">
      <c r="A41" s="21">
        <f>B41&amp;"|"&amp;C41</f>
        <v/>
      </c>
      <c r="B41" s="6" t="inlineStr">
        <is>
          <t>رائدة الابتكار والتجديد</t>
        </is>
      </c>
      <c r="C41" s="6" t="inlineStr">
        <is>
          <t>أساسي</t>
        </is>
      </c>
      <c r="D41" s="6" t="inlineStr">
        <is>
          <t>أخرى (تُوضَّح في الملاحظات)</t>
        </is>
      </c>
    </row>
    <row r="42">
      <c r="A42" s="21">
        <f>B42&amp;"|"&amp;C42</f>
        <v/>
      </c>
      <c r="B42" s="6" t="inlineStr">
        <is>
          <t>رائدة الابتكار والتجديد</t>
        </is>
      </c>
      <c r="C42" s="6" t="inlineStr">
        <is>
          <t>ذهبي</t>
        </is>
      </c>
      <c r="D42" s="6" t="inlineStr">
        <is>
          <t>ابتكار مشروع أو أداة تعليمية مميزة تنشر خارجيًا</t>
        </is>
      </c>
    </row>
    <row r="43">
      <c r="A43" s="21">
        <f>B43&amp;"|"&amp;C43</f>
        <v/>
      </c>
      <c r="B43" s="6" t="inlineStr">
        <is>
          <t>رائدة الابتكار والتجديد</t>
        </is>
      </c>
      <c r="C43" s="6" t="inlineStr">
        <is>
          <t>ذهبي</t>
        </is>
      </c>
      <c r="D43" s="6" t="inlineStr">
        <is>
          <t>المشاركة في مسابقة ابتكارية على مستوى الدولة</t>
        </is>
      </c>
    </row>
    <row r="44">
      <c r="A44" s="21">
        <f>B44&amp;"|"&amp;C44</f>
        <v/>
      </c>
      <c r="B44" s="6" t="inlineStr">
        <is>
          <t>رائدة الابتكار والتجديد</t>
        </is>
      </c>
      <c r="C44" s="6" t="inlineStr">
        <is>
          <t>ذهبي</t>
        </is>
      </c>
      <c r="D44" s="6" t="inlineStr">
        <is>
          <t>أخرى (تُوضَّح في الملاحظات)</t>
        </is>
      </c>
    </row>
    <row r="45">
      <c r="A45" s="21">
        <f>B45&amp;"|"&amp;C45</f>
        <v/>
      </c>
      <c r="B45" s="6" t="inlineStr">
        <is>
          <t>رائدة الفن الرقمي</t>
        </is>
      </c>
      <c r="C45" s="6" t="inlineStr">
        <is>
          <t>أساسي</t>
        </is>
      </c>
      <c r="D45" s="6" t="inlineStr">
        <is>
          <t>تقديم درس إلكتروني داخلي</t>
        </is>
      </c>
    </row>
    <row r="46">
      <c r="A46" s="21">
        <f>B46&amp;"|"&amp;C46</f>
        <v/>
      </c>
      <c r="B46" s="6" t="inlineStr">
        <is>
          <t>رائدة الفن الرقمي</t>
        </is>
      </c>
      <c r="C46" s="6" t="inlineStr">
        <is>
          <t>أساسي</t>
        </is>
      </c>
      <c r="D46" s="6" t="inlineStr">
        <is>
          <t>الحصول على لقب رائد التعليم الإلكتروني</t>
        </is>
      </c>
    </row>
    <row r="47">
      <c r="A47" s="21">
        <f>B47&amp;"|"&amp;C47</f>
        <v/>
      </c>
      <c r="B47" s="6" t="inlineStr">
        <is>
          <t>رائدة الفن الرقمي</t>
        </is>
      </c>
      <c r="C47" s="6" t="inlineStr">
        <is>
          <t>أساسي</t>
        </is>
      </c>
      <c r="D47" s="6" t="inlineStr">
        <is>
          <t>أخرى (تُوضَّح في الملاحظات)</t>
        </is>
      </c>
    </row>
    <row r="48">
      <c r="A48" s="21">
        <f>B48&amp;"|"&amp;C48</f>
        <v/>
      </c>
      <c r="B48" s="6" t="inlineStr">
        <is>
          <t>رائدة الفن الرقمي</t>
        </is>
      </c>
      <c r="C48" s="6" t="inlineStr">
        <is>
          <t>ذهبي</t>
        </is>
      </c>
      <c r="D48" s="6" t="inlineStr">
        <is>
          <t>الفوز في مسابقة رقمية خارجية</t>
        </is>
      </c>
    </row>
    <row r="49">
      <c r="A49" s="21">
        <f>B49&amp;"|"&amp;C49</f>
        <v/>
      </c>
      <c r="B49" s="6" t="inlineStr">
        <is>
          <t>رائدة الفن الرقمي</t>
        </is>
      </c>
      <c r="C49" s="6" t="inlineStr">
        <is>
          <t>ذهبي</t>
        </is>
      </c>
      <c r="D49" s="6" t="inlineStr">
        <is>
          <t>المشاركة في فعالية تقنية وطنية</t>
        </is>
      </c>
    </row>
    <row r="50">
      <c r="A50" s="21">
        <f>B50&amp;"|"&amp;C50</f>
        <v/>
      </c>
      <c r="B50" s="6" t="inlineStr">
        <is>
          <t>رائدة الفن الرقمي</t>
        </is>
      </c>
      <c r="C50" s="6" t="inlineStr">
        <is>
          <t>ذهبي</t>
        </is>
      </c>
      <c r="D50" s="6" t="inlineStr">
        <is>
          <t>تقديم درس نموذجي إلكتروني</t>
        </is>
      </c>
    </row>
    <row r="51">
      <c r="A51" s="21">
        <f>B51&amp;"|"&amp;C51</f>
        <v/>
      </c>
      <c r="B51" s="6" t="inlineStr">
        <is>
          <t>رائدة الفن الرقمي</t>
        </is>
      </c>
      <c r="C51" s="6" t="inlineStr">
        <is>
          <t>ذهبي</t>
        </is>
      </c>
      <c r="D51" s="6" t="inlineStr">
        <is>
          <t>أخرى (تُوضَّح في الملاحظات)</t>
        </is>
      </c>
    </row>
    <row r="52">
      <c r="A52" s="21">
        <f>B52&amp;"|"&amp;C52</f>
        <v/>
      </c>
      <c r="B52" s="6" t="inlineStr">
        <is>
          <t>رائدة السلوك</t>
        </is>
      </c>
      <c r="C52" s="6" t="inlineStr">
        <is>
          <t>أساسي</t>
        </is>
      </c>
      <c r="D52" s="6" t="inlineStr">
        <is>
          <t>تقديم مبادرة ذات أثر لتعديل السلوك الطلابي</t>
        </is>
      </c>
    </row>
    <row r="53">
      <c r="A53" s="21">
        <f>B53&amp;"|"&amp;C53</f>
        <v/>
      </c>
      <c r="B53" s="6" t="inlineStr">
        <is>
          <t>رائدة السلوك</t>
        </is>
      </c>
      <c r="C53" s="6" t="inlineStr">
        <is>
          <t>أساسي</t>
        </is>
      </c>
      <c r="D53" s="6" t="inlineStr">
        <is>
          <t>حصول القسم على أقل مخالفات سلوكية</t>
        </is>
      </c>
    </row>
    <row r="54">
      <c r="A54" s="21">
        <f>B54&amp;"|"&amp;C54</f>
        <v/>
      </c>
      <c r="B54" s="6" t="inlineStr">
        <is>
          <t>رائدة السلوك</t>
        </is>
      </c>
      <c r="C54" s="6" t="inlineStr">
        <is>
          <t>أساسي</t>
        </is>
      </c>
      <c r="D54" s="6" t="inlineStr">
        <is>
          <t>أخرى (تُوضَّح في الملاحظات)</t>
        </is>
      </c>
    </row>
    <row r="55">
      <c r="A55" s="21">
        <f>B55&amp;"|"&amp;C55</f>
        <v/>
      </c>
      <c r="B55" s="6" t="inlineStr">
        <is>
          <t>رائدة السلوك</t>
        </is>
      </c>
      <c r="C55" s="6" t="inlineStr">
        <is>
          <t>ذهبي</t>
        </is>
      </c>
      <c r="D55" s="6" t="inlineStr">
        <is>
          <t>تنفيذ برنامج تحفيزي فعال طوال العام</t>
        </is>
      </c>
    </row>
    <row r="56">
      <c r="A56" s="21">
        <f>B56&amp;"|"&amp;C56</f>
        <v/>
      </c>
      <c r="B56" s="6" t="inlineStr">
        <is>
          <t>رائدة السلوك</t>
        </is>
      </c>
      <c r="C56" s="6" t="inlineStr">
        <is>
          <t>ذهبي</t>
        </is>
      </c>
      <c r="D56" s="6" t="inlineStr">
        <is>
          <t>تنفيذ مبادرات لتعديل السلوك على مستوى المدرسة</t>
        </is>
      </c>
    </row>
    <row r="57">
      <c r="A57" s="21">
        <f>B57&amp;"|"&amp;C57</f>
        <v/>
      </c>
      <c r="B57" s="6" t="inlineStr">
        <is>
          <t>رائدة السلوك</t>
        </is>
      </c>
      <c r="C57" s="6" t="inlineStr">
        <is>
          <t>ذهبي</t>
        </is>
      </c>
      <c r="D57" s="6" t="inlineStr">
        <is>
          <t>أخرى (تُوضَّح في الملاحظات)</t>
        </is>
      </c>
    </row>
    <row r="58">
      <c r="A58" s="21">
        <f>B58&amp;"|"&amp;C58</f>
        <v/>
      </c>
      <c r="B58" s="6" t="inlineStr">
        <is>
          <t>الرائدة المعلمة المنضبطة</t>
        </is>
      </c>
      <c r="C58" s="6" t="inlineStr">
        <is>
          <t>أساسي</t>
        </is>
      </c>
      <c r="D58" s="6" t="inlineStr">
        <is>
          <t>عدم الغياب والتأخير لمدة شهر</t>
        </is>
      </c>
    </row>
    <row r="59">
      <c r="A59" s="21">
        <f>B59&amp;"|"&amp;C59</f>
        <v/>
      </c>
      <c r="B59" s="6" t="inlineStr">
        <is>
          <t>الرائدة المعلمة المنضبطة</t>
        </is>
      </c>
      <c r="C59" s="6" t="inlineStr">
        <is>
          <t>أساسي</t>
        </is>
      </c>
      <c r="D59" s="6" t="inlineStr">
        <is>
          <t>عدم الاستئذان لمدة شهر</t>
        </is>
      </c>
    </row>
    <row r="60">
      <c r="A60" s="21">
        <f>B60&amp;"|"&amp;C60</f>
        <v/>
      </c>
      <c r="B60" s="6" t="inlineStr">
        <is>
          <t>الرائدة المعلمة المنضبطة</t>
        </is>
      </c>
      <c r="C60" s="6" t="inlineStr">
        <is>
          <t>أساسي</t>
        </is>
      </c>
      <c r="D60" s="6" t="inlineStr">
        <is>
          <t>أخرى (تُوضَّح في الملاحظات)</t>
        </is>
      </c>
    </row>
    <row r="61">
      <c r="A61" s="21">
        <f>B61&amp;"|"&amp;C61</f>
        <v/>
      </c>
      <c r="B61" s="6" t="inlineStr">
        <is>
          <t>الرائدة المعلمة المنضبطة</t>
        </is>
      </c>
      <c r="C61" s="6" t="inlineStr">
        <is>
          <t>ذهبي</t>
        </is>
      </c>
      <c r="D61" s="6" t="inlineStr">
        <is>
          <t>عدم الغياب لمدة فصل دراسي كامل</t>
        </is>
      </c>
    </row>
    <row r="62">
      <c r="A62" s="21">
        <f>B62&amp;"|"&amp;C62</f>
        <v/>
      </c>
      <c r="B62" s="6" t="inlineStr">
        <is>
          <t>الرائدة المعلمة المنضبطة</t>
        </is>
      </c>
      <c r="C62" s="6" t="inlineStr">
        <is>
          <t>ذهبي</t>
        </is>
      </c>
      <c r="D62" s="6" t="inlineStr">
        <is>
          <t>عدم التأخير لمدة فصل دراسي كامل</t>
        </is>
      </c>
    </row>
    <row r="63">
      <c r="A63" s="21">
        <f>B63&amp;"|"&amp;C63</f>
        <v/>
      </c>
      <c r="B63" s="6" t="inlineStr">
        <is>
          <t>الرائدة المعلمة المنضبطة</t>
        </is>
      </c>
      <c r="C63" s="6" t="inlineStr">
        <is>
          <t>ذهبي</t>
        </is>
      </c>
      <c r="D63" s="6" t="inlineStr">
        <is>
          <t>أخرى (تُوضَّح في الملاحظات)</t>
        </is>
      </c>
    </row>
    <row r="64">
      <c r="A64" s="21">
        <f>B64&amp;"|"&amp;C64</f>
        <v/>
      </c>
      <c r="B64" s="6" t="inlineStr">
        <is>
          <t>رائدة الإيجابية</t>
        </is>
      </c>
      <c r="C64" s="6" t="inlineStr">
        <is>
          <t>أساسي</t>
        </is>
      </c>
      <c r="D64" s="6" t="inlineStr">
        <is>
          <t>تقديم حلول مبتكرة لمواجهة تحديات العمل</t>
        </is>
      </c>
    </row>
    <row r="65">
      <c r="A65" s="21">
        <f>B65&amp;"|"&amp;C65</f>
        <v/>
      </c>
      <c r="B65" s="6" t="inlineStr">
        <is>
          <t>رائدة الإيجابية</t>
        </is>
      </c>
      <c r="C65" s="6" t="inlineStr">
        <is>
          <t>أساسي</t>
        </is>
      </c>
      <c r="D65" s="6" t="inlineStr">
        <is>
          <t>تنفيذ فعاليات ومبادرات لتحسين المناخ المدرسي</t>
        </is>
      </c>
    </row>
    <row r="66">
      <c r="A66" s="21">
        <f>B66&amp;"|"&amp;C66</f>
        <v/>
      </c>
      <c r="B66" s="6" t="inlineStr">
        <is>
          <t>رائدة الإيجابية</t>
        </is>
      </c>
      <c r="C66" s="6" t="inlineStr">
        <is>
          <t>أساسي</t>
        </is>
      </c>
      <c r="D66" s="6" t="inlineStr">
        <is>
          <t>أخرى (تُوضَّح في الملاحظات)</t>
        </is>
      </c>
    </row>
    <row r="67">
      <c r="A67" s="21">
        <f>B67&amp;"|"&amp;C67</f>
        <v/>
      </c>
      <c r="B67" s="6" t="inlineStr">
        <is>
          <t>رائدة الإيجابية</t>
        </is>
      </c>
      <c r="C67" s="6" t="inlineStr">
        <is>
          <t>ذهبي</t>
        </is>
      </c>
      <c r="D67" s="6" t="inlineStr">
        <is>
          <t>نشر ثقافة العمل الإيجابي</t>
        </is>
      </c>
    </row>
    <row r="68">
      <c r="A68" s="21">
        <f>B68&amp;"|"&amp;C68</f>
        <v/>
      </c>
      <c r="B68" s="6" t="inlineStr">
        <is>
          <t>رائدة الإيجابية</t>
        </is>
      </c>
      <c r="C68" s="6" t="inlineStr">
        <is>
          <t>ذهبي</t>
        </is>
      </c>
      <c r="D68" s="6" t="inlineStr">
        <is>
          <t>الحصول على لقب أفضل مربية صف</t>
        </is>
      </c>
    </row>
    <row r="69">
      <c r="A69" s="21">
        <f>B69&amp;"|"&amp;C69</f>
        <v/>
      </c>
      <c r="B69" s="6" t="inlineStr">
        <is>
          <t>رائدة الإيجابية</t>
        </is>
      </c>
      <c r="C69" s="6" t="inlineStr">
        <is>
          <t>ذهبي</t>
        </is>
      </c>
      <c r="D69" s="6" t="inlineStr">
        <is>
          <t>أخرى (تُوضَّح في الملاحظات)</t>
        </is>
      </c>
    </row>
    <row r="70">
      <c r="A70" s="21">
        <f>B70&amp;"|"&amp;C70</f>
        <v/>
      </c>
      <c r="B70" s="6" t="inlineStr">
        <is>
          <t>رائدة الشراكة</t>
        </is>
      </c>
      <c r="C70" s="6" t="inlineStr">
        <is>
          <t>أساسي</t>
        </is>
      </c>
      <c r="D70" s="6" t="inlineStr">
        <is>
          <t>التواصل الفعّال مع أولياء الأمور</t>
        </is>
      </c>
    </row>
    <row r="71">
      <c r="A71" s="21">
        <f>B71&amp;"|"&amp;C71</f>
        <v/>
      </c>
      <c r="B71" s="6" t="inlineStr">
        <is>
          <t>رائدة الشراكة</t>
        </is>
      </c>
      <c r="C71" s="6" t="inlineStr">
        <is>
          <t>أساسي</t>
        </is>
      </c>
      <c r="D71" s="6" t="inlineStr">
        <is>
          <t>المشاركة في الأنشطة المجتمعية</t>
        </is>
      </c>
    </row>
    <row r="72">
      <c r="A72" s="21">
        <f>B72&amp;"|"&amp;C72</f>
        <v/>
      </c>
      <c r="B72" s="6" t="inlineStr">
        <is>
          <t>رائدة الشراكة</t>
        </is>
      </c>
      <c r="C72" s="6" t="inlineStr">
        <is>
          <t>أساسي</t>
        </is>
      </c>
      <c r="D72" s="6" t="inlineStr">
        <is>
          <t>أخرى (تُوضَّح في الملاحظات)</t>
        </is>
      </c>
    </row>
    <row r="73">
      <c r="A73" s="21">
        <f>B73&amp;"|"&amp;C73</f>
        <v/>
      </c>
      <c r="B73" s="6" t="inlineStr">
        <is>
          <t>رائدة الشراكة</t>
        </is>
      </c>
      <c r="C73" s="6" t="inlineStr">
        <is>
          <t>ذهبي</t>
        </is>
      </c>
      <c r="D73" s="6" t="inlineStr">
        <is>
          <t>إقامة شراكات خارجية</t>
        </is>
      </c>
    </row>
    <row r="74">
      <c r="A74" s="21">
        <f>B74&amp;"|"&amp;C74</f>
        <v/>
      </c>
      <c r="B74" s="6" t="inlineStr">
        <is>
          <t>رائدة الشراكة</t>
        </is>
      </c>
      <c r="C74" s="6" t="inlineStr">
        <is>
          <t>ذهبي</t>
        </is>
      </c>
      <c r="D74" s="6" t="inlineStr">
        <is>
          <t>تنفيذ مبادرات مجتمعية مستدامة</t>
        </is>
      </c>
    </row>
    <row r="75">
      <c r="A75" s="21">
        <f>B75&amp;"|"&amp;C75</f>
        <v/>
      </c>
      <c r="B75" s="6" t="inlineStr">
        <is>
          <t>رائدة الشراكة</t>
        </is>
      </c>
      <c r="C75" s="6" t="inlineStr">
        <is>
          <t>ذهبي</t>
        </is>
      </c>
      <c r="D75" s="6" t="inlineStr">
        <is>
          <t>تمثيل المدرسة في المحافل التربوية أو البرامج الوطنية</t>
        </is>
      </c>
    </row>
    <row r="76">
      <c r="A76" s="21">
        <f>B76&amp;"|"&amp;C76</f>
        <v/>
      </c>
      <c r="B76" s="6" t="inlineStr">
        <is>
          <t>رائدة الشراكة</t>
        </is>
      </c>
      <c r="C76" s="6" t="inlineStr">
        <is>
          <t>ذهبي</t>
        </is>
      </c>
      <c r="D76" s="6" t="inlineStr">
        <is>
          <t>أخرى (تُوضَّح في الملاحظات)</t>
        </is>
      </c>
    </row>
    <row r="77">
      <c r="A77" s="21">
        <f>B77&amp;"|"&amp;C77</f>
        <v/>
      </c>
      <c r="B77" s="6" t="inlineStr">
        <is>
          <t>رائدة القيادة</t>
        </is>
      </c>
      <c r="C77" s="6" t="inlineStr">
        <is>
          <t>أساسي</t>
        </is>
      </c>
      <c r="D77" s="6" t="inlineStr">
        <is>
          <t>قيادة مشروع أو مبادرة تطويرية على مستوى القسم أو المدرسة</t>
        </is>
      </c>
    </row>
    <row r="78">
      <c r="A78" s="21">
        <f>B78&amp;"|"&amp;C78</f>
        <v/>
      </c>
      <c r="B78" s="6" t="inlineStr">
        <is>
          <t>رائدة القيادة</t>
        </is>
      </c>
      <c r="C78" s="6" t="inlineStr">
        <is>
          <t>أساسي</t>
        </is>
      </c>
      <c r="D78" s="6" t="inlineStr">
        <is>
          <t>قيادة المواقف الطارئة بحكمة</t>
        </is>
      </c>
    </row>
    <row r="79">
      <c r="A79" s="21">
        <f>B79&amp;"|"&amp;C79</f>
        <v/>
      </c>
      <c r="B79" s="6" t="inlineStr">
        <is>
          <t>رائدة القيادة</t>
        </is>
      </c>
      <c r="C79" s="6" t="inlineStr">
        <is>
          <t>أساسي</t>
        </is>
      </c>
      <c r="D79" s="6" t="inlineStr">
        <is>
          <t>قيادة اللجان والفرق بكفاءة</t>
        </is>
      </c>
    </row>
    <row r="80">
      <c r="A80" s="21">
        <f>B80&amp;"|"&amp;C80</f>
        <v/>
      </c>
      <c r="B80" s="6" t="inlineStr">
        <is>
          <t>رائدة القيادة</t>
        </is>
      </c>
      <c r="C80" s="6" t="inlineStr">
        <is>
          <t>أساسي</t>
        </is>
      </c>
      <c r="D80" s="6" t="inlineStr">
        <is>
          <t>أخرى (تُوضَّح في الملاحظات)</t>
        </is>
      </c>
    </row>
    <row r="81">
      <c r="A81" s="21">
        <f>B81&amp;"|"&amp;C81</f>
        <v/>
      </c>
      <c r="B81" s="6" t="inlineStr">
        <is>
          <t>رائدة القيادة</t>
        </is>
      </c>
      <c r="C81" s="6" t="inlineStr">
        <is>
          <t>ذهبي</t>
        </is>
      </c>
      <c r="D81" s="6" t="inlineStr">
        <is>
          <t>تطوير مبادرات تربوية أو رقمية تُحدث أثرًا في بيئة التعلم</t>
        </is>
      </c>
    </row>
    <row r="82">
      <c r="A82" s="21">
        <f>B82&amp;"|"&amp;C82</f>
        <v/>
      </c>
      <c r="B82" s="6" t="inlineStr">
        <is>
          <t>رائدة القيادة</t>
        </is>
      </c>
      <c r="C82" s="6" t="inlineStr">
        <is>
          <t>ذهبي</t>
        </is>
      </c>
      <c r="D82" s="6" t="inlineStr">
        <is>
          <t>نشر قصص نجاح المدرسة في المنصات الإعلامية أو التربوية</t>
        </is>
      </c>
    </row>
    <row r="83">
      <c r="A83" s="21">
        <f>B83&amp;"|"&amp;C83</f>
        <v/>
      </c>
      <c r="B83" s="6" t="inlineStr">
        <is>
          <t>رائدة القيادة</t>
        </is>
      </c>
      <c r="C83" s="6" t="inlineStr">
        <is>
          <t>ذهبي</t>
        </is>
      </c>
      <c r="D83" s="6" t="inlineStr">
        <is>
          <t>التعاون مع جهات خارجية لنشر ممارسات القيادة</t>
        </is>
      </c>
    </row>
    <row r="84">
      <c r="A84" s="21">
        <f>B84&amp;"|"&amp;C84</f>
        <v/>
      </c>
      <c r="B84" s="6" t="inlineStr">
        <is>
          <t>رائدة القيادة</t>
        </is>
      </c>
      <c r="C84" s="6" t="inlineStr">
        <is>
          <t>ذهبي</t>
        </is>
      </c>
      <c r="D84" s="6" t="inlineStr">
        <is>
          <t>أخرى (تُوضَّح في الملاحظات)</t>
        </is>
      </c>
    </row>
    <row r="85">
      <c r="A85" s="21">
        <f>B85&amp;"|"&amp;C85</f>
        <v/>
      </c>
      <c r="B85" s="6" t="inlineStr">
        <is>
          <t>فريق الريادة الجماعي</t>
        </is>
      </c>
      <c r="C85" s="6" t="inlineStr">
        <is>
          <t>أساسي</t>
        </is>
      </c>
      <c r="D85" s="6" t="inlineStr">
        <is>
          <t>إنجاز جماعي مشترك على مستوى القسم</t>
        </is>
      </c>
    </row>
    <row r="86">
      <c r="A86" s="21">
        <f>B86&amp;"|"&amp;C86</f>
        <v/>
      </c>
      <c r="B86" s="6" t="inlineStr">
        <is>
          <t>فريق الريادة الجماعي</t>
        </is>
      </c>
      <c r="C86" s="6" t="inlineStr">
        <is>
          <t>أساسي</t>
        </is>
      </c>
      <c r="D86" s="6" t="inlineStr">
        <is>
          <t>أخرى (تُوضَّح في الملاحظات)</t>
        </is>
      </c>
    </row>
    <row r="87">
      <c r="A87" s="21">
        <f>B87&amp;"|"&amp;C87</f>
        <v/>
      </c>
      <c r="B87" s="6" t="inlineStr">
        <is>
          <t>فريق الريادة الجماعي</t>
        </is>
      </c>
      <c r="C87" s="6" t="inlineStr">
        <is>
          <t>ذهبي</t>
        </is>
      </c>
      <c r="D87" s="6" t="inlineStr">
        <is>
          <t>أداء جماعي متميز على مستوى المدرسة</t>
        </is>
      </c>
    </row>
    <row r="88">
      <c r="A88" s="21">
        <f>B88&amp;"|"&amp;C88</f>
        <v/>
      </c>
      <c r="B88" s="6" t="inlineStr">
        <is>
          <t>فريق الريادة الجماعي</t>
        </is>
      </c>
      <c r="C88" s="6" t="inlineStr">
        <is>
          <t>ذهبي</t>
        </is>
      </c>
      <c r="D88" s="6" t="inlineStr">
        <is>
          <t>أخرى (تُوضَّح في الملاحظات)</t>
        </is>
      </c>
    </row>
    <row r="89">
      <c r="A89" s="21">
        <f>B89&amp;"|"&amp;C89</f>
        <v/>
      </c>
      <c r="B89" s="6" t="inlineStr">
        <is>
          <t>الرائدة الإدارية المنضبطة</t>
        </is>
      </c>
      <c r="C89" s="6" t="inlineStr">
        <is>
          <t>أساسي</t>
        </is>
      </c>
      <c r="D89" s="6" t="inlineStr">
        <is>
          <t>عدم الغياب والتأخير لمدة شهر</t>
        </is>
      </c>
    </row>
    <row r="90">
      <c r="A90" s="21">
        <f>B90&amp;"|"&amp;C90</f>
        <v/>
      </c>
      <c r="B90" s="6" t="inlineStr">
        <is>
          <t>الرائدة الإدارية المنضبطة</t>
        </is>
      </c>
      <c r="C90" s="6" t="inlineStr">
        <is>
          <t>أساسي</t>
        </is>
      </c>
      <c r="D90" s="6" t="inlineStr">
        <is>
          <t>عدم الاستئذان لمدة شهر</t>
        </is>
      </c>
    </row>
    <row r="91">
      <c r="A91" s="21">
        <f>B91&amp;"|"&amp;C91</f>
        <v/>
      </c>
      <c r="B91" s="6" t="inlineStr">
        <is>
          <t>الرائدة الإدارية المنضبطة</t>
        </is>
      </c>
      <c r="C91" s="6" t="inlineStr">
        <is>
          <t>أساسي</t>
        </is>
      </c>
      <c r="D91" s="6" t="inlineStr">
        <is>
          <t>أخرى (تُوضَّح في الملاحظات)</t>
        </is>
      </c>
    </row>
    <row r="92">
      <c r="A92" s="21">
        <f>B92&amp;"|"&amp;C92</f>
        <v/>
      </c>
      <c r="B92" s="6" t="inlineStr">
        <is>
          <t>الرائدة الإدارية المنضبطة</t>
        </is>
      </c>
      <c r="C92" s="6" t="inlineStr">
        <is>
          <t>ذهبي</t>
        </is>
      </c>
      <c r="D92" s="6" t="inlineStr">
        <is>
          <t>سجل وظيفي يعكس الالتزام المستمر بالمواعيد والتعليمات</t>
        </is>
      </c>
    </row>
    <row r="93">
      <c r="A93" s="21">
        <f>B93&amp;"|"&amp;C93</f>
        <v/>
      </c>
      <c r="B93" s="6" t="inlineStr">
        <is>
          <t>الرائدة الإدارية المنضبطة</t>
        </is>
      </c>
      <c r="C93" s="6" t="inlineStr">
        <is>
          <t>ذهبي</t>
        </is>
      </c>
      <c r="D93" s="6" t="inlineStr">
        <is>
          <t>إنجاز المهام دون تأخير أو حاجة إلى متابعة متكررة</t>
        </is>
      </c>
    </row>
    <row r="94">
      <c r="A94" s="21">
        <f>B94&amp;"|"&amp;C94</f>
        <v/>
      </c>
      <c r="B94" s="6" t="inlineStr">
        <is>
          <t>الرائدة الإدارية المنضبطة</t>
        </is>
      </c>
      <c r="C94" s="6" t="inlineStr">
        <is>
          <t>ذهبي</t>
        </is>
      </c>
      <c r="D94" s="6" t="inlineStr">
        <is>
          <t>الدقة العالية في تنفيذ الإجراءات والمعاملات</t>
        </is>
      </c>
    </row>
    <row r="95">
      <c r="A95" s="21">
        <f>B95&amp;"|"&amp;C95</f>
        <v/>
      </c>
      <c r="B95" s="6" t="inlineStr">
        <is>
          <t>الرائدة الإدارية المنضبطة</t>
        </is>
      </c>
      <c r="C95" s="6" t="inlineStr">
        <is>
          <t>ذهبي</t>
        </is>
      </c>
      <c r="D95" s="6" t="inlineStr">
        <is>
          <t>المحافظة على سرية وخصوصية العمل</t>
        </is>
      </c>
    </row>
    <row r="96">
      <c r="A96" s="21">
        <f>B96&amp;"|"&amp;C96</f>
        <v/>
      </c>
      <c r="B96" s="6" t="inlineStr">
        <is>
          <t>الرائدة الإدارية المنضبطة</t>
        </is>
      </c>
      <c r="C96" s="6" t="inlineStr">
        <is>
          <t>ذهبي</t>
        </is>
      </c>
      <c r="D96" s="6" t="inlineStr">
        <is>
          <t>أخرى (تُوضَّح في الملاحظات)</t>
        </is>
      </c>
    </row>
    <row r="97">
      <c r="A97" s="21">
        <f>B97&amp;"|"&amp;C97</f>
        <v/>
      </c>
      <c r="B97" s="6" t="inlineStr">
        <is>
          <t>الرائدة الإدارية المبادرة</t>
        </is>
      </c>
      <c r="C97" s="6" t="inlineStr">
        <is>
          <t>أساسي</t>
        </is>
      </c>
      <c r="D97" s="6" t="inlineStr">
        <is>
          <t>تقديم أفكار ومقترحات لتطوير العمل</t>
        </is>
      </c>
    </row>
    <row r="98">
      <c r="A98" s="21">
        <f>B98&amp;"|"&amp;C98</f>
        <v/>
      </c>
      <c r="B98" s="6" t="inlineStr">
        <is>
          <t>الرائدة الإدارية المبادرة</t>
        </is>
      </c>
      <c r="C98" s="6" t="inlineStr">
        <is>
          <t>أساسي</t>
        </is>
      </c>
      <c r="D98" s="6" t="inlineStr">
        <is>
          <t>المبادرة في حل المشكلات</t>
        </is>
      </c>
    </row>
    <row r="99">
      <c r="A99" s="21">
        <f>B99&amp;"|"&amp;C99</f>
        <v/>
      </c>
      <c r="B99" s="6" t="inlineStr">
        <is>
          <t>الرائدة الإدارية المبادرة</t>
        </is>
      </c>
      <c r="C99" s="6" t="inlineStr">
        <is>
          <t>أساسي</t>
        </is>
      </c>
      <c r="D99" s="6" t="inlineStr">
        <is>
          <t>المشاركة الفاعلة في اللجان والأنشطة والمبادرات</t>
        </is>
      </c>
    </row>
    <row r="100">
      <c r="A100" s="21">
        <f>B100&amp;"|"&amp;C100</f>
        <v/>
      </c>
      <c r="B100" s="6" t="inlineStr">
        <is>
          <t>الرائدة الإدارية المبادرة</t>
        </is>
      </c>
      <c r="C100" s="6" t="inlineStr">
        <is>
          <t>أساسي</t>
        </is>
      </c>
      <c r="D100" s="6" t="inlineStr">
        <is>
          <t>أخرى (تُوضَّح في الملاحظات)</t>
        </is>
      </c>
    </row>
    <row r="101">
      <c r="A101" s="21">
        <f>B101&amp;"|"&amp;C101</f>
        <v/>
      </c>
      <c r="B101" s="6" t="inlineStr">
        <is>
          <t>الرائدة الإدارية المبادرة</t>
        </is>
      </c>
      <c r="C101" s="6" t="inlineStr">
        <is>
          <t>ذهبي</t>
        </is>
      </c>
      <c r="D101" s="6" t="inlineStr">
        <is>
          <t>أخرى (تُوضَّح في الملاحظات)</t>
        </is>
      </c>
    </row>
    <row r="102">
      <c r="A102" s="21">
        <f>B102&amp;"|"&amp;C102</f>
        <v/>
      </c>
      <c r="B102" s="6" t="inlineStr">
        <is>
          <t>الرائدة الإدارية المتميزة</t>
        </is>
      </c>
      <c r="C102" s="6" t="inlineStr">
        <is>
          <t>أساسي</t>
        </is>
      </c>
      <c r="D102" s="6" t="inlineStr">
        <is>
          <t>تحقيق مستوى مرتفع من جودة الأداء</t>
        </is>
      </c>
    </row>
    <row r="103">
      <c r="A103" s="21">
        <f>B103&amp;"|"&amp;C103</f>
        <v/>
      </c>
      <c r="B103" s="6" t="inlineStr">
        <is>
          <t>الرائدة الإدارية المتميزة</t>
        </is>
      </c>
      <c r="C103" s="6" t="inlineStr">
        <is>
          <t>أساسي</t>
        </is>
      </c>
      <c r="D103" s="6" t="inlineStr">
        <is>
          <t>سرعة ودقة إنجاز المهام</t>
        </is>
      </c>
    </row>
    <row r="104">
      <c r="A104" s="21">
        <f>B104&amp;"|"&amp;C104</f>
        <v/>
      </c>
      <c r="B104" s="6" t="inlineStr">
        <is>
          <t>الرائدة الإدارية المتميزة</t>
        </is>
      </c>
      <c r="C104" s="6" t="inlineStr">
        <is>
          <t>أساسي</t>
        </is>
      </c>
      <c r="D104" s="6" t="inlineStr">
        <is>
          <t>تحمل المسؤولية والاعتماد على الذات</t>
        </is>
      </c>
    </row>
    <row r="105">
      <c r="A105" s="21">
        <f>B105&amp;"|"&amp;C105</f>
        <v/>
      </c>
      <c r="B105" s="6" t="inlineStr">
        <is>
          <t>الرائدة الإدارية المتميزة</t>
        </is>
      </c>
      <c r="C105" s="6" t="inlineStr">
        <is>
          <t>أساسي</t>
        </is>
      </c>
      <c r="D105" s="6" t="inlineStr">
        <is>
          <t>تحقيق نتائج ملموسة في مجال العمل</t>
        </is>
      </c>
    </row>
    <row r="106">
      <c r="A106" s="21">
        <f>B106&amp;"|"&amp;C106</f>
        <v/>
      </c>
      <c r="B106" s="6" t="inlineStr">
        <is>
          <t>الرائدة الإدارية المتميزة</t>
        </is>
      </c>
      <c r="C106" s="6" t="inlineStr">
        <is>
          <t>أساسي</t>
        </is>
      </c>
      <c r="D106" s="6" t="inlineStr">
        <is>
          <t>المساهمة في تحسين أداء فريق العمل</t>
        </is>
      </c>
    </row>
    <row r="107">
      <c r="A107" s="21">
        <f>B107&amp;"|"&amp;C107</f>
        <v/>
      </c>
      <c r="B107" s="6" t="inlineStr">
        <is>
          <t>الرائدة الإدارية المتميزة</t>
        </is>
      </c>
      <c r="C107" s="6" t="inlineStr">
        <is>
          <t>أساسي</t>
        </is>
      </c>
      <c r="D107" s="6" t="inlineStr">
        <is>
          <t>أخرى (تُوضَّح في الملاحظات)</t>
        </is>
      </c>
    </row>
    <row r="108">
      <c r="A108" s="21">
        <f>B108&amp;"|"&amp;C108</f>
        <v/>
      </c>
      <c r="B108" s="6" t="inlineStr">
        <is>
          <t>الرائدة الإدارية المتميزة</t>
        </is>
      </c>
      <c r="C108" s="6" t="inlineStr">
        <is>
          <t>ذهبي</t>
        </is>
      </c>
      <c r="D108" s="6" t="inlineStr">
        <is>
          <t>تحقيق إنجاز يتجاوز نطاق المهام المعتادة</t>
        </is>
      </c>
    </row>
    <row r="109">
      <c r="A109" s="21">
        <f>B109&amp;"|"&amp;C109</f>
        <v/>
      </c>
      <c r="B109" s="6" t="inlineStr">
        <is>
          <t>الرائدة الإدارية المتميزة</t>
        </is>
      </c>
      <c r="C109" s="6" t="inlineStr">
        <is>
          <t>ذهبي</t>
        </is>
      </c>
      <c r="D109" s="6" t="inlineStr">
        <is>
          <t>تقديم عمل يتميز بالجودة والدقة والكفاءة</t>
        </is>
      </c>
    </row>
    <row r="110">
      <c r="A110" s="21">
        <f>B110&amp;"|"&amp;C110</f>
        <v/>
      </c>
      <c r="B110" s="6" t="inlineStr">
        <is>
          <t>الرائدة الإدارية المتميزة</t>
        </is>
      </c>
      <c r="C110" s="6" t="inlineStr">
        <is>
          <t>ذهبي</t>
        </is>
      </c>
      <c r="D110" s="6" t="inlineStr">
        <is>
          <t>الحصول على إشادة أو تقدير مهني موثق (خارجي)</t>
        </is>
      </c>
    </row>
    <row r="111">
      <c r="A111" s="21">
        <f>B111&amp;"|"&amp;C111</f>
        <v/>
      </c>
      <c r="B111" s="6" t="inlineStr">
        <is>
          <t>الرائدة الإدارية المتميزة</t>
        </is>
      </c>
      <c r="C111" s="6" t="inlineStr">
        <is>
          <t>ذهبي</t>
        </is>
      </c>
      <c r="D111" s="6" t="inlineStr">
        <is>
          <t>أخرى (تُوضَّح في الملاحظات)</t>
        </is>
      </c>
    </row>
    <row r="112">
      <c r="A112" s="21">
        <f>B112&amp;"|"&amp;C112</f>
        <v/>
      </c>
      <c r="B112" s="6" t="inlineStr">
        <is>
          <t>الرائدة الإدارية الإيجابية</t>
        </is>
      </c>
      <c r="C112" s="6" t="inlineStr">
        <is>
          <t>أساسي</t>
        </is>
      </c>
      <c r="D112" s="6" t="inlineStr">
        <is>
          <t>التعامل باحترام واحترافية مع الجميع</t>
        </is>
      </c>
    </row>
    <row r="113">
      <c r="A113" s="21">
        <f>B113&amp;"|"&amp;C113</f>
        <v/>
      </c>
      <c r="B113" s="6" t="inlineStr">
        <is>
          <t>الرائدة الإدارية الإيجابية</t>
        </is>
      </c>
      <c r="C113" s="6" t="inlineStr">
        <is>
          <t>أساسي</t>
        </is>
      </c>
      <c r="D113" s="6" t="inlineStr">
        <is>
          <t>التعاون ومساندة الزميلات</t>
        </is>
      </c>
    </row>
    <row r="114">
      <c r="A114" s="21">
        <f>B114&amp;"|"&amp;C114</f>
        <v/>
      </c>
      <c r="B114" s="6" t="inlineStr">
        <is>
          <t>الرائدة الإدارية الإيجابية</t>
        </is>
      </c>
      <c r="C114" s="6" t="inlineStr">
        <is>
          <t>أساسي</t>
        </is>
      </c>
      <c r="D114" s="6" t="inlineStr">
        <is>
          <t>نشر روح التفاؤل والتحفيز في بيئة العمل</t>
        </is>
      </c>
    </row>
    <row r="115">
      <c r="A115" s="21">
        <f>B115&amp;"|"&amp;C115</f>
        <v/>
      </c>
      <c r="B115" s="6" t="inlineStr">
        <is>
          <t>الرائدة الإدارية الإيجابية</t>
        </is>
      </c>
      <c r="C115" s="6" t="inlineStr">
        <is>
          <t>أساسي</t>
        </is>
      </c>
      <c r="D115" s="6" t="inlineStr">
        <is>
          <t>تقبل الملاحظات والتطوير بروح إيجابية</t>
        </is>
      </c>
    </row>
    <row r="116">
      <c r="A116" s="21">
        <f>B116&amp;"|"&amp;C116</f>
        <v/>
      </c>
      <c r="B116" s="6" t="inlineStr">
        <is>
          <t>الرائدة الإدارية الإيجابية</t>
        </is>
      </c>
      <c r="C116" s="6" t="inlineStr">
        <is>
          <t>أساسي</t>
        </is>
      </c>
      <c r="D116" s="6" t="inlineStr">
        <is>
          <t>التعامل مع التحديات بهدوء ومسؤولية</t>
        </is>
      </c>
    </row>
    <row r="117">
      <c r="A117" s="21">
        <f>B117&amp;"|"&amp;C117</f>
        <v/>
      </c>
      <c r="B117" s="6" t="inlineStr">
        <is>
          <t>الرائدة الإدارية الإيجابية</t>
        </is>
      </c>
      <c r="C117" s="6" t="inlineStr">
        <is>
          <t>أساسي</t>
        </is>
      </c>
      <c r="D117" s="6" t="inlineStr">
        <is>
          <t>المساهمة في تعزيز العمل الجماعي والعلاقات المهنية</t>
        </is>
      </c>
    </row>
    <row r="118">
      <c r="A118" s="21">
        <f>B118&amp;"|"&amp;C118</f>
        <v/>
      </c>
      <c r="B118" s="6" t="inlineStr">
        <is>
          <t>الرائدة الإدارية الإيجابية</t>
        </is>
      </c>
      <c r="C118" s="6" t="inlineStr">
        <is>
          <t>أساسي</t>
        </is>
      </c>
      <c r="D118" s="6" t="inlineStr">
        <is>
          <t>أخرى (تُوضَّح في الملاحظات)</t>
        </is>
      </c>
    </row>
    <row r="119">
      <c r="A119" s="21">
        <f>B119&amp;"|"&amp;C119</f>
        <v/>
      </c>
      <c r="B119" s="6" t="inlineStr">
        <is>
          <t>الرائدة الإدارية الإيجابية</t>
        </is>
      </c>
      <c r="C119" s="6" t="inlineStr">
        <is>
          <t>ذهبي</t>
        </is>
      </c>
      <c r="D119" s="6" t="inlineStr">
        <is>
          <t>نشر روح التعاون والاحترام في بيئة العمل</t>
        </is>
      </c>
    </row>
    <row r="120">
      <c r="A120" s="21">
        <f>B120&amp;"|"&amp;C120</f>
        <v/>
      </c>
      <c r="B120" s="6" t="inlineStr">
        <is>
          <t>الرائدة الإدارية الإيجابية</t>
        </is>
      </c>
      <c r="C120" s="6" t="inlineStr">
        <is>
          <t>ذهبي</t>
        </is>
      </c>
      <c r="D120" s="6" t="inlineStr">
        <is>
          <t>تقديم الدعم والمساندة للزميلات عند الحاجة</t>
        </is>
      </c>
    </row>
    <row r="121">
      <c r="A121" s="21">
        <f>B121&amp;"|"&amp;C121</f>
        <v/>
      </c>
      <c r="B121" s="6" t="inlineStr">
        <is>
          <t>الرائدة الإدارية الإيجابية</t>
        </is>
      </c>
      <c r="C121" s="6" t="inlineStr">
        <is>
          <t>ذهبي</t>
        </is>
      </c>
      <c r="D121" s="6" t="inlineStr">
        <is>
          <t>المساهمة في حل الخلافات بأسلوب مهني وإيجابي</t>
        </is>
      </c>
    </row>
    <row r="122">
      <c r="A122" s="21">
        <f>B122&amp;"|"&amp;C122</f>
        <v/>
      </c>
      <c r="B122" s="6" t="inlineStr">
        <is>
          <t>الرائدة الإدارية الإيجابية</t>
        </is>
      </c>
      <c r="C122" s="6" t="inlineStr">
        <is>
          <t>ذهبي</t>
        </is>
      </c>
      <c r="D122" s="6" t="inlineStr">
        <is>
          <t>تشجيع العمل الجماعي وتحفيز الزميلات</t>
        </is>
      </c>
    </row>
    <row r="123">
      <c r="A123" s="21">
        <f>B123&amp;"|"&amp;C123</f>
        <v/>
      </c>
      <c r="B123" s="6" t="inlineStr">
        <is>
          <t>الرائدة الإدارية الإيجابية</t>
        </is>
      </c>
      <c r="C123" s="6" t="inlineStr">
        <is>
          <t>ذهبي</t>
        </is>
      </c>
      <c r="D123" s="6" t="inlineStr">
        <is>
          <t>المحافظة على الإيجابية والمرونة في مواجهة الضغوط</t>
        </is>
      </c>
    </row>
    <row r="124">
      <c r="A124" s="21">
        <f>B124&amp;"|"&amp;C124</f>
        <v/>
      </c>
      <c r="B124" s="6" t="inlineStr">
        <is>
          <t>الرائدة الإدارية الإيجابية</t>
        </is>
      </c>
      <c r="C124" s="6" t="inlineStr">
        <is>
          <t>ذهبي</t>
        </is>
      </c>
      <c r="D124" s="6" t="inlineStr">
        <is>
          <t>الحصول على لقب أفضل قسم إداري</t>
        </is>
      </c>
    </row>
    <row r="125">
      <c r="A125" s="21">
        <f>B125&amp;"|"&amp;C125</f>
        <v/>
      </c>
      <c r="B125" s="6" t="inlineStr">
        <is>
          <t>الرائدة الإدارية الإيجابية</t>
        </is>
      </c>
      <c r="C125" s="6" t="inlineStr">
        <is>
          <t>ذهبي</t>
        </is>
      </c>
      <c r="D125" s="6" t="inlineStr">
        <is>
          <t>أخرى (تُوضَّح في الملاحظات)</t>
        </is>
      </c>
    </row>
    <row r="126">
      <c r="A126" s="21">
        <f>B126&amp;"|"&amp;C126</f>
        <v/>
      </c>
      <c r="B126" s="6" t="inlineStr">
        <is>
          <t>بريد السعادة</t>
        </is>
      </c>
      <c r="C126" s="6" t="inlineStr">
        <is>
          <t>أساسي</t>
        </is>
      </c>
      <c r="D126" s="6" t="inlineStr">
        <is>
          <t>إنجاز أو سلوك أو مبادرة إيجابية ملحوظة</t>
        </is>
      </c>
    </row>
    <row r="127">
      <c r="A127" s="21">
        <f>B127&amp;"|"&amp;C127</f>
        <v/>
      </c>
      <c r="B127" s="6" t="inlineStr">
        <is>
          <t>بريد السعادة</t>
        </is>
      </c>
      <c r="C127" s="6" t="inlineStr">
        <is>
          <t>أساسي</t>
        </is>
      </c>
      <c r="D127" s="6" t="inlineStr">
        <is>
          <t>أخرى (تُوضَّح في الملاحظات)</t>
        </is>
      </c>
    </row>
    <row r="128">
      <c r="A128" s="21">
        <f>B128&amp;"|"&amp;C128</f>
        <v/>
      </c>
      <c r="B128" s="6" t="inlineStr">
        <is>
          <t>بريد السعادة</t>
        </is>
      </c>
      <c r="C128" s="6" t="inlineStr">
        <is>
          <t>ذهبي</t>
        </is>
      </c>
      <c r="D128" s="6" t="inlineStr">
        <is>
          <t>أخرى (تُوضَّح في الملاحظات)</t>
        </is>
      </c>
    </row>
    <row r="129">
      <c r="A129" s="21">
        <f>B129&amp;"|"&amp;C129</f>
        <v/>
      </c>
      <c r="B129" s="6" t="inlineStr">
        <is>
          <t>فرحة بلا موعد</t>
        </is>
      </c>
      <c r="C129" s="6" t="inlineStr">
        <is>
          <t>أساسي</t>
        </is>
      </c>
      <c r="D129" s="6" t="inlineStr">
        <is>
          <t>مفاجأة / هدية عفوية</t>
        </is>
      </c>
    </row>
    <row r="130">
      <c r="A130" s="21">
        <f>B130&amp;"|"&amp;C130</f>
        <v/>
      </c>
      <c r="B130" s="6" t="inlineStr">
        <is>
          <t>فرحة بلا موعد</t>
        </is>
      </c>
      <c r="C130" s="6" t="inlineStr">
        <is>
          <t>أساسي</t>
        </is>
      </c>
      <c r="D130" s="6" t="inlineStr">
        <is>
          <t>مسابقة ترفيهية</t>
        </is>
      </c>
    </row>
    <row r="131">
      <c r="A131" s="21">
        <f>B131&amp;"|"&amp;C131</f>
        <v/>
      </c>
      <c r="B131" s="6" t="inlineStr">
        <is>
          <t>فرحة بلا موعد</t>
        </is>
      </c>
      <c r="C131" s="6" t="inlineStr">
        <is>
          <t>أساسي</t>
        </is>
      </c>
      <c r="D131" s="6" t="inlineStr">
        <is>
          <t>أخرى (تُوضَّح في الملاحظات)</t>
        </is>
      </c>
    </row>
    <row r="132">
      <c r="A132" s="21">
        <f>B132&amp;"|"&amp;C132</f>
        <v/>
      </c>
      <c r="B132" s="6" t="inlineStr">
        <is>
          <t>فرحة بلا موعد</t>
        </is>
      </c>
      <c r="C132" s="6" t="inlineStr">
        <is>
          <t>ذهبي</t>
        </is>
      </c>
      <c r="D132" s="6" t="inlineStr">
        <is>
          <t>أخرى (تُوضَّح في الملاحظات)</t>
        </is>
      </c>
    </row>
    <row r="133">
      <c r="A133" s="44">
        <f>IF(B133="","",B133&amp;"|"&amp;C133)</f>
        <v/>
      </c>
      <c r="B133" s="8" t="n"/>
      <c r="C133" s="8" t="n"/>
      <c r="D133" s="8" t="n"/>
    </row>
    <row r="134">
      <c r="A134" s="44">
        <f>IF(B134="","",B134&amp;"|"&amp;C134)</f>
        <v/>
      </c>
      <c r="B134" s="8" t="n"/>
      <c r="C134" s="8" t="n"/>
      <c r="D134" s="8" t="n"/>
    </row>
    <row r="135">
      <c r="A135" s="44">
        <f>IF(B135="","",B135&amp;"|"&amp;C135)</f>
        <v/>
      </c>
      <c r="B135" s="8" t="n"/>
      <c r="C135" s="8" t="n"/>
      <c r="D135" s="8" t="n"/>
    </row>
    <row r="136">
      <c r="A136" s="44">
        <f>IF(B136="","",B136&amp;"|"&amp;C136)</f>
        <v/>
      </c>
      <c r="B136" s="8" t="n"/>
      <c r="C136" s="8" t="n"/>
      <c r="D136" s="8" t="n"/>
    </row>
    <row r="137">
      <c r="A137" s="44">
        <f>IF(B137="","",B137&amp;"|"&amp;C137)</f>
        <v/>
      </c>
      <c r="B137" s="8" t="n"/>
      <c r="C137" s="8" t="n"/>
      <c r="D137" s="8" t="n"/>
    </row>
    <row r="138">
      <c r="A138" s="44">
        <f>IF(B138="","",B138&amp;"|"&amp;C138)</f>
        <v/>
      </c>
      <c r="B138" s="8" t="n"/>
      <c r="C138" s="8" t="n"/>
      <c r="D138" s="8" t="n"/>
    </row>
    <row r="139">
      <c r="A139" s="44">
        <f>IF(B139="","",B139&amp;"|"&amp;C139)</f>
        <v/>
      </c>
      <c r="B139" s="8" t="n"/>
      <c r="C139" s="8" t="n"/>
      <c r="D139" s="8" t="n"/>
    </row>
    <row r="140">
      <c r="A140" s="44">
        <f>IF(B140="","",B140&amp;"|"&amp;C140)</f>
        <v/>
      </c>
      <c r="B140" s="8" t="n"/>
      <c r="C140" s="8" t="n"/>
      <c r="D140" s="8" t="n"/>
    </row>
    <row r="141">
      <c r="A141" s="44">
        <f>IF(B141="","",B141&amp;"|"&amp;C141)</f>
        <v/>
      </c>
      <c r="B141" s="8" t="n"/>
      <c r="C141" s="8" t="n"/>
      <c r="D141" s="8" t="n"/>
    </row>
    <row r="142">
      <c r="A142" s="44">
        <f>IF(B142="","",B142&amp;"|"&amp;C142)</f>
        <v/>
      </c>
      <c r="B142" s="8" t="n"/>
      <c r="C142" s="8" t="n"/>
      <c r="D142" s="8" t="n"/>
    </row>
    <row r="143">
      <c r="A143" s="44">
        <f>IF(B143="","",B143&amp;"|"&amp;C143)</f>
        <v/>
      </c>
      <c r="B143" s="8" t="n"/>
      <c r="C143" s="8" t="n"/>
      <c r="D143" s="8" t="n"/>
    </row>
    <row r="144">
      <c r="A144" s="44">
        <f>IF(B144="","",B144&amp;"|"&amp;C144)</f>
        <v/>
      </c>
      <c r="B144" s="8" t="n"/>
      <c r="C144" s="8" t="n"/>
      <c r="D144" s="8" t="n"/>
    </row>
    <row r="145">
      <c r="A145" s="44">
        <f>IF(B145="","",B145&amp;"|"&amp;C145)</f>
        <v/>
      </c>
      <c r="B145" s="8" t="n"/>
      <c r="C145" s="8" t="n"/>
      <c r="D145" s="8" t="n"/>
    </row>
    <row r="146">
      <c r="A146" s="44">
        <f>IF(B146="","",B146&amp;"|"&amp;C146)</f>
        <v/>
      </c>
      <c r="B146" s="8" t="n"/>
      <c r="C146" s="8" t="n"/>
      <c r="D146" s="8" t="n"/>
    </row>
    <row r="147">
      <c r="A147" s="44">
        <f>IF(B147="","",B147&amp;"|"&amp;C147)</f>
        <v/>
      </c>
      <c r="B147" s="8" t="n"/>
      <c r="C147" s="8" t="n"/>
      <c r="D147" s="8" t="n"/>
    </row>
    <row r="148">
      <c r="A148" s="44">
        <f>IF(B148="","",B148&amp;"|"&amp;C148)</f>
        <v/>
      </c>
      <c r="B148" s="8" t="n"/>
      <c r="C148" s="8" t="n"/>
      <c r="D148" s="8" t="n"/>
    </row>
    <row r="149">
      <c r="A149" s="44">
        <f>IF(B149="","",B149&amp;"|"&amp;C149)</f>
        <v/>
      </c>
      <c r="B149" s="8" t="n"/>
      <c r="C149" s="8" t="n"/>
      <c r="D149" s="8" t="n"/>
    </row>
    <row r="150">
      <c r="A150" s="44">
        <f>IF(B150="","",B150&amp;"|"&amp;C150)</f>
        <v/>
      </c>
      <c r="B150" s="8" t="n"/>
      <c r="C150" s="8" t="n"/>
      <c r="D150" s="8" t="n"/>
    </row>
    <row r="151">
      <c r="A151" s="44">
        <f>IF(B151="","",B151&amp;"|"&amp;C151)</f>
        <v/>
      </c>
      <c r="B151" s="8" t="n"/>
      <c r="C151" s="8" t="n"/>
      <c r="D151" s="8" t="n"/>
    </row>
    <row r="152">
      <c r="A152" s="44">
        <f>IF(B152="","",B152&amp;"|"&amp;C152)</f>
        <v/>
      </c>
      <c r="B152" s="8" t="n"/>
      <c r="C152" s="8" t="n"/>
      <c r="D152" s="8" t="n"/>
    </row>
    <row r="153">
      <c r="A153" s="44">
        <f>IF(B153="","",B153&amp;"|"&amp;C153)</f>
        <v/>
      </c>
      <c r="B153" s="8" t="n"/>
      <c r="C153" s="8" t="n"/>
      <c r="D153" s="8" t="n"/>
    </row>
    <row r="154">
      <c r="A154" s="44">
        <f>IF(B154="","",B154&amp;"|"&amp;C154)</f>
        <v/>
      </c>
      <c r="B154" s="8" t="n"/>
      <c r="C154" s="8" t="n"/>
      <c r="D154" s="8" t="n"/>
    </row>
    <row r="155">
      <c r="A155" s="44">
        <f>IF(B155="","",B155&amp;"|"&amp;C155)</f>
        <v/>
      </c>
      <c r="B155" s="8" t="n"/>
      <c r="C155" s="8" t="n"/>
      <c r="D155" s="8" t="n"/>
    </row>
    <row r="156">
      <c r="A156" s="44">
        <f>IF(B156="","",B156&amp;"|"&amp;C156)</f>
        <v/>
      </c>
      <c r="B156" s="8" t="n"/>
      <c r="C156" s="8" t="n"/>
      <c r="D156" s="8" t="n"/>
    </row>
    <row r="157">
      <c r="A157" s="44">
        <f>IF(B157="","",B157&amp;"|"&amp;C157)</f>
        <v/>
      </c>
      <c r="B157" s="8" t="n"/>
      <c r="C157" s="8" t="n"/>
      <c r="D157" s="8" t="n"/>
    </row>
    <row r="158">
      <c r="A158" s="44">
        <f>IF(B158="","",B158&amp;"|"&amp;C158)</f>
        <v/>
      </c>
      <c r="B158" s="8" t="n"/>
      <c r="C158" s="8" t="n"/>
      <c r="D158" s="8" t="n"/>
    </row>
    <row r="159">
      <c r="A159" s="44">
        <f>IF(B159="","",B159&amp;"|"&amp;C159)</f>
        <v/>
      </c>
      <c r="B159" s="8" t="n"/>
      <c r="C159" s="8" t="n"/>
      <c r="D159" s="8" t="n"/>
    </row>
    <row r="160">
      <c r="A160" s="44">
        <f>IF(B160="","",B160&amp;"|"&amp;C160)</f>
        <v/>
      </c>
      <c r="B160" s="8" t="n"/>
      <c r="C160" s="8" t="n"/>
      <c r="D160" s="8" t="n"/>
    </row>
    <row r="161">
      <c r="A161" s="44">
        <f>IF(B161="","",B161&amp;"|"&amp;C161)</f>
        <v/>
      </c>
      <c r="B161" s="8" t="n"/>
      <c r="C161" s="8" t="n"/>
      <c r="D161" s="8" t="n"/>
    </row>
    <row r="162">
      <c r="A162" s="44">
        <f>IF(B162="","",B162&amp;"|"&amp;C162)</f>
        <v/>
      </c>
      <c r="B162" s="8" t="n"/>
      <c r="C162" s="8" t="n"/>
      <c r="D162" s="8" t="n"/>
    </row>
    <row r="163">
      <c r="A163" s="44">
        <f>IF(B163="","",B163&amp;"|"&amp;C163)</f>
        <v/>
      </c>
      <c r="B163" s="8" t="n"/>
      <c r="C163" s="8" t="n"/>
      <c r="D163" s="8" t="n"/>
    </row>
    <row r="164">
      <c r="A164" s="44">
        <f>IF(B164="","",B164&amp;"|"&amp;C164)</f>
        <v/>
      </c>
      <c r="B164" s="8" t="n"/>
      <c r="C164" s="8" t="n"/>
      <c r="D164" s="8" t="n"/>
    </row>
    <row r="165">
      <c r="A165" s="44">
        <f>IF(B165="","",B165&amp;"|"&amp;C165)</f>
        <v/>
      </c>
      <c r="B165" s="8" t="n"/>
      <c r="C165" s="8" t="n"/>
      <c r="D165" s="8" t="n"/>
    </row>
    <row r="166">
      <c r="A166" s="44">
        <f>IF(B166="","",B166&amp;"|"&amp;C166)</f>
        <v/>
      </c>
      <c r="B166" s="8" t="n"/>
      <c r="C166" s="8" t="n"/>
      <c r="D166" s="8" t="n"/>
    </row>
    <row r="167">
      <c r="A167" s="44">
        <f>IF(B167="","",B167&amp;"|"&amp;C167)</f>
        <v/>
      </c>
      <c r="B167" s="8" t="n"/>
      <c r="C167" s="8" t="n"/>
      <c r="D167" s="8" t="n"/>
    </row>
    <row r="168">
      <c r="A168" s="44">
        <f>IF(B168="","",B168&amp;"|"&amp;C168)</f>
        <v/>
      </c>
      <c r="B168" s="8" t="n"/>
      <c r="C168" s="8" t="n"/>
      <c r="D168" s="8" t="n"/>
    </row>
    <row r="169">
      <c r="A169" s="44">
        <f>IF(B169="","",B169&amp;"|"&amp;C169)</f>
        <v/>
      </c>
      <c r="B169" s="8" t="n"/>
      <c r="C169" s="8" t="n"/>
      <c r="D169" s="8" t="n"/>
    </row>
    <row r="170">
      <c r="A170" s="44">
        <f>IF(B170="","",B170&amp;"|"&amp;C170)</f>
        <v/>
      </c>
      <c r="B170" s="8" t="n"/>
      <c r="C170" s="8" t="n"/>
      <c r="D170" s="8" t="n"/>
    </row>
    <row r="171">
      <c r="A171" s="44">
        <f>IF(B171="","",B171&amp;"|"&amp;C171)</f>
        <v/>
      </c>
      <c r="B171" s="8" t="n"/>
      <c r="C171" s="8" t="n"/>
      <c r="D171" s="8" t="n"/>
    </row>
    <row r="172">
      <c r="A172" s="44">
        <f>IF(B172="","",B172&amp;"|"&amp;C172)</f>
        <v/>
      </c>
      <c r="B172" s="8" t="n"/>
      <c r="C172" s="8" t="n"/>
      <c r="D172" s="8" t="n"/>
    </row>
    <row r="173">
      <c r="A173" s="44">
        <f>IF(B173="","",B173&amp;"|"&amp;C173)</f>
        <v/>
      </c>
      <c r="B173" s="8" t="n"/>
      <c r="C173" s="8" t="n"/>
      <c r="D173" s="8" t="n"/>
    </row>
    <row r="174">
      <c r="A174" s="44">
        <f>IF(B174="","",B174&amp;"|"&amp;C174)</f>
        <v/>
      </c>
      <c r="B174" s="8" t="n"/>
      <c r="C174" s="8" t="n"/>
      <c r="D174" s="8" t="n"/>
    </row>
    <row r="175">
      <c r="A175" s="44">
        <f>IF(B175="","",B175&amp;"|"&amp;C175)</f>
        <v/>
      </c>
      <c r="B175" s="8" t="n"/>
      <c r="C175" s="8" t="n"/>
      <c r="D175" s="8" t="n"/>
    </row>
    <row r="176">
      <c r="A176" s="44">
        <f>IF(B176="","",B176&amp;"|"&amp;C176)</f>
        <v/>
      </c>
      <c r="B176" s="8" t="n"/>
      <c r="C176" s="8" t="n"/>
      <c r="D176" s="8" t="n"/>
    </row>
    <row r="177">
      <c r="A177" s="44">
        <f>IF(B177="","",B177&amp;"|"&amp;C177)</f>
        <v/>
      </c>
      <c r="B177" s="8" t="n"/>
      <c r="C177" s="8" t="n"/>
      <c r="D177" s="8" t="n"/>
    </row>
    <row r="178">
      <c r="A178" s="44">
        <f>IF(B178="","",B178&amp;"|"&amp;C178)</f>
        <v/>
      </c>
      <c r="B178" s="8" t="n"/>
      <c r="C178" s="8" t="n"/>
      <c r="D178" s="8" t="n"/>
    </row>
    <row r="179">
      <c r="A179" s="44">
        <f>IF(B179="","",B179&amp;"|"&amp;C179)</f>
        <v/>
      </c>
      <c r="B179" s="8" t="n"/>
      <c r="C179" s="8" t="n"/>
      <c r="D179" s="8" t="n"/>
    </row>
    <row r="180">
      <c r="A180" s="44">
        <f>IF(B180="","",B180&amp;"|"&amp;C180)</f>
        <v/>
      </c>
      <c r="B180" s="8" t="n"/>
      <c r="C180" s="8" t="n"/>
      <c r="D180" s="8" t="n"/>
    </row>
    <row r="181">
      <c r="A181" s="44">
        <f>IF(B181="","",B181&amp;"|"&amp;C181)</f>
        <v/>
      </c>
      <c r="B181" s="8" t="n"/>
      <c r="C181" s="8" t="n"/>
      <c r="D181" s="8" t="n"/>
    </row>
    <row r="182">
      <c r="A182" s="44">
        <f>IF(B182="","",B182&amp;"|"&amp;C182)</f>
        <v/>
      </c>
      <c r="B182" s="8" t="n"/>
      <c r="C182" s="8" t="n"/>
      <c r="D182" s="8" t="n"/>
    </row>
    <row r="183">
      <c r="A183" s="44">
        <f>IF(B183="","",B183&amp;"|"&amp;C183)</f>
        <v/>
      </c>
      <c r="B183" s="8" t="n"/>
      <c r="C183" s="8" t="n"/>
      <c r="D183" s="8" t="n"/>
    </row>
    <row r="184">
      <c r="A184" s="44">
        <f>IF(B184="","",B184&amp;"|"&amp;C184)</f>
        <v/>
      </c>
      <c r="B184" s="8" t="n"/>
      <c r="C184" s="8" t="n"/>
      <c r="D184" s="8" t="n"/>
    </row>
    <row r="185">
      <c r="A185" s="44">
        <f>IF(B185="","",B185&amp;"|"&amp;C185)</f>
        <v/>
      </c>
      <c r="B185" s="8" t="n"/>
      <c r="C185" s="8" t="n"/>
      <c r="D185" s="8" t="n"/>
    </row>
    <row r="186">
      <c r="A186" s="44">
        <f>IF(B186="","",B186&amp;"|"&amp;C186)</f>
        <v/>
      </c>
      <c r="B186" s="8" t="n"/>
      <c r="C186" s="8" t="n"/>
      <c r="D186" s="8" t="n"/>
    </row>
    <row r="187">
      <c r="A187" s="44">
        <f>IF(B187="","",B187&amp;"|"&amp;C187)</f>
        <v/>
      </c>
      <c r="B187" s="8" t="n"/>
      <c r="C187" s="8" t="n"/>
      <c r="D187" s="8" t="n"/>
    </row>
    <row r="188">
      <c r="A188" s="44">
        <f>IF(B188="","",B188&amp;"|"&amp;C188)</f>
        <v/>
      </c>
      <c r="B188" s="8" t="n"/>
      <c r="C188" s="8" t="n"/>
      <c r="D188" s="8" t="n"/>
    </row>
    <row r="189">
      <c r="A189" s="44">
        <f>IF(B189="","",B189&amp;"|"&amp;C189)</f>
        <v/>
      </c>
      <c r="B189" s="8" t="n"/>
      <c r="C189" s="8" t="n"/>
      <c r="D189" s="8" t="n"/>
    </row>
    <row r="190">
      <c r="A190" s="44">
        <f>IF(B190="","",B190&amp;"|"&amp;C190)</f>
        <v/>
      </c>
      <c r="B190" s="8" t="n"/>
      <c r="C190" s="8" t="n"/>
      <c r="D190" s="8" t="n"/>
    </row>
    <row r="191">
      <c r="A191" s="44">
        <f>IF(B191="","",B191&amp;"|"&amp;C191)</f>
        <v/>
      </c>
      <c r="B191" s="8" t="n"/>
      <c r="C191" s="8" t="n"/>
      <c r="D191" s="8" t="n"/>
    </row>
    <row r="192">
      <c r="A192" s="44">
        <f>IF(B192="","",B192&amp;"|"&amp;C192)</f>
        <v/>
      </c>
      <c r="B192" s="8" t="n"/>
      <c r="C192" s="8" t="n"/>
      <c r="D192" s="8" t="n"/>
    </row>
    <row r="193">
      <c r="A193" s="44">
        <f>IF(B193="","",B193&amp;"|"&amp;C193)</f>
        <v/>
      </c>
      <c r="B193" s="8" t="n"/>
      <c r="C193" s="8" t="n"/>
      <c r="D193" s="8" t="n"/>
    </row>
    <row r="194">
      <c r="A194" s="44">
        <f>IF(B194="","",B194&amp;"|"&amp;C194)</f>
        <v/>
      </c>
      <c r="B194" s="8" t="n"/>
      <c r="C194" s="8" t="n"/>
      <c r="D194" s="8" t="n"/>
    </row>
    <row r="195">
      <c r="A195" s="44">
        <f>IF(B195="","",B195&amp;"|"&amp;C195)</f>
        <v/>
      </c>
      <c r="B195" s="8" t="n"/>
      <c r="C195" s="8" t="n"/>
      <c r="D195" s="8" t="n"/>
    </row>
    <row r="196">
      <c r="A196" s="44">
        <f>IF(B196="","",B196&amp;"|"&amp;C196)</f>
        <v/>
      </c>
      <c r="B196" s="8" t="n"/>
      <c r="C196" s="8" t="n"/>
      <c r="D196" s="8" t="n"/>
    </row>
    <row r="197">
      <c r="A197" s="44">
        <f>IF(B197="","",B197&amp;"|"&amp;C197)</f>
        <v/>
      </c>
      <c r="B197" s="8" t="n"/>
      <c r="C197" s="8" t="n"/>
      <c r="D197" s="8" t="n"/>
    </row>
    <row r="198">
      <c r="A198" s="44">
        <f>IF(B198="","",B198&amp;"|"&amp;C198)</f>
        <v/>
      </c>
      <c r="B198" s="8" t="n"/>
      <c r="C198" s="8" t="n"/>
      <c r="D198" s="8" t="n"/>
    </row>
    <row r="199">
      <c r="A199" s="44">
        <f>IF(B199="","",B199&amp;"|"&amp;C199)</f>
        <v/>
      </c>
      <c r="B199" s="8" t="n"/>
      <c r="C199" s="8" t="n"/>
      <c r="D199" s="8" t="n"/>
    </row>
    <row r="200">
      <c r="A200" s="44">
        <f>IF(B200="","",B200&amp;"|"&amp;C200)</f>
        <v/>
      </c>
      <c r="B200" s="8" t="n"/>
      <c r="C200" s="8" t="n"/>
      <c r="D200" s="8" t="n"/>
    </row>
    <row r="201">
      <c r="A201" s="44">
        <f>IF(B201="","",B201&amp;"|"&amp;C201)</f>
        <v/>
      </c>
      <c r="B201" s="8" t="n"/>
      <c r="C201" s="8" t="n"/>
      <c r="D201" s="8" t="n"/>
    </row>
    <row r="202">
      <c r="A202" s="44">
        <f>IF(B202="","",B202&amp;"|"&amp;C202)</f>
        <v/>
      </c>
      <c r="B202" s="8" t="n"/>
      <c r="C202" s="8" t="n"/>
      <c r="D202" s="8" t="n"/>
    </row>
    <row r="203">
      <c r="A203" s="44">
        <f>IF(B203="","",B203&amp;"|"&amp;C203)</f>
        <v/>
      </c>
      <c r="B203" s="8" t="n"/>
      <c r="C203" s="8" t="n"/>
      <c r="D203" s="8" t="n"/>
    </row>
    <row r="204">
      <c r="A204" s="44">
        <f>IF(B204="","",B204&amp;"|"&amp;C204)</f>
        <v/>
      </c>
      <c r="B204" s="8" t="n"/>
      <c r="C204" s="8" t="n"/>
      <c r="D204" s="8" t="n"/>
    </row>
    <row r="205">
      <c r="A205" s="44">
        <f>IF(B205="","",B205&amp;"|"&amp;C205)</f>
        <v/>
      </c>
      <c r="B205" s="8" t="n"/>
      <c r="C205" s="8" t="n"/>
      <c r="D205" s="8" t="n"/>
    </row>
    <row r="206">
      <c r="A206" s="44">
        <f>IF(B206="","",B206&amp;"|"&amp;C206)</f>
        <v/>
      </c>
      <c r="B206" s="8" t="n"/>
      <c r="C206" s="8" t="n"/>
      <c r="D206" s="8" t="n"/>
    </row>
    <row r="207">
      <c r="A207" s="44">
        <f>IF(B207="","",B207&amp;"|"&amp;C207)</f>
        <v/>
      </c>
      <c r="B207" s="8" t="n"/>
      <c r="C207" s="8" t="n"/>
      <c r="D207" s="8" t="n"/>
    </row>
    <row r="208">
      <c r="A208" s="44">
        <f>IF(B208="","",B208&amp;"|"&amp;C208)</f>
        <v/>
      </c>
      <c r="B208" s="8" t="n"/>
      <c r="C208" s="8" t="n"/>
      <c r="D208" s="8" t="n"/>
    </row>
    <row r="209">
      <c r="A209" s="44">
        <f>IF(B209="","",B209&amp;"|"&amp;C209)</f>
        <v/>
      </c>
      <c r="B209" s="8" t="n"/>
      <c r="C209" s="8" t="n"/>
      <c r="D209" s="8" t="n"/>
    </row>
    <row r="210">
      <c r="A210" s="44">
        <f>IF(B210="","",B210&amp;"|"&amp;C210)</f>
        <v/>
      </c>
      <c r="B210" s="8" t="n"/>
      <c r="C210" s="8" t="n"/>
      <c r="D210" s="8" t="n"/>
    </row>
    <row r="211">
      <c r="A211" s="44">
        <f>IF(B211="","",B211&amp;"|"&amp;C211)</f>
        <v/>
      </c>
      <c r="B211" s="8" t="n"/>
      <c r="C211" s="8" t="n"/>
      <c r="D211" s="8" t="n"/>
    </row>
    <row r="212">
      <c r="A212" s="44">
        <f>IF(B212="","",B212&amp;"|"&amp;C212)</f>
        <v/>
      </c>
      <c r="B212" s="8" t="n"/>
      <c r="C212" s="8" t="n"/>
      <c r="D212" s="8" t="n"/>
    </row>
    <row r="213">
      <c r="A213" s="44">
        <f>IF(B213="","",B213&amp;"|"&amp;C213)</f>
        <v/>
      </c>
      <c r="B213" s="8" t="n"/>
      <c r="C213" s="8" t="n"/>
      <c r="D213" s="8" t="n"/>
    </row>
    <row r="214">
      <c r="A214" s="44">
        <f>IF(B214="","",B214&amp;"|"&amp;C214)</f>
        <v/>
      </c>
      <c r="B214" s="8" t="n"/>
      <c r="C214" s="8" t="n"/>
      <c r="D214" s="8" t="n"/>
    </row>
    <row r="215">
      <c r="A215" s="44">
        <f>IF(B215="","",B215&amp;"|"&amp;C215)</f>
        <v/>
      </c>
      <c r="B215" s="8" t="n"/>
      <c r="C215" s="8" t="n"/>
      <c r="D215" s="8" t="n"/>
    </row>
    <row r="216">
      <c r="A216" s="44">
        <f>IF(B216="","",B216&amp;"|"&amp;C216)</f>
        <v/>
      </c>
      <c r="B216" s="8" t="n"/>
      <c r="C216" s="8" t="n"/>
      <c r="D216" s="8" t="n"/>
    </row>
    <row r="217">
      <c r="A217" s="44">
        <f>IF(B217="","",B217&amp;"|"&amp;C217)</f>
        <v/>
      </c>
      <c r="B217" s="8" t="n"/>
      <c r="C217" s="8" t="n"/>
      <c r="D217" s="8" t="n"/>
    </row>
    <row r="218">
      <c r="A218" s="44">
        <f>IF(B218="","",B218&amp;"|"&amp;C218)</f>
        <v/>
      </c>
      <c r="B218" s="8" t="n"/>
      <c r="C218" s="8" t="n"/>
      <c r="D218" s="8" t="n"/>
    </row>
    <row r="219">
      <c r="A219" s="44">
        <f>IF(B219="","",B219&amp;"|"&amp;C219)</f>
        <v/>
      </c>
      <c r="B219" s="8" t="n"/>
      <c r="C219" s="8" t="n"/>
      <c r="D219" s="8" t="n"/>
    </row>
    <row r="220">
      <c r="A220" s="44">
        <f>IF(B220="","",B220&amp;"|"&amp;C220)</f>
        <v/>
      </c>
      <c r="B220" s="8" t="n"/>
      <c r="C220" s="8" t="n"/>
      <c r="D220" s="8" t="n"/>
    </row>
    <row r="221">
      <c r="A221" s="44">
        <f>IF(B221="","",B221&amp;"|"&amp;C221)</f>
        <v/>
      </c>
      <c r="B221" s="8" t="n"/>
      <c r="C221" s="8" t="n"/>
      <c r="D221" s="8" t="n"/>
    </row>
    <row r="222">
      <c r="A222" s="44">
        <f>IF(B222="","",B222&amp;"|"&amp;C222)</f>
        <v/>
      </c>
      <c r="B222" s="8" t="n"/>
      <c r="C222" s="8" t="n"/>
      <c r="D222" s="8" t="n"/>
    </row>
    <row r="223">
      <c r="A223" s="44">
        <f>IF(B223="","",B223&amp;"|"&amp;C223)</f>
        <v/>
      </c>
      <c r="B223" s="8" t="n"/>
      <c r="C223" s="8" t="n"/>
      <c r="D223" s="8" t="n"/>
    </row>
    <row r="224">
      <c r="A224" s="44">
        <f>IF(B224="","",B224&amp;"|"&amp;C224)</f>
        <v/>
      </c>
      <c r="B224" s="8" t="n"/>
      <c r="C224" s="8" t="n"/>
      <c r="D224" s="8" t="n"/>
    </row>
    <row r="225">
      <c r="A225" s="44">
        <f>IF(B225="","",B225&amp;"|"&amp;C225)</f>
        <v/>
      </c>
      <c r="B225" s="8" t="n"/>
      <c r="C225" s="8" t="n"/>
      <c r="D225" s="8" t="n"/>
    </row>
    <row r="226">
      <c r="A226" s="44">
        <f>IF(B226="","",B226&amp;"|"&amp;C226)</f>
        <v/>
      </c>
      <c r="B226" s="8" t="n"/>
      <c r="C226" s="8" t="n"/>
      <c r="D226" s="8" t="n"/>
    </row>
    <row r="227">
      <c r="A227" s="44">
        <f>IF(B227="","",B227&amp;"|"&amp;C227)</f>
        <v/>
      </c>
      <c r="B227" s="8" t="n"/>
      <c r="C227" s="8" t="n"/>
      <c r="D227" s="8" t="n"/>
    </row>
    <row r="228">
      <c r="A228" s="44">
        <f>IF(B228="","",B228&amp;"|"&amp;C228)</f>
        <v/>
      </c>
      <c r="B228" s="8" t="n"/>
      <c r="C228" s="8" t="n"/>
      <c r="D228" s="8" t="n"/>
    </row>
    <row r="229">
      <c r="A229" s="44">
        <f>IF(B229="","",B229&amp;"|"&amp;C229)</f>
        <v/>
      </c>
      <c r="B229" s="8" t="n"/>
      <c r="C229" s="8" t="n"/>
      <c r="D229" s="8" t="n"/>
    </row>
    <row r="230">
      <c r="A230" s="44">
        <f>IF(B230="","",B230&amp;"|"&amp;C230)</f>
        <v/>
      </c>
      <c r="B230" s="8" t="n"/>
      <c r="C230" s="8" t="n"/>
      <c r="D230" s="8" t="n"/>
    </row>
    <row r="231">
      <c r="A231" s="44">
        <f>IF(B231="","",B231&amp;"|"&amp;C231)</f>
        <v/>
      </c>
      <c r="B231" s="8" t="n"/>
      <c r="C231" s="8" t="n"/>
      <c r="D231" s="8" t="n"/>
    </row>
    <row r="232">
      <c r="A232" s="44">
        <f>IF(B232="","",B232&amp;"|"&amp;C232)</f>
        <v/>
      </c>
      <c r="B232" s="8" t="n"/>
      <c r="C232" s="8" t="n"/>
      <c r="D232" s="8" t="n"/>
    </row>
    <row r="233">
      <c r="A233" s="44">
        <f>IF(B233="","",B233&amp;"|"&amp;C233)</f>
        <v/>
      </c>
      <c r="B233" s="8" t="n"/>
      <c r="C233" s="8" t="n"/>
      <c r="D233" s="8" t="n"/>
    </row>
    <row r="234">
      <c r="A234" s="44">
        <f>IF(B234="","",B234&amp;"|"&amp;C234)</f>
        <v/>
      </c>
      <c r="B234" s="8" t="n"/>
      <c r="C234" s="8" t="n"/>
      <c r="D234" s="8" t="n"/>
    </row>
    <row r="235">
      <c r="A235" s="44">
        <f>IF(B235="","",B235&amp;"|"&amp;C235)</f>
        <v/>
      </c>
      <c r="B235" s="8" t="n"/>
      <c r="C235" s="8" t="n"/>
      <c r="D235" s="8" t="n"/>
    </row>
    <row r="236">
      <c r="A236" s="44">
        <f>IF(B236="","",B236&amp;"|"&amp;C236)</f>
        <v/>
      </c>
      <c r="B236" s="8" t="n"/>
      <c r="C236" s="8" t="n"/>
      <c r="D236" s="8" t="n"/>
    </row>
    <row r="237">
      <c r="A237" s="44">
        <f>IF(B237="","",B237&amp;"|"&amp;C237)</f>
        <v/>
      </c>
      <c r="B237" s="8" t="n"/>
      <c r="C237" s="8" t="n"/>
      <c r="D237" s="8" t="n"/>
    </row>
    <row r="238">
      <c r="A238" s="44">
        <f>IF(B238="","",B238&amp;"|"&amp;C238)</f>
        <v/>
      </c>
      <c r="B238" s="8" t="n"/>
      <c r="C238" s="8" t="n"/>
      <c r="D238" s="8" t="n"/>
    </row>
    <row r="239">
      <c r="A239" s="44">
        <f>IF(B239="","",B239&amp;"|"&amp;C239)</f>
        <v/>
      </c>
      <c r="B239" s="8" t="n"/>
      <c r="C239" s="8" t="n"/>
      <c r="D239" s="8" t="n"/>
    </row>
    <row r="240">
      <c r="A240" s="44">
        <f>IF(B240="","",B240&amp;"|"&amp;C240)</f>
        <v/>
      </c>
      <c r="B240" s="8" t="n"/>
      <c r="C240" s="8" t="n"/>
      <c r="D240" s="8" t="n"/>
    </row>
    <row r="241">
      <c r="A241" s="44">
        <f>IF(B241="","",B241&amp;"|"&amp;C241)</f>
        <v/>
      </c>
      <c r="B241" s="8" t="n"/>
      <c r="C241" s="8" t="n"/>
      <c r="D241" s="8" t="n"/>
    </row>
    <row r="242">
      <c r="A242" s="44">
        <f>IF(B242="","",B242&amp;"|"&amp;C242)</f>
        <v/>
      </c>
      <c r="B242" s="8" t="n"/>
      <c r="C242" s="8" t="n"/>
      <c r="D242" s="8" t="n"/>
    </row>
    <row r="243">
      <c r="A243" s="44">
        <f>IF(B243="","",B243&amp;"|"&amp;C243)</f>
        <v/>
      </c>
      <c r="B243" s="8" t="n"/>
      <c r="C243" s="8" t="n"/>
      <c r="D243" s="8" t="n"/>
    </row>
    <row r="244">
      <c r="A244" s="44">
        <f>IF(B244="","",B244&amp;"|"&amp;C244)</f>
        <v/>
      </c>
      <c r="B244" s="8" t="n"/>
      <c r="C244" s="8" t="n"/>
      <c r="D244" s="8" t="n"/>
    </row>
    <row r="245">
      <c r="A245" s="44">
        <f>IF(B245="","",B245&amp;"|"&amp;C245)</f>
        <v/>
      </c>
      <c r="B245" s="8" t="n"/>
      <c r="C245" s="8" t="n"/>
      <c r="D245" s="8" t="n"/>
    </row>
    <row r="246">
      <c r="A246" s="44">
        <f>IF(B246="","",B246&amp;"|"&amp;C246)</f>
        <v/>
      </c>
      <c r="B246" s="8" t="n"/>
      <c r="C246" s="8" t="n"/>
      <c r="D246" s="8" t="n"/>
    </row>
    <row r="247">
      <c r="A247" s="44">
        <f>IF(B247="","",B247&amp;"|"&amp;C247)</f>
        <v/>
      </c>
      <c r="B247" s="8" t="n"/>
      <c r="C247" s="8" t="n"/>
      <c r="D247" s="8" t="n"/>
    </row>
    <row r="248">
      <c r="A248" s="44">
        <f>IF(B248="","",B248&amp;"|"&amp;C248)</f>
        <v/>
      </c>
      <c r="B248" s="8" t="n"/>
      <c r="C248" s="8" t="n"/>
      <c r="D248" s="8" t="n"/>
    </row>
    <row r="249">
      <c r="A249" s="44">
        <f>IF(B249="","",B249&amp;"|"&amp;C249)</f>
        <v/>
      </c>
      <c r="B249" s="8" t="n"/>
      <c r="C249" s="8" t="n"/>
      <c r="D249" s="8" t="n"/>
    </row>
    <row r="250">
      <c r="A250" s="44">
        <f>IF(B250="","",B250&amp;"|"&amp;C250)</f>
        <v/>
      </c>
      <c r="B250" s="8" t="n"/>
      <c r="C250" s="8" t="n"/>
      <c r="D250" s="8" t="n"/>
    </row>
    <row r="251">
      <c r="A251" s="44">
        <f>IF(B251="","",B251&amp;"|"&amp;C251)</f>
        <v/>
      </c>
      <c r="B251" s="8" t="n"/>
      <c r="C251" s="8" t="n"/>
      <c r="D251" s="8" t="n"/>
    </row>
    <row r="252">
      <c r="A252" s="44">
        <f>IF(B252="","",B252&amp;"|"&amp;C252)</f>
        <v/>
      </c>
      <c r="B252" s="8" t="n"/>
      <c r="C252" s="8" t="n"/>
      <c r="D252" s="8" t="n"/>
    </row>
    <row r="253">
      <c r="A253" s="44">
        <f>IF(B253="","",B253&amp;"|"&amp;C253)</f>
        <v/>
      </c>
      <c r="B253" s="8" t="n"/>
      <c r="C253" s="8" t="n"/>
      <c r="D253" s="8" t="n"/>
    </row>
    <row r="254">
      <c r="A254" s="44">
        <f>IF(B254="","",B254&amp;"|"&amp;C254)</f>
        <v/>
      </c>
      <c r="B254" s="8" t="n"/>
      <c r="C254" s="8" t="n"/>
      <c r="D254" s="8" t="n"/>
    </row>
    <row r="255">
      <c r="A255" s="44">
        <f>IF(B255="","",B255&amp;"|"&amp;C255)</f>
        <v/>
      </c>
      <c r="B255" s="8" t="n"/>
      <c r="C255" s="8" t="n"/>
      <c r="D255" s="8" t="n"/>
    </row>
    <row r="256">
      <c r="A256" s="44">
        <f>IF(B256="","",B256&amp;"|"&amp;C256)</f>
        <v/>
      </c>
      <c r="B256" s="8" t="n"/>
      <c r="C256" s="8" t="n"/>
      <c r="D256" s="8" t="n"/>
    </row>
    <row r="257">
      <c r="A257" s="44">
        <f>IF(B257="","",B257&amp;"|"&amp;C257)</f>
        <v/>
      </c>
      <c r="B257" s="8" t="n"/>
      <c r="C257" s="8" t="n"/>
      <c r="D257" s="8" t="n"/>
    </row>
    <row r="258">
      <c r="A258" s="44">
        <f>IF(B258="","",B258&amp;"|"&amp;C258)</f>
        <v/>
      </c>
      <c r="B258" s="8" t="n"/>
      <c r="C258" s="8" t="n"/>
      <c r="D258" s="8" t="n"/>
    </row>
    <row r="259">
      <c r="A259" s="44">
        <f>IF(B259="","",B259&amp;"|"&amp;C259)</f>
        <v/>
      </c>
      <c r="B259" s="8" t="n"/>
      <c r="C259" s="8" t="n"/>
      <c r="D259" s="8" t="n"/>
    </row>
    <row r="260">
      <c r="A260" s="44">
        <f>IF(B260="","",B260&amp;"|"&amp;C260)</f>
        <v/>
      </c>
      <c r="B260" s="8" t="n"/>
      <c r="C260" s="8" t="n"/>
      <c r="D260" s="8" t="n"/>
    </row>
    <row r="261">
      <c r="A261" s="44">
        <f>IF(B261="","",B261&amp;"|"&amp;C261)</f>
        <v/>
      </c>
      <c r="B261" s="8" t="n"/>
      <c r="C261" s="8" t="n"/>
      <c r="D261" s="8" t="n"/>
    </row>
    <row r="262">
      <c r="A262" s="44">
        <f>IF(B262="","",B262&amp;"|"&amp;C262)</f>
        <v/>
      </c>
      <c r="B262" s="8" t="n"/>
      <c r="C262" s="8" t="n"/>
      <c r="D262" s="8" t="n"/>
    </row>
    <row r="263">
      <c r="A263" s="44">
        <f>IF(B263="","",B263&amp;"|"&amp;C263)</f>
        <v/>
      </c>
      <c r="B263" s="8" t="n"/>
      <c r="C263" s="8" t="n"/>
      <c r="D263" s="8" t="n"/>
    </row>
    <row r="264">
      <c r="A264" s="44">
        <f>IF(B264="","",B264&amp;"|"&amp;C264)</f>
        <v/>
      </c>
      <c r="B264" s="8" t="n"/>
      <c r="C264" s="8" t="n"/>
      <c r="D264" s="8" t="n"/>
    </row>
    <row r="265">
      <c r="A265" s="44">
        <f>IF(B265="","",B265&amp;"|"&amp;C265)</f>
        <v/>
      </c>
      <c r="B265" s="8" t="n"/>
      <c r="C265" s="8" t="n"/>
      <c r="D265" s="8" t="n"/>
    </row>
    <row r="266">
      <c r="A266" s="44">
        <f>IF(B266="","",B266&amp;"|"&amp;C266)</f>
        <v/>
      </c>
      <c r="B266" s="8" t="n"/>
      <c r="C266" s="8" t="n"/>
      <c r="D266" s="8" t="n"/>
    </row>
    <row r="267">
      <c r="A267" s="44">
        <f>IF(B267="","",B267&amp;"|"&amp;C267)</f>
        <v/>
      </c>
      <c r="B267" s="8" t="n"/>
      <c r="C267" s="8" t="n"/>
      <c r="D267" s="8" t="n"/>
    </row>
    <row r="268">
      <c r="A268" s="44">
        <f>IF(B268="","",B268&amp;"|"&amp;C268)</f>
        <v/>
      </c>
      <c r="B268" s="8" t="n"/>
      <c r="C268" s="8" t="n"/>
      <c r="D268" s="8" t="n"/>
    </row>
    <row r="269">
      <c r="A269" s="44">
        <f>IF(B269="","",B269&amp;"|"&amp;C269)</f>
        <v/>
      </c>
      <c r="B269" s="8" t="n"/>
      <c r="C269" s="8" t="n"/>
      <c r="D269" s="8" t="n"/>
    </row>
    <row r="270">
      <c r="A270" s="44">
        <f>IF(B270="","",B270&amp;"|"&amp;C270)</f>
        <v/>
      </c>
      <c r="B270" s="8" t="n"/>
      <c r="C270" s="8" t="n"/>
      <c r="D270" s="8" t="n"/>
    </row>
    <row r="271">
      <c r="A271" s="44">
        <f>IF(B271="","",B271&amp;"|"&amp;C271)</f>
        <v/>
      </c>
      <c r="B271" s="8" t="n"/>
      <c r="C271" s="8" t="n"/>
      <c r="D271" s="8" t="n"/>
    </row>
    <row r="272">
      <c r="A272" s="44">
        <f>IF(B272="","",B272&amp;"|"&amp;C272)</f>
        <v/>
      </c>
      <c r="B272" s="8" t="n"/>
      <c r="C272" s="8" t="n"/>
      <c r="D272" s="8" t="n"/>
    </row>
    <row r="273">
      <c r="A273" s="44">
        <f>IF(B273="","",B273&amp;"|"&amp;C273)</f>
        <v/>
      </c>
      <c r="B273" s="8" t="n"/>
      <c r="C273" s="8" t="n"/>
      <c r="D273" s="8" t="n"/>
    </row>
    <row r="274">
      <c r="A274" s="44">
        <f>IF(B274="","",B274&amp;"|"&amp;C274)</f>
        <v/>
      </c>
      <c r="B274" s="8" t="n"/>
      <c r="C274" s="8" t="n"/>
      <c r="D274" s="8" t="n"/>
    </row>
    <row r="275">
      <c r="A275" s="44">
        <f>IF(B275="","",B275&amp;"|"&amp;C275)</f>
        <v/>
      </c>
      <c r="B275" s="8" t="n"/>
      <c r="C275" s="8" t="n"/>
      <c r="D275" s="8" t="n"/>
    </row>
    <row r="276">
      <c r="A276" s="44">
        <f>IF(B276="","",B276&amp;"|"&amp;C276)</f>
        <v/>
      </c>
      <c r="B276" s="8" t="n"/>
      <c r="C276" s="8" t="n"/>
      <c r="D276" s="8" t="n"/>
    </row>
    <row r="277">
      <c r="A277" s="44">
        <f>IF(B277="","",B277&amp;"|"&amp;C277)</f>
        <v/>
      </c>
      <c r="B277" s="8" t="n"/>
      <c r="C277" s="8" t="n"/>
      <c r="D277" s="8" t="n"/>
    </row>
    <row r="278">
      <c r="A278" s="44">
        <f>IF(B278="","",B278&amp;"|"&amp;C278)</f>
        <v/>
      </c>
      <c r="B278" s="8" t="n"/>
      <c r="C278" s="8" t="n"/>
      <c r="D278" s="8" t="n"/>
    </row>
    <row r="279">
      <c r="A279" s="44">
        <f>IF(B279="","",B279&amp;"|"&amp;C279)</f>
        <v/>
      </c>
      <c r="B279" s="8" t="n"/>
      <c r="C279" s="8" t="n"/>
      <c r="D279" s="8" t="n"/>
    </row>
    <row r="280">
      <c r="A280" s="44">
        <f>IF(B280="","",B280&amp;"|"&amp;C280)</f>
        <v/>
      </c>
      <c r="B280" s="8" t="n"/>
      <c r="C280" s="8" t="n"/>
      <c r="D280" s="8" t="n"/>
    </row>
    <row r="281">
      <c r="A281" s="44">
        <f>IF(B281="","",B281&amp;"|"&amp;C281)</f>
        <v/>
      </c>
      <c r="B281" s="8" t="n"/>
      <c r="C281" s="8" t="n"/>
      <c r="D281" s="8" t="n"/>
    </row>
    <row r="282">
      <c r="A282" s="44">
        <f>IF(B282="","",B282&amp;"|"&amp;C282)</f>
        <v/>
      </c>
      <c r="B282" s="8" t="n"/>
      <c r="C282" s="8" t="n"/>
      <c r="D282" s="8" t="n"/>
    </row>
    <row r="283">
      <c r="A283" s="44">
        <f>IF(B283="","",B283&amp;"|"&amp;C283)</f>
        <v/>
      </c>
      <c r="B283" s="8" t="n"/>
      <c r="C283" s="8" t="n"/>
      <c r="D283" s="8" t="n"/>
    </row>
    <row r="284">
      <c r="A284" s="44">
        <f>IF(B284="","",B284&amp;"|"&amp;C284)</f>
        <v/>
      </c>
      <c r="B284" s="8" t="n"/>
      <c r="C284" s="8" t="n"/>
      <c r="D284" s="8" t="n"/>
    </row>
    <row r="285">
      <c r="A285" s="44">
        <f>IF(B285="","",B285&amp;"|"&amp;C285)</f>
        <v/>
      </c>
      <c r="B285" s="8" t="n"/>
      <c r="C285" s="8" t="n"/>
      <c r="D285" s="8" t="n"/>
    </row>
    <row r="286">
      <c r="A286" s="44">
        <f>IF(B286="","",B286&amp;"|"&amp;C286)</f>
        <v/>
      </c>
      <c r="B286" s="8" t="n"/>
      <c r="C286" s="8" t="n"/>
      <c r="D286" s="8" t="n"/>
    </row>
    <row r="287">
      <c r="A287" s="44">
        <f>IF(B287="","",B287&amp;"|"&amp;C287)</f>
        <v/>
      </c>
      <c r="B287" s="8" t="n"/>
      <c r="C287" s="8" t="n"/>
      <c r="D287" s="8" t="n"/>
    </row>
    <row r="288">
      <c r="A288" s="44">
        <f>IF(B288="","",B288&amp;"|"&amp;C288)</f>
        <v/>
      </c>
      <c r="B288" s="8" t="n"/>
      <c r="C288" s="8" t="n"/>
      <c r="D288" s="8" t="n"/>
    </row>
    <row r="289">
      <c r="A289" s="44">
        <f>IF(B289="","",B289&amp;"|"&amp;C289)</f>
        <v/>
      </c>
      <c r="B289" s="8" t="n"/>
      <c r="C289" s="8" t="n"/>
      <c r="D289" s="8" t="n"/>
    </row>
    <row r="290">
      <c r="A290" s="44">
        <f>IF(B290="","",B290&amp;"|"&amp;C290)</f>
        <v/>
      </c>
      <c r="B290" s="8" t="n"/>
      <c r="C290" s="8" t="n"/>
      <c r="D290" s="8" t="n"/>
    </row>
    <row r="291">
      <c r="A291" s="44">
        <f>IF(B291="","",B291&amp;"|"&amp;C291)</f>
        <v/>
      </c>
      <c r="B291" s="8" t="n"/>
      <c r="C291" s="8" t="n"/>
      <c r="D291" s="8" t="n"/>
    </row>
    <row r="292">
      <c r="A292" s="44">
        <f>IF(B292="","",B292&amp;"|"&amp;C292)</f>
        <v/>
      </c>
      <c r="B292" s="8" t="n"/>
      <c r="C292" s="8" t="n"/>
      <c r="D292" s="8" t="n"/>
    </row>
    <row r="293">
      <c r="A293" s="44">
        <f>IF(B293="","",B293&amp;"|"&amp;C293)</f>
        <v/>
      </c>
      <c r="B293" s="8" t="n"/>
      <c r="C293" s="8" t="n"/>
      <c r="D293" s="8" t="n"/>
    </row>
    <row r="294">
      <c r="A294" s="44">
        <f>IF(B294="","",B294&amp;"|"&amp;C294)</f>
        <v/>
      </c>
      <c r="B294" s="8" t="n"/>
      <c r="C294" s="8" t="n"/>
      <c r="D294" s="8" t="n"/>
    </row>
    <row r="295">
      <c r="A295" s="44">
        <f>IF(B295="","",B295&amp;"|"&amp;C295)</f>
        <v/>
      </c>
      <c r="B295" s="8" t="n"/>
      <c r="C295" s="8" t="n"/>
      <c r="D295" s="8" t="n"/>
    </row>
    <row r="296">
      <c r="A296" s="44">
        <f>IF(B296="","",B296&amp;"|"&amp;C296)</f>
        <v/>
      </c>
      <c r="B296" s="8" t="n"/>
      <c r="C296" s="8" t="n"/>
      <c r="D296" s="8" t="n"/>
    </row>
    <row r="297">
      <c r="A297" s="44">
        <f>IF(B297="","",B297&amp;"|"&amp;C297)</f>
        <v/>
      </c>
      <c r="B297" s="8" t="n"/>
      <c r="C297" s="8" t="n"/>
      <c r="D297" s="8" t="n"/>
    </row>
    <row r="298">
      <c r="A298" s="44">
        <f>IF(B298="","",B298&amp;"|"&amp;C298)</f>
        <v/>
      </c>
      <c r="B298" s="8" t="n"/>
      <c r="C298" s="8" t="n"/>
      <c r="D298" s="8" t="n"/>
    </row>
    <row r="299">
      <c r="A299" s="44">
        <f>IF(B299="","",B299&amp;"|"&amp;C299)</f>
        <v/>
      </c>
      <c r="B299" s="8" t="n"/>
      <c r="C299" s="8" t="n"/>
      <c r="D299" s="8" t="n"/>
    </row>
    <row r="300">
      <c r="A300" s="44">
        <f>IF(B300="","",B300&amp;"|"&amp;C300)</f>
        <v/>
      </c>
      <c r="B300" s="8" t="n"/>
      <c r="C300" s="8" t="n"/>
      <c r="D300" s="8" t="n"/>
    </row>
    <row r="301">
      <c r="A301" s="44">
        <f>IF(B301="","",B301&amp;"|"&amp;C301)</f>
        <v/>
      </c>
      <c r="B301" s="8" t="n"/>
      <c r="C301" s="8" t="n"/>
      <c r="D301" s="8" t="n"/>
    </row>
    <row r="302">
      <c r="A302" s="44">
        <f>IF(B302="","",B302&amp;"|"&amp;C302)</f>
        <v/>
      </c>
      <c r="B302" s="8" t="n"/>
      <c r="C302" s="8" t="n"/>
      <c r="D302" s="8" t="n"/>
    </row>
    <row r="303">
      <c r="A303" s="44">
        <f>IF(B303="","",B303&amp;"|"&amp;C303)</f>
        <v/>
      </c>
      <c r="B303" s="8" t="n"/>
      <c r="C303" s="8" t="n"/>
      <c r="D303" s="8" t="n"/>
    </row>
    <row r="304">
      <c r="A304" s="44">
        <f>IF(B304="","",B304&amp;"|"&amp;C304)</f>
        <v/>
      </c>
      <c r="B304" s="8" t="n"/>
      <c r="C304" s="8" t="n"/>
      <c r="D304" s="8" t="n"/>
    </row>
    <row r="305">
      <c r="A305" s="44">
        <f>IF(B305="","",B305&amp;"|"&amp;C305)</f>
        <v/>
      </c>
      <c r="B305" s="8" t="n"/>
      <c r="C305" s="8" t="n"/>
      <c r="D305" s="8" t="n"/>
    </row>
    <row r="306">
      <c r="A306" s="44">
        <f>IF(B306="","",B306&amp;"|"&amp;C306)</f>
        <v/>
      </c>
      <c r="B306" s="8" t="n"/>
      <c r="C306" s="8" t="n"/>
      <c r="D306" s="8" t="n"/>
    </row>
    <row r="307">
      <c r="A307" s="44">
        <f>IF(B307="","",B307&amp;"|"&amp;C307)</f>
        <v/>
      </c>
      <c r="B307" s="8" t="n"/>
      <c r="C307" s="8" t="n"/>
      <c r="D307" s="8" t="n"/>
    </row>
    <row r="308">
      <c r="A308" s="44">
        <f>IF(B308="","",B308&amp;"|"&amp;C308)</f>
        <v/>
      </c>
      <c r="B308" s="8" t="n"/>
      <c r="C308" s="8" t="n"/>
      <c r="D308" s="8" t="n"/>
    </row>
    <row r="309">
      <c r="A309" s="44">
        <f>IF(B309="","",B309&amp;"|"&amp;C309)</f>
        <v/>
      </c>
      <c r="B309" s="8" t="n"/>
      <c r="C309" s="8" t="n"/>
      <c r="D309" s="8" t="n"/>
    </row>
    <row r="310">
      <c r="A310" s="44">
        <f>IF(B310="","",B310&amp;"|"&amp;C310)</f>
        <v/>
      </c>
      <c r="B310" s="8" t="n"/>
      <c r="C310" s="8" t="n"/>
      <c r="D310" s="8" t="n"/>
    </row>
    <row r="311">
      <c r="A311" s="44">
        <f>IF(B311="","",B311&amp;"|"&amp;C311)</f>
        <v/>
      </c>
      <c r="B311" s="8" t="n"/>
      <c r="C311" s="8" t="n"/>
      <c r="D311" s="8" t="n"/>
    </row>
    <row r="312">
      <c r="A312" s="44">
        <f>IF(B312="","",B312&amp;"|"&amp;C312)</f>
        <v/>
      </c>
      <c r="B312" s="8" t="n"/>
      <c r="C312" s="8" t="n"/>
      <c r="D312" s="8" t="n"/>
    </row>
    <row r="313">
      <c r="A313" s="44">
        <f>IF(B313="","",B313&amp;"|"&amp;C313)</f>
        <v/>
      </c>
      <c r="B313" s="8" t="n"/>
      <c r="C313" s="8" t="n"/>
      <c r="D313" s="8" t="n"/>
    </row>
    <row r="314">
      <c r="A314" s="44">
        <f>IF(B314="","",B314&amp;"|"&amp;C314)</f>
        <v/>
      </c>
      <c r="B314" s="8" t="n"/>
      <c r="C314" s="8" t="n"/>
      <c r="D314" s="8" t="n"/>
    </row>
    <row r="315">
      <c r="A315" s="44">
        <f>IF(B315="","",B315&amp;"|"&amp;C315)</f>
        <v/>
      </c>
      <c r="B315" s="8" t="n"/>
      <c r="C315" s="8" t="n"/>
      <c r="D315" s="8" t="n"/>
    </row>
    <row r="316">
      <c r="A316" s="44">
        <f>IF(B316="","",B316&amp;"|"&amp;C316)</f>
        <v/>
      </c>
      <c r="B316" s="8" t="n"/>
      <c r="C316" s="8" t="n"/>
      <c r="D316" s="8" t="n"/>
    </row>
    <row r="317">
      <c r="A317" s="44">
        <f>IF(B317="","",B317&amp;"|"&amp;C317)</f>
        <v/>
      </c>
      <c r="B317" s="8" t="n"/>
      <c r="C317" s="8" t="n"/>
      <c r="D317" s="8" t="n"/>
    </row>
    <row r="318">
      <c r="A318" s="44">
        <f>IF(B318="","",B318&amp;"|"&amp;C318)</f>
        <v/>
      </c>
      <c r="B318" s="8" t="n"/>
      <c r="C318" s="8" t="n"/>
      <c r="D318" s="8" t="n"/>
    </row>
    <row r="319">
      <c r="A319" s="44">
        <f>IF(B319="","",B319&amp;"|"&amp;C319)</f>
        <v/>
      </c>
      <c r="B319" s="8" t="n"/>
      <c r="C319" s="8" t="n"/>
      <c r="D319" s="8" t="n"/>
    </row>
    <row r="320">
      <c r="A320" s="44">
        <f>IF(B320="","",B320&amp;"|"&amp;C320)</f>
        <v/>
      </c>
      <c r="B320" s="8" t="n"/>
      <c r="C320" s="8" t="n"/>
      <c r="D320" s="8" t="n"/>
    </row>
    <row r="321">
      <c r="A321" s="44">
        <f>IF(B321="","",B321&amp;"|"&amp;C321)</f>
        <v/>
      </c>
      <c r="B321" s="8" t="n"/>
      <c r="C321" s="8" t="n"/>
      <c r="D321" s="8" t="n"/>
    </row>
    <row r="322">
      <c r="A322" s="44">
        <f>IF(B322="","",B322&amp;"|"&amp;C322)</f>
        <v/>
      </c>
      <c r="B322" s="8" t="n"/>
      <c r="C322" s="8" t="n"/>
      <c r="D322" s="8" t="n"/>
    </row>
    <row r="323">
      <c r="A323" s="44">
        <f>IF(B323="","",B323&amp;"|"&amp;C323)</f>
        <v/>
      </c>
      <c r="B323" s="8" t="n"/>
      <c r="C323" s="8" t="n"/>
      <c r="D323" s="8" t="n"/>
    </row>
    <row r="324">
      <c r="A324" s="44">
        <f>IF(B324="","",B324&amp;"|"&amp;C324)</f>
        <v/>
      </c>
      <c r="B324" s="8" t="n"/>
      <c r="C324" s="8" t="n"/>
      <c r="D324" s="8" t="n"/>
    </row>
    <row r="325">
      <c r="A325" s="44">
        <f>IF(B325="","",B325&amp;"|"&amp;C325)</f>
        <v/>
      </c>
      <c r="B325" s="8" t="n"/>
      <c r="C325" s="8" t="n"/>
      <c r="D325" s="8" t="n"/>
    </row>
    <row r="326">
      <c r="A326" s="44">
        <f>IF(B326="","",B326&amp;"|"&amp;C326)</f>
        <v/>
      </c>
      <c r="B326" s="8" t="n"/>
      <c r="C326" s="8" t="n"/>
      <c r="D326" s="8" t="n"/>
    </row>
    <row r="327">
      <c r="A327" s="44">
        <f>IF(B327="","",B327&amp;"|"&amp;C327)</f>
        <v/>
      </c>
      <c r="B327" s="8" t="n"/>
      <c r="C327" s="8" t="n"/>
      <c r="D327" s="8" t="n"/>
    </row>
    <row r="328">
      <c r="A328" s="44">
        <f>IF(B328="","",B328&amp;"|"&amp;C328)</f>
        <v/>
      </c>
      <c r="B328" s="8" t="n"/>
      <c r="C328" s="8" t="n"/>
      <c r="D328" s="8" t="n"/>
    </row>
    <row r="329">
      <c r="A329" s="44">
        <f>IF(B329="","",B329&amp;"|"&amp;C329)</f>
        <v/>
      </c>
      <c r="B329" s="8" t="n"/>
      <c r="C329" s="8" t="n"/>
      <c r="D329" s="8" t="n"/>
    </row>
    <row r="330">
      <c r="A330" s="44">
        <f>IF(B330="","",B330&amp;"|"&amp;C330)</f>
        <v/>
      </c>
      <c r="B330" s="8" t="n"/>
      <c r="C330" s="8" t="n"/>
      <c r="D330" s="8" t="n"/>
    </row>
    <row r="331">
      <c r="A331" s="44">
        <f>IF(B331="","",B331&amp;"|"&amp;C331)</f>
        <v/>
      </c>
      <c r="B331" s="8" t="n"/>
      <c r="C331" s="8" t="n"/>
      <c r="D331" s="8" t="n"/>
    </row>
    <row r="332">
      <c r="A332" s="44">
        <f>IF(B332="","",B332&amp;"|"&amp;C332)</f>
        <v/>
      </c>
      <c r="B332" s="8" t="n"/>
      <c r="C332" s="8" t="n"/>
      <c r="D332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8" customWidth="1" min="3" max="3"/>
    <col width="36" customWidth="1" min="4" max="4"/>
    <col width="44" customWidth="1" min="5" max="5"/>
    <col width="3" customWidth="1" min="6" max="6"/>
    <col width="10" customWidth="1" min="7" max="7"/>
    <col width="12" customWidth="1" min="8" max="8"/>
    <col width="16" customWidth="1" min="9" max="9"/>
    <col width="3" customWidth="1" min="10" max="10"/>
    <col width="14" customWidth="1" min="11" max="11"/>
    <col width="12" customWidth="1" min="12" max="12"/>
    <col width="14" customWidth="1" min="13" max="13"/>
    <col width="12" customWidth="1" min="14" max="14"/>
    <col width="16" customWidth="1" min="15" max="15"/>
    <col width="14" customWidth="1" min="16" max="16"/>
    <col width="38" customWidth="1" min="17" max="17"/>
    <col width="52" customWidth="1" min="18" max="18"/>
  </cols>
  <sheetData>
    <row r="1" ht="34" customHeight="1">
      <c r="A1" s="1" t="inlineStr">
        <is>
          <t>الإعدادات والقوائم</t>
        </is>
      </c>
    </row>
    <row r="2" ht="30" customHeight="1">
      <c r="A2" s="2" t="inlineStr">
        <is>
          <t>المجالات ونوع التحفيز منقولة من وثيقة سياسة تحفيز الموظفات 2026-2027. الخلايا الصفراء قابلة للتعديل.</t>
        </is>
      </c>
    </row>
    <row r="4">
      <c r="A4" s="7" t="inlineStr">
        <is>
          <t>السنة الدراسية الحالية</t>
        </is>
      </c>
      <c r="B4" s="45" t="inlineStr">
        <is>
          <t>2026-2027</t>
        </is>
      </c>
    </row>
    <row r="6" ht="36" customHeight="1">
      <c r="A6" s="13" t="inlineStr">
        <is>
          <t>المجال</t>
        </is>
      </c>
      <c r="B6" s="13" t="inlineStr">
        <is>
          <t>الفئة المستهدفة</t>
        </is>
      </c>
      <c r="C6" s="13" t="inlineStr">
        <is>
          <t>الهدف</t>
        </is>
      </c>
      <c r="D6" s="13" t="inlineStr">
        <is>
          <t>نوع التحفيز وفق السياسة</t>
        </is>
      </c>
      <c r="E6" s="13" t="inlineStr">
        <is>
          <t>أدلة التنفيذ</t>
        </is>
      </c>
      <c r="G6" s="13" t="inlineStr">
        <is>
          <t>رقم الشهر</t>
        </is>
      </c>
      <c r="H6" s="13" t="inlineStr">
        <is>
          <t>الشهر</t>
        </is>
      </c>
      <c r="I6" s="13" t="inlineStr">
        <is>
          <t>الفصل الدراسي</t>
        </is>
      </c>
      <c r="K6" s="13" t="inlineStr">
        <is>
          <t>مستوى المعيار</t>
        </is>
      </c>
      <c r="L6" s="13" t="inlineStr">
        <is>
          <t>الفئة</t>
        </is>
      </c>
      <c r="M6" s="13" t="inlineStr">
        <is>
          <t>حالة الموظفة</t>
        </is>
      </c>
      <c r="N6" s="13" t="inlineStr">
        <is>
          <t>نوع التقرير</t>
        </is>
      </c>
      <c r="O6" s="13" t="inlineStr">
        <is>
          <t>السنوات الدراسية</t>
        </is>
      </c>
      <c r="P6" s="13" t="inlineStr">
        <is>
          <t>الفصول</t>
        </is>
      </c>
      <c r="Q6" s="13" t="inlineStr">
        <is>
          <t>المكافآت</t>
        </is>
      </c>
      <c r="R6" s="13" t="inlineStr">
        <is>
          <t>المُرشِّحة / الجهة</t>
        </is>
      </c>
    </row>
    <row r="7">
      <c r="A7" s="46" t="inlineStr">
        <is>
          <t>رائدة التحصيل</t>
        </is>
      </c>
      <c r="B7" s="17" t="inlineStr">
        <is>
          <t>أكاديمية</t>
        </is>
      </c>
      <c r="C7" s="6" t="inlineStr">
        <is>
          <t>رفع التحصيل الأكاديمي للطالبات عبر ممارسات تدريسية فعّالة</t>
        </is>
      </c>
      <c r="D7" s="17" t="inlineStr">
        <is>
          <t>شهادة تقدير + تحفيز مادي رمزي</t>
        </is>
      </c>
      <c r="E7" s="6" t="inlineStr">
        <is>
          <t>تقارير التحصيل، نتائج الاختبارات، خطط الدعم الأكاديمي، متابعات الأقسام</t>
        </is>
      </c>
      <c r="G7" s="4" t="n">
        <v>1</v>
      </c>
      <c r="H7" s="4" t="inlineStr">
        <is>
          <t>يناير</t>
        </is>
      </c>
      <c r="I7" s="18" t="inlineStr">
        <is>
          <t>الفصل الثاني</t>
        </is>
      </c>
      <c r="K7" s="6" t="inlineStr">
        <is>
          <t>أساسي</t>
        </is>
      </c>
      <c r="L7" s="6" t="inlineStr">
        <is>
          <t>أكاديمية</t>
        </is>
      </c>
      <c r="M7" s="6" t="inlineStr">
        <is>
          <t>نشطة</t>
        </is>
      </c>
      <c r="N7" s="6" t="inlineStr">
        <is>
          <t>شهري</t>
        </is>
      </c>
      <c r="O7" s="6" t="inlineStr">
        <is>
          <t>2026-2027</t>
        </is>
      </c>
      <c r="P7" s="6" t="inlineStr">
        <is>
          <t>الفصل الأول</t>
        </is>
      </c>
      <c r="Q7" s="6" t="inlineStr">
        <is>
          <t>ترشيح خارجي + نشر إلكتروني</t>
        </is>
      </c>
      <c r="R7" s="6" t="inlineStr">
        <is>
          <t>مديرة المدرسة: حصة الشمري</t>
        </is>
      </c>
    </row>
    <row r="8">
      <c r="A8" s="46" t="inlineStr">
        <is>
          <t>رائدة التطوير</t>
        </is>
      </c>
      <c r="B8" s="17" t="inlineStr">
        <is>
          <t>أكاديمية</t>
        </is>
      </c>
      <c r="C8" s="6" t="inlineStr">
        <is>
          <t>تعزيز التطوير المهني للكوادر التعليمية</t>
        </is>
      </c>
      <c r="D8" s="17" t="inlineStr">
        <is>
          <t>نشر داخلي + شهادة تميز مهني</t>
        </is>
      </c>
      <c r="E8" s="6" t="inlineStr">
        <is>
          <t>خطة التطوير المهني، محاضر الورش، استبيانات الأثر المهني</t>
        </is>
      </c>
      <c r="G8" s="4" t="n">
        <v>2</v>
      </c>
      <c r="H8" s="4" t="inlineStr">
        <is>
          <t>فبراير</t>
        </is>
      </c>
      <c r="I8" s="18" t="inlineStr">
        <is>
          <t>الفصل الثاني</t>
        </is>
      </c>
      <c r="K8" s="6" t="inlineStr">
        <is>
          <t>ذهبي</t>
        </is>
      </c>
      <c r="L8" s="6" t="inlineStr">
        <is>
          <t>إدارية</t>
        </is>
      </c>
      <c r="M8" s="6" t="inlineStr">
        <is>
          <t>محرومة</t>
        </is>
      </c>
      <c r="N8" s="6" t="inlineStr">
        <is>
          <t>فصلي</t>
        </is>
      </c>
      <c r="O8" s="6" t="inlineStr">
        <is>
          <t>2027-2028</t>
        </is>
      </c>
      <c r="P8" s="6" t="inlineStr">
        <is>
          <t>الفصل الثاني</t>
        </is>
      </c>
      <c r="Q8" s="6" t="inlineStr">
        <is>
          <t>تكريم خاص للفرق</t>
        </is>
      </c>
      <c r="R8" s="6" t="inlineStr">
        <is>
          <t>النائبة الأكاديمية: إيناس العوضي</t>
        </is>
      </c>
    </row>
    <row r="9">
      <c r="A9" s="46" t="inlineStr">
        <is>
          <t>رائدة المبادرة</t>
        </is>
      </c>
      <c r="B9" s="17" t="inlineStr">
        <is>
          <t>أكاديمية</t>
        </is>
      </c>
      <c r="C9" s="6" t="inlineStr">
        <is>
          <t>تشجيع الابتكار والمبادرات لتحسين بيئة العمل</t>
        </is>
      </c>
      <c r="D9" s="17" t="inlineStr">
        <is>
          <t>شهادة شكر + نشر المبادرة في لوحة الشرف</t>
        </is>
      </c>
      <c r="E9" s="6" t="inlineStr">
        <is>
          <t>نموذج المبادرة، صور التطبيق، تقارير الأثر</t>
        </is>
      </c>
      <c r="G9" s="4" t="n">
        <v>3</v>
      </c>
      <c r="H9" s="4" t="inlineStr">
        <is>
          <t>مارس</t>
        </is>
      </c>
      <c r="I9" s="18" t="inlineStr">
        <is>
          <t>الفصل الثاني</t>
        </is>
      </c>
      <c r="N9" s="6" t="inlineStr">
        <is>
          <t>سنوي</t>
        </is>
      </c>
      <c r="O9" s="6" t="inlineStr">
        <is>
          <t>2028-2029</t>
        </is>
      </c>
      <c r="Q9" s="6" t="inlineStr">
        <is>
          <t>تكريم رسمي + تحفيز مادي</t>
        </is>
      </c>
      <c r="R9" s="6" t="inlineStr">
        <is>
          <t>النائبة الإدارية: مريم المري</t>
        </is>
      </c>
    </row>
    <row r="10">
      <c r="A10" s="46" t="inlineStr">
        <is>
          <t>رائدة الإنجاز</t>
        </is>
      </c>
      <c r="B10" s="17" t="inlineStr">
        <is>
          <t>أكاديمية</t>
        </is>
      </c>
      <c r="C10" s="6" t="inlineStr">
        <is>
          <t>دعم المشاركة الفاعلة في الأنشطة والبرامج</t>
        </is>
      </c>
      <c r="D10" s="17" t="inlineStr">
        <is>
          <t>درع تميز فصلي + تحفيز رمزي</t>
        </is>
      </c>
      <c r="E10" s="6" t="inlineStr">
        <is>
          <t>نتائج المسابقات، تقارير النشاط، صور المشاركة</t>
        </is>
      </c>
      <c r="G10" s="4" t="n">
        <v>4</v>
      </c>
      <c r="H10" s="4" t="inlineStr">
        <is>
          <t>أبريل</t>
        </is>
      </c>
      <c r="I10" s="18" t="inlineStr">
        <is>
          <t>الفصل الثاني</t>
        </is>
      </c>
      <c r="O10" s="6" t="inlineStr">
        <is>
          <t>2029-2030</t>
        </is>
      </c>
      <c r="Q10" s="6" t="inlineStr">
        <is>
          <t>درع الابتكار + شهادة تقدير</t>
        </is>
      </c>
      <c r="R10" s="6" t="inlineStr">
        <is>
          <t>فريق التحفيز</t>
        </is>
      </c>
    </row>
    <row r="11">
      <c r="A11" s="46" t="inlineStr">
        <is>
          <t>رائدة المعرفة والبحث</t>
        </is>
      </c>
      <c r="B11" s="17" t="inlineStr">
        <is>
          <t>أكاديمية</t>
        </is>
      </c>
      <c r="C11" s="6" t="inlineStr">
        <is>
          <t>تعزيز ثقافة البحث العلمي والإثراء المعرفي</t>
        </is>
      </c>
      <c r="D11" s="17" t="inlineStr">
        <is>
          <t>تكريم رسمي + تحفيز مادي</t>
        </is>
      </c>
      <c r="E11" s="6" t="inlineStr">
        <is>
          <t>نسخة البحث، شهادة المشاركة، تقرير الأثر</t>
        </is>
      </c>
      <c r="G11" s="4" t="n">
        <v>5</v>
      </c>
      <c r="H11" s="4" t="inlineStr">
        <is>
          <t>مايو</t>
        </is>
      </c>
      <c r="I11" s="18" t="inlineStr">
        <is>
          <t>الفصل الثاني</t>
        </is>
      </c>
      <c r="O11" s="8" t="n"/>
      <c r="Q11" s="6" t="inlineStr">
        <is>
          <t>درع السلوك الإيجابي + تكريم رسمي</t>
        </is>
      </c>
      <c r="R11" s="8" t="n"/>
    </row>
    <row r="12">
      <c r="A12" s="46" t="inlineStr">
        <is>
          <t>رائدة الابتكار والتجديد</t>
        </is>
      </c>
      <c r="B12" s="17" t="inlineStr">
        <is>
          <t>أكاديمية</t>
        </is>
      </c>
      <c r="C12" s="6" t="inlineStr">
        <is>
          <t>تحفيز الإبداع المهني والأفكار المبتكرة</t>
        </is>
      </c>
      <c r="D12" s="17" t="inlineStr">
        <is>
          <t>درع الابتكار + شهادة تقدير</t>
        </is>
      </c>
      <c r="E12" s="6" t="inlineStr">
        <is>
          <t>نموذج الابتكار، توثيق التطبيق، تقرير الأثر</t>
        </is>
      </c>
      <c r="G12" s="4" t="n">
        <v>6</v>
      </c>
      <c r="H12" s="4" t="inlineStr">
        <is>
          <t>يونيو</t>
        </is>
      </c>
      <c r="I12" s="18" t="inlineStr">
        <is>
          <t>خارج الفصلين</t>
        </is>
      </c>
      <c r="O12" s="8" t="n"/>
      <c r="Q12" s="6" t="inlineStr">
        <is>
          <t>درع تميز فصلي + تحفيز رمزي</t>
        </is>
      </c>
      <c r="R12" s="8" t="n"/>
    </row>
    <row r="13">
      <c r="A13" s="46" t="inlineStr">
        <is>
          <t>رائدة الفن الرقمي</t>
        </is>
      </c>
      <c r="B13" s="17" t="inlineStr">
        <is>
          <t>أكاديمية</t>
        </is>
      </c>
      <c r="C13" s="6" t="inlineStr">
        <is>
          <t>الاستخدام الإبداعي للتقنيات الرقمية في التعليم</t>
        </is>
      </c>
      <c r="D13" s="17" t="inlineStr">
        <is>
          <t>ترشيح خارجي + نشر إلكتروني</t>
        </is>
      </c>
      <c r="E13" s="6" t="inlineStr">
        <is>
          <t>ملفات العرض، روابط الدروس، تقارير الأداء الرقمي</t>
        </is>
      </c>
      <c r="G13" s="4" t="n">
        <v>7</v>
      </c>
      <c r="H13" s="4" t="inlineStr">
        <is>
          <t>يوليو</t>
        </is>
      </c>
      <c r="I13" s="18" t="inlineStr">
        <is>
          <t>خارج الفصلين</t>
        </is>
      </c>
      <c r="O13" s="8" t="n"/>
      <c r="Q13" s="6" t="inlineStr">
        <is>
          <t>درع شراكة مجتمعية + تكريم رسمي</t>
        </is>
      </c>
      <c r="R13" s="8" t="n"/>
    </row>
    <row r="14">
      <c r="A14" s="46" t="inlineStr">
        <is>
          <t>رائدة السلوك</t>
        </is>
      </c>
      <c r="B14" s="17" t="inlineStr">
        <is>
          <t>أكاديمية</t>
        </is>
      </c>
      <c r="C14" s="6" t="inlineStr">
        <is>
          <t>تعزيز السلوك الإيجابي لدى الطالبات</t>
        </is>
      </c>
      <c r="D14" s="17" t="inlineStr">
        <is>
          <t>درع السلوك الإيجابي + تكريم رسمي</t>
        </is>
      </c>
      <c r="E14" s="6" t="inlineStr">
        <is>
          <t>تقارير السلوك، استبيانات الانضباط، صور البرامج</t>
        </is>
      </c>
      <c r="G14" s="4" t="n">
        <v>8</v>
      </c>
      <c r="H14" s="4" t="inlineStr">
        <is>
          <t>أغسطس</t>
        </is>
      </c>
      <c r="I14" s="18" t="inlineStr">
        <is>
          <t>خارج الفصلين</t>
        </is>
      </c>
      <c r="O14" s="8" t="n"/>
      <c r="Q14" s="6" t="inlineStr">
        <is>
          <t>رسالة بريد السعادة</t>
        </is>
      </c>
      <c r="R14" s="8" t="n"/>
    </row>
    <row r="15">
      <c r="A15" s="46" t="inlineStr">
        <is>
          <t>الرائدة المعلمة المنضبطة</t>
        </is>
      </c>
      <c r="B15" s="17" t="inlineStr">
        <is>
          <t>أكاديمية</t>
        </is>
      </c>
      <c r="C15" s="6" t="inlineStr">
        <is>
          <t>الالتزام بعدم الغياب والاستئذان وإنجاز المهام في وقتها</t>
        </is>
      </c>
      <c r="D15" s="17" t="inlineStr">
        <is>
          <t>شهادة شهرية + حافز رمزي</t>
        </is>
      </c>
      <c r="E15" s="6" t="inlineStr">
        <is>
          <t>سجل الحضور، تقارير المتابعة، شهادات الانضباط</t>
        </is>
      </c>
      <c r="G15" s="4" t="n">
        <v>9</v>
      </c>
      <c r="H15" s="4" t="inlineStr">
        <is>
          <t>سبتمبر</t>
        </is>
      </c>
      <c r="I15" s="18" t="inlineStr">
        <is>
          <t>الفصل الأول</t>
        </is>
      </c>
      <c r="O15" s="8" t="n"/>
      <c r="Q15" s="6" t="inlineStr">
        <is>
          <t>شهادة تقدير + تحفيز مادي رمزي</t>
        </is>
      </c>
      <c r="R15" s="8" t="n"/>
    </row>
    <row r="16">
      <c r="A16" s="46" t="inlineStr">
        <is>
          <t>رائدة الإيجابية</t>
        </is>
      </c>
      <c r="B16" s="17" t="inlineStr">
        <is>
          <t>الجميع</t>
        </is>
      </c>
      <c r="C16" s="6" t="inlineStr">
        <is>
          <t>ترسيخ بيئة عمل إيجابية قائمة على التعاون والاحترام</t>
        </is>
      </c>
      <c r="D16" s="17" t="inlineStr">
        <is>
          <t>شهادة شكر + نشر داخلي</t>
        </is>
      </c>
      <c r="E16" s="6" t="inlineStr">
        <is>
          <t>ترشيحات الأقسام، تقارير القيادة، ملاحظات الأداء</t>
        </is>
      </c>
      <c r="G16" s="4" t="n">
        <v>10</v>
      </c>
      <c r="H16" s="4" t="inlineStr">
        <is>
          <t>أكتوبر</t>
        </is>
      </c>
      <c r="I16" s="18" t="inlineStr">
        <is>
          <t>الفصل الأول</t>
        </is>
      </c>
      <c r="O16" s="8" t="n"/>
      <c r="Q16" s="6" t="inlineStr">
        <is>
          <t>شهادة تميز قيادي + تكريم رسمي</t>
        </is>
      </c>
      <c r="R16" s="8" t="n"/>
    </row>
    <row r="17">
      <c r="A17" s="46" t="inlineStr">
        <is>
          <t>رائدة الشراكة</t>
        </is>
      </c>
      <c r="B17" s="17" t="inlineStr">
        <is>
          <t>الجميع</t>
        </is>
      </c>
      <c r="C17" s="6" t="inlineStr">
        <is>
          <t>تفعيل الشراكات المجتمعية والتواصل مع أولياء الأمور</t>
        </is>
      </c>
      <c r="D17" s="17" t="inlineStr">
        <is>
          <t>درع شراكة مجتمعية + تكريم رسمي</t>
        </is>
      </c>
      <c r="E17" s="6" t="inlineStr">
        <is>
          <t>خطابات التعاون، صور الفعاليات، تقارير الشراكات</t>
        </is>
      </c>
      <c r="G17" s="4" t="n">
        <v>11</v>
      </c>
      <c r="H17" s="4" t="inlineStr">
        <is>
          <t>نوفمبر</t>
        </is>
      </c>
      <c r="I17" s="18" t="inlineStr">
        <is>
          <t>الفصل الأول</t>
        </is>
      </c>
      <c r="O17" s="8" t="n"/>
      <c r="Q17" s="6" t="inlineStr">
        <is>
          <t>شهادة شكر + نشر المبادرة في لوحة الشرف</t>
        </is>
      </c>
      <c r="R17" s="8" t="n"/>
    </row>
    <row r="18">
      <c r="A18" s="46" t="inlineStr">
        <is>
          <t>رائدة القيادة</t>
        </is>
      </c>
      <c r="B18" s="17" t="inlineStr">
        <is>
          <t>الجميع</t>
        </is>
      </c>
      <c r="C18" s="6" t="inlineStr">
        <is>
          <t>تمكين القيادات الوسطى في تطوير فرق العمل</t>
        </is>
      </c>
      <c r="D18" s="17" t="inlineStr">
        <is>
          <t>شهادة تميز قيادي + تكريم رسمي</t>
        </is>
      </c>
      <c r="E18" s="6" t="inlineStr">
        <is>
          <t>خطة القسم، تقارير الأداء، محاضر الاجتماعات</t>
        </is>
      </c>
      <c r="G18" s="4" t="n">
        <v>12</v>
      </c>
      <c r="H18" s="4" t="inlineStr">
        <is>
          <t>ديسمبر</t>
        </is>
      </c>
      <c r="I18" s="18" t="inlineStr">
        <is>
          <t>الفصل الأول</t>
        </is>
      </c>
      <c r="O18" s="8" t="n"/>
      <c r="Q18" s="6" t="inlineStr">
        <is>
          <t>شهادة شكر + نشر داخلي</t>
        </is>
      </c>
      <c r="R18" s="8" t="n"/>
    </row>
    <row r="19">
      <c r="A19" s="46" t="inlineStr">
        <is>
          <t>فريق الريادة الجماعي</t>
        </is>
      </c>
      <c r="B19" s="17" t="inlineStr">
        <is>
          <t>الجميع</t>
        </is>
      </c>
      <c r="C19" s="6" t="inlineStr">
        <is>
          <t>تحفيز العمل الجماعي والإنجازات المشتركة</t>
        </is>
      </c>
      <c r="D19" s="17" t="inlineStr">
        <is>
          <t>تكريم خاص للفرق</t>
        </is>
      </c>
      <c r="E19" s="6" t="inlineStr">
        <is>
          <t>تقارير إنجاز الفريق</t>
        </is>
      </c>
      <c r="Q19" s="6" t="inlineStr">
        <is>
          <t>شهادة شهرية + حافز رمزي</t>
        </is>
      </c>
    </row>
    <row r="20">
      <c r="A20" s="46" t="inlineStr">
        <is>
          <t>الرائدة الإدارية المنضبطة</t>
        </is>
      </c>
      <c r="B20" s="17" t="inlineStr">
        <is>
          <t>إدارية</t>
        </is>
      </c>
      <c r="C20" s="6" t="inlineStr">
        <is>
          <t>الالتزام بالدوام والمناوبات وإنجاز المهام بدقة</t>
        </is>
      </c>
      <c r="D20" s="17" t="inlineStr">
        <is>
          <t>شهادة شهرية + حافز رمزي</t>
        </is>
      </c>
      <c r="E20" s="6" t="inlineStr">
        <is>
          <t>تقارير أداء المهام، التقرير الشهري للحضور والغياب والاستئذان</t>
        </is>
      </c>
      <c r="Q20" s="6" t="inlineStr">
        <is>
          <t>نشر داخلي + شهادة تميز مهني</t>
        </is>
      </c>
    </row>
    <row r="21">
      <c r="A21" s="46" t="inlineStr">
        <is>
          <t>الرائدة الإدارية المبادرة</t>
        </is>
      </c>
      <c r="B21" s="17" t="inlineStr">
        <is>
          <t>إدارية</t>
        </is>
      </c>
      <c r="C21" s="6" t="inlineStr">
        <is>
          <t>المبادرة بالأفكار والمقترحات الإدارية وحل المشكلات</t>
        </is>
      </c>
      <c r="D21" s="17" t="inlineStr">
        <is>
          <t>شهادة شكر + نشر المبادرة في لوحة الشرف</t>
        </is>
      </c>
      <c r="E21" s="6" t="inlineStr">
        <is>
          <t>نموذج المبادرة، صور التطبيق، تقارير الأثر</t>
        </is>
      </c>
      <c r="Q21" s="6" t="inlineStr">
        <is>
          <t>هدية / مفاجأة</t>
        </is>
      </c>
    </row>
    <row r="22">
      <c r="A22" s="46" t="inlineStr">
        <is>
          <t>الرائدة الإدارية المتميزة</t>
        </is>
      </c>
      <c r="B22" s="17" t="inlineStr">
        <is>
          <t>إدارية</t>
        </is>
      </c>
      <c r="C22" s="6" t="inlineStr">
        <is>
          <t>تحقيق قسم متميز وإنجاز المهام بجودة عالية</t>
        </is>
      </c>
      <c r="D22" s="17" t="inlineStr">
        <is>
          <t>شهادة تقدير + تحفيز مادي رمزي</t>
        </is>
      </c>
      <c r="E22" s="6" t="inlineStr">
        <is>
          <t>تقارير المهام المنجزة، إشادة أو تقدير مهني موثق</t>
        </is>
      </c>
      <c r="Q22" s="6" t="inlineStr">
        <is>
          <t>شهادة تقدير</t>
        </is>
      </c>
    </row>
    <row r="23">
      <c r="A23" s="46" t="inlineStr">
        <is>
          <t>الرائدة الإدارية الإيجابية</t>
        </is>
      </c>
      <c r="B23" s="17" t="inlineStr">
        <is>
          <t>إدارية</t>
        </is>
      </c>
      <c r="C23" s="6" t="inlineStr">
        <is>
          <t>روح التعاون ودعم الأنشطة ونشر السلوك الإيجابي</t>
        </is>
      </c>
      <c r="D23" s="17" t="inlineStr">
        <is>
          <t>شهادة تقدير + تحفيز مادي رمزي</t>
        </is>
      </c>
      <c r="E23" s="6" t="inlineStr">
        <is>
          <t>ترشيحات الأقسام، تقارير القيادة، ملاحظات الأداء</t>
        </is>
      </c>
      <c r="Q23" s="6" t="inlineStr">
        <is>
          <t>شهادة شكر</t>
        </is>
      </c>
    </row>
    <row r="24">
      <c r="A24" s="46" t="inlineStr">
        <is>
          <t>بريد السعادة</t>
        </is>
      </c>
      <c r="B24" s="17" t="inlineStr">
        <is>
          <t>الجميع</t>
        </is>
      </c>
      <c r="C24" s="6" t="inlineStr">
        <is>
          <t>تقدير فوري عبر البريد الإلكتروني عند ملاحظة إنجاز أو سلوك إيجابي</t>
        </is>
      </c>
      <c r="D24" s="17" t="inlineStr">
        <is>
          <t>رسالة بريد السعادة</t>
        </is>
      </c>
      <c r="E24" s="6" t="inlineStr">
        <is>
          <t>البريد الإلكتروني</t>
        </is>
      </c>
      <c r="Q24" s="6" t="inlineStr">
        <is>
          <t>تحفيز مادي رمزي</t>
        </is>
      </c>
    </row>
    <row r="25">
      <c r="A25" s="46" t="inlineStr">
        <is>
          <t>فرحة بلا موعد</t>
        </is>
      </c>
      <c r="B25" s="17" t="inlineStr">
        <is>
          <t>الجميع</t>
        </is>
      </c>
      <c r="C25" s="6" t="inlineStr">
        <is>
          <t>هدايا ومفاجآت عفوية ومسابقات ترفيهية</t>
        </is>
      </c>
      <c r="D25" s="17" t="inlineStr">
        <is>
          <t>هدية / مفاجأة</t>
        </is>
      </c>
      <c r="E25" s="6" t="inlineStr">
        <is>
          <t>صور التكريم والفعاليات التحفيزية</t>
        </is>
      </c>
      <c r="Q25" s="6" t="inlineStr">
        <is>
          <t>تكريم رسمي</t>
        </is>
      </c>
    </row>
    <row r="26">
      <c r="A26" s="8" t="n"/>
      <c r="B26" s="8" t="n"/>
      <c r="C26" s="8" t="n"/>
      <c r="D26" s="8" t="n"/>
      <c r="E26" s="8" t="n"/>
      <c r="Q26" s="6" t="inlineStr">
        <is>
          <t>نشر داخلي</t>
        </is>
      </c>
    </row>
    <row r="27">
      <c r="A27" s="8" t="n"/>
      <c r="B27" s="8" t="n"/>
      <c r="C27" s="8" t="n"/>
      <c r="D27" s="8" t="n"/>
      <c r="E27" s="8" t="n"/>
      <c r="Q27" s="6" t="inlineStr">
        <is>
          <t>درع تميز فصلي</t>
        </is>
      </c>
    </row>
    <row r="28">
      <c r="A28" s="8" t="n"/>
      <c r="B28" s="8" t="n"/>
      <c r="C28" s="8" t="n"/>
      <c r="D28" s="8" t="n"/>
      <c r="E28" s="8" t="n"/>
      <c r="Q28" s="6" t="inlineStr">
        <is>
          <t>كوبون أمري تدللي</t>
        </is>
      </c>
    </row>
    <row r="29">
      <c r="A29" s="8" t="n"/>
      <c r="B29" s="8" t="n"/>
      <c r="C29" s="8" t="n"/>
      <c r="D29" s="8" t="n"/>
      <c r="E29" s="8" t="n"/>
      <c r="Q29" s="8" t="n"/>
    </row>
    <row r="30">
      <c r="A30" s="8" t="n"/>
      <c r="B30" s="8" t="n"/>
      <c r="C30" s="8" t="n"/>
      <c r="D30" s="8" t="n"/>
      <c r="E30" s="8" t="n"/>
      <c r="Q30" s="8" t="n"/>
    </row>
    <row r="31">
      <c r="A31" s="8" t="n"/>
      <c r="B31" s="8" t="n"/>
      <c r="C31" s="8" t="n"/>
      <c r="D31" s="8" t="n"/>
      <c r="E31" s="8" t="n"/>
      <c r="Q31" s="8" t="n"/>
    </row>
    <row r="32">
      <c r="A32" s="8" t="n"/>
      <c r="B32" s="8" t="n"/>
      <c r="C32" s="8" t="n"/>
      <c r="D32" s="8" t="n"/>
      <c r="E32" s="8" t="n"/>
      <c r="Q32" s="8" t="n"/>
    </row>
    <row r="33">
      <c r="A33" s="8" t="n"/>
      <c r="B33" s="8" t="n"/>
      <c r="C33" s="8" t="n"/>
      <c r="D33" s="8" t="n"/>
      <c r="E33" s="8" t="n"/>
      <c r="Q33" s="8" t="n"/>
    </row>
    <row r="34">
      <c r="A34" s="8" t="n"/>
      <c r="B34" s="8" t="n"/>
      <c r="C34" s="8" t="n"/>
      <c r="D34" s="8" t="n"/>
      <c r="E34" s="8" t="n"/>
      <c r="Q34" s="8" t="n"/>
    </row>
    <row r="35">
      <c r="A35" s="8" t="n"/>
      <c r="B35" s="8" t="n"/>
      <c r="C35" s="8" t="n"/>
      <c r="D35" s="8" t="n"/>
      <c r="E35" s="8" t="n"/>
      <c r="Q35" s="8" t="n"/>
    </row>
    <row r="36">
      <c r="Q36" s="8" t="n"/>
    </row>
    <row r="38" ht="36" customHeight="1">
      <c r="A38" s="3" t="inlineStr">
        <is>
          <t>فريق الاعتماد</t>
        </is>
      </c>
      <c r="B38" s="3" t="inlineStr">
        <is>
          <t>الاسم</t>
        </is>
      </c>
    </row>
    <row r="39">
      <c r="A39" s="46" t="inlineStr">
        <is>
          <t>مديرة المدرسة</t>
        </is>
      </c>
      <c r="B39" s="47" t="inlineStr">
        <is>
          <t>حصة الشمري</t>
        </is>
      </c>
    </row>
    <row r="40">
      <c r="A40" s="46" t="inlineStr">
        <is>
          <t>النائبة الأكاديمية</t>
        </is>
      </c>
      <c r="B40" s="47" t="inlineStr">
        <is>
          <t>إيناس العوضي</t>
        </is>
      </c>
    </row>
    <row r="41">
      <c r="A41" s="46" t="inlineStr">
        <is>
          <t>النائبة الإدارية</t>
        </is>
      </c>
      <c r="B41" s="47" t="inlineStr">
        <is>
          <t>مريم المري</t>
        </is>
      </c>
    </row>
  </sheetData>
  <mergeCells count="2">
    <mergeCell ref="A1:I1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2026-10-16T09:02:48Z</dcterms:created>
  <dcterms:modified xmlns:dcterms="http://purl.org/dc/terms/" xmlns:xsi="http://www.w3.org/2001/XMLSchema-instance" xsi:type="dcterms:W3CDTF">2026-10-16T09:02:55Z</dcterms:modified>
</cp:coreProperties>
</file>